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20001_{C1504640-BB7C-4300-903A-D9D1ACA4E3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📊 Dashboard Ejecutivo" sheetId="1" r:id="rId1"/>
    <sheet name="📦 Rentabilidad por Producto" sheetId="2" r:id="rId2"/>
    <sheet name="🗓️ Mapa de Calor" sheetId="11" r:id="rId3"/>
    <sheet name="🌞🌙 Analisis por Turno" sheetId="10" r:id="rId4"/>
    <sheet name="📅 Resumen Diario" sheetId="3" r:id="rId5"/>
    <sheet name="📈 Datos Completos" sheetId="4" r:id="rId6"/>
    <sheet name="👥 Asistencia" sheetId="6" r:id="rId7"/>
    <sheet name="📋 Detalle Diario" sheetId="5" r:id="rId8"/>
    <sheet name="⚙️ Supuestos" sheetId="7" r:id="rId9"/>
    <sheet name="📦 Precios Proforma" sheetId="8" r:id="rId10"/>
  </sheets>
  <externalReferences>
    <externalReference r:id="rId11"/>
    <externalReference r:id="rId12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H11" i="11"/>
  <c r="G11" i="11"/>
  <c r="F11" i="11"/>
  <c r="E11" i="11"/>
  <c r="D11" i="11"/>
  <c r="C11" i="11"/>
  <c r="B11" i="11"/>
  <c r="H10" i="11"/>
  <c r="G10" i="11"/>
  <c r="F10" i="11"/>
  <c r="E10" i="11"/>
  <c r="D10" i="11"/>
  <c r="C10" i="11"/>
  <c r="B10" i="11"/>
  <c r="E5" i="11"/>
  <c r="D5" i="11"/>
  <c r="C5" i="11"/>
  <c r="B5" i="11"/>
  <c r="C33" i="7"/>
  <c r="C32" i="7"/>
  <c r="C31" i="7"/>
  <c r="C30" i="7"/>
  <c r="C34" i="7" s="1"/>
  <c r="C35" i="7" s="1"/>
  <c r="C25" i="7"/>
  <c r="C26" i="7" s="1"/>
  <c r="C24" i="7"/>
  <c r="C23" i="7"/>
  <c r="C22" i="7"/>
  <c r="C21" i="7"/>
  <c r="C20" i="7"/>
  <c r="G2004" i="6"/>
  <c r="G2003" i="6"/>
  <c r="G2002" i="6"/>
  <c r="G2001" i="6"/>
  <c r="G2000" i="6"/>
  <c r="G1999" i="6"/>
  <c r="G1998" i="6"/>
  <c r="G1997" i="6"/>
  <c r="G1996" i="6"/>
  <c r="G1995" i="6"/>
  <c r="G1994" i="6"/>
  <c r="G1993" i="6"/>
  <c r="G1992" i="6"/>
  <c r="G1991" i="6"/>
  <c r="G1990" i="6"/>
  <c r="G1989" i="6"/>
  <c r="G1988" i="6"/>
  <c r="G1987" i="6"/>
  <c r="G1986" i="6"/>
  <c r="G1985" i="6"/>
  <c r="G1984" i="6"/>
  <c r="G1983" i="6"/>
  <c r="G1982" i="6"/>
  <c r="G1981" i="6"/>
  <c r="G1980" i="6"/>
  <c r="G1979" i="6"/>
  <c r="G1978" i="6"/>
  <c r="G1977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2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4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9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490" i="5"/>
  <c r="F490" i="5"/>
  <c r="I489" i="5"/>
  <c r="H489" i="5"/>
  <c r="E489" i="5"/>
  <c r="D489" i="5"/>
  <c r="I488" i="5"/>
  <c r="H488" i="5"/>
  <c r="E488" i="5"/>
  <c r="D488" i="5"/>
  <c r="I487" i="5"/>
  <c r="H487" i="5"/>
  <c r="E487" i="5"/>
  <c r="D487" i="5"/>
  <c r="I486" i="5"/>
  <c r="H486" i="5"/>
  <c r="E486" i="5"/>
  <c r="D486" i="5"/>
  <c r="I485" i="5"/>
  <c r="H485" i="5"/>
  <c r="E485" i="5"/>
  <c r="D485" i="5"/>
  <c r="I484" i="5"/>
  <c r="H484" i="5"/>
  <c r="E484" i="5"/>
  <c r="D484" i="5"/>
  <c r="I483" i="5"/>
  <c r="H483" i="5"/>
  <c r="E483" i="5"/>
  <c r="D483" i="5"/>
  <c r="I482" i="5"/>
  <c r="H482" i="5"/>
  <c r="E482" i="5"/>
  <c r="D482" i="5"/>
  <c r="I481" i="5"/>
  <c r="H481" i="5"/>
  <c r="E481" i="5"/>
  <c r="D481" i="5"/>
  <c r="I480" i="5"/>
  <c r="H480" i="5"/>
  <c r="E480" i="5"/>
  <c r="D480" i="5"/>
  <c r="I479" i="5"/>
  <c r="H479" i="5"/>
  <c r="E479" i="5"/>
  <c r="D479" i="5"/>
  <c r="I478" i="5"/>
  <c r="H478" i="5"/>
  <c r="E478" i="5"/>
  <c r="D478" i="5"/>
  <c r="I477" i="5"/>
  <c r="H477" i="5"/>
  <c r="E477" i="5"/>
  <c r="D477" i="5"/>
  <c r="I476" i="5"/>
  <c r="H476" i="5"/>
  <c r="E476" i="5"/>
  <c r="D476" i="5"/>
  <c r="I475" i="5"/>
  <c r="H475" i="5"/>
  <c r="E475" i="5"/>
  <c r="D475" i="5"/>
  <c r="I474" i="5"/>
  <c r="H474" i="5"/>
  <c r="E474" i="5"/>
  <c r="D474" i="5"/>
  <c r="I473" i="5"/>
  <c r="H473" i="5"/>
  <c r="E473" i="5"/>
  <c r="D473" i="5"/>
  <c r="I472" i="5"/>
  <c r="H472" i="5"/>
  <c r="E472" i="5"/>
  <c r="D472" i="5"/>
  <c r="I471" i="5"/>
  <c r="H471" i="5"/>
  <c r="E471" i="5"/>
  <c r="D471" i="5"/>
  <c r="I470" i="5"/>
  <c r="H470" i="5"/>
  <c r="E470" i="5"/>
  <c r="D470" i="5"/>
  <c r="I469" i="5"/>
  <c r="H469" i="5"/>
  <c r="E469" i="5"/>
  <c r="D469" i="5"/>
  <c r="I468" i="5"/>
  <c r="H468" i="5"/>
  <c r="E468" i="5"/>
  <c r="D468" i="5"/>
  <c r="I467" i="5"/>
  <c r="H467" i="5"/>
  <c r="E467" i="5"/>
  <c r="D467" i="5"/>
  <c r="I466" i="5"/>
  <c r="H466" i="5"/>
  <c r="E466" i="5"/>
  <c r="D466" i="5"/>
  <c r="I465" i="5"/>
  <c r="H465" i="5"/>
  <c r="E465" i="5"/>
  <c r="D465" i="5"/>
  <c r="I464" i="5"/>
  <c r="H464" i="5"/>
  <c r="E464" i="5"/>
  <c r="D464" i="5"/>
  <c r="I463" i="5"/>
  <c r="H463" i="5"/>
  <c r="E463" i="5"/>
  <c r="D463" i="5"/>
  <c r="I462" i="5"/>
  <c r="H462" i="5"/>
  <c r="E462" i="5"/>
  <c r="D462" i="5"/>
  <c r="I461" i="5"/>
  <c r="H461" i="5"/>
  <c r="E461" i="5"/>
  <c r="D461" i="5"/>
  <c r="I460" i="5"/>
  <c r="H460" i="5"/>
  <c r="E460" i="5"/>
  <c r="D460" i="5"/>
  <c r="I459" i="5"/>
  <c r="H459" i="5"/>
  <c r="E459" i="5"/>
  <c r="D459" i="5"/>
  <c r="I458" i="5"/>
  <c r="H458" i="5"/>
  <c r="E458" i="5"/>
  <c r="D458" i="5"/>
  <c r="I457" i="5"/>
  <c r="H457" i="5"/>
  <c r="E457" i="5"/>
  <c r="D457" i="5"/>
  <c r="I456" i="5"/>
  <c r="H456" i="5"/>
  <c r="E456" i="5"/>
  <c r="D456" i="5"/>
  <c r="I455" i="5"/>
  <c r="H455" i="5"/>
  <c r="E455" i="5"/>
  <c r="D455" i="5"/>
  <c r="I454" i="5"/>
  <c r="H454" i="5"/>
  <c r="E454" i="5"/>
  <c r="D454" i="5"/>
  <c r="I453" i="5"/>
  <c r="H453" i="5"/>
  <c r="E453" i="5"/>
  <c r="D453" i="5"/>
  <c r="I452" i="5"/>
  <c r="H452" i="5"/>
  <c r="E452" i="5"/>
  <c r="D452" i="5"/>
  <c r="I451" i="5"/>
  <c r="H451" i="5"/>
  <c r="E451" i="5"/>
  <c r="D451" i="5"/>
  <c r="I450" i="5"/>
  <c r="H450" i="5"/>
  <c r="E450" i="5"/>
  <c r="D450" i="5"/>
  <c r="I449" i="5"/>
  <c r="H449" i="5"/>
  <c r="E449" i="5"/>
  <c r="D449" i="5"/>
  <c r="I448" i="5"/>
  <c r="H448" i="5"/>
  <c r="E448" i="5"/>
  <c r="D448" i="5"/>
  <c r="I447" i="5"/>
  <c r="H447" i="5"/>
  <c r="E447" i="5"/>
  <c r="D447" i="5"/>
  <c r="I446" i="5"/>
  <c r="H446" i="5"/>
  <c r="E446" i="5"/>
  <c r="D446" i="5"/>
  <c r="I445" i="5"/>
  <c r="H445" i="5"/>
  <c r="E445" i="5"/>
  <c r="D445" i="5"/>
  <c r="I444" i="5"/>
  <c r="H444" i="5"/>
  <c r="E444" i="5"/>
  <c r="D444" i="5"/>
  <c r="I443" i="5"/>
  <c r="H443" i="5"/>
  <c r="E443" i="5"/>
  <c r="D443" i="5"/>
  <c r="I442" i="5"/>
  <c r="H442" i="5"/>
  <c r="E442" i="5"/>
  <c r="D442" i="5"/>
  <c r="I441" i="5"/>
  <c r="H441" i="5"/>
  <c r="E441" i="5"/>
  <c r="D441" i="5"/>
  <c r="I440" i="5"/>
  <c r="H440" i="5"/>
  <c r="E440" i="5"/>
  <c r="D440" i="5"/>
  <c r="I439" i="5"/>
  <c r="H439" i="5"/>
  <c r="E439" i="5"/>
  <c r="D439" i="5"/>
  <c r="I438" i="5"/>
  <c r="H438" i="5"/>
  <c r="E438" i="5"/>
  <c r="D438" i="5"/>
  <c r="I437" i="5"/>
  <c r="H437" i="5"/>
  <c r="E437" i="5"/>
  <c r="D437" i="5"/>
  <c r="I436" i="5"/>
  <c r="H436" i="5"/>
  <c r="E436" i="5"/>
  <c r="D436" i="5"/>
  <c r="I435" i="5"/>
  <c r="H435" i="5"/>
  <c r="E435" i="5"/>
  <c r="D435" i="5"/>
  <c r="I434" i="5"/>
  <c r="H434" i="5"/>
  <c r="E434" i="5"/>
  <c r="D434" i="5"/>
  <c r="I433" i="5"/>
  <c r="H433" i="5"/>
  <c r="E433" i="5"/>
  <c r="D433" i="5"/>
  <c r="I432" i="5"/>
  <c r="H432" i="5"/>
  <c r="E432" i="5"/>
  <c r="D432" i="5"/>
  <c r="I431" i="5"/>
  <c r="H431" i="5"/>
  <c r="E431" i="5"/>
  <c r="D431" i="5"/>
  <c r="I430" i="5"/>
  <c r="H430" i="5"/>
  <c r="E430" i="5"/>
  <c r="D430" i="5"/>
  <c r="I429" i="5"/>
  <c r="H429" i="5"/>
  <c r="E429" i="5"/>
  <c r="D429" i="5"/>
  <c r="I428" i="5"/>
  <c r="H428" i="5"/>
  <c r="E428" i="5"/>
  <c r="D428" i="5"/>
  <c r="I427" i="5"/>
  <c r="H427" i="5"/>
  <c r="E427" i="5"/>
  <c r="D427" i="5"/>
  <c r="I426" i="5"/>
  <c r="H426" i="5"/>
  <c r="E426" i="5"/>
  <c r="D426" i="5"/>
  <c r="I425" i="5"/>
  <c r="H425" i="5"/>
  <c r="E425" i="5"/>
  <c r="D425" i="5"/>
  <c r="I424" i="5"/>
  <c r="H424" i="5"/>
  <c r="E424" i="5"/>
  <c r="D424" i="5"/>
  <c r="I423" i="5"/>
  <c r="H423" i="5"/>
  <c r="E423" i="5"/>
  <c r="D423" i="5"/>
  <c r="I422" i="5"/>
  <c r="H422" i="5"/>
  <c r="E422" i="5"/>
  <c r="D422" i="5"/>
  <c r="I421" i="5"/>
  <c r="H421" i="5"/>
  <c r="E421" i="5"/>
  <c r="D421" i="5"/>
  <c r="I420" i="5"/>
  <c r="H420" i="5"/>
  <c r="E420" i="5"/>
  <c r="D420" i="5"/>
  <c r="I419" i="5"/>
  <c r="H419" i="5"/>
  <c r="E419" i="5"/>
  <c r="D419" i="5"/>
  <c r="I418" i="5"/>
  <c r="H418" i="5"/>
  <c r="E418" i="5"/>
  <c r="D418" i="5"/>
  <c r="I417" i="5"/>
  <c r="H417" i="5"/>
  <c r="E417" i="5"/>
  <c r="D417" i="5"/>
  <c r="I416" i="5"/>
  <c r="H416" i="5"/>
  <c r="E416" i="5"/>
  <c r="D416" i="5"/>
  <c r="I415" i="5"/>
  <c r="H415" i="5"/>
  <c r="E415" i="5"/>
  <c r="D415" i="5"/>
  <c r="I414" i="5"/>
  <c r="H414" i="5"/>
  <c r="E414" i="5"/>
  <c r="D414" i="5"/>
  <c r="I413" i="5"/>
  <c r="H413" i="5"/>
  <c r="E413" i="5"/>
  <c r="D413" i="5"/>
  <c r="I412" i="5"/>
  <c r="H412" i="5"/>
  <c r="E412" i="5"/>
  <c r="D412" i="5"/>
  <c r="I411" i="5"/>
  <c r="H411" i="5"/>
  <c r="E411" i="5"/>
  <c r="D411" i="5"/>
  <c r="I410" i="5"/>
  <c r="H410" i="5"/>
  <c r="E410" i="5"/>
  <c r="D410" i="5"/>
  <c r="I409" i="5"/>
  <c r="H409" i="5"/>
  <c r="E409" i="5"/>
  <c r="D409" i="5"/>
  <c r="I408" i="5"/>
  <c r="H408" i="5"/>
  <c r="E408" i="5"/>
  <c r="D408" i="5"/>
  <c r="I407" i="5"/>
  <c r="H407" i="5"/>
  <c r="E407" i="5"/>
  <c r="D407" i="5"/>
  <c r="I406" i="5"/>
  <c r="H406" i="5"/>
  <c r="E406" i="5"/>
  <c r="D406" i="5"/>
  <c r="I405" i="5"/>
  <c r="H405" i="5"/>
  <c r="E405" i="5"/>
  <c r="D405" i="5"/>
  <c r="I404" i="5"/>
  <c r="H404" i="5"/>
  <c r="E404" i="5"/>
  <c r="D404" i="5"/>
  <c r="I403" i="5"/>
  <c r="H403" i="5"/>
  <c r="E403" i="5"/>
  <c r="D403" i="5"/>
  <c r="I402" i="5"/>
  <c r="H402" i="5"/>
  <c r="E402" i="5"/>
  <c r="D402" i="5"/>
  <c r="I401" i="5"/>
  <c r="H401" i="5"/>
  <c r="E401" i="5"/>
  <c r="D401" i="5"/>
  <c r="I400" i="5"/>
  <c r="H400" i="5"/>
  <c r="E400" i="5"/>
  <c r="D400" i="5"/>
  <c r="I399" i="5"/>
  <c r="H399" i="5"/>
  <c r="E399" i="5"/>
  <c r="D399" i="5"/>
  <c r="I398" i="5"/>
  <c r="H398" i="5"/>
  <c r="E398" i="5"/>
  <c r="D398" i="5"/>
  <c r="I397" i="5"/>
  <c r="H397" i="5"/>
  <c r="E397" i="5"/>
  <c r="D397" i="5"/>
  <c r="I396" i="5"/>
  <c r="H396" i="5"/>
  <c r="E396" i="5"/>
  <c r="D396" i="5"/>
  <c r="I395" i="5"/>
  <c r="H395" i="5"/>
  <c r="E395" i="5"/>
  <c r="D395" i="5"/>
  <c r="I394" i="5"/>
  <c r="H394" i="5"/>
  <c r="E394" i="5"/>
  <c r="D394" i="5"/>
  <c r="I393" i="5"/>
  <c r="H393" i="5"/>
  <c r="E393" i="5"/>
  <c r="D393" i="5"/>
  <c r="I392" i="5"/>
  <c r="H392" i="5"/>
  <c r="E392" i="5"/>
  <c r="D392" i="5"/>
  <c r="I391" i="5"/>
  <c r="H391" i="5"/>
  <c r="E391" i="5"/>
  <c r="D391" i="5"/>
  <c r="I390" i="5"/>
  <c r="H390" i="5"/>
  <c r="E390" i="5"/>
  <c r="D390" i="5"/>
  <c r="I389" i="5"/>
  <c r="H389" i="5"/>
  <c r="E389" i="5"/>
  <c r="D389" i="5"/>
  <c r="I388" i="5"/>
  <c r="H388" i="5"/>
  <c r="E388" i="5"/>
  <c r="D388" i="5"/>
  <c r="I387" i="5"/>
  <c r="H387" i="5"/>
  <c r="E387" i="5"/>
  <c r="D387" i="5"/>
  <c r="I386" i="5"/>
  <c r="H386" i="5"/>
  <c r="E386" i="5"/>
  <c r="D386" i="5"/>
  <c r="I385" i="5"/>
  <c r="H385" i="5"/>
  <c r="E385" i="5"/>
  <c r="D385" i="5"/>
  <c r="I384" i="5"/>
  <c r="H384" i="5"/>
  <c r="E384" i="5"/>
  <c r="D384" i="5"/>
  <c r="I383" i="5"/>
  <c r="H383" i="5"/>
  <c r="E383" i="5"/>
  <c r="D383" i="5"/>
  <c r="I382" i="5"/>
  <c r="H382" i="5"/>
  <c r="E382" i="5"/>
  <c r="D382" i="5"/>
  <c r="I381" i="5"/>
  <c r="H381" i="5"/>
  <c r="E381" i="5"/>
  <c r="D381" i="5"/>
  <c r="I380" i="5"/>
  <c r="H380" i="5"/>
  <c r="E380" i="5"/>
  <c r="D380" i="5"/>
  <c r="I379" i="5"/>
  <c r="H379" i="5"/>
  <c r="E379" i="5"/>
  <c r="D379" i="5"/>
  <c r="I378" i="5"/>
  <c r="H378" i="5"/>
  <c r="E378" i="5"/>
  <c r="D378" i="5"/>
  <c r="I377" i="5"/>
  <c r="H377" i="5"/>
  <c r="E377" i="5"/>
  <c r="D377" i="5"/>
  <c r="I376" i="5"/>
  <c r="H376" i="5"/>
  <c r="E376" i="5"/>
  <c r="D376" i="5"/>
  <c r="I375" i="5"/>
  <c r="H375" i="5"/>
  <c r="E375" i="5"/>
  <c r="D375" i="5"/>
  <c r="I374" i="5"/>
  <c r="H374" i="5"/>
  <c r="E374" i="5"/>
  <c r="D374" i="5"/>
  <c r="I373" i="5"/>
  <c r="H373" i="5"/>
  <c r="E373" i="5"/>
  <c r="D373" i="5"/>
  <c r="I372" i="5"/>
  <c r="H372" i="5"/>
  <c r="E372" i="5"/>
  <c r="D372" i="5"/>
  <c r="I371" i="5"/>
  <c r="H371" i="5"/>
  <c r="E371" i="5"/>
  <c r="D371" i="5"/>
  <c r="I370" i="5"/>
  <c r="H370" i="5"/>
  <c r="E370" i="5"/>
  <c r="D370" i="5"/>
  <c r="I369" i="5"/>
  <c r="H369" i="5"/>
  <c r="E369" i="5"/>
  <c r="D369" i="5"/>
  <c r="I368" i="5"/>
  <c r="H368" i="5"/>
  <c r="E368" i="5"/>
  <c r="D368" i="5"/>
  <c r="I367" i="5"/>
  <c r="H367" i="5"/>
  <c r="E367" i="5"/>
  <c r="D367" i="5"/>
  <c r="I366" i="5"/>
  <c r="H366" i="5"/>
  <c r="E366" i="5"/>
  <c r="D366" i="5"/>
  <c r="I365" i="5"/>
  <c r="H365" i="5"/>
  <c r="E365" i="5"/>
  <c r="D365" i="5"/>
  <c r="I364" i="5"/>
  <c r="H364" i="5"/>
  <c r="E364" i="5"/>
  <c r="D364" i="5"/>
  <c r="I363" i="5"/>
  <c r="H363" i="5"/>
  <c r="E363" i="5"/>
  <c r="D363" i="5"/>
  <c r="I362" i="5"/>
  <c r="H362" i="5"/>
  <c r="E362" i="5"/>
  <c r="D362" i="5"/>
  <c r="I361" i="5"/>
  <c r="H361" i="5"/>
  <c r="E361" i="5"/>
  <c r="D361" i="5"/>
  <c r="I360" i="5"/>
  <c r="H360" i="5"/>
  <c r="E360" i="5"/>
  <c r="D360" i="5"/>
  <c r="I359" i="5"/>
  <c r="H359" i="5"/>
  <c r="E359" i="5"/>
  <c r="D359" i="5"/>
  <c r="I358" i="5"/>
  <c r="H358" i="5"/>
  <c r="E358" i="5"/>
  <c r="D358" i="5"/>
  <c r="I357" i="5"/>
  <c r="H357" i="5"/>
  <c r="E357" i="5"/>
  <c r="D357" i="5"/>
  <c r="I356" i="5"/>
  <c r="H356" i="5"/>
  <c r="E356" i="5"/>
  <c r="D356" i="5"/>
  <c r="I355" i="5"/>
  <c r="H355" i="5"/>
  <c r="E355" i="5"/>
  <c r="D355" i="5"/>
  <c r="I354" i="5"/>
  <c r="H354" i="5"/>
  <c r="E354" i="5"/>
  <c r="D354" i="5"/>
  <c r="I353" i="5"/>
  <c r="H353" i="5"/>
  <c r="E353" i="5"/>
  <c r="D353" i="5"/>
  <c r="I352" i="5"/>
  <c r="H352" i="5"/>
  <c r="E352" i="5"/>
  <c r="D352" i="5"/>
  <c r="I351" i="5"/>
  <c r="H351" i="5"/>
  <c r="E351" i="5"/>
  <c r="D351" i="5"/>
  <c r="I350" i="5"/>
  <c r="H350" i="5"/>
  <c r="E350" i="5"/>
  <c r="D350" i="5"/>
  <c r="I349" i="5"/>
  <c r="H349" i="5"/>
  <c r="E349" i="5"/>
  <c r="D349" i="5"/>
  <c r="I348" i="5"/>
  <c r="H348" i="5"/>
  <c r="E348" i="5"/>
  <c r="D348" i="5"/>
  <c r="I347" i="5"/>
  <c r="H347" i="5"/>
  <c r="E347" i="5"/>
  <c r="D347" i="5"/>
  <c r="I346" i="5"/>
  <c r="H346" i="5"/>
  <c r="E346" i="5"/>
  <c r="D346" i="5"/>
  <c r="I345" i="5"/>
  <c r="H345" i="5"/>
  <c r="E345" i="5"/>
  <c r="D345" i="5"/>
  <c r="I344" i="5"/>
  <c r="H344" i="5"/>
  <c r="E344" i="5"/>
  <c r="D344" i="5"/>
  <c r="I343" i="5"/>
  <c r="H343" i="5"/>
  <c r="E343" i="5"/>
  <c r="D343" i="5"/>
  <c r="I342" i="5"/>
  <c r="H342" i="5"/>
  <c r="E342" i="5"/>
  <c r="D342" i="5"/>
  <c r="I341" i="5"/>
  <c r="H341" i="5"/>
  <c r="E341" i="5"/>
  <c r="D341" i="5"/>
  <c r="I340" i="5"/>
  <c r="H340" i="5"/>
  <c r="E340" i="5"/>
  <c r="D340" i="5"/>
  <c r="I339" i="5"/>
  <c r="H339" i="5"/>
  <c r="E339" i="5"/>
  <c r="D339" i="5"/>
  <c r="I338" i="5"/>
  <c r="H338" i="5"/>
  <c r="E338" i="5"/>
  <c r="D338" i="5"/>
  <c r="I337" i="5"/>
  <c r="H337" i="5"/>
  <c r="E337" i="5"/>
  <c r="D337" i="5"/>
  <c r="I336" i="5"/>
  <c r="H336" i="5"/>
  <c r="E336" i="5"/>
  <c r="D336" i="5"/>
  <c r="I335" i="5"/>
  <c r="H335" i="5"/>
  <c r="E335" i="5"/>
  <c r="D335" i="5"/>
  <c r="I334" i="5"/>
  <c r="H334" i="5"/>
  <c r="E334" i="5"/>
  <c r="D334" i="5"/>
  <c r="I333" i="5"/>
  <c r="H333" i="5"/>
  <c r="E333" i="5"/>
  <c r="D333" i="5"/>
  <c r="I332" i="5"/>
  <c r="H332" i="5"/>
  <c r="E332" i="5"/>
  <c r="D332" i="5"/>
  <c r="I331" i="5"/>
  <c r="H331" i="5"/>
  <c r="E331" i="5"/>
  <c r="D331" i="5"/>
  <c r="I330" i="5"/>
  <c r="H330" i="5"/>
  <c r="E330" i="5"/>
  <c r="D330" i="5"/>
  <c r="I329" i="5"/>
  <c r="H329" i="5"/>
  <c r="E329" i="5"/>
  <c r="D329" i="5"/>
  <c r="I328" i="5"/>
  <c r="H328" i="5"/>
  <c r="E328" i="5"/>
  <c r="D328" i="5"/>
  <c r="I327" i="5"/>
  <c r="H327" i="5"/>
  <c r="E327" i="5"/>
  <c r="D327" i="5"/>
  <c r="I326" i="5"/>
  <c r="H326" i="5"/>
  <c r="E326" i="5"/>
  <c r="D326" i="5"/>
  <c r="I325" i="5"/>
  <c r="H325" i="5"/>
  <c r="E325" i="5"/>
  <c r="D325" i="5"/>
  <c r="I324" i="5"/>
  <c r="H324" i="5"/>
  <c r="E324" i="5"/>
  <c r="D324" i="5"/>
  <c r="I323" i="5"/>
  <c r="H323" i="5"/>
  <c r="E323" i="5"/>
  <c r="D323" i="5"/>
  <c r="I322" i="5"/>
  <c r="H322" i="5"/>
  <c r="E322" i="5"/>
  <c r="D322" i="5"/>
  <c r="I321" i="5"/>
  <c r="H321" i="5"/>
  <c r="E321" i="5"/>
  <c r="D321" i="5"/>
  <c r="I320" i="5"/>
  <c r="H320" i="5"/>
  <c r="E320" i="5"/>
  <c r="D320" i="5"/>
  <c r="I319" i="5"/>
  <c r="H319" i="5"/>
  <c r="E319" i="5"/>
  <c r="D319" i="5"/>
  <c r="I318" i="5"/>
  <c r="H318" i="5"/>
  <c r="E318" i="5"/>
  <c r="D318" i="5"/>
  <c r="I317" i="5"/>
  <c r="H317" i="5"/>
  <c r="E317" i="5"/>
  <c r="D317" i="5"/>
  <c r="I316" i="5"/>
  <c r="H316" i="5"/>
  <c r="E316" i="5"/>
  <c r="D316" i="5"/>
  <c r="I315" i="5"/>
  <c r="H315" i="5"/>
  <c r="E315" i="5"/>
  <c r="D315" i="5"/>
  <c r="I314" i="5"/>
  <c r="H314" i="5"/>
  <c r="E314" i="5"/>
  <c r="D314" i="5"/>
  <c r="I313" i="5"/>
  <c r="H313" i="5"/>
  <c r="E313" i="5"/>
  <c r="D313" i="5"/>
  <c r="I312" i="5"/>
  <c r="H312" i="5"/>
  <c r="E312" i="5"/>
  <c r="D312" i="5"/>
  <c r="I311" i="5"/>
  <c r="H311" i="5"/>
  <c r="E311" i="5"/>
  <c r="D311" i="5"/>
  <c r="I310" i="5"/>
  <c r="H310" i="5"/>
  <c r="E310" i="5"/>
  <c r="D310" i="5"/>
  <c r="I309" i="5"/>
  <c r="H309" i="5"/>
  <c r="E309" i="5"/>
  <c r="D309" i="5"/>
  <c r="I308" i="5"/>
  <c r="H308" i="5"/>
  <c r="E308" i="5"/>
  <c r="D308" i="5"/>
  <c r="I307" i="5"/>
  <c r="H307" i="5"/>
  <c r="E307" i="5"/>
  <c r="D307" i="5"/>
  <c r="I306" i="5"/>
  <c r="H306" i="5"/>
  <c r="E306" i="5"/>
  <c r="D306" i="5"/>
  <c r="I305" i="5"/>
  <c r="H305" i="5"/>
  <c r="E305" i="5"/>
  <c r="D305" i="5"/>
  <c r="I304" i="5"/>
  <c r="H304" i="5"/>
  <c r="E304" i="5"/>
  <c r="D304" i="5"/>
  <c r="I303" i="5"/>
  <c r="H303" i="5"/>
  <c r="E303" i="5"/>
  <c r="D303" i="5"/>
  <c r="I302" i="5"/>
  <c r="H302" i="5"/>
  <c r="E302" i="5"/>
  <c r="D302" i="5"/>
  <c r="I301" i="5"/>
  <c r="H301" i="5"/>
  <c r="E301" i="5"/>
  <c r="D301" i="5"/>
  <c r="I300" i="5"/>
  <c r="H300" i="5"/>
  <c r="E300" i="5"/>
  <c r="D300" i="5"/>
  <c r="I299" i="5"/>
  <c r="H299" i="5"/>
  <c r="E299" i="5"/>
  <c r="D299" i="5"/>
  <c r="I298" i="5"/>
  <c r="H298" i="5"/>
  <c r="E298" i="5"/>
  <c r="D298" i="5"/>
  <c r="I297" i="5"/>
  <c r="H297" i="5"/>
  <c r="E297" i="5"/>
  <c r="D297" i="5"/>
  <c r="I296" i="5"/>
  <c r="H296" i="5"/>
  <c r="E296" i="5"/>
  <c r="D296" i="5"/>
  <c r="I295" i="5"/>
  <c r="H295" i="5"/>
  <c r="E295" i="5"/>
  <c r="D295" i="5"/>
  <c r="I294" i="5"/>
  <c r="H294" i="5"/>
  <c r="E294" i="5"/>
  <c r="D294" i="5"/>
  <c r="I293" i="5"/>
  <c r="H293" i="5"/>
  <c r="E293" i="5"/>
  <c r="D293" i="5"/>
  <c r="I292" i="5"/>
  <c r="H292" i="5"/>
  <c r="E292" i="5"/>
  <c r="D292" i="5"/>
  <c r="I291" i="5"/>
  <c r="H291" i="5"/>
  <c r="E291" i="5"/>
  <c r="D291" i="5"/>
  <c r="I290" i="5"/>
  <c r="H290" i="5"/>
  <c r="E290" i="5"/>
  <c r="D290" i="5"/>
  <c r="I289" i="5"/>
  <c r="H289" i="5"/>
  <c r="E289" i="5"/>
  <c r="D289" i="5"/>
  <c r="I288" i="5"/>
  <c r="H288" i="5"/>
  <c r="E288" i="5"/>
  <c r="D288" i="5"/>
  <c r="I287" i="5"/>
  <c r="H287" i="5"/>
  <c r="E287" i="5"/>
  <c r="D287" i="5"/>
  <c r="I286" i="5"/>
  <c r="H286" i="5"/>
  <c r="E286" i="5"/>
  <c r="D286" i="5"/>
  <c r="I285" i="5"/>
  <c r="H285" i="5"/>
  <c r="E285" i="5"/>
  <c r="D285" i="5"/>
  <c r="I284" i="5"/>
  <c r="H284" i="5"/>
  <c r="E284" i="5"/>
  <c r="D284" i="5"/>
  <c r="I283" i="5"/>
  <c r="H283" i="5"/>
  <c r="E283" i="5"/>
  <c r="D283" i="5"/>
  <c r="I282" i="5"/>
  <c r="H282" i="5"/>
  <c r="E282" i="5"/>
  <c r="D282" i="5"/>
  <c r="I281" i="5"/>
  <c r="H281" i="5"/>
  <c r="E281" i="5"/>
  <c r="D281" i="5"/>
  <c r="I280" i="5"/>
  <c r="H280" i="5"/>
  <c r="E280" i="5"/>
  <c r="D280" i="5"/>
  <c r="I279" i="5"/>
  <c r="H279" i="5"/>
  <c r="E279" i="5"/>
  <c r="D279" i="5"/>
  <c r="I278" i="5"/>
  <c r="H278" i="5"/>
  <c r="E278" i="5"/>
  <c r="D278" i="5"/>
  <c r="I277" i="5"/>
  <c r="H277" i="5"/>
  <c r="E277" i="5"/>
  <c r="D277" i="5"/>
  <c r="I276" i="5"/>
  <c r="H276" i="5"/>
  <c r="E276" i="5"/>
  <c r="D276" i="5"/>
  <c r="I275" i="5"/>
  <c r="H275" i="5"/>
  <c r="E275" i="5"/>
  <c r="D275" i="5"/>
  <c r="I274" i="5"/>
  <c r="H274" i="5"/>
  <c r="E274" i="5"/>
  <c r="D274" i="5"/>
  <c r="I273" i="5"/>
  <c r="H273" i="5"/>
  <c r="E273" i="5"/>
  <c r="D273" i="5"/>
  <c r="I272" i="5"/>
  <c r="H272" i="5"/>
  <c r="E272" i="5"/>
  <c r="D272" i="5"/>
  <c r="I271" i="5"/>
  <c r="H271" i="5"/>
  <c r="E271" i="5"/>
  <c r="D271" i="5"/>
  <c r="I270" i="5"/>
  <c r="H270" i="5"/>
  <c r="E270" i="5"/>
  <c r="D270" i="5"/>
  <c r="I269" i="5"/>
  <c r="H269" i="5"/>
  <c r="E269" i="5"/>
  <c r="D269" i="5"/>
  <c r="I268" i="5"/>
  <c r="H268" i="5"/>
  <c r="E268" i="5"/>
  <c r="D268" i="5"/>
  <c r="I267" i="5"/>
  <c r="H267" i="5"/>
  <c r="E267" i="5"/>
  <c r="D267" i="5"/>
  <c r="I266" i="5"/>
  <c r="H266" i="5"/>
  <c r="E266" i="5"/>
  <c r="D266" i="5"/>
  <c r="I265" i="5"/>
  <c r="H265" i="5"/>
  <c r="E265" i="5"/>
  <c r="D265" i="5"/>
  <c r="I264" i="5"/>
  <c r="H264" i="5"/>
  <c r="E264" i="5"/>
  <c r="D264" i="5"/>
  <c r="I263" i="5"/>
  <c r="H263" i="5"/>
  <c r="E263" i="5"/>
  <c r="D263" i="5"/>
  <c r="I262" i="5"/>
  <c r="H262" i="5"/>
  <c r="E262" i="5"/>
  <c r="D262" i="5"/>
  <c r="I261" i="5"/>
  <c r="H261" i="5"/>
  <c r="E261" i="5"/>
  <c r="D261" i="5"/>
  <c r="I260" i="5"/>
  <c r="H260" i="5"/>
  <c r="E260" i="5"/>
  <c r="D260" i="5"/>
  <c r="I259" i="5"/>
  <c r="H259" i="5"/>
  <c r="E259" i="5"/>
  <c r="D259" i="5"/>
  <c r="I258" i="5"/>
  <c r="H258" i="5"/>
  <c r="E258" i="5"/>
  <c r="D258" i="5"/>
  <c r="I257" i="5"/>
  <c r="H257" i="5"/>
  <c r="E257" i="5"/>
  <c r="D257" i="5"/>
  <c r="I256" i="5"/>
  <c r="H256" i="5"/>
  <c r="E256" i="5"/>
  <c r="D256" i="5"/>
  <c r="I255" i="5"/>
  <c r="H255" i="5"/>
  <c r="E255" i="5"/>
  <c r="D255" i="5"/>
  <c r="I254" i="5"/>
  <c r="H254" i="5"/>
  <c r="E254" i="5"/>
  <c r="D254" i="5"/>
  <c r="I253" i="5"/>
  <c r="H253" i="5"/>
  <c r="E253" i="5"/>
  <c r="D253" i="5"/>
  <c r="I252" i="5"/>
  <c r="H252" i="5"/>
  <c r="E252" i="5"/>
  <c r="D252" i="5"/>
  <c r="I251" i="5"/>
  <c r="H251" i="5"/>
  <c r="E251" i="5"/>
  <c r="D251" i="5"/>
  <c r="I250" i="5"/>
  <c r="H250" i="5"/>
  <c r="E250" i="5"/>
  <c r="D250" i="5"/>
  <c r="I249" i="5"/>
  <c r="H249" i="5"/>
  <c r="E249" i="5"/>
  <c r="D249" i="5"/>
  <c r="I248" i="5"/>
  <c r="H248" i="5"/>
  <c r="E248" i="5"/>
  <c r="D248" i="5"/>
  <c r="I247" i="5"/>
  <c r="H247" i="5"/>
  <c r="E247" i="5"/>
  <c r="D247" i="5"/>
  <c r="I246" i="5"/>
  <c r="H246" i="5"/>
  <c r="E246" i="5"/>
  <c r="D246" i="5"/>
  <c r="I245" i="5"/>
  <c r="H245" i="5"/>
  <c r="E245" i="5"/>
  <c r="D245" i="5"/>
  <c r="I244" i="5"/>
  <c r="H244" i="5"/>
  <c r="E244" i="5"/>
  <c r="D244" i="5"/>
  <c r="I243" i="5"/>
  <c r="H243" i="5"/>
  <c r="E243" i="5"/>
  <c r="D243" i="5"/>
  <c r="I242" i="5"/>
  <c r="H242" i="5"/>
  <c r="E242" i="5"/>
  <c r="D242" i="5"/>
  <c r="I241" i="5"/>
  <c r="H241" i="5"/>
  <c r="E241" i="5"/>
  <c r="D241" i="5"/>
  <c r="I240" i="5"/>
  <c r="H240" i="5"/>
  <c r="E240" i="5"/>
  <c r="D240" i="5"/>
  <c r="I239" i="5"/>
  <c r="H239" i="5"/>
  <c r="E239" i="5"/>
  <c r="D239" i="5"/>
  <c r="I238" i="5"/>
  <c r="H238" i="5"/>
  <c r="E238" i="5"/>
  <c r="D238" i="5"/>
  <c r="I237" i="5"/>
  <c r="H237" i="5"/>
  <c r="E237" i="5"/>
  <c r="D237" i="5"/>
  <c r="I236" i="5"/>
  <c r="H236" i="5"/>
  <c r="E236" i="5"/>
  <c r="D236" i="5"/>
  <c r="I235" i="5"/>
  <c r="H235" i="5"/>
  <c r="E235" i="5"/>
  <c r="D235" i="5"/>
  <c r="I234" i="5"/>
  <c r="H234" i="5"/>
  <c r="E234" i="5"/>
  <c r="D234" i="5"/>
  <c r="I233" i="5"/>
  <c r="H233" i="5"/>
  <c r="E233" i="5"/>
  <c r="D233" i="5"/>
  <c r="I232" i="5"/>
  <c r="H232" i="5"/>
  <c r="E232" i="5"/>
  <c r="D232" i="5"/>
  <c r="I231" i="5"/>
  <c r="H231" i="5"/>
  <c r="E231" i="5"/>
  <c r="D231" i="5"/>
  <c r="I230" i="5"/>
  <c r="H230" i="5"/>
  <c r="E230" i="5"/>
  <c r="D230" i="5"/>
  <c r="I229" i="5"/>
  <c r="H229" i="5"/>
  <c r="E229" i="5"/>
  <c r="D229" i="5"/>
  <c r="I228" i="5"/>
  <c r="H228" i="5"/>
  <c r="E228" i="5"/>
  <c r="D228" i="5"/>
  <c r="I227" i="5"/>
  <c r="H227" i="5"/>
  <c r="E227" i="5"/>
  <c r="D227" i="5"/>
  <c r="I226" i="5"/>
  <c r="H226" i="5"/>
  <c r="E226" i="5"/>
  <c r="D226" i="5"/>
  <c r="I225" i="5"/>
  <c r="H225" i="5"/>
  <c r="E225" i="5"/>
  <c r="D225" i="5"/>
  <c r="I224" i="5"/>
  <c r="H224" i="5"/>
  <c r="E224" i="5"/>
  <c r="D224" i="5"/>
  <c r="I223" i="5"/>
  <c r="H223" i="5"/>
  <c r="E223" i="5"/>
  <c r="D223" i="5"/>
  <c r="I222" i="5"/>
  <c r="H222" i="5"/>
  <c r="E222" i="5"/>
  <c r="D222" i="5"/>
  <c r="I221" i="5"/>
  <c r="H221" i="5"/>
  <c r="E221" i="5"/>
  <c r="D221" i="5"/>
  <c r="I220" i="5"/>
  <c r="H220" i="5"/>
  <c r="E220" i="5"/>
  <c r="D220" i="5"/>
  <c r="I219" i="5"/>
  <c r="H219" i="5"/>
  <c r="E219" i="5"/>
  <c r="D219" i="5"/>
  <c r="I218" i="5"/>
  <c r="H218" i="5"/>
  <c r="E218" i="5"/>
  <c r="D218" i="5"/>
  <c r="I217" i="5"/>
  <c r="H217" i="5"/>
  <c r="E217" i="5"/>
  <c r="D217" i="5"/>
  <c r="I216" i="5"/>
  <c r="H216" i="5"/>
  <c r="E216" i="5"/>
  <c r="D216" i="5"/>
  <c r="I215" i="5"/>
  <c r="H215" i="5"/>
  <c r="E215" i="5"/>
  <c r="D215" i="5"/>
  <c r="I214" i="5"/>
  <c r="H214" i="5"/>
  <c r="E214" i="5"/>
  <c r="D214" i="5"/>
  <c r="I213" i="5"/>
  <c r="H213" i="5"/>
  <c r="E213" i="5"/>
  <c r="D213" i="5"/>
  <c r="I212" i="5"/>
  <c r="H212" i="5"/>
  <c r="E212" i="5"/>
  <c r="D212" i="5"/>
  <c r="I211" i="5"/>
  <c r="H211" i="5"/>
  <c r="E211" i="5"/>
  <c r="D211" i="5"/>
  <c r="I210" i="5"/>
  <c r="H210" i="5"/>
  <c r="E210" i="5"/>
  <c r="D210" i="5"/>
  <c r="I209" i="5"/>
  <c r="H209" i="5"/>
  <c r="E209" i="5"/>
  <c r="D209" i="5"/>
  <c r="I208" i="5"/>
  <c r="H208" i="5"/>
  <c r="E208" i="5"/>
  <c r="D208" i="5"/>
  <c r="I207" i="5"/>
  <c r="H207" i="5"/>
  <c r="E207" i="5"/>
  <c r="D207" i="5"/>
  <c r="I206" i="5"/>
  <c r="H206" i="5"/>
  <c r="E206" i="5"/>
  <c r="D206" i="5"/>
  <c r="I205" i="5"/>
  <c r="H205" i="5"/>
  <c r="E205" i="5"/>
  <c r="D205" i="5"/>
  <c r="I204" i="5"/>
  <c r="H204" i="5"/>
  <c r="E204" i="5"/>
  <c r="D204" i="5"/>
  <c r="I203" i="5"/>
  <c r="H203" i="5"/>
  <c r="E203" i="5"/>
  <c r="D203" i="5"/>
  <c r="I202" i="5"/>
  <c r="H202" i="5"/>
  <c r="E202" i="5"/>
  <c r="D202" i="5"/>
  <c r="I201" i="5"/>
  <c r="H201" i="5"/>
  <c r="E201" i="5"/>
  <c r="D201" i="5"/>
  <c r="I200" i="5"/>
  <c r="H200" i="5"/>
  <c r="E200" i="5"/>
  <c r="D200" i="5"/>
  <c r="I199" i="5"/>
  <c r="H199" i="5"/>
  <c r="E199" i="5"/>
  <c r="D199" i="5"/>
  <c r="I198" i="5"/>
  <c r="H198" i="5"/>
  <c r="E198" i="5"/>
  <c r="D198" i="5"/>
  <c r="I197" i="5"/>
  <c r="H197" i="5"/>
  <c r="E197" i="5"/>
  <c r="D197" i="5"/>
  <c r="I196" i="5"/>
  <c r="H196" i="5"/>
  <c r="E196" i="5"/>
  <c r="D196" i="5"/>
  <c r="I195" i="5"/>
  <c r="H195" i="5"/>
  <c r="E195" i="5"/>
  <c r="D195" i="5"/>
  <c r="I194" i="5"/>
  <c r="H194" i="5"/>
  <c r="E194" i="5"/>
  <c r="D194" i="5"/>
  <c r="I193" i="5"/>
  <c r="H193" i="5"/>
  <c r="E193" i="5"/>
  <c r="D193" i="5"/>
  <c r="I192" i="5"/>
  <c r="H192" i="5"/>
  <c r="E192" i="5"/>
  <c r="D192" i="5"/>
  <c r="I191" i="5"/>
  <c r="H191" i="5"/>
  <c r="E191" i="5"/>
  <c r="D191" i="5"/>
  <c r="I190" i="5"/>
  <c r="H190" i="5"/>
  <c r="E190" i="5"/>
  <c r="D190" i="5"/>
  <c r="I189" i="5"/>
  <c r="H189" i="5"/>
  <c r="E189" i="5"/>
  <c r="D189" i="5"/>
  <c r="I188" i="5"/>
  <c r="H188" i="5"/>
  <c r="E188" i="5"/>
  <c r="D188" i="5"/>
  <c r="I187" i="5"/>
  <c r="H187" i="5"/>
  <c r="E187" i="5"/>
  <c r="D187" i="5"/>
  <c r="I186" i="5"/>
  <c r="H186" i="5"/>
  <c r="E186" i="5"/>
  <c r="D186" i="5"/>
  <c r="I185" i="5"/>
  <c r="H185" i="5"/>
  <c r="E185" i="5"/>
  <c r="D185" i="5"/>
  <c r="I184" i="5"/>
  <c r="H184" i="5"/>
  <c r="E184" i="5"/>
  <c r="D184" i="5"/>
  <c r="I183" i="5"/>
  <c r="H183" i="5"/>
  <c r="E183" i="5"/>
  <c r="D183" i="5"/>
  <c r="I182" i="5"/>
  <c r="H182" i="5"/>
  <c r="E182" i="5"/>
  <c r="D182" i="5"/>
  <c r="I181" i="5"/>
  <c r="H181" i="5"/>
  <c r="E181" i="5"/>
  <c r="D181" i="5"/>
  <c r="I180" i="5"/>
  <c r="H180" i="5"/>
  <c r="E180" i="5"/>
  <c r="D180" i="5"/>
  <c r="I179" i="5"/>
  <c r="H179" i="5"/>
  <c r="E179" i="5"/>
  <c r="D179" i="5"/>
  <c r="I178" i="5"/>
  <c r="H178" i="5"/>
  <c r="E178" i="5"/>
  <c r="D178" i="5"/>
  <c r="I177" i="5"/>
  <c r="H177" i="5"/>
  <c r="E177" i="5"/>
  <c r="D177" i="5"/>
  <c r="I176" i="5"/>
  <c r="H176" i="5"/>
  <c r="E176" i="5"/>
  <c r="D176" i="5"/>
  <c r="I175" i="5"/>
  <c r="H175" i="5"/>
  <c r="E175" i="5"/>
  <c r="D175" i="5"/>
  <c r="I174" i="5"/>
  <c r="H174" i="5"/>
  <c r="E174" i="5"/>
  <c r="D174" i="5"/>
  <c r="I173" i="5"/>
  <c r="H173" i="5"/>
  <c r="E173" i="5"/>
  <c r="D173" i="5"/>
  <c r="I172" i="5"/>
  <c r="H172" i="5"/>
  <c r="E172" i="5"/>
  <c r="D172" i="5"/>
  <c r="I171" i="5"/>
  <c r="H171" i="5"/>
  <c r="E171" i="5"/>
  <c r="D171" i="5"/>
  <c r="I170" i="5"/>
  <c r="H170" i="5"/>
  <c r="E170" i="5"/>
  <c r="D170" i="5"/>
  <c r="I169" i="5"/>
  <c r="H169" i="5"/>
  <c r="E169" i="5"/>
  <c r="D169" i="5"/>
  <c r="I168" i="5"/>
  <c r="H168" i="5"/>
  <c r="E168" i="5"/>
  <c r="D168" i="5"/>
  <c r="I167" i="5"/>
  <c r="H167" i="5"/>
  <c r="E167" i="5"/>
  <c r="D167" i="5"/>
  <c r="I166" i="5"/>
  <c r="H166" i="5"/>
  <c r="E166" i="5"/>
  <c r="D166" i="5"/>
  <c r="I165" i="5"/>
  <c r="H165" i="5"/>
  <c r="E165" i="5"/>
  <c r="D165" i="5"/>
  <c r="I164" i="5"/>
  <c r="H164" i="5"/>
  <c r="E164" i="5"/>
  <c r="D164" i="5"/>
  <c r="I163" i="5"/>
  <c r="H163" i="5"/>
  <c r="E163" i="5"/>
  <c r="D163" i="5"/>
  <c r="I162" i="5"/>
  <c r="H162" i="5"/>
  <c r="E162" i="5"/>
  <c r="D162" i="5"/>
  <c r="I161" i="5"/>
  <c r="H161" i="5"/>
  <c r="E161" i="5"/>
  <c r="D161" i="5"/>
  <c r="I160" i="5"/>
  <c r="H160" i="5"/>
  <c r="E160" i="5"/>
  <c r="D160" i="5"/>
  <c r="I159" i="5"/>
  <c r="H159" i="5"/>
  <c r="E159" i="5"/>
  <c r="D159" i="5"/>
  <c r="I158" i="5"/>
  <c r="H158" i="5"/>
  <c r="E158" i="5"/>
  <c r="D158" i="5"/>
  <c r="I157" i="5"/>
  <c r="H157" i="5"/>
  <c r="E157" i="5"/>
  <c r="D157" i="5"/>
  <c r="I156" i="5"/>
  <c r="H156" i="5"/>
  <c r="E156" i="5"/>
  <c r="D156" i="5"/>
  <c r="I155" i="5"/>
  <c r="H155" i="5"/>
  <c r="E155" i="5"/>
  <c r="D155" i="5"/>
  <c r="I154" i="5"/>
  <c r="H154" i="5"/>
  <c r="E154" i="5"/>
  <c r="D154" i="5"/>
  <c r="I153" i="5"/>
  <c r="H153" i="5"/>
  <c r="E153" i="5"/>
  <c r="D153" i="5"/>
  <c r="I152" i="5"/>
  <c r="H152" i="5"/>
  <c r="E152" i="5"/>
  <c r="D152" i="5"/>
  <c r="I151" i="5"/>
  <c r="H151" i="5"/>
  <c r="E151" i="5"/>
  <c r="D151" i="5"/>
  <c r="I150" i="5"/>
  <c r="H150" i="5"/>
  <c r="E150" i="5"/>
  <c r="D150" i="5"/>
  <c r="I149" i="5"/>
  <c r="H149" i="5"/>
  <c r="E149" i="5"/>
  <c r="D149" i="5"/>
  <c r="I148" i="5"/>
  <c r="H148" i="5"/>
  <c r="E148" i="5"/>
  <c r="D148" i="5"/>
  <c r="I147" i="5"/>
  <c r="H147" i="5"/>
  <c r="E147" i="5"/>
  <c r="D147" i="5"/>
  <c r="I146" i="5"/>
  <c r="H146" i="5"/>
  <c r="E146" i="5"/>
  <c r="D146" i="5"/>
  <c r="I145" i="5"/>
  <c r="H145" i="5"/>
  <c r="E145" i="5"/>
  <c r="D145" i="5"/>
  <c r="I144" i="5"/>
  <c r="H144" i="5"/>
  <c r="E144" i="5"/>
  <c r="D144" i="5"/>
  <c r="I143" i="5"/>
  <c r="H143" i="5"/>
  <c r="E143" i="5"/>
  <c r="D143" i="5"/>
  <c r="I142" i="5"/>
  <c r="H142" i="5"/>
  <c r="E142" i="5"/>
  <c r="D142" i="5"/>
  <c r="I141" i="5"/>
  <c r="H141" i="5"/>
  <c r="E141" i="5"/>
  <c r="D141" i="5"/>
  <c r="I140" i="5"/>
  <c r="H140" i="5"/>
  <c r="E140" i="5"/>
  <c r="D140" i="5"/>
  <c r="I139" i="5"/>
  <c r="H139" i="5"/>
  <c r="E139" i="5"/>
  <c r="D139" i="5"/>
  <c r="I138" i="5"/>
  <c r="H138" i="5"/>
  <c r="E138" i="5"/>
  <c r="D138" i="5"/>
  <c r="I137" i="5"/>
  <c r="H137" i="5"/>
  <c r="E137" i="5"/>
  <c r="D137" i="5"/>
  <c r="I136" i="5"/>
  <c r="H136" i="5"/>
  <c r="E136" i="5"/>
  <c r="D136" i="5"/>
  <c r="I135" i="5"/>
  <c r="H135" i="5"/>
  <c r="E135" i="5"/>
  <c r="D135" i="5"/>
  <c r="I134" i="5"/>
  <c r="H134" i="5"/>
  <c r="E134" i="5"/>
  <c r="D134" i="5"/>
  <c r="I133" i="5"/>
  <c r="H133" i="5"/>
  <c r="E133" i="5"/>
  <c r="D133" i="5"/>
  <c r="I132" i="5"/>
  <c r="H132" i="5"/>
  <c r="E132" i="5"/>
  <c r="D132" i="5"/>
  <c r="I131" i="5"/>
  <c r="H131" i="5"/>
  <c r="E131" i="5"/>
  <c r="D131" i="5"/>
  <c r="I130" i="5"/>
  <c r="H130" i="5"/>
  <c r="E130" i="5"/>
  <c r="D130" i="5"/>
  <c r="I129" i="5"/>
  <c r="H129" i="5"/>
  <c r="E129" i="5"/>
  <c r="D129" i="5"/>
  <c r="I128" i="5"/>
  <c r="H128" i="5"/>
  <c r="E128" i="5"/>
  <c r="D128" i="5"/>
  <c r="I127" i="5"/>
  <c r="H127" i="5"/>
  <c r="E127" i="5"/>
  <c r="D127" i="5"/>
  <c r="I126" i="5"/>
  <c r="H126" i="5"/>
  <c r="E126" i="5"/>
  <c r="D126" i="5"/>
  <c r="I125" i="5"/>
  <c r="H125" i="5"/>
  <c r="E125" i="5"/>
  <c r="D125" i="5"/>
  <c r="I124" i="5"/>
  <c r="H124" i="5"/>
  <c r="E124" i="5"/>
  <c r="D124" i="5"/>
  <c r="I123" i="5"/>
  <c r="H123" i="5"/>
  <c r="E123" i="5"/>
  <c r="D123" i="5"/>
  <c r="I122" i="5"/>
  <c r="H122" i="5"/>
  <c r="E122" i="5"/>
  <c r="D122" i="5"/>
  <c r="I121" i="5"/>
  <c r="H121" i="5"/>
  <c r="E121" i="5"/>
  <c r="D121" i="5"/>
  <c r="I120" i="5"/>
  <c r="H120" i="5"/>
  <c r="E120" i="5"/>
  <c r="D120" i="5"/>
  <c r="I119" i="5"/>
  <c r="H119" i="5"/>
  <c r="E119" i="5"/>
  <c r="D119" i="5"/>
  <c r="I118" i="5"/>
  <c r="H118" i="5"/>
  <c r="E118" i="5"/>
  <c r="D118" i="5"/>
  <c r="I117" i="5"/>
  <c r="H117" i="5"/>
  <c r="E117" i="5"/>
  <c r="D117" i="5"/>
  <c r="I116" i="5"/>
  <c r="H116" i="5"/>
  <c r="E116" i="5"/>
  <c r="D116" i="5"/>
  <c r="I115" i="5"/>
  <c r="H115" i="5"/>
  <c r="E115" i="5"/>
  <c r="D115" i="5"/>
  <c r="I114" i="5"/>
  <c r="H114" i="5"/>
  <c r="E114" i="5"/>
  <c r="D114" i="5"/>
  <c r="I113" i="5"/>
  <c r="H113" i="5"/>
  <c r="E113" i="5"/>
  <c r="D113" i="5"/>
  <c r="I112" i="5"/>
  <c r="H112" i="5"/>
  <c r="E112" i="5"/>
  <c r="D112" i="5"/>
  <c r="I111" i="5"/>
  <c r="H111" i="5"/>
  <c r="E111" i="5"/>
  <c r="D111" i="5"/>
  <c r="I110" i="5"/>
  <c r="H110" i="5"/>
  <c r="E110" i="5"/>
  <c r="D110" i="5"/>
  <c r="I109" i="5"/>
  <c r="H109" i="5"/>
  <c r="E109" i="5"/>
  <c r="D109" i="5"/>
  <c r="I108" i="5"/>
  <c r="H108" i="5"/>
  <c r="E108" i="5"/>
  <c r="D108" i="5"/>
  <c r="I107" i="5"/>
  <c r="H107" i="5"/>
  <c r="E107" i="5"/>
  <c r="D107" i="5"/>
  <c r="I106" i="5"/>
  <c r="H106" i="5"/>
  <c r="E106" i="5"/>
  <c r="D106" i="5"/>
  <c r="I105" i="5"/>
  <c r="H105" i="5"/>
  <c r="E105" i="5"/>
  <c r="D105" i="5"/>
  <c r="I104" i="5"/>
  <c r="H104" i="5"/>
  <c r="E104" i="5"/>
  <c r="D104" i="5"/>
  <c r="I103" i="5"/>
  <c r="H103" i="5"/>
  <c r="E103" i="5"/>
  <c r="D103" i="5"/>
  <c r="I102" i="5"/>
  <c r="H102" i="5"/>
  <c r="E102" i="5"/>
  <c r="D102" i="5"/>
  <c r="I101" i="5"/>
  <c r="H101" i="5"/>
  <c r="E101" i="5"/>
  <c r="D101" i="5"/>
  <c r="I100" i="5"/>
  <c r="H100" i="5"/>
  <c r="E100" i="5"/>
  <c r="D100" i="5"/>
  <c r="I99" i="5"/>
  <c r="H99" i="5"/>
  <c r="E99" i="5"/>
  <c r="D99" i="5"/>
  <c r="I98" i="5"/>
  <c r="H98" i="5"/>
  <c r="E98" i="5"/>
  <c r="D98" i="5"/>
  <c r="I97" i="5"/>
  <c r="H97" i="5"/>
  <c r="E97" i="5"/>
  <c r="D97" i="5"/>
  <c r="I96" i="5"/>
  <c r="H96" i="5"/>
  <c r="E96" i="5"/>
  <c r="D96" i="5"/>
  <c r="I95" i="5"/>
  <c r="H95" i="5"/>
  <c r="E95" i="5"/>
  <c r="D95" i="5"/>
  <c r="I94" i="5"/>
  <c r="H94" i="5"/>
  <c r="E94" i="5"/>
  <c r="D94" i="5"/>
  <c r="I93" i="5"/>
  <c r="H93" i="5"/>
  <c r="E93" i="5"/>
  <c r="D93" i="5"/>
  <c r="I92" i="5"/>
  <c r="H92" i="5"/>
  <c r="E92" i="5"/>
  <c r="D92" i="5"/>
  <c r="I91" i="5"/>
  <c r="H91" i="5"/>
  <c r="E91" i="5"/>
  <c r="D91" i="5"/>
  <c r="I90" i="5"/>
  <c r="H90" i="5"/>
  <c r="E90" i="5"/>
  <c r="D90" i="5"/>
  <c r="I89" i="5"/>
  <c r="H89" i="5"/>
  <c r="E89" i="5"/>
  <c r="D89" i="5"/>
  <c r="I88" i="5"/>
  <c r="H88" i="5"/>
  <c r="E88" i="5"/>
  <c r="D88" i="5"/>
  <c r="I87" i="5"/>
  <c r="H87" i="5"/>
  <c r="E87" i="5"/>
  <c r="D87" i="5"/>
  <c r="I86" i="5"/>
  <c r="H86" i="5"/>
  <c r="E86" i="5"/>
  <c r="D86" i="5"/>
  <c r="I85" i="5"/>
  <c r="H85" i="5"/>
  <c r="E85" i="5"/>
  <c r="D85" i="5"/>
  <c r="I84" i="5"/>
  <c r="H84" i="5"/>
  <c r="E84" i="5"/>
  <c r="D84" i="5"/>
  <c r="I83" i="5"/>
  <c r="H83" i="5"/>
  <c r="E83" i="5"/>
  <c r="D83" i="5"/>
  <c r="I82" i="5"/>
  <c r="H82" i="5"/>
  <c r="E82" i="5"/>
  <c r="D82" i="5"/>
  <c r="I81" i="5"/>
  <c r="H81" i="5"/>
  <c r="E81" i="5"/>
  <c r="D81" i="5"/>
  <c r="I80" i="5"/>
  <c r="H80" i="5"/>
  <c r="E80" i="5"/>
  <c r="D80" i="5"/>
  <c r="I79" i="5"/>
  <c r="H79" i="5"/>
  <c r="E79" i="5"/>
  <c r="D79" i="5"/>
  <c r="I78" i="5"/>
  <c r="H78" i="5"/>
  <c r="E78" i="5"/>
  <c r="D78" i="5"/>
  <c r="I77" i="5"/>
  <c r="H77" i="5"/>
  <c r="E77" i="5"/>
  <c r="D77" i="5"/>
  <c r="I76" i="5"/>
  <c r="H76" i="5"/>
  <c r="E76" i="5"/>
  <c r="D76" i="5"/>
  <c r="I75" i="5"/>
  <c r="H75" i="5"/>
  <c r="E75" i="5"/>
  <c r="D75" i="5"/>
  <c r="I74" i="5"/>
  <c r="H74" i="5"/>
  <c r="E74" i="5"/>
  <c r="D74" i="5"/>
  <c r="I73" i="5"/>
  <c r="H73" i="5"/>
  <c r="E73" i="5"/>
  <c r="D73" i="5"/>
  <c r="I72" i="5"/>
  <c r="H72" i="5"/>
  <c r="E72" i="5"/>
  <c r="D72" i="5"/>
  <c r="I71" i="5"/>
  <c r="H71" i="5"/>
  <c r="E71" i="5"/>
  <c r="D71" i="5"/>
  <c r="I70" i="5"/>
  <c r="H70" i="5"/>
  <c r="E70" i="5"/>
  <c r="D70" i="5"/>
  <c r="I69" i="5"/>
  <c r="H69" i="5"/>
  <c r="E69" i="5"/>
  <c r="D69" i="5"/>
  <c r="I68" i="5"/>
  <c r="H68" i="5"/>
  <c r="E68" i="5"/>
  <c r="D68" i="5"/>
  <c r="I67" i="5"/>
  <c r="H67" i="5"/>
  <c r="E67" i="5"/>
  <c r="D67" i="5"/>
  <c r="I66" i="5"/>
  <c r="H66" i="5"/>
  <c r="E66" i="5"/>
  <c r="D66" i="5"/>
  <c r="I65" i="5"/>
  <c r="H65" i="5"/>
  <c r="E65" i="5"/>
  <c r="D65" i="5"/>
  <c r="I64" i="5"/>
  <c r="H64" i="5"/>
  <c r="E64" i="5"/>
  <c r="D64" i="5"/>
  <c r="I63" i="5"/>
  <c r="H63" i="5"/>
  <c r="E63" i="5"/>
  <c r="D63" i="5"/>
  <c r="I62" i="5"/>
  <c r="H62" i="5"/>
  <c r="E62" i="5"/>
  <c r="D62" i="5"/>
  <c r="I61" i="5"/>
  <c r="H61" i="5"/>
  <c r="E61" i="5"/>
  <c r="D61" i="5"/>
  <c r="I60" i="5"/>
  <c r="H60" i="5"/>
  <c r="E60" i="5"/>
  <c r="D60" i="5"/>
  <c r="I59" i="5"/>
  <c r="H59" i="5"/>
  <c r="E59" i="5"/>
  <c r="D59" i="5"/>
  <c r="I58" i="5"/>
  <c r="H58" i="5"/>
  <c r="E58" i="5"/>
  <c r="D58" i="5"/>
  <c r="I57" i="5"/>
  <c r="H57" i="5"/>
  <c r="E57" i="5"/>
  <c r="D57" i="5"/>
  <c r="I56" i="5"/>
  <c r="H56" i="5"/>
  <c r="E56" i="5"/>
  <c r="D56" i="5"/>
  <c r="I55" i="5"/>
  <c r="H55" i="5"/>
  <c r="E55" i="5"/>
  <c r="D55" i="5"/>
  <c r="I54" i="5"/>
  <c r="H54" i="5"/>
  <c r="E54" i="5"/>
  <c r="D54" i="5"/>
  <c r="I53" i="5"/>
  <c r="H53" i="5"/>
  <c r="E53" i="5"/>
  <c r="D53" i="5"/>
  <c r="I52" i="5"/>
  <c r="H52" i="5"/>
  <c r="E52" i="5"/>
  <c r="D52" i="5"/>
  <c r="I51" i="5"/>
  <c r="H51" i="5"/>
  <c r="E51" i="5"/>
  <c r="D51" i="5"/>
  <c r="I50" i="5"/>
  <c r="H50" i="5"/>
  <c r="E50" i="5"/>
  <c r="D50" i="5"/>
  <c r="I49" i="5"/>
  <c r="H49" i="5"/>
  <c r="E49" i="5"/>
  <c r="D49" i="5"/>
  <c r="I48" i="5"/>
  <c r="H48" i="5"/>
  <c r="E48" i="5"/>
  <c r="D48" i="5"/>
  <c r="I47" i="5"/>
  <c r="H47" i="5"/>
  <c r="E47" i="5"/>
  <c r="D47" i="5"/>
  <c r="I46" i="5"/>
  <c r="H46" i="5"/>
  <c r="E46" i="5"/>
  <c r="D46" i="5"/>
  <c r="I45" i="5"/>
  <c r="H45" i="5"/>
  <c r="E45" i="5"/>
  <c r="D45" i="5"/>
  <c r="I44" i="5"/>
  <c r="H44" i="5"/>
  <c r="E44" i="5"/>
  <c r="D44" i="5"/>
  <c r="I43" i="5"/>
  <c r="H43" i="5"/>
  <c r="E43" i="5"/>
  <c r="D43" i="5"/>
  <c r="I42" i="5"/>
  <c r="H42" i="5"/>
  <c r="E42" i="5"/>
  <c r="D42" i="5"/>
  <c r="I41" i="5"/>
  <c r="H41" i="5"/>
  <c r="E41" i="5"/>
  <c r="D41" i="5"/>
  <c r="I40" i="5"/>
  <c r="H40" i="5"/>
  <c r="E40" i="5"/>
  <c r="D40" i="5"/>
  <c r="I39" i="5"/>
  <c r="H39" i="5"/>
  <c r="E39" i="5"/>
  <c r="D39" i="5"/>
  <c r="I38" i="5"/>
  <c r="H38" i="5"/>
  <c r="E38" i="5"/>
  <c r="D38" i="5"/>
  <c r="I37" i="5"/>
  <c r="H37" i="5"/>
  <c r="E37" i="5"/>
  <c r="D37" i="5"/>
  <c r="I36" i="5"/>
  <c r="H36" i="5"/>
  <c r="E36" i="5"/>
  <c r="D36" i="5"/>
  <c r="I35" i="5"/>
  <c r="H35" i="5"/>
  <c r="E35" i="5"/>
  <c r="D35" i="5"/>
  <c r="I34" i="5"/>
  <c r="H34" i="5"/>
  <c r="E34" i="5"/>
  <c r="D34" i="5"/>
  <c r="I33" i="5"/>
  <c r="H33" i="5"/>
  <c r="E33" i="5"/>
  <c r="D33" i="5"/>
  <c r="I32" i="5"/>
  <c r="H32" i="5"/>
  <c r="E32" i="5"/>
  <c r="D32" i="5"/>
  <c r="I31" i="5"/>
  <c r="H31" i="5"/>
  <c r="E31" i="5"/>
  <c r="D31" i="5"/>
  <c r="I30" i="5"/>
  <c r="H30" i="5"/>
  <c r="E30" i="5"/>
  <c r="D30" i="5"/>
  <c r="I29" i="5"/>
  <c r="H29" i="5"/>
  <c r="E29" i="5"/>
  <c r="D29" i="5"/>
  <c r="I28" i="5"/>
  <c r="H28" i="5"/>
  <c r="E28" i="5"/>
  <c r="D28" i="5"/>
  <c r="I27" i="5"/>
  <c r="H27" i="5"/>
  <c r="E27" i="5"/>
  <c r="D27" i="5"/>
  <c r="I26" i="5"/>
  <c r="H26" i="5"/>
  <c r="E26" i="5"/>
  <c r="D26" i="5"/>
  <c r="I25" i="5"/>
  <c r="H25" i="5"/>
  <c r="E25" i="5"/>
  <c r="D25" i="5"/>
  <c r="I24" i="5"/>
  <c r="H24" i="5"/>
  <c r="E24" i="5"/>
  <c r="D24" i="5"/>
  <c r="I23" i="5"/>
  <c r="H23" i="5"/>
  <c r="E23" i="5"/>
  <c r="D23" i="5"/>
  <c r="I22" i="5"/>
  <c r="H22" i="5"/>
  <c r="E22" i="5"/>
  <c r="D22" i="5"/>
  <c r="I21" i="5"/>
  <c r="H21" i="5"/>
  <c r="E21" i="5"/>
  <c r="D21" i="5"/>
  <c r="I20" i="5"/>
  <c r="H20" i="5"/>
  <c r="E20" i="5"/>
  <c r="D20" i="5"/>
  <c r="I19" i="5"/>
  <c r="H19" i="5"/>
  <c r="E19" i="5"/>
  <c r="D19" i="5"/>
  <c r="I18" i="5"/>
  <c r="H18" i="5"/>
  <c r="E18" i="5"/>
  <c r="D18" i="5"/>
  <c r="I17" i="5"/>
  <c r="H17" i="5"/>
  <c r="E17" i="5"/>
  <c r="D17" i="5"/>
  <c r="I16" i="5"/>
  <c r="H16" i="5"/>
  <c r="E16" i="5"/>
  <c r="D16" i="5"/>
  <c r="I15" i="5"/>
  <c r="H15" i="5"/>
  <c r="E15" i="5"/>
  <c r="D15" i="5"/>
  <c r="I14" i="5"/>
  <c r="H14" i="5"/>
  <c r="E14" i="5"/>
  <c r="D14" i="5"/>
  <c r="I13" i="5"/>
  <c r="H13" i="5"/>
  <c r="E13" i="5"/>
  <c r="D13" i="5"/>
  <c r="I12" i="5"/>
  <c r="H12" i="5"/>
  <c r="E12" i="5"/>
  <c r="D12" i="5"/>
  <c r="I11" i="5"/>
  <c r="H11" i="5"/>
  <c r="E11" i="5"/>
  <c r="D11" i="5"/>
  <c r="I10" i="5"/>
  <c r="H10" i="5"/>
  <c r="E10" i="5"/>
  <c r="D10" i="5"/>
  <c r="I9" i="5"/>
  <c r="H9" i="5"/>
  <c r="E9" i="5"/>
  <c r="D9" i="5"/>
  <c r="I8" i="5"/>
  <c r="H8" i="5"/>
  <c r="E8" i="5"/>
  <c r="D8" i="5"/>
  <c r="I7" i="5"/>
  <c r="H7" i="5"/>
  <c r="E7" i="5"/>
  <c r="D7" i="5"/>
  <c r="I6" i="5"/>
  <c r="H6" i="5"/>
  <c r="E6" i="5"/>
  <c r="D6" i="5"/>
  <c r="I5" i="5"/>
  <c r="H5" i="5"/>
  <c r="E5" i="5"/>
  <c r="E490" i="5" s="1"/>
  <c r="D5" i="5"/>
  <c r="D490" i="5" s="1"/>
  <c r="Q5006" i="4"/>
  <c r="P5006" i="4"/>
  <c r="N5006" i="4"/>
  <c r="M5006" i="4"/>
  <c r="L5006" i="4"/>
  <c r="K5006" i="4"/>
  <c r="J5006" i="4"/>
  <c r="I5006" i="4"/>
  <c r="H5006" i="4"/>
  <c r="Q5005" i="4"/>
  <c r="P5005" i="4"/>
  <c r="N5005" i="4"/>
  <c r="M5005" i="4"/>
  <c r="L5005" i="4"/>
  <c r="K5005" i="4"/>
  <c r="J5005" i="4"/>
  <c r="I5005" i="4"/>
  <c r="H5005" i="4"/>
  <c r="Q5004" i="4"/>
  <c r="P5004" i="4"/>
  <c r="N5004" i="4"/>
  <c r="M5004" i="4"/>
  <c r="L5004" i="4"/>
  <c r="K5004" i="4"/>
  <c r="J5004" i="4"/>
  <c r="I5004" i="4"/>
  <c r="H5004" i="4"/>
  <c r="Q5003" i="4"/>
  <c r="P5003" i="4"/>
  <c r="N5003" i="4"/>
  <c r="M5003" i="4"/>
  <c r="L5003" i="4"/>
  <c r="K5003" i="4"/>
  <c r="J5003" i="4"/>
  <c r="I5003" i="4"/>
  <c r="H5003" i="4"/>
  <c r="Q5002" i="4"/>
  <c r="P5002" i="4"/>
  <c r="N5002" i="4"/>
  <c r="M5002" i="4"/>
  <c r="L5002" i="4"/>
  <c r="K5002" i="4"/>
  <c r="J5002" i="4"/>
  <c r="I5002" i="4"/>
  <c r="H5002" i="4"/>
  <c r="Q5001" i="4"/>
  <c r="P5001" i="4"/>
  <c r="N5001" i="4"/>
  <c r="M5001" i="4"/>
  <c r="L5001" i="4"/>
  <c r="K5001" i="4"/>
  <c r="J5001" i="4"/>
  <c r="I5001" i="4"/>
  <c r="H5001" i="4"/>
  <c r="Q5000" i="4"/>
  <c r="P5000" i="4"/>
  <c r="O5000" i="4"/>
  <c r="N5000" i="4"/>
  <c r="M5000" i="4"/>
  <c r="L5000" i="4"/>
  <c r="K5000" i="4"/>
  <c r="J5000" i="4"/>
  <c r="I5000" i="4"/>
  <c r="H5000" i="4"/>
  <c r="Q4999" i="4"/>
  <c r="P4999" i="4"/>
  <c r="N4999" i="4"/>
  <c r="M4999" i="4"/>
  <c r="L4999" i="4"/>
  <c r="K4999" i="4"/>
  <c r="J4999" i="4"/>
  <c r="I4999" i="4"/>
  <c r="H4999" i="4"/>
  <c r="Q4998" i="4"/>
  <c r="P4998" i="4"/>
  <c r="O4998" i="4"/>
  <c r="N4998" i="4"/>
  <c r="M4998" i="4"/>
  <c r="L4998" i="4"/>
  <c r="K4998" i="4"/>
  <c r="J4998" i="4"/>
  <c r="I4998" i="4"/>
  <c r="H4998" i="4"/>
  <c r="Q4997" i="4"/>
  <c r="P4997" i="4"/>
  <c r="O4997" i="4"/>
  <c r="N4997" i="4"/>
  <c r="M4997" i="4"/>
  <c r="L4997" i="4"/>
  <c r="K4997" i="4"/>
  <c r="J4997" i="4"/>
  <c r="I4997" i="4"/>
  <c r="H4997" i="4"/>
  <c r="Q4996" i="4"/>
  <c r="P4996" i="4"/>
  <c r="O4996" i="4"/>
  <c r="N4996" i="4"/>
  <c r="M4996" i="4"/>
  <c r="L4996" i="4"/>
  <c r="K4996" i="4"/>
  <c r="J4996" i="4"/>
  <c r="I4996" i="4"/>
  <c r="H4996" i="4"/>
  <c r="Q4995" i="4"/>
  <c r="P4995" i="4"/>
  <c r="O4995" i="4"/>
  <c r="N4995" i="4"/>
  <c r="M4995" i="4"/>
  <c r="L4995" i="4"/>
  <c r="K4995" i="4"/>
  <c r="J4995" i="4"/>
  <c r="I4995" i="4"/>
  <c r="H4995" i="4"/>
  <c r="Q4994" i="4"/>
  <c r="P4994" i="4"/>
  <c r="O4994" i="4"/>
  <c r="N4994" i="4"/>
  <c r="M4994" i="4"/>
  <c r="L4994" i="4"/>
  <c r="K4994" i="4"/>
  <c r="J4994" i="4"/>
  <c r="I4994" i="4"/>
  <c r="H4994" i="4"/>
  <c r="Q4993" i="4"/>
  <c r="P4993" i="4"/>
  <c r="O4993" i="4"/>
  <c r="N4993" i="4"/>
  <c r="M4993" i="4"/>
  <c r="L4993" i="4"/>
  <c r="K4993" i="4"/>
  <c r="J4993" i="4"/>
  <c r="I4993" i="4"/>
  <c r="H4993" i="4"/>
  <c r="Q4992" i="4"/>
  <c r="P4992" i="4"/>
  <c r="O4992" i="4"/>
  <c r="N4992" i="4"/>
  <c r="M4992" i="4"/>
  <c r="L4992" i="4"/>
  <c r="K4992" i="4"/>
  <c r="J4992" i="4"/>
  <c r="I4992" i="4"/>
  <c r="H4992" i="4"/>
  <c r="Q4991" i="4"/>
  <c r="P4991" i="4"/>
  <c r="O4991" i="4"/>
  <c r="N4991" i="4"/>
  <c r="M4991" i="4"/>
  <c r="L4991" i="4"/>
  <c r="K4991" i="4"/>
  <c r="J4991" i="4"/>
  <c r="I4991" i="4"/>
  <c r="H4991" i="4"/>
  <c r="Q4990" i="4"/>
  <c r="P4990" i="4"/>
  <c r="O4990" i="4"/>
  <c r="N4990" i="4"/>
  <c r="M4990" i="4"/>
  <c r="L4990" i="4"/>
  <c r="K4990" i="4"/>
  <c r="J4990" i="4"/>
  <c r="I4990" i="4"/>
  <c r="H4990" i="4"/>
  <c r="Q4989" i="4"/>
  <c r="P4989" i="4"/>
  <c r="O4989" i="4"/>
  <c r="N4989" i="4"/>
  <c r="M4989" i="4"/>
  <c r="L4989" i="4"/>
  <c r="K4989" i="4"/>
  <c r="J4989" i="4"/>
  <c r="I4989" i="4"/>
  <c r="H4989" i="4"/>
  <c r="Q4988" i="4"/>
  <c r="P4988" i="4"/>
  <c r="O4988" i="4"/>
  <c r="N4988" i="4"/>
  <c r="M4988" i="4"/>
  <c r="L4988" i="4"/>
  <c r="K4988" i="4"/>
  <c r="J4988" i="4"/>
  <c r="I4988" i="4"/>
  <c r="H4988" i="4"/>
  <c r="Q4987" i="4"/>
  <c r="P4987" i="4"/>
  <c r="O4987" i="4"/>
  <c r="N4987" i="4"/>
  <c r="M4987" i="4"/>
  <c r="L4987" i="4"/>
  <c r="K4987" i="4"/>
  <c r="J4987" i="4"/>
  <c r="I4987" i="4"/>
  <c r="H4987" i="4"/>
  <c r="Q4986" i="4"/>
  <c r="P4986" i="4"/>
  <c r="O4986" i="4"/>
  <c r="N4986" i="4"/>
  <c r="M4986" i="4"/>
  <c r="L4986" i="4"/>
  <c r="K4986" i="4"/>
  <c r="J4986" i="4"/>
  <c r="I4986" i="4"/>
  <c r="H4986" i="4"/>
  <c r="Q4985" i="4"/>
  <c r="P4985" i="4"/>
  <c r="O4985" i="4"/>
  <c r="N4985" i="4"/>
  <c r="M4985" i="4"/>
  <c r="L4985" i="4"/>
  <c r="K4985" i="4"/>
  <c r="J4985" i="4"/>
  <c r="I4985" i="4"/>
  <c r="H4985" i="4"/>
  <c r="Q4984" i="4"/>
  <c r="P4984" i="4"/>
  <c r="O4984" i="4"/>
  <c r="N4984" i="4"/>
  <c r="M4984" i="4"/>
  <c r="L4984" i="4"/>
  <c r="K4984" i="4"/>
  <c r="J4984" i="4"/>
  <c r="I4984" i="4"/>
  <c r="H4984" i="4"/>
  <c r="Q4983" i="4"/>
  <c r="P4983" i="4"/>
  <c r="O4983" i="4"/>
  <c r="N4983" i="4"/>
  <c r="M4983" i="4"/>
  <c r="L4983" i="4"/>
  <c r="K4983" i="4"/>
  <c r="J4983" i="4"/>
  <c r="I4983" i="4"/>
  <c r="H4983" i="4"/>
  <c r="Q4982" i="4"/>
  <c r="P4982" i="4"/>
  <c r="O4982" i="4"/>
  <c r="N4982" i="4"/>
  <c r="M4982" i="4"/>
  <c r="L4982" i="4"/>
  <c r="K4982" i="4"/>
  <c r="J4982" i="4"/>
  <c r="I4982" i="4"/>
  <c r="H4982" i="4"/>
  <c r="Q4981" i="4"/>
  <c r="P4981" i="4"/>
  <c r="O4981" i="4"/>
  <c r="N4981" i="4"/>
  <c r="M4981" i="4"/>
  <c r="L4981" i="4"/>
  <c r="K4981" i="4"/>
  <c r="J4981" i="4"/>
  <c r="I4981" i="4"/>
  <c r="H4981" i="4"/>
  <c r="Q4980" i="4"/>
  <c r="P4980" i="4"/>
  <c r="O4980" i="4"/>
  <c r="N4980" i="4"/>
  <c r="M4980" i="4"/>
  <c r="L4980" i="4"/>
  <c r="K4980" i="4"/>
  <c r="J4980" i="4"/>
  <c r="I4980" i="4"/>
  <c r="H4980" i="4"/>
  <c r="Q4979" i="4"/>
  <c r="P4979" i="4"/>
  <c r="O4979" i="4"/>
  <c r="N4979" i="4"/>
  <c r="M4979" i="4"/>
  <c r="L4979" i="4"/>
  <c r="K4979" i="4"/>
  <c r="J4979" i="4"/>
  <c r="I4979" i="4"/>
  <c r="H4979" i="4"/>
  <c r="Q4978" i="4"/>
  <c r="P4978" i="4"/>
  <c r="O4978" i="4"/>
  <c r="N4978" i="4"/>
  <c r="M4978" i="4"/>
  <c r="L4978" i="4"/>
  <c r="K4978" i="4"/>
  <c r="J4978" i="4"/>
  <c r="I4978" i="4"/>
  <c r="H4978" i="4"/>
  <c r="Q4977" i="4"/>
  <c r="P4977" i="4"/>
  <c r="O4977" i="4"/>
  <c r="N4977" i="4"/>
  <c r="M4977" i="4"/>
  <c r="L4977" i="4"/>
  <c r="K4977" i="4"/>
  <c r="J4977" i="4"/>
  <c r="I4977" i="4"/>
  <c r="H4977" i="4"/>
  <c r="Q4976" i="4"/>
  <c r="P4976" i="4"/>
  <c r="O4976" i="4"/>
  <c r="N4976" i="4"/>
  <c r="M4976" i="4"/>
  <c r="L4976" i="4"/>
  <c r="K4976" i="4"/>
  <c r="J4976" i="4"/>
  <c r="I4976" i="4"/>
  <c r="H4976" i="4"/>
  <c r="Q4975" i="4"/>
  <c r="P4975" i="4"/>
  <c r="O4975" i="4"/>
  <c r="N4975" i="4"/>
  <c r="M4975" i="4"/>
  <c r="L4975" i="4"/>
  <c r="K4975" i="4"/>
  <c r="J4975" i="4"/>
  <c r="I4975" i="4"/>
  <c r="H4975" i="4"/>
  <c r="Q4974" i="4"/>
  <c r="P4974" i="4"/>
  <c r="O4974" i="4"/>
  <c r="N4974" i="4"/>
  <c r="M4974" i="4"/>
  <c r="L4974" i="4"/>
  <c r="K4974" i="4"/>
  <c r="J4974" i="4"/>
  <c r="I4974" i="4"/>
  <c r="H4974" i="4"/>
  <c r="Q4973" i="4"/>
  <c r="P4973" i="4"/>
  <c r="O4973" i="4"/>
  <c r="N4973" i="4"/>
  <c r="M4973" i="4"/>
  <c r="L4973" i="4"/>
  <c r="K4973" i="4"/>
  <c r="J4973" i="4"/>
  <c r="I4973" i="4"/>
  <c r="H4973" i="4"/>
  <c r="Q4972" i="4"/>
  <c r="P4972" i="4"/>
  <c r="O4972" i="4"/>
  <c r="N4972" i="4"/>
  <c r="M4972" i="4"/>
  <c r="L4972" i="4"/>
  <c r="K4972" i="4"/>
  <c r="J4972" i="4"/>
  <c r="I4972" i="4"/>
  <c r="H4972" i="4"/>
  <c r="Q4971" i="4"/>
  <c r="P4971" i="4"/>
  <c r="O4971" i="4"/>
  <c r="N4971" i="4"/>
  <c r="M4971" i="4"/>
  <c r="L4971" i="4"/>
  <c r="K4971" i="4"/>
  <c r="J4971" i="4"/>
  <c r="I4971" i="4"/>
  <c r="H4971" i="4"/>
  <c r="Q4970" i="4"/>
  <c r="P4970" i="4"/>
  <c r="O4970" i="4"/>
  <c r="N4970" i="4"/>
  <c r="M4970" i="4"/>
  <c r="L4970" i="4"/>
  <c r="K4970" i="4"/>
  <c r="J4970" i="4"/>
  <c r="I4970" i="4"/>
  <c r="H4970" i="4"/>
  <c r="Q4969" i="4"/>
  <c r="P4969" i="4"/>
  <c r="O4969" i="4"/>
  <c r="N4969" i="4"/>
  <c r="M4969" i="4"/>
  <c r="L4969" i="4"/>
  <c r="K4969" i="4"/>
  <c r="J4969" i="4"/>
  <c r="I4969" i="4"/>
  <c r="H4969" i="4"/>
  <c r="Q4968" i="4"/>
  <c r="P4968" i="4"/>
  <c r="O4968" i="4"/>
  <c r="N4968" i="4"/>
  <c r="M4968" i="4"/>
  <c r="L4968" i="4"/>
  <c r="K4968" i="4"/>
  <c r="J4968" i="4"/>
  <c r="I4968" i="4"/>
  <c r="H4968" i="4"/>
  <c r="Q4967" i="4"/>
  <c r="P4967" i="4"/>
  <c r="O4967" i="4"/>
  <c r="N4967" i="4"/>
  <c r="M4967" i="4"/>
  <c r="L4967" i="4"/>
  <c r="K4967" i="4"/>
  <c r="J4967" i="4"/>
  <c r="I4967" i="4"/>
  <c r="H4967" i="4"/>
  <c r="Q4966" i="4"/>
  <c r="P4966" i="4"/>
  <c r="O4966" i="4"/>
  <c r="N4966" i="4"/>
  <c r="M4966" i="4"/>
  <c r="L4966" i="4"/>
  <c r="K4966" i="4"/>
  <c r="J4966" i="4"/>
  <c r="I4966" i="4"/>
  <c r="H4966" i="4"/>
  <c r="Q4965" i="4"/>
  <c r="P4965" i="4"/>
  <c r="O4965" i="4"/>
  <c r="N4965" i="4"/>
  <c r="M4965" i="4"/>
  <c r="L4965" i="4"/>
  <c r="K4965" i="4"/>
  <c r="J4965" i="4"/>
  <c r="I4965" i="4"/>
  <c r="H4965" i="4"/>
  <c r="Q4964" i="4"/>
  <c r="P4964" i="4"/>
  <c r="O4964" i="4"/>
  <c r="N4964" i="4"/>
  <c r="M4964" i="4"/>
  <c r="L4964" i="4"/>
  <c r="K4964" i="4"/>
  <c r="J4964" i="4"/>
  <c r="I4964" i="4"/>
  <c r="H4964" i="4"/>
  <c r="Q4963" i="4"/>
  <c r="P4963" i="4"/>
  <c r="O4963" i="4"/>
  <c r="N4963" i="4"/>
  <c r="M4963" i="4"/>
  <c r="L4963" i="4"/>
  <c r="K4963" i="4"/>
  <c r="J4963" i="4"/>
  <c r="I4963" i="4"/>
  <c r="H4963" i="4"/>
  <c r="Q4962" i="4"/>
  <c r="P4962" i="4"/>
  <c r="O4962" i="4"/>
  <c r="N4962" i="4"/>
  <c r="M4962" i="4"/>
  <c r="L4962" i="4"/>
  <c r="K4962" i="4"/>
  <c r="J4962" i="4"/>
  <c r="I4962" i="4"/>
  <c r="H4962" i="4"/>
  <c r="Q4961" i="4"/>
  <c r="P4961" i="4"/>
  <c r="O4961" i="4"/>
  <c r="N4961" i="4"/>
  <c r="M4961" i="4"/>
  <c r="L4961" i="4"/>
  <c r="K4961" i="4"/>
  <c r="J4961" i="4"/>
  <c r="I4961" i="4"/>
  <c r="H4961" i="4"/>
  <c r="Q4960" i="4"/>
  <c r="P4960" i="4"/>
  <c r="O4960" i="4"/>
  <c r="N4960" i="4"/>
  <c r="M4960" i="4"/>
  <c r="L4960" i="4"/>
  <c r="K4960" i="4"/>
  <c r="J4960" i="4"/>
  <c r="I4960" i="4"/>
  <c r="H4960" i="4"/>
  <c r="Q4959" i="4"/>
  <c r="P4959" i="4"/>
  <c r="O4959" i="4"/>
  <c r="N4959" i="4"/>
  <c r="M4959" i="4"/>
  <c r="L4959" i="4"/>
  <c r="K4959" i="4"/>
  <c r="J4959" i="4"/>
  <c r="I4959" i="4"/>
  <c r="H4959" i="4"/>
  <c r="Q4958" i="4"/>
  <c r="P4958" i="4"/>
  <c r="O4958" i="4"/>
  <c r="N4958" i="4"/>
  <c r="M4958" i="4"/>
  <c r="L4958" i="4"/>
  <c r="K4958" i="4"/>
  <c r="J4958" i="4"/>
  <c r="I4958" i="4"/>
  <c r="H4958" i="4"/>
  <c r="Q4957" i="4"/>
  <c r="P4957" i="4"/>
  <c r="O4957" i="4"/>
  <c r="N4957" i="4"/>
  <c r="M4957" i="4"/>
  <c r="L4957" i="4"/>
  <c r="K4957" i="4"/>
  <c r="J4957" i="4"/>
  <c r="I4957" i="4"/>
  <c r="H4957" i="4"/>
  <c r="Q4956" i="4"/>
  <c r="P4956" i="4"/>
  <c r="O4956" i="4"/>
  <c r="N4956" i="4"/>
  <c r="M4956" i="4"/>
  <c r="L4956" i="4"/>
  <c r="K4956" i="4"/>
  <c r="J4956" i="4"/>
  <c r="I4956" i="4"/>
  <c r="H4956" i="4"/>
  <c r="Q4955" i="4"/>
  <c r="P4955" i="4"/>
  <c r="O4955" i="4"/>
  <c r="N4955" i="4"/>
  <c r="M4955" i="4"/>
  <c r="L4955" i="4"/>
  <c r="K4955" i="4"/>
  <c r="J4955" i="4"/>
  <c r="I4955" i="4"/>
  <c r="H4955" i="4"/>
  <c r="Q4954" i="4"/>
  <c r="P4954" i="4"/>
  <c r="O4954" i="4"/>
  <c r="N4954" i="4"/>
  <c r="M4954" i="4"/>
  <c r="L4954" i="4"/>
  <c r="K4954" i="4"/>
  <c r="J4954" i="4"/>
  <c r="I4954" i="4"/>
  <c r="H4954" i="4"/>
  <c r="Q4953" i="4"/>
  <c r="P4953" i="4"/>
  <c r="O4953" i="4"/>
  <c r="N4953" i="4"/>
  <c r="M4953" i="4"/>
  <c r="L4953" i="4"/>
  <c r="K4953" i="4"/>
  <c r="J4953" i="4"/>
  <c r="I4953" i="4"/>
  <c r="H4953" i="4"/>
  <c r="Q4952" i="4"/>
  <c r="P4952" i="4"/>
  <c r="O4952" i="4"/>
  <c r="N4952" i="4"/>
  <c r="M4952" i="4"/>
  <c r="L4952" i="4"/>
  <c r="K4952" i="4"/>
  <c r="J4952" i="4"/>
  <c r="I4952" i="4"/>
  <c r="H4952" i="4"/>
  <c r="Q4951" i="4"/>
  <c r="P4951" i="4"/>
  <c r="O4951" i="4"/>
  <c r="N4951" i="4"/>
  <c r="M4951" i="4"/>
  <c r="L4951" i="4"/>
  <c r="K4951" i="4"/>
  <c r="J4951" i="4"/>
  <c r="I4951" i="4"/>
  <c r="H4951" i="4"/>
  <c r="Q4950" i="4"/>
  <c r="P4950" i="4"/>
  <c r="O4950" i="4"/>
  <c r="N4950" i="4"/>
  <c r="M4950" i="4"/>
  <c r="L4950" i="4"/>
  <c r="K4950" i="4"/>
  <c r="J4950" i="4"/>
  <c r="I4950" i="4"/>
  <c r="H4950" i="4"/>
  <c r="Q4949" i="4"/>
  <c r="P4949" i="4"/>
  <c r="O4949" i="4"/>
  <c r="N4949" i="4"/>
  <c r="M4949" i="4"/>
  <c r="L4949" i="4"/>
  <c r="K4949" i="4"/>
  <c r="J4949" i="4"/>
  <c r="I4949" i="4"/>
  <c r="H4949" i="4"/>
  <c r="Q4948" i="4"/>
  <c r="P4948" i="4"/>
  <c r="O4948" i="4"/>
  <c r="N4948" i="4"/>
  <c r="M4948" i="4"/>
  <c r="L4948" i="4"/>
  <c r="K4948" i="4"/>
  <c r="J4948" i="4"/>
  <c r="I4948" i="4"/>
  <c r="H4948" i="4"/>
  <c r="Q4947" i="4"/>
  <c r="P4947" i="4"/>
  <c r="O4947" i="4"/>
  <c r="N4947" i="4"/>
  <c r="M4947" i="4"/>
  <c r="L4947" i="4"/>
  <c r="K4947" i="4"/>
  <c r="J4947" i="4"/>
  <c r="I4947" i="4"/>
  <c r="H4947" i="4"/>
  <c r="Q4946" i="4"/>
  <c r="P4946" i="4"/>
  <c r="O4946" i="4"/>
  <c r="N4946" i="4"/>
  <c r="M4946" i="4"/>
  <c r="L4946" i="4"/>
  <c r="K4946" i="4"/>
  <c r="J4946" i="4"/>
  <c r="I4946" i="4"/>
  <c r="H4946" i="4"/>
  <c r="Q4945" i="4"/>
  <c r="P4945" i="4"/>
  <c r="O4945" i="4"/>
  <c r="N4945" i="4"/>
  <c r="M4945" i="4"/>
  <c r="L4945" i="4"/>
  <c r="K4945" i="4"/>
  <c r="J4945" i="4"/>
  <c r="I4945" i="4"/>
  <c r="H4945" i="4"/>
  <c r="Q4944" i="4"/>
  <c r="P4944" i="4"/>
  <c r="O4944" i="4"/>
  <c r="N4944" i="4"/>
  <c r="M4944" i="4"/>
  <c r="L4944" i="4"/>
  <c r="K4944" i="4"/>
  <c r="J4944" i="4"/>
  <c r="I4944" i="4"/>
  <c r="H4944" i="4"/>
  <c r="Q4943" i="4"/>
  <c r="P4943" i="4"/>
  <c r="O4943" i="4"/>
  <c r="N4943" i="4"/>
  <c r="M4943" i="4"/>
  <c r="L4943" i="4"/>
  <c r="K4943" i="4"/>
  <c r="J4943" i="4"/>
  <c r="I4943" i="4"/>
  <c r="H4943" i="4"/>
  <c r="Q4942" i="4"/>
  <c r="P4942" i="4"/>
  <c r="O4942" i="4"/>
  <c r="N4942" i="4"/>
  <c r="M4942" i="4"/>
  <c r="L4942" i="4"/>
  <c r="K4942" i="4"/>
  <c r="J4942" i="4"/>
  <c r="I4942" i="4"/>
  <c r="H4942" i="4"/>
  <c r="Q4941" i="4"/>
  <c r="P4941" i="4"/>
  <c r="O4941" i="4"/>
  <c r="N4941" i="4"/>
  <c r="M4941" i="4"/>
  <c r="L4941" i="4"/>
  <c r="K4941" i="4"/>
  <c r="J4941" i="4"/>
  <c r="I4941" i="4"/>
  <c r="H4941" i="4"/>
  <c r="Q4940" i="4"/>
  <c r="P4940" i="4"/>
  <c r="O4940" i="4"/>
  <c r="N4940" i="4"/>
  <c r="M4940" i="4"/>
  <c r="L4940" i="4"/>
  <c r="K4940" i="4"/>
  <c r="J4940" i="4"/>
  <c r="I4940" i="4"/>
  <c r="H4940" i="4"/>
  <c r="Q4939" i="4"/>
  <c r="P4939" i="4"/>
  <c r="O4939" i="4"/>
  <c r="N4939" i="4"/>
  <c r="M4939" i="4"/>
  <c r="L4939" i="4"/>
  <c r="K4939" i="4"/>
  <c r="J4939" i="4"/>
  <c r="I4939" i="4"/>
  <c r="H4939" i="4"/>
  <c r="Q4938" i="4"/>
  <c r="P4938" i="4"/>
  <c r="O4938" i="4"/>
  <c r="N4938" i="4"/>
  <c r="M4938" i="4"/>
  <c r="L4938" i="4"/>
  <c r="K4938" i="4"/>
  <c r="J4938" i="4"/>
  <c r="I4938" i="4"/>
  <c r="H4938" i="4"/>
  <c r="Q4937" i="4"/>
  <c r="P4937" i="4"/>
  <c r="O4937" i="4"/>
  <c r="N4937" i="4"/>
  <c r="M4937" i="4"/>
  <c r="L4937" i="4"/>
  <c r="K4937" i="4"/>
  <c r="J4937" i="4"/>
  <c r="I4937" i="4"/>
  <c r="H4937" i="4"/>
  <c r="Q4936" i="4"/>
  <c r="P4936" i="4"/>
  <c r="O4936" i="4"/>
  <c r="N4936" i="4"/>
  <c r="M4936" i="4"/>
  <c r="L4936" i="4"/>
  <c r="K4936" i="4"/>
  <c r="J4936" i="4"/>
  <c r="I4936" i="4"/>
  <c r="H4936" i="4"/>
  <c r="Q4935" i="4"/>
  <c r="P4935" i="4"/>
  <c r="O4935" i="4"/>
  <c r="N4935" i="4"/>
  <c r="M4935" i="4"/>
  <c r="L4935" i="4"/>
  <c r="K4935" i="4"/>
  <c r="J4935" i="4"/>
  <c r="I4935" i="4"/>
  <c r="H4935" i="4"/>
  <c r="Q4934" i="4"/>
  <c r="P4934" i="4"/>
  <c r="O4934" i="4"/>
  <c r="N4934" i="4"/>
  <c r="M4934" i="4"/>
  <c r="L4934" i="4"/>
  <c r="K4934" i="4"/>
  <c r="J4934" i="4"/>
  <c r="I4934" i="4"/>
  <c r="H4934" i="4"/>
  <c r="Q4933" i="4"/>
  <c r="P4933" i="4"/>
  <c r="O4933" i="4"/>
  <c r="N4933" i="4"/>
  <c r="M4933" i="4"/>
  <c r="L4933" i="4"/>
  <c r="K4933" i="4"/>
  <c r="J4933" i="4"/>
  <c r="I4933" i="4"/>
  <c r="H4933" i="4"/>
  <c r="Q4932" i="4"/>
  <c r="P4932" i="4"/>
  <c r="O4932" i="4"/>
  <c r="N4932" i="4"/>
  <c r="M4932" i="4"/>
  <c r="L4932" i="4"/>
  <c r="K4932" i="4"/>
  <c r="J4932" i="4"/>
  <c r="I4932" i="4"/>
  <c r="H4932" i="4"/>
  <c r="Q4931" i="4"/>
  <c r="P4931" i="4"/>
  <c r="O4931" i="4"/>
  <c r="N4931" i="4"/>
  <c r="M4931" i="4"/>
  <c r="L4931" i="4"/>
  <c r="K4931" i="4"/>
  <c r="J4931" i="4"/>
  <c r="I4931" i="4"/>
  <c r="H4931" i="4"/>
  <c r="Q4930" i="4"/>
  <c r="P4930" i="4"/>
  <c r="O4930" i="4"/>
  <c r="N4930" i="4"/>
  <c r="M4930" i="4"/>
  <c r="L4930" i="4"/>
  <c r="K4930" i="4"/>
  <c r="J4930" i="4"/>
  <c r="I4930" i="4"/>
  <c r="H4930" i="4"/>
  <c r="Q4929" i="4"/>
  <c r="P4929" i="4"/>
  <c r="O4929" i="4"/>
  <c r="N4929" i="4"/>
  <c r="M4929" i="4"/>
  <c r="L4929" i="4"/>
  <c r="K4929" i="4"/>
  <c r="J4929" i="4"/>
  <c r="I4929" i="4"/>
  <c r="H4929" i="4"/>
  <c r="Q4928" i="4"/>
  <c r="P4928" i="4"/>
  <c r="O4928" i="4"/>
  <c r="N4928" i="4"/>
  <c r="M4928" i="4"/>
  <c r="L4928" i="4"/>
  <c r="K4928" i="4"/>
  <c r="J4928" i="4"/>
  <c r="I4928" i="4"/>
  <c r="H4928" i="4"/>
  <c r="Q4927" i="4"/>
  <c r="P4927" i="4"/>
  <c r="O4927" i="4"/>
  <c r="N4927" i="4"/>
  <c r="M4927" i="4"/>
  <c r="L4927" i="4"/>
  <c r="K4927" i="4"/>
  <c r="J4927" i="4"/>
  <c r="I4927" i="4"/>
  <c r="H4927" i="4"/>
  <c r="Q4926" i="4"/>
  <c r="P4926" i="4"/>
  <c r="O4926" i="4"/>
  <c r="N4926" i="4"/>
  <c r="M4926" i="4"/>
  <c r="L4926" i="4"/>
  <c r="K4926" i="4"/>
  <c r="J4926" i="4"/>
  <c r="I4926" i="4"/>
  <c r="H4926" i="4"/>
  <c r="Q4925" i="4"/>
  <c r="P4925" i="4"/>
  <c r="O4925" i="4"/>
  <c r="N4925" i="4"/>
  <c r="M4925" i="4"/>
  <c r="L4925" i="4"/>
  <c r="K4925" i="4"/>
  <c r="J4925" i="4"/>
  <c r="I4925" i="4"/>
  <c r="H4925" i="4"/>
  <c r="Q4924" i="4"/>
  <c r="P4924" i="4"/>
  <c r="O4924" i="4"/>
  <c r="N4924" i="4"/>
  <c r="M4924" i="4"/>
  <c r="L4924" i="4"/>
  <c r="K4924" i="4"/>
  <c r="J4924" i="4"/>
  <c r="I4924" i="4"/>
  <c r="H4924" i="4"/>
  <c r="Q4923" i="4"/>
  <c r="P4923" i="4"/>
  <c r="O4923" i="4"/>
  <c r="N4923" i="4"/>
  <c r="M4923" i="4"/>
  <c r="L4923" i="4"/>
  <c r="K4923" i="4"/>
  <c r="J4923" i="4"/>
  <c r="I4923" i="4"/>
  <c r="H4923" i="4"/>
  <c r="Q4922" i="4"/>
  <c r="P4922" i="4"/>
  <c r="O4922" i="4"/>
  <c r="N4922" i="4"/>
  <c r="M4922" i="4"/>
  <c r="L4922" i="4"/>
  <c r="K4922" i="4"/>
  <c r="J4922" i="4"/>
  <c r="I4922" i="4"/>
  <c r="H4922" i="4"/>
  <c r="Q4921" i="4"/>
  <c r="P4921" i="4"/>
  <c r="O4921" i="4"/>
  <c r="N4921" i="4"/>
  <c r="M4921" i="4"/>
  <c r="L4921" i="4"/>
  <c r="K4921" i="4"/>
  <c r="J4921" i="4"/>
  <c r="I4921" i="4"/>
  <c r="H4921" i="4"/>
  <c r="Q4920" i="4"/>
  <c r="P4920" i="4"/>
  <c r="O4920" i="4"/>
  <c r="N4920" i="4"/>
  <c r="M4920" i="4"/>
  <c r="L4920" i="4"/>
  <c r="K4920" i="4"/>
  <c r="J4920" i="4"/>
  <c r="I4920" i="4"/>
  <c r="H4920" i="4"/>
  <c r="Q4919" i="4"/>
  <c r="P4919" i="4"/>
  <c r="O4919" i="4"/>
  <c r="N4919" i="4"/>
  <c r="M4919" i="4"/>
  <c r="L4919" i="4"/>
  <c r="K4919" i="4"/>
  <c r="J4919" i="4"/>
  <c r="I4919" i="4"/>
  <c r="H4919" i="4"/>
  <c r="Q4918" i="4"/>
  <c r="P4918" i="4"/>
  <c r="O4918" i="4"/>
  <c r="N4918" i="4"/>
  <c r="M4918" i="4"/>
  <c r="L4918" i="4"/>
  <c r="K4918" i="4"/>
  <c r="J4918" i="4"/>
  <c r="I4918" i="4"/>
  <c r="H4918" i="4"/>
  <c r="Q4917" i="4"/>
  <c r="P4917" i="4"/>
  <c r="O4917" i="4"/>
  <c r="N4917" i="4"/>
  <c r="M4917" i="4"/>
  <c r="L4917" i="4"/>
  <c r="K4917" i="4"/>
  <c r="J4917" i="4"/>
  <c r="I4917" i="4"/>
  <c r="H4917" i="4"/>
  <c r="Q4916" i="4"/>
  <c r="P4916" i="4"/>
  <c r="O4916" i="4"/>
  <c r="N4916" i="4"/>
  <c r="M4916" i="4"/>
  <c r="L4916" i="4"/>
  <c r="K4916" i="4"/>
  <c r="J4916" i="4"/>
  <c r="I4916" i="4"/>
  <c r="H4916" i="4"/>
  <c r="Q4915" i="4"/>
  <c r="P4915" i="4"/>
  <c r="O4915" i="4"/>
  <c r="N4915" i="4"/>
  <c r="M4915" i="4"/>
  <c r="L4915" i="4"/>
  <c r="K4915" i="4"/>
  <c r="J4915" i="4"/>
  <c r="I4915" i="4"/>
  <c r="H4915" i="4"/>
  <c r="Q4914" i="4"/>
  <c r="P4914" i="4"/>
  <c r="O4914" i="4"/>
  <c r="N4914" i="4"/>
  <c r="M4914" i="4"/>
  <c r="L4914" i="4"/>
  <c r="K4914" i="4"/>
  <c r="J4914" i="4"/>
  <c r="I4914" i="4"/>
  <c r="H4914" i="4"/>
  <c r="Q4913" i="4"/>
  <c r="P4913" i="4"/>
  <c r="O4913" i="4"/>
  <c r="N4913" i="4"/>
  <c r="M4913" i="4"/>
  <c r="L4913" i="4"/>
  <c r="K4913" i="4"/>
  <c r="J4913" i="4"/>
  <c r="I4913" i="4"/>
  <c r="H4913" i="4"/>
  <c r="Q4912" i="4"/>
  <c r="P4912" i="4"/>
  <c r="O4912" i="4"/>
  <c r="N4912" i="4"/>
  <c r="M4912" i="4"/>
  <c r="L4912" i="4"/>
  <c r="K4912" i="4"/>
  <c r="J4912" i="4"/>
  <c r="I4912" i="4"/>
  <c r="H4912" i="4"/>
  <c r="Q4911" i="4"/>
  <c r="P4911" i="4"/>
  <c r="O4911" i="4"/>
  <c r="N4911" i="4"/>
  <c r="M4911" i="4"/>
  <c r="L4911" i="4"/>
  <c r="K4911" i="4"/>
  <c r="J4911" i="4"/>
  <c r="I4911" i="4"/>
  <c r="H4911" i="4"/>
  <c r="Q4910" i="4"/>
  <c r="P4910" i="4"/>
  <c r="O4910" i="4"/>
  <c r="N4910" i="4"/>
  <c r="M4910" i="4"/>
  <c r="L4910" i="4"/>
  <c r="K4910" i="4"/>
  <c r="J4910" i="4"/>
  <c r="I4910" i="4"/>
  <c r="H4910" i="4"/>
  <c r="Q4909" i="4"/>
  <c r="P4909" i="4"/>
  <c r="O4909" i="4"/>
  <c r="N4909" i="4"/>
  <c r="M4909" i="4"/>
  <c r="L4909" i="4"/>
  <c r="K4909" i="4"/>
  <c r="J4909" i="4"/>
  <c r="I4909" i="4"/>
  <c r="H4909" i="4"/>
  <c r="Q4908" i="4"/>
  <c r="P4908" i="4"/>
  <c r="O4908" i="4"/>
  <c r="N4908" i="4"/>
  <c r="M4908" i="4"/>
  <c r="L4908" i="4"/>
  <c r="K4908" i="4"/>
  <c r="J4908" i="4"/>
  <c r="I4908" i="4"/>
  <c r="H4908" i="4"/>
  <c r="Q4907" i="4"/>
  <c r="P4907" i="4"/>
  <c r="O4907" i="4"/>
  <c r="N4907" i="4"/>
  <c r="M4907" i="4"/>
  <c r="L4907" i="4"/>
  <c r="K4907" i="4"/>
  <c r="J4907" i="4"/>
  <c r="I4907" i="4"/>
  <c r="H4907" i="4"/>
  <c r="Q4906" i="4"/>
  <c r="P4906" i="4"/>
  <c r="O4906" i="4"/>
  <c r="N4906" i="4"/>
  <c r="M4906" i="4"/>
  <c r="L4906" i="4"/>
  <c r="K4906" i="4"/>
  <c r="J4906" i="4"/>
  <c r="I4906" i="4"/>
  <c r="H4906" i="4"/>
  <c r="Q4905" i="4"/>
  <c r="P4905" i="4"/>
  <c r="O4905" i="4"/>
  <c r="N4905" i="4"/>
  <c r="M4905" i="4"/>
  <c r="L4905" i="4"/>
  <c r="K4905" i="4"/>
  <c r="J4905" i="4"/>
  <c r="I4905" i="4"/>
  <c r="H4905" i="4"/>
  <c r="Q4904" i="4"/>
  <c r="P4904" i="4"/>
  <c r="O4904" i="4"/>
  <c r="N4904" i="4"/>
  <c r="M4904" i="4"/>
  <c r="L4904" i="4"/>
  <c r="K4904" i="4"/>
  <c r="J4904" i="4"/>
  <c r="I4904" i="4"/>
  <c r="H4904" i="4"/>
  <c r="Q4903" i="4"/>
  <c r="P4903" i="4"/>
  <c r="O4903" i="4"/>
  <c r="N4903" i="4"/>
  <c r="M4903" i="4"/>
  <c r="L4903" i="4"/>
  <c r="K4903" i="4"/>
  <c r="J4903" i="4"/>
  <c r="I4903" i="4"/>
  <c r="H4903" i="4"/>
  <c r="Q4902" i="4"/>
  <c r="P4902" i="4"/>
  <c r="O4902" i="4"/>
  <c r="N4902" i="4"/>
  <c r="M4902" i="4"/>
  <c r="L4902" i="4"/>
  <c r="K4902" i="4"/>
  <c r="J4902" i="4"/>
  <c r="I4902" i="4"/>
  <c r="H4902" i="4"/>
  <c r="Q4901" i="4"/>
  <c r="P4901" i="4"/>
  <c r="O4901" i="4"/>
  <c r="N4901" i="4"/>
  <c r="M4901" i="4"/>
  <c r="L4901" i="4"/>
  <c r="K4901" i="4"/>
  <c r="J4901" i="4"/>
  <c r="I4901" i="4"/>
  <c r="H4901" i="4"/>
  <c r="Q4900" i="4"/>
  <c r="P4900" i="4"/>
  <c r="O4900" i="4"/>
  <c r="N4900" i="4"/>
  <c r="M4900" i="4"/>
  <c r="L4900" i="4"/>
  <c r="K4900" i="4"/>
  <c r="J4900" i="4"/>
  <c r="I4900" i="4"/>
  <c r="H4900" i="4"/>
  <c r="Q4899" i="4"/>
  <c r="P4899" i="4"/>
  <c r="O4899" i="4"/>
  <c r="N4899" i="4"/>
  <c r="M4899" i="4"/>
  <c r="L4899" i="4"/>
  <c r="K4899" i="4"/>
  <c r="J4899" i="4"/>
  <c r="I4899" i="4"/>
  <c r="H4899" i="4"/>
  <c r="Q4898" i="4"/>
  <c r="P4898" i="4"/>
  <c r="O4898" i="4"/>
  <c r="N4898" i="4"/>
  <c r="M4898" i="4"/>
  <c r="L4898" i="4"/>
  <c r="K4898" i="4"/>
  <c r="J4898" i="4"/>
  <c r="I4898" i="4"/>
  <c r="H4898" i="4"/>
  <c r="Q4897" i="4"/>
  <c r="P4897" i="4"/>
  <c r="O4897" i="4"/>
  <c r="N4897" i="4"/>
  <c r="M4897" i="4"/>
  <c r="L4897" i="4"/>
  <c r="K4897" i="4"/>
  <c r="J4897" i="4"/>
  <c r="I4897" i="4"/>
  <c r="H4897" i="4"/>
  <c r="Q4896" i="4"/>
  <c r="P4896" i="4"/>
  <c r="O4896" i="4"/>
  <c r="N4896" i="4"/>
  <c r="M4896" i="4"/>
  <c r="L4896" i="4"/>
  <c r="K4896" i="4"/>
  <c r="J4896" i="4"/>
  <c r="I4896" i="4"/>
  <c r="H4896" i="4"/>
  <c r="Q4895" i="4"/>
  <c r="P4895" i="4"/>
  <c r="O4895" i="4"/>
  <c r="N4895" i="4"/>
  <c r="M4895" i="4"/>
  <c r="L4895" i="4"/>
  <c r="K4895" i="4"/>
  <c r="J4895" i="4"/>
  <c r="I4895" i="4"/>
  <c r="H4895" i="4"/>
  <c r="Q4894" i="4"/>
  <c r="P4894" i="4"/>
  <c r="O4894" i="4"/>
  <c r="N4894" i="4"/>
  <c r="M4894" i="4"/>
  <c r="L4894" i="4"/>
  <c r="K4894" i="4"/>
  <c r="J4894" i="4"/>
  <c r="I4894" i="4"/>
  <c r="H4894" i="4"/>
  <c r="Q4893" i="4"/>
  <c r="P4893" i="4"/>
  <c r="O4893" i="4"/>
  <c r="N4893" i="4"/>
  <c r="M4893" i="4"/>
  <c r="L4893" i="4"/>
  <c r="K4893" i="4"/>
  <c r="J4893" i="4"/>
  <c r="I4893" i="4"/>
  <c r="H4893" i="4"/>
  <c r="Q4892" i="4"/>
  <c r="P4892" i="4"/>
  <c r="O4892" i="4"/>
  <c r="N4892" i="4"/>
  <c r="M4892" i="4"/>
  <c r="L4892" i="4"/>
  <c r="K4892" i="4"/>
  <c r="J4892" i="4"/>
  <c r="I4892" i="4"/>
  <c r="H4892" i="4"/>
  <c r="Q4891" i="4"/>
  <c r="P4891" i="4"/>
  <c r="O4891" i="4"/>
  <c r="N4891" i="4"/>
  <c r="M4891" i="4"/>
  <c r="L4891" i="4"/>
  <c r="K4891" i="4"/>
  <c r="J4891" i="4"/>
  <c r="I4891" i="4"/>
  <c r="H4891" i="4"/>
  <c r="Q4890" i="4"/>
  <c r="P4890" i="4"/>
  <c r="O4890" i="4"/>
  <c r="N4890" i="4"/>
  <c r="M4890" i="4"/>
  <c r="L4890" i="4"/>
  <c r="K4890" i="4"/>
  <c r="J4890" i="4"/>
  <c r="I4890" i="4"/>
  <c r="H4890" i="4"/>
  <c r="Q4889" i="4"/>
  <c r="P4889" i="4"/>
  <c r="O4889" i="4"/>
  <c r="N4889" i="4"/>
  <c r="M4889" i="4"/>
  <c r="L4889" i="4"/>
  <c r="K4889" i="4"/>
  <c r="J4889" i="4"/>
  <c r="I4889" i="4"/>
  <c r="H4889" i="4"/>
  <c r="Q4888" i="4"/>
  <c r="P4888" i="4"/>
  <c r="O4888" i="4"/>
  <c r="N4888" i="4"/>
  <c r="M4888" i="4"/>
  <c r="L4888" i="4"/>
  <c r="K4888" i="4"/>
  <c r="J4888" i="4"/>
  <c r="I4888" i="4"/>
  <c r="H4888" i="4"/>
  <c r="Q4887" i="4"/>
  <c r="P4887" i="4"/>
  <c r="O4887" i="4"/>
  <c r="N4887" i="4"/>
  <c r="M4887" i="4"/>
  <c r="L4887" i="4"/>
  <c r="K4887" i="4"/>
  <c r="J4887" i="4"/>
  <c r="I4887" i="4"/>
  <c r="H4887" i="4"/>
  <c r="Q4886" i="4"/>
  <c r="P4886" i="4"/>
  <c r="O4886" i="4"/>
  <c r="N4886" i="4"/>
  <c r="M4886" i="4"/>
  <c r="L4886" i="4"/>
  <c r="K4886" i="4"/>
  <c r="J4886" i="4"/>
  <c r="I4886" i="4"/>
  <c r="H4886" i="4"/>
  <c r="Q4885" i="4"/>
  <c r="P4885" i="4"/>
  <c r="O4885" i="4"/>
  <c r="N4885" i="4"/>
  <c r="M4885" i="4"/>
  <c r="L4885" i="4"/>
  <c r="K4885" i="4"/>
  <c r="J4885" i="4"/>
  <c r="I4885" i="4"/>
  <c r="H4885" i="4"/>
  <c r="Q4884" i="4"/>
  <c r="P4884" i="4"/>
  <c r="O4884" i="4"/>
  <c r="N4884" i="4"/>
  <c r="M4884" i="4"/>
  <c r="L4884" i="4"/>
  <c r="K4884" i="4"/>
  <c r="J4884" i="4"/>
  <c r="I4884" i="4"/>
  <c r="H4884" i="4"/>
  <c r="Q4883" i="4"/>
  <c r="P4883" i="4"/>
  <c r="O4883" i="4"/>
  <c r="N4883" i="4"/>
  <c r="M4883" i="4"/>
  <c r="L4883" i="4"/>
  <c r="K4883" i="4"/>
  <c r="J4883" i="4"/>
  <c r="I4883" i="4"/>
  <c r="H4883" i="4"/>
  <c r="Q4882" i="4"/>
  <c r="P4882" i="4"/>
  <c r="O4882" i="4"/>
  <c r="N4882" i="4"/>
  <c r="M4882" i="4"/>
  <c r="L4882" i="4"/>
  <c r="K4882" i="4"/>
  <c r="J4882" i="4"/>
  <c r="I4882" i="4"/>
  <c r="H4882" i="4"/>
  <c r="Q4881" i="4"/>
  <c r="P4881" i="4"/>
  <c r="O4881" i="4"/>
  <c r="N4881" i="4"/>
  <c r="M4881" i="4"/>
  <c r="L4881" i="4"/>
  <c r="K4881" i="4"/>
  <c r="J4881" i="4"/>
  <c r="I4881" i="4"/>
  <c r="H4881" i="4"/>
  <c r="Q4880" i="4"/>
  <c r="P4880" i="4"/>
  <c r="O4880" i="4"/>
  <c r="N4880" i="4"/>
  <c r="M4880" i="4"/>
  <c r="L4880" i="4"/>
  <c r="K4880" i="4"/>
  <c r="J4880" i="4"/>
  <c r="I4880" i="4"/>
  <c r="H4880" i="4"/>
  <c r="Q4879" i="4"/>
  <c r="P4879" i="4"/>
  <c r="O4879" i="4"/>
  <c r="N4879" i="4"/>
  <c r="M4879" i="4"/>
  <c r="L4879" i="4"/>
  <c r="K4879" i="4"/>
  <c r="J4879" i="4"/>
  <c r="I4879" i="4"/>
  <c r="H4879" i="4"/>
  <c r="Q4878" i="4"/>
  <c r="P4878" i="4"/>
  <c r="O4878" i="4"/>
  <c r="N4878" i="4"/>
  <c r="M4878" i="4"/>
  <c r="L4878" i="4"/>
  <c r="K4878" i="4"/>
  <c r="J4878" i="4"/>
  <c r="I4878" i="4"/>
  <c r="H4878" i="4"/>
  <c r="Q4877" i="4"/>
  <c r="P4877" i="4"/>
  <c r="O4877" i="4"/>
  <c r="N4877" i="4"/>
  <c r="M4877" i="4"/>
  <c r="L4877" i="4"/>
  <c r="K4877" i="4"/>
  <c r="J4877" i="4"/>
  <c r="I4877" i="4"/>
  <c r="H4877" i="4"/>
  <c r="Q4876" i="4"/>
  <c r="P4876" i="4"/>
  <c r="O4876" i="4"/>
  <c r="N4876" i="4"/>
  <c r="M4876" i="4"/>
  <c r="L4876" i="4"/>
  <c r="K4876" i="4"/>
  <c r="J4876" i="4"/>
  <c r="I4876" i="4"/>
  <c r="H4876" i="4"/>
  <c r="Q4875" i="4"/>
  <c r="P4875" i="4"/>
  <c r="O4875" i="4"/>
  <c r="N4875" i="4"/>
  <c r="M4875" i="4"/>
  <c r="L4875" i="4"/>
  <c r="K4875" i="4"/>
  <c r="J4875" i="4"/>
  <c r="I4875" i="4"/>
  <c r="H4875" i="4"/>
  <c r="Q4874" i="4"/>
  <c r="P4874" i="4"/>
  <c r="O4874" i="4"/>
  <c r="N4874" i="4"/>
  <c r="M4874" i="4"/>
  <c r="L4874" i="4"/>
  <c r="K4874" i="4"/>
  <c r="J4874" i="4"/>
  <c r="I4874" i="4"/>
  <c r="H4874" i="4"/>
  <c r="Q4873" i="4"/>
  <c r="P4873" i="4"/>
  <c r="O4873" i="4"/>
  <c r="N4873" i="4"/>
  <c r="M4873" i="4"/>
  <c r="L4873" i="4"/>
  <c r="K4873" i="4"/>
  <c r="J4873" i="4"/>
  <c r="I4873" i="4"/>
  <c r="H4873" i="4"/>
  <c r="Q4872" i="4"/>
  <c r="P4872" i="4"/>
  <c r="O4872" i="4"/>
  <c r="N4872" i="4"/>
  <c r="M4872" i="4"/>
  <c r="L4872" i="4"/>
  <c r="K4872" i="4"/>
  <c r="J4872" i="4"/>
  <c r="I4872" i="4"/>
  <c r="H4872" i="4"/>
  <c r="Q4871" i="4"/>
  <c r="P4871" i="4"/>
  <c r="O4871" i="4"/>
  <c r="N4871" i="4"/>
  <c r="M4871" i="4"/>
  <c r="L4871" i="4"/>
  <c r="K4871" i="4"/>
  <c r="J4871" i="4"/>
  <c r="I4871" i="4"/>
  <c r="H4871" i="4"/>
  <c r="Q4870" i="4"/>
  <c r="P4870" i="4"/>
  <c r="O4870" i="4"/>
  <c r="N4870" i="4"/>
  <c r="M4870" i="4"/>
  <c r="L4870" i="4"/>
  <c r="K4870" i="4"/>
  <c r="J4870" i="4"/>
  <c r="I4870" i="4"/>
  <c r="H4870" i="4"/>
  <c r="Q4869" i="4"/>
  <c r="P4869" i="4"/>
  <c r="O4869" i="4"/>
  <c r="N4869" i="4"/>
  <c r="M4869" i="4"/>
  <c r="L4869" i="4"/>
  <c r="K4869" i="4"/>
  <c r="J4869" i="4"/>
  <c r="I4869" i="4"/>
  <c r="H4869" i="4"/>
  <c r="Q4868" i="4"/>
  <c r="P4868" i="4"/>
  <c r="O4868" i="4"/>
  <c r="N4868" i="4"/>
  <c r="M4868" i="4"/>
  <c r="L4868" i="4"/>
  <c r="K4868" i="4"/>
  <c r="J4868" i="4"/>
  <c r="I4868" i="4"/>
  <c r="H4868" i="4"/>
  <c r="Q4867" i="4"/>
  <c r="P4867" i="4"/>
  <c r="O4867" i="4"/>
  <c r="N4867" i="4"/>
  <c r="M4867" i="4"/>
  <c r="L4867" i="4"/>
  <c r="K4867" i="4"/>
  <c r="J4867" i="4"/>
  <c r="I4867" i="4"/>
  <c r="H4867" i="4"/>
  <c r="Q4866" i="4"/>
  <c r="P4866" i="4"/>
  <c r="O4866" i="4"/>
  <c r="N4866" i="4"/>
  <c r="M4866" i="4"/>
  <c r="L4866" i="4"/>
  <c r="K4866" i="4"/>
  <c r="J4866" i="4"/>
  <c r="I4866" i="4"/>
  <c r="H4866" i="4"/>
  <c r="Q4865" i="4"/>
  <c r="P4865" i="4"/>
  <c r="O4865" i="4"/>
  <c r="N4865" i="4"/>
  <c r="M4865" i="4"/>
  <c r="L4865" i="4"/>
  <c r="K4865" i="4"/>
  <c r="J4865" i="4"/>
  <c r="I4865" i="4"/>
  <c r="H4865" i="4"/>
  <c r="Q4864" i="4"/>
  <c r="P4864" i="4"/>
  <c r="O4864" i="4"/>
  <c r="N4864" i="4"/>
  <c r="M4864" i="4"/>
  <c r="L4864" i="4"/>
  <c r="K4864" i="4"/>
  <c r="J4864" i="4"/>
  <c r="I4864" i="4"/>
  <c r="H4864" i="4"/>
  <c r="Q4863" i="4"/>
  <c r="P4863" i="4"/>
  <c r="O4863" i="4"/>
  <c r="N4863" i="4"/>
  <c r="M4863" i="4"/>
  <c r="L4863" i="4"/>
  <c r="K4863" i="4"/>
  <c r="J4863" i="4"/>
  <c r="I4863" i="4"/>
  <c r="H4863" i="4"/>
  <c r="Q4862" i="4"/>
  <c r="P4862" i="4"/>
  <c r="O4862" i="4"/>
  <c r="N4862" i="4"/>
  <c r="M4862" i="4"/>
  <c r="L4862" i="4"/>
  <c r="K4862" i="4"/>
  <c r="J4862" i="4"/>
  <c r="I4862" i="4"/>
  <c r="H4862" i="4"/>
  <c r="Q4861" i="4"/>
  <c r="P4861" i="4"/>
  <c r="O4861" i="4"/>
  <c r="N4861" i="4"/>
  <c r="M4861" i="4"/>
  <c r="L4861" i="4"/>
  <c r="K4861" i="4"/>
  <c r="J4861" i="4"/>
  <c r="I4861" i="4"/>
  <c r="H4861" i="4"/>
  <c r="Q4860" i="4"/>
  <c r="P4860" i="4"/>
  <c r="O4860" i="4"/>
  <c r="N4860" i="4"/>
  <c r="M4860" i="4"/>
  <c r="L4860" i="4"/>
  <c r="K4860" i="4"/>
  <c r="J4860" i="4"/>
  <c r="I4860" i="4"/>
  <c r="H4860" i="4"/>
  <c r="Q4859" i="4"/>
  <c r="P4859" i="4"/>
  <c r="O4859" i="4"/>
  <c r="N4859" i="4"/>
  <c r="M4859" i="4"/>
  <c r="L4859" i="4"/>
  <c r="K4859" i="4"/>
  <c r="J4859" i="4"/>
  <c r="I4859" i="4"/>
  <c r="H4859" i="4"/>
  <c r="Q4858" i="4"/>
  <c r="P4858" i="4"/>
  <c r="O4858" i="4"/>
  <c r="N4858" i="4"/>
  <c r="M4858" i="4"/>
  <c r="L4858" i="4"/>
  <c r="K4858" i="4"/>
  <c r="J4858" i="4"/>
  <c r="I4858" i="4"/>
  <c r="H4858" i="4"/>
  <c r="Q4857" i="4"/>
  <c r="P4857" i="4"/>
  <c r="O4857" i="4"/>
  <c r="N4857" i="4"/>
  <c r="M4857" i="4"/>
  <c r="L4857" i="4"/>
  <c r="K4857" i="4"/>
  <c r="J4857" i="4"/>
  <c r="I4857" i="4"/>
  <c r="H4857" i="4"/>
  <c r="Q4856" i="4"/>
  <c r="P4856" i="4"/>
  <c r="O4856" i="4"/>
  <c r="N4856" i="4"/>
  <c r="M4856" i="4"/>
  <c r="L4856" i="4"/>
  <c r="K4856" i="4"/>
  <c r="J4856" i="4"/>
  <c r="I4856" i="4"/>
  <c r="H4856" i="4"/>
  <c r="Q4855" i="4"/>
  <c r="P4855" i="4"/>
  <c r="O4855" i="4"/>
  <c r="N4855" i="4"/>
  <c r="M4855" i="4"/>
  <c r="L4855" i="4"/>
  <c r="K4855" i="4"/>
  <c r="J4855" i="4"/>
  <c r="I4855" i="4"/>
  <c r="H4855" i="4"/>
  <c r="Q4854" i="4"/>
  <c r="P4854" i="4"/>
  <c r="O4854" i="4"/>
  <c r="N4854" i="4"/>
  <c r="M4854" i="4"/>
  <c r="L4854" i="4"/>
  <c r="K4854" i="4"/>
  <c r="J4854" i="4"/>
  <c r="I4854" i="4"/>
  <c r="H4854" i="4"/>
  <c r="Q4853" i="4"/>
  <c r="P4853" i="4"/>
  <c r="O4853" i="4"/>
  <c r="N4853" i="4"/>
  <c r="M4853" i="4"/>
  <c r="L4853" i="4"/>
  <c r="K4853" i="4"/>
  <c r="J4853" i="4"/>
  <c r="I4853" i="4"/>
  <c r="H4853" i="4"/>
  <c r="Q4852" i="4"/>
  <c r="P4852" i="4"/>
  <c r="O4852" i="4"/>
  <c r="N4852" i="4"/>
  <c r="M4852" i="4"/>
  <c r="L4852" i="4"/>
  <c r="K4852" i="4"/>
  <c r="J4852" i="4"/>
  <c r="I4852" i="4"/>
  <c r="H4852" i="4"/>
  <c r="Q4851" i="4"/>
  <c r="P4851" i="4"/>
  <c r="O4851" i="4"/>
  <c r="N4851" i="4"/>
  <c r="M4851" i="4"/>
  <c r="L4851" i="4"/>
  <c r="K4851" i="4"/>
  <c r="J4851" i="4"/>
  <c r="I4851" i="4"/>
  <c r="H4851" i="4"/>
  <c r="Q4850" i="4"/>
  <c r="P4850" i="4"/>
  <c r="O4850" i="4"/>
  <c r="N4850" i="4"/>
  <c r="M4850" i="4"/>
  <c r="L4850" i="4"/>
  <c r="K4850" i="4"/>
  <c r="J4850" i="4"/>
  <c r="I4850" i="4"/>
  <c r="H4850" i="4"/>
  <c r="Q4849" i="4"/>
  <c r="P4849" i="4"/>
  <c r="O4849" i="4"/>
  <c r="N4849" i="4"/>
  <c r="M4849" i="4"/>
  <c r="L4849" i="4"/>
  <c r="K4849" i="4"/>
  <c r="J4849" i="4"/>
  <c r="I4849" i="4"/>
  <c r="H4849" i="4"/>
  <c r="Q4848" i="4"/>
  <c r="P4848" i="4"/>
  <c r="O4848" i="4"/>
  <c r="N4848" i="4"/>
  <c r="M4848" i="4"/>
  <c r="L4848" i="4"/>
  <c r="K4848" i="4"/>
  <c r="J4848" i="4"/>
  <c r="I4848" i="4"/>
  <c r="H4848" i="4"/>
  <c r="Q4847" i="4"/>
  <c r="P4847" i="4"/>
  <c r="O4847" i="4"/>
  <c r="N4847" i="4"/>
  <c r="M4847" i="4"/>
  <c r="L4847" i="4"/>
  <c r="K4847" i="4"/>
  <c r="J4847" i="4"/>
  <c r="I4847" i="4"/>
  <c r="H4847" i="4"/>
  <c r="Q4846" i="4"/>
  <c r="P4846" i="4"/>
  <c r="O4846" i="4"/>
  <c r="N4846" i="4"/>
  <c r="M4846" i="4"/>
  <c r="L4846" i="4"/>
  <c r="K4846" i="4"/>
  <c r="J4846" i="4"/>
  <c r="I4846" i="4"/>
  <c r="H4846" i="4"/>
  <c r="Q4845" i="4"/>
  <c r="P4845" i="4"/>
  <c r="O4845" i="4"/>
  <c r="N4845" i="4"/>
  <c r="M4845" i="4"/>
  <c r="L4845" i="4"/>
  <c r="K4845" i="4"/>
  <c r="J4845" i="4"/>
  <c r="I4845" i="4"/>
  <c r="H4845" i="4"/>
  <c r="Q4844" i="4"/>
  <c r="P4844" i="4"/>
  <c r="O4844" i="4"/>
  <c r="N4844" i="4"/>
  <c r="M4844" i="4"/>
  <c r="L4844" i="4"/>
  <c r="K4844" i="4"/>
  <c r="J4844" i="4"/>
  <c r="I4844" i="4"/>
  <c r="H4844" i="4"/>
  <c r="Q4843" i="4"/>
  <c r="P4843" i="4"/>
  <c r="O4843" i="4"/>
  <c r="N4843" i="4"/>
  <c r="M4843" i="4"/>
  <c r="L4843" i="4"/>
  <c r="K4843" i="4"/>
  <c r="J4843" i="4"/>
  <c r="I4843" i="4"/>
  <c r="H4843" i="4"/>
  <c r="Q4842" i="4"/>
  <c r="P4842" i="4"/>
  <c r="O4842" i="4"/>
  <c r="N4842" i="4"/>
  <c r="M4842" i="4"/>
  <c r="L4842" i="4"/>
  <c r="K4842" i="4"/>
  <c r="J4842" i="4"/>
  <c r="I4842" i="4"/>
  <c r="H4842" i="4"/>
  <c r="Q4841" i="4"/>
  <c r="P4841" i="4"/>
  <c r="O4841" i="4"/>
  <c r="N4841" i="4"/>
  <c r="M4841" i="4"/>
  <c r="L4841" i="4"/>
  <c r="K4841" i="4"/>
  <c r="J4841" i="4"/>
  <c r="I4841" i="4"/>
  <c r="H4841" i="4"/>
  <c r="Q4840" i="4"/>
  <c r="P4840" i="4"/>
  <c r="O4840" i="4"/>
  <c r="N4840" i="4"/>
  <c r="M4840" i="4"/>
  <c r="L4840" i="4"/>
  <c r="K4840" i="4"/>
  <c r="J4840" i="4"/>
  <c r="I4840" i="4"/>
  <c r="H4840" i="4"/>
  <c r="Q4839" i="4"/>
  <c r="P4839" i="4"/>
  <c r="O4839" i="4"/>
  <c r="N4839" i="4"/>
  <c r="M4839" i="4"/>
  <c r="L4839" i="4"/>
  <c r="K4839" i="4"/>
  <c r="J4839" i="4"/>
  <c r="I4839" i="4"/>
  <c r="H4839" i="4"/>
  <c r="Q4838" i="4"/>
  <c r="P4838" i="4"/>
  <c r="O4838" i="4"/>
  <c r="N4838" i="4"/>
  <c r="M4838" i="4"/>
  <c r="L4838" i="4"/>
  <c r="K4838" i="4"/>
  <c r="J4838" i="4"/>
  <c r="I4838" i="4"/>
  <c r="H4838" i="4"/>
  <c r="Q4837" i="4"/>
  <c r="P4837" i="4"/>
  <c r="O4837" i="4"/>
  <c r="N4837" i="4"/>
  <c r="M4837" i="4"/>
  <c r="L4837" i="4"/>
  <c r="K4837" i="4"/>
  <c r="J4837" i="4"/>
  <c r="I4837" i="4"/>
  <c r="H4837" i="4"/>
  <c r="Q4836" i="4"/>
  <c r="P4836" i="4"/>
  <c r="O4836" i="4"/>
  <c r="N4836" i="4"/>
  <c r="M4836" i="4"/>
  <c r="L4836" i="4"/>
  <c r="K4836" i="4"/>
  <c r="J4836" i="4"/>
  <c r="I4836" i="4"/>
  <c r="H4836" i="4"/>
  <c r="Q4835" i="4"/>
  <c r="P4835" i="4"/>
  <c r="O4835" i="4"/>
  <c r="N4835" i="4"/>
  <c r="M4835" i="4"/>
  <c r="L4835" i="4"/>
  <c r="K4835" i="4"/>
  <c r="J4835" i="4"/>
  <c r="I4835" i="4"/>
  <c r="H4835" i="4"/>
  <c r="Q4834" i="4"/>
  <c r="P4834" i="4"/>
  <c r="O4834" i="4"/>
  <c r="N4834" i="4"/>
  <c r="M4834" i="4"/>
  <c r="L4834" i="4"/>
  <c r="K4834" i="4"/>
  <c r="J4834" i="4"/>
  <c r="I4834" i="4"/>
  <c r="H4834" i="4"/>
  <c r="Q4833" i="4"/>
  <c r="P4833" i="4"/>
  <c r="O4833" i="4"/>
  <c r="N4833" i="4"/>
  <c r="M4833" i="4"/>
  <c r="L4833" i="4"/>
  <c r="K4833" i="4"/>
  <c r="J4833" i="4"/>
  <c r="I4833" i="4"/>
  <c r="H4833" i="4"/>
  <c r="Q4832" i="4"/>
  <c r="P4832" i="4"/>
  <c r="O4832" i="4"/>
  <c r="N4832" i="4"/>
  <c r="M4832" i="4"/>
  <c r="L4832" i="4"/>
  <c r="K4832" i="4"/>
  <c r="J4832" i="4"/>
  <c r="I4832" i="4"/>
  <c r="H4832" i="4"/>
  <c r="Q4831" i="4"/>
  <c r="P4831" i="4"/>
  <c r="O4831" i="4"/>
  <c r="N4831" i="4"/>
  <c r="M4831" i="4"/>
  <c r="L4831" i="4"/>
  <c r="K4831" i="4"/>
  <c r="J4831" i="4"/>
  <c r="I4831" i="4"/>
  <c r="H4831" i="4"/>
  <c r="Q4830" i="4"/>
  <c r="P4830" i="4"/>
  <c r="O4830" i="4"/>
  <c r="N4830" i="4"/>
  <c r="M4830" i="4"/>
  <c r="L4830" i="4"/>
  <c r="K4830" i="4"/>
  <c r="J4830" i="4"/>
  <c r="I4830" i="4"/>
  <c r="H4830" i="4"/>
  <c r="Q4829" i="4"/>
  <c r="P4829" i="4"/>
  <c r="O4829" i="4"/>
  <c r="N4829" i="4"/>
  <c r="M4829" i="4"/>
  <c r="L4829" i="4"/>
  <c r="K4829" i="4"/>
  <c r="J4829" i="4"/>
  <c r="I4829" i="4"/>
  <c r="H4829" i="4"/>
  <c r="Q4828" i="4"/>
  <c r="P4828" i="4"/>
  <c r="O4828" i="4"/>
  <c r="N4828" i="4"/>
  <c r="M4828" i="4"/>
  <c r="L4828" i="4"/>
  <c r="K4828" i="4"/>
  <c r="J4828" i="4"/>
  <c r="I4828" i="4"/>
  <c r="H4828" i="4"/>
  <c r="Q4827" i="4"/>
  <c r="P4827" i="4"/>
  <c r="O4827" i="4"/>
  <c r="N4827" i="4"/>
  <c r="M4827" i="4"/>
  <c r="L4827" i="4"/>
  <c r="K4827" i="4"/>
  <c r="J4827" i="4"/>
  <c r="I4827" i="4"/>
  <c r="H4827" i="4"/>
  <c r="Q4826" i="4"/>
  <c r="P4826" i="4"/>
  <c r="O4826" i="4"/>
  <c r="N4826" i="4"/>
  <c r="M4826" i="4"/>
  <c r="L4826" i="4"/>
  <c r="K4826" i="4"/>
  <c r="J4826" i="4"/>
  <c r="I4826" i="4"/>
  <c r="H4826" i="4"/>
  <c r="Q4825" i="4"/>
  <c r="P4825" i="4"/>
  <c r="O4825" i="4"/>
  <c r="N4825" i="4"/>
  <c r="M4825" i="4"/>
  <c r="L4825" i="4"/>
  <c r="K4825" i="4"/>
  <c r="J4825" i="4"/>
  <c r="I4825" i="4"/>
  <c r="H4825" i="4"/>
  <c r="Q4824" i="4"/>
  <c r="P4824" i="4"/>
  <c r="O4824" i="4"/>
  <c r="N4824" i="4"/>
  <c r="M4824" i="4"/>
  <c r="L4824" i="4"/>
  <c r="K4824" i="4"/>
  <c r="J4824" i="4"/>
  <c r="I4824" i="4"/>
  <c r="H4824" i="4"/>
  <c r="Q4823" i="4"/>
  <c r="P4823" i="4"/>
  <c r="O4823" i="4"/>
  <c r="N4823" i="4"/>
  <c r="M4823" i="4"/>
  <c r="L4823" i="4"/>
  <c r="K4823" i="4"/>
  <c r="J4823" i="4"/>
  <c r="I4823" i="4"/>
  <c r="H4823" i="4"/>
  <c r="Q4822" i="4"/>
  <c r="P4822" i="4"/>
  <c r="O4822" i="4"/>
  <c r="N4822" i="4"/>
  <c r="M4822" i="4"/>
  <c r="L4822" i="4"/>
  <c r="K4822" i="4"/>
  <c r="J4822" i="4"/>
  <c r="I4822" i="4"/>
  <c r="H4822" i="4"/>
  <c r="Q4821" i="4"/>
  <c r="P4821" i="4"/>
  <c r="O4821" i="4"/>
  <c r="N4821" i="4"/>
  <c r="M4821" i="4"/>
  <c r="L4821" i="4"/>
  <c r="K4821" i="4"/>
  <c r="J4821" i="4"/>
  <c r="I4821" i="4"/>
  <c r="H4821" i="4"/>
  <c r="Q4820" i="4"/>
  <c r="P4820" i="4"/>
  <c r="O4820" i="4"/>
  <c r="N4820" i="4"/>
  <c r="M4820" i="4"/>
  <c r="L4820" i="4"/>
  <c r="K4820" i="4"/>
  <c r="J4820" i="4"/>
  <c r="I4820" i="4"/>
  <c r="H4820" i="4"/>
  <c r="Q4819" i="4"/>
  <c r="P4819" i="4"/>
  <c r="O4819" i="4"/>
  <c r="N4819" i="4"/>
  <c r="M4819" i="4"/>
  <c r="L4819" i="4"/>
  <c r="K4819" i="4"/>
  <c r="J4819" i="4"/>
  <c r="I4819" i="4"/>
  <c r="H4819" i="4"/>
  <c r="Q4818" i="4"/>
  <c r="P4818" i="4"/>
  <c r="O4818" i="4"/>
  <c r="N4818" i="4"/>
  <c r="M4818" i="4"/>
  <c r="L4818" i="4"/>
  <c r="K4818" i="4"/>
  <c r="J4818" i="4"/>
  <c r="I4818" i="4"/>
  <c r="H4818" i="4"/>
  <c r="Q4817" i="4"/>
  <c r="P4817" i="4"/>
  <c r="O4817" i="4"/>
  <c r="N4817" i="4"/>
  <c r="M4817" i="4"/>
  <c r="L4817" i="4"/>
  <c r="K4817" i="4"/>
  <c r="J4817" i="4"/>
  <c r="I4817" i="4"/>
  <c r="H4817" i="4"/>
  <c r="Q4816" i="4"/>
  <c r="P4816" i="4"/>
  <c r="O4816" i="4"/>
  <c r="N4816" i="4"/>
  <c r="M4816" i="4"/>
  <c r="L4816" i="4"/>
  <c r="K4816" i="4"/>
  <c r="J4816" i="4"/>
  <c r="I4816" i="4"/>
  <c r="H4816" i="4"/>
  <c r="Q4815" i="4"/>
  <c r="P4815" i="4"/>
  <c r="O4815" i="4"/>
  <c r="N4815" i="4"/>
  <c r="M4815" i="4"/>
  <c r="L4815" i="4"/>
  <c r="K4815" i="4"/>
  <c r="J4815" i="4"/>
  <c r="I4815" i="4"/>
  <c r="H4815" i="4"/>
  <c r="Q4814" i="4"/>
  <c r="P4814" i="4"/>
  <c r="O4814" i="4"/>
  <c r="N4814" i="4"/>
  <c r="M4814" i="4"/>
  <c r="L4814" i="4"/>
  <c r="K4814" i="4"/>
  <c r="J4814" i="4"/>
  <c r="I4814" i="4"/>
  <c r="H4814" i="4"/>
  <c r="Q4813" i="4"/>
  <c r="P4813" i="4"/>
  <c r="O4813" i="4"/>
  <c r="N4813" i="4"/>
  <c r="M4813" i="4"/>
  <c r="L4813" i="4"/>
  <c r="K4813" i="4"/>
  <c r="J4813" i="4"/>
  <c r="I4813" i="4"/>
  <c r="H4813" i="4"/>
  <c r="Q4812" i="4"/>
  <c r="P4812" i="4"/>
  <c r="O4812" i="4"/>
  <c r="N4812" i="4"/>
  <c r="M4812" i="4"/>
  <c r="L4812" i="4"/>
  <c r="K4812" i="4"/>
  <c r="J4812" i="4"/>
  <c r="I4812" i="4"/>
  <c r="H4812" i="4"/>
  <c r="Q4811" i="4"/>
  <c r="P4811" i="4"/>
  <c r="O4811" i="4"/>
  <c r="N4811" i="4"/>
  <c r="M4811" i="4"/>
  <c r="L4811" i="4"/>
  <c r="K4811" i="4"/>
  <c r="J4811" i="4"/>
  <c r="I4811" i="4"/>
  <c r="H4811" i="4"/>
  <c r="Q4810" i="4"/>
  <c r="P4810" i="4"/>
  <c r="O4810" i="4"/>
  <c r="N4810" i="4"/>
  <c r="M4810" i="4"/>
  <c r="L4810" i="4"/>
  <c r="K4810" i="4"/>
  <c r="J4810" i="4"/>
  <c r="I4810" i="4"/>
  <c r="H4810" i="4"/>
  <c r="Q4809" i="4"/>
  <c r="P4809" i="4"/>
  <c r="O4809" i="4"/>
  <c r="N4809" i="4"/>
  <c r="M4809" i="4"/>
  <c r="L4809" i="4"/>
  <c r="K4809" i="4"/>
  <c r="J4809" i="4"/>
  <c r="I4809" i="4"/>
  <c r="H4809" i="4"/>
  <c r="Q4808" i="4"/>
  <c r="P4808" i="4"/>
  <c r="O4808" i="4"/>
  <c r="N4808" i="4"/>
  <c r="M4808" i="4"/>
  <c r="L4808" i="4"/>
  <c r="K4808" i="4"/>
  <c r="J4808" i="4"/>
  <c r="I4808" i="4"/>
  <c r="H4808" i="4"/>
  <c r="Q4807" i="4"/>
  <c r="P4807" i="4"/>
  <c r="O4807" i="4"/>
  <c r="N4807" i="4"/>
  <c r="M4807" i="4"/>
  <c r="L4807" i="4"/>
  <c r="K4807" i="4"/>
  <c r="J4807" i="4"/>
  <c r="I4807" i="4"/>
  <c r="H4807" i="4"/>
  <c r="Q4806" i="4"/>
  <c r="P4806" i="4"/>
  <c r="O4806" i="4"/>
  <c r="N4806" i="4"/>
  <c r="M4806" i="4"/>
  <c r="L4806" i="4"/>
  <c r="K4806" i="4"/>
  <c r="J4806" i="4"/>
  <c r="I4806" i="4"/>
  <c r="H4806" i="4"/>
  <c r="Q4805" i="4"/>
  <c r="P4805" i="4"/>
  <c r="O4805" i="4"/>
  <c r="N4805" i="4"/>
  <c r="M4805" i="4"/>
  <c r="L4805" i="4"/>
  <c r="K4805" i="4"/>
  <c r="J4805" i="4"/>
  <c r="I4805" i="4"/>
  <c r="H4805" i="4"/>
  <c r="Q4804" i="4"/>
  <c r="P4804" i="4"/>
  <c r="O4804" i="4"/>
  <c r="N4804" i="4"/>
  <c r="M4804" i="4"/>
  <c r="L4804" i="4"/>
  <c r="K4804" i="4"/>
  <c r="J4804" i="4"/>
  <c r="I4804" i="4"/>
  <c r="H4804" i="4"/>
  <c r="Q4803" i="4"/>
  <c r="P4803" i="4"/>
  <c r="O4803" i="4"/>
  <c r="N4803" i="4"/>
  <c r="M4803" i="4"/>
  <c r="L4803" i="4"/>
  <c r="K4803" i="4"/>
  <c r="J4803" i="4"/>
  <c r="I4803" i="4"/>
  <c r="H4803" i="4"/>
  <c r="Q4802" i="4"/>
  <c r="P4802" i="4"/>
  <c r="O4802" i="4"/>
  <c r="N4802" i="4"/>
  <c r="M4802" i="4"/>
  <c r="L4802" i="4"/>
  <c r="K4802" i="4"/>
  <c r="J4802" i="4"/>
  <c r="I4802" i="4"/>
  <c r="H4802" i="4"/>
  <c r="Q4801" i="4"/>
  <c r="P4801" i="4"/>
  <c r="O4801" i="4"/>
  <c r="N4801" i="4"/>
  <c r="M4801" i="4"/>
  <c r="L4801" i="4"/>
  <c r="K4801" i="4"/>
  <c r="J4801" i="4"/>
  <c r="I4801" i="4"/>
  <c r="H4801" i="4"/>
  <c r="Q4800" i="4"/>
  <c r="P4800" i="4"/>
  <c r="O4800" i="4"/>
  <c r="N4800" i="4"/>
  <c r="M4800" i="4"/>
  <c r="L4800" i="4"/>
  <c r="K4800" i="4"/>
  <c r="J4800" i="4"/>
  <c r="I4800" i="4"/>
  <c r="H4800" i="4"/>
  <c r="Q4799" i="4"/>
  <c r="P4799" i="4"/>
  <c r="O4799" i="4"/>
  <c r="N4799" i="4"/>
  <c r="M4799" i="4"/>
  <c r="L4799" i="4"/>
  <c r="K4799" i="4"/>
  <c r="J4799" i="4"/>
  <c r="I4799" i="4"/>
  <c r="H4799" i="4"/>
  <c r="Q4798" i="4"/>
  <c r="P4798" i="4"/>
  <c r="O4798" i="4"/>
  <c r="N4798" i="4"/>
  <c r="M4798" i="4"/>
  <c r="L4798" i="4"/>
  <c r="K4798" i="4"/>
  <c r="J4798" i="4"/>
  <c r="I4798" i="4"/>
  <c r="H4798" i="4"/>
  <c r="Q4797" i="4"/>
  <c r="P4797" i="4"/>
  <c r="O4797" i="4"/>
  <c r="N4797" i="4"/>
  <c r="M4797" i="4"/>
  <c r="L4797" i="4"/>
  <c r="K4797" i="4"/>
  <c r="J4797" i="4"/>
  <c r="I4797" i="4"/>
  <c r="H4797" i="4"/>
  <c r="Q4796" i="4"/>
  <c r="P4796" i="4"/>
  <c r="O4796" i="4"/>
  <c r="N4796" i="4"/>
  <c r="M4796" i="4"/>
  <c r="L4796" i="4"/>
  <c r="K4796" i="4"/>
  <c r="J4796" i="4"/>
  <c r="I4796" i="4"/>
  <c r="H4796" i="4"/>
  <c r="Q4795" i="4"/>
  <c r="P4795" i="4"/>
  <c r="O4795" i="4"/>
  <c r="N4795" i="4"/>
  <c r="M4795" i="4"/>
  <c r="L4795" i="4"/>
  <c r="K4795" i="4"/>
  <c r="J4795" i="4"/>
  <c r="I4795" i="4"/>
  <c r="H4795" i="4"/>
  <c r="Q4794" i="4"/>
  <c r="P4794" i="4"/>
  <c r="O4794" i="4"/>
  <c r="N4794" i="4"/>
  <c r="M4794" i="4"/>
  <c r="L4794" i="4"/>
  <c r="K4794" i="4"/>
  <c r="J4794" i="4"/>
  <c r="I4794" i="4"/>
  <c r="H4794" i="4"/>
  <c r="Q4793" i="4"/>
  <c r="P4793" i="4"/>
  <c r="O4793" i="4"/>
  <c r="N4793" i="4"/>
  <c r="M4793" i="4"/>
  <c r="L4793" i="4"/>
  <c r="K4793" i="4"/>
  <c r="J4793" i="4"/>
  <c r="I4793" i="4"/>
  <c r="H4793" i="4"/>
  <c r="Q4792" i="4"/>
  <c r="P4792" i="4"/>
  <c r="O4792" i="4"/>
  <c r="N4792" i="4"/>
  <c r="M4792" i="4"/>
  <c r="L4792" i="4"/>
  <c r="K4792" i="4"/>
  <c r="J4792" i="4"/>
  <c r="I4792" i="4"/>
  <c r="H4792" i="4"/>
  <c r="Q4791" i="4"/>
  <c r="P4791" i="4"/>
  <c r="O4791" i="4"/>
  <c r="N4791" i="4"/>
  <c r="M4791" i="4"/>
  <c r="L4791" i="4"/>
  <c r="K4791" i="4"/>
  <c r="J4791" i="4"/>
  <c r="I4791" i="4"/>
  <c r="H4791" i="4"/>
  <c r="Q4790" i="4"/>
  <c r="P4790" i="4"/>
  <c r="O4790" i="4"/>
  <c r="N4790" i="4"/>
  <c r="M4790" i="4"/>
  <c r="L4790" i="4"/>
  <c r="K4790" i="4"/>
  <c r="J4790" i="4"/>
  <c r="I4790" i="4"/>
  <c r="H4790" i="4"/>
  <c r="Q4789" i="4"/>
  <c r="P4789" i="4"/>
  <c r="O4789" i="4"/>
  <c r="N4789" i="4"/>
  <c r="M4789" i="4"/>
  <c r="L4789" i="4"/>
  <c r="K4789" i="4"/>
  <c r="J4789" i="4"/>
  <c r="I4789" i="4"/>
  <c r="H4789" i="4"/>
  <c r="Q4788" i="4"/>
  <c r="P4788" i="4"/>
  <c r="O4788" i="4"/>
  <c r="N4788" i="4"/>
  <c r="M4788" i="4"/>
  <c r="L4788" i="4"/>
  <c r="K4788" i="4"/>
  <c r="J4788" i="4"/>
  <c r="I4788" i="4"/>
  <c r="H4788" i="4"/>
  <c r="Q4787" i="4"/>
  <c r="P4787" i="4"/>
  <c r="O4787" i="4"/>
  <c r="N4787" i="4"/>
  <c r="M4787" i="4"/>
  <c r="L4787" i="4"/>
  <c r="K4787" i="4"/>
  <c r="J4787" i="4"/>
  <c r="I4787" i="4"/>
  <c r="H4787" i="4"/>
  <c r="Q4786" i="4"/>
  <c r="P4786" i="4"/>
  <c r="O4786" i="4"/>
  <c r="N4786" i="4"/>
  <c r="M4786" i="4"/>
  <c r="L4786" i="4"/>
  <c r="K4786" i="4"/>
  <c r="J4786" i="4"/>
  <c r="I4786" i="4"/>
  <c r="H4786" i="4"/>
  <c r="Q4785" i="4"/>
  <c r="P4785" i="4"/>
  <c r="O4785" i="4"/>
  <c r="N4785" i="4"/>
  <c r="M4785" i="4"/>
  <c r="L4785" i="4"/>
  <c r="K4785" i="4"/>
  <c r="J4785" i="4"/>
  <c r="I4785" i="4"/>
  <c r="H4785" i="4"/>
  <c r="Q4784" i="4"/>
  <c r="P4784" i="4"/>
  <c r="O4784" i="4"/>
  <c r="N4784" i="4"/>
  <c r="M4784" i="4"/>
  <c r="L4784" i="4"/>
  <c r="K4784" i="4"/>
  <c r="J4784" i="4"/>
  <c r="I4784" i="4"/>
  <c r="H4784" i="4"/>
  <c r="Q4783" i="4"/>
  <c r="P4783" i="4"/>
  <c r="O4783" i="4"/>
  <c r="N4783" i="4"/>
  <c r="M4783" i="4"/>
  <c r="L4783" i="4"/>
  <c r="K4783" i="4"/>
  <c r="J4783" i="4"/>
  <c r="I4783" i="4"/>
  <c r="H4783" i="4"/>
  <c r="Q4782" i="4"/>
  <c r="P4782" i="4"/>
  <c r="O4782" i="4"/>
  <c r="N4782" i="4"/>
  <c r="M4782" i="4"/>
  <c r="L4782" i="4"/>
  <c r="K4782" i="4"/>
  <c r="J4782" i="4"/>
  <c r="I4782" i="4"/>
  <c r="H4782" i="4"/>
  <c r="Q4781" i="4"/>
  <c r="P4781" i="4"/>
  <c r="O4781" i="4"/>
  <c r="N4781" i="4"/>
  <c r="M4781" i="4"/>
  <c r="L4781" i="4"/>
  <c r="K4781" i="4"/>
  <c r="J4781" i="4"/>
  <c r="I4781" i="4"/>
  <c r="H4781" i="4"/>
  <c r="Q4780" i="4"/>
  <c r="P4780" i="4"/>
  <c r="O4780" i="4"/>
  <c r="N4780" i="4"/>
  <c r="M4780" i="4"/>
  <c r="L4780" i="4"/>
  <c r="K4780" i="4"/>
  <c r="J4780" i="4"/>
  <c r="I4780" i="4"/>
  <c r="H4780" i="4"/>
  <c r="Q4779" i="4"/>
  <c r="P4779" i="4"/>
  <c r="O4779" i="4"/>
  <c r="N4779" i="4"/>
  <c r="M4779" i="4"/>
  <c r="L4779" i="4"/>
  <c r="K4779" i="4"/>
  <c r="J4779" i="4"/>
  <c r="I4779" i="4"/>
  <c r="H4779" i="4"/>
  <c r="Q4778" i="4"/>
  <c r="P4778" i="4"/>
  <c r="O4778" i="4"/>
  <c r="N4778" i="4"/>
  <c r="M4778" i="4"/>
  <c r="L4778" i="4"/>
  <c r="K4778" i="4"/>
  <c r="J4778" i="4"/>
  <c r="I4778" i="4"/>
  <c r="H4778" i="4"/>
  <c r="Q4777" i="4"/>
  <c r="P4777" i="4"/>
  <c r="O4777" i="4"/>
  <c r="N4777" i="4"/>
  <c r="M4777" i="4"/>
  <c r="L4777" i="4"/>
  <c r="K4777" i="4"/>
  <c r="J4777" i="4"/>
  <c r="I4777" i="4"/>
  <c r="H4777" i="4"/>
  <c r="Q4776" i="4"/>
  <c r="P4776" i="4"/>
  <c r="O4776" i="4"/>
  <c r="N4776" i="4"/>
  <c r="M4776" i="4"/>
  <c r="L4776" i="4"/>
  <c r="K4776" i="4"/>
  <c r="J4776" i="4"/>
  <c r="I4776" i="4"/>
  <c r="H4776" i="4"/>
  <c r="Q4775" i="4"/>
  <c r="P4775" i="4"/>
  <c r="O4775" i="4"/>
  <c r="N4775" i="4"/>
  <c r="M4775" i="4"/>
  <c r="L4775" i="4"/>
  <c r="K4775" i="4"/>
  <c r="J4775" i="4"/>
  <c r="I4775" i="4"/>
  <c r="H4775" i="4"/>
  <c r="Q4774" i="4"/>
  <c r="P4774" i="4"/>
  <c r="O4774" i="4"/>
  <c r="N4774" i="4"/>
  <c r="M4774" i="4"/>
  <c r="L4774" i="4"/>
  <c r="K4774" i="4"/>
  <c r="J4774" i="4"/>
  <c r="I4774" i="4"/>
  <c r="H4774" i="4"/>
  <c r="Q4773" i="4"/>
  <c r="P4773" i="4"/>
  <c r="O4773" i="4"/>
  <c r="N4773" i="4"/>
  <c r="M4773" i="4"/>
  <c r="L4773" i="4"/>
  <c r="K4773" i="4"/>
  <c r="J4773" i="4"/>
  <c r="I4773" i="4"/>
  <c r="H4773" i="4"/>
  <c r="Q4772" i="4"/>
  <c r="P4772" i="4"/>
  <c r="O4772" i="4"/>
  <c r="N4772" i="4"/>
  <c r="M4772" i="4"/>
  <c r="L4772" i="4"/>
  <c r="K4772" i="4"/>
  <c r="J4772" i="4"/>
  <c r="I4772" i="4"/>
  <c r="H4772" i="4"/>
  <c r="Q4771" i="4"/>
  <c r="P4771" i="4"/>
  <c r="O4771" i="4"/>
  <c r="N4771" i="4"/>
  <c r="M4771" i="4"/>
  <c r="L4771" i="4"/>
  <c r="K4771" i="4"/>
  <c r="J4771" i="4"/>
  <c r="I4771" i="4"/>
  <c r="H4771" i="4"/>
  <c r="Q4770" i="4"/>
  <c r="P4770" i="4"/>
  <c r="O4770" i="4"/>
  <c r="N4770" i="4"/>
  <c r="M4770" i="4"/>
  <c r="L4770" i="4"/>
  <c r="K4770" i="4"/>
  <c r="J4770" i="4"/>
  <c r="I4770" i="4"/>
  <c r="H4770" i="4"/>
  <c r="Q4769" i="4"/>
  <c r="P4769" i="4"/>
  <c r="O4769" i="4"/>
  <c r="N4769" i="4"/>
  <c r="M4769" i="4"/>
  <c r="L4769" i="4"/>
  <c r="K4769" i="4"/>
  <c r="J4769" i="4"/>
  <c r="I4769" i="4"/>
  <c r="H4769" i="4"/>
  <c r="Q4768" i="4"/>
  <c r="P4768" i="4"/>
  <c r="O4768" i="4"/>
  <c r="N4768" i="4"/>
  <c r="M4768" i="4"/>
  <c r="L4768" i="4"/>
  <c r="K4768" i="4"/>
  <c r="J4768" i="4"/>
  <c r="I4768" i="4"/>
  <c r="H4768" i="4"/>
  <c r="Q4767" i="4"/>
  <c r="P4767" i="4"/>
  <c r="O4767" i="4"/>
  <c r="N4767" i="4"/>
  <c r="M4767" i="4"/>
  <c r="L4767" i="4"/>
  <c r="K4767" i="4"/>
  <c r="J4767" i="4"/>
  <c r="I4767" i="4"/>
  <c r="H4767" i="4"/>
  <c r="Q4766" i="4"/>
  <c r="P4766" i="4"/>
  <c r="O4766" i="4"/>
  <c r="N4766" i="4"/>
  <c r="M4766" i="4"/>
  <c r="L4766" i="4"/>
  <c r="K4766" i="4"/>
  <c r="J4766" i="4"/>
  <c r="I4766" i="4"/>
  <c r="H4766" i="4"/>
  <c r="Q4765" i="4"/>
  <c r="P4765" i="4"/>
  <c r="O4765" i="4"/>
  <c r="N4765" i="4"/>
  <c r="M4765" i="4"/>
  <c r="L4765" i="4"/>
  <c r="K4765" i="4"/>
  <c r="J4765" i="4"/>
  <c r="I4765" i="4"/>
  <c r="H4765" i="4"/>
  <c r="Q4764" i="4"/>
  <c r="P4764" i="4"/>
  <c r="O4764" i="4"/>
  <c r="N4764" i="4"/>
  <c r="M4764" i="4"/>
  <c r="L4764" i="4"/>
  <c r="K4764" i="4"/>
  <c r="J4764" i="4"/>
  <c r="I4764" i="4"/>
  <c r="H4764" i="4"/>
  <c r="Q4763" i="4"/>
  <c r="P4763" i="4"/>
  <c r="O4763" i="4"/>
  <c r="N4763" i="4"/>
  <c r="M4763" i="4"/>
  <c r="L4763" i="4"/>
  <c r="K4763" i="4"/>
  <c r="J4763" i="4"/>
  <c r="I4763" i="4"/>
  <c r="H4763" i="4"/>
  <c r="Q4762" i="4"/>
  <c r="P4762" i="4"/>
  <c r="O4762" i="4"/>
  <c r="N4762" i="4"/>
  <c r="M4762" i="4"/>
  <c r="L4762" i="4"/>
  <c r="K4762" i="4"/>
  <c r="J4762" i="4"/>
  <c r="I4762" i="4"/>
  <c r="H4762" i="4"/>
  <c r="Q4761" i="4"/>
  <c r="P4761" i="4"/>
  <c r="O4761" i="4"/>
  <c r="N4761" i="4"/>
  <c r="M4761" i="4"/>
  <c r="L4761" i="4"/>
  <c r="K4761" i="4"/>
  <c r="J4761" i="4"/>
  <c r="I4761" i="4"/>
  <c r="H4761" i="4"/>
  <c r="Q4760" i="4"/>
  <c r="P4760" i="4"/>
  <c r="O4760" i="4"/>
  <c r="N4760" i="4"/>
  <c r="M4760" i="4"/>
  <c r="L4760" i="4"/>
  <c r="K4760" i="4"/>
  <c r="J4760" i="4"/>
  <c r="I4760" i="4"/>
  <c r="H4760" i="4"/>
  <c r="Q4759" i="4"/>
  <c r="P4759" i="4"/>
  <c r="O4759" i="4"/>
  <c r="N4759" i="4"/>
  <c r="M4759" i="4"/>
  <c r="L4759" i="4"/>
  <c r="K4759" i="4"/>
  <c r="J4759" i="4"/>
  <c r="I4759" i="4"/>
  <c r="H4759" i="4"/>
  <c r="Q4758" i="4"/>
  <c r="P4758" i="4"/>
  <c r="O4758" i="4"/>
  <c r="N4758" i="4"/>
  <c r="M4758" i="4"/>
  <c r="L4758" i="4"/>
  <c r="K4758" i="4"/>
  <c r="J4758" i="4"/>
  <c r="I4758" i="4"/>
  <c r="H4758" i="4"/>
  <c r="Q4757" i="4"/>
  <c r="P4757" i="4"/>
  <c r="O4757" i="4"/>
  <c r="N4757" i="4"/>
  <c r="M4757" i="4"/>
  <c r="L4757" i="4"/>
  <c r="K4757" i="4"/>
  <c r="J4757" i="4"/>
  <c r="I4757" i="4"/>
  <c r="H4757" i="4"/>
  <c r="Q4756" i="4"/>
  <c r="P4756" i="4"/>
  <c r="O4756" i="4"/>
  <c r="N4756" i="4"/>
  <c r="M4756" i="4"/>
  <c r="L4756" i="4"/>
  <c r="K4756" i="4"/>
  <c r="J4756" i="4"/>
  <c r="I4756" i="4"/>
  <c r="H4756" i="4"/>
  <c r="Q4755" i="4"/>
  <c r="P4755" i="4"/>
  <c r="O4755" i="4"/>
  <c r="N4755" i="4"/>
  <c r="M4755" i="4"/>
  <c r="L4755" i="4"/>
  <c r="K4755" i="4"/>
  <c r="J4755" i="4"/>
  <c r="I4755" i="4"/>
  <c r="H4755" i="4"/>
  <c r="Q4754" i="4"/>
  <c r="P4754" i="4"/>
  <c r="O4754" i="4"/>
  <c r="N4754" i="4"/>
  <c r="M4754" i="4"/>
  <c r="L4754" i="4"/>
  <c r="K4754" i="4"/>
  <c r="J4754" i="4"/>
  <c r="I4754" i="4"/>
  <c r="H4754" i="4"/>
  <c r="Q4753" i="4"/>
  <c r="P4753" i="4"/>
  <c r="O4753" i="4"/>
  <c r="N4753" i="4"/>
  <c r="M4753" i="4"/>
  <c r="L4753" i="4"/>
  <c r="K4753" i="4"/>
  <c r="J4753" i="4"/>
  <c r="I4753" i="4"/>
  <c r="H4753" i="4"/>
  <c r="Q4752" i="4"/>
  <c r="P4752" i="4"/>
  <c r="O4752" i="4"/>
  <c r="N4752" i="4"/>
  <c r="M4752" i="4"/>
  <c r="L4752" i="4"/>
  <c r="K4752" i="4"/>
  <c r="J4752" i="4"/>
  <c r="I4752" i="4"/>
  <c r="H4752" i="4"/>
  <c r="Q4751" i="4"/>
  <c r="P4751" i="4"/>
  <c r="O4751" i="4"/>
  <c r="N4751" i="4"/>
  <c r="M4751" i="4"/>
  <c r="L4751" i="4"/>
  <c r="K4751" i="4"/>
  <c r="J4751" i="4"/>
  <c r="I4751" i="4"/>
  <c r="H4751" i="4"/>
  <c r="Q4750" i="4"/>
  <c r="P4750" i="4"/>
  <c r="O4750" i="4"/>
  <c r="N4750" i="4"/>
  <c r="M4750" i="4"/>
  <c r="L4750" i="4"/>
  <c r="K4750" i="4"/>
  <c r="J4750" i="4"/>
  <c r="I4750" i="4"/>
  <c r="H4750" i="4"/>
  <c r="Q4749" i="4"/>
  <c r="P4749" i="4"/>
  <c r="O4749" i="4"/>
  <c r="N4749" i="4"/>
  <c r="M4749" i="4"/>
  <c r="L4749" i="4"/>
  <c r="K4749" i="4"/>
  <c r="J4749" i="4"/>
  <c r="I4749" i="4"/>
  <c r="H4749" i="4"/>
  <c r="Q4748" i="4"/>
  <c r="P4748" i="4"/>
  <c r="O4748" i="4"/>
  <c r="N4748" i="4"/>
  <c r="M4748" i="4"/>
  <c r="L4748" i="4"/>
  <c r="K4748" i="4"/>
  <c r="J4748" i="4"/>
  <c r="I4748" i="4"/>
  <c r="H4748" i="4"/>
  <c r="Q4747" i="4"/>
  <c r="P4747" i="4"/>
  <c r="O4747" i="4"/>
  <c r="N4747" i="4"/>
  <c r="M4747" i="4"/>
  <c r="L4747" i="4"/>
  <c r="K4747" i="4"/>
  <c r="J4747" i="4"/>
  <c r="I4747" i="4"/>
  <c r="H4747" i="4"/>
  <c r="Q4746" i="4"/>
  <c r="P4746" i="4"/>
  <c r="O4746" i="4"/>
  <c r="N4746" i="4"/>
  <c r="M4746" i="4"/>
  <c r="L4746" i="4"/>
  <c r="K4746" i="4"/>
  <c r="J4746" i="4"/>
  <c r="I4746" i="4"/>
  <c r="H4746" i="4"/>
  <c r="Q4745" i="4"/>
  <c r="P4745" i="4"/>
  <c r="O4745" i="4"/>
  <c r="N4745" i="4"/>
  <c r="M4745" i="4"/>
  <c r="L4745" i="4"/>
  <c r="K4745" i="4"/>
  <c r="J4745" i="4"/>
  <c r="I4745" i="4"/>
  <c r="H4745" i="4"/>
  <c r="Q4744" i="4"/>
  <c r="P4744" i="4"/>
  <c r="O4744" i="4"/>
  <c r="N4744" i="4"/>
  <c r="M4744" i="4"/>
  <c r="L4744" i="4"/>
  <c r="K4744" i="4"/>
  <c r="J4744" i="4"/>
  <c r="I4744" i="4"/>
  <c r="H4744" i="4"/>
  <c r="Q4743" i="4"/>
  <c r="P4743" i="4"/>
  <c r="O4743" i="4"/>
  <c r="N4743" i="4"/>
  <c r="M4743" i="4"/>
  <c r="L4743" i="4"/>
  <c r="K4743" i="4"/>
  <c r="J4743" i="4"/>
  <c r="I4743" i="4"/>
  <c r="H4743" i="4"/>
  <c r="Q4742" i="4"/>
  <c r="P4742" i="4"/>
  <c r="O4742" i="4"/>
  <c r="N4742" i="4"/>
  <c r="M4742" i="4"/>
  <c r="L4742" i="4"/>
  <c r="K4742" i="4"/>
  <c r="J4742" i="4"/>
  <c r="I4742" i="4"/>
  <c r="H4742" i="4"/>
  <c r="Q4741" i="4"/>
  <c r="P4741" i="4"/>
  <c r="O4741" i="4"/>
  <c r="N4741" i="4"/>
  <c r="M4741" i="4"/>
  <c r="L4741" i="4"/>
  <c r="K4741" i="4"/>
  <c r="J4741" i="4"/>
  <c r="I4741" i="4"/>
  <c r="H4741" i="4"/>
  <c r="Q4740" i="4"/>
  <c r="P4740" i="4"/>
  <c r="O4740" i="4"/>
  <c r="N4740" i="4"/>
  <c r="M4740" i="4"/>
  <c r="L4740" i="4"/>
  <c r="K4740" i="4"/>
  <c r="J4740" i="4"/>
  <c r="I4740" i="4"/>
  <c r="H4740" i="4"/>
  <c r="Q4739" i="4"/>
  <c r="P4739" i="4"/>
  <c r="O4739" i="4"/>
  <c r="N4739" i="4"/>
  <c r="M4739" i="4"/>
  <c r="L4739" i="4"/>
  <c r="K4739" i="4"/>
  <c r="J4739" i="4"/>
  <c r="I4739" i="4"/>
  <c r="H4739" i="4"/>
  <c r="Q4738" i="4"/>
  <c r="P4738" i="4"/>
  <c r="O4738" i="4"/>
  <c r="N4738" i="4"/>
  <c r="M4738" i="4"/>
  <c r="L4738" i="4"/>
  <c r="K4738" i="4"/>
  <c r="J4738" i="4"/>
  <c r="I4738" i="4"/>
  <c r="H4738" i="4"/>
  <c r="Q4737" i="4"/>
  <c r="P4737" i="4"/>
  <c r="O4737" i="4"/>
  <c r="N4737" i="4"/>
  <c r="M4737" i="4"/>
  <c r="L4737" i="4"/>
  <c r="K4737" i="4"/>
  <c r="J4737" i="4"/>
  <c r="I4737" i="4"/>
  <c r="H4737" i="4"/>
  <c r="Q4736" i="4"/>
  <c r="P4736" i="4"/>
  <c r="O4736" i="4"/>
  <c r="N4736" i="4"/>
  <c r="M4736" i="4"/>
  <c r="L4736" i="4"/>
  <c r="K4736" i="4"/>
  <c r="J4736" i="4"/>
  <c r="I4736" i="4"/>
  <c r="H4736" i="4"/>
  <c r="Q4735" i="4"/>
  <c r="P4735" i="4"/>
  <c r="O4735" i="4"/>
  <c r="N4735" i="4"/>
  <c r="M4735" i="4"/>
  <c r="L4735" i="4"/>
  <c r="K4735" i="4"/>
  <c r="J4735" i="4"/>
  <c r="I4735" i="4"/>
  <c r="H4735" i="4"/>
  <c r="Q4734" i="4"/>
  <c r="P4734" i="4"/>
  <c r="O4734" i="4"/>
  <c r="N4734" i="4"/>
  <c r="M4734" i="4"/>
  <c r="L4734" i="4"/>
  <c r="K4734" i="4"/>
  <c r="J4734" i="4"/>
  <c r="I4734" i="4"/>
  <c r="H4734" i="4"/>
  <c r="Q4733" i="4"/>
  <c r="P4733" i="4"/>
  <c r="O4733" i="4"/>
  <c r="N4733" i="4"/>
  <c r="M4733" i="4"/>
  <c r="L4733" i="4"/>
  <c r="K4733" i="4"/>
  <c r="J4733" i="4"/>
  <c r="I4733" i="4"/>
  <c r="H4733" i="4"/>
  <c r="Q4732" i="4"/>
  <c r="P4732" i="4"/>
  <c r="O4732" i="4"/>
  <c r="N4732" i="4"/>
  <c r="M4732" i="4"/>
  <c r="L4732" i="4"/>
  <c r="K4732" i="4"/>
  <c r="J4732" i="4"/>
  <c r="I4732" i="4"/>
  <c r="H4732" i="4"/>
  <c r="Q4731" i="4"/>
  <c r="P4731" i="4"/>
  <c r="O4731" i="4"/>
  <c r="N4731" i="4"/>
  <c r="M4731" i="4"/>
  <c r="L4731" i="4"/>
  <c r="K4731" i="4"/>
  <c r="J4731" i="4"/>
  <c r="I4731" i="4"/>
  <c r="H4731" i="4"/>
  <c r="Q4730" i="4"/>
  <c r="P4730" i="4"/>
  <c r="O4730" i="4"/>
  <c r="N4730" i="4"/>
  <c r="M4730" i="4"/>
  <c r="L4730" i="4"/>
  <c r="K4730" i="4"/>
  <c r="J4730" i="4"/>
  <c r="I4730" i="4"/>
  <c r="H4730" i="4"/>
  <c r="Q4729" i="4"/>
  <c r="P4729" i="4"/>
  <c r="O4729" i="4"/>
  <c r="N4729" i="4"/>
  <c r="M4729" i="4"/>
  <c r="L4729" i="4"/>
  <c r="K4729" i="4"/>
  <c r="J4729" i="4"/>
  <c r="I4729" i="4"/>
  <c r="H4729" i="4"/>
  <c r="Q4728" i="4"/>
  <c r="P4728" i="4"/>
  <c r="O4728" i="4"/>
  <c r="N4728" i="4"/>
  <c r="M4728" i="4"/>
  <c r="L4728" i="4"/>
  <c r="K4728" i="4"/>
  <c r="J4728" i="4"/>
  <c r="I4728" i="4"/>
  <c r="H4728" i="4"/>
  <c r="Q4727" i="4"/>
  <c r="P4727" i="4"/>
  <c r="O4727" i="4"/>
  <c r="N4727" i="4"/>
  <c r="M4727" i="4"/>
  <c r="L4727" i="4"/>
  <c r="K4727" i="4"/>
  <c r="J4727" i="4"/>
  <c r="I4727" i="4"/>
  <c r="H4727" i="4"/>
  <c r="Q4726" i="4"/>
  <c r="P4726" i="4"/>
  <c r="O4726" i="4"/>
  <c r="N4726" i="4"/>
  <c r="M4726" i="4"/>
  <c r="L4726" i="4"/>
  <c r="K4726" i="4"/>
  <c r="J4726" i="4"/>
  <c r="I4726" i="4"/>
  <c r="H4726" i="4"/>
  <c r="Q4725" i="4"/>
  <c r="P4725" i="4"/>
  <c r="O4725" i="4"/>
  <c r="N4725" i="4"/>
  <c r="M4725" i="4"/>
  <c r="L4725" i="4"/>
  <c r="K4725" i="4"/>
  <c r="J4725" i="4"/>
  <c r="I4725" i="4"/>
  <c r="H4725" i="4"/>
  <c r="Q4724" i="4"/>
  <c r="P4724" i="4"/>
  <c r="O4724" i="4"/>
  <c r="N4724" i="4"/>
  <c r="M4724" i="4"/>
  <c r="L4724" i="4"/>
  <c r="K4724" i="4"/>
  <c r="J4724" i="4"/>
  <c r="I4724" i="4"/>
  <c r="H4724" i="4"/>
  <c r="Q4723" i="4"/>
  <c r="P4723" i="4"/>
  <c r="O4723" i="4"/>
  <c r="N4723" i="4"/>
  <c r="M4723" i="4"/>
  <c r="L4723" i="4"/>
  <c r="K4723" i="4"/>
  <c r="J4723" i="4"/>
  <c r="I4723" i="4"/>
  <c r="H4723" i="4"/>
  <c r="Q4722" i="4"/>
  <c r="P4722" i="4"/>
  <c r="O4722" i="4"/>
  <c r="N4722" i="4"/>
  <c r="M4722" i="4"/>
  <c r="L4722" i="4"/>
  <c r="K4722" i="4"/>
  <c r="J4722" i="4"/>
  <c r="I4722" i="4"/>
  <c r="H4722" i="4"/>
  <c r="Q4721" i="4"/>
  <c r="P4721" i="4"/>
  <c r="O4721" i="4"/>
  <c r="N4721" i="4"/>
  <c r="M4721" i="4"/>
  <c r="L4721" i="4"/>
  <c r="K4721" i="4"/>
  <c r="J4721" i="4"/>
  <c r="I4721" i="4"/>
  <c r="H4721" i="4"/>
  <c r="Q4720" i="4"/>
  <c r="P4720" i="4"/>
  <c r="O4720" i="4"/>
  <c r="N4720" i="4"/>
  <c r="M4720" i="4"/>
  <c r="L4720" i="4"/>
  <c r="K4720" i="4"/>
  <c r="J4720" i="4"/>
  <c r="I4720" i="4"/>
  <c r="H4720" i="4"/>
  <c r="Q4719" i="4"/>
  <c r="P4719" i="4"/>
  <c r="O4719" i="4"/>
  <c r="N4719" i="4"/>
  <c r="M4719" i="4"/>
  <c r="L4719" i="4"/>
  <c r="K4719" i="4"/>
  <c r="J4719" i="4"/>
  <c r="I4719" i="4"/>
  <c r="H4719" i="4"/>
  <c r="Q4718" i="4"/>
  <c r="P4718" i="4"/>
  <c r="O4718" i="4"/>
  <c r="N4718" i="4"/>
  <c r="M4718" i="4"/>
  <c r="L4718" i="4"/>
  <c r="K4718" i="4"/>
  <c r="J4718" i="4"/>
  <c r="I4718" i="4"/>
  <c r="H4718" i="4"/>
  <c r="Q4717" i="4"/>
  <c r="P4717" i="4"/>
  <c r="O4717" i="4"/>
  <c r="N4717" i="4"/>
  <c r="M4717" i="4"/>
  <c r="L4717" i="4"/>
  <c r="K4717" i="4"/>
  <c r="J4717" i="4"/>
  <c r="I4717" i="4"/>
  <c r="H4717" i="4"/>
  <c r="Q4716" i="4"/>
  <c r="P4716" i="4"/>
  <c r="O4716" i="4"/>
  <c r="N4716" i="4"/>
  <c r="M4716" i="4"/>
  <c r="L4716" i="4"/>
  <c r="K4716" i="4"/>
  <c r="J4716" i="4"/>
  <c r="I4716" i="4"/>
  <c r="H4716" i="4"/>
  <c r="Q4715" i="4"/>
  <c r="P4715" i="4"/>
  <c r="O4715" i="4"/>
  <c r="N4715" i="4"/>
  <c r="M4715" i="4"/>
  <c r="L4715" i="4"/>
  <c r="K4715" i="4"/>
  <c r="J4715" i="4"/>
  <c r="I4715" i="4"/>
  <c r="H4715" i="4"/>
  <c r="Q4714" i="4"/>
  <c r="P4714" i="4"/>
  <c r="O4714" i="4"/>
  <c r="N4714" i="4"/>
  <c r="M4714" i="4"/>
  <c r="L4714" i="4"/>
  <c r="K4714" i="4"/>
  <c r="J4714" i="4"/>
  <c r="I4714" i="4"/>
  <c r="H4714" i="4"/>
  <c r="Q4713" i="4"/>
  <c r="P4713" i="4"/>
  <c r="O4713" i="4"/>
  <c r="N4713" i="4"/>
  <c r="M4713" i="4"/>
  <c r="L4713" i="4"/>
  <c r="K4713" i="4"/>
  <c r="J4713" i="4"/>
  <c r="I4713" i="4"/>
  <c r="H4713" i="4"/>
  <c r="Q4712" i="4"/>
  <c r="P4712" i="4"/>
  <c r="O4712" i="4"/>
  <c r="N4712" i="4"/>
  <c r="M4712" i="4"/>
  <c r="L4712" i="4"/>
  <c r="K4712" i="4"/>
  <c r="J4712" i="4"/>
  <c r="I4712" i="4"/>
  <c r="H4712" i="4"/>
  <c r="Q4711" i="4"/>
  <c r="P4711" i="4"/>
  <c r="O4711" i="4"/>
  <c r="N4711" i="4"/>
  <c r="M4711" i="4"/>
  <c r="L4711" i="4"/>
  <c r="K4711" i="4"/>
  <c r="J4711" i="4"/>
  <c r="I4711" i="4"/>
  <c r="H4711" i="4"/>
  <c r="Q4710" i="4"/>
  <c r="P4710" i="4"/>
  <c r="O4710" i="4"/>
  <c r="N4710" i="4"/>
  <c r="M4710" i="4"/>
  <c r="L4710" i="4"/>
  <c r="K4710" i="4"/>
  <c r="J4710" i="4"/>
  <c r="I4710" i="4"/>
  <c r="H4710" i="4"/>
  <c r="Q4709" i="4"/>
  <c r="P4709" i="4"/>
  <c r="O4709" i="4"/>
  <c r="N4709" i="4"/>
  <c r="M4709" i="4"/>
  <c r="L4709" i="4"/>
  <c r="K4709" i="4"/>
  <c r="J4709" i="4"/>
  <c r="I4709" i="4"/>
  <c r="H4709" i="4"/>
  <c r="Q4708" i="4"/>
  <c r="P4708" i="4"/>
  <c r="O4708" i="4"/>
  <c r="N4708" i="4"/>
  <c r="M4708" i="4"/>
  <c r="L4708" i="4"/>
  <c r="K4708" i="4"/>
  <c r="J4708" i="4"/>
  <c r="I4708" i="4"/>
  <c r="H4708" i="4"/>
  <c r="Q4707" i="4"/>
  <c r="P4707" i="4"/>
  <c r="O4707" i="4"/>
  <c r="N4707" i="4"/>
  <c r="M4707" i="4"/>
  <c r="L4707" i="4"/>
  <c r="K4707" i="4"/>
  <c r="J4707" i="4"/>
  <c r="I4707" i="4"/>
  <c r="H4707" i="4"/>
  <c r="Q4706" i="4"/>
  <c r="P4706" i="4"/>
  <c r="O4706" i="4"/>
  <c r="N4706" i="4"/>
  <c r="M4706" i="4"/>
  <c r="L4706" i="4"/>
  <c r="K4706" i="4"/>
  <c r="J4706" i="4"/>
  <c r="I4706" i="4"/>
  <c r="H4706" i="4"/>
  <c r="Q4705" i="4"/>
  <c r="P4705" i="4"/>
  <c r="O4705" i="4"/>
  <c r="N4705" i="4"/>
  <c r="M4705" i="4"/>
  <c r="L4705" i="4"/>
  <c r="K4705" i="4"/>
  <c r="J4705" i="4"/>
  <c r="I4705" i="4"/>
  <c r="H4705" i="4"/>
  <c r="Q4704" i="4"/>
  <c r="P4704" i="4"/>
  <c r="O4704" i="4"/>
  <c r="N4704" i="4"/>
  <c r="M4704" i="4"/>
  <c r="L4704" i="4"/>
  <c r="K4704" i="4"/>
  <c r="J4704" i="4"/>
  <c r="I4704" i="4"/>
  <c r="H4704" i="4"/>
  <c r="Q4703" i="4"/>
  <c r="P4703" i="4"/>
  <c r="O4703" i="4"/>
  <c r="N4703" i="4"/>
  <c r="M4703" i="4"/>
  <c r="L4703" i="4"/>
  <c r="K4703" i="4"/>
  <c r="J4703" i="4"/>
  <c r="I4703" i="4"/>
  <c r="H4703" i="4"/>
  <c r="Q4702" i="4"/>
  <c r="P4702" i="4"/>
  <c r="O4702" i="4"/>
  <c r="N4702" i="4"/>
  <c r="M4702" i="4"/>
  <c r="L4702" i="4"/>
  <c r="K4702" i="4"/>
  <c r="J4702" i="4"/>
  <c r="I4702" i="4"/>
  <c r="H4702" i="4"/>
  <c r="Q4701" i="4"/>
  <c r="P4701" i="4"/>
  <c r="O4701" i="4"/>
  <c r="N4701" i="4"/>
  <c r="M4701" i="4"/>
  <c r="L4701" i="4"/>
  <c r="K4701" i="4"/>
  <c r="J4701" i="4"/>
  <c r="I4701" i="4"/>
  <c r="H4701" i="4"/>
  <c r="Q4700" i="4"/>
  <c r="P4700" i="4"/>
  <c r="O4700" i="4"/>
  <c r="N4700" i="4"/>
  <c r="M4700" i="4"/>
  <c r="L4700" i="4"/>
  <c r="K4700" i="4"/>
  <c r="J4700" i="4"/>
  <c r="I4700" i="4"/>
  <c r="H4700" i="4"/>
  <c r="Q4699" i="4"/>
  <c r="P4699" i="4"/>
  <c r="O4699" i="4"/>
  <c r="N4699" i="4"/>
  <c r="M4699" i="4"/>
  <c r="L4699" i="4"/>
  <c r="K4699" i="4"/>
  <c r="J4699" i="4"/>
  <c r="I4699" i="4"/>
  <c r="H4699" i="4"/>
  <c r="Q4698" i="4"/>
  <c r="P4698" i="4"/>
  <c r="O4698" i="4"/>
  <c r="N4698" i="4"/>
  <c r="M4698" i="4"/>
  <c r="L4698" i="4"/>
  <c r="K4698" i="4"/>
  <c r="J4698" i="4"/>
  <c r="I4698" i="4"/>
  <c r="H4698" i="4"/>
  <c r="Q4697" i="4"/>
  <c r="P4697" i="4"/>
  <c r="O4697" i="4"/>
  <c r="N4697" i="4"/>
  <c r="M4697" i="4"/>
  <c r="L4697" i="4"/>
  <c r="K4697" i="4"/>
  <c r="J4697" i="4"/>
  <c r="I4697" i="4"/>
  <c r="H4697" i="4"/>
  <c r="Q4696" i="4"/>
  <c r="P4696" i="4"/>
  <c r="O4696" i="4"/>
  <c r="N4696" i="4"/>
  <c r="M4696" i="4"/>
  <c r="L4696" i="4"/>
  <c r="K4696" i="4"/>
  <c r="J4696" i="4"/>
  <c r="I4696" i="4"/>
  <c r="H4696" i="4"/>
  <c r="Q4695" i="4"/>
  <c r="P4695" i="4"/>
  <c r="O4695" i="4"/>
  <c r="N4695" i="4"/>
  <c r="M4695" i="4"/>
  <c r="L4695" i="4"/>
  <c r="K4695" i="4"/>
  <c r="J4695" i="4"/>
  <c r="I4695" i="4"/>
  <c r="H4695" i="4"/>
  <c r="Q4694" i="4"/>
  <c r="P4694" i="4"/>
  <c r="O4694" i="4"/>
  <c r="N4694" i="4"/>
  <c r="M4694" i="4"/>
  <c r="L4694" i="4"/>
  <c r="K4694" i="4"/>
  <c r="J4694" i="4"/>
  <c r="I4694" i="4"/>
  <c r="H4694" i="4"/>
  <c r="Q4693" i="4"/>
  <c r="P4693" i="4"/>
  <c r="O4693" i="4"/>
  <c r="N4693" i="4"/>
  <c r="M4693" i="4"/>
  <c r="L4693" i="4"/>
  <c r="K4693" i="4"/>
  <c r="J4693" i="4"/>
  <c r="I4693" i="4"/>
  <c r="H4693" i="4"/>
  <c r="Q4692" i="4"/>
  <c r="P4692" i="4"/>
  <c r="O4692" i="4"/>
  <c r="N4692" i="4"/>
  <c r="M4692" i="4"/>
  <c r="L4692" i="4"/>
  <c r="K4692" i="4"/>
  <c r="J4692" i="4"/>
  <c r="I4692" i="4"/>
  <c r="H4692" i="4"/>
  <c r="Q4691" i="4"/>
  <c r="P4691" i="4"/>
  <c r="O4691" i="4"/>
  <c r="N4691" i="4"/>
  <c r="M4691" i="4"/>
  <c r="L4691" i="4"/>
  <c r="K4691" i="4"/>
  <c r="J4691" i="4"/>
  <c r="I4691" i="4"/>
  <c r="H4691" i="4"/>
  <c r="Q4690" i="4"/>
  <c r="P4690" i="4"/>
  <c r="O4690" i="4"/>
  <c r="N4690" i="4"/>
  <c r="M4690" i="4"/>
  <c r="L4690" i="4"/>
  <c r="K4690" i="4"/>
  <c r="J4690" i="4"/>
  <c r="I4690" i="4"/>
  <c r="H4690" i="4"/>
  <c r="Q4689" i="4"/>
  <c r="P4689" i="4"/>
  <c r="O4689" i="4"/>
  <c r="N4689" i="4"/>
  <c r="M4689" i="4"/>
  <c r="L4689" i="4"/>
  <c r="K4689" i="4"/>
  <c r="J4689" i="4"/>
  <c r="I4689" i="4"/>
  <c r="H4689" i="4"/>
  <c r="Q4688" i="4"/>
  <c r="P4688" i="4"/>
  <c r="O4688" i="4"/>
  <c r="N4688" i="4"/>
  <c r="M4688" i="4"/>
  <c r="L4688" i="4"/>
  <c r="K4688" i="4"/>
  <c r="J4688" i="4"/>
  <c r="I4688" i="4"/>
  <c r="H4688" i="4"/>
  <c r="Q4687" i="4"/>
  <c r="P4687" i="4"/>
  <c r="O4687" i="4"/>
  <c r="N4687" i="4"/>
  <c r="M4687" i="4"/>
  <c r="L4687" i="4"/>
  <c r="K4687" i="4"/>
  <c r="J4687" i="4"/>
  <c r="I4687" i="4"/>
  <c r="H4687" i="4"/>
  <c r="Q4686" i="4"/>
  <c r="P4686" i="4"/>
  <c r="O4686" i="4"/>
  <c r="N4686" i="4"/>
  <c r="M4686" i="4"/>
  <c r="L4686" i="4"/>
  <c r="K4686" i="4"/>
  <c r="J4686" i="4"/>
  <c r="I4686" i="4"/>
  <c r="H4686" i="4"/>
  <c r="Q4685" i="4"/>
  <c r="P4685" i="4"/>
  <c r="O4685" i="4"/>
  <c r="N4685" i="4"/>
  <c r="M4685" i="4"/>
  <c r="L4685" i="4"/>
  <c r="K4685" i="4"/>
  <c r="J4685" i="4"/>
  <c r="I4685" i="4"/>
  <c r="H4685" i="4"/>
  <c r="Q4684" i="4"/>
  <c r="P4684" i="4"/>
  <c r="O4684" i="4"/>
  <c r="N4684" i="4"/>
  <c r="M4684" i="4"/>
  <c r="L4684" i="4"/>
  <c r="K4684" i="4"/>
  <c r="J4684" i="4"/>
  <c r="I4684" i="4"/>
  <c r="H4684" i="4"/>
  <c r="Q4683" i="4"/>
  <c r="P4683" i="4"/>
  <c r="O4683" i="4"/>
  <c r="N4683" i="4"/>
  <c r="M4683" i="4"/>
  <c r="L4683" i="4"/>
  <c r="K4683" i="4"/>
  <c r="J4683" i="4"/>
  <c r="I4683" i="4"/>
  <c r="H4683" i="4"/>
  <c r="Q4682" i="4"/>
  <c r="P4682" i="4"/>
  <c r="O4682" i="4"/>
  <c r="N4682" i="4"/>
  <c r="M4682" i="4"/>
  <c r="L4682" i="4"/>
  <c r="K4682" i="4"/>
  <c r="J4682" i="4"/>
  <c r="I4682" i="4"/>
  <c r="H4682" i="4"/>
  <c r="Q4681" i="4"/>
  <c r="P4681" i="4"/>
  <c r="O4681" i="4"/>
  <c r="N4681" i="4"/>
  <c r="M4681" i="4"/>
  <c r="L4681" i="4"/>
  <c r="K4681" i="4"/>
  <c r="J4681" i="4"/>
  <c r="I4681" i="4"/>
  <c r="H4681" i="4"/>
  <c r="Q4680" i="4"/>
  <c r="P4680" i="4"/>
  <c r="O4680" i="4"/>
  <c r="N4680" i="4"/>
  <c r="M4680" i="4"/>
  <c r="L4680" i="4"/>
  <c r="K4680" i="4"/>
  <c r="J4680" i="4"/>
  <c r="I4680" i="4"/>
  <c r="H4680" i="4"/>
  <c r="Q4679" i="4"/>
  <c r="P4679" i="4"/>
  <c r="O4679" i="4"/>
  <c r="N4679" i="4"/>
  <c r="M4679" i="4"/>
  <c r="L4679" i="4"/>
  <c r="K4679" i="4"/>
  <c r="J4679" i="4"/>
  <c r="I4679" i="4"/>
  <c r="H4679" i="4"/>
  <c r="Q4678" i="4"/>
  <c r="P4678" i="4"/>
  <c r="O4678" i="4"/>
  <c r="N4678" i="4"/>
  <c r="M4678" i="4"/>
  <c r="L4678" i="4"/>
  <c r="K4678" i="4"/>
  <c r="J4678" i="4"/>
  <c r="I4678" i="4"/>
  <c r="H4678" i="4"/>
  <c r="Q4677" i="4"/>
  <c r="P4677" i="4"/>
  <c r="O4677" i="4"/>
  <c r="N4677" i="4"/>
  <c r="M4677" i="4"/>
  <c r="L4677" i="4"/>
  <c r="K4677" i="4"/>
  <c r="J4677" i="4"/>
  <c r="I4677" i="4"/>
  <c r="H4677" i="4"/>
  <c r="Q4676" i="4"/>
  <c r="P4676" i="4"/>
  <c r="O4676" i="4"/>
  <c r="N4676" i="4"/>
  <c r="M4676" i="4"/>
  <c r="L4676" i="4"/>
  <c r="K4676" i="4"/>
  <c r="J4676" i="4"/>
  <c r="I4676" i="4"/>
  <c r="H4676" i="4"/>
  <c r="Q4675" i="4"/>
  <c r="P4675" i="4"/>
  <c r="O4675" i="4"/>
  <c r="N4675" i="4"/>
  <c r="M4675" i="4"/>
  <c r="L4675" i="4"/>
  <c r="K4675" i="4"/>
  <c r="J4675" i="4"/>
  <c r="I4675" i="4"/>
  <c r="H4675" i="4"/>
  <c r="Q4674" i="4"/>
  <c r="P4674" i="4"/>
  <c r="O4674" i="4"/>
  <c r="N4674" i="4"/>
  <c r="M4674" i="4"/>
  <c r="L4674" i="4"/>
  <c r="K4674" i="4"/>
  <c r="J4674" i="4"/>
  <c r="I4674" i="4"/>
  <c r="H4674" i="4"/>
  <c r="Q4673" i="4"/>
  <c r="P4673" i="4"/>
  <c r="O4673" i="4"/>
  <c r="N4673" i="4"/>
  <c r="M4673" i="4"/>
  <c r="L4673" i="4"/>
  <c r="K4673" i="4"/>
  <c r="J4673" i="4"/>
  <c r="I4673" i="4"/>
  <c r="H4673" i="4"/>
  <c r="Q4672" i="4"/>
  <c r="P4672" i="4"/>
  <c r="O4672" i="4"/>
  <c r="N4672" i="4"/>
  <c r="M4672" i="4"/>
  <c r="L4672" i="4"/>
  <c r="K4672" i="4"/>
  <c r="J4672" i="4"/>
  <c r="I4672" i="4"/>
  <c r="H4672" i="4"/>
  <c r="Q4671" i="4"/>
  <c r="P4671" i="4"/>
  <c r="O4671" i="4"/>
  <c r="N4671" i="4"/>
  <c r="M4671" i="4"/>
  <c r="L4671" i="4"/>
  <c r="K4671" i="4"/>
  <c r="J4671" i="4"/>
  <c r="I4671" i="4"/>
  <c r="H4671" i="4"/>
  <c r="Q4670" i="4"/>
  <c r="P4670" i="4"/>
  <c r="O4670" i="4"/>
  <c r="N4670" i="4"/>
  <c r="M4670" i="4"/>
  <c r="L4670" i="4"/>
  <c r="K4670" i="4"/>
  <c r="J4670" i="4"/>
  <c r="I4670" i="4"/>
  <c r="H4670" i="4"/>
  <c r="Q4669" i="4"/>
  <c r="P4669" i="4"/>
  <c r="O4669" i="4"/>
  <c r="N4669" i="4"/>
  <c r="M4669" i="4"/>
  <c r="L4669" i="4"/>
  <c r="K4669" i="4"/>
  <c r="J4669" i="4"/>
  <c r="I4669" i="4"/>
  <c r="H4669" i="4"/>
  <c r="Q4668" i="4"/>
  <c r="P4668" i="4"/>
  <c r="O4668" i="4"/>
  <c r="N4668" i="4"/>
  <c r="M4668" i="4"/>
  <c r="L4668" i="4"/>
  <c r="K4668" i="4"/>
  <c r="J4668" i="4"/>
  <c r="I4668" i="4"/>
  <c r="H4668" i="4"/>
  <c r="Q4667" i="4"/>
  <c r="P4667" i="4"/>
  <c r="O4667" i="4"/>
  <c r="N4667" i="4"/>
  <c r="M4667" i="4"/>
  <c r="L4667" i="4"/>
  <c r="K4667" i="4"/>
  <c r="J4667" i="4"/>
  <c r="I4667" i="4"/>
  <c r="H4667" i="4"/>
  <c r="Q4666" i="4"/>
  <c r="P4666" i="4"/>
  <c r="O4666" i="4"/>
  <c r="N4666" i="4"/>
  <c r="M4666" i="4"/>
  <c r="L4666" i="4"/>
  <c r="K4666" i="4"/>
  <c r="J4666" i="4"/>
  <c r="I4666" i="4"/>
  <c r="H4666" i="4"/>
  <c r="Q4665" i="4"/>
  <c r="P4665" i="4"/>
  <c r="O4665" i="4"/>
  <c r="N4665" i="4"/>
  <c r="M4665" i="4"/>
  <c r="L4665" i="4"/>
  <c r="K4665" i="4"/>
  <c r="J4665" i="4"/>
  <c r="I4665" i="4"/>
  <c r="H4665" i="4"/>
  <c r="Q4664" i="4"/>
  <c r="P4664" i="4"/>
  <c r="O4664" i="4"/>
  <c r="N4664" i="4"/>
  <c r="M4664" i="4"/>
  <c r="L4664" i="4"/>
  <c r="K4664" i="4"/>
  <c r="J4664" i="4"/>
  <c r="I4664" i="4"/>
  <c r="H4664" i="4"/>
  <c r="Q4663" i="4"/>
  <c r="P4663" i="4"/>
  <c r="O4663" i="4"/>
  <c r="N4663" i="4"/>
  <c r="M4663" i="4"/>
  <c r="L4663" i="4"/>
  <c r="K4663" i="4"/>
  <c r="J4663" i="4"/>
  <c r="I4663" i="4"/>
  <c r="H4663" i="4"/>
  <c r="Q4662" i="4"/>
  <c r="P4662" i="4"/>
  <c r="O4662" i="4"/>
  <c r="N4662" i="4"/>
  <c r="M4662" i="4"/>
  <c r="L4662" i="4"/>
  <c r="K4662" i="4"/>
  <c r="J4662" i="4"/>
  <c r="I4662" i="4"/>
  <c r="H4662" i="4"/>
  <c r="Q4661" i="4"/>
  <c r="P4661" i="4"/>
  <c r="O4661" i="4"/>
  <c r="N4661" i="4"/>
  <c r="M4661" i="4"/>
  <c r="L4661" i="4"/>
  <c r="K4661" i="4"/>
  <c r="J4661" i="4"/>
  <c r="I4661" i="4"/>
  <c r="H4661" i="4"/>
  <c r="Q4660" i="4"/>
  <c r="P4660" i="4"/>
  <c r="O4660" i="4"/>
  <c r="N4660" i="4"/>
  <c r="M4660" i="4"/>
  <c r="L4660" i="4"/>
  <c r="K4660" i="4"/>
  <c r="J4660" i="4"/>
  <c r="I4660" i="4"/>
  <c r="H4660" i="4"/>
  <c r="Q4659" i="4"/>
  <c r="P4659" i="4"/>
  <c r="O4659" i="4"/>
  <c r="N4659" i="4"/>
  <c r="M4659" i="4"/>
  <c r="L4659" i="4"/>
  <c r="K4659" i="4"/>
  <c r="J4659" i="4"/>
  <c r="I4659" i="4"/>
  <c r="H4659" i="4"/>
  <c r="Q4658" i="4"/>
  <c r="P4658" i="4"/>
  <c r="O4658" i="4"/>
  <c r="N4658" i="4"/>
  <c r="M4658" i="4"/>
  <c r="L4658" i="4"/>
  <c r="K4658" i="4"/>
  <c r="J4658" i="4"/>
  <c r="I4658" i="4"/>
  <c r="H4658" i="4"/>
  <c r="Q4657" i="4"/>
  <c r="P4657" i="4"/>
  <c r="O4657" i="4"/>
  <c r="N4657" i="4"/>
  <c r="M4657" i="4"/>
  <c r="L4657" i="4"/>
  <c r="K4657" i="4"/>
  <c r="J4657" i="4"/>
  <c r="I4657" i="4"/>
  <c r="H4657" i="4"/>
  <c r="Q4656" i="4"/>
  <c r="P4656" i="4"/>
  <c r="O4656" i="4"/>
  <c r="N4656" i="4"/>
  <c r="M4656" i="4"/>
  <c r="L4656" i="4"/>
  <c r="K4656" i="4"/>
  <c r="J4656" i="4"/>
  <c r="I4656" i="4"/>
  <c r="H4656" i="4"/>
  <c r="Q4655" i="4"/>
  <c r="P4655" i="4"/>
  <c r="O4655" i="4"/>
  <c r="N4655" i="4"/>
  <c r="M4655" i="4"/>
  <c r="L4655" i="4"/>
  <c r="K4655" i="4"/>
  <c r="J4655" i="4"/>
  <c r="I4655" i="4"/>
  <c r="H4655" i="4"/>
  <c r="Q4654" i="4"/>
  <c r="P4654" i="4"/>
  <c r="O4654" i="4"/>
  <c r="N4654" i="4"/>
  <c r="M4654" i="4"/>
  <c r="L4654" i="4"/>
  <c r="K4654" i="4"/>
  <c r="J4654" i="4"/>
  <c r="I4654" i="4"/>
  <c r="H4654" i="4"/>
  <c r="Q4653" i="4"/>
  <c r="P4653" i="4"/>
  <c r="O4653" i="4"/>
  <c r="N4653" i="4"/>
  <c r="M4653" i="4"/>
  <c r="L4653" i="4"/>
  <c r="K4653" i="4"/>
  <c r="J4653" i="4"/>
  <c r="I4653" i="4"/>
  <c r="H4653" i="4"/>
  <c r="Q4652" i="4"/>
  <c r="P4652" i="4"/>
  <c r="O4652" i="4"/>
  <c r="N4652" i="4"/>
  <c r="M4652" i="4"/>
  <c r="L4652" i="4"/>
  <c r="K4652" i="4"/>
  <c r="J4652" i="4"/>
  <c r="I4652" i="4"/>
  <c r="H4652" i="4"/>
  <c r="Q4651" i="4"/>
  <c r="P4651" i="4"/>
  <c r="O4651" i="4"/>
  <c r="N4651" i="4"/>
  <c r="M4651" i="4"/>
  <c r="L4651" i="4"/>
  <c r="K4651" i="4"/>
  <c r="J4651" i="4"/>
  <c r="I4651" i="4"/>
  <c r="H4651" i="4"/>
  <c r="Q4650" i="4"/>
  <c r="P4650" i="4"/>
  <c r="O4650" i="4"/>
  <c r="N4650" i="4"/>
  <c r="M4650" i="4"/>
  <c r="L4650" i="4"/>
  <c r="K4650" i="4"/>
  <c r="J4650" i="4"/>
  <c r="I4650" i="4"/>
  <c r="H4650" i="4"/>
  <c r="Q4649" i="4"/>
  <c r="P4649" i="4"/>
  <c r="O4649" i="4"/>
  <c r="N4649" i="4"/>
  <c r="M4649" i="4"/>
  <c r="L4649" i="4"/>
  <c r="K4649" i="4"/>
  <c r="J4649" i="4"/>
  <c r="I4649" i="4"/>
  <c r="H4649" i="4"/>
  <c r="Q4648" i="4"/>
  <c r="P4648" i="4"/>
  <c r="O4648" i="4"/>
  <c r="N4648" i="4"/>
  <c r="M4648" i="4"/>
  <c r="L4648" i="4"/>
  <c r="K4648" i="4"/>
  <c r="J4648" i="4"/>
  <c r="I4648" i="4"/>
  <c r="H4648" i="4"/>
  <c r="Q4647" i="4"/>
  <c r="P4647" i="4"/>
  <c r="O4647" i="4"/>
  <c r="N4647" i="4"/>
  <c r="M4647" i="4"/>
  <c r="L4647" i="4"/>
  <c r="K4647" i="4"/>
  <c r="J4647" i="4"/>
  <c r="I4647" i="4"/>
  <c r="H4647" i="4"/>
  <c r="Q4646" i="4"/>
  <c r="P4646" i="4"/>
  <c r="O4646" i="4"/>
  <c r="N4646" i="4"/>
  <c r="M4646" i="4"/>
  <c r="L4646" i="4"/>
  <c r="K4646" i="4"/>
  <c r="J4646" i="4"/>
  <c r="I4646" i="4"/>
  <c r="H4646" i="4"/>
  <c r="Q4645" i="4"/>
  <c r="P4645" i="4"/>
  <c r="O4645" i="4"/>
  <c r="N4645" i="4"/>
  <c r="M4645" i="4"/>
  <c r="L4645" i="4"/>
  <c r="K4645" i="4"/>
  <c r="J4645" i="4"/>
  <c r="I4645" i="4"/>
  <c r="H4645" i="4"/>
  <c r="Q4644" i="4"/>
  <c r="P4644" i="4"/>
  <c r="O4644" i="4"/>
  <c r="N4644" i="4"/>
  <c r="M4644" i="4"/>
  <c r="L4644" i="4"/>
  <c r="K4644" i="4"/>
  <c r="J4644" i="4"/>
  <c r="I4644" i="4"/>
  <c r="H4644" i="4"/>
  <c r="Q4643" i="4"/>
  <c r="P4643" i="4"/>
  <c r="O4643" i="4"/>
  <c r="N4643" i="4"/>
  <c r="M4643" i="4"/>
  <c r="L4643" i="4"/>
  <c r="K4643" i="4"/>
  <c r="J4643" i="4"/>
  <c r="I4643" i="4"/>
  <c r="H4643" i="4"/>
  <c r="Q4642" i="4"/>
  <c r="P4642" i="4"/>
  <c r="O4642" i="4"/>
  <c r="N4642" i="4"/>
  <c r="M4642" i="4"/>
  <c r="L4642" i="4"/>
  <c r="K4642" i="4"/>
  <c r="J4642" i="4"/>
  <c r="I4642" i="4"/>
  <c r="H4642" i="4"/>
  <c r="Q4641" i="4"/>
  <c r="P4641" i="4"/>
  <c r="O4641" i="4"/>
  <c r="N4641" i="4"/>
  <c r="M4641" i="4"/>
  <c r="L4641" i="4"/>
  <c r="K4641" i="4"/>
  <c r="J4641" i="4"/>
  <c r="I4641" i="4"/>
  <c r="H4641" i="4"/>
  <c r="Q4640" i="4"/>
  <c r="P4640" i="4"/>
  <c r="O4640" i="4"/>
  <c r="N4640" i="4"/>
  <c r="M4640" i="4"/>
  <c r="L4640" i="4"/>
  <c r="K4640" i="4"/>
  <c r="J4640" i="4"/>
  <c r="I4640" i="4"/>
  <c r="H4640" i="4"/>
  <c r="Q4639" i="4"/>
  <c r="P4639" i="4"/>
  <c r="O4639" i="4"/>
  <c r="N4639" i="4"/>
  <c r="M4639" i="4"/>
  <c r="L4639" i="4"/>
  <c r="K4639" i="4"/>
  <c r="J4639" i="4"/>
  <c r="I4639" i="4"/>
  <c r="H4639" i="4"/>
  <c r="Q4638" i="4"/>
  <c r="P4638" i="4"/>
  <c r="O4638" i="4"/>
  <c r="N4638" i="4"/>
  <c r="M4638" i="4"/>
  <c r="L4638" i="4"/>
  <c r="K4638" i="4"/>
  <c r="J4638" i="4"/>
  <c r="I4638" i="4"/>
  <c r="H4638" i="4"/>
  <c r="Q4637" i="4"/>
  <c r="P4637" i="4"/>
  <c r="O4637" i="4"/>
  <c r="N4637" i="4"/>
  <c r="M4637" i="4"/>
  <c r="L4637" i="4"/>
  <c r="K4637" i="4"/>
  <c r="J4637" i="4"/>
  <c r="I4637" i="4"/>
  <c r="H4637" i="4"/>
  <c r="Q4636" i="4"/>
  <c r="P4636" i="4"/>
  <c r="O4636" i="4"/>
  <c r="N4636" i="4"/>
  <c r="M4636" i="4"/>
  <c r="L4636" i="4"/>
  <c r="K4636" i="4"/>
  <c r="J4636" i="4"/>
  <c r="I4636" i="4"/>
  <c r="H4636" i="4"/>
  <c r="Q4635" i="4"/>
  <c r="P4635" i="4"/>
  <c r="O4635" i="4"/>
  <c r="N4635" i="4"/>
  <c r="M4635" i="4"/>
  <c r="L4635" i="4"/>
  <c r="K4635" i="4"/>
  <c r="J4635" i="4"/>
  <c r="I4635" i="4"/>
  <c r="H4635" i="4"/>
  <c r="Q4634" i="4"/>
  <c r="P4634" i="4"/>
  <c r="O4634" i="4"/>
  <c r="N4634" i="4"/>
  <c r="M4634" i="4"/>
  <c r="L4634" i="4"/>
  <c r="K4634" i="4"/>
  <c r="J4634" i="4"/>
  <c r="I4634" i="4"/>
  <c r="H4634" i="4"/>
  <c r="Q4633" i="4"/>
  <c r="P4633" i="4"/>
  <c r="O4633" i="4"/>
  <c r="N4633" i="4"/>
  <c r="M4633" i="4"/>
  <c r="L4633" i="4"/>
  <c r="K4633" i="4"/>
  <c r="J4633" i="4"/>
  <c r="I4633" i="4"/>
  <c r="H4633" i="4"/>
  <c r="Q4632" i="4"/>
  <c r="P4632" i="4"/>
  <c r="O4632" i="4"/>
  <c r="N4632" i="4"/>
  <c r="M4632" i="4"/>
  <c r="L4632" i="4"/>
  <c r="K4632" i="4"/>
  <c r="J4632" i="4"/>
  <c r="I4632" i="4"/>
  <c r="H4632" i="4"/>
  <c r="Q4631" i="4"/>
  <c r="P4631" i="4"/>
  <c r="O4631" i="4"/>
  <c r="N4631" i="4"/>
  <c r="M4631" i="4"/>
  <c r="L4631" i="4"/>
  <c r="K4631" i="4"/>
  <c r="J4631" i="4"/>
  <c r="I4631" i="4"/>
  <c r="H4631" i="4"/>
  <c r="Q4630" i="4"/>
  <c r="P4630" i="4"/>
  <c r="O4630" i="4"/>
  <c r="N4630" i="4"/>
  <c r="M4630" i="4"/>
  <c r="L4630" i="4"/>
  <c r="K4630" i="4"/>
  <c r="J4630" i="4"/>
  <c r="I4630" i="4"/>
  <c r="H4630" i="4"/>
  <c r="Q4629" i="4"/>
  <c r="P4629" i="4"/>
  <c r="O4629" i="4"/>
  <c r="N4629" i="4"/>
  <c r="M4629" i="4"/>
  <c r="L4629" i="4"/>
  <c r="K4629" i="4"/>
  <c r="J4629" i="4"/>
  <c r="I4629" i="4"/>
  <c r="H4629" i="4"/>
  <c r="Q4628" i="4"/>
  <c r="P4628" i="4"/>
  <c r="O4628" i="4"/>
  <c r="N4628" i="4"/>
  <c r="M4628" i="4"/>
  <c r="L4628" i="4"/>
  <c r="K4628" i="4"/>
  <c r="J4628" i="4"/>
  <c r="I4628" i="4"/>
  <c r="H4628" i="4"/>
  <c r="Q4627" i="4"/>
  <c r="P4627" i="4"/>
  <c r="O4627" i="4"/>
  <c r="N4627" i="4"/>
  <c r="M4627" i="4"/>
  <c r="L4627" i="4"/>
  <c r="K4627" i="4"/>
  <c r="J4627" i="4"/>
  <c r="I4627" i="4"/>
  <c r="H4627" i="4"/>
  <c r="Q4626" i="4"/>
  <c r="P4626" i="4"/>
  <c r="O4626" i="4"/>
  <c r="N4626" i="4"/>
  <c r="M4626" i="4"/>
  <c r="L4626" i="4"/>
  <c r="K4626" i="4"/>
  <c r="J4626" i="4"/>
  <c r="I4626" i="4"/>
  <c r="H4626" i="4"/>
  <c r="Q4625" i="4"/>
  <c r="P4625" i="4"/>
  <c r="O4625" i="4"/>
  <c r="N4625" i="4"/>
  <c r="M4625" i="4"/>
  <c r="L4625" i="4"/>
  <c r="K4625" i="4"/>
  <c r="J4625" i="4"/>
  <c r="I4625" i="4"/>
  <c r="H4625" i="4"/>
  <c r="Q4624" i="4"/>
  <c r="P4624" i="4"/>
  <c r="O4624" i="4"/>
  <c r="N4624" i="4"/>
  <c r="M4624" i="4"/>
  <c r="L4624" i="4"/>
  <c r="K4624" i="4"/>
  <c r="J4624" i="4"/>
  <c r="I4624" i="4"/>
  <c r="H4624" i="4"/>
  <c r="Q4623" i="4"/>
  <c r="P4623" i="4"/>
  <c r="O4623" i="4"/>
  <c r="N4623" i="4"/>
  <c r="M4623" i="4"/>
  <c r="L4623" i="4"/>
  <c r="K4623" i="4"/>
  <c r="J4623" i="4"/>
  <c r="I4623" i="4"/>
  <c r="H4623" i="4"/>
  <c r="Q4622" i="4"/>
  <c r="P4622" i="4"/>
  <c r="O4622" i="4"/>
  <c r="N4622" i="4"/>
  <c r="M4622" i="4"/>
  <c r="L4622" i="4"/>
  <c r="K4622" i="4"/>
  <c r="J4622" i="4"/>
  <c r="I4622" i="4"/>
  <c r="H4622" i="4"/>
  <c r="Q4621" i="4"/>
  <c r="P4621" i="4"/>
  <c r="O4621" i="4"/>
  <c r="N4621" i="4"/>
  <c r="M4621" i="4"/>
  <c r="L4621" i="4"/>
  <c r="K4621" i="4"/>
  <c r="J4621" i="4"/>
  <c r="I4621" i="4"/>
  <c r="H4621" i="4"/>
  <c r="Q4620" i="4"/>
  <c r="P4620" i="4"/>
  <c r="O4620" i="4"/>
  <c r="N4620" i="4"/>
  <c r="M4620" i="4"/>
  <c r="L4620" i="4"/>
  <c r="K4620" i="4"/>
  <c r="J4620" i="4"/>
  <c r="I4620" i="4"/>
  <c r="H4620" i="4"/>
  <c r="Q4619" i="4"/>
  <c r="P4619" i="4"/>
  <c r="O4619" i="4"/>
  <c r="N4619" i="4"/>
  <c r="M4619" i="4"/>
  <c r="L4619" i="4"/>
  <c r="K4619" i="4"/>
  <c r="J4619" i="4"/>
  <c r="I4619" i="4"/>
  <c r="H4619" i="4"/>
  <c r="Q4618" i="4"/>
  <c r="P4618" i="4"/>
  <c r="O4618" i="4"/>
  <c r="N4618" i="4"/>
  <c r="M4618" i="4"/>
  <c r="L4618" i="4"/>
  <c r="K4618" i="4"/>
  <c r="J4618" i="4"/>
  <c r="I4618" i="4"/>
  <c r="H4618" i="4"/>
  <c r="Q4617" i="4"/>
  <c r="P4617" i="4"/>
  <c r="O4617" i="4"/>
  <c r="N4617" i="4"/>
  <c r="M4617" i="4"/>
  <c r="L4617" i="4"/>
  <c r="K4617" i="4"/>
  <c r="J4617" i="4"/>
  <c r="I4617" i="4"/>
  <c r="H4617" i="4"/>
  <c r="Q4616" i="4"/>
  <c r="P4616" i="4"/>
  <c r="O4616" i="4"/>
  <c r="N4616" i="4"/>
  <c r="M4616" i="4"/>
  <c r="L4616" i="4"/>
  <c r="K4616" i="4"/>
  <c r="J4616" i="4"/>
  <c r="I4616" i="4"/>
  <c r="H4616" i="4"/>
  <c r="Q4615" i="4"/>
  <c r="P4615" i="4"/>
  <c r="O4615" i="4"/>
  <c r="N4615" i="4"/>
  <c r="M4615" i="4"/>
  <c r="L4615" i="4"/>
  <c r="K4615" i="4"/>
  <c r="J4615" i="4"/>
  <c r="I4615" i="4"/>
  <c r="H4615" i="4"/>
  <c r="Q4614" i="4"/>
  <c r="P4614" i="4"/>
  <c r="O4614" i="4"/>
  <c r="N4614" i="4"/>
  <c r="M4614" i="4"/>
  <c r="L4614" i="4"/>
  <c r="K4614" i="4"/>
  <c r="J4614" i="4"/>
  <c r="I4614" i="4"/>
  <c r="H4614" i="4"/>
  <c r="Q4613" i="4"/>
  <c r="P4613" i="4"/>
  <c r="O4613" i="4"/>
  <c r="N4613" i="4"/>
  <c r="M4613" i="4"/>
  <c r="L4613" i="4"/>
  <c r="K4613" i="4"/>
  <c r="J4613" i="4"/>
  <c r="I4613" i="4"/>
  <c r="H4613" i="4"/>
  <c r="Q4612" i="4"/>
  <c r="P4612" i="4"/>
  <c r="O4612" i="4"/>
  <c r="N4612" i="4"/>
  <c r="M4612" i="4"/>
  <c r="L4612" i="4"/>
  <c r="K4612" i="4"/>
  <c r="J4612" i="4"/>
  <c r="I4612" i="4"/>
  <c r="H4612" i="4"/>
  <c r="Q4611" i="4"/>
  <c r="P4611" i="4"/>
  <c r="O4611" i="4"/>
  <c r="N4611" i="4"/>
  <c r="M4611" i="4"/>
  <c r="L4611" i="4"/>
  <c r="K4611" i="4"/>
  <c r="J4611" i="4"/>
  <c r="I4611" i="4"/>
  <c r="H4611" i="4"/>
  <c r="Q4610" i="4"/>
  <c r="P4610" i="4"/>
  <c r="O4610" i="4"/>
  <c r="N4610" i="4"/>
  <c r="M4610" i="4"/>
  <c r="L4610" i="4"/>
  <c r="K4610" i="4"/>
  <c r="J4610" i="4"/>
  <c r="I4610" i="4"/>
  <c r="H4610" i="4"/>
  <c r="Q4609" i="4"/>
  <c r="P4609" i="4"/>
  <c r="O4609" i="4"/>
  <c r="N4609" i="4"/>
  <c r="M4609" i="4"/>
  <c r="L4609" i="4"/>
  <c r="K4609" i="4"/>
  <c r="J4609" i="4"/>
  <c r="I4609" i="4"/>
  <c r="H4609" i="4"/>
  <c r="Q4608" i="4"/>
  <c r="P4608" i="4"/>
  <c r="O4608" i="4"/>
  <c r="N4608" i="4"/>
  <c r="M4608" i="4"/>
  <c r="L4608" i="4"/>
  <c r="K4608" i="4"/>
  <c r="J4608" i="4"/>
  <c r="I4608" i="4"/>
  <c r="H4608" i="4"/>
  <c r="Q4607" i="4"/>
  <c r="P4607" i="4"/>
  <c r="O4607" i="4"/>
  <c r="N4607" i="4"/>
  <c r="M4607" i="4"/>
  <c r="L4607" i="4"/>
  <c r="K4607" i="4"/>
  <c r="J4607" i="4"/>
  <c r="I4607" i="4"/>
  <c r="H4607" i="4"/>
  <c r="Q4606" i="4"/>
  <c r="P4606" i="4"/>
  <c r="O4606" i="4"/>
  <c r="N4606" i="4"/>
  <c r="M4606" i="4"/>
  <c r="L4606" i="4"/>
  <c r="K4606" i="4"/>
  <c r="J4606" i="4"/>
  <c r="I4606" i="4"/>
  <c r="H4606" i="4"/>
  <c r="Q4605" i="4"/>
  <c r="P4605" i="4"/>
  <c r="O4605" i="4"/>
  <c r="N4605" i="4"/>
  <c r="M4605" i="4"/>
  <c r="L4605" i="4"/>
  <c r="K4605" i="4"/>
  <c r="J4605" i="4"/>
  <c r="I4605" i="4"/>
  <c r="H4605" i="4"/>
  <c r="Q4604" i="4"/>
  <c r="P4604" i="4"/>
  <c r="O4604" i="4"/>
  <c r="N4604" i="4"/>
  <c r="M4604" i="4"/>
  <c r="L4604" i="4"/>
  <c r="K4604" i="4"/>
  <c r="J4604" i="4"/>
  <c r="I4604" i="4"/>
  <c r="H4604" i="4"/>
  <c r="Q4603" i="4"/>
  <c r="P4603" i="4"/>
  <c r="O4603" i="4"/>
  <c r="N4603" i="4"/>
  <c r="M4603" i="4"/>
  <c r="L4603" i="4"/>
  <c r="K4603" i="4"/>
  <c r="J4603" i="4"/>
  <c r="I4603" i="4"/>
  <c r="H4603" i="4"/>
  <c r="Q4602" i="4"/>
  <c r="P4602" i="4"/>
  <c r="O4602" i="4"/>
  <c r="N4602" i="4"/>
  <c r="M4602" i="4"/>
  <c r="L4602" i="4"/>
  <c r="K4602" i="4"/>
  <c r="J4602" i="4"/>
  <c r="I4602" i="4"/>
  <c r="H4602" i="4"/>
  <c r="Q4601" i="4"/>
  <c r="P4601" i="4"/>
  <c r="O4601" i="4"/>
  <c r="N4601" i="4"/>
  <c r="M4601" i="4"/>
  <c r="L4601" i="4"/>
  <c r="K4601" i="4"/>
  <c r="J4601" i="4"/>
  <c r="I4601" i="4"/>
  <c r="H4601" i="4"/>
  <c r="Q4600" i="4"/>
  <c r="P4600" i="4"/>
  <c r="O4600" i="4"/>
  <c r="N4600" i="4"/>
  <c r="M4600" i="4"/>
  <c r="L4600" i="4"/>
  <c r="K4600" i="4"/>
  <c r="J4600" i="4"/>
  <c r="I4600" i="4"/>
  <c r="H4600" i="4"/>
  <c r="Q4599" i="4"/>
  <c r="P4599" i="4"/>
  <c r="O4599" i="4"/>
  <c r="N4599" i="4"/>
  <c r="M4599" i="4"/>
  <c r="L4599" i="4"/>
  <c r="K4599" i="4"/>
  <c r="J4599" i="4"/>
  <c r="I4599" i="4"/>
  <c r="H4599" i="4"/>
  <c r="Q4598" i="4"/>
  <c r="P4598" i="4"/>
  <c r="O4598" i="4"/>
  <c r="N4598" i="4"/>
  <c r="M4598" i="4"/>
  <c r="L4598" i="4"/>
  <c r="K4598" i="4"/>
  <c r="J4598" i="4"/>
  <c r="I4598" i="4"/>
  <c r="H4598" i="4"/>
  <c r="Q4597" i="4"/>
  <c r="P4597" i="4"/>
  <c r="O4597" i="4"/>
  <c r="N4597" i="4"/>
  <c r="M4597" i="4"/>
  <c r="L4597" i="4"/>
  <c r="K4597" i="4"/>
  <c r="J4597" i="4"/>
  <c r="I4597" i="4"/>
  <c r="H4597" i="4"/>
  <c r="Q4596" i="4"/>
  <c r="P4596" i="4"/>
  <c r="O4596" i="4"/>
  <c r="N4596" i="4"/>
  <c r="M4596" i="4"/>
  <c r="L4596" i="4"/>
  <c r="K4596" i="4"/>
  <c r="J4596" i="4"/>
  <c r="I4596" i="4"/>
  <c r="H4596" i="4"/>
  <c r="Q4595" i="4"/>
  <c r="P4595" i="4"/>
  <c r="O4595" i="4"/>
  <c r="N4595" i="4"/>
  <c r="M4595" i="4"/>
  <c r="L4595" i="4"/>
  <c r="K4595" i="4"/>
  <c r="J4595" i="4"/>
  <c r="I4595" i="4"/>
  <c r="H4595" i="4"/>
  <c r="Q4594" i="4"/>
  <c r="P4594" i="4"/>
  <c r="O4594" i="4"/>
  <c r="N4594" i="4"/>
  <c r="M4594" i="4"/>
  <c r="L4594" i="4"/>
  <c r="K4594" i="4"/>
  <c r="J4594" i="4"/>
  <c r="I4594" i="4"/>
  <c r="H4594" i="4"/>
  <c r="Q4593" i="4"/>
  <c r="P4593" i="4"/>
  <c r="O4593" i="4"/>
  <c r="N4593" i="4"/>
  <c r="M4593" i="4"/>
  <c r="L4593" i="4"/>
  <c r="K4593" i="4"/>
  <c r="J4593" i="4"/>
  <c r="I4593" i="4"/>
  <c r="H4593" i="4"/>
  <c r="Q4592" i="4"/>
  <c r="P4592" i="4"/>
  <c r="O4592" i="4"/>
  <c r="N4592" i="4"/>
  <c r="M4592" i="4"/>
  <c r="L4592" i="4"/>
  <c r="K4592" i="4"/>
  <c r="J4592" i="4"/>
  <c r="I4592" i="4"/>
  <c r="H4592" i="4"/>
  <c r="Q4591" i="4"/>
  <c r="P4591" i="4"/>
  <c r="O4591" i="4"/>
  <c r="N4591" i="4"/>
  <c r="M4591" i="4"/>
  <c r="L4591" i="4"/>
  <c r="K4591" i="4"/>
  <c r="J4591" i="4"/>
  <c r="I4591" i="4"/>
  <c r="H4591" i="4"/>
  <c r="Q4590" i="4"/>
  <c r="P4590" i="4"/>
  <c r="O4590" i="4"/>
  <c r="N4590" i="4"/>
  <c r="M4590" i="4"/>
  <c r="L4590" i="4"/>
  <c r="K4590" i="4"/>
  <c r="J4590" i="4"/>
  <c r="I4590" i="4"/>
  <c r="H4590" i="4"/>
  <c r="Q4589" i="4"/>
  <c r="P4589" i="4"/>
  <c r="O4589" i="4"/>
  <c r="N4589" i="4"/>
  <c r="M4589" i="4"/>
  <c r="L4589" i="4"/>
  <c r="K4589" i="4"/>
  <c r="J4589" i="4"/>
  <c r="I4589" i="4"/>
  <c r="H4589" i="4"/>
  <c r="Q4588" i="4"/>
  <c r="P4588" i="4"/>
  <c r="O4588" i="4"/>
  <c r="N4588" i="4"/>
  <c r="M4588" i="4"/>
  <c r="L4588" i="4"/>
  <c r="K4588" i="4"/>
  <c r="J4588" i="4"/>
  <c r="I4588" i="4"/>
  <c r="H4588" i="4"/>
  <c r="Q4587" i="4"/>
  <c r="P4587" i="4"/>
  <c r="O4587" i="4"/>
  <c r="N4587" i="4"/>
  <c r="M4587" i="4"/>
  <c r="L4587" i="4"/>
  <c r="K4587" i="4"/>
  <c r="J4587" i="4"/>
  <c r="I4587" i="4"/>
  <c r="H4587" i="4"/>
  <c r="Q4586" i="4"/>
  <c r="P4586" i="4"/>
  <c r="O4586" i="4"/>
  <c r="N4586" i="4"/>
  <c r="M4586" i="4"/>
  <c r="L4586" i="4"/>
  <c r="K4586" i="4"/>
  <c r="J4586" i="4"/>
  <c r="I4586" i="4"/>
  <c r="H4586" i="4"/>
  <c r="Q4585" i="4"/>
  <c r="P4585" i="4"/>
  <c r="O4585" i="4"/>
  <c r="N4585" i="4"/>
  <c r="M4585" i="4"/>
  <c r="L4585" i="4"/>
  <c r="K4585" i="4"/>
  <c r="J4585" i="4"/>
  <c r="I4585" i="4"/>
  <c r="H4585" i="4"/>
  <c r="Q4584" i="4"/>
  <c r="P4584" i="4"/>
  <c r="O4584" i="4"/>
  <c r="N4584" i="4"/>
  <c r="M4584" i="4"/>
  <c r="L4584" i="4"/>
  <c r="K4584" i="4"/>
  <c r="J4584" i="4"/>
  <c r="I4584" i="4"/>
  <c r="H4584" i="4"/>
  <c r="Q4583" i="4"/>
  <c r="P4583" i="4"/>
  <c r="O4583" i="4"/>
  <c r="N4583" i="4"/>
  <c r="M4583" i="4"/>
  <c r="L4583" i="4"/>
  <c r="K4583" i="4"/>
  <c r="J4583" i="4"/>
  <c r="I4583" i="4"/>
  <c r="H4583" i="4"/>
  <c r="Q4582" i="4"/>
  <c r="P4582" i="4"/>
  <c r="O4582" i="4"/>
  <c r="N4582" i="4"/>
  <c r="M4582" i="4"/>
  <c r="L4582" i="4"/>
  <c r="K4582" i="4"/>
  <c r="J4582" i="4"/>
  <c r="I4582" i="4"/>
  <c r="H4582" i="4"/>
  <c r="Q4581" i="4"/>
  <c r="P4581" i="4"/>
  <c r="O4581" i="4"/>
  <c r="N4581" i="4"/>
  <c r="M4581" i="4"/>
  <c r="L4581" i="4"/>
  <c r="K4581" i="4"/>
  <c r="J4581" i="4"/>
  <c r="I4581" i="4"/>
  <c r="H4581" i="4"/>
  <c r="Q4580" i="4"/>
  <c r="P4580" i="4"/>
  <c r="O4580" i="4"/>
  <c r="N4580" i="4"/>
  <c r="M4580" i="4"/>
  <c r="L4580" i="4"/>
  <c r="K4580" i="4"/>
  <c r="J4580" i="4"/>
  <c r="I4580" i="4"/>
  <c r="H4580" i="4"/>
  <c r="Q4579" i="4"/>
  <c r="P4579" i="4"/>
  <c r="O4579" i="4"/>
  <c r="N4579" i="4"/>
  <c r="M4579" i="4"/>
  <c r="L4579" i="4"/>
  <c r="K4579" i="4"/>
  <c r="J4579" i="4"/>
  <c r="I4579" i="4"/>
  <c r="H4579" i="4"/>
  <c r="Q4578" i="4"/>
  <c r="P4578" i="4"/>
  <c r="O4578" i="4"/>
  <c r="N4578" i="4"/>
  <c r="M4578" i="4"/>
  <c r="L4578" i="4"/>
  <c r="K4578" i="4"/>
  <c r="J4578" i="4"/>
  <c r="I4578" i="4"/>
  <c r="H4578" i="4"/>
  <c r="Q4577" i="4"/>
  <c r="P4577" i="4"/>
  <c r="O4577" i="4"/>
  <c r="N4577" i="4"/>
  <c r="M4577" i="4"/>
  <c r="L4577" i="4"/>
  <c r="K4577" i="4"/>
  <c r="J4577" i="4"/>
  <c r="I4577" i="4"/>
  <c r="H4577" i="4"/>
  <c r="Q4576" i="4"/>
  <c r="P4576" i="4"/>
  <c r="O4576" i="4"/>
  <c r="N4576" i="4"/>
  <c r="M4576" i="4"/>
  <c r="L4576" i="4"/>
  <c r="K4576" i="4"/>
  <c r="J4576" i="4"/>
  <c r="I4576" i="4"/>
  <c r="H4576" i="4"/>
  <c r="Q4575" i="4"/>
  <c r="P4575" i="4"/>
  <c r="O4575" i="4"/>
  <c r="N4575" i="4"/>
  <c r="M4575" i="4"/>
  <c r="L4575" i="4"/>
  <c r="K4575" i="4"/>
  <c r="J4575" i="4"/>
  <c r="I4575" i="4"/>
  <c r="H4575" i="4"/>
  <c r="Q4574" i="4"/>
  <c r="P4574" i="4"/>
  <c r="O4574" i="4"/>
  <c r="N4574" i="4"/>
  <c r="M4574" i="4"/>
  <c r="L4574" i="4"/>
  <c r="K4574" i="4"/>
  <c r="J4574" i="4"/>
  <c r="I4574" i="4"/>
  <c r="H4574" i="4"/>
  <c r="Q4573" i="4"/>
  <c r="P4573" i="4"/>
  <c r="O4573" i="4"/>
  <c r="N4573" i="4"/>
  <c r="M4573" i="4"/>
  <c r="L4573" i="4"/>
  <c r="K4573" i="4"/>
  <c r="J4573" i="4"/>
  <c r="I4573" i="4"/>
  <c r="H4573" i="4"/>
  <c r="Q4572" i="4"/>
  <c r="P4572" i="4"/>
  <c r="O4572" i="4"/>
  <c r="N4572" i="4"/>
  <c r="M4572" i="4"/>
  <c r="L4572" i="4"/>
  <c r="K4572" i="4"/>
  <c r="J4572" i="4"/>
  <c r="I4572" i="4"/>
  <c r="H4572" i="4"/>
  <c r="Q4571" i="4"/>
  <c r="P4571" i="4"/>
  <c r="O4571" i="4"/>
  <c r="N4571" i="4"/>
  <c r="M4571" i="4"/>
  <c r="L4571" i="4"/>
  <c r="K4571" i="4"/>
  <c r="J4571" i="4"/>
  <c r="I4571" i="4"/>
  <c r="H4571" i="4"/>
  <c r="Q4570" i="4"/>
  <c r="P4570" i="4"/>
  <c r="O4570" i="4"/>
  <c r="N4570" i="4"/>
  <c r="M4570" i="4"/>
  <c r="L4570" i="4"/>
  <c r="K4570" i="4"/>
  <c r="J4570" i="4"/>
  <c r="I4570" i="4"/>
  <c r="H4570" i="4"/>
  <c r="Q4569" i="4"/>
  <c r="P4569" i="4"/>
  <c r="O4569" i="4"/>
  <c r="N4569" i="4"/>
  <c r="M4569" i="4"/>
  <c r="L4569" i="4"/>
  <c r="K4569" i="4"/>
  <c r="J4569" i="4"/>
  <c r="I4569" i="4"/>
  <c r="H4569" i="4"/>
  <c r="Q4568" i="4"/>
  <c r="P4568" i="4"/>
  <c r="O4568" i="4"/>
  <c r="N4568" i="4"/>
  <c r="M4568" i="4"/>
  <c r="L4568" i="4"/>
  <c r="K4568" i="4"/>
  <c r="J4568" i="4"/>
  <c r="I4568" i="4"/>
  <c r="H4568" i="4"/>
  <c r="Q4567" i="4"/>
  <c r="P4567" i="4"/>
  <c r="O4567" i="4"/>
  <c r="N4567" i="4"/>
  <c r="M4567" i="4"/>
  <c r="L4567" i="4"/>
  <c r="K4567" i="4"/>
  <c r="J4567" i="4"/>
  <c r="I4567" i="4"/>
  <c r="H4567" i="4"/>
  <c r="Q4566" i="4"/>
  <c r="P4566" i="4"/>
  <c r="O4566" i="4"/>
  <c r="N4566" i="4"/>
  <c r="M4566" i="4"/>
  <c r="L4566" i="4"/>
  <c r="K4566" i="4"/>
  <c r="J4566" i="4"/>
  <c r="I4566" i="4"/>
  <c r="H4566" i="4"/>
  <c r="Q4565" i="4"/>
  <c r="P4565" i="4"/>
  <c r="O4565" i="4"/>
  <c r="N4565" i="4"/>
  <c r="M4565" i="4"/>
  <c r="L4565" i="4"/>
  <c r="K4565" i="4"/>
  <c r="J4565" i="4"/>
  <c r="I4565" i="4"/>
  <c r="H4565" i="4"/>
  <c r="Q4564" i="4"/>
  <c r="P4564" i="4"/>
  <c r="O4564" i="4"/>
  <c r="N4564" i="4"/>
  <c r="M4564" i="4"/>
  <c r="L4564" i="4"/>
  <c r="K4564" i="4"/>
  <c r="J4564" i="4"/>
  <c r="I4564" i="4"/>
  <c r="H4564" i="4"/>
  <c r="Q4563" i="4"/>
  <c r="P4563" i="4"/>
  <c r="O4563" i="4"/>
  <c r="N4563" i="4"/>
  <c r="M4563" i="4"/>
  <c r="L4563" i="4"/>
  <c r="K4563" i="4"/>
  <c r="J4563" i="4"/>
  <c r="I4563" i="4"/>
  <c r="H4563" i="4"/>
  <c r="Q4562" i="4"/>
  <c r="P4562" i="4"/>
  <c r="O4562" i="4"/>
  <c r="N4562" i="4"/>
  <c r="M4562" i="4"/>
  <c r="L4562" i="4"/>
  <c r="K4562" i="4"/>
  <c r="J4562" i="4"/>
  <c r="I4562" i="4"/>
  <c r="H4562" i="4"/>
  <c r="Q4561" i="4"/>
  <c r="P4561" i="4"/>
  <c r="O4561" i="4"/>
  <c r="N4561" i="4"/>
  <c r="M4561" i="4"/>
  <c r="L4561" i="4"/>
  <c r="K4561" i="4"/>
  <c r="J4561" i="4"/>
  <c r="I4561" i="4"/>
  <c r="H4561" i="4"/>
  <c r="Q4560" i="4"/>
  <c r="P4560" i="4"/>
  <c r="O4560" i="4"/>
  <c r="N4560" i="4"/>
  <c r="M4560" i="4"/>
  <c r="L4560" i="4"/>
  <c r="K4560" i="4"/>
  <c r="J4560" i="4"/>
  <c r="I4560" i="4"/>
  <c r="H4560" i="4"/>
  <c r="Q4559" i="4"/>
  <c r="P4559" i="4"/>
  <c r="O4559" i="4"/>
  <c r="N4559" i="4"/>
  <c r="M4559" i="4"/>
  <c r="L4559" i="4"/>
  <c r="K4559" i="4"/>
  <c r="J4559" i="4"/>
  <c r="I4559" i="4"/>
  <c r="H4559" i="4"/>
  <c r="Q4558" i="4"/>
  <c r="P4558" i="4"/>
  <c r="O4558" i="4"/>
  <c r="N4558" i="4"/>
  <c r="M4558" i="4"/>
  <c r="L4558" i="4"/>
  <c r="K4558" i="4"/>
  <c r="J4558" i="4"/>
  <c r="I4558" i="4"/>
  <c r="H4558" i="4"/>
  <c r="Q4557" i="4"/>
  <c r="P4557" i="4"/>
  <c r="O4557" i="4"/>
  <c r="N4557" i="4"/>
  <c r="M4557" i="4"/>
  <c r="L4557" i="4"/>
  <c r="K4557" i="4"/>
  <c r="J4557" i="4"/>
  <c r="I4557" i="4"/>
  <c r="H4557" i="4"/>
  <c r="Q4556" i="4"/>
  <c r="P4556" i="4"/>
  <c r="O4556" i="4"/>
  <c r="N4556" i="4"/>
  <c r="M4556" i="4"/>
  <c r="L4556" i="4"/>
  <c r="K4556" i="4"/>
  <c r="J4556" i="4"/>
  <c r="I4556" i="4"/>
  <c r="H4556" i="4"/>
  <c r="Q4555" i="4"/>
  <c r="P4555" i="4"/>
  <c r="O4555" i="4"/>
  <c r="N4555" i="4"/>
  <c r="M4555" i="4"/>
  <c r="L4555" i="4"/>
  <c r="K4555" i="4"/>
  <c r="J4555" i="4"/>
  <c r="I4555" i="4"/>
  <c r="H4555" i="4"/>
  <c r="Q4554" i="4"/>
  <c r="P4554" i="4"/>
  <c r="O4554" i="4"/>
  <c r="N4554" i="4"/>
  <c r="M4554" i="4"/>
  <c r="L4554" i="4"/>
  <c r="K4554" i="4"/>
  <c r="J4554" i="4"/>
  <c r="I4554" i="4"/>
  <c r="H4554" i="4"/>
  <c r="Q4553" i="4"/>
  <c r="P4553" i="4"/>
  <c r="O4553" i="4"/>
  <c r="N4553" i="4"/>
  <c r="M4553" i="4"/>
  <c r="L4553" i="4"/>
  <c r="K4553" i="4"/>
  <c r="J4553" i="4"/>
  <c r="I4553" i="4"/>
  <c r="H4553" i="4"/>
  <c r="Q4552" i="4"/>
  <c r="P4552" i="4"/>
  <c r="O4552" i="4"/>
  <c r="N4552" i="4"/>
  <c r="M4552" i="4"/>
  <c r="L4552" i="4"/>
  <c r="K4552" i="4"/>
  <c r="J4552" i="4"/>
  <c r="I4552" i="4"/>
  <c r="H4552" i="4"/>
  <c r="Q4551" i="4"/>
  <c r="P4551" i="4"/>
  <c r="O4551" i="4"/>
  <c r="N4551" i="4"/>
  <c r="M4551" i="4"/>
  <c r="L4551" i="4"/>
  <c r="K4551" i="4"/>
  <c r="J4551" i="4"/>
  <c r="I4551" i="4"/>
  <c r="H4551" i="4"/>
  <c r="Q4550" i="4"/>
  <c r="P4550" i="4"/>
  <c r="O4550" i="4"/>
  <c r="N4550" i="4"/>
  <c r="M4550" i="4"/>
  <c r="L4550" i="4"/>
  <c r="K4550" i="4"/>
  <c r="J4550" i="4"/>
  <c r="I4550" i="4"/>
  <c r="H4550" i="4"/>
  <c r="Q4549" i="4"/>
  <c r="P4549" i="4"/>
  <c r="O4549" i="4"/>
  <c r="N4549" i="4"/>
  <c r="M4549" i="4"/>
  <c r="L4549" i="4"/>
  <c r="K4549" i="4"/>
  <c r="J4549" i="4"/>
  <c r="I4549" i="4"/>
  <c r="H4549" i="4"/>
  <c r="Q4548" i="4"/>
  <c r="P4548" i="4"/>
  <c r="O4548" i="4"/>
  <c r="N4548" i="4"/>
  <c r="M4548" i="4"/>
  <c r="L4548" i="4"/>
  <c r="K4548" i="4"/>
  <c r="J4548" i="4"/>
  <c r="I4548" i="4"/>
  <c r="H4548" i="4"/>
  <c r="Q4547" i="4"/>
  <c r="P4547" i="4"/>
  <c r="O4547" i="4"/>
  <c r="N4547" i="4"/>
  <c r="M4547" i="4"/>
  <c r="L4547" i="4"/>
  <c r="K4547" i="4"/>
  <c r="J4547" i="4"/>
  <c r="I4547" i="4"/>
  <c r="H4547" i="4"/>
  <c r="Q4546" i="4"/>
  <c r="P4546" i="4"/>
  <c r="O4546" i="4"/>
  <c r="N4546" i="4"/>
  <c r="M4546" i="4"/>
  <c r="L4546" i="4"/>
  <c r="K4546" i="4"/>
  <c r="J4546" i="4"/>
  <c r="I4546" i="4"/>
  <c r="H4546" i="4"/>
  <c r="Q4545" i="4"/>
  <c r="P4545" i="4"/>
  <c r="O4545" i="4"/>
  <c r="N4545" i="4"/>
  <c r="M4545" i="4"/>
  <c r="L4545" i="4"/>
  <c r="K4545" i="4"/>
  <c r="J4545" i="4"/>
  <c r="I4545" i="4"/>
  <c r="H4545" i="4"/>
  <c r="Q4544" i="4"/>
  <c r="P4544" i="4"/>
  <c r="O4544" i="4"/>
  <c r="N4544" i="4"/>
  <c r="M4544" i="4"/>
  <c r="L4544" i="4"/>
  <c r="K4544" i="4"/>
  <c r="J4544" i="4"/>
  <c r="I4544" i="4"/>
  <c r="H4544" i="4"/>
  <c r="Q4543" i="4"/>
  <c r="P4543" i="4"/>
  <c r="O4543" i="4"/>
  <c r="N4543" i="4"/>
  <c r="M4543" i="4"/>
  <c r="L4543" i="4"/>
  <c r="K4543" i="4"/>
  <c r="J4543" i="4"/>
  <c r="I4543" i="4"/>
  <c r="H4543" i="4"/>
  <c r="Q4542" i="4"/>
  <c r="P4542" i="4"/>
  <c r="O4542" i="4"/>
  <c r="N4542" i="4"/>
  <c r="M4542" i="4"/>
  <c r="L4542" i="4"/>
  <c r="K4542" i="4"/>
  <c r="J4542" i="4"/>
  <c r="I4542" i="4"/>
  <c r="H4542" i="4"/>
  <c r="Q4541" i="4"/>
  <c r="P4541" i="4"/>
  <c r="O4541" i="4"/>
  <c r="N4541" i="4"/>
  <c r="M4541" i="4"/>
  <c r="L4541" i="4"/>
  <c r="K4541" i="4"/>
  <c r="J4541" i="4"/>
  <c r="I4541" i="4"/>
  <c r="H4541" i="4"/>
  <c r="Q4540" i="4"/>
  <c r="P4540" i="4"/>
  <c r="O4540" i="4"/>
  <c r="N4540" i="4"/>
  <c r="M4540" i="4"/>
  <c r="L4540" i="4"/>
  <c r="K4540" i="4"/>
  <c r="J4540" i="4"/>
  <c r="I4540" i="4"/>
  <c r="H4540" i="4"/>
  <c r="Q4539" i="4"/>
  <c r="P4539" i="4"/>
  <c r="O4539" i="4"/>
  <c r="N4539" i="4"/>
  <c r="M4539" i="4"/>
  <c r="L4539" i="4"/>
  <c r="K4539" i="4"/>
  <c r="J4539" i="4"/>
  <c r="I4539" i="4"/>
  <c r="H4539" i="4"/>
  <c r="Q4538" i="4"/>
  <c r="P4538" i="4"/>
  <c r="O4538" i="4"/>
  <c r="N4538" i="4"/>
  <c r="M4538" i="4"/>
  <c r="L4538" i="4"/>
  <c r="K4538" i="4"/>
  <c r="J4538" i="4"/>
  <c r="I4538" i="4"/>
  <c r="H4538" i="4"/>
  <c r="Q4537" i="4"/>
  <c r="P4537" i="4"/>
  <c r="O4537" i="4"/>
  <c r="N4537" i="4"/>
  <c r="M4537" i="4"/>
  <c r="L4537" i="4"/>
  <c r="K4537" i="4"/>
  <c r="J4537" i="4"/>
  <c r="I4537" i="4"/>
  <c r="H4537" i="4"/>
  <c r="Q4536" i="4"/>
  <c r="P4536" i="4"/>
  <c r="O4536" i="4"/>
  <c r="N4536" i="4"/>
  <c r="M4536" i="4"/>
  <c r="L4536" i="4"/>
  <c r="K4536" i="4"/>
  <c r="J4536" i="4"/>
  <c r="I4536" i="4"/>
  <c r="H4536" i="4"/>
  <c r="Q4535" i="4"/>
  <c r="P4535" i="4"/>
  <c r="O4535" i="4"/>
  <c r="N4535" i="4"/>
  <c r="M4535" i="4"/>
  <c r="L4535" i="4"/>
  <c r="K4535" i="4"/>
  <c r="J4535" i="4"/>
  <c r="I4535" i="4"/>
  <c r="H4535" i="4"/>
  <c r="Q4534" i="4"/>
  <c r="P4534" i="4"/>
  <c r="O4534" i="4"/>
  <c r="N4534" i="4"/>
  <c r="M4534" i="4"/>
  <c r="L4534" i="4"/>
  <c r="K4534" i="4"/>
  <c r="J4534" i="4"/>
  <c r="I4534" i="4"/>
  <c r="H4534" i="4"/>
  <c r="Q4533" i="4"/>
  <c r="P4533" i="4"/>
  <c r="O4533" i="4"/>
  <c r="N4533" i="4"/>
  <c r="M4533" i="4"/>
  <c r="L4533" i="4"/>
  <c r="K4533" i="4"/>
  <c r="J4533" i="4"/>
  <c r="I4533" i="4"/>
  <c r="H4533" i="4"/>
  <c r="Q4532" i="4"/>
  <c r="P4532" i="4"/>
  <c r="O4532" i="4"/>
  <c r="N4532" i="4"/>
  <c r="M4532" i="4"/>
  <c r="L4532" i="4"/>
  <c r="K4532" i="4"/>
  <c r="J4532" i="4"/>
  <c r="I4532" i="4"/>
  <c r="H4532" i="4"/>
  <c r="Q4531" i="4"/>
  <c r="P4531" i="4"/>
  <c r="O4531" i="4"/>
  <c r="N4531" i="4"/>
  <c r="M4531" i="4"/>
  <c r="L4531" i="4"/>
  <c r="K4531" i="4"/>
  <c r="J4531" i="4"/>
  <c r="I4531" i="4"/>
  <c r="H4531" i="4"/>
  <c r="Q4530" i="4"/>
  <c r="P4530" i="4"/>
  <c r="O4530" i="4"/>
  <c r="N4530" i="4"/>
  <c r="M4530" i="4"/>
  <c r="L4530" i="4"/>
  <c r="K4530" i="4"/>
  <c r="J4530" i="4"/>
  <c r="I4530" i="4"/>
  <c r="H4530" i="4"/>
  <c r="Q4529" i="4"/>
  <c r="P4529" i="4"/>
  <c r="O4529" i="4"/>
  <c r="N4529" i="4"/>
  <c r="M4529" i="4"/>
  <c r="L4529" i="4"/>
  <c r="K4529" i="4"/>
  <c r="J4529" i="4"/>
  <c r="I4529" i="4"/>
  <c r="H4529" i="4"/>
  <c r="Q4528" i="4"/>
  <c r="P4528" i="4"/>
  <c r="O4528" i="4"/>
  <c r="N4528" i="4"/>
  <c r="M4528" i="4"/>
  <c r="L4528" i="4"/>
  <c r="K4528" i="4"/>
  <c r="J4528" i="4"/>
  <c r="I4528" i="4"/>
  <c r="H4528" i="4"/>
  <c r="Q4527" i="4"/>
  <c r="P4527" i="4"/>
  <c r="O4527" i="4"/>
  <c r="N4527" i="4"/>
  <c r="M4527" i="4"/>
  <c r="L4527" i="4"/>
  <c r="K4527" i="4"/>
  <c r="J4527" i="4"/>
  <c r="I4527" i="4"/>
  <c r="H4527" i="4"/>
  <c r="Q4526" i="4"/>
  <c r="P4526" i="4"/>
  <c r="O4526" i="4"/>
  <c r="N4526" i="4"/>
  <c r="M4526" i="4"/>
  <c r="L4526" i="4"/>
  <c r="K4526" i="4"/>
  <c r="J4526" i="4"/>
  <c r="I4526" i="4"/>
  <c r="H4526" i="4"/>
  <c r="Q4525" i="4"/>
  <c r="P4525" i="4"/>
  <c r="O4525" i="4"/>
  <c r="N4525" i="4"/>
  <c r="M4525" i="4"/>
  <c r="L4525" i="4"/>
  <c r="K4525" i="4"/>
  <c r="J4525" i="4"/>
  <c r="I4525" i="4"/>
  <c r="H4525" i="4"/>
  <c r="Q4524" i="4"/>
  <c r="P4524" i="4"/>
  <c r="O4524" i="4"/>
  <c r="N4524" i="4"/>
  <c r="M4524" i="4"/>
  <c r="L4524" i="4"/>
  <c r="K4524" i="4"/>
  <c r="J4524" i="4"/>
  <c r="I4524" i="4"/>
  <c r="H4524" i="4"/>
  <c r="Q4523" i="4"/>
  <c r="P4523" i="4"/>
  <c r="O4523" i="4"/>
  <c r="N4523" i="4"/>
  <c r="M4523" i="4"/>
  <c r="L4523" i="4"/>
  <c r="K4523" i="4"/>
  <c r="J4523" i="4"/>
  <c r="I4523" i="4"/>
  <c r="H4523" i="4"/>
  <c r="Q4522" i="4"/>
  <c r="P4522" i="4"/>
  <c r="O4522" i="4"/>
  <c r="N4522" i="4"/>
  <c r="M4522" i="4"/>
  <c r="L4522" i="4"/>
  <c r="K4522" i="4"/>
  <c r="J4522" i="4"/>
  <c r="I4522" i="4"/>
  <c r="H4522" i="4"/>
  <c r="Q4521" i="4"/>
  <c r="P4521" i="4"/>
  <c r="O4521" i="4"/>
  <c r="N4521" i="4"/>
  <c r="M4521" i="4"/>
  <c r="L4521" i="4"/>
  <c r="K4521" i="4"/>
  <c r="J4521" i="4"/>
  <c r="I4521" i="4"/>
  <c r="H4521" i="4"/>
  <c r="Q4520" i="4"/>
  <c r="P4520" i="4"/>
  <c r="O4520" i="4"/>
  <c r="N4520" i="4"/>
  <c r="M4520" i="4"/>
  <c r="L4520" i="4"/>
  <c r="K4520" i="4"/>
  <c r="J4520" i="4"/>
  <c r="I4520" i="4"/>
  <c r="H4520" i="4"/>
  <c r="Q4519" i="4"/>
  <c r="P4519" i="4"/>
  <c r="O4519" i="4"/>
  <c r="N4519" i="4"/>
  <c r="M4519" i="4"/>
  <c r="L4519" i="4"/>
  <c r="K4519" i="4"/>
  <c r="J4519" i="4"/>
  <c r="I4519" i="4"/>
  <c r="H4519" i="4"/>
  <c r="Q4518" i="4"/>
  <c r="P4518" i="4"/>
  <c r="O4518" i="4"/>
  <c r="N4518" i="4"/>
  <c r="M4518" i="4"/>
  <c r="L4518" i="4"/>
  <c r="K4518" i="4"/>
  <c r="J4518" i="4"/>
  <c r="I4518" i="4"/>
  <c r="H4518" i="4"/>
  <c r="Q4517" i="4"/>
  <c r="P4517" i="4"/>
  <c r="O4517" i="4"/>
  <c r="N4517" i="4"/>
  <c r="M4517" i="4"/>
  <c r="L4517" i="4"/>
  <c r="K4517" i="4"/>
  <c r="J4517" i="4"/>
  <c r="I4517" i="4"/>
  <c r="H4517" i="4"/>
  <c r="Q4516" i="4"/>
  <c r="P4516" i="4"/>
  <c r="O4516" i="4"/>
  <c r="N4516" i="4"/>
  <c r="M4516" i="4"/>
  <c r="L4516" i="4"/>
  <c r="K4516" i="4"/>
  <c r="J4516" i="4"/>
  <c r="I4516" i="4"/>
  <c r="H4516" i="4"/>
  <c r="Q4515" i="4"/>
  <c r="P4515" i="4"/>
  <c r="O4515" i="4"/>
  <c r="N4515" i="4"/>
  <c r="M4515" i="4"/>
  <c r="L4515" i="4"/>
  <c r="K4515" i="4"/>
  <c r="J4515" i="4"/>
  <c r="I4515" i="4"/>
  <c r="H4515" i="4"/>
  <c r="Q4514" i="4"/>
  <c r="P4514" i="4"/>
  <c r="O4514" i="4"/>
  <c r="N4514" i="4"/>
  <c r="M4514" i="4"/>
  <c r="L4514" i="4"/>
  <c r="K4514" i="4"/>
  <c r="J4514" i="4"/>
  <c r="I4514" i="4"/>
  <c r="H4514" i="4"/>
  <c r="Q4513" i="4"/>
  <c r="P4513" i="4"/>
  <c r="O4513" i="4"/>
  <c r="N4513" i="4"/>
  <c r="M4513" i="4"/>
  <c r="L4513" i="4"/>
  <c r="K4513" i="4"/>
  <c r="J4513" i="4"/>
  <c r="I4513" i="4"/>
  <c r="H4513" i="4"/>
  <c r="Q4512" i="4"/>
  <c r="P4512" i="4"/>
  <c r="O4512" i="4"/>
  <c r="N4512" i="4"/>
  <c r="M4512" i="4"/>
  <c r="L4512" i="4"/>
  <c r="K4512" i="4"/>
  <c r="J4512" i="4"/>
  <c r="I4512" i="4"/>
  <c r="H4512" i="4"/>
  <c r="Q4511" i="4"/>
  <c r="P4511" i="4"/>
  <c r="O4511" i="4"/>
  <c r="N4511" i="4"/>
  <c r="M4511" i="4"/>
  <c r="L4511" i="4"/>
  <c r="K4511" i="4"/>
  <c r="J4511" i="4"/>
  <c r="I4511" i="4"/>
  <c r="H4511" i="4"/>
  <c r="Q4510" i="4"/>
  <c r="P4510" i="4"/>
  <c r="O4510" i="4"/>
  <c r="N4510" i="4"/>
  <c r="M4510" i="4"/>
  <c r="L4510" i="4"/>
  <c r="K4510" i="4"/>
  <c r="J4510" i="4"/>
  <c r="I4510" i="4"/>
  <c r="H4510" i="4"/>
  <c r="Q4509" i="4"/>
  <c r="P4509" i="4"/>
  <c r="O4509" i="4"/>
  <c r="N4509" i="4"/>
  <c r="M4509" i="4"/>
  <c r="L4509" i="4"/>
  <c r="K4509" i="4"/>
  <c r="J4509" i="4"/>
  <c r="I4509" i="4"/>
  <c r="H4509" i="4"/>
  <c r="Q4508" i="4"/>
  <c r="P4508" i="4"/>
  <c r="O4508" i="4"/>
  <c r="N4508" i="4"/>
  <c r="M4508" i="4"/>
  <c r="L4508" i="4"/>
  <c r="K4508" i="4"/>
  <c r="J4508" i="4"/>
  <c r="I4508" i="4"/>
  <c r="H4508" i="4"/>
  <c r="Q4507" i="4"/>
  <c r="P4507" i="4"/>
  <c r="O4507" i="4"/>
  <c r="N4507" i="4"/>
  <c r="M4507" i="4"/>
  <c r="L4507" i="4"/>
  <c r="K4507" i="4"/>
  <c r="J4507" i="4"/>
  <c r="I4507" i="4"/>
  <c r="H4507" i="4"/>
  <c r="Q4506" i="4"/>
  <c r="P4506" i="4"/>
  <c r="O4506" i="4"/>
  <c r="N4506" i="4"/>
  <c r="M4506" i="4"/>
  <c r="L4506" i="4"/>
  <c r="K4506" i="4"/>
  <c r="J4506" i="4"/>
  <c r="I4506" i="4"/>
  <c r="H4506" i="4"/>
  <c r="Q4505" i="4"/>
  <c r="P4505" i="4"/>
  <c r="O4505" i="4"/>
  <c r="N4505" i="4"/>
  <c r="M4505" i="4"/>
  <c r="L4505" i="4"/>
  <c r="K4505" i="4"/>
  <c r="J4505" i="4"/>
  <c r="I4505" i="4"/>
  <c r="H4505" i="4"/>
  <c r="Q4504" i="4"/>
  <c r="P4504" i="4"/>
  <c r="O4504" i="4"/>
  <c r="N4504" i="4"/>
  <c r="M4504" i="4"/>
  <c r="L4504" i="4"/>
  <c r="K4504" i="4"/>
  <c r="J4504" i="4"/>
  <c r="I4504" i="4"/>
  <c r="H4504" i="4"/>
  <c r="Q4503" i="4"/>
  <c r="P4503" i="4"/>
  <c r="O4503" i="4"/>
  <c r="N4503" i="4"/>
  <c r="M4503" i="4"/>
  <c r="L4503" i="4"/>
  <c r="K4503" i="4"/>
  <c r="J4503" i="4"/>
  <c r="I4503" i="4"/>
  <c r="H4503" i="4"/>
  <c r="Q4502" i="4"/>
  <c r="P4502" i="4"/>
  <c r="O4502" i="4"/>
  <c r="N4502" i="4"/>
  <c r="M4502" i="4"/>
  <c r="L4502" i="4"/>
  <c r="K4502" i="4"/>
  <c r="J4502" i="4"/>
  <c r="I4502" i="4"/>
  <c r="H4502" i="4"/>
  <c r="Q4501" i="4"/>
  <c r="P4501" i="4"/>
  <c r="O4501" i="4"/>
  <c r="N4501" i="4"/>
  <c r="M4501" i="4"/>
  <c r="L4501" i="4"/>
  <c r="K4501" i="4"/>
  <c r="J4501" i="4"/>
  <c r="I4501" i="4"/>
  <c r="H4501" i="4"/>
  <c r="Q4500" i="4"/>
  <c r="P4500" i="4"/>
  <c r="O4500" i="4"/>
  <c r="N4500" i="4"/>
  <c r="M4500" i="4"/>
  <c r="L4500" i="4"/>
  <c r="K4500" i="4"/>
  <c r="J4500" i="4"/>
  <c r="I4500" i="4"/>
  <c r="H4500" i="4"/>
  <c r="Q4499" i="4"/>
  <c r="P4499" i="4"/>
  <c r="O4499" i="4"/>
  <c r="N4499" i="4"/>
  <c r="M4499" i="4"/>
  <c r="L4499" i="4"/>
  <c r="K4499" i="4"/>
  <c r="J4499" i="4"/>
  <c r="I4499" i="4"/>
  <c r="H4499" i="4"/>
  <c r="Q4498" i="4"/>
  <c r="P4498" i="4"/>
  <c r="O4498" i="4"/>
  <c r="N4498" i="4"/>
  <c r="M4498" i="4"/>
  <c r="L4498" i="4"/>
  <c r="K4498" i="4"/>
  <c r="J4498" i="4"/>
  <c r="I4498" i="4"/>
  <c r="H4498" i="4"/>
  <c r="Q4497" i="4"/>
  <c r="P4497" i="4"/>
  <c r="O4497" i="4"/>
  <c r="N4497" i="4"/>
  <c r="M4497" i="4"/>
  <c r="L4497" i="4"/>
  <c r="K4497" i="4"/>
  <c r="J4497" i="4"/>
  <c r="I4497" i="4"/>
  <c r="H4497" i="4"/>
  <c r="Q4496" i="4"/>
  <c r="P4496" i="4"/>
  <c r="O4496" i="4"/>
  <c r="N4496" i="4"/>
  <c r="M4496" i="4"/>
  <c r="L4496" i="4"/>
  <c r="K4496" i="4"/>
  <c r="J4496" i="4"/>
  <c r="I4496" i="4"/>
  <c r="H4496" i="4"/>
  <c r="Q4495" i="4"/>
  <c r="P4495" i="4"/>
  <c r="O4495" i="4"/>
  <c r="N4495" i="4"/>
  <c r="M4495" i="4"/>
  <c r="L4495" i="4"/>
  <c r="K4495" i="4"/>
  <c r="J4495" i="4"/>
  <c r="I4495" i="4"/>
  <c r="H4495" i="4"/>
  <c r="Q4494" i="4"/>
  <c r="P4494" i="4"/>
  <c r="O4494" i="4"/>
  <c r="N4494" i="4"/>
  <c r="M4494" i="4"/>
  <c r="L4494" i="4"/>
  <c r="K4494" i="4"/>
  <c r="J4494" i="4"/>
  <c r="I4494" i="4"/>
  <c r="H4494" i="4"/>
  <c r="Q4493" i="4"/>
  <c r="P4493" i="4"/>
  <c r="O4493" i="4"/>
  <c r="N4493" i="4"/>
  <c r="M4493" i="4"/>
  <c r="L4493" i="4"/>
  <c r="K4493" i="4"/>
  <c r="J4493" i="4"/>
  <c r="I4493" i="4"/>
  <c r="H4493" i="4"/>
  <c r="Q4492" i="4"/>
  <c r="P4492" i="4"/>
  <c r="O4492" i="4"/>
  <c r="N4492" i="4"/>
  <c r="M4492" i="4"/>
  <c r="L4492" i="4"/>
  <c r="K4492" i="4"/>
  <c r="J4492" i="4"/>
  <c r="I4492" i="4"/>
  <c r="H4492" i="4"/>
  <c r="Q4491" i="4"/>
  <c r="P4491" i="4"/>
  <c r="O4491" i="4"/>
  <c r="N4491" i="4"/>
  <c r="M4491" i="4"/>
  <c r="L4491" i="4"/>
  <c r="K4491" i="4"/>
  <c r="J4491" i="4"/>
  <c r="I4491" i="4"/>
  <c r="H4491" i="4"/>
  <c r="Q4490" i="4"/>
  <c r="P4490" i="4"/>
  <c r="O4490" i="4"/>
  <c r="N4490" i="4"/>
  <c r="M4490" i="4"/>
  <c r="L4490" i="4"/>
  <c r="K4490" i="4"/>
  <c r="J4490" i="4"/>
  <c r="I4490" i="4"/>
  <c r="H4490" i="4"/>
  <c r="Q4489" i="4"/>
  <c r="P4489" i="4"/>
  <c r="O4489" i="4"/>
  <c r="N4489" i="4"/>
  <c r="M4489" i="4"/>
  <c r="L4489" i="4"/>
  <c r="K4489" i="4"/>
  <c r="J4489" i="4"/>
  <c r="I4489" i="4"/>
  <c r="H4489" i="4"/>
  <c r="Q4488" i="4"/>
  <c r="P4488" i="4"/>
  <c r="O4488" i="4"/>
  <c r="N4488" i="4"/>
  <c r="M4488" i="4"/>
  <c r="L4488" i="4"/>
  <c r="K4488" i="4"/>
  <c r="J4488" i="4"/>
  <c r="I4488" i="4"/>
  <c r="H4488" i="4"/>
  <c r="Q4487" i="4"/>
  <c r="P4487" i="4"/>
  <c r="O4487" i="4"/>
  <c r="N4487" i="4"/>
  <c r="M4487" i="4"/>
  <c r="L4487" i="4"/>
  <c r="K4487" i="4"/>
  <c r="J4487" i="4"/>
  <c r="I4487" i="4"/>
  <c r="H4487" i="4"/>
  <c r="Q4486" i="4"/>
  <c r="P4486" i="4"/>
  <c r="O4486" i="4"/>
  <c r="N4486" i="4"/>
  <c r="M4486" i="4"/>
  <c r="L4486" i="4"/>
  <c r="K4486" i="4"/>
  <c r="J4486" i="4"/>
  <c r="I4486" i="4"/>
  <c r="H4486" i="4"/>
  <c r="Q4485" i="4"/>
  <c r="P4485" i="4"/>
  <c r="O4485" i="4"/>
  <c r="N4485" i="4"/>
  <c r="M4485" i="4"/>
  <c r="L4485" i="4"/>
  <c r="K4485" i="4"/>
  <c r="J4485" i="4"/>
  <c r="I4485" i="4"/>
  <c r="H4485" i="4"/>
  <c r="Q4484" i="4"/>
  <c r="P4484" i="4"/>
  <c r="O4484" i="4"/>
  <c r="N4484" i="4"/>
  <c r="M4484" i="4"/>
  <c r="L4484" i="4"/>
  <c r="K4484" i="4"/>
  <c r="J4484" i="4"/>
  <c r="I4484" i="4"/>
  <c r="H4484" i="4"/>
  <c r="Q4483" i="4"/>
  <c r="P4483" i="4"/>
  <c r="O4483" i="4"/>
  <c r="N4483" i="4"/>
  <c r="M4483" i="4"/>
  <c r="L4483" i="4"/>
  <c r="K4483" i="4"/>
  <c r="J4483" i="4"/>
  <c r="I4483" i="4"/>
  <c r="H4483" i="4"/>
  <c r="Q4482" i="4"/>
  <c r="P4482" i="4"/>
  <c r="O4482" i="4"/>
  <c r="N4482" i="4"/>
  <c r="M4482" i="4"/>
  <c r="L4482" i="4"/>
  <c r="K4482" i="4"/>
  <c r="J4482" i="4"/>
  <c r="I4482" i="4"/>
  <c r="H4482" i="4"/>
  <c r="Q4481" i="4"/>
  <c r="P4481" i="4"/>
  <c r="O4481" i="4"/>
  <c r="N4481" i="4"/>
  <c r="M4481" i="4"/>
  <c r="L4481" i="4"/>
  <c r="K4481" i="4"/>
  <c r="J4481" i="4"/>
  <c r="I4481" i="4"/>
  <c r="H4481" i="4"/>
  <c r="Q4480" i="4"/>
  <c r="P4480" i="4"/>
  <c r="O4480" i="4"/>
  <c r="N4480" i="4"/>
  <c r="M4480" i="4"/>
  <c r="L4480" i="4"/>
  <c r="K4480" i="4"/>
  <c r="J4480" i="4"/>
  <c r="I4480" i="4"/>
  <c r="H4480" i="4"/>
  <c r="Q4479" i="4"/>
  <c r="P4479" i="4"/>
  <c r="O4479" i="4"/>
  <c r="N4479" i="4"/>
  <c r="M4479" i="4"/>
  <c r="L4479" i="4"/>
  <c r="K4479" i="4"/>
  <c r="J4479" i="4"/>
  <c r="I4479" i="4"/>
  <c r="H4479" i="4"/>
  <c r="Q4478" i="4"/>
  <c r="P4478" i="4"/>
  <c r="O4478" i="4"/>
  <c r="N4478" i="4"/>
  <c r="M4478" i="4"/>
  <c r="L4478" i="4"/>
  <c r="K4478" i="4"/>
  <c r="J4478" i="4"/>
  <c r="I4478" i="4"/>
  <c r="H4478" i="4"/>
  <c r="Q4477" i="4"/>
  <c r="P4477" i="4"/>
  <c r="O4477" i="4"/>
  <c r="N4477" i="4"/>
  <c r="M4477" i="4"/>
  <c r="L4477" i="4"/>
  <c r="K4477" i="4"/>
  <c r="J4477" i="4"/>
  <c r="I4477" i="4"/>
  <c r="H4477" i="4"/>
  <c r="Q4476" i="4"/>
  <c r="P4476" i="4"/>
  <c r="O4476" i="4"/>
  <c r="N4476" i="4"/>
  <c r="M4476" i="4"/>
  <c r="L4476" i="4"/>
  <c r="K4476" i="4"/>
  <c r="J4476" i="4"/>
  <c r="I4476" i="4"/>
  <c r="H4476" i="4"/>
  <c r="Q4475" i="4"/>
  <c r="P4475" i="4"/>
  <c r="O4475" i="4"/>
  <c r="N4475" i="4"/>
  <c r="M4475" i="4"/>
  <c r="L4475" i="4"/>
  <c r="K4475" i="4"/>
  <c r="J4475" i="4"/>
  <c r="I4475" i="4"/>
  <c r="H4475" i="4"/>
  <c r="Q4474" i="4"/>
  <c r="P4474" i="4"/>
  <c r="O4474" i="4"/>
  <c r="N4474" i="4"/>
  <c r="M4474" i="4"/>
  <c r="L4474" i="4"/>
  <c r="K4474" i="4"/>
  <c r="J4474" i="4"/>
  <c r="I4474" i="4"/>
  <c r="H4474" i="4"/>
  <c r="Q4473" i="4"/>
  <c r="P4473" i="4"/>
  <c r="O4473" i="4"/>
  <c r="N4473" i="4"/>
  <c r="M4473" i="4"/>
  <c r="L4473" i="4"/>
  <c r="K4473" i="4"/>
  <c r="J4473" i="4"/>
  <c r="I4473" i="4"/>
  <c r="H4473" i="4"/>
  <c r="Q4472" i="4"/>
  <c r="P4472" i="4"/>
  <c r="O4472" i="4"/>
  <c r="N4472" i="4"/>
  <c r="M4472" i="4"/>
  <c r="L4472" i="4"/>
  <c r="K4472" i="4"/>
  <c r="J4472" i="4"/>
  <c r="I4472" i="4"/>
  <c r="H4472" i="4"/>
  <c r="Q4471" i="4"/>
  <c r="P4471" i="4"/>
  <c r="O4471" i="4"/>
  <c r="N4471" i="4"/>
  <c r="M4471" i="4"/>
  <c r="L4471" i="4"/>
  <c r="K4471" i="4"/>
  <c r="J4471" i="4"/>
  <c r="I4471" i="4"/>
  <c r="H4471" i="4"/>
  <c r="Q4470" i="4"/>
  <c r="P4470" i="4"/>
  <c r="O4470" i="4"/>
  <c r="N4470" i="4"/>
  <c r="M4470" i="4"/>
  <c r="L4470" i="4"/>
  <c r="K4470" i="4"/>
  <c r="J4470" i="4"/>
  <c r="I4470" i="4"/>
  <c r="H4470" i="4"/>
  <c r="Q4469" i="4"/>
  <c r="P4469" i="4"/>
  <c r="O4469" i="4"/>
  <c r="N4469" i="4"/>
  <c r="M4469" i="4"/>
  <c r="L4469" i="4"/>
  <c r="K4469" i="4"/>
  <c r="J4469" i="4"/>
  <c r="I4469" i="4"/>
  <c r="H4469" i="4"/>
  <c r="Q4468" i="4"/>
  <c r="P4468" i="4"/>
  <c r="O4468" i="4"/>
  <c r="N4468" i="4"/>
  <c r="M4468" i="4"/>
  <c r="L4468" i="4"/>
  <c r="K4468" i="4"/>
  <c r="J4468" i="4"/>
  <c r="I4468" i="4"/>
  <c r="H4468" i="4"/>
  <c r="Q4467" i="4"/>
  <c r="P4467" i="4"/>
  <c r="O4467" i="4"/>
  <c r="N4467" i="4"/>
  <c r="M4467" i="4"/>
  <c r="L4467" i="4"/>
  <c r="K4467" i="4"/>
  <c r="J4467" i="4"/>
  <c r="I4467" i="4"/>
  <c r="H4467" i="4"/>
  <c r="Q4466" i="4"/>
  <c r="P4466" i="4"/>
  <c r="O4466" i="4"/>
  <c r="N4466" i="4"/>
  <c r="M4466" i="4"/>
  <c r="L4466" i="4"/>
  <c r="K4466" i="4"/>
  <c r="J4466" i="4"/>
  <c r="I4466" i="4"/>
  <c r="H4466" i="4"/>
  <c r="Q4465" i="4"/>
  <c r="P4465" i="4"/>
  <c r="O4465" i="4"/>
  <c r="N4465" i="4"/>
  <c r="M4465" i="4"/>
  <c r="L4465" i="4"/>
  <c r="K4465" i="4"/>
  <c r="J4465" i="4"/>
  <c r="I4465" i="4"/>
  <c r="H4465" i="4"/>
  <c r="Q4464" i="4"/>
  <c r="P4464" i="4"/>
  <c r="O4464" i="4"/>
  <c r="N4464" i="4"/>
  <c r="M4464" i="4"/>
  <c r="L4464" i="4"/>
  <c r="K4464" i="4"/>
  <c r="J4464" i="4"/>
  <c r="I4464" i="4"/>
  <c r="H4464" i="4"/>
  <c r="Q4463" i="4"/>
  <c r="P4463" i="4"/>
  <c r="O4463" i="4"/>
  <c r="N4463" i="4"/>
  <c r="M4463" i="4"/>
  <c r="L4463" i="4"/>
  <c r="K4463" i="4"/>
  <c r="J4463" i="4"/>
  <c r="I4463" i="4"/>
  <c r="H4463" i="4"/>
  <c r="Q4462" i="4"/>
  <c r="P4462" i="4"/>
  <c r="O4462" i="4"/>
  <c r="N4462" i="4"/>
  <c r="M4462" i="4"/>
  <c r="L4462" i="4"/>
  <c r="K4462" i="4"/>
  <c r="J4462" i="4"/>
  <c r="I4462" i="4"/>
  <c r="H4462" i="4"/>
  <c r="Q4461" i="4"/>
  <c r="P4461" i="4"/>
  <c r="O4461" i="4"/>
  <c r="N4461" i="4"/>
  <c r="M4461" i="4"/>
  <c r="L4461" i="4"/>
  <c r="K4461" i="4"/>
  <c r="J4461" i="4"/>
  <c r="I4461" i="4"/>
  <c r="H4461" i="4"/>
  <c r="Q4460" i="4"/>
  <c r="P4460" i="4"/>
  <c r="O4460" i="4"/>
  <c r="N4460" i="4"/>
  <c r="M4460" i="4"/>
  <c r="L4460" i="4"/>
  <c r="K4460" i="4"/>
  <c r="J4460" i="4"/>
  <c r="I4460" i="4"/>
  <c r="H4460" i="4"/>
  <c r="Q4459" i="4"/>
  <c r="P4459" i="4"/>
  <c r="O4459" i="4"/>
  <c r="N4459" i="4"/>
  <c r="M4459" i="4"/>
  <c r="L4459" i="4"/>
  <c r="K4459" i="4"/>
  <c r="J4459" i="4"/>
  <c r="I4459" i="4"/>
  <c r="H4459" i="4"/>
  <c r="Q4458" i="4"/>
  <c r="P4458" i="4"/>
  <c r="O4458" i="4"/>
  <c r="N4458" i="4"/>
  <c r="M4458" i="4"/>
  <c r="L4458" i="4"/>
  <c r="K4458" i="4"/>
  <c r="J4458" i="4"/>
  <c r="I4458" i="4"/>
  <c r="H4458" i="4"/>
  <c r="Q4457" i="4"/>
  <c r="P4457" i="4"/>
  <c r="O4457" i="4"/>
  <c r="N4457" i="4"/>
  <c r="M4457" i="4"/>
  <c r="L4457" i="4"/>
  <c r="K4457" i="4"/>
  <c r="J4457" i="4"/>
  <c r="I4457" i="4"/>
  <c r="H4457" i="4"/>
  <c r="Q4456" i="4"/>
  <c r="P4456" i="4"/>
  <c r="O4456" i="4"/>
  <c r="N4456" i="4"/>
  <c r="M4456" i="4"/>
  <c r="L4456" i="4"/>
  <c r="K4456" i="4"/>
  <c r="J4456" i="4"/>
  <c r="I4456" i="4"/>
  <c r="H4456" i="4"/>
  <c r="Q4455" i="4"/>
  <c r="P4455" i="4"/>
  <c r="O4455" i="4"/>
  <c r="N4455" i="4"/>
  <c r="M4455" i="4"/>
  <c r="L4455" i="4"/>
  <c r="K4455" i="4"/>
  <c r="J4455" i="4"/>
  <c r="I4455" i="4"/>
  <c r="H4455" i="4"/>
  <c r="Q4454" i="4"/>
  <c r="P4454" i="4"/>
  <c r="O4454" i="4"/>
  <c r="N4454" i="4"/>
  <c r="M4454" i="4"/>
  <c r="L4454" i="4"/>
  <c r="K4454" i="4"/>
  <c r="J4454" i="4"/>
  <c r="I4454" i="4"/>
  <c r="H4454" i="4"/>
  <c r="Q4453" i="4"/>
  <c r="P4453" i="4"/>
  <c r="O4453" i="4"/>
  <c r="N4453" i="4"/>
  <c r="M4453" i="4"/>
  <c r="L4453" i="4"/>
  <c r="K4453" i="4"/>
  <c r="J4453" i="4"/>
  <c r="I4453" i="4"/>
  <c r="H4453" i="4"/>
  <c r="Q4452" i="4"/>
  <c r="P4452" i="4"/>
  <c r="O4452" i="4"/>
  <c r="N4452" i="4"/>
  <c r="M4452" i="4"/>
  <c r="L4452" i="4"/>
  <c r="K4452" i="4"/>
  <c r="J4452" i="4"/>
  <c r="I4452" i="4"/>
  <c r="H4452" i="4"/>
  <c r="Q4451" i="4"/>
  <c r="P4451" i="4"/>
  <c r="O4451" i="4"/>
  <c r="N4451" i="4"/>
  <c r="M4451" i="4"/>
  <c r="L4451" i="4"/>
  <c r="K4451" i="4"/>
  <c r="J4451" i="4"/>
  <c r="I4451" i="4"/>
  <c r="H4451" i="4"/>
  <c r="Q4450" i="4"/>
  <c r="P4450" i="4"/>
  <c r="O4450" i="4"/>
  <c r="N4450" i="4"/>
  <c r="M4450" i="4"/>
  <c r="L4450" i="4"/>
  <c r="K4450" i="4"/>
  <c r="J4450" i="4"/>
  <c r="I4450" i="4"/>
  <c r="H4450" i="4"/>
  <c r="Q4449" i="4"/>
  <c r="P4449" i="4"/>
  <c r="O4449" i="4"/>
  <c r="N4449" i="4"/>
  <c r="M4449" i="4"/>
  <c r="L4449" i="4"/>
  <c r="K4449" i="4"/>
  <c r="J4449" i="4"/>
  <c r="I4449" i="4"/>
  <c r="H4449" i="4"/>
  <c r="Q4448" i="4"/>
  <c r="P4448" i="4"/>
  <c r="O4448" i="4"/>
  <c r="N4448" i="4"/>
  <c r="M4448" i="4"/>
  <c r="L4448" i="4"/>
  <c r="K4448" i="4"/>
  <c r="J4448" i="4"/>
  <c r="I4448" i="4"/>
  <c r="H4448" i="4"/>
  <c r="Q4447" i="4"/>
  <c r="P4447" i="4"/>
  <c r="O4447" i="4"/>
  <c r="N4447" i="4"/>
  <c r="M4447" i="4"/>
  <c r="L4447" i="4"/>
  <c r="K4447" i="4"/>
  <c r="J4447" i="4"/>
  <c r="I4447" i="4"/>
  <c r="H4447" i="4"/>
  <c r="Q4446" i="4"/>
  <c r="P4446" i="4"/>
  <c r="O4446" i="4"/>
  <c r="N4446" i="4"/>
  <c r="M4446" i="4"/>
  <c r="L4446" i="4"/>
  <c r="K4446" i="4"/>
  <c r="J4446" i="4"/>
  <c r="I4446" i="4"/>
  <c r="H4446" i="4"/>
  <c r="Q4445" i="4"/>
  <c r="P4445" i="4"/>
  <c r="O4445" i="4"/>
  <c r="N4445" i="4"/>
  <c r="M4445" i="4"/>
  <c r="L4445" i="4"/>
  <c r="K4445" i="4"/>
  <c r="J4445" i="4"/>
  <c r="I4445" i="4"/>
  <c r="H4445" i="4"/>
  <c r="Q4444" i="4"/>
  <c r="P4444" i="4"/>
  <c r="O4444" i="4"/>
  <c r="N4444" i="4"/>
  <c r="M4444" i="4"/>
  <c r="L4444" i="4"/>
  <c r="K4444" i="4"/>
  <c r="J4444" i="4"/>
  <c r="I4444" i="4"/>
  <c r="H4444" i="4"/>
  <c r="Q4443" i="4"/>
  <c r="P4443" i="4"/>
  <c r="O4443" i="4"/>
  <c r="N4443" i="4"/>
  <c r="M4443" i="4"/>
  <c r="L4443" i="4"/>
  <c r="K4443" i="4"/>
  <c r="J4443" i="4"/>
  <c r="I4443" i="4"/>
  <c r="H4443" i="4"/>
  <c r="Q4442" i="4"/>
  <c r="P4442" i="4"/>
  <c r="O4442" i="4"/>
  <c r="N4442" i="4"/>
  <c r="M4442" i="4"/>
  <c r="L4442" i="4"/>
  <c r="K4442" i="4"/>
  <c r="J4442" i="4"/>
  <c r="I4442" i="4"/>
  <c r="H4442" i="4"/>
  <c r="Q4441" i="4"/>
  <c r="P4441" i="4"/>
  <c r="O4441" i="4"/>
  <c r="N4441" i="4"/>
  <c r="M4441" i="4"/>
  <c r="L4441" i="4"/>
  <c r="K4441" i="4"/>
  <c r="J4441" i="4"/>
  <c r="I4441" i="4"/>
  <c r="H4441" i="4"/>
  <c r="Q4440" i="4"/>
  <c r="P4440" i="4"/>
  <c r="O4440" i="4"/>
  <c r="N4440" i="4"/>
  <c r="M4440" i="4"/>
  <c r="L4440" i="4"/>
  <c r="K4440" i="4"/>
  <c r="J4440" i="4"/>
  <c r="I4440" i="4"/>
  <c r="H4440" i="4"/>
  <c r="Q4439" i="4"/>
  <c r="P4439" i="4"/>
  <c r="O4439" i="4"/>
  <c r="N4439" i="4"/>
  <c r="M4439" i="4"/>
  <c r="L4439" i="4"/>
  <c r="K4439" i="4"/>
  <c r="J4439" i="4"/>
  <c r="I4439" i="4"/>
  <c r="H4439" i="4"/>
  <c r="Q4438" i="4"/>
  <c r="P4438" i="4"/>
  <c r="O4438" i="4"/>
  <c r="N4438" i="4"/>
  <c r="M4438" i="4"/>
  <c r="L4438" i="4"/>
  <c r="K4438" i="4"/>
  <c r="J4438" i="4"/>
  <c r="I4438" i="4"/>
  <c r="H4438" i="4"/>
  <c r="Q4437" i="4"/>
  <c r="P4437" i="4"/>
  <c r="O4437" i="4"/>
  <c r="N4437" i="4"/>
  <c r="M4437" i="4"/>
  <c r="L4437" i="4"/>
  <c r="K4437" i="4"/>
  <c r="J4437" i="4"/>
  <c r="I4437" i="4"/>
  <c r="H4437" i="4"/>
  <c r="Q4436" i="4"/>
  <c r="P4436" i="4"/>
  <c r="O4436" i="4"/>
  <c r="N4436" i="4"/>
  <c r="M4436" i="4"/>
  <c r="L4436" i="4"/>
  <c r="K4436" i="4"/>
  <c r="J4436" i="4"/>
  <c r="I4436" i="4"/>
  <c r="H4436" i="4"/>
  <c r="Q4435" i="4"/>
  <c r="P4435" i="4"/>
  <c r="O4435" i="4"/>
  <c r="N4435" i="4"/>
  <c r="M4435" i="4"/>
  <c r="L4435" i="4"/>
  <c r="K4435" i="4"/>
  <c r="J4435" i="4"/>
  <c r="I4435" i="4"/>
  <c r="H4435" i="4"/>
  <c r="Q4434" i="4"/>
  <c r="P4434" i="4"/>
  <c r="O4434" i="4"/>
  <c r="N4434" i="4"/>
  <c r="M4434" i="4"/>
  <c r="L4434" i="4"/>
  <c r="K4434" i="4"/>
  <c r="J4434" i="4"/>
  <c r="I4434" i="4"/>
  <c r="H4434" i="4"/>
  <c r="Q4433" i="4"/>
  <c r="P4433" i="4"/>
  <c r="O4433" i="4"/>
  <c r="N4433" i="4"/>
  <c r="M4433" i="4"/>
  <c r="L4433" i="4"/>
  <c r="K4433" i="4"/>
  <c r="J4433" i="4"/>
  <c r="I4433" i="4"/>
  <c r="H4433" i="4"/>
  <c r="Q4432" i="4"/>
  <c r="P4432" i="4"/>
  <c r="O4432" i="4"/>
  <c r="N4432" i="4"/>
  <c r="M4432" i="4"/>
  <c r="L4432" i="4"/>
  <c r="K4432" i="4"/>
  <c r="J4432" i="4"/>
  <c r="I4432" i="4"/>
  <c r="H4432" i="4"/>
  <c r="Q4431" i="4"/>
  <c r="P4431" i="4"/>
  <c r="O4431" i="4"/>
  <c r="N4431" i="4"/>
  <c r="M4431" i="4"/>
  <c r="L4431" i="4"/>
  <c r="K4431" i="4"/>
  <c r="J4431" i="4"/>
  <c r="I4431" i="4"/>
  <c r="H4431" i="4"/>
  <c r="Q4430" i="4"/>
  <c r="P4430" i="4"/>
  <c r="O4430" i="4"/>
  <c r="N4430" i="4"/>
  <c r="M4430" i="4"/>
  <c r="L4430" i="4"/>
  <c r="K4430" i="4"/>
  <c r="J4430" i="4"/>
  <c r="I4430" i="4"/>
  <c r="H4430" i="4"/>
  <c r="Q4429" i="4"/>
  <c r="P4429" i="4"/>
  <c r="O4429" i="4"/>
  <c r="N4429" i="4"/>
  <c r="M4429" i="4"/>
  <c r="L4429" i="4"/>
  <c r="K4429" i="4"/>
  <c r="J4429" i="4"/>
  <c r="I4429" i="4"/>
  <c r="H4429" i="4"/>
  <c r="Q4428" i="4"/>
  <c r="P4428" i="4"/>
  <c r="O4428" i="4"/>
  <c r="N4428" i="4"/>
  <c r="M4428" i="4"/>
  <c r="L4428" i="4"/>
  <c r="K4428" i="4"/>
  <c r="J4428" i="4"/>
  <c r="I4428" i="4"/>
  <c r="H4428" i="4"/>
  <c r="Q4427" i="4"/>
  <c r="P4427" i="4"/>
  <c r="O4427" i="4"/>
  <c r="N4427" i="4"/>
  <c r="M4427" i="4"/>
  <c r="L4427" i="4"/>
  <c r="K4427" i="4"/>
  <c r="J4427" i="4"/>
  <c r="I4427" i="4"/>
  <c r="H4427" i="4"/>
  <c r="Q4426" i="4"/>
  <c r="P4426" i="4"/>
  <c r="O4426" i="4"/>
  <c r="N4426" i="4"/>
  <c r="M4426" i="4"/>
  <c r="L4426" i="4"/>
  <c r="K4426" i="4"/>
  <c r="J4426" i="4"/>
  <c r="I4426" i="4"/>
  <c r="H4426" i="4"/>
  <c r="Q4425" i="4"/>
  <c r="P4425" i="4"/>
  <c r="O4425" i="4"/>
  <c r="N4425" i="4"/>
  <c r="M4425" i="4"/>
  <c r="L4425" i="4"/>
  <c r="K4425" i="4"/>
  <c r="J4425" i="4"/>
  <c r="I4425" i="4"/>
  <c r="H4425" i="4"/>
  <c r="Q4424" i="4"/>
  <c r="P4424" i="4"/>
  <c r="O4424" i="4"/>
  <c r="N4424" i="4"/>
  <c r="M4424" i="4"/>
  <c r="L4424" i="4"/>
  <c r="K4424" i="4"/>
  <c r="J4424" i="4"/>
  <c r="I4424" i="4"/>
  <c r="H4424" i="4"/>
  <c r="Q4423" i="4"/>
  <c r="P4423" i="4"/>
  <c r="O4423" i="4"/>
  <c r="N4423" i="4"/>
  <c r="M4423" i="4"/>
  <c r="L4423" i="4"/>
  <c r="K4423" i="4"/>
  <c r="J4423" i="4"/>
  <c r="I4423" i="4"/>
  <c r="H4423" i="4"/>
  <c r="Q4422" i="4"/>
  <c r="P4422" i="4"/>
  <c r="O4422" i="4"/>
  <c r="N4422" i="4"/>
  <c r="M4422" i="4"/>
  <c r="L4422" i="4"/>
  <c r="K4422" i="4"/>
  <c r="J4422" i="4"/>
  <c r="I4422" i="4"/>
  <c r="H4422" i="4"/>
  <c r="Q4421" i="4"/>
  <c r="P4421" i="4"/>
  <c r="O4421" i="4"/>
  <c r="N4421" i="4"/>
  <c r="M4421" i="4"/>
  <c r="L4421" i="4"/>
  <c r="K4421" i="4"/>
  <c r="J4421" i="4"/>
  <c r="I4421" i="4"/>
  <c r="H4421" i="4"/>
  <c r="Q4420" i="4"/>
  <c r="P4420" i="4"/>
  <c r="O4420" i="4"/>
  <c r="N4420" i="4"/>
  <c r="M4420" i="4"/>
  <c r="L4420" i="4"/>
  <c r="K4420" i="4"/>
  <c r="J4420" i="4"/>
  <c r="I4420" i="4"/>
  <c r="H4420" i="4"/>
  <c r="Q4419" i="4"/>
  <c r="P4419" i="4"/>
  <c r="O4419" i="4"/>
  <c r="N4419" i="4"/>
  <c r="M4419" i="4"/>
  <c r="L4419" i="4"/>
  <c r="K4419" i="4"/>
  <c r="J4419" i="4"/>
  <c r="I4419" i="4"/>
  <c r="H4419" i="4"/>
  <c r="Q4418" i="4"/>
  <c r="P4418" i="4"/>
  <c r="O4418" i="4"/>
  <c r="N4418" i="4"/>
  <c r="M4418" i="4"/>
  <c r="L4418" i="4"/>
  <c r="K4418" i="4"/>
  <c r="J4418" i="4"/>
  <c r="I4418" i="4"/>
  <c r="H4418" i="4"/>
  <c r="Q4417" i="4"/>
  <c r="P4417" i="4"/>
  <c r="O4417" i="4"/>
  <c r="N4417" i="4"/>
  <c r="M4417" i="4"/>
  <c r="L4417" i="4"/>
  <c r="K4417" i="4"/>
  <c r="J4417" i="4"/>
  <c r="I4417" i="4"/>
  <c r="H4417" i="4"/>
  <c r="Q4416" i="4"/>
  <c r="P4416" i="4"/>
  <c r="O4416" i="4"/>
  <c r="N4416" i="4"/>
  <c r="M4416" i="4"/>
  <c r="L4416" i="4"/>
  <c r="K4416" i="4"/>
  <c r="J4416" i="4"/>
  <c r="I4416" i="4"/>
  <c r="H4416" i="4"/>
  <c r="Q4415" i="4"/>
  <c r="P4415" i="4"/>
  <c r="O4415" i="4"/>
  <c r="N4415" i="4"/>
  <c r="M4415" i="4"/>
  <c r="L4415" i="4"/>
  <c r="K4415" i="4"/>
  <c r="J4415" i="4"/>
  <c r="I4415" i="4"/>
  <c r="H4415" i="4"/>
  <c r="Q4414" i="4"/>
  <c r="P4414" i="4"/>
  <c r="O4414" i="4"/>
  <c r="N4414" i="4"/>
  <c r="M4414" i="4"/>
  <c r="L4414" i="4"/>
  <c r="K4414" i="4"/>
  <c r="J4414" i="4"/>
  <c r="I4414" i="4"/>
  <c r="H4414" i="4"/>
  <c r="Q4413" i="4"/>
  <c r="P4413" i="4"/>
  <c r="O4413" i="4"/>
  <c r="N4413" i="4"/>
  <c r="M4413" i="4"/>
  <c r="L4413" i="4"/>
  <c r="K4413" i="4"/>
  <c r="J4413" i="4"/>
  <c r="I4413" i="4"/>
  <c r="H4413" i="4"/>
  <c r="Q4412" i="4"/>
  <c r="P4412" i="4"/>
  <c r="O4412" i="4"/>
  <c r="N4412" i="4"/>
  <c r="M4412" i="4"/>
  <c r="L4412" i="4"/>
  <c r="K4412" i="4"/>
  <c r="J4412" i="4"/>
  <c r="I4412" i="4"/>
  <c r="H4412" i="4"/>
  <c r="Q4411" i="4"/>
  <c r="P4411" i="4"/>
  <c r="O4411" i="4"/>
  <c r="N4411" i="4"/>
  <c r="M4411" i="4"/>
  <c r="L4411" i="4"/>
  <c r="K4411" i="4"/>
  <c r="J4411" i="4"/>
  <c r="I4411" i="4"/>
  <c r="H4411" i="4"/>
  <c r="Q4410" i="4"/>
  <c r="P4410" i="4"/>
  <c r="O4410" i="4"/>
  <c r="N4410" i="4"/>
  <c r="M4410" i="4"/>
  <c r="L4410" i="4"/>
  <c r="K4410" i="4"/>
  <c r="J4410" i="4"/>
  <c r="I4410" i="4"/>
  <c r="H4410" i="4"/>
  <c r="Q4409" i="4"/>
  <c r="P4409" i="4"/>
  <c r="O4409" i="4"/>
  <c r="N4409" i="4"/>
  <c r="M4409" i="4"/>
  <c r="L4409" i="4"/>
  <c r="K4409" i="4"/>
  <c r="J4409" i="4"/>
  <c r="I4409" i="4"/>
  <c r="H4409" i="4"/>
  <c r="Q4408" i="4"/>
  <c r="P4408" i="4"/>
  <c r="O4408" i="4"/>
  <c r="N4408" i="4"/>
  <c r="M4408" i="4"/>
  <c r="L4408" i="4"/>
  <c r="K4408" i="4"/>
  <c r="J4408" i="4"/>
  <c r="I4408" i="4"/>
  <c r="H4408" i="4"/>
  <c r="Q4407" i="4"/>
  <c r="P4407" i="4"/>
  <c r="O4407" i="4"/>
  <c r="N4407" i="4"/>
  <c r="M4407" i="4"/>
  <c r="L4407" i="4"/>
  <c r="K4407" i="4"/>
  <c r="J4407" i="4"/>
  <c r="I4407" i="4"/>
  <c r="H4407" i="4"/>
  <c r="Q4406" i="4"/>
  <c r="P4406" i="4"/>
  <c r="O4406" i="4"/>
  <c r="N4406" i="4"/>
  <c r="M4406" i="4"/>
  <c r="L4406" i="4"/>
  <c r="K4406" i="4"/>
  <c r="J4406" i="4"/>
  <c r="I4406" i="4"/>
  <c r="H4406" i="4"/>
  <c r="Q4405" i="4"/>
  <c r="P4405" i="4"/>
  <c r="O4405" i="4"/>
  <c r="N4405" i="4"/>
  <c r="M4405" i="4"/>
  <c r="L4405" i="4"/>
  <c r="K4405" i="4"/>
  <c r="J4405" i="4"/>
  <c r="I4405" i="4"/>
  <c r="H4405" i="4"/>
  <c r="Q4404" i="4"/>
  <c r="P4404" i="4"/>
  <c r="O4404" i="4"/>
  <c r="N4404" i="4"/>
  <c r="M4404" i="4"/>
  <c r="L4404" i="4"/>
  <c r="K4404" i="4"/>
  <c r="J4404" i="4"/>
  <c r="I4404" i="4"/>
  <c r="H4404" i="4"/>
  <c r="Q4403" i="4"/>
  <c r="P4403" i="4"/>
  <c r="O4403" i="4"/>
  <c r="N4403" i="4"/>
  <c r="M4403" i="4"/>
  <c r="L4403" i="4"/>
  <c r="K4403" i="4"/>
  <c r="J4403" i="4"/>
  <c r="I4403" i="4"/>
  <c r="H4403" i="4"/>
  <c r="Q4402" i="4"/>
  <c r="P4402" i="4"/>
  <c r="O4402" i="4"/>
  <c r="N4402" i="4"/>
  <c r="M4402" i="4"/>
  <c r="L4402" i="4"/>
  <c r="K4402" i="4"/>
  <c r="J4402" i="4"/>
  <c r="I4402" i="4"/>
  <c r="H4402" i="4"/>
  <c r="Q4401" i="4"/>
  <c r="P4401" i="4"/>
  <c r="O4401" i="4"/>
  <c r="N4401" i="4"/>
  <c r="M4401" i="4"/>
  <c r="L4401" i="4"/>
  <c r="K4401" i="4"/>
  <c r="J4401" i="4"/>
  <c r="I4401" i="4"/>
  <c r="H4401" i="4"/>
  <c r="Q4400" i="4"/>
  <c r="P4400" i="4"/>
  <c r="O4400" i="4"/>
  <c r="N4400" i="4"/>
  <c r="M4400" i="4"/>
  <c r="L4400" i="4"/>
  <c r="K4400" i="4"/>
  <c r="J4400" i="4"/>
  <c r="I4400" i="4"/>
  <c r="H4400" i="4"/>
  <c r="Q4399" i="4"/>
  <c r="P4399" i="4"/>
  <c r="O4399" i="4"/>
  <c r="N4399" i="4"/>
  <c r="M4399" i="4"/>
  <c r="L4399" i="4"/>
  <c r="K4399" i="4"/>
  <c r="J4399" i="4"/>
  <c r="I4399" i="4"/>
  <c r="H4399" i="4"/>
  <c r="Q4398" i="4"/>
  <c r="P4398" i="4"/>
  <c r="O4398" i="4"/>
  <c r="N4398" i="4"/>
  <c r="M4398" i="4"/>
  <c r="L4398" i="4"/>
  <c r="K4398" i="4"/>
  <c r="J4398" i="4"/>
  <c r="I4398" i="4"/>
  <c r="H4398" i="4"/>
  <c r="Q4397" i="4"/>
  <c r="P4397" i="4"/>
  <c r="O4397" i="4"/>
  <c r="N4397" i="4"/>
  <c r="M4397" i="4"/>
  <c r="L4397" i="4"/>
  <c r="K4397" i="4"/>
  <c r="J4397" i="4"/>
  <c r="I4397" i="4"/>
  <c r="H4397" i="4"/>
  <c r="Q4396" i="4"/>
  <c r="P4396" i="4"/>
  <c r="O4396" i="4"/>
  <c r="N4396" i="4"/>
  <c r="M4396" i="4"/>
  <c r="L4396" i="4"/>
  <c r="K4396" i="4"/>
  <c r="J4396" i="4"/>
  <c r="I4396" i="4"/>
  <c r="H4396" i="4"/>
  <c r="Q4395" i="4"/>
  <c r="P4395" i="4"/>
  <c r="O4395" i="4"/>
  <c r="N4395" i="4"/>
  <c r="M4395" i="4"/>
  <c r="L4395" i="4"/>
  <c r="K4395" i="4"/>
  <c r="J4395" i="4"/>
  <c r="I4395" i="4"/>
  <c r="H4395" i="4"/>
  <c r="Q4394" i="4"/>
  <c r="P4394" i="4"/>
  <c r="O4394" i="4"/>
  <c r="N4394" i="4"/>
  <c r="M4394" i="4"/>
  <c r="L4394" i="4"/>
  <c r="K4394" i="4"/>
  <c r="J4394" i="4"/>
  <c r="I4394" i="4"/>
  <c r="H4394" i="4"/>
  <c r="Q4393" i="4"/>
  <c r="P4393" i="4"/>
  <c r="O4393" i="4"/>
  <c r="N4393" i="4"/>
  <c r="M4393" i="4"/>
  <c r="L4393" i="4"/>
  <c r="K4393" i="4"/>
  <c r="J4393" i="4"/>
  <c r="I4393" i="4"/>
  <c r="H4393" i="4"/>
  <c r="Q4392" i="4"/>
  <c r="P4392" i="4"/>
  <c r="O4392" i="4"/>
  <c r="N4392" i="4"/>
  <c r="M4392" i="4"/>
  <c r="L4392" i="4"/>
  <c r="K4392" i="4"/>
  <c r="J4392" i="4"/>
  <c r="I4392" i="4"/>
  <c r="H4392" i="4"/>
  <c r="Q4391" i="4"/>
  <c r="P4391" i="4"/>
  <c r="O4391" i="4"/>
  <c r="N4391" i="4"/>
  <c r="M4391" i="4"/>
  <c r="L4391" i="4"/>
  <c r="K4391" i="4"/>
  <c r="J4391" i="4"/>
  <c r="I4391" i="4"/>
  <c r="H4391" i="4"/>
  <c r="Q4390" i="4"/>
  <c r="P4390" i="4"/>
  <c r="O4390" i="4"/>
  <c r="N4390" i="4"/>
  <c r="M4390" i="4"/>
  <c r="L4390" i="4"/>
  <c r="K4390" i="4"/>
  <c r="J4390" i="4"/>
  <c r="I4390" i="4"/>
  <c r="H4390" i="4"/>
  <c r="Q4389" i="4"/>
  <c r="P4389" i="4"/>
  <c r="O4389" i="4"/>
  <c r="N4389" i="4"/>
  <c r="M4389" i="4"/>
  <c r="L4389" i="4"/>
  <c r="K4389" i="4"/>
  <c r="J4389" i="4"/>
  <c r="I4389" i="4"/>
  <c r="H4389" i="4"/>
  <c r="Q4388" i="4"/>
  <c r="P4388" i="4"/>
  <c r="O4388" i="4"/>
  <c r="N4388" i="4"/>
  <c r="M4388" i="4"/>
  <c r="L4388" i="4"/>
  <c r="K4388" i="4"/>
  <c r="J4388" i="4"/>
  <c r="I4388" i="4"/>
  <c r="H4388" i="4"/>
  <c r="Q4387" i="4"/>
  <c r="P4387" i="4"/>
  <c r="O4387" i="4"/>
  <c r="N4387" i="4"/>
  <c r="M4387" i="4"/>
  <c r="L4387" i="4"/>
  <c r="K4387" i="4"/>
  <c r="J4387" i="4"/>
  <c r="I4387" i="4"/>
  <c r="H4387" i="4"/>
  <c r="Q4386" i="4"/>
  <c r="P4386" i="4"/>
  <c r="O4386" i="4"/>
  <c r="N4386" i="4"/>
  <c r="M4386" i="4"/>
  <c r="L4386" i="4"/>
  <c r="K4386" i="4"/>
  <c r="J4386" i="4"/>
  <c r="I4386" i="4"/>
  <c r="H4386" i="4"/>
  <c r="Q4385" i="4"/>
  <c r="P4385" i="4"/>
  <c r="O4385" i="4"/>
  <c r="N4385" i="4"/>
  <c r="M4385" i="4"/>
  <c r="L4385" i="4"/>
  <c r="K4385" i="4"/>
  <c r="J4385" i="4"/>
  <c r="I4385" i="4"/>
  <c r="H4385" i="4"/>
  <c r="Q4384" i="4"/>
  <c r="P4384" i="4"/>
  <c r="O4384" i="4"/>
  <c r="N4384" i="4"/>
  <c r="M4384" i="4"/>
  <c r="L4384" i="4"/>
  <c r="K4384" i="4"/>
  <c r="J4384" i="4"/>
  <c r="I4384" i="4"/>
  <c r="H4384" i="4"/>
  <c r="Q4383" i="4"/>
  <c r="P4383" i="4"/>
  <c r="O4383" i="4"/>
  <c r="N4383" i="4"/>
  <c r="M4383" i="4"/>
  <c r="L4383" i="4"/>
  <c r="K4383" i="4"/>
  <c r="J4383" i="4"/>
  <c r="I4383" i="4"/>
  <c r="H4383" i="4"/>
  <c r="Q4382" i="4"/>
  <c r="P4382" i="4"/>
  <c r="O4382" i="4"/>
  <c r="N4382" i="4"/>
  <c r="M4382" i="4"/>
  <c r="L4382" i="4"/>
  <c r="K4382" i="4"/>
  <c r="J4382" i="4"/>
  <c r="I4382" i="4"/>
  <c r="H4382" i="4"/>
  <c r="Q4381" i="4"/>
  <c r="P4381" i="4"/>
  <c r="O4381" i="4"/>
  <c r="N4381" i="4"/>
  <c r="M4381" i="4"/>
  <c r="L4381" i="4"/>
  <c r="K4381" i="4"/>
  <c r="J4381" i="4"/>
  <c r="I4381" i="4"/>
  <c r="H4381" i="4"/>
  <c r="Q4380" i="4"/>
  <c r="P4380" i="4"/>
  <c r="O4380" i="4"/>
  <c r="N4380" i="4"/>
  <c r="M4380" i="4"/>
  <c r="L4380" i="4"/>
  <c r="K4380" i="4"/>
  <c r="J4380" i="4"/>
  <c r="I4380" i="4"/>
  <c r="H4380" i="4"/>
  <c r="Q4379" i="4"/>
  <c r="P4379" i="4"/>
  <c r="O4379" i="4"/>
  <c r="N4379" i="4"/>
  <c r="M4379" i="4"/>
  <c r="L4379" i="4"/>
  <c r="K4379" i="4"/>
  <c r="J4379" i="4"/>
  <c r="I4379" i="4"/>
  <c r="H4379" i="4"/>
  <c r="Q4378" i="4"/>
  <c r="P4378" i="4"/>
  <c r="O4378" i="4"/>
  <c r="N4378" i="4"/>
  <c r="M4378" i="4"/>
  <c r="L4378" i="4"/>
  <c r="K4378" i="4"/>
  <c r="J4378" i="4"/>
  <c r="I4378" i="4"/>
  <c r="H4378" i="4"/>
  <c r="Q4377" i="4"/>
  <c r="P4377" i="4"/>
  <c r="O4377" i="4"/>
  <c r="N4377" i="4"/>
  <c r="M4377" i="4"/>
  <c r="L4377" i="4"/>
  <c r="K4377" i="4"/>
  <c r="J4377" i="4"/>
  <c r="I4377" i="4"/>
  <c r="H4377" i="4"/>
  <c r="Q4376" i="4"/>
  <c r="P4376" i="4"/>
  <c r="O4376" i="4"/>
  <c r="N4376" i="4"/>
  <c r="M4376" i="4"/>
  <c r="L4376" i="4"/>
  <c r="K4376" i="4"/>
  <c r="J4376" i="4"/>
  <c r="I4376" i="4"/>
  <c r="H4376" i="4"/>
  <c r="Q4375" i="4"/>
  <c r="P4375" i="4"/>
  <c r="O4375" i="4"/>
  <c r="N4375" i="4"/>
  <c r="M4375" i="4"/>
  <c r="L4375" i="4"/>
  <c r="K4375" i="4"/>
  <c r="J4375" i="4"/>
  <c r="I4375" i="4"/>
  <c r="H4375" i="4"/>
  <c r="Q4374" i="4"/>
  <c r="P4374" i="4"/>
  <c r="O4374" i="4"/>
  <c r="N4374" i="4"/>
  <c r="M4374" i="4"/>
  <c r="L4374" i="4"/>
  <c r="K4374" i="4"/>
  <c r="J4374" i="4"/>
  <c r="I4374" i="4"/>
  <c r="H4374" i="4"/>
  <c r="Q4373" i="4"/>
  <c r="P4373" i="4"/>
  <c r="O4373" i="4"/>
  <c r="N4373" i="4"/>
  <c r="M4373" i="4"/>
  <c r="L4373" i="4"/>
  <c r="K4373" i="4"/>
  <c r="J4373" i="4"/>
  <c r="I4373" i="4"/>
  <c r="H4373" i="4"/>
  <c r="Q4372" i="4"/>
  <c r="P4372" i="4"/>
  <c r="O4372" i="4"/>
  <c r="N4372" i="4"/>
  <c r="M4372" i="4"/>
  <c r="L4372" i="4"/>
  <c r="K4372" i="4"/>
  <c r="J4372" i="4"/>
  <c r="I4372" i="4"/>
  <c r="H4372" i="4"/>
  <c r="Q4371" i="4"/>
  <c r="P4371" i="4"/>
  <c r="O4371" i="4"/>
  <c r="N4371" i="4"/>
  <c r="M4371" i="4"/>
  <c r="L4371" i="4"/>
  <c r="K4371" i="4"/>
  <c r="J4371" i="4"/>
  <c r="I4371" i="4"/>
  <c r="H4371" i="4"/>
  <c r="Q4370" i="4"/>
  <c r="P4370" i="4"/>
  <c r="O4370" i="4"/>
  <c r="N4370" i="4"/>
  <c r="M4370" i="4"/>
  <c r="L4370" i="4"/>
  <c r="K4370" i="4"/>
  <c r="J4370" i="4"/>
  <c r="I4370" i="4"/>
  <c r="H4370" i="4"/>
  <c r="Q4369" i="4"/>
  <c r="P4369" i="4"/>
  <c r="O4369" i="4"/>
  <c r="N4369" i="4"/>
  <c r="M4369" i="4"/>
  <c r="L4369" i="4"/>
  <c r="K4369" i="4"/>
  <c r="J4369" i="4"/>
  <c r="I4369" i="4"/>
  <c r="H4369" i="4"/>
  <c r="Q4368" i="4"/>
  <c r="P4368" i="4"/>
  <c r="O4368" i="4"/>
  <c r="N4368" i="4"/>
  <c r="M4368" i="4"/>
  <c r="L4368" i="4"/>
  <c r="K4368" i="4"/>
  <c r="J4368" i="4"/>
  <c r="I4368" i="4"/>
  <c r="H4368" i="4"/>
  <c r="Q4367" i="4"/>
  <c r="P4367" i="4"/>
  <c r="O4367" i="4"/>
  <c r="N4367" i="4"/>
  <c r="M4367" i="4"/>
  <c r="L4367" i="4"/>
  <c r="K4367" i="4"/>
  <c r="J4367" i="4"/>
  <c r="I4367" i="4"/>
  <c r="H4367" i="4"/>
  <c r="Q4366" i="4"/>
  <c r="P4366" i="4"/>
  <c r="O4366" i="4"/>
  <c r="N4366" i="4"/>
  <c r="M4366" i="4"/>
  <c r="L4366" i="4"/>
  <c r="K4366" i="4"/>
  <c r="J4366" i="4"/>
  <c r="I4366" i="4"/>
  <c r="H4366" i="4"/>
  <c r="Q4365" i="4"/>
  <c r="P4365" i="4"/>
  <c r="O4365" i="4"/>
  <c r="N4365" i="4"/>
  <c r="M4365" i="4"/>
  <c r="L4365" i="4"/>
  <c r="K4365" i="4"/>
  <c r="J4365" i="4"/>
  <c r="I4365" i="4"/>
  <c r="H4365" i="4"/>
  <c r="Q4364" i="4"/>
  <c r="P4364" i="4"/>
  <c r="O4364" i="4"/>
  <c r="N4364" i="4"/>
  <c r="M4364" i="4"/>
  <c r="L4364" i="4"/>
  <c r="K4364" i="4"/>
  <c r="J4364" i="4"/>
  <c r="I4364" i="4"/>
  <c r="H4364" i="4"/>
  <c r="Q4363" i="4"/>
  <c r="P4363" i="4"/>
  <c r="O4363" i="4"/>
  <c r="N4363" i="4"/>
  <c r="M4363" i="4"/>
  <c r="L4363" i="4"/>
  <c r="K4363" i="4"/>
  <c r="J4363" i="4"/>
  <c r="I4363" i="4"/>
  <c r="H4363" i="4"/>
  <c r="Q4362" i="4"/>
  <c r="P4362" i="4"/>
  <c r="O4362" i="4"/>
  <c r="N4362" i="4"/>
  <c r="M4362" i="4"/>
  <c r="L4362" i="4"/>
  <c r="K4362" i="4"/>
  <c r="J4362" i="4"/>
  <c r="I4362" i="4"/>
  <c r="H4362" i="4"/>
  <c r="Q4361" i="4"/>
  <c r="P4361" i="4"/>
  <c r="O4361" i="4"/>
  <c r="N4361" i="4"/>
  <c r="M4361" i="4"/>
  <c r="L4361" i="4"/>
  <c r="K4361" i="4"/>
  <c r="J4361" i="4"/>
  <c r="I4361" i="4"/>
  <c r="H4361" i="4"/>
  <c r="Q4360" i="4"/>
  <c r="P4360" i="4"/>
  <c r="O4360" i="4"/>
  <c r="N4360" i="4"/>
  <c r="M4360" i="4"/>
  <c r="L4360" i="4"/>
  <c r="K4360" i="4"/>
  <c r="J4360" i="4"/>
  <c r="I4360" i="4"/>
  <c r="H4360" i="4"/>
  <c r="Q4359" i="4"/>
  <c r="P4359" i="4"/>
  <c r="O4359" i="4"/>
  <c r="N4359" i="4"/>
  <c r="M4359" i="4"/>
  <c r="L4359" i="4"/>
  <c r="K4359" i="4"/>
  <c r="J4359" i="4"/>
  <c r="I4359" i="4"/>
  <c r="H4359" i="4"/>
  <c r="Q4358" i="4"/>
  <c r="P4358" i="4"/>
  <c r="O4358" i="4"/>
  <c r="N4358" i="4"/>
  <c r="M4358" i="4"/>
  <c r="L4358" i="4"/>
  <c r="K4358" i="4"/>
  <c r="J4358" i="4"/>
  <c r="I4358" i="4"/>
  <c r="H4358" i="4"/>
  <c r="Q4357" i="4"/>
  <c r="P4357" i="4"/>
  <c r="O4357" i="4"/>
  <c r="N4357" i="4"/>
  <c r="M4357" i="4"/>
  <c r="L4357" i="4"/>
  <c r="K4357" i="4"/>
  <c r="J4357" i="4"/>
  <c r="I4357" i="4"/>
  <c r="H4357" i="4"/>
  <c r="Q4356" i="4"/>
  <c r="P4356" i="4"/>
  <c r="O4356" i="4"/>
  <c r="N4356" i="4"/>
  <c r="M4356" i="4"/>
  <c r="L4356" i="4"/>
  <c r="K4356" i="4"/>
  <c r="J4356" i="4"/>
  <c r="I4356" i="4"/>
  <c r="H4356" i="4"/>
  <c r="Q4355" i="4"/>
  <c r="P4355" i="4"/>
  <c r="O4355" i="4"/>
  <c r="N4355" i="4"/>
  <c r="M4355" i="4"/>
  <c r="L4355" i="4"/>
  <c r="K4355" i="4"/>
  <c r="J4355" i="4"/>
  <c r="I4355" i="4"/>
  <c r="H4355" i="4"/>
  <c r="Q4354" i="4"/>
  <c r="P4354" i="4"/>
  <c r="O4354" i="4"/>
  <c r="N4354" i="4"/>
  <c r="M4354" i="4"/>
  <c r="L4354" i="4"/>
  <c r="K4354" i="4"/>
  <c r="J4354" i="4"/>
  <c r="I4354" i="4"/>
  <c r="H4354" i="4"/>
  <c r="Q4353" i="4"/>
  <c r="P4353" i="4"/>
  <c r="O4353" i="4"/>
  <c r="N4353" i="4"/>
  <c r="M4353" i="4"/>
  <c r="L4353" i="4"/>
  <c r="K4353" i="4"/>
  <c r="J4353" i="4"/>
  <c r="I4353" i="4"/>
  <c r="H4353" i="4"/>
  <c r="Q4352" i="4"/>
  <c r="P4352" i="4"/>
  <c r="O4352" i="4"/>
  <c r="N4352" i="4"/>
  <c r="M4352" i="4"/>
  <c r="L4352" i="4"/>
  <c r="K4352" i="4"/>
  <c r="J4352" i="4"/>
  <c r="I4352" i="4"/>
  <c r="H4352" i="4"/>
  <c r="Q4351" i="4"/>
  <c r="P4351" i="4"/>
  <c r="O4351" i="4"/>
  <c r="N4351" i="4"/>
  <c r="M4351" i="4"/>
  <c r="L4351" i="4"/>
  <c r="K4351" i="4"/>
  <c r="J4351" i="4"/>
  <c r="I4351" i="4"/>
  <c r="H4351" i="4"/>
  <c r="Q4350" i="4"/>
  <c r="P4350" i="4"/>
  <c r="O4350" i="4"/>
  <c r="N4350" i="4"/>
  <c r="M4350" i="4"/>
  <c r="L4350" i="4"/>
  <c r="K4350" i="4"/>
  <c r="J4350" i="4"/>
  <c r="I4350" i="4"/>
  <c r="H4350" i="4"/>
  <c r="Q4349" i="4"/>
  <c r="P4349" i="4"/>
  <c r="O4349" i="4"/>
  <c r="N4349" i="4"/>
  <c r="M4349" i="4"/>
  <c r="L4349" i="4"/>
  <c r="K4349" i="4"/>
  <c r="J4349" i="4"/>
  <c r="I4349" i="4"/>
  <c r="H4349" i="4"/>
  <c r="Q4348" i="4"/>
  <c r="P4348" i="4"/>
  <c r="O4348" i="4"/>
  <c r="N4348" i="4"/>
  <c r="M4348" i="4"/>
  <c r="L4348" i="4"/>
  <c r="K4348" i="4"/>
  <c r="J4348" i="4"/>
  <c r="I4348" i="4"/>
  <c r="H4348" i="4"/>
  <c r="Q4347" i="4"/>
  <c r="P4347" i="4"/>
  <c r="O4347" i="4"/>
  <c r="N4347" i="4"/>
  <c r="M4347" i="4"/>
  <c r="L4347" i="4"/>
  <c r="K4347" i="4"/>
  <c r="J4347" i="4"/>
  <c r="I4347" i="4"/>
  <c r="H4347" i="4"/>
  <c r="Q4346" i="4"/>
  <c r="P4346" i="4"/>
  <c r="O4346" i="4"/>
  <c r="N4346" i="4"/>
  <c r="M4346" i="4"/>
  <c r="L4346" i="4"/>
  <c r="K4346" i="4"/>
  <c r="J4346" i="4"/>
  <c r="I4346" i="4"/>
  <c r="H4346" i="4"/>
  <c r="Q4345" i="4"/>
  <c r="P4345" i="4"/>
  <c r="O4345" i="4"/>
  <c r="N4345" i="4"/>
  <c r="M4345" i="4"/>
  <c r="L4345" i="4"/>
  <c r="K4345" i="4"/>
  <c r="J4345" i="4"/>
  <c r="I4345" i="4"/>
  <c r="H4345" i="4"/>
  <c r="Q4344" i="4"/>
  <c r="P4344" i="4"/>
  <c r="O4344" i="4"/>
  <c r="N4344" i="4"/>
  <c r="M4344" i="4"/>
  <c r="L4344" i="4"/>
  <c r="K4344" i="4"/>
  <c r="J4344" i="4"/>
  <c r="I4344" i="4"/>
  <c r="H4344" i="4"/>
  <c r="Q4343" i="4"/>
  <c r="P4343" i="4"/>
  <c r="O4343" i="4"/>
  <c r="N4343" i="4"/>
  <c r="M4343" i="4"/>
  <c r="L4343" i="4"/>
  <c r="K4343" i="4"/>
  <c r="J4343" i="4"/>
  <c r="I4343" i="4"/>
  <c r="H4343" i="4"/>
  <c r="Q4342" i="4"/>
  <c r="P4342" i="4"/>
  <c r="O4342" i="4"/>
  <c r="N4342" i="4"/>
  <c r="M4342" i="4"/>
  <c r="L4342" i="4"/>
  <c r="K4342" i="4"/>
  <c r="J4342" i="4"/>
  <c r="I4342" i="4"/>
  <c r="H4342" i="4"/>
  <c r="Q4341" i="4"/>
  <c r="P4341" i="4"/>
  <c r="O4341" i="4"/>
  <c r="N4341" i="4"/>
  <c r="M4341" i="4"/>
  <c r="L4341" i="4"/>
  <c r="K4341" i="4"/>
  <c r="J4341" i="4"/>
  <c r="I4341" i="4"/>
  <c r="H4341" i="4"/>
  <c r="Q4340" i="4"/>
  <c r="P4340" i="4"/>
  <c r="O4340" i="4"/>
  <c r="N4340" i="4"/>
  <c r="M4340" i="4"/>
  <c r="L4340" i="4"/>
  <c r="K4340" i="4"/>
  <c r="J4340" i="4"/>
  <c r="I4340" i="4"/>
  <c r="H4340" i="4"/>
  <c r="Q4339" i="4"/>
  <c r="P4339" i="4"/>
  <c r="O4339" i="4"/>
  <c r="N4339" i="4"/>
  <c r="M4339" i="4"/>
  <c r="L4339" i="4"/>
  <c r="K4339" i="4"/>
  <c r="J4339" i="4"/>
  <c r="I4339" i="4"/>
  <c r="H4339" i="4"/>
  <c r="Q4338" i="4"/>
  <c r="P4338" i="4"/>
  <c r="O4338" i="4"/>
  <c r="N4338" i="4"/>
  <c r="M4338" i="4"/>
  <c r="L4338" i="4"/>
  <c r="K4338" i="4"/>
  <c r="J4338" i="4"/>
  <c r="I4338" i="4"/>
  <c r="H4338" i="4"/>
  <c r="Q4337" i="4"/>
  <c r="P4337" i="4"/>
  <c r="O4337" i="4"/>
  <c r="N4337" i="4"/>
  <c r="M4337" i="4"/>
  <c r="L4337" i="4"/>
  <c r="K4337" i="4"/>
  <c r="J4337" i="4"/>
  <c r="I4337" i="4"/>
  <c r="H4337" i="4"/>
  <c r="Q4336" i="4"/>
  <c r="P4336" i="4"/>
  <c r="O4336" i="4"/>
  <c r="N4336" i="4"/>
  <c r="M4336" i="4"/>
  <c r="L4336" i="4"/>
  <c r="K4336" i="4"/>
  <c r="J4336" i="4"/>
  <c r="I4336" i="4"/>
  <c r="H4336" i="4"/>
  <c r="Q4335" i="4"/>
  <c r="P4335" i="4"/>
  <c r="O4335" i="4"/>
  <c r="N4335" i="4"/>
  <c r="M4335" i="4"/>
  <c r="L4335" i="4"/>
  <c r="K4335" i="4"/>
  <c r="J4335" i="4"/>
  <c r="I4335" i="4"/>
  <c r="H4335" i="4"/>
  <c r="Q4334" i="4"/>
  <c r="P4334" i="4"/>
  <c r="O4334" i="4"/>
  <c r="N4334" i="4"/>
  <c r="M4334" i="4"/>
  <c r="L4334" i="4"/>
  <c r="K4334" i="4"/>
  <c r="J4334" i="4"/>
  <c r="I4334" i="4"/>
  <c r="H4334" i="4"/>
  <c r="Q4333" i="4"/>
  <c r="P4333" i="4"/>
  <c r="O4333" i="4"/>
  <c r="N4333" i="4"/>
  <c r="M4333" i="4"/>
  <c r="L4333" i="4"/>
  <c r="K4333" i="4"/>
  <c r="J4333" i="4"/>
  <c r="I4333" i="4"/>
  <c r="H4333" i="4"/>
  <c r="Q4332" i="4"/>
  <c r="P4332" i="4"/>
  <c r="O4332" i="4"/>
  <c r="N4332" i="4"/>
  <c r="M4332" i="4"/>
  <c r="L4332" i="4"/>
  <c r="K4332" i="4"/>
  <c r="J4332" i="4"/>
  <c r="I4332" i="4"/>
  <c r="H4332" i="4"/>
  <c r="Q4331" i="4"/>
  <c r="P4331" i="4"/>
  <c r="O4331" i="4"/>
  <c r="N4331" i="4"/>
  <c r="M4331" i="4"/>
  <c r="L4331" i="4"/>
  <c r="K4331" i="4"/>
  <c r="J4331" i="4"/>
  <c r="I4331" i="4"/>
  <c r="H4331" i="4"/>
  <c r="Q4330" i="4"/>
  <c r="P4330" i="4"/>
  <c r="O4330" i="4"/>
  <c r="N4330" i="4"/>
  <c r="M4330" i="4"/>
  <c r="L4330" i="4"/>
  <c r="K4330" i="4"/>
  <c r="J4330" i="4"/>
  <c r="I4330" i="4"/>
  <c r="H4330" i="4"/>
  <c r="Q4329" i="4"/>
  <c r="P4329" i="4"/>
  <c r="O4329" i="4"/>
  <c r="N4329" i="4"/>
  <c r="M4329" i="4"/>
  <c r="L4329" i="4"/>
  <c r="K4329" i="4"/>
  <c r="J4329" i="4"/>
  <c r="I4329" i="4"/>
  <c r="H4329" i="4"/>
  <c r="Q4328" i="4"/>
  <c r="P4328" i="4"/>
  <c r="O4328" i="4"/>
  <c r="N4328" i="4"/>
  <c r="M4328" i="4"/>
  <c r="L4328" i="4"/>
  <c r="K4328" i="4"/>
  <c r="J4328" i="4"/>
  <c r="I4328" i="4"/>
  <c r="H4328" i="4"/>
  <c r="Q4327" i="4"/>
  <c r="P4327" i="4"/>
  <c r="O4327" i="4"/>
  <c r="N4327" i="4"/>
  <c r="M4327" i="4"/>
  <c r="L4327" i="4"/>
  <c r="K4327" i="4"/>
  <c r="J4327" i="4"/>
  <c r="I4327" i="4"/>
  <c r="H4327" i="4"/>
  <c r="Q4326" i="4"/>
  <c r="P4326" i="4"/>
  <c r="O4326" i="4"/>
  <c r="N4326" i="4"/>
  <c r="M4326" i="4"/>
  <c r="L4326" i="4"/>
  <c r="K4326" i="4"/>
  <c r="J4326" i="4"/>
  <c r="I4326" i="4"/>
  <c r="H4326" i="4"/>
  <c r="Q4325" i="4"/>
  <c r="P4325" i="4"/>
  <c r="O4325" i="4"/>
  <c r="N4325" i="4"/>
  <c r="M4325" i="4"/>
  <c r="L4325" i="4"/>
  <c r="K4325" i="4"/>
  <c r="J4325" i="4"/>
  <c r="I4325" i="4"/>
  <c r="H4325" i="4"/>
  <c r="Q4324" i="4"/>
  <c r="P4324" i="4"/>
  <c r="O4324" i="4"/>
  <c r="N4324" i="4"/>
  <c r="M4324" i="4"/>
  <c r="L4324" i="4"/>
  <c r="K4324" i="4"/>
  <c r="J4324" i="4"/>
  <c r="I4324" i="4"/>
  <c r="H4324" i="4"/>
  <c r="Q4323" i="4"/>
  <c r="P4323" i="4"/>
  <c r="O4323" i="4"/>
  <c r="N4323" i="4"/>
  <c r="M4323" i="4"/>
  <c r="L4323" i="4"/>
  <c r="K4323" i="4"/>
  <c r="J4323" i="4"/>
  <c r="I4323" i="4"/>
  <c r="H4323" i="4"/>
  <c r="Q4322" i="4"/>
  <c r="P4322" i="4"/>
  <c r="O4322" i="4"/>
  <c r="N4322" i="4"/>
  <c r="M4322" i="4"/>
  <c r="L4322" i="4"/>
  <c r="K4322" i="4"/>
  <c r="J4322" i="4"/>
  <c r="I4322" i="4"/>
  <c r="H4322" i="4"/>
  <c r="Q4321" i="4"/>
  <c r="P4321" i="4"/>
  <c r="O4321" i="4"/>
  <c r="N4321" i="4"/>
  <c r="M4321" i="4"/>
  <c r="L4321" i="4"/>
  <c r="K4321" i="4"/>
  <c r="J4321" i="4"/>
  <c r="I4321" i="4"/>
  <c r="H4321" i="4"/>
  <c r="Q4320" i="4"/>
  <c r="P4320" i="4"/>
  <c r="O4320" i="4"/>
  <c r="N4320" i="4"/>
  <c r="M4320" i="4"/>
  <c r="L4320" i="4"/>
  <c r="K4320" i="4"/>
  <c r="J4320" i="4"/>
  <c r="I4320" i="4"/>
  <c r="H4320" i="4"/>
  <c r="Q4319" i="4"/>
  <c r="P4319" i="4"/>
  <c r="O4319" i="4"/>
  <c r="N4319" i="4"/>
  <c r="M4319" i="4"/>
  <c r="L4319" i="4"/>
  <c r="K4319" i="4"/>
  <c r="J4319" i="4"/>
  <c r="I4319" i="4"/>
  <c r="H4319" i="4"/>
  <c r="Q4318" i="4"/>
  <c r="P4318" i="4"/>
  <c r="O4318" i="4"/>
  <c r="N4318" i="4"/>
  <c r="M4318" i="4"/>
  <c r="L4318" i="4"/>
  <c r="K4318" i="4"/>
  <c r="J4318" i="4"/>
  <c r="I4318" i="4"/>
  <c r="H4318" i="4"/>
  <c r="Q4317" i="4"/>
  <c r="P4317" i="4"/>
  <c r="O4317" i="4"/>
  <c r="N4317" i="4"/>
  <c r="M4317" i="4"/>
  <c r="L4317" i="4"/>
  <c r="K4317" i="4"/>
  <c r="J4317" i="4"/>
  <c r="I4317" i="4"/>
  <c r="H4317" i="4"/>
  <c r="Q4316" i="4"/>
  <c r="P4316" i="4"/>
  <c r="O4316" i="4"/>
  <c r="N4316" i="4"/>
  <c r="M4316" i="4"/>
  <c r="L4316" i="4"/>
  <c r="K4316" i="4"/>
  <c r="J4316" i="4"/>
  <c r="I4316" i="4"/>
  <c r="H4316" i="4"/>
  <c r="Q4315" i="4"/>
  <c r="P4315" i="4"/>
  <c r="O4315" i="4"/>
  <c r="N4315" i="4"/>
  <c r="M4315" i="4"/>
  <c r="L4315" i="4"/>
  <c r="K4315" i="4"/>
  <c r="J4315" i="4"/>
  <c r="I4315" i="4"/>
  <c r="H4315" i="4"/>
  <c r="Q4314" i="4"/>
  <c r="P4314" i="4"/>
  <c r="O4314" i="4"/>
  <c r="N4314" i="4"/>
  <c r="M4314" i="4"/>
  <c r="L4314" i="4"/>
  <c r="K4314" i="4"/>
  <c r="J4314" i="4"/>
  <c r="I4314" i="4"/>
  <c r="H4314" i="4"/>
  <c r="Q4313" i="4"/>
  <c r="P4313" i="4"/>
  <c r="O4313" i="4"/>
  <c r="N4313" i="4"/>
  <c r="M4313" i="4"/>
  <c r="L4313" i="4"/>
  <c r="K4313" i="4"/>
  <c r="J4313" i="4"/>
  <c r="I4313" i="4"/>
  <c r="H4313" i="4"/>
  <c r="Q4312" i="4"/>
  <c r="P4312" i="4"/>
  <c r="O4312" i="4"/>
  <c r="N4312" i="4"/>
  <c r="M4312" i="4"/>
  <c r="L4312" i="4"/>
  <c r="K4312" i="4"/>
  <c r="J4312" i="4"/>
  <c r="I4312" i="4"/>
  <c r="H4312" i="4"/>
  <c r="Q4311" i="4"/>
  <c r="P4311" i="4"/>
  <c r="O4311" i="4"/>
  <c r="N4311" i="4"/>
  <c r="M4311" i="4"/>
  <c r="L4311" i="4"/>
  <c r="K4311" i="4"/>
  <c r="J4311" i="4"/>
  <c r="I4311" i="4"/>
  <c r="H4311" i="4"/>
  <c r="Q4310" i="4"/>
  <c r="P4310" i="4"/>
  <c r="O4310" i="4"/>
  <c r="N4310" i="4"/>
  <c r="M4310" i="4"/>
  <c r="L4310" i="4"/>
  <c r="K4310" i="4"/>
  <c r="J4310" i="4"/>
  <c r="I4310" i="4"/>
  <c r="H4310" i="4"/>
  <c r="Q4309" i="4"/>
  <c r="P4309" i="4"/>
  <c r="O4309" i="4"/>
  <c r="N4309" i="4"/>
  <c r="M4309" i="4"/>
  <c r="L4309" i="4"/>
  <c r="K4309" i="4"/>
  <c r="J4309" i="4"/>
  <c r="I4309" i="4"/>
  <c r="H4309" i="4"/>
  <c r="Q4308" i="4"/>
  <c r="P4308" i="4"/>
  <c r="O4308" i="4"/>
  <c r="N4308" i="4"/>
  <c r="M4308" i="4"/>
  <c r="L4308" i="4"/>
  <c r="K4308" i="4"/>
  <c r="J4308" i="4"/>
  <c r="I4308" i="4"/>
  <c r="H4308" i="4"/>
  <c r="Q4307" i="4"/>
  <c r="P4307" i="4"/>
  <c r="O4307" i="4"/>
  <c r="N4307" i="4"/>
  <c r="M4307" i="4"/>
  <c r="L4307" i="4"/>
  <c r="K4307" i="4"/>
  <c r="J4307" i="4"/>
  <c r="I4307" i="4"/>
  <c r="H4307" i="4"/>
  <c r="Q4306" i="4"/>
  <c r="P4306" i="4"/>
  <c r="O4306" i="4"/>
  <c r="N4306" i="4"/>
  <c r="M4306" i="4"/>
  <c r="L4306" i="4"/>
  <c r="K4306" i="4"/>
  <c r="J4306" i="4"/>
  <c r="I4306" i="4"/>
  <c r="H4306" i="4"/>
  <c r="Q4305" i="4"/>
  <c r="P4305" i="4"/>
  <c r="O4305" i="4"/>
  <c r="N4305" i="4"/>
  <c r="M4305" i="4"/>
  <c r="L4305" i="4"/>
  <c r="K4305" i="4"/>
  <c r="J4305" i="4"/>
  <c r="I4305" i="4"/>
  <c r="H4305" i="4"/>
  <c r="Q4304" i="4"/>
  <c r="P4304" i="4"/>
  <c r="O4304" i="4"/>
  <c r="N4304" i="4"/>
  <c r="M4304" i="4"/>
  <c r="L4304" i="4"/>
  <c r="K4304" i="4"/>
  <c r="J4304" i="4"/>
  <c r="I4304" i="4"/>
  <c r="H4304" i="4"/>
  <c r="Q4303" i="4"/>
  <c r="P4303" i="4"/>
  <c r="O4303" i="4"/>
  <c r="N4303" i="4"/>
  <c r="M4303" i="4"/>
  <c r="L4303" i="4"/>
  <c r="K4303" i="4"/>
  <c r="J4303" i="4"/>
  <c r="I4303" i="4"/>
  <c r="H4303" i="4"/>
  <c r="Q4302" i="4"/>
  <c r="P4302" i="4"/>
  <c r="O4302" i="4"/>
  <c r="N4302" i="4"/>
  <c r="M4302" i="4"/>
  <c r="L4302" i="4"/>
  <c r="K4302" i="4"/>
  <c r="J4302" i="4"/>
  <c r="I4302" i="4"/>
  <c r="H4302" i="4"/>
  <c r="Q4301" i="4"/>
  <c r="P4301" i="4"/>
  <c r="O4301" i="4"/>
  <c r="N4301" i="4"/>
  <c r="M4301" i="4"/>
  <c r="L4301" i="4"/>
  <c r="K4301" i="4"/>
  <c r="J4301" i="4"/>
  <c r="I4301" i="4"/>
  <c r="H4301" i="4"/>
  <c r="Q4300" i="4"/>
  <c r="P4300" i="4"/>
  <c r="O4300" i="4"/>
  <c r="N4300" i="4"/>
  <c r="M4300" i="4"/>
  <c r="L4300" i="4"/>
  <c r="K4300" i="4"/>
  <c r="J4300" i="4"/>
  <c r="I4300" i="4"/>
  <c r="H4300" i="4"/>
  <c r="Q4299" i="4"/>
  <c r="P4299" i="4"/>
  <c r="O4299" i="4"/>
  <c r="N4299" i="4"/>
  <c r="M4299" i="4"/>
  <c r="L4299" i="4"/>
  <c r="K4299" i="4"/>
  <c r="J4299" i="4"/>
  <c r="I4299" i="4"/>
  <c r="H4299" i="4"/>
  <c r="Q4298" i="4"/>
  <c r="P4298" i="4"/>
  <c r="O4298" i="4"/>
  <c r="N4298" i="4"/>
  <c r="M4298" i="4"/>
  <c r="L4298" i="4"/>
  <c r="K4298" i="4"/>
  <c r="J4298" i="4"/>
  <c r="I4298" i="4"/>
  <c r="H4298" i="4"/>
  <c r="Q4297" i="4"/>
  <c r="P4297" i="4"/>
  <c r="O4297" i="4"/>
  <c r="N4297" i="4"/>
  <c r="M4297" i="4"/>
  <c r="L4297" i="4"/>
  <c r="K4297" i="4"/>
  <c r="J4297" i="4"/>
  <c r="I4297" i="4"/>
  <c r="H4297" i="4"/>
  <c r="Q4296" i="4"/>
  <c r="P4296" i="4"/>
  <c r="O4296" i="4"/>
  <c r="N4296" i="4"/>
  <c r="M4296" i="4"/>
  <c r="L4296" i="4"/>
  <c r="K4296" i="4"/>
  <c r="J4296" i="4"/>
  <c r="I4296" i="4"/>
  <c r="H4296" i="4"/>
  <c r="Q4295" i="4"/>
  <c r="P4295" i="4"/>
  <c r="O4295" i="4"/>
  <c r="N4295" i="4"/>
  <c r="M4295" i="4"/>
  <c r="L4295" i="4"/>
  <c r="K4295" i="4"/>
  <c r="J4295" i="4"/>
  <c r="I4295" i="4"/>
  <c r="H4295" i="4"/>
  <c r="Q4294" i="4"/>
  <c r="P4294" i="4"/>
  <c r="O4294" i="4"/>
  <c r="N4294" i="4"/>
  <c r="M4294" i="4"/>
  <c r="L4294" i="4"/>
  <c r="K4294" i="4"/>
  <c r="J4294" i="4"/>
  <c r="I4294" i="4"/>
  <c r="H4294" i="4"/>
  <c r="Q4293" i="4"/>
  <c r="P4293" i="4"/>
  <c r="O4293" i="4"/>
  <c r="N4293" i="4"/>
  <c r="M4293" i="4"/>
  <c r="L4293" i="4"/>
  <c r="K4293" i="4"/>
  <c r="J4293" i="4"/>
  <c r="I4293" i="4"/>
  <c r="H4293" i="4"/>
  <c r="Q4292" i="4"/>
  <c r="P4292" i="4"/>
  <c r="O4292" i="4"/>
  <c r="N4292" i="4"/>
  <c r="M4292" i="4"/>
  <c r="L4292" i="4"/>
  <c r="K4292" i="4"/>
  <c r="J4292" i="4"/>
  <c r="I4292" i="4"/>
  <c r="H4292" i="4"/>
  <c r="Q4291" i="4"/>
  <c r="P4291" i="4"/>
  <c r="O4291" i="4"/>
  <c r="N4291" i="4"/>
  <c r="M4291" i="4"/>
  <c r="L4291" i="4"/>
  <c r="K4291" i="4"/>
  <c r="J4291" i="4"/>
  <c r="I4291" i="4"/>
  <c r="H4291" i="4"/>
  <c r="Q4290" i="4"/>
  <c r="P4290" i="4"/>
  <c r="O4290" i="4"/>
  <c r="N4290" i="4"/>
  <c r="M4290" i="4"/>
  <c r="L4290" i="4"/>
  <c r="K4290" i="4"/>
  <c r="J4290" i="4"/>
  <c r="I4290" i="4"/>
  <c r="H4290" i="4"/>
  <c r="Q4289" i="4"/>
  <c r="P4289" i="4"/>
  <c r="O4289" i="4"/>
  <c r="N4289" i="4"/>
  <c r="M4289" i="4"/>
  <c r="L4289" i="4"/>
  <c r="K4289" i="4"/>
  <c r="J4289" i="4"/>
  <c r="I4289" i="4"/>
  <c r="H4289" i="4"/>
  <c r="Q4288" i="4"/>
  <c r="P4288" i="4"/>
  <c r="O4288" i="4"/>
  <c r="N4288" i="4"/>
  <c r="M4288" i="4"/>
  <c r="L4288" i="4"/>
  <c r="K4288" i="4"/>
  <c r="J4288" i="4"/>
  <c r="I4288" i="4"/>
  <c r="H4288" i="4"/>
  <c r="Q4287" i="4"/>
  <c r="P4287" i="4"/>
  <c r="O4287" i="4"/>
  <c r="N4287" i="4"/>
  <c r="M4287" i="4"/>
  <c r="L4287" i="4"/>
  <c r="K4287" i="4"/>
  <c r="J4287" i="4"/>
  <c r="I4287" i="4"/>
  <c r="H4287" i="4"/>
  <c r="Q4286" i="4"/>
  <c r="P4286" i="4"/>
  <c r="O4286" i="4"/>
  <c r="N4286" i="4"/>
  <c r="M4286" i="4"/>
  <c r="L4286" i="4"/>
  <c r="K4286" i="4"/>
  <c r="J4286" i="4"/>
  <c r="I4286" i="4"/>
  <c r="H4286" i="4"/>
  <c r="Q4285" i="4"/>
  <c r="P4285" i="4"/>
  <c r="O4285" i="4"/>
  <c r="N4285" i="4"/>
  <c r="M4285" i="4"/>
  <c r="L4285" i="4"/>
  <c r="K4285" i="4"/>
  <c r="J4285" i="4"/>
  <c r="I4285" i="4"/>
  <c r="H4285" i="4"/>
  <c r="Q4284" i="4"/>
  <c r="P4284" i="4"/>
  <c r="O4284" i="4"/>
  <c r="N4284" i="4"/>
  <c r="M4284" i="4"/>
  <c r="L4284" i="4"/>
  <c r="K4284" i="4"/>
  <c r="J4284" i="4"/>
  <c r="I4284" i="4"/>
  <c r="H4284" i="4"/>
  <c r="Q4283" i="4"/>
  <c r="P4283" i="4"/>
  <c r="O4283" i="4"/>
  <c r="N4283" i="4"/>
  <c r="M4283" i="4"/>
  <c r="L4283" i="4"/>
  <c r="K4283" i="4"/>
  <c r="J4283" i="4"/>
  <c r="I4283" i="4"/>
  <c r="H4283" i="4"/>
  <c r="Q4282" i="4"/>
  <c r="P4282" i="4"/>
  <c r="O4282" i="4"/>
  <c r="N4282" i="4"/>
  <c r="M4282" i="4"/>
  <c r="L4282" i="4"/>
  <c r="K4282" i="4"/>
  <c r="J4282" i="4"/>
  <c r="I4282" i="4"/>
  <c r="H4282" i="4"/>
  <c r="Q4281" i="4"/>
  <c r="P4281" i="4"/>
  <c r="O4281" i="4"/>
  <c r="N4281" i="4"/>
  <c r="M4281" i="4"/>
  <c r="L4281" i="4"/>
  <c r="K4281" i="4"/>
  <c r="J4281" i="4"/>
  <c r="I4281" i="4"/>
  <c r="H4281" i="4"/>
  <c r="Q4280" i="4"/>
  <c r="P4280" i="4"/>
  <c r="O4280" i="4"/>
  <c r="N4280" i="4"/>
  <c r="M4280" i="4"/>
  <c r="L4280" i="4"/>
  <c r="K4280" i="4"/>
  <c r="J4280" i="4"/>
  <c r="I4280" i="4"/>
  <c r="H4280" i="4"/>
  <c r="Q4279" i="4"/>
  <c r="P4279" i="4"/>
  <c r="O4279" i="4"/>
  <c r="N4279" i="4"/>
  <c r="M4279" i="4"/>
  <c r="L4279" i="4"/>
  <c r="K4279" i="4"/>
  <c r="J4279" i="4"/>
  <c r="I4279" i="4"/>
  <c r="H4279" i="4"/>
  <c r="Q4278" i="4"/>
  <c r="P4278" i="4"/>
  <c r="O4278" i="4"/>
  <c r="N4278" i="4"/>
  <c r="M4278" i="4"/>
  <c r="L4278" i="4"/>
  <c r="K4278" i="4"/>
  <c r="J4278" i="4"/>
  <c r="I4278" i="4"/>
  <c r="H4278" i="4"/>
  <c r="Q4277" i="4"/>
  <c r="P4277" i="4"/>
  <c r="O4277" i="4"/>
  <c r="N4277" i="4"/>
  <c r="M4277" i="4"/>
  <c r="L4277" i="4"/>
  <c r="K4277" i="4"/>
  <c r="J4277" i="4"/>
  <c r="I4277" i="4"/>
  <c r="H4277" i="4"/>
  <c r="Q4276" i="4"/>
  <c r="P4276" i="4"/>
  <c r="O4276" i="4"/>
  <c r="N4276" i="4"/>
  <c r="M4276" i="4"/>
  <c r="L4276" i="4"/>
  <c r="K4276" i="4"/>
  <c r="J4276" i="4"/>
  <c r="I4276" i="4"/>
  <c r="H4276" i="4"/>
  <c r="Q4275" i="4"/>
  <c r="P4275" i="4"/>
  <c r="O4275" i="4"/>
  <c r="N4275" i="4"/>
  <c r="M4275" i="4"/>
  <c r="L4275" i="4"/>
  <c r="K4275" i="4"/>
  <c r="J4275" i="4"/>
  <c r="I4275" i="4"/>
  <c r="H4275" i="4"/>
  <c r="Q4274" i="4"/>
  <c r="P4274" i="4"/>
  <c r="O4274" i="4"/>
  <c r="N4274" i="4"/>
  <c r="M4274" i="4"/>
  <c r="L4274" i="4"/>
  <c r="K4274" i="4"/>
  <c r="J4274" i="4"/>
  <c r="I4274" i="4"/>
  <c r="H4274" i="4"/>
  <c r="Q4273" i="4"/>
  <c r="P4273" i="4"/>
  <c r="O4273" i="4"/>
  <c r="N4273" i="4"/>
  <c r="M4273" i="4"/>
  <c r="L4273" i="4"/>
  <c r="K4273" i="4"/>
  <c r="J4273" i="4"/>
  <c r="I4273" i="4"/>
  <c r="H4273" i="4"/>
  <c r="Q4272" i="4"/>
  <c r="P4272" i="4"/>
  <c r="O4272" i="4"/>
  <c r="N4272" i="4"/>
  <c r="M4272" i="4"/>
  <c r="L4272" i="4"/>
  <c r="K4272" i="4"/>
  <c r="J4272" i="4"/>
  <c r="I4272" i="4"/>
  <c r="H4272" i="4"/>
  <c r="Q4271" i="4"/>
  <c r="P4271" i="4"/>
  <c r="O4271" i="4"/>
  <c r="N4271" i="4"/>
  <c r="M4271" i="4"/>
  <c r="L4271" i="4"/>
  <c r="K4271" i="4"/>
  <c r="J4271" i="4"/>
  <c r="I4271" i="4"/>
  <c r="H4271" i="4"/>
  <c r="Q4270" i="4"/>
  <c r="P4270" i="4"/>
  <c r="O4270" i="4"/>
  <c r="N4270" i="4"/>
  <c r="M4270" i="4"/>
  <c r="L4270" i="4"/>
  <c r="K4270" i="4"/>
  <c r="J4270" i="4"/>
  <c r="I4270" i="4"/>
  <c r="H4270" i="4"/>
  <c r="Q4269" i="4"/>
  <c r="P4269" i="4"/>
  <c r="O4269" i="4"/>
  <c r="N4269" i="4"/>
  <c r="M4269" i="4"/>
  <c r="L4269" i="4"/>
  <c r="K4269" i="4"/>
  <c r="J4269" i="4"/>
  <c r="I4269" i="4"/>
  <c r="H4269" i="4"/>
  <c r="Q4268" i="4"/>
  <c r="P4268" i="4"/>
  <c r="O4268" i="4"/>
  <c r="N4268" i="4"/>
  <c r="M4268" i="4"/>
  <c r="L4268" i="4"/>
  <c r="K4268" i="4"/>
  <c r="J4268" i="4"/>
  <c r="I4268" i="4"/>
  <c r="H4268" i="4"/>
  <c r="Q4267" i="4"/>
  <c r="P4267" i="4"/>
  <c r="O4267" i="4"/>
  <c r="N4267" i="4"/>
  <c r="M4267" i="4"/>
  <c r="L4267" i="4"/>
  <c r="K4267" i="4"/>
  <c r="J4267" i="4"/>
  <c r="I4267" i="4"/>
  <c r="H4267" i="4"/>
  <c r="Q4266" i="4"/>
  <c r="P4266" i="4"/>
  <c r="O4266" i="4"/>
  <c r="N4266" i="4"/>
  <c r="M4266" i="4"/>
  <c r="L4266" i="4"/>
  <c r="K4266" i="4"/>
  <c r="J4266" i="4"/>
  <c r="I4266" i="4"/>
  <c r="H4266" i="4"/>
  <c r="Q4265" i="4"/>
  <c r="P4265" i="4"/>
  <c r="O4265" i="4"/>
  <c r="N4265" i="4"/>
  <c r="M4265" i="4"/>
  <c r="L4265" i="4"/>
  <c r="K4265" i="4"/>
  <c r="J4265" i="4"/>
  <c r="I4265" i="4"/>
  <c r="H4265" i="4"/>
  <c r="Q4264" i="4"/>
  <c r="P4264" i="4"/>
  <c r="O4264" i="4"/>
  <c r="N4264" i="4"/>
  <c r="M4264" i="4"/>
  <c r="L4264" i="4"/>
  <c r="K4264" i="4"/>
  <c r="J4264" i="4"/>
  <c r="I4264" i="4"/>
  <c r="H4264" i="4"/>
  <c r="Q4263" i="4"/>
  <c r="P4263" i="4"/>
  <c r="O4263" i="4"/>
  <c r="N4263" i="4"/>
  <c r="M4263" i="4"/>
  <c r="L4263" i="4"/>
  <c r="K4263" i="4"/>
  <c r="J4263" i="4"/>
  <c r="I4263" i="4"/>
  <c r="H4263" i="4"/>
  <c r="Q4262" i="4"/>
  <c r="P4262" i="4"/>
  <c r="O4262" i="4"/>
  <c r="N4262" i="4"/>
  <c r="M4262" i="4"/>
  <c r="L4262" i="4"/>
  <c r="K4262" i="4"/>
  <c r="J4262" i="4"/>
  <c r="I4262" i="4"/>
  <c r="H4262" i="4"/>
  <c r="Q4261" i="4"/>
  <c r="P4261" i="4"/>
  <c r="O4261" i="4"/>
  <c r="N4261" i="4"/>
  <c r="M4261" i="4"/>
  <c r="L4261" i="4"/>
  <c r="K4261" i="4"/>
  <c r="J4261" i="4"/>
  <c r="I4261" i="4"/>
  <c r="H4261" i="4"/>
  <c r="Q4260" i="4"/>
  <c r="P4260" i="4"/>
  <c r="O4260" i="4"/>
  <c r="N4260" i="4"/>
  <c r="M4260" i="4"/>
  <c r="L4260" i="4"/>
  <c r="K4260" i="4"/>
  <c r="J4260" i="4"/>
  <c r="I4260" i="4"/>
  <c r="H4260" i="4"/>
  <c r="Q4259" i="4"/>
  <c r="P4259" i="4"/>
  <c r="O4259" i="4"/>
  <c r="N4259" i="4"/>
  <c r="M4259" i="4"/>
  <c r="L4259" i="4"/>
  <c r="K4259" i="4"/>
  <c r="J4259" i="4"/>
  <c r="I4259" i="4"/>
  <c r="H4259" i="4"/>
  <c r="Q4258" i="4"/>
  <c r="P4258" i="4"/>
  <c r="O4258" i="4"/>
  <c r="N4258" i="4"/>
  <c r="M4258" i="4"/>
  <c r="L4258" i="4"/>
  <c r="K4258" i="4"/>
  <c r="J4258" i="4"/>
  <c r="I4258" i="4"/>
  <c r="H4258" i="4"/>
  <c r="Q4257" i="4"/>
  <c r="P4257" i="4"/>
  <c r="O4257" i="4"/>
  <c r="N4257" i="4"/>
  <c r="M4257" i="4"/>
  <c r="L4257" i="4"/>
  <c r="K4257" i="4"/>
  <c r="J4257" i="4"/>
  <c r="I4257" i="4"/>
  <c r="H4257" i="4"/>
  <c r="Q4256" i="4"/>
  <c r="P4256" i="4"/>
  <c r="O4256" i="4"/>
  <c r="N4256" i="4"/>
  <c r="M4256" i="4"/>
  <c r="L4256" i="4"/>
  <c r="K4256" i="4"/>
  <c r="J4256" i="4"/>
  <c r="I4256" i="4"/>
  <c r="H4256" i="4"/>
  <c r="Q4255" i="4"/>
  <c r="P4255" i="4"/>
  <c r="O4255" i="4"/>
  <c r="N4255" i="4"/>
  <c r="M4255" i="4"/>
  <c r="L4255" i="4"/>
  <c r="K4255" i="4"/>
  <c r="J4255" i="4"/>
  <c r="I4255" i="4"/>
  <c r="H4255" i="4"/>
  <c r="Q4254" i="4"/>
  <c r="P4254" i="4"/>
  <c r="O4254" i="4"/>
  <c r="N4254" i="4"/>
  <c r="M4254" i="4"/>
  <c r="L4254" i="4"/>
  <c r="K4254" i="4"/>
  <c r="J4254" i="4"/>
  <c r="I4254" i="4"/>
  <c r="H4254" i="4"/>
  <c r="Q4253" i="4"/>
  <c r="P4253" i="4"/>
  <c r="O4253" i="4"/>
  <c r="N4253" i="4"/>
  <c r="M4253" i="4"/>
  <c r="L4253" i="4"/>
  <c r="K4253" i="4"/>
  <c r="J4253" i="4"/>
  <c r="I4253" i="4"/>
  <c r="H4253" i="4"/>
  <c r="Q4252" i="4"/>
  <c r="P4252" i="4"/>
  <c r="O4252" i="4"/>
  <c r="N4252" i="4"/>
  <c r="M4252" i="4"/>
  <c r="L4252" i="4"/>
  <c r="K4252" i="4"/>
  <c r="J4252" i="4"/>
  <c r="I4252" i="4"/>
  <c r="H4252" i="4"/>
  <c r="Q4251" i="4"/>
  <c r="P4251" i="4"/>
  <c r="O4251" i="4"/>
  <c r="N4251" i="4"/>
  <c r="M4251" i="4"/>
  <c r="L4251" i="4"/>
  <c r="K4251" i="4"/>
  <c r="J4251" i="4"/>
  <c r="I4251" i="4"/>
  <c r="H4251" i="4"/>
  <c r="Q4250" i="4"/>
  <c r="P4250" i="4"/>
  <c r="O4250" i="4"/>
  <c r="N4250" i="4"/>
  <c r="M4250" i="4"/>
  <c r="L4250" i="4"/>
  <c r="K4250" i="4"/>
  <c r="J4250" i="4"/>
  <c r="I4250" i="4"/>
  <c r="H4250" i="4"/>
  <c r="Q4249" i="4"/>
  <c r="P4249" i="4"/>
  <c r="O4249" i="4"/>
  <c r="N4249" i="4"/>
  <c r="M4249" i="4"/>
  <c r="L4249" i="4"/>
  <c r="K4249" i="4"/>
  <c r="J4249" i="4"/>
  <c r="I4249" i="4"/>
  <c r="H4249" i="4"/>
  <c r="Q4248" i="4"/>
  <c r="P4248" i="4"/>
  <c r="O4248" i="4"/>
  <c r="N4248" i="4"/>
  <c r="M4248" i="4"/>
  <c r="L4248" i="4"/>
  <c r="K4248" i="4"/>
  <c r="J4248" i="4"/>
  <c r="I4248" i="4"/>
  <c r="H4248" i="4"/>
  <c r="Q4247" i="4"/>
  <c r="P4247" i="4"/>
  <c r="O4247" i="4"/>
  <c r="N4247" i="4"/>
  <c r="M4247" i="4"/>
  <c r="L4247" i="4"/>
  <c r="K4247" i="4"/>
  <c r="J4247" i="4"/>
  <c r="I4247" i="4"/>
  <c r="H4247" i="4"/>
  <c r="Q4246" i="4"/>
  <c r="P4246" i="4"/>
  <c r="O4246" i="4"/>
  <c r="N4246" i="4"/>
  <c r="M4246" i="4"/>
  <c r="L4246" i="4"/>
  <c r="K4246" i="4"/>
  <c r="J4246" i="4"/>
  <c r="I4246" i="4"/>
  <c r="H4246" i="4"/>
  <c r="Q4245" i="4"/>
  <c r="P4245" i="4"/>
  <c r="O4245" i="4"/>
  <c r="N4245" i="4"/>
  <c r="M4245" i="4"/>
  <c r="L4245" i="4"/>
  <c r="K4245" i="4"/>
  <c r="J4245" i="4"/>
  <c r="I4245" i="4"/>
  <c r="H4245" i="4"/>
  <c r="Q4244" i="4"/>
  <c r="P4244" i="4"/>
  <c r="O4244" i="4"/>
  <c r="N4244" i="4"/>
  <c r="M4244" i="4"/>
  <c r="L4244" i="4"/>
  <c r="K4244" i="4"/>
  <c r="J4244" i="4"/>
  <c r="I4244" i="4"/>
  <c r="H4244" i="4"/>
  <c r="Q4243" i="4"/>
  <c r="P4243" i="4"/>
  <c r="O4243" i="4"/>
  <c r="N4243" i="4"/>
  <c r="M4243" i="4"/>
  <c r="L4243" i="4"/>
  <c r="K4243" i="4"/>
  <c r="J4243" i="4"/>
  <c r="I4243" i="4"/>
  <c r="H4243" i="4"/>
  <c r="Q4242" i="4"/>
  <c r="P4242" i="4"/>
  <c r="O4242" i="4"/>
  <c r="N4242" i="4"/>
  <c r="M4242" i="4"/>
  <c r="L4242" i="4"/>
  <c r="K4242" i="4"/>
  <c r="J4242" i="4"/>
  <c r="I4242" i="4"/>
  <c r="H4242" i="4"/>
  <c r="Q4241" i="4"/>
  <c r="P4241" i="4"/>
  <c r="O4241" i="4"/>
  <c r="N4241" i="4"/>
  <c r="M4241" i="4"/>
  <c r="L4241" i="4"/>
  <c r="K4241" i="4"/>
  <c r="J4241" i="4"/>
  <c r="I4241" i="4"/>
  <c r="H4241" i="4"/>
  <c r="Q4240" i="4"/>
  <c r="P4240" i="4"/>
  <c r="O4240" i="4"/>
  <c r="N4240" i="4"/>
  <c r="M4240" i="4"/>
  <c r="L4240" i="4"/>
  <c r="K4240" i="4"/>
  <c r="J4240" i="4"/>
  <c r="I4240" i="4"/>
  <c r="H4240" i="4"/>
  <c r="Q4239" i="4"/>
  <c r="P4239" i="4"/>
  <c r="O4239" i="4"/>
  <c r="N4239" i="4"/>
  <c r="M4239" i="4"/>
  <c r="L4239" i="4"/>
  <c r="K4239" i="4"/>
  <c r="J4239" i="4"/>
  <c r="I4239" i="4"/>
  <c r="H4239" i="4"/>
  <c r="Q4238" i="4"/>
  <c r="P4238" i="4"/>
  <c r="O4238" i="4"/>
  <c r="N4238" i="4"/>
  <c r="M4238" i="4"/>
  <c r="L4238" i="4"/>
  <c r="K4238" i="4"/>
  <c r="J4238" i="4"/>
  <c r="I4238" i="4"/>
  <c r="H4238" i="4"/>
  <c r="Q4237" i="4"/>
  <c r="P4237" i="4"/>
  <c r="O4237" i="4"/>
  <c r="N4237" i="4"/>
  <c r="M4237" i="4"/>
  <c r="L4237" i="4"/>
  <c r="K4237" i="4"/>
  <c r="J4237" i="4"/>
  <c r="I4237" i="4"/>
  <c r="H4237" i="4"/>
  <c r="Q4236" i="4"/>
  <c r="P4236" i="4"/>
  <c r="O4236" i="4"/>
  <c r="N4236" i="4"/>
  <c r="M4236" i="4"/>
  <c r="L4236" i="4"/>
  <c r="K4236" i="4"/>
  <c r="J4236" i="4"/>
  <c r="I4236" i="4"/>
  <c r="H4236" i="4"/>
  <c r="Q4235" i="4"/>
  <c r="P4235" i="4"/>
  <c r="O4235" i="4"/>
  <c r="N4235" i="4"/>
  <c r="M4235" i="4"/>
  <c r="L4235" i="4"/>
  <c r="K4235" i="4"/>
  <c r="J4235" i="4"/>
  <c r="I4235" i="4"/>
  <c r="H4235" i="4"/>
  <c r="Q4234" i="4"/>
  <c r="P4234" i="4"/>
  <c r="O4234" i="4"/>
  <c r="N4234" i="4"/>
  <c r="M4234" i="4"/>
  <c r="L4234" i="4"/>
  <c r="K4234" i="4"/>
  <c r="J4234" i="4"/>
  <c r="I4234" i="4"/>
  <c r="H4234" i="4"/>
  <c r="Q4233" i="4"/>
  <c r="P4233" i="4"/>
  <c r="O4233" i="4"/>
  <c r="N4233" i="4"/>
  <c r="M4233" i="4"/>
  <c r="L4233" i="4"/>
  <c r="K4233" i="4"/>
  <c r="J4233" i="4"/>
  <c r="I4233" i="4"/>
  <c r="H4233" i="4"/>
  <c r="Q4232" i="4"/>
  <c r="P4232" i="4"/>
  <c r="O4232" i="4"/>
  <c r="N4232" i="4"/>
  <c r="M4232" i="4"/>
  <c r="L4232" i="4"/>
  <c r="K4232" i="4"/>
  <c r="J4232" i="4"/>
  <c r="I4232" i="4"/>
  <c r="H4232" i="4"/>
  <c r="Q4231" i="4"/>
  <c r="P4231" i="4"/>
  <c r="O4231" i="4"/>
  <c r="N4231" i="4"/>
  <c r="M4231" i="4"/>
  <c r="L4231" i="4"/>
  <c r="K4231" i="4"/>
  <c r="J4231" i="4"/>
  <c r="I4231" i="4"/>
  <c r="H4231" i="4"/>
  <c r="Q4230" i="4"/>
  <c r="P4230" i="4"/>
  <c r="O4230" i="4"/>
  <c r="N4230" i="4"/>
  <c r="M4230" i="4"/>
  <c r="L4230" i="4"/>
  <c r="K4230" i="4"/>
  <c r="J4230" i="4"/>
  <c r="I4230" i="4"/>
  <c r="H4230" i="4"/>
  <c r="Q4229" i="4"/>
  <c r="P4229" i="4"/>
  <c r="O4229" i="4"/>
  <c r="N4229" i="4"/>
  <c r="M4229" i="4"/>
  <c r="L4229" i="4"/>
  <c r="K4229" i="4"/>
  <c r="J4229" i="4"/>
  <c r="I4229" i="4"/>
  <c r="H4229" i="4"/>
  <c r="Q4228" i="4"/>
  <c r="P4228" i="4"/>
  <c r="O4228" i="4"/>
  <c r="N4228" i="4"/>
  <c r="M4228" i="4"/>
  <c r="L4228" i="4"/>
  <c r="K4228" i="4"/>
  <c r="J4228" i="4"/>
  <c r="I4228" i="4"/>
  <c r="H4228" i="4"/>
  <c r="Q4227" i="4"/>
  <c r="P4227" i="4"/>
  <c r="O4227" i="4"/>
  <c r="N4227" i="4"/>
  <c r="M4227" i="4"/>
  <c r="L4227" i="4"/>
  <c r="K4227" i="4"/>
  <c r="J4227" i="4"/>
  <c r="I4227" i="4"/>
  <c r="H4227" i="4"/>
  <c r="Q4226" i="4"/>
  <c r="P4226" i="4"/>
  <c r="O4226" i="4"/>
  <c r="N4226" i="4"/>
  <c r="M4226" i="4"/>
  <c r="L4226" i="4"/>
  <c r="K4226" i="4"/>
  <c r="J4226" i="4"/>
  <c r="I4226" i="4"/>
  <c r="H4226" i="4"/>
  <c r="Q4225" i="4"/>
  <c r="P4225" i="4"/>
  <c r="O4225" i="4"/>
  <c r="N4225" i="4"/>
  <c r="M4225" i="4"/>
  <c r="L4225" i="4"/>
  <c r="K4225" i="4"/>
  <c r="J4225" i="4"/>
  <c r="I4225" i="4"/>
  <c r="H4225" i="4"/>
  <c r="Q4224" i="4"/>
  <c r="P4224" i="4"/>
  <c r="O4224" i="4"/>
  <c r="N4224" i="4"/>
  <c r="M4224" i="4"/>
  <c r="L4224" i="4"/>
  <c r="K4224" i="4"/>
  <c r="J4224" i="4"/>
  <c r="I4224" i="4"/>
  <c r="H4224" i="4"/>
  <c r="Q4223" i="4"/>
  <c r="P4223" i="4"/>
  <c r="O4223" i="4"/>
  <c r="N4223" i="4"/>
  <c r="M4223" i="4"/>
  <c r="L4223" i="4"/>
  <c r="K4223" i="4"/>
  <c r="J4223" i="4"/>
  <c r="I4223" i="4"/>
  <c r="H4223" i="4"/>
  <c r="Q4222" i="4"/>
  <c r="P4222" i="4"/>
  <c r="O4222" i="4"/>
  <c r="N4222" i="4"/>
  <c r="M4222" i="4"/>
  <c r="L4222" i="4"/>
  <c r="K4222" i="4"/>
  <c r="J4222" i="4"/>
  <c r="I4222" i="4"/>
  <c r="H4222" i="4"/>
  <c r="Q4221" i="4"/>
  <c r="P4221" i="4"/>
  <c r="O4221" i="4"/>
  <c r="N4221" i="4"/>
  <c r="M4221" i="4"/>
  <c r="L4221" i="4"/>
  <c r="K4221" i="4"/>
  <c r="J4221" i="4"/>
  <c r="I4221" i="4"/>
  <c r="H4221" i="4"/>
  <c r="Q4220" i="4"/>
  <c r="P4220" i="4"/>
  <c r="O4220" i="4"/>
  <c r="N4220" i="4"/>
  <c r="M4220" i="4"/>
  <c r="L4220" i="4"/>
  <c r="K4220" i="4"/>
  <c r="J4220" i="4"/>
  <c r="I4220" i="4"/>
  <c r="H4220" i="4"/>
  <c r="Q4219" i="4"/>
  <c r="P4219" i="4"/>
  <c r="O4219" i="4"/>
  <c r="N4219" i="4"/>
  <c r="M4219" i="4"/>
  <c r="L4219" i="4"/>
  <c r="K4219" i="4"/>
  <c r="J4219" i="4"/>
  <c r="I4219" i="4"/>
  <c r="H4219" i="4"/>
  <c r="Q4218" i="4"/>
  <c r="P4218" i="4"/>
  <c r="O4218" i="4"/>
  <c r="N4218" i="4"/>
  <c r="M4218" i="4"/>
  <c r="L4218" i="4"/>
  <c r="K4218" i="4"/>
  <c r="J4218" i="4"/>
  <c r="I4218" i="4"/>
  <c r="H4218" i="4"/>
  <c r="Q4217" i="4"/>
  <c r="P4217" i="4"/>
  <c r="O4217" i="4"/>
  <c r="N4217" i="4"/>
  <c r="M4217" i="4"/>
  <c r="L4217" i="4"/>
  <c r="K4217" i="4"/>
  <c r="J4217" i="4"/>
  <c r="I4217" i="4"/>
  <c r="H4217" i="4"/>
  <c r="Q4216" i="4"/>
  <c r="P4216" i="4"/>
  <c r="O4216" i="4"/>
  <c r="N4216" i="4"/>
  <c r="M4216" i="4"/>
  <c r="L4216" i="4"/>
  <c r="K4216" i="4"/>
  <c r="J4216" i="4"/>
  <c r="I4216" i="4"/>
  <c r="H4216" i="4"/>
  <c r="Q4215" i="4"/>
  <c r="P4215" i="4"/>
  <c r="O4215" i="4"/>
  <c r="N4215" i="4"/>
  <c r="M4215" i="4"/>
  <c r="L4215" i="4"/>
  <c r="K4215" i="4"/>
  <c r="J4215" i="4"/>
  <c r="I4215" i="4"/>
  <c r="H4215" i="4"/>
  <c r="Q4214" i="4"/>
  <c r="P4214" i="4"/>
  <c r="O4214" i="4"/>
  <c r="N4214" i="4"/>
  <c r="M4214" i="4"/>
  <c r="L4214" i="4"/>
  <c r="K4214" i="4"/>
  <c r="J4214" i="4"/>
  <c r="I4214" i="4"/>
  <c r="H4214" i="4"/>
  <c r="Q4213" i="4"/>
  <c r="P4213" i="4"/>
  <c r="O4213" i="4"/>
  <c r="N4213" i="4"/>
  <c r="M4213" i="4"/>
  <c r="L4213" i="4"/>
  <c r="K4213" i="4"/>
  <c r="J4213" i="4"/>
  <c r="I4213" i="4"/>
  <c r="H4213" i="4"/>
  <c r="Q4212" i="4"/>
  <c r="P4212" i="4"/>
  <c r="O4212" i="4"/>
  <c r="N4212" i="4"/>
  <c r="M4212" i="4"/>
  <c r="L4212" i="4"/>
  <c r="K4212" i="4"/>
  <c r="J4212" i="4"/>
  <c r="I4212" i="4"/>
  <c r="H4212" i="4"/>
  <c r="Q4211" i="4"/>
  <c r="P4211" i="4"/>
  <c r="O4211" i="4"/>
  <c r="N4211" i="4"/>
  <c r="M4211" i="4"/>
  <c r="L4211" i="4"/>
  <c r="K4211" i="4"/>
  <c r="J4211" i="4"/>
  <c r="I4211" i="4"/>
  <c r="H4211" i="4"/>
  <c r="Q4210" i="4"/>
  <c r="P4210" i="4"/>
  <c r="O4210" i="4"/>
  <c r="N4210" i="4"/>
  <c r="M4210" i="4"/>
  <c r="L4210" i="4"/>
  <c r="K4210" i="4"/>
  <c r="J4210" i="4"/>
  <c r="I4210" i="4"/>
  <c r="H4210" i="4"/>
  <c r="Q4209" i="4"/>
  <c r="P4209" i="4"/>
  <c r="O4209" i="4"/>
  <c r="N4209" i="4"/>
  <c r="M4209" i="4"/>
  <c r="L4209" i="4"/>
  <c r="K4209" i="4"/>
  <c r="J4209" i="4"/>
  <c r="I4209" i="4"/>
  <c r="H4209" i="4"/>
  <c r="Q4208" i="4"/>
  <c r="P4208" i="4"/>
  <c r="O4208" i="4"/>
  <c r="N4208" i="4"/>
  <c r="M4208" i="4"/>
  <c r="L4208" i="4"/>
  <c r="K4208" i="4"/>
  <c r="J4208" i="4"/>
  <c r="I4208" i="4"/>
  <c r="H4208" i="4"/>
  <c r="Q4207" i="4"/>
  <c r="P4207" i="4"/>
  <c r="O4207" i="4"/>
  <c r="N4207" i="4"/>
  <c r="M4207" i="4"/>
  <c r="L4207" i="4"/>
  <c r="K4207" i="4"/>
  <c r="J4207" i="4"/>
  <c r="I4207" i="4"/>
  <c r="H4207" i="4"/>
  <c r="Q4206" i="4"/>
  <c r="P4206" i="4"/>
  <c r="O4206" i="4"/>
  <c r="N4206" i="4"/>
  <c r="M4206" i="4"/>
  <c r="L4206" i="4"/>
  <c r="K4206" i="4"/>
  <c r="J4206" i="4"/>
  <c r="I4206" i="4"/>
  <c r="H4206" i="4"/>
  <c r="Q4205" i="4"/>
  <c r="P4205" i="4"/>
  <c r="O4205" i="4"/>
  <c r="N4205" i="4"/>
  <c r="M4205" i="4"/>
  <c r="L4205" i="4"/>
  <c r="K4205" i="4"/>
  <c r="J4205" i="4"/>
  <c r="I4205" i="4"/>
  <c r="H4205" i="4"/>
  <c r="Q4204" i="4"/>
  <c r="P4204" i="4"/>
  <c r="O4204" i="4"/>
  <c r="N4204" i="4"/>
  <c r="M4204" i="4"/>
  <c r="L4204" i="4"/>
  <c r="K4204" i="4"/>
  <c r="J4204" i="4"/>
  <c r="I4204" i="4"/>
  <c r="H4204" i="4"/>
  <c r="Q4203" i="4"/>
  <c r="P4203" i="4"/>
  <c r="O4203" i="4"/>
  <c r="N4203" i="4"/>
  <c r="M4203" i="4"/>
  <c r="L4203" i="4"/>
  <c r="K4203" i="4"/>
  <c r="J4203" i="4"/>
  <c r="I4203" i="4"/>
  <c r="H4203" i="4"/>
  <c r="Q4202" i="4"/>
  <c r="P4202" i="4"/>
  <c r="O4202" i="4"/>
  <c r="N4202" i="4"/>
  <c r="M4202" i="4"/>
  <c r="L4202" i="4"/>
  <c r="K4202" i="4"/>
  <c r="J4202" i="4"/>
  <c r="I4202" i="4"/>
  <c r="H4202" i="4"/>
  <c r="Q4201" i="4"/>
  <c r="P4201" i="4"/>
  <c r="O4201" i="4"/>
  <c r="N4201" i="4"/>
  <c r="M4201" i="4"/>
  <c r="L4201" i="4"/>
  <c r="K4201" i="4"/>
  <c r="J4201" i="4"/>
  <c r="I4201" i="4"/>
  <c r="H4201" i="4"/>
  <c r="Q4200" i="4"/>
  <c r="P4200" i="4"/>
  <c r="O4200" i="4"/>
  <c r="N4200" i="4"/>
  <c r="M4200" i="4"/>
  <c r="L4200" i="4"/>
  <c r="K4200" i="4"/>
  <c r="J4200" i="4"/>
  <c r="I4200" i="4"/>
  <c r="H4200" i="4"/>
  <c r="Q4199" i="4"/>
  <c r="P4199" i="4"/>
  <c r="O4199" i="4"/>
  <c r="N4199" i="4"/>
  <c r="M4199" i="4"/>
  <c r="L4199" i="4"/>
  <c r="K4199" i="4"/>
  <c r="J4199" i="4"/>
  <c r="I4199" i="4"/>
  <c r="H4199" i="4"/>
  <c r="Q4198" i="4"/>
  <c r="P4198" i="4"/>
  <c r="O4198" i="4"/>
  <c r="N4198" i="4"/>
  <c r="M4198" i="4"/>
  <c r="L4198" i="4"/>
  <c r="K4198" i="4"/>
  <c r="J4198" i="4"/>
  <c r="I4198" i="4"/>
  <c r="H4198" i="4"/>
  <c r="Q4197" i="4"/>
  <c r="P4197" i="4"/>
  <c r="O4197" i="4"/>
  <c r="N4197" i="4"/>
  <c r="M4197" i="4"/>
  <c r="L4197" i="4"/>
  <c r="K4197" i="4"/>
  <c r="J4197" i="4"/>
  <c r="I4197" i="4"/>
  <c r="H4197" i="4"/>
  <c r="Q4196" i="4"/>
  <c r="P4196" i="4"/>
  <c r="O4196" i="4"/>
  <c r="N4196" i="4"/>
  <c r="M4196" i="4"/>
  <c r="L4196" i="4"/>
  <c r="K4196" i="4"/>
  <c r="J4196" i="4"/>
  <c r="I4196" i="4"/>
  <c r="H4196" i="4"/>
  <c r="Q4195" i="4"/>
  <c r="P4195" i="4"/>
  <c r="O4195" i="4"/>
  <c r="N4195" i="4"/>
  <c r="M4195" i="4"/>
  <c r="L4195" i="4"/>
  <c r="K4195" i="4"/>
  <c r="J4195" i="4"/>
  <c r="I4195" i="4"/>
  <c r="H4195" i="4"/>
  <c r="Q4194" i="4"/>
  <c r="P4194" i="4"/>
  <c r="O4194" i="4"/>
  <c r="N4194" i="4"/>
  <c r="M4194" i="4"/>
  <c r="L4194" i="4"/>
  <c r="K4194" i="4"/>
  <c r="J4194" i="4"/>
  <c r="I4194" i="4"/>
  <c r="H4194" i="4"/>
  <c r="Q4193" i="4"/>
  <c r="P4193" i="4"/>
  <c r="O4193" i="4"/>
  <c r="N4193" i="4"/>
  <c r="M4193" i="4"/>
  <c r="L4193" i="4"/>
  <c r="K4193" i="4"/>
  <c r="J4193" i="4"/>
  <c r="I4193" i="4"/>
  <c r="H4193" i="4"/>
  <c r="Q4192" i="4"/>
  <c r="P4192" i="4"/>
  <c r="O4192" i="4"/>
  <c r="N4192" i="4"/>
  <c r="M4192" i="4"/>
  <c r="L4192" i="4"/>
  <c r="K4192" i="4"/>
  <c r="J4192" i="4"/>
  <c r="I4192" i="4"/>
  <c r="H4192" i="4"/>
  <c r="Q4191" i="4"/>
  <c r="P4191" i="4"/>
  <c r="O4191" i="4"/>
  <c r="N4191" i="4"/>
  <c r="M4191" i="4"/>
  <c r="L4191" i="4"/>
  <c r="K4191" i="4"/>
  <c r="J4191" i="4"/>
  <c r="I4191" i="4"/>
  <c r="H4191" i="4"/>
  <c r="Q4190" i="4"/>
  <c r="P4190" i="4"/>
  <c r="O4190" i="4"/>
  <c r="N4190" i="4"/>
  <c r="M4190" i="4"/>
  <c r="L4190" i="4"/>
  <c r="K4190" i="4"/>
  <c r="J4190" i="4"/>
  <c r="I4190" i="4"/>
  <c r="H4190" i="4"/>
  <c r="Q4189" i="4"/>
  <c r="P4189" i="4"/>
  <c r="O4189" i="4"/>
  <c r="N4189" i="4"/>
  <c r="M4189" i="4"/>
  <c r="L4189" i="4"/>
  <c r="K4189" i="4"/>
  <c r="J4189" i="4"/>
  <c r="I4189" i="4"/>
  <c r="H4189" i="4"/>
  <c r="Q4188" i="4"/>
  <c r="P4188" i="4"/>
  <c r="O4188" i="4"/>
  <c r="N4188" i="4"/>
  <c r="M4188" i="4"/>
  <c r="L4188" i="4"/>
  <c r="K4188" i="4"/>
  <c r="J4188" i="4"/>
  <c r="I4188" i="4"/>
  <c r="H4188" i="4"/>
  <c r="Q4187" i="4"/>
  <c r="P4187" i="4"/>
  <c r="O4187" i="4"/>
  <c r="N4187" i="4"/>
  <c r="M4187" i="4"/>
  <c r="L4187" i="4"/>
  <c r="K4187" i="4"/>
  <c r="J4187" i="4"/>
  <c r="I4187" i="4"/>
  <c r="H4187" i="4"/>
  <c r="Q4186" i="4"/>
  <c r="P4186" i="4"/>
  <c r="O4186" i="4"/>
  <c r="N4186" i="4"/>
  <c r="M4186" i="4"/>
  <c r="L4186" i="4"/>
  <c r="K4186" i="4"/>
  <c r="J4186" i="4"/>
  <c r="I4186" i="4"/>
  <c r="H4186" i="4"/>
  <c r="Q4185" i="4"/>
  <c r="P4185" i="4"/>
  <c r="O4185" i="4"/>
  <c r="N4185" i="4"/>
  <c r="M4185" i="4"/>
  <c r="L4185" i="4"/>
  <c r="K4185" i="4"/>
  <c r="J4185" i="4"/>
  <c r="I4185" i="4"/>
  <c r="H4185" i="4"/>
  <c r="Q4184" i="4"/>
  <c r="P4184" i="4"/>
  <c r="O4184" i="4"/>
  <c r="N4184" i="4"/>
  <c r="M4184" i="4"/>
  <c r="L4184" i="4"/>
  <c r="K4184" i="4"/>
  <c r="J4184" i="4"/>
  <c r="I4184" i="4"/>
  <c r="H4184" i="4"/>
  <c r="Q4183" i="4"/>
  <c r="P4183" i="4"/>
  <c r="O4183" i="4"/>
  <c r="N4183" i="4"/>
  <c r="M4183" i="4"/>
  <c r="L4183" i="4"/>
  <c r="K4183" i="4"/>
  <c r="J4183" i="4"/>
  <c r="I4183" i="4"/>
  <c r="H4183" i="4"/>
  <c r="Q4182" i="4"/>
  <c r="P4182" i="4"/>
  <c r="O4182" i="4"/>
  <c r="N4182" i="4"/>
  <c r="M4182" i="4"/>
  <c r="L4182" i="4"/>
  <c r="K4182" i="4"/>
  <c r="J4182" i="4"/>
  <c r="I4182" i="4"/>
  <c r="H4182" i="4"/>
  <c r="Q4181" i="4"/>
  <c r="P4181" i="4"/>
  <c r="O4181" i="4"/>
  <c r="N4181" i="4"/>
  <c r="M4181" i="4"/>
  <c r="L4181" i="4"/>
  <c r="K4181" i="4"/>
  <c r="J4181" i="4"/>
  <c r="I4181" i="4"/>
  <c r="H4181" i="4"/>
  <c r="Q4180" i="4"/>
  <c r="P4180" i="4"/>
  <c r="O4180" i="4"/>
  <c r="N4180" i="4"/>
  <c r="M4180" i="4"/>
  <c r="L4180" i="4"/>
  <c r="K4180" i="4"/>
  <c r="J4180" i="4"/>
  <c r="I4180" i="4"/>
  <c r="H4180" i="4"/>
  <c r="Q4179" i="4"/>
  <c r="P4179" i="4"/>
  <c r="O4179" i="4"/>
  <c r="N4179" i="4"/>
  <c r="M4179" i="4"/>
  <c r="L4179" i="4"/>
  <c r="K4179" i="4"/>
  <c r="J4179" i="4"/>
  <c r="I4179" i="4"/>
  <c r="H4179" i="4"/>
  <c r="Q4178" i="4"/>
  <c r="P4178" i="4"/>
  <c r="O4178" i="4"/>
  <c r="N4178" i="4"/>
  <c r="M4178" i="4"/>
  <c r="L4178" i="4"/>
  <c r="K4178" i="4"/>
  <c r="J4178" i="4"/>
  <c r="I4178" i="4"/>
  <c r="H4178" i="4"/>
  <c r="Q4177" i="4"/>
  <c r="P4177" i="4"/>
  <c r="O4177" i="4"/>
  <c r="N4177" i="4"/>
  <c r="M4177" i="4"/>
  <c r="L4177" i="4"/>
  <c r="K4177" i="4"/>
  <c r="J4177" i="4"/>
  <c r="I4177" i="4"/>
  <c r="H4177" i="4"/>
  <c r="Q4176" i="4"/>
  <c r="P4176" i="4"/>
  <c r="O4176" i="4"/>
  <c r="N4176" i="4"/>
  <c r="M4176" i="4"/>
  <c r="L4176" i="4"/>
  <c r="K4176" i="4"/>
  <c r="J4176" i="4"/>
  <c r="I4176" i="4"/>
  <c r="H4176" i="4"/>
  <c r="Q4175" i="4"/>
  <c r="P4175" i="4"/>
  <c r="O4175" i="4"/>
  <c r="N4175" i="4"/>
  <c r="M4175" i="4"/>
  <c r="L4175" i="4"/>
  <c r="K4175" i="4"/>
  <c r="J4175" i="4"/>
  <c r="I4175" i="4"/>
  <c r="H4175" i="4"/>
  <c r="Q4174" i="4"/>
  <c r="P4174" i="4"/>
  <c r="O4174" i="4"/>
  <c r="N4174" i="4"/>
  <c r="M4174" i="4"/>
  <c r="L4174" i="4"/>
  <c r="K4174" i="4"/>
  <c r="J4174" i="4"/>
  <c r="I4174" i="4"/>
  <c r="H4174" i="4"/>
  <c r="Q4173" i="4"/>
  <c r="P4173" i="4"/>
  <c r="O4173" i="4"/>
  <c r="N4173" i="4"/>
  <c r="M4173" i="4"/>
  <c r="L4173" i="4"/>
  <c r="K4173" i="4"/>
  <c r="J4173" i="4"/>
  <c r="I4173" i="4"/>
  <c r="H4173" i="4"/>
  <c r="Q4172" i="4"/>
  <c r="P4172" i="4"/>
  <c r="O4172" i="4"/>
  <c r="N4172" i="4"/>
  <c r="M4172" i="4"/>
  <c r="L4172" i="4"/>
  <c r="K4172" i="4"/>
  <c r="J4172" i="4"/>
  <c r="I4172" i="4"/>
  <c r="H4172" i="4"/>
  <c r="Q4171" i="4"/>
  <c r="P4171" i="4"/>
  <c r="O4171" i="4"/>
  <c r="N4171" i="4"/>
  <c r="M4171" i="4"/>
  <c r="L4171" i="4"/>
  <c r="K4171" i="4"/>
  <c r="J4171" i="4"/>
  <c r="I4171" i="4"/>
  <c r="H4171" i="4"/>
  <c r="Q4170" i="4"/>
  <c r="P4170" i="4"/>
  <c r="O4170" i="4"/>
  <c r="N4170" i="4"/>
  <c r="M4170" i="4"/>
  <c r="L4170" i="4"/>
  <c r="K4170" i="4"/>
  <c r="J4170" i="4"/>
  <c r="I4170" i="4"/>
  <c r="H4170" i="4"/>
  <c r="Q4169" i="4"/>
  <c r="P4169" i="4"/>
  <c r="O4169" i="4"/>
  <c r="N4169" i="4"/>
  <c r="M4169" i="4"/>
  <c r="L4169" i="4"/>
  <c r="K4169" i="4"/>
  <c r="J4169" i="4"/>
  <c r="I4169" i="4"/>
  <c r="H4169" i="4"/>
  <c r="Q4168" i="4"/>
  <c r="P4168" i="4"/>
  <c r="O4168" i="4"/>
  <c r="N4168" i="4"/>
  <c r="M4168" i="4"/>
  <c r="L4168" i="4"/>
  <c r="K4168" i="4"/>
  <c r="J4168" i="4"/>
  <c r="I4168" i="4"/>
  <c r="H4168" i="4"/>
  <c r="Q4167" i="4"/>
  <c r="P4167" i="4"/>
  <c r="O4167" i="4"/>
  <c r="N4167" i="4"/>
  <c r="M4167" i="4"/>
  <c r="L4167" i="4"/>
  <c r="K4167" i="4"/>
  <c r="J4167" i="4"/>
  <c r="I4167" i="4"/>
  <c r="H4167" i="4"/>
  <c r="Q4166" i="4"/>
  <c r="P4166" i="4"/>
  <c r="O4166" i="4"/>
  <c r="N4166" i="4"/>
  <c r="M4166" i="4"/>
  <c r="L4166" i="4"/>
  <c r="K4166" i="4"/>
  <c r="J4166" i="4"/>
  <c r="I4166" i="4"/>
  <c r="H4166" i="4"/>
  <c r="Q4165" i="4"/>
  <c r="P4165" i="4"/>
  <c r="O4165" i="4"/>
  <c r="N4165" i="4"/>
  <c r="M4165" i="4"/>
  <c r="L4165" i="4"/>
  <c r="K4165" i="4"/>
  <c r="J4165" i="4"/>
  <c r="I4165" i="4"/>
  <c r="H4165" i="4"/>
  <c r="Q4164" i="4"/>
  <c r="P4164" i="4"/>
  <c r="O4164" i="4"/>
  <c r="N4164" i="4"/>
  <c r="M4164" i="4"/>
  <c r="L4164" i="4"/>
  <c r="K4164" i="4"/>
  <c r="J4164" i="4"/>
  <c r="I4164" i="4"/>
  <c r="H4164" i="4"/>
  <c r="Q4163" i="4"/>
  <c r="P4163" i="4"/>
  <c r="O4163" i="4"/>
  <c r="N4163" i="4"/>
  <c r="M4163" i="4"/>
  <c r="L4163" i="4"/>
  <c r="K4163" i="4"/>
  <c r="J4163" i="4"/>
  <c r="I4163" i="4"/>
  <c r="H4163" i="4"/>
  <c r="Q4162" i="4"/>
  <c r="P4162" i="4"/>
  <c r="O4162" i="4"/>
  <c r="N4162" i="4"/>
  <c r="M4162" i="4"/>
  <c r="L4162" i="4"/>
  <c r="K4162" i="4"/>
  <c r="J4162" i="4"/>
  <c r="I4162" i="4"/>
  <c r="H4162" i="4"/>
  <c r="Q4161" i="4"/>
  <c r="P4161" i="4"/>
  <c r="O4161" i="4"/>
  <c r="N4161" i="4"/>
  <c r="M4161" i="4"/>
  <c r="L4161" i="4"/>
  <c r="K4161" i="4"/>
  <c r="J4161" i="4"/>
  <c r="I4161" i="4"/>
  <c r="H4161" i="4"/>
  <c r="Q4160" i="4"/>
  <c r="P4160" i="4"/>
  <c r="O4160" i="4"/>
  <c r="N4160" i="4"/>
  <c r="M4160" i="4"/>
  <c r="L4160" i="4"/>
  <c r="K4160" i="4"/>
  <c r="J4160" i="4"/>
  <c r="I4160" i="4"/>
  <c r="H4160" i="4"/>
  <c r="Q4159" i="4"/>
  <c r="P4159" i="4"/>
  <c r="O4159" i="4"/>
  <c r="N4159" i="4"/>
  <c r="M4159" i="4"/>
  <c r="L4159" i="4"/>
  <c r="K4159" i="4"/>
  <c r="J4159" i="4"/>
  <c r="I4159" i="4"/>
  <c r="H4159" i="4"/>
  <c r="Q4158" i="4"/>
  <c r="P4158" i="4"/>
  <c r="O4158" i="4"/>
  <c r="N4158" i="4"/>
  <c r="M4158" i="4"/>
  <c r="L4158" i="4"/>
  <c r="K4158" i="4"/>
  <c r="J4158" i="4"/>
  <c r="I4158" i="4"/>
  <c r="H4158" i="4"/>
  <c r="Q4157" i="4"/>
  <c r="P4157" i="4"/>
  <c r="O4157" i="4"/>
  <c r="N4157" i="4"/>
  <c r="M4157" i="4"/>
  <c r="L4157" i="4"/>
  <c r="K4157" i="4"/>
  <c r="J4157" i="4"/>
  <c r="I4157" i="4"/>
  <c r="H4157" i="4"/>
  <c r="Q4156" i="4"/>
  <c r="P4156" i="4"/>
  <c r="O4156" i="4"/>
  <c r="N4156" i="4"/>
  <c r="M4156" i="4"/>
  <c r="L4156" i="4"/>
  <c r="K4156" i="4"/>
  <c r="J4156" i="4"/>
  <c r="I4156" i="4"/>
  <c r="H4156" i="4"/>
  <c r="Q4155" i="4"/>
  <c r="P4155" i="4"/>
  <c r="O4155" i="4"/>
  <c r="N4155" i="4"/>
  <c r="M4155" i="4"/>
  <c r="L4155" i="4"/>
  <c r="K4155" i="4"/>
  <c r="J4155" i="4"/>
  <c r="I4155" i="4"/>
  <c r="H4155" i="4"/>
  <c r="Q4154" i="4"/>
  <c r="P4154" i="4"/>
  <c r="O4154" i="4"/>
  <c r="N4154" i="4"/>
  <c r="M4154" i="4"/>
  <c r="L4154" i="4"/>
  <c r="K4154" i="4"/>
  <c r="J4154" i="4"/>
  <c r="I4154" i="4"/>
  <c r="H4154" i="4"/>
  <c r="Q4153" i="4"/>
  <c r="P4153" i="4"/>
  <c r="O4153" i="4"/>
  <c r="N4153" i="4"/>
  <c r="M4153" i="4"/>
  <c r="L4153" i="4"/>
  <c r="K4153" i="4"/>
  <c r="J4153" i="4"/>
  <c r="I4153" i="4"/>
  <c r="H4153" i="4"/>
  <c r="Q4152" i="4"/>
  <c r="P4152" i="4"/>
  <c r="O4152" i="4"/>
  <c r="N4152" i="4"/>
  <c r="M4152" i="4"/>
  <c r="L4152" i="4"/>
  <c r="K4152" i="4"/>
  <c r="J4152" i="4"/>
  <c r="I4152" i="4"/>
  <c r="H4152" i="4"/>
  <c r="Q4151" i="4"/>
  <c r="P4151" i="4"/>
  <c r="O4151" i="4"/>
  <c r="N4151" i="4"/>
  <c r="M4151" i="4"/>
  <c r="L4151" i="4"/>
  <c r="K4151" i="4"/>
  <c r="J4151" i="4"/>
  <c r="I4151" i="4"/>
  <c r="H4151" i="4"/>
  <c r="Q4150" i="4"/>
  <c r="P4150" i="4"/>
  <c r="O4150" i="4"/>
  <c r="N4150" i="4"/>
  <c r="M4150" i="4"/>
  <c r="L4150" i="4"/>
  <c r="K4150" i="4"/>
  <c r="J4150" i="4"/>
  <c r="I4150" i="4"/>
  <c r="H4150" i="4"/>
  <c r="Q4149" i="4"/>
  <c r="P4149" i="4"/>
  <c r="O4149" i="4"/>
  <c r="N4149" i="4"/>
  <c r="M4149" i="4"/>
  <c r="L4149" i="4"/>
  <c r="K4149" i="4"/>
  <c r="J4149" i="4"/>
  <c r="I4149" i="4"/>
  <c r="H4149" i="4"/>
  <c r="Q4148" i="4"/>
  <c r="P4148" i="4"/>
  <c r="O4148" i="4"/>
  <c r="N4148" i="4"/>
  <c r="M4148" i="4"/>
  <c r="L4148" i="4"/>
  <c r="K4148" i="4"/>
  <c r="J4148" i="4"/>
  <c r="I4148" i="4"/>
  <c r="H4148" i="4"/>
  <c r="Q4147" i="4"/>
  <c r="P4147" i="4"/>
  <c r="O4147" i="4"/>
  <c r="N4147" i="4"/>
  <c r="M4147" i="4"/>
  <c r="L4147" i="4"/>
  <c r="K4147" i="4"/>
  <c r="J4147" i="4"/>
  <c r="I4147" i="4"/>
  <c r="H4147" i="4"/>
  <c r="Q4146" i="4"/>
  <c r="P4146" i="4"/>
  <c r="O4146" i="4"/>
  <c r="N4146" i="4"/>
  <c r="M4146" i="4"/>
  <c r="L4146" i="4"/>
  <c r="K4146" i="4"/>
  <c r="J4146" i="4"/>
  <c r="I4146" i="4"/>
  <c r="H4146" i="4"/>
  <c r="Q4145" i="4"/>
  <c r="P4145" i="4"/>
  <c r="O4145" i="4"/>
  <c r="N4145" i="4"/>
  <c r="M4145" i="4"/>
  <c r="L4145" i="4"/>
  <c r="K4145" i="4"/>
  <c r="J4145" i="4"/>
  <c r="I4145" i="4"/>
  <c r="H4145" i="4"/>
  <c r="Q4144" i="4"/>
  <c r="P4144" i="4"/>
  <c r="O4144" i="4"/>
  <c r="N4144" i="4"/>
  <c r="M4144" i="4"/>
  <c r="L4144" i="4"/>
  <c r="K4144" i="4"/>
  <c r="J4144" i="4"/>
  <c r="I4144" i="4"/>
  <c r="H4144" i="4"/>
  <c r="Q4143" i="4"/>
  <c r="P4143" i="4"/>
  <c r="O4143" i="4"/>
  <c r="N4143" i="4"/>
  <c r="M4143" i="4"/>
  <c r="L4143" i="4"/>
  <c r="K4143" i="4"/>
  <c r="J4143" i="4"/>
  <c r="I4143" i="4"/>
  <c r="H4143" i="4"/>
  <c r="Q4142" i="4"/>
  <c r="P4142" i="4"/>
  <c r="O4142" i="4"/>
  <c r="N4142" i="4"/>
  <c r="M4142" i="4"/>
  <c r="L4142" i="4"/>
  <c r="K4142" i="4"/>
  <c r="J4142" i="4"/>
  <c r="I4142" i="4"/>
  <c r="H4142" i="4"/>
  <c r="Q4141" i="4"/>
  <c r="P4141" i="4"/>
  <c r="O4141" i="4"/>
  <c r="N4141" i="4"/>
  <c r="M4141" i="4"/>
  <c r="L4141" i="4"/>
  <c r="K4141" i="4"/>
  <c r="J4141" i="4"/>
  <c r="I4141" i="4"/>
  <c r="H4141" i="4"/>
  <c r="Q4140" i="4"/>
  <c r="P4140" i="4"/>
  <c r="O4140" i="4"/>
  <c r="N4140" i="4"/>
  <c r="M4140" i="4"/>
  <c r="L4140" i="4"/>
  <c r="K4140" i="4"/>
  <c r="J4140" i="4"/>
  <c r="I4140" i="4"/>
  <c r="H4140" i="4"/>
  <c r="Q4139" i="4"/>
  <c r="P4139" i="4"/>
  <c r="O4139" i="4"/>
  <c r="N4139" i="4"/>
  <c r="M4139" i="4"/>
  <c r="L4139" i="4"/>
  <c r="K4139" i="4"/>
  <c r="J4139" i="4"/>
  <c r="I4139" i="4"/>
  <c r="H4139" i="4"/>
  <c r="Q4138" i="4"/>
  <c r="P4138" i="4"/>
  <c r="O4138" i="4"/>
  <c r="N4138" i="4"/>
  <c r="M4138" i="4"/>
  <c r="L4138" i="4"/>
  <c r="K4138" i="4"/>
  <c r="J4138" i="4"/>
  <c r="I4138" i="4"/>
  <c r="H4138" i="4"/>
  <c r="Q4137" i="4"/>
  <c r="P4137" i="4"/>
  <c r="O4137" i="4"/>
  <c r="N4137" i="4"/>
  <c r="M4137" i="4"/>
  <c r="L4137" i="4"/>
  <c r="K4137" i="4"/>
  <c r="J4137" i="4"/>
  <c r="I4137" i="4"/>
  <c r="H4137" i="4"/>
  <c r="Q4136" i="4"/>
  <c r="P4136" i="4"/>
  <c r="O4136" i="4"/>
  <c r="N4136" i="4"/>
  <c r="M4136" i="4"/>
  <c r="L4136" i="4"/>
  <c r="K4136" i="4"/>
  <c r="J4136" i="4"/>
  <c r="I4136" i="4"/>
  <c r="H4136" i="4"/>
  <c r="Q4135" i="4"/>
  <c r="P4135" i="4"/>
  <c r="O4135" i="4"/>
  <c r="N4135" i="4"/>
  <c r="M4135" i="4"/>
  <c r="L4135" i="4"/>
  <c r="K4135" i="4"/>
  <c r="J4135" i="4"/>
  <c r="I4135" i="4"/>
  <c r="H4135" i="4"/>
  <c r="Q4134" i="4"/>
  <c r="P4134" i="4"/>
  <c r="O4134" i="4"/>
  <c r="N4134" i="4"/>
  <c r="M4134" i="4"/>
  <c r="L4134" i="4"/>
  <c r="K4134" i="4"/>
  <c r="J4134" i="4"/>
  <c r="I4134" i="4"/>
  <c r="H4134" i="4"/>
  <c r="Q4133" i="4"/>
  <c r="P4133" i="4"/>
  <c r="O4133" i="4"/>
  <c r="N4133" i="4"/>
  <c r="M4133" i="4"/>
  <c r="L4133" i="4"/>
  <c r="K4133" i="4"/>
  <c r="J4133" i="4"/>
  <c r="I4133" i="4"/>
  <c r="H4133" i="4"/>
  <c r="Q4132" i="4"/>
  <c r="P4132" i="4"/>
  <c r="O4132" i="4"/>
  <c r="N4132" i="4"/>
  <c r="M4132" i="4"/>
  <c r="L4132" i="4"/>
  <c r="K4132" i="4"/>
  <c r="J4132" i="4"/>
  <c r="I4132" i="4"/>
  <c r="H4132" i="4"/>
  <c r="Q4131" i="4"/>
  <c r="P4131" i="4"/>
  <c r="O4131" i="4"/>
  <c r="N4131" i="4"/>
  <c r="M4131" i="4"/>
  <c r="L4131" i="4"/>
  <c r="K4131" i="4"/>
  <c r="J4131" i="4"/>
  <c r="I4131" i="4"/>
  <c r="H4131" i="4"/>
  <c r="Q4130" i="4"/>
  <c r="P4130" i="4"/>
  <c r="O4130" i="4"/>
  <c r="N4130" i="4"/>
  <c r="M4130" i="4"/>
  <c r="L4130" i="4"/>
  <c r="K4130" i="4"/>
  <c r="J4130" i="4"/>
  <c r="I4130" i="4"/>
  <c r="H4130" i="4"/>
  <c r="Q4129" i="4"/>
  <c r="P4129" i="4"/>
  <c r="O4129" i="4"/>
  <c r="N4129" i="4"/>
  <c r="M4129" i="4"/>
  <c r="L4129" i="4"/>
  <c r="K4129" i="4"/>
  <c r="J4129" i="4"/>
  <c r="I4129" i="4"/>
  <c r="H4129" i="4"/>
  <c r="Q4128" i="4"/>
  <c r="P4128" i="4"/>
  <c r="O4128" i="4"/>
  <c r="N4128" i="4"/>
  <c r="M4128" i="4"/>
  <c r="L4128" i="4"/>
  <c r="K4128" i="4"/>
  <c r="J4128" i="4"/>
  <c r="I4128" i="4"/>
  <c r="H4128" i="4"/>
  <c r="Q4127" i="4"/>
  <c r="P4127" i="4"/>
  <c r="O4127" i="4"/>
  <c r="N4127" i="4"/>
  <c r="M4127" i="4"/>
  <c r="L4127" i="4"/>
  <c r="K4127" i="4"/>
  <c r="J4127" i="4"/>
  <c r="I4127" i="4"/>
  <c r="H4127" i="4"/>
  <c r="Q4126" i="4"/>
  <c r="P4126" i="4"/>
  <c r="O4126" i="4"/>
  <c r="N4126" i="4"/>
  <c r="M4126" i="4"/>
  <c r="L4126" i="4"/>
  <c r="K4126" i="4"/>
  <c r="J4126" i="4"/>
  <c r="I4126" i="4"/>
  <c r="H4126" i="4"/>
  <c r="Q4125" i="4"/>
  <c r="P4125" i="4"/>
  <c r="O4125" i="4"/>
  <c r="N4125" i="4"/>
  <c r="M4125" i="4"/>
  <c r="L4125" i="4"/>
  <c r="K4125" i="4"/>
  <c r="J4125" i="4"/>
  <c r="I4125" i="4"/>
  <c r="H4125" i="4"/>
  <c r="Q4124" i="4"/>
  <c r="P4124" i="4"/>
  <c r="O4124" i="4"/>
  <c r="N4124" i="4"/>
  <c r="M4124" i="4"/>
  <c r="L4124" i="4"/>
  <c r="K4124" i="4"/>
  <c r="J4124" i="4"/>
  <c r="I4124" i="4"/>
  <c r="H4124" i="4"/>
  <c r="Q4123" i="4"/>
  <c r="P4123" i="4"/>
  <c r="O4123" i="4"/>
  <c r="N4123" i="4"/>
  <c r="M4123" i="4"/>
  <c r="L4123" i="4"/>
  <c r="K4123" i="4"/>
  <c r="J4123" i="4"/>
  <c r="I4123" i="4"/>
  <c r="H4123" i="4"/>
  <c r="Q4122" i="4"/>
  <c r="P4122" i="4"/>
  <c r="O4122" i="4"/>
  <c r="N4122" i="4"/>
  <c r="M4122" i="4"/>
  <c r="L4122" i="4"/>
  <c r="K4122" i="4"/>
  <c r="J4122" i="4"/>
  <c r="I4122" i="4"/>
  <c r="H4122" i="4"/>
  <c r="Q4121" i="4"/>
  <c r="P4121" i="4"/>
  <c r="O4121" i="4"/>
  <c r="N4121" i="4"/>
  <c r="M4121" i="4"/>
  <c r="L4121" i="4"/>
  <c r="K4121" i="4"/>
  <c r="J4121" i="4"/>
  <c r="I4121" i="4"/>
  <c r="H4121" i="4"/>
  <c r="Q4120" i="4"/>
  <c r="P4120" i="4"/>
  <c r="O4120" i="4"/>
  <c r="N4120" i="4"/>
  <c r="M4120" i="4"/>
  <c r="L4120" i="4"/>
  <c r="K4120" i="4"/>
  <c r="J4120" i="4"/>
  <c r="I4120" i="4"/>
  <c r="H4120" i="4"/>
  <c r="Q4119" i="4"/>
  <c r="P4119" i="4"/>
  <c r="O4119" i="4"/>
  <c r="N4119" i="4"/>
  <c r="M4119" i="4"/>
  <c r="L4119" i="4"/>
  <c r="K4119" i="4"/>
  <c r="J4119" i="4"/>
  <c r="I4119" i="4"/>
  <c r="H4119" i="4"/>
  <c r="Q4118" i="4"/>
  <c r="P4118" i="4"/>
  <c r="O4118" i="4"/>
  <c r="N4118" i="4"/>
  <c r="M4118" i="4"/>
  <c r="L4118" i="4"/>
  <c r="K4118" i="4"/>
  <c r="J4118" i="4"/>
  <c r="I4118" i="4"/>
  <c r="H4118" i="4"/>
  <c r="Q4117" i="4"/>
  <c r="P4117" i="4"/>
  <c r="O4117" i="4"/>
  <c r="N4117" i="4"/>
  <c r="M4117" i="4"/>
  <c r="L4117" i="4"/>
  <c r="K4117" i="4"/>
  <c r="J4117" i="4"/>
  <c r="I4117" i="4"/>
  <c r="H4117" i="4"/>
  <c r="Q4116" i="4"/>
  <c r="P4116" i="4"/>
  <c r="O4116" i="4"/>
  <c r="N4116" i="4"/>
  <c r="M4116" i="4"/>
  <c r="L4116" i="4"/>
  <c r="K4116" i="4"/>
  <c r="J4116" i="4"/>
  <c r="I4116" i="4"/>
  <c r="H4116" i="4"/>
  <c r="Q4115" i="4"/>
  <c r="P4115" i="4"/>
  <c r="O4115" i="4"/>
  <c r="N4115" i="4"/>
  <c r="M4115" i="4"/>
  <c r="L4115" i="4"/>
  <c r="K4115" i="4"/>
  <c r="J4115" i="4"/>
  <c r="I4115" i="4"/>
  <c r="H4115" i="4"/>
  <c r="Q4114" i="4"/>
  <c r="P4114" i="4"/>
  <c r="O4114" i="4"/>
  <c r="N4114" i="4"/>
  <c r="M4114" i="4"/>
  <c r="L4114" i="4"/>
  <c r="K4114" i="4"/>
  <c r="J4114" i="4"/>
  <c r="I4114" i="4"/>
  <c r="H4114" i="4"/>
  <c r="Q4113" i="4"/>
  <c r="P4113" i="4"/>
  <c r="O4113" i="4"/>
  <c r="N4113" i="4"/>
  <c r="M4113" i="4"/>
  <c r="L4113" i="4"/>
  <c r="K4113" i="4"/>
  <c r="J4113" i="4"/>
  <c r="I4113" i="4"/>
  <c r="H4113" i="4"/>
  <c r="Q4112" i="4"/>
  <c r="P4112" i="4"/>
  <c r="O4112" i="4"/>
  <c r="N4112" i="4"/>
  <c r="M4112" i="4"/>
  <c r="L4112" i="4"/>
  <c r="K4112" i="4"/>
  <c r="J4112" i="4"/>
  <c r="I4112" i="4"/>
  <c r="H4112" i="4"/>
  <c r="Q4111" i="4"/>
  <c r="P4111" i="4"/>
  <c r="O4111" i="4"/>
  <c r="N4111" i="4"/>
  <c r="M4111" i="4"/>
  <c r="L4111" i="4"/>
  <c r="K4111" i="4"/>
  <c r="J4111" i="4"/>
  <c r="I4111" i="4"/>
  <c r="H4111" i="4"/>
  <c r="Q4110" i="4"/>
  <c r="P4110" i="4"/>
  <c r="O4110" i="4"/>
  <c r="N4110" i="4"/>
  <c r="M4110" i="4"/>
  <c r="L4110" i="4"/>
  <c r="K4110" i="4"/>
  <c r="J4110" i="4"/>
  <c r="I4110" i="4"/>
  <c r="H4110" i="4"/>
  <c r="Q4109" i="4"/>
  <c r="P4109" i="4"/>
  <c r="O4109" i="4"/>
  <c r="N4109" i="4"/>
  <c r="M4109" i="4"/>
  <c r="L4109" i="4"/>
  <c r="K4109" i="4"/>
  <c r="J4109" i="4"/>
  <c r="I4109" i="4"/>
  <c r="H4109" i="4"/>
  <c r="Q4108" i="4"/>
  <c r="P4108" i="4"/>
  <c r="O4108" i="4"/>
  <c r="N4108" i="4"/>
  <c r="M4108" i="4"/>
  <c r="L4108" i="4"/>
  <c r="K4108" i="4"/>
  <c r="J4108" i="4"/>
  <c r="I4108" i="4"/>
  <c r="H4108" i="4"/>
  <c r="Q4107" i="4"/>
  <c r="P4107" i="4"/>
  <c r="O4107" i="4"/>
  <c r="N4107" i="4"/>
  <c r="M4107" i="4"/>
  <c r="L4107" i="4"/>
  <c r="K4107" i="4"/>
  <c r="J4107" i="4"/>
  <c r="I4107" i="4"/>
  <c r="H4107" i="4"/>
  <c r="Q4106" i="4"/>
  <c r="P4106" i="4"/>
  <c r="O4106" i="4"/>
  <c r="N4106" i="4"/>
  <c r="M4106" i="4"/>
  <c r="L4106" i="4"/>
  <c r="K4106" i="4"/>
  <c r="J4106" i="4"/>
  <c r="I4106" i="4"/>
  <c r="H4106" i="4"/>
  <c r="Q4105" i="4"/>
  <c r="P4105" i="4"/>
  <c r="O4105" i="4"/>
  <c r="N4105" i="4"/>
  <c r="M4105" i="4"/>
  <c r="L4105" i="4"/>
  <c r="K4105" i="4"/>
  <c r="J4105" i="4"/>
  <c r="I4105" i="4"/>
  <c r="H4105" i="4"/>
  <c r="Q4104" i="4"/>
  <c r="P4104" i="4"/>
  <c r="O4104" i="4"/>
  <c r="N4104" i="4"/>
  <c r="M4104" i="4"/>
  <c r="L4104" i="4"/>
  <c r="K4104" i="4"/>
  <c r="J4104" i="4"/>
  <c r="I4104" i="4"/>
  <c r="H4104" i="4"/>
  <c r="Q4103" i="4"/>
  <c r="P4103" i="4"/>
  <c r="O4103" i="4"/>
  <c r="N4103" i="4"/>
  <c r="M4103" i="4"/>
  <c r="L4103" i="4"/>
  <c r="K4103" i="4"/>
  <c r="J4103" i="4"/>
  <c r="I4103" i="4"/>
  <c r="H4103" i="4"/>
  <c r="Q4102" i="4"/>
  <c r="P4102" i="4"/>
  <c r="O4102" i="4"/>
  <c r="N4102" i="4"/>
  <c r="M4102" i="4"/>
  <c r="L4102" i="4"/>
  <c r="K4102" i="4"/>
  <c r="J4102" i="4"/>
  <c r="I4102" i="4"/>
  <c r="H4102" i="4"/>
  <c r="Q4101" i="4"/>
  <c r="P4101" i="4"/>
  <c r="O4101" i="4"/>
  <c r="N4101" i="4"/>
  <c r="M4101" i="4"/>
  <c r="L4101" i="4"/>
  <c r="K4101" i="4"/>
  <c r="J4101" i="4"/>
  <c r="I4101" i="4"/>
  <c r="H4101" i="4"/>
  <c r="Q4100" i="4"/>
  <c r="P4100" i="4"/>
  <c r="O4100" i="4"/>
  <c r="N4100" i="4"/>
  <c r="M4100" i="4"/>
  <c r="L4100" i="4"/>
  <c r="K4100" i="4"/>
  <c r="J4100" i="4"/>
  <c r="I4100" i="4"/>
  <c r="H4100" i="4"/>
  <c r="Q4099" i="4"/>
  <c r="P4099" i="4"/>
  <c r="O4099" i="4"/>
  <c r="N4099" i="4"/>
  <c r="M4099" i="4"/>
  <c r="L4099" i="4"/>
  <c r="K4099" i="4"/>
  <c r="J4099" i="4"/>
  <c r="I4099" i="4"/>
  <c r="H4099" i="4"/>
  <c r="Q4098" i="4"/>
  <c r="P4098" i="4"/>
  <c r="O4098" i="4"/>
  <c r="N4098" i="4"/>
  <c r="M4098" i="4"/>
  <c r="L4098" i="4"/>
  <c r="K4098" i="4"/>
  <c r="J4098" i="4"/>
  <c r="I4098" i="4"/>
  <c r="H4098" i="4"/>
  <c r="Q4097" i="4"/>
  <c r="P4097" i="4"/>
  <c r="O4097" i="4"/>
  <c r="N4097" i="4"/>
  <c r="M4097" i="4"/>
  <c r="L4097" i="4"/>
  <c r="K4097" i="4"/>
  <c r="J4097" i="4"/>
  <c r="I4097" i="4"/>
  <c r="H4097" i="4"/>
  <c r="Q4096" i="4"/>
  <c r="P4096" i="4"/>
  <c r="O4096" i="4"/>
  <c r="N4096" i="4"/>
  <c r="M4096" i="4"/>
  <c r="L4096" i="4"/>
  <c r="K4096" i="4"/>
  <c r="J4096" i="4"/>
  <c r="I4096" i="4"/>
  <c r="H4096" i="4"/>
  <c r="Q4095" i="4"/>
  <c r="P4095" i="4"/>
  <c r="O4095" i="4"/>
  <c r="N4095" i="4"/>
  <c r="M4095" i="4"/>
  <c r="L4095" i="4"/>
  <c r="K4095" i="4"/>
  <c r="J4095" i="4"/>
  <c r="I4095" i="4"/>
  <c r="H4095" i="4"/>
  <c r="Q4094" i="4"/>
  <c r="P4094" i="4"/>
  <c r="O4094" i="4"/>
  <c r="N4094" i="4"/>
  <c r="M4094" i="4"/>
  <c r="L4094" i="4"/>
  <c r="K4094" i="4"/>
  <c r="J4094" i="4"/>
  <c r="I4094" i="4"/>
  <c r="H4094" i="4"/>
  <c r="Q4093" i="4"/>
  <c r="P4093" i="4"/>
  <c r="O4093" i="4"/>
  <c r="N4093" i="4"/>
  <c r="M4093" i="4"/>
  <c r="L4093" i="4"/>
  <c r="K4093" i="4"/>
  <c r="J4093" i="4"/>
  <c r="I4093" i="4"/>
  <c r="H4093" i="4"/>
  <c r="Q4092" i="4"/>
  <c r="P4092" i="4"/>
  <c r="O4092" i="4"/>
  <c r="N4092" i="4"/>
  <c r="M4092" i="4"/>
  <c r="L4092" i="4"/>
  <c r="K4092" i="4"/>
  <c r="J4092" i="4"/>
  <c r="I4092" i="4"/>
  <c r="H4092" i="4"/>
  <c r="Q4091" i="4"/>
  <c r="P4091" i="4"/>
  <c r="O4091" i="4"/>
  <c r="N4091" i="4"/>
  <c r="M4091" i="4"/>
  <c r="L4091" i="4"/>
  <c r="K4091" i="4"/>
  <c r="J4091" i="4"/>
  <c r="I4091" i="4"/>
  <c r="H4091" i="4"/>
  <c r="Q4090" i="4"/>
  <c r="P4090" i="4"/>
  <c r="O4090" i="4"/>
  <c r="N4090" i="4"/>
  <c r="M4090" i="4"/>
  <c r="L4090" i="4"/>
  <c r="K4090" i="4"/>
  <c r="J4090" i="4"/>
  <c r="I4090" i="4"/>
  <c r="H4090" i="4"/>
  <c r="Q4089" i="4"/>
  <c r="P4089" i="4"/>
  <c r="O4089" i="4"/>
  <c r="N4089" i="4"/>
  <c r="M4089" i="4"/>
  <c r="L4089" i="4"/>
  <c r="K4089" i="4"/>
  <c r="J4089" i="4"/>
  <c r="I4089" i="4"/>
  <c r="H4089" i="4"/>
  <c r="Q4088" i="4"/>
  <c r="P4088" i="4"/>
  <c r="O4088" i="4"/>
  <c r="N4088" i="4"/>
  <c r="M4088" i="4"/>
  <c r="L4088" i="4"/>
  <c r="K4088" i="4"/>
  <c r="J4088" i="4"/>
  <c r="I4088" i="4"/>
  <c r="H4088" i="4"/>
  <c r="Q4087" i="4"/>
  <c r="P4087" i="4"/>
  <c r="O4087" i="4"/>
  <c r="N4087" i="4"/>
  <c r="M4087" i="4"/>
  <c r="L4087" i="4"/>
  <c r="K4087" i="4"/>
  <c r="J4087" i="4"/>
  <c r="I4087" i="4"/>
  <c r="H4087" i="4"/>
  <c r="Q4086" i="4"/>
  <c r="P4086" i="4"/>
  <c r="O4086" i="4"/>
  <c r="N4086" i="4"/>
  <c r="M4086" i="4"/>
  <c r="L4086" i="4"/>
  <c r="K4086" i="4"/>
  <c r="J4086" i="4"/>
  <c r="I4086" i="4"/>
  <c r="H4086" i="4"/>
  <c r="Q4085" i="4"/>
  <c r="P4085" i="4"/>
  <c r="O4085" i="4"/>
  <c r="N4085" i="4"/>
  <c r="M4085" i="4"/>
  <c r="L4085" i="4"/>
  <c r="K4085" i="4"/>
  <c r="J4085" i="4"/>
  <c r="I4085" i="4"/>
  <c r="H4085" i="4"/>
  <c r="Q4084" i="4"/>
  <c r="P4084" i="4"/>
  <c r="O4084" i="4"/>
  <c r="N4084" i="4"/>
  <c r="M4084" i="4"/>
  <c r="L4084" i="4"/>
  <c r="K4084" i="4"/>
  <c r="J4084" i="4"/>
  <c r="I4084" i="4"/>
  <c r="H4084" i="4"/>
  <c r="Q4083" i="4"/>
  <c r="P4083" i="4"/>
  <c r="O4083" i="4"/>
  <c r="N4083" i="4"/>
  <c r="M4083" i="4"/>
  <c r="L4083" i="4"/>
  <c r="K4083" i="4"/>
  <c r="J4083" i="4"/>
  <c r="I4083" i="4"/>
  <c r="H4083" i="4"/>
  <c r="Q4082" i="4"/>
  <c r="P4082" i="4"/>
  <c r="O4082" i="4"/>
  <c r="N4082" i="4"/>
  <c r="M4082" i="4"/>
  <c r="L4082" i="4"/>
  <c r="K4082" i="4"/>
  <c r="J4082" i="4"/>
  <c r="I4082" i="4"/>
  <c r="H4082" i="4"/>
  <c r="Q4081" i="4"/>
  <c r="P4081" i="4"/>
  <c r="O4081" i="4"/>
  <c r="N4081" i="4"/>
  <c r="M4081" i="4"/>
  <c r="L4081" i="4"/>
  <c r="K4081" i="4"/>
  <c r="J4081" i="4"/>
  <c r="I4081" i="4"/>
  <c r="H4081" i="4"/>
  <c r="Q4080" i="4"/>
  <c r="P4080" i="4"/>
  <c r="O4080" i="4"/>
  <c r="N4080" i="4"/>
  <c r="M4080" i="4"/>
  <c r="L4080" i="4"/>
  <c r="K4080" i="4"/>
  <c r="J4080" i="4"/>
  <c r="I4080" i="4"/>
  <c r="H4080" i="4"/>
  <c r="Q4079" i="4"/>
  <c r="P4079" i="4"/>
  <c r="O4079" i="4"/>
  <c r="N4079" i="4"/>
  <c r="M4079" i="4"/>
  <c r="L4079" i="4"/>
  <c r="K4079" i="4"/>
  <c r="J4079" i="4"/>
  <c r="I4079" i="4"/>
  <c r="H4079" i="4"/>
  <c r="Q4078" i="4"/>
  <c r="P4078" i="4"/>
  <c r="O4078" i="4"/>
  <c r="N4078" i="4"/>
  <c r="M4078" i="4"/>
  <c r="L4078" i="4"/>
  <c r="K4078" i="4"/>
  <c r="J4078" i="4"/>
  <c r="I4078" i="4"/>
  <c r="H4078" i="4"/>
  <c r="Q4077" i="4"/>
  <c r="P4077" i="4"/>
  <c r="O4077" i="4"/>
  <c r="N4077" i="4"/>
  <c r="M4077" i="4"/>
  <c r="L4077" i="4"/>
  <c r="K4077" i="4"/>
  <c r="J4077" i="4"/>
  <c r="I4077" i="4"/>
  <c r="H4077" i="4"/>
  <c r="Q4076" i="4"/>
  <c r="P4076" i="4"/>
  <c r="O4076" i="4"/>
  <c r="N4076" i="4"/>
  <c r="M4076" i="4"/>
  <c r="L4076" i="4"/>
  <c r="K4076" i="4"/>
  <c r="J4076" i="4"/>
  <c r="I4076" i="4"/>
  <c r="H4076" i="4"/>
  <c r="Q4075" i="4"/>
  <c r="P4075" i="4"/>
  <c r="O4075" i="4"/>
  <c r="N4075" i="4"/>
  <c r="M4075" i="4"/>
  <c r="L4075" i="4"/>
  <c r="K4075" i="4"/>
  <c r="J4075" i="4"/>
  <c r="I4075" i="4"/>
  <c r="H4075" i="4"/>
  <c r="Q4074" i="4"/>
  <c r="P4074" i="4"/>
  <c r="O4074" i="4"/>
  <c r="N4074" i="4"/>
  <c r="M4074" i="4"/>
  <c r="L4074" i="4"/>
  <c r="K4074" i="4"/>
  <c r="J4074" i="4"/>
  <c r="I4074" i="4"/>
  <c r="H4074" i="4"/>
  <c r="Q4073" i="4"/>
  <c r="P4073" i="4"/>
  <c r="O4073" i="4"/>
  <c r="N4073" i="4"/>
  <c r="M4073" i="4"/>
  <c r="L4073" i="4"/>
  <c r="K4073" i="4"/>
  <c r="J4073" i="4"/>
  <c r="I4073" i="4"/>
  <c r="H4073" i="4"/>
  <c r="Q4072" i="4"/>
  <c r="P4072" i="4"/>
  <c r="O4072" i="4"/>
  <c r="N4072" i="4"/>
  <c r="M4072" i="4"/>
  <c r="L4072" i="4"/>
  <c r="K4072" i="4"/>
  <c r="J4072" i="4"/>
  <c r="I4072" i="4"/>
  <c r="H4072" i="4"/>
  <c r="Q4071" i="4"/>
  <c r="P4071" i="4"/>
  <c r="O4071" i="4"/>
  <c r="N4071" i="4"/>
  <c r="M4071" i="4"/>
  <c r="L4071" i="4"/>
  <c r="K4071" i="4"/>
  <c r="J4071" i="4"/>
  <c r="I4071" i="4"/>
  <c r="H4071" i="4"/>
  <c r="Q4070" i="4"/>
  <c r="P4070" i="4"/>
  <c r="O4070" i="4"/>
  <c r="N4070" i="4"/>
  <c r="M4070" i="4"/>
  <c r="L4070" i="4"/>
  <c r="K4070" i="4"/>
  <c r="J4070" i="4"/>
  <c r="I4070" i="4"/>
  <c r="H4070" i="4"/>
  <c r="Q4069" i="4"/>
  <c r="P4069" i="4"/>
  <c r="O4069" i="4"/>
  <c r="N4069" i="4"/>
  <c r="M4069" i="4"/>
  <c r="L4069" i="4"/>
  <c r="K4069" i="4"/>
  <c r="J4069" i="4"/>
  <c r="I4069" i="4"/>
  <c r="H4069" i="4"/>
  <c r="Q4068" i="4"/>
  <c r="P4068" i="4"/>
  <c r="O4068" i="4"/>
  <c r="N4068" i="4"/>
  <c r="M4068" i="4"/>
  <c r="L4068" i="4"/>
  <c r="K4068" i="4"/>
  <c r="J4068" i="4"/>
  <c r="I4068" i="4"/>
  <c r="H4068" i="4"/>
  <c r="Q4067" i="4"/>
  <c r="P4067" i="4"/>
  <c r="O4067" i="4"/>
  <c r="N4067" i="4"/>
  <c r="M4067" i="4"/>
  <c r="L4067" i="4"/>
  <c r="K4067" i="4"/>
  <c r="J4067" i="4"/>
  <c r="I4067" i="4"/>
  <c r="H4067" i="4"/>
  <c r="Q4066" i="4"/>
  <c r="P4066" i="4"/>
  <c r="O4066" i="4"/>
  <c r="N4066" i="4"/>
  <c r="M4066" i="4"/>
  <c r="L4066" i="4"/>
  <c r="K4066" i="4"/>
  <c r="J4066" i="4"/>
  <c r="I4066" i="4"/>
  <c r="H4066" i="4"/>
  <c r="Q4065" i="4"/>
  <c r="P4065" i="4"/>
  <c r="O4065" i="4"/>
  <c r="N4065" i="4"/>
  <c r="M4065" i="4"/>
  <c r="L4065" i="4"/>
  <c r="K4065" i="4"/>
  <c r="J4065" i="4"/>
  <c r="I4065" i="4"/>
  <c r="H4065" i="4"/>
  <c r="Q4064" i="4"/>
  <c r="P4064" i="4"/>
  <c r="O4064" i="4"/>
  <c r="N4064" i="4"/>
  <c r="M4064" i="4"/>
  <c r="L4064" i="4"/>
  <c r="K4064" i="4"/>
  <c r="J4064" i="4"/>
  <c r="I4064" i="4"/>
  <c r="H4064" i="4"/>
  <c r="Q4063" i="4"/>
  <c r="P4063" i="4"/>
  <c r="O4063" i="4"/>
  <c r="N4063" i="4"/>
  <c r="M4063" i="4"/>
  <c r="L4063" i="4"/>
  <c r="K4063" i="4"/>
  <c r="J4063" i="4"/>
  <c r="I4063" i="4"/>
  <c r="H4063" i="4"/>
  <c r="Q4062" i="4"/>
  <c r="P4062" i="4"/>
  <c r="O4062" i="4"/>
  <c r="N4062" i="4"/>
  <c r="M4062" i="4"/>
  <c r="L4062" i="4"/>
  <c r="K4062" i="4"/>
  <c r="J4062" i="4"/>
  <c r="I4062" i="4"/>
  <c r="H4062" i="4"/>
  <c r="Q4061" i="4"/>
  <c r="P4061" i="4"/>
  <c r="O4061" i="4"/>
  <c r="N4061" i="4"/>
  <c r="M4061" i="4"/>
  <c r="L4061" i="4"/>
  <c r="K4061" i="4"/>
  <c r="J4061" i="4"/>
  <c r="I4061" i="4"/>
  <c r="H4061" i="4"/>
  <c r="Q4060" i="4"/>
  <c r="P4060" i="4"/>
  <c r="O4060" i="4"/>
  <c r="N4060" i="4"/>
  <c r="M4060" i="4"/>
  <c r="L4060" i="4"/>
  <c r="K4060" i="4"/>
  <c r="J4060" i="4"/>
  <c r="I4060" i="4"/>
  <c r="H4060" i="4"/>
  <c r="Q4059" i="4"/>
  <c r="P4059" i="4"/>
  <c r="O4059" i="4"/>
  <c r="N4059" i="4"/>
  <c r="M4059" i="4"/>
  <c r="L4059" i="4"/>
  <c r="K4059" i="4"/>
  <c r="J4059" i="4"/>
  <c r="I4059" i="4"/>
  <c r="H4059" i="4"/>
  <c r="Q4058" i="4"/>
  <c r="P4058" i="4"/>
  <c r="O4058" i="4"/>
  <c r="N4058" i="4"/>
  <c r="M4058" i="4"/>
  <c r="L4058" i="4"/>
  <c r="K4058" i="4"/>
  <c r="J4058" i="4"/>
  <c r="I4058" i="4"/>
  <c r="H4058" i="4"/>
  <c r="Q4057" i="4"/>
  <c r="P4057" i="4"/>
  <c r="O4057" i="4"/>
  <c r="N4057" i="4"/>
  <c r="M4057" i="4"/>
  <c r="L4057" i="4"/>
  <c r="K4057" i="4"/>
  <c r="J4057" i="4"/>
  <c r="I4057" i="4"/>
  <c r="H4057" i="4"/>
  <c r="Q4056" i="4"/>
  <c r="P4056" i="4"/>
  <c r="O4056" i="4"/>
  <c r="N4056" i="4"/>
  <c r="M4056" i="4"/>
  <c r="L4056" i="4"/>
  <c r="K4056" i="4"/>
  <c r="J4056" i="4"/>
  <c r="I4056" i="4"/>
  <c r="H4056" i="4"/>
  <c r="Q4055" i="4"/>
  <c r="P4055" i="4"/>
  <c r="O4055" i="4"/>
  <c r="N4055" i="4"/>
  <c r="M4055" i="4"/>
  <c r="L4055" i="4"/>
  <c r="K4055" i="4"/>
  <c r="J4055" i="4"/>
  <c r="I4055" i="4"/>
  <c r="H4055" i="4"/>
  <c r="Q4054" i="4"/>
  <c r="P4054" i="4"/>
  <c r="O4054" i="4"/>
  <c r="N4054" i="4"/>
  <c r="M4054" i="4"/>
  <c r="L4054" i="4"/>
  <c r="K4054" i="4"/>
  <c r="J4054" i="4"/>
  <c r="I4054" i="4"/>
  <c r="H4054" i="4"/>
  <c r="Q4053" i="4"/>
  <c r="P4053" i="4"/>
  <c r="O4053" i="4"/>
  <c r="N4053" i="4"/>
  <c r="M4053" i="4"/>
  <c r="L4053" i="4"/>
  <c r="K4053" i="4"/>
  <c r="J4053" i="4"/>
  <c r="I4053" i="4"/>
  <c r="H4053" i="4"/>
  <c r="Q4052" i="4"/>
  <c r="P4052" i="4"/>
  <c r="O4052" i="4"/>
  <c r="N4052" i="4"/>
  <c r="M4052" i="4"/>
  <c r="L4052" i="4"/>
  <c r="K4052" i="4"/>
  <c r="J4052" i="4"/>
  <c r="I4052" i="4"/>
  <c r="H4052" i="4"/>
  <c r="Q4051" i="4"/>
  <c r="P4051" i="4"/>
  <c r="O4051" i="4"/>
  <c r="N4051" i="4"/>
  <c r="M4051" i="4"/>
  <c r="L4051" i="4"/>
  <c r="K4051" i="4"/>
  <c r="J4051" i="4"/>
  <c r="I4051" i="4"/>
  <c r="H4051" i="4"/>
  <c r="Q4050" i="4"/>
  <c r="P4050" i="4"/>
  <c r="O4050" i="4"/>
  <c r="N4050" i="4"/>
  <c r="M4050" i="4"/>
  <c r="L4050" i="4"/>
  <c r="K4050" i="4"/>
  <c r="J4050" i="4"/>
  <c r="I4050" i="4"/>
  <c r="H4050" i="4"/>
  <c r="Q4049" i="4"/>
  <c r="P4049" i="4"/>
  <c r="O4049" i="4"/>
  <c r="N4049" i="4"/>
  <c r="M4049" i="4"/>
  <c r="L4049" i="4"/>
  <c r="K4049" i="4"/>
  <c r="J4049" i="4"/>
  <c r="I4049" i="4"/>
  <c r="H4049" i="4"/>
  <c r="Q4048" i="4"/>
  <c r="P4048" i="4"/>
  <c r="O4048" i="4"/>
  <c r="N4048" i="4"/>
  <c r="M4048" i="4"/>
  <c r="L4048" i="4"/>
  <c r="K4048" i="4"/>
  <c r="J4048" i="4"/>
  <c r="I4048" i="4"/>
  <c r="H4048" i="4"/>
  <c r="Q4047" i="4"/>
  <c r="P4047" i="4"/>
  <c r="O4047" i="4"/>
  <c r="N4047" i="4"/>
  <c r="M4047" i="4"/>
  <c r="L4047" i="4"/>
  <c r="K4047" i="4"/>
  <c r="J4047" i="4"/>
  <c r="I4047" i="4"/>
  <c r="H4047" i="4"/>
  <c r="Q4046" i="4"/>
  <c r="P4046" i="4"/>
  <c r="O4046" i="4"/>
  <c r="N4046" i="4"/>
  <c r="M4046" i="4"/>
  <c r="L4046" i="4"/>
  <c r="K4046" i="4"/>
  <c r="J4046" i="4"/>
  <c r="I4046" i="4"/>
  <c r="H4046" i="4"/>
  <c r="Q4045" i="4"/>
  <c r="P4045" i="4"/>
  <c r="O4045" i="4"/>
  <c r="N4045" i="4"/>
  <c r="M4045" i="4"/>
  <c r="L4045" i="4"/>
  <c r="K4045" i="4"/>
  <c r="J4045" i="4"/>
  <c r="I4045" i="4"/>
  <c r="H4045" i="4"/>
  <c r="Q4044" i="4"/>
  <c r="P4044" i="4"/>
  <c r="O4044" i="4"/>
  <c r="N4044" i="4"/>
  <c r="M4044" i="4"/>
  <c r="L4044" i="4"/>
  <c r="K4044" i="4"/>
  <c r="J4044" i="4"/>
  <c r="I4044" i="4"/>
  <c r="H4044" i="4"/>
  <c r="Q4043" i="4"/>
  <c r="P4043" i="4"/>
  <c r="O4043" i="4"/>
  <c r="N4043" i="4"/>
  <c r="M4043" i="4"/>
  <c r="L4043" i="4"/>
  <c r="K4043" i="4"/>
  <c r="J4043" i="4"/>
  <c r="I4043" i="4"/>
  <c r="H4043" i="4"/>
  <c r="Q4042" i="4"/>
  <c r="P4042" i="4"/>
  <c r="O4042" i="4"/>
  <c r="N4042" i="4"/>
  <c r="M4042" i="4"/>
  <c r="L4042" i="4"/>
  <c r="K4042" i="4"/>
  <c r="J4042" i="4"/>
  <c r="I4042" i="4"/>
  <c r="H4042" i="4"/>
  <c r="Q4041" i="4"/>
  <c r="P4041" i="4"/>
  <c r="O4041" i="4"/>
  <c r="N4041" i="4"/>
  <c r="M4041" i="4"/>
  <c r="L4041" i="4"/>
  <c r="K4041" i="4"/>
  <c r="J4041" i="4"/>
  <c r="I4041" i="4"/>
  <c r="H4041" i="4"/>
  <c r="Q4040" i="4"/>
  <c r="P4040" i="4"/>
  <c r="O4040" i="4"/>
  <c r="N4040" i="4"/>
  <c r="M4040" i="4"/>
  <c r="L4040" i="4"/>
  <c r="K4040" i="4"/>
  <c r="J4040" i="4"/>
  <c r="I4040" i="4"/>
  <c r="H4040" i="4"/>
  <c r="Q4039" i="4"/>
  <c r="P4039" i="4"/>
  <c r="O4039" i="4"/>
  <c r="N4039" i="4"/>
  <c r="M4039" i="4"/>
  <c r="L4039" i="4"/>
  <c r="K4039" i="4"/>
  <c r="J4039" i="4"/>
  <c r="I4039" i="4"/>
  <c r="H4039" i="4"/>
  <c r="Q4038" i="4"/>
  <c r="P4038" i="4"/>
  <c r="O4038" i="4"/>
  <c r="N4038" i="4"/>
  <c r="M4038" i="4"/>
  <c r="L4038" i="4"/>
  <c r="K4038" i="4"/>
  <c r="J4038" i="4"/>
  <c r="I4038" i="4"/>
  <c r="H4038" i="4"/>
  <c r="Q4037" i="4"/>
  <c r="P4037" i="4"/>
  <c r="O4037" i="4"/>
  <c r="N4037" i="4"/>
  <c r="M4037" i="4"/>
  <c r="L4037" i="4"/>
  <c r="K4037" i="4"/>
  <c r="J4037" i="4"/>
  <c r="I4037" i="4"/>
  <c r="H4037" i="4"/>
  <c r="Q4036" i="4"/>
  <c r="P4036" i="4"/>
  <c r="O4036" i="4"/>
  <c r="N4036" i="4"/>
  <c r="M4036" i="4"/>
  <c r="L4036" i="4"/>
  <c r="K4036" i="4"/>
  <c r="J4036" i="4"/>
  <c r="I4036" i="4"/>
  <c r="H4036" i="4"/>
  <c r="Q4035" i="4"/>
  <c r="P4035" i="4"/>
  <c r="O4035" i="4"/>
  <c r="N4035" i="4"/>
  <c r="M4035" i="4"/>
  <c r="L4035" i="4"/>
  <c r="K4035" i="4"/>
  <c r="J4035" i="4"/>
  <c r="I4035" i="4"/>
  <c r="H4035" i="4"/>
  <c r="Q4034" i="4"/>
  <c r="P4034" i="4"/>
  <c r="O4034" i="4"/>
  <c r="N4034" i="4"/>
  <c r="M4034" i="4"/>
  <c r="L4034" i="4"/>
  <c r="K4034" i="4"/>
  <c r="J4034" i="4"/>
  <c r="I4034" i="4"/>
  <c r="H4034" i="4"/>
  <c r="Q4033" i="4"/>
  <c r="P4033" i="4"/>
  <c r="O4033" i="4"/>
  <c r="N4033" i="4"/>
  <c r="M4033" i="4"/>
  <c r="L4033" i="4"/>
  <c r="K4033" i="4"/>
  <c r="J4033" i="4"/>
  <c r="I4033" i="4"/>
  <c r="H4033" i="4"/>
  <c r="Q4032" i="4"/>
  <c r="P4032" i="4"/>
  <c r="O4032" i="4"/>
  <c r="N4032" i="4"/>
  <c r="M4032" i="4"/>
  <c r="L4032" i="4"/>
  <c r="K4032" i="4"/>
  <c r="J4032" i="4"/>
  <c r="I4032" i="4"/>
  <c r="H4032" i="4"/>
  <c r="Q4031" i="4"/>
  <c r="P4031" i="4"/>
  <c r="O4031" i="4"/>
  <c r="N4031" i="4"/>
  <c r="M4031" i="4"/>
  <c r="L4031" i="4"/>
  <c r="K4031" i="4"/>
  <c r="J4031" i="4"/>
  <c r="I4031" i="4"/>
  <c r="H4031" i="4"/>
  <c r="Q4030" i="4"/>
  <c r="P4030" i="4"/>
  <c r="O4030" i="4"/>
  <c r="N4030" i="4"/>
  <c r="M4030" i="4"/>
  <c r="L4030" i="4"/>
  <c r="K4030" i="4"/>
  <c r="J4030" i="4"/>
  <c r="I4030" i="4"/>
  <c r="H4030" i="4"/>
  <c r="Q4029" i="4"/>
  <c r="P4029" i="4"/>
  <c r="O4029" i="4"/>
  <c r="N4029" i="4"/>
  <c r="M4029" i="4"/>
  <c r="L4029" i="4"/>
  <c r="K4029" i="4"/>
  <c r="J4029" i="4"/>
  <c r="I4029" i="4"/>
  <c r="H4029" i="4"/>
  <c r="Q4028" i="4"/>
  <c r="P4028" i="4"/>
  <c r="O4028" i="4"/>
  <c r="N4028" i="4"/>
  <c r="M4028" i="4"/>
  <c r="L4028" i="4"/>
  <c r="K4028" i="4"/>
  <c r="J4028" i="4"/>
  <c r="I4028" i="4"/>
  <c r="H4028" i="4"/>
  <c r="Q4027" i="4"/>
  <c r="P4027" i="4"/>
  <c r="O4027" i="4"/>
  <c r="N4027" i="4"/>
  <c r="M4027" i="4"/>
  <c r="L4027" i="4"/>
  <c r="K4027" i="4"/>
  <c r="J4027" i="4"/>
  <c r="I4027" i="4"/>
  <c r="H4027" i="4"/>
  <c r="Q4026" i="4"/>
  <c r="P4026" i="4"/>
  <c r="O4026" i="4"/>
  <c r="N4026" i="4"/>
  <c r="M4026" i="4"/>
  <c r="L4026" i="4"/>
  <c r="K4026" i="4"/>
  <c r="J4026" i="4"/>
  <c r="I4026" i="4"/>
  <c r="H4026" i="4"/>
  <c r="Q4025" i="4"/>
  <c r="P4025" i="4"/>
  <c r="O4025" i="4"/>
  <c r="N4025" i="4"/>
  <c r="M4025" i="4"/>
  <c r="L4025" i="4"/>
  <c r="K4025" i="4"/>
  <c r="J4025" i="4"/>
  <c r="I4025" i="4"/>
  <c r="H4025" i="4"/>
  <c r="Q4024" i="4"/>
  <c r="P4024" i="4"/>
  <c r="O4024" i="4"/>
  <c r="N4024" i="4"/>
  <c r="M4024" i="4"/>
  <c r="L4024" i="4"/>
  <c r="K4024" i="4"/>
  <c r="J4024" i="4"/>
  <c r="I4024" i="4"/>
  <c r="H4024" i="4"/>
  <c r="Q4023" i="4"/>
  <c r="P4023" i="4"/>
  <c r="O4023" i="4"/>
  <c r="N4023" i="4"/>
  <c r="M4023" i="4"/>
  <c r="L4023" i="4"/>
  <c r="K4023" i="4"/>
  <c r="J4023" i="4"/>
  <c r="I4023" i="4"/>
  <c r="H4023" i="4"/>
  <c r="Q4022" i="4"/>
  <c r="P4022" i="4"/>
  <c r="O4022" i="4"/>
  <c r="N4022" i="4"/>
  <c r="M4022" i="4"/>
  <c r="L4022" i="4"/>
  <c r="K4022" i="4"/>
  <c r="J4022" i="4"/>
  <c r="I4022" i="4"/>
  <c r="H4022" i="4"/>
  <c r="Q4021" i="4"/>
  <c r="P4021" i="4"/>
  <c r="O4021" i="4"/>
  <c r="N4021" i="4"/>
  <c r="M4021" i="4"/>
  <c r="L4021" i="4"/>
  <c r="K4021" i="4"/>
  <c r="J4021" i="4"/>
  <c r="I4021" i="4"/>
  <c r="H4021" i="4"/>
  <c r="Q4020" i="4"/>
  <c r="P4020" i="4"/>
  <c r="O4020" i="4"/>
  <c r="N4020" i="4"/>
  <c r="M4020" i="4"/>
  <c r="L4020" i="4"/>
  <c r="K4020" i="4"/>
  <c r="J4020" i="4"/>
  <c r="I4020" i="4"/>
  <c r="H4020" i="4"/>
  <c r="Q4019" i="4"/>
  <c r="P4019" i="4"/>
  <c r="O4019" i="4"/>
  <c r="N4019" i="4"/>
  <c r="M4019" i="4"/>
  <c r="L4019" i="4"/>
  <c r="K4019" i="4"/>
  <c r="J4019" i="4"/>
  <c r="I4019" i="4"/>
  <c r="H4019" i="4"/>
  <c r="Q4018" i="4"/>
  <c r="P4018" i="4"/>
  <c r="O4018" i="4"/>
  <c r="N4018" i="4"/>
  <c r="M4018" i="4"/>
  <c r="L4018" i="4"/>
  <c r="K4018" i="4"/>
  <c r="J4018" i="4"/>
  <c r="I4018" i="4"/>
  <c r="H4018" i="4"/>
  <c r="Q4017" i="4"/>
  <c r="P4017" i="4"/>
  <c r="O4017" i="4"/>
  <c r="N4017" i="4"/>
  <c r="M4017" i="4"/>
  <c r="L4017" i="4"/>
  <c r="K4017" i="4"/>
  <c r="J4017" i="4"/>
  <c r="I4017" i="4"/>
  <c r="H4017" i="4"/>
  <c r="Q4016" i="4"/>
  <c r="P4016" i="4"/>
  <c r="O4016" i="4"/>
  <c r="N4016" i="4"/>
  <c r="M4016" i="4"/>
  <c r="L4016" i="4"/>
  <c r="K4016" i="4"/>
  <c r="J4016" i="4"/>
  <c r="I4016" i="4"/>
  <c r="H4016" i="4"/>
  <c r="Q4015" i="4"/>
  <c r="P4015" i="4"/>
  <c r="O4015" i="4"/>
  <c r="N4015" i="4"/>
  <c r="M4015" i="4"/>
  <c r="L4015" i="4"/>
  <c r="K4015" i="4"/>
  <c r="J4015" i="4"/>
  <c r="I4015" i="4"/>
  <c r="H4015" i="4"/>
  <c r="Q4014" i="4"/>
  <c r="P4014" i="4"/>
  <c r="O4014" i="4"/>
  <c r="N4014" i="4"/>
  <c r="M4014" i="4"/>
  <c r="L4014" i="4"/>
  <c r="K4014" i="4"/>
  <c r="J4014" i="4"/>
  <c r="I4014" i="4"/>
  <c r="H4014" i="4"/>
  <c r="Q4013" i="4"/>
  <c r="P4013" i="4"/>
  <c r="O4013" i="4"/>
  <c r="N4013" i="4"/>
  <c r="M4013" i="4"/>
  <c r="L4013" i="4"/>
  <c r="K4013" i="4"/>
  <c r="J4013" i="4"/>
  <c r="I4013" i="4"/>
  <c r="H4013" i="4"/>
  <c r="Q4012" i="4"/>
  <c r="P4012" i="4"/>
  <c r="O4012" i="4"/>
  <c r="N4012" i="4"/>
  <c r="M4012" i="4"/>
  <c r="L4012" i="4"/>
  <c r="K4012" i="4"/>
  <c r="J4012" i="4"/>
  <c r="I4012" i="4"/>
  <c r="H4012" i="4"/>
  <c r="Q4011" i="4"/>
  <c r="P4011" i="4"/>
  <c r="O4011" i="4"/>
  <c r="N4011" i="4"/>
  <c r="M4011" i="4"/>
  <c r="L4011" i="4"/>
  <c r="K4011" i="4"/>
  <c r="J4011" i="4"/>
  <c r="I4011" i="4"/>
  <c r="H4011" i="4"/>
  <c r="Q4010" i="4"/>
  <c r="P4010" i="4"/>
  <c r="O4010" i="4"/>
  <c r="N4010" i="4"/>
  <c r="M4010" i="4"/>
  <c r="L4010" i="4"/>
  <c r="K4010" i="4"/>
  <c r="J4010" i="4"/>
  <c r="I4010" i="4"/>
  <c r="H4010" i="4"/>
  <c r="Q4009" i="4"/>
  <c r="P4009" i="4"/>
  <c r="O4009" i="4"/>
  <c r="N4009" i="4"/>
  <c r="M4009" i="4"/>
  <c r="L4009" i="4"/>
  <c r="K4009" i="4"/>
  <c r="J4009" i="4"/>
  <c r="I4009" i="4"/>
  <c r="H4009" i="4"/>
  <c r="Q4008" i="4"/>
  <c r="P4008" i="4"/>
  <c r="O4008" i="4"/>
  <c r="N4008" i="4"/>
  <c r="M4008" i="4"/>
  <c r="L4008" i="4"/>
  <c r="K4008" i="4"/>
  <c r="J4008" i="4"/>
  <c r="I4008" i="4"/>
  <c r="H4008" i="4"/>
  <c r="Q4007" i="4"/>
  <c r="P4007" i="4"/>
  <c r="O4007" i="4"/>
  <c r="N4007" i="4"/>
  <c r="M4007" i="4"/>
  <c r="L4007" i="4"/>
  <c r="K4007" i="4"/>
  <c r="J4007" i="4"/>
  <c r="I4007" i="4"/>
  <c r="H4007" i="4"/>
  <c r="Q4006" i="4"/>
  <c r="P4006" i="4"/>
  <c r="O4006" i="4"/>
  <c r="N4006" i="4"/>
  <c r="M4006" i="4"/>
  <c r="L4006" i="4"/>
  <c r="K4006" i="4"/>
  <c r="J4006" i="4"/>
  <c r="I4006" i="4"/>
  <c r="H4006" i="4"/>
  <c r="Q4005" i="4"/>
  <c r="P4005" i="4"/>
  <c r="O4005" i="4"/>
  <c r="N4005" i="4"/>
  <c r="M4005" i="4"/>
  <c r="L4005" i="4"/>
  <c r="K4005" i="4"/>
  <c r="J4005" i="4"/>
  <c r="I4005" i="4"/>
  <c r="H4005" i="4"/>
  <c r="Q4004" i="4"/>
  <c r="P4004" i="4"/>
  <c r="O4004" i="4"/>
  <c r="N4004" i="4"/>
  <c r="M4004" i="4"/>
  <c r="L4004" i="4"/>
  <c r="K4004" i="4"/>
  <c r="J4004" i="4"/>
  <c r="I4004" i="4"/>
  <c r="H4004" i="4"/>
  <c r="Q4003" i="4"/>
  <c r="P4003" i="4"/>
  <c r="O4003" i="4"/>
  <c r="N4003" i="4"/>
  <c r="M4003" i="4"/>
  <c r="L4003" i="4"/>
  <c r="K4003" i="4"/>
  <c r="J4003" i="4"/>
  <c r="I4003" i="4"/>
  <c r="H4003" i="4"/>
  <c r="Q4002" i="4"/>
  <c r="P4002" i="4"/>
  <c r="O4002" i="4"/>
  <c r="N4002" i="4"/>
  <c r="M4002" i="4"/>
  <c r="L4002" i="4"/>
  <c r="K4002" i="4"/>
  <c r="J4002" i="4"/>
  <c r="I4002" i="4"/>
  <c r="H4002" i="4"/>
  <c r="Q4001" i="4"/>
  <c r="P4001" i="4"/>
  <c r="O4001" i="4"/>
  <c r="N4001" i="4"/>
  <c r="M4001" i="4"/>
  <c r="L4001" i="4"/>
  <c r="K4001" i="4"/>
  <c r="J4001" i="4"/>
  <c r="I4001" i="4"/>
  <c r="H4001" i="4"/>
  <c r="Q4000" i="4"/>
  <c r="P4000" i="4"/>
  <c r="O4000" i="4"/>
  <c r="N4000" i="4"/>
  <c r="M4000" i="4"/>
  <c r="L4000" i="4"/>
  <c r="K4000" i="4"/>
  <c r="J4000" i="4"/>
  <c r="I4000" i="4"/>
  <c r="H4000" i="4"/>
  <c r="Q3999" i="4"/>
  <c r="P3999" i="4"/>
  <c r="O3999" i="4"/>
  <c r="N3999" i="4"/>
  <c r="M3999" i="4"/>
  <c r="L3999" i="4"/>
  <c r="K3999" i="4"/>
  <c r="J3999" i="4"/>
  <c r="I3999" i="4"/>
  <c r="H3999" i="4"/>
  <c r="Q3998" i="4"/>
  <c r="P3998" i="4"/>
  <c r="O3998" i="4"/>
  <c r="N3998" i="4"/>
  <c r="M3998" i="4"/>
  <c r="L3998" i="4"/>
  <c r="K3998" i="4"/>
  <c r="J3998" i="4"/>
  <c r="I3998" i="4"/>
  <c r="H3998" i="4"/>
  <c r="Q3997" i="4"/>
  <c r="P3997" i="4"/>
  <c r="O3997" i="4"/>
  <c r="N3997" i="4"/>
  <c r="M3997" i="4"/>
  <c r="L3997" i="4"/>
  <c r="K3997" i="4"/>
  <c r="J3997" i="4"/>
  <c r="I3997" i="4"/>
  <c r="H3997" i="4"/>
  <c r="Q3996" i="4"/>
  <c r="P3996" i="4"/>
  <c r="O3996" i="4"/>
  <c r="N3996" i="4"/>
  <c r="M3996" i="4"/>
  <c r="L3996" i="4"/>
  <c r="K3996" i="4"/>
  <c r="J3996" i="4"/>
  <c r="I3996" i="4"/>
  <c r="H3996" i="4"/>
  <c r="Q3995" i="4"/>
  <c r="P3995" i="4"/>
  <c r="O3995" i="4"/>
  <c r="N3995" i="4"/>
  <c r="M3995" i="4"/>
  <c r="L3995" i="4"/>
  <c r="K3995" i="4"/>
  <c r="J3995" i="4"/>
  <c r="I3995" i="4"/>
  <c r="H3995" i="4"/>
  <c r="Q3994" i="4"/>
  <c r="P3994" i="4"/>
  <c r="O3994" i="4"/>
  <c r="N3994" i="4"/>
  <c r="M3994" i="4"/>
  <c r="L3994" i="4"/>
  <c r="K3994" i="4"/>
  <c r="J3994" i="4"/>
  <c r="I3994" i="4"/>
  <c r="H3994" i="4"/>
  <c r="Q3993" i="4"/>
  <c r="P3993" i="4"/>
  <c r="O3993" i="4"/>
  <c r="N3993" i="4"/>
  <c r="M3993" i="4"/>
  <c r="L3993" i="4"/>
  <c r="K3993" i="4"/>
  <c r="J3993" i="4"/>
  <c r="I3993" i="4"/>
  <c r="H3993" i="4"/>
  <c r="Q3992" i="4"/>
  <c r="P3992" i="4"/>
  <c r="O3992" i="4"/>
  <c r="N3992" i="4"/>
  <c r="M3992" i="4"/>
  <c r="L3992" i="4"/>
  <c r="K3992" i="4"/>
  <c r="J3992" i="4"/>
  <c r="I3992" i="4"/>
  <c r="H3992" i="4"/>
  <c r="Q3991" i="4"/>
  <c r="P3991" i="4"/>
  <c r="O3991" i="4"/>
  <c r="N3991" i="4"/>
  <c r="M3991" i="4"/>
  <c r="L3991" i="4"/>
  <c r="K3991" i="4"/>
  <c r="J3991" i="4"/>
  <c r="I3991" i="4"/>
  <c r="H3991" i="4"/>
  <c r="Q3990" i="4"/>
  <c r="P3990" i="4"/>
  <c r="O3990" i="4"/>
  <c r="N3990" i="4"/>
  <c r="M3990" i="4"/>
  <c r="L3990" i="4"/>
  <c r="K3990" i="4"/>
  <c r="J3990" i="4"/>
  <c r="I3990" i="4"/>
  <c r="H3990" i="4"/>
  <c r="Q3989" i="4"/>
  <c r="P3989" i="4"/>
  <c r="O3989" i="4"/>
  <c r="N3989" i="4"/>
  <c r="M3989" i="4"/>
  <c r="L3989" i="4"/>
  <c r="K3989" i="4"/>
  <c r="J3989" i="4"/>
  <c r="I3989" i="4"/>
  <c r="H3989" i="4"/>
  <c r="Q3988" i="4"/>
  <c r="P3988" i="4"/>
  <c r="O3988" i="4"/>
  <c r="N3988" i="4"/>
  <c r="M3988" i="4"/>
  <c r="L3988" i="4"/>
  <c r="K3988" i="4"/>
  <c r="J3988" i="4"/>
  <c r="I3988" i="4"/>
  <c r="H3988" i="4"/>
  <c r="Q3987" i="4"/>
  <c r="P3987" i="4"/>
  <c r="O3987" i="4"/>
  <c r="N3987" i="4"/>
  <c r="M3987" i="4"/>
  <c r="L3987" i="4"/>
  <c r="K3987" i="4"/>
  <c r="J3987" i="4"/>
  <c r="I3987" i="4"/>
  <c r="H3987" i="4"/>
  <c r="Q3986" i="4"/>
  <c r="P3986" i="4"/>
  <c r="O3986" i="4"/>
  <c r="N3986" i="4"/>
  <c r="M3986" i="4"/>
  <c r="L3986" i="4"/>
  <c r="K3986" i="4"/>
  <c r="J3986" i="4"/>
  <c r="I3986" i="4"/>
  <c r="H3986" i="4"/>
  <c r="Q3985" i="4"/>
  <c r="P3985" i="4"/>
  <c r="O3985" i="4"/>
  <c r="N3985" i="4"/>
  <c r="M3985" i="4"/>
  <c r="L3985" i="4"/>
  <c r="K3985" i="4"/>
  <c r="J3985" i="4"/>
  <c r="I3985" i="4"/>
  <c r="H3985" i="4"/>
  <c r="Q3984" i="4"/>
  <c r="P3984" i="4"/>
  <c r="O3984" i="4"/>
  <c r="N3984" i="4"/>
  <c r="M3984" i="4"/>
  <c r="L3984" i="4"/>
  <c r="K3984" i="4"/>
  <c r="J3984" i="4"/>
  <c r="I3984" i="4"/>
  <c r="H3984" i="4"/>
  <c r="Q3983" i="4"/>
  <c r="P3983" i="4"/>
  <c r="O3983" i="4"/>
  <c r="N3983" i="4"/>
  <c r="M3983" i="4"/>
  <c r="L3983" i="4"/>
  <c r="K3983" i="4"/>
  <c r="J3983" i="4"/>
  <c r="I3983" i="4"/>
  <c r="H3983" i="4"/>
  <c r="Q3982" i="4"/>
  <c r="P3982" i="4"/>
  <c r="O3982" i="4"/>
  <c r="N3982" i="4"/>
  <c r="M3982" i="4"/>
  <c r="L3982" i="4"/>
  <c r="K3982" i="4"/>
  <c r="J3982" i="4"/>
  <c r="I3982" i="4"/>
  <c r="H3982" i="4"/>
  <c r="Q3981" i="4"/>
  <c r="P3981" i="4"/>
  <c r="O3981" i="4"/>
  <c r="N3981" i="4"/>
  <c r="M3981" i="4"/>
  <c r="L3981" i="4"/>
  <c r="K3981" i="4"/>
  <c r="J3981" i="4"/>
  <c r="I3981" i="4"/>
  <c r="H3981" i="4"/>
  <c r="Q3980" i="4"/>
  <c r="P3980" i="4"/>
  <c r="O3980" i="4"/>
  <c r="N3980" i="4"/>
  <c r="M3980" i="4"/>
  <c r="L3980" i="4"/>
  <c r="K3980" i="4"/>
  <c r="J3980" i="4"/>
  <c r="I3980" i="4"/>
  <c r="H3980" i="4"/>
  <c r="Q3979" i="4"/>
  <c r="P3979" i="4"/>
  <c r="O3979" i="4"/>
  <c r="N3979" i="4"/>
  <c r="M3979" i="4"/>
  <c r="L3979" i="4"/>
  <c r="K3979" i="4"/>
  <c r="J3979" i="4"/>
  <c r="I3979" i="4"/>
  <c r="H3979" i="4"/>
  <c r="Q3978" i="4"/>
  <c r="P3978" i="4"/>
  <c r="O3978" i="4"/>
  <c r="N3978" i="4"/>
  <c r="M3978" i="4"/>
  <c r="L3978" i="4"/>
  <c r="K3978" i="4"/>
  <c r="J3978" i="4"/>
  <c r="I3978" i="4"/>
  <c r="H3978" i="4"/>
  <c r="Q3977" i="4"/>
  <c r="P3977" i="4"/>
  <c r="O3977" i="4"/>
  <c r="N3977" i="4"/>
  <c r="M3977" i="4"/>
  <c r="L3977" i="4"/>
  <c r="K3977" i="4"/>
  <c r="J3977" i="4"/>
  <c r="I3977" i="4"/>
  <c r="H3977" i="4"/>
  <c r="Q3976" i="4"/>
  <c r="P3976" i="4"/>
  <c r="O3976" i="4"/>
  <c r="N3976" i="4"/>
  <c r="M3976" i="4"/>
  <c r="L3976" i="4"/>
  <c r="K3976" i="4"/>
  <c r="J3976" i="4"/>
  <c r="I3976" i="4"/>
  <c r="H3976" i="4"/>
  <c r="Q3975" i="4"/>
  <c r="P3975" i="4"/>
  <c r="O3975" i="4"/>
  <c r="N3975" i="4"/>
  <c r="M3975" i="4"/>
  <c r="L3975" i="4"/>
  <c r="K3975" i="4"/>
  <c r="J3975" i="4"/>
  <c r="I3975" i="4"/>
  <c r="H3975" i="4"/>
  <c r="Q3974" i="4"/>
  <c r="P3974" i="4"/>
  <c r="O3974" i="4"/>
  <c r="N3974" i="4"/>
  <c r="M3974" i="4"/>
  <c r="L3974" i="4"/>
  <c r="K3974" i="4"/>
  <c r="J3974" i="4"/>
  <c r="I3974" i="4"/>
  <c r="H3974" i="4"/>
  <c r="Q3973" i="4"/>
  <c r="P3973" i="4"/>
  <c r="O3973" i="4"/>
  <c r="N3973" i="4"/>
  <c r="M3973" i="4"/>
  <c r="L3973" i="4"/>
  <c r="K3973" i="4"/>
  <c r="J3973" i="4"/>
  <c r="I3973" i="4"/>
  <c r="H3973" i="4"/>
  <c r="Q3972" i="4"/>
  <c r="P3972" i="4"/>
  <c r="O3972" i="4"/>
  <c r="N3972" i="4"/>
  <c r="M3972" i="4"/>
  <c r="L3972" i="4"/>
  <c r="K3972" i="4"/>
  <c r="J3972" i="4"/>
  <c r="I3972" i="4"/>
  <c r="H3972" i="4"/>
  <c r="Q3971" i="4"/>
  <c r="P3971" i="4"/>
  <c r="O3971" i="4"/>
  <c r="N3971" i="4"/>
  <c r="M3971" i="4"/>
  <c r="L3971" i="4"/>
  <c r="K3971" i="4"/>
  <c r="J3971" i="4"/>
  <c r="I3971" i="4"/>
  <c r="H3971" i="4"/>
  <c r="Q3970" i="4"/>
  <c r="P3970" i="4"/>
  <c r="O3970" i="4"/>
  <c r="N3970" i="4"/>
  <c r="M3970" i="4"/>
  <c r="L3970" i="4"/>
  <c r="K3970" i="4"/>
  <c r="J3970" i="4"/>
  <c r="I3970" i="4"/>
  <c r="H3970" i="4"/>
  <c r="Q3969" i="4"/>
  <c r="P3969" i="4"/>
  <c r="O3969" i="4"/>
  <c r="N3969" i="4"/>
  <c r="M3969" i="4"/>
  <c r="L3969" i="4"/>
  <c r="K3969" i="4"/>
  <c r="J3969" i="4"/>
  <c r="I3969" i="4"/>
  <c r="H3969" i="4"/>
  <c r="Q3968" i="4"/>
  <c r="P3968" i="4"/>
  <c r="O3968" i="4"/>
  <c r="N3968" i="4"/>
  <c r="M3968" i="4"/>
  <c r="L3968" i="4"/>
  <c r="K3968" i="4"/>
  <c r="J3968" i="4"/>
  <c r="I3968" i="4"/>
  <c r="H3968" i="4"/>
  <c r="Q3967" i="4"/>
  <c r="P3967" i="4"/>
  <c r="O3967" i="4"/>
  <c r="N3967" i="4"/>
  <c r="M3967" i="4"/>
  <c r="L3967" i="4"/>
  <c r="K3967" i="4"/>
  <c r="J3967" i="4"/>
  <c r="I3967" i="4"/>
  <c r="H3967" i="4"/>
  <c r="Q3966" i="4"/>
  <c r="P3966" i="4"/>
  <c r="O3966" i="4"/>
  <c r="N3966" i="4"/>
  <c r="M3966" i="4"/>
  <c r="L3966" i="4"/>
  <c r="K3966" i="4"/>
  <c r="J3966" i="4"/>
  <c r="I3966" i="4"/>
  <c r="H3966" i="4"/>
  <c r="Q3965" i="4"/>
  <c r="P3965" i="4"/>
  <c r="O3965" i="4"/>
  <c r="N3965" i="4"/>
  <c r="M3965" i="4"/>
  <c r="L3965" i="4"/>
  <c r="K3965" i="4"/>
  <c r="J3965" i="4"/>
  <c r="I3965" i="4"/>
  <c r="H3965" i="4"/>
  <c r="Q3964" i="4"/>
  <c r="P3964" i="4"/>
  <c r="O3964" i="4"/>
  <c r="N3964" i="4"/>
  <c r="M3964" i="4"/>
  <c r="L3964" i="4"/>
  <c r="K3964" i="4"/>
  <c r="J3964" i="4"/>
  <c r="I3964" i="4"/>
  <c r="H3964" i="4"/>
  <c r="Q3963" i="4"/>
  <c r="P3963" i="4"/>
  <c r="O3963" i="4"/>
  <c r="N3963" i="4"/>
  <c r="M3963" i="4"/>
  <c r="L3963" i="4"/>
  <c r="K3963" i="4"/>
  <c r="J3963" i="4"/>
  <c r="I3963" i="4"/>
  <c r="H3963" i="4"/>
  <c r="Q3962" i="4"/>
  <c r="P3962" i="4"/>
  <c r="O3962" i="4"/>
  <c r="N3962" i="4"/>
  <c r="M3962" i="4"/>
  <c r="L3962" i="4"/>
  <c r="K3962" i="4"/>
  <c r="J3962" i="4"/>
  <c r="I3962" i="4"/>
  <c r="H3962" i="4"/>
  <c r="Q3961" i="4"/>
  <c r="P3961" i="4"/>
  <c r="O3961" i="4"/>
  <c r="N3961" i="4"/>
  <c r="M3961" i="4"/>
  <c r="L3961" i="4"/>
  <c r="K3961" i="4"/>
  <c r="J3961" i="4"/>
  <c r="I3961" i="4"/>
  <c r="H3961" i="4"/>
  <c r="Q3960" i="4"/>
  <c r="P3960" i="4"/>
  <c r="O3960" i="4"/>
  <c r="N3960" i="4"/>
  <c r="M3960" i="4"/>
  <c r="L3960" i="4"/>
  <c r="K3960" i="4"/>
  <c r="J3960" i="4"/>
  <c r="I3960" i="4"/>
  <c r="H3960" i="4"/>
  <c r="Q3959" i="4"/>
  <c r="P3959" i="4"/>
  <c r="O3959" i="4"/>
  <c r="N3959" i="4"/>
  <c r="M3959" i="4"/>
  <c r="L3959" i="4"/>
  <c r="K3959" i="4"/>
  <c r="J3959" i="4"/>
  <c r="I3959" i="4"/>
  <c r="H3959" i="4"/>
  <c r="Q3958" i="4"/>
  <c r="P3958" i="4"/>
  <c r="O3958" i="4"/>
  <c r="N3958" i="4"/>
  <c r="M3958" i="4"/>
  <c r="L3958" i="4"/>
  <c r="K3958" i="4"/>
  <c r="J3958" i="4"/>
  <c r="I3958" i="4"/>
  <c r="H3958" i="4"/>
  <c r="Q3957" i="4"/>
  <c r="P3957" i="4"/>
  <c r="O3957" i="4"/>
  <c r="N3957" i="4"/>
  <c r="M3957" i="4"/>
  <c r="L3957" i="4"/>
  <c r="K3957" i="4"/>
  <c r="J3957" i="4"/>
  <c r="I3957" i="4"/>
  <c r="H3957" i="4"/>
  <c r="Q3956" i="4"/>
  <c r="P3956" i="4"/>
  <c r="O3956" i="4"/>
  <c r="N3956" i="4"/>
  <c r="M3956" i="4"/>
  <c r="L3956" i="4"/>
  <c r="K3956" i="4"/>
  <c r="J3956" i="4"/>
  <c r="I3956" i="4"/>
  <c r="H3956" i="4"/>
  <c r="Q3955" i="4"/>
  <c r="P3955" i="4"/>
  <c r="O3955" i="4"/>
  <c r="N3955" i="4"/>
  <c r="M3955" i="4"/>
  <c r="L3955" i="4"/>
  <c r="K3955" i="4"/>
  <c r="J3955" i="4"/>
  <c r="I3955" i="4"/>
  <c r="H3955" i="4"/>
  <c r="Q3954" i="4"/>
  <c r="P3954" i="4"/>
  <c r="O3954" i="4"/>
  <c r="N3954" i="4"/>
  <c r="M3954" i="4"/>
  <c r="L3954" i="4"/>
  <c r="K3954" i="4"/>
  <c r="J3954" i="4"/>
  <c r="I3954" i="4"/>
  <c r="H3954" i="4"/>
  <c r="Q3953" i="4"/>
  <c r="P3953" i="4"/>
  <c r="O3953" i="4"/>
  <c r="N3953" i="4"/>
  <c r="M3953" i="4"/>
  <c r="L3953" i="4"/>
  <c r="K3953" i="4"/>
  <c r="J3953" i="4"/>
  <c r="I3953" i="4"/>
  <c r="H3953" i="4"/>
  <c r="Q3952" i="4"/>
  <c r="P3952" i="4"/>
  <c r="O3952" i="4"/>
  <c r="N3952" i="4"/>
  <c r="M3952" i="4"/>
  <c r="L3952" i="4"/>
  <c r="K3952" i="4"/>
  <c r="J3952" i="4"/>
  <c r="I3952" i="4"/>
  <c r="H3952" i="4"/>
  <c r="Q3951" i="4"/>
  <c r="P3951" i="4"/>
  <c r="O3951" i="4"/>
  <c r="N3951" i="4"/>
  <c r="M3951" i="4"/>
  <c r="L3951" i="4"/>
  <c r="K3951" i="4"/>
  <c r="J3951" i="4"/>
  <c r="I3951" i="4"/>
  <c r="H3951" i="4"/>
  <c r="Q3950" i="4"/>
  <c r="P3950" i="4"/>
  <c r="O3950" i="4"/>
  <c r="N3950" i="4"/>
  <c r="M3950" i="4"/>
  <c r="L3950" i="4"/>
  <c r="K3950" i="4"/>
  <c r="J3950" i="4"/>
  <c r="I3950" i="4"/>
  <c r="H3950" i="4"/>
  <c r="Q3949" i="4"/>
  <c r="P3949" i="4"/>
  <c r="O3949" i="4"/>
  <c r="N3949" i="4"/>
  <c r="M3949" i="4"/>
  <c r="L3949" i="4"/>
  <c r="K3949" i="4"/>
  <c r="J3949" i="4"/>
  <c r="I3949" i="4"/>
  <c r="H3949" i="4"/>
  <c r="Q3948" i="4"/>
  <c r="P3948" i="4"/>
  <c r="O3948" i="4"/>
  <c r="N3948" i="4"/>
  <c r="M3948" i="4"/>
  <c r="L3948" i="4"/>
  <c r="K3948" i="4"/>
  <c r="J3948" i="4"/>
  <c r="I3948" i="4"/>
  <c r="H3948" i="4"/>
  <c r="Q3947" i="4"/>
  <c r="P3947" i="4"/>
  <c r="O3947" i="4"/>
  <c r="N3947" i="4"/>
  <c r="M3947" i="4"/>
  <c r="L3947" i="4"/>
  <c r="K3947" i="4"/>
  <c r="J3947" i="4"/>
  <c r="I3947" i="4"/>
  <c r="H3947" i="4"/>
  <c r="Q3946" i="4"/>
  <c r="P3946" i="4"/>
  <c r="O3946" i="4"/>
  <c r="N3946" i="4"/>
  <c r="M3946" i="4"/>
  <c r="L3946" i="4"/>
  <c r="K3946" i="4"/>
  <c r="J3946" i="4"/>
  <c r="I3946" i="4"/>
  <c r="H3946" i="4"/>
  <c r="Q3945" i="4"/>
  <c r="P3945" i="4"/>
  <c r="O3945" i="4"/>
  <c r="N3945" i="4"/>
  <c r="M3945" i="4"/>
  <c r="L3945" i="4"/>
  <c r="K3945" i="4"/>
  <c r="J3945" i="4"/>
  <c r="I3945" i="4"/>
  <c r="H3945" i="4"/>
  <c r="Q3944" i="4"/>
  <c r="P3944" i="4"/>
  <c r="O3944" i="4"/>
  <c r="N3944" i="4"/>
  <c r="M3944" i="4"/>
  <c r="L3944" i="4"/>
  <c r="K3944" i="4"/>
  <c r="J3944" i="4"/>
  <c r="I3944" i="4"/>
  <c r="H3944" i="4"/>
  <c r="Q3943" i="4"/>
  <c r="P3943" i="4"/>
  <c r="O3943" i="4"/>
  <c r="N3943" i="4"/>
  <c r="M3943" i="4"/>
  <c r="L3943" i="4"/>
  <c r="K3943" i="4"/>
  <c r="J3943" i="4"/>
  <c r="I3943" i="4"/>
  <c r="H3943" i="4"/>
  <c r="Q3942" i="4"/>
  <c r="P3942" i="4"/>
  <c r="O3942" i="4"/>
  <c r="N3942" i="4"/>
  <c r="M3942" i="4"/>
  <c r="L3942" i="4"/>
  <c r="K3942" i="4"/>
  <c r="J3942" i="4"/>
  <c r="I3942" i="4"/>
  <c r="H3942" i="4"/>
  <c r="Q3941" i="4"/>
  <c r="P3941" i="4"/>
  <c r="O3941" i="4"/>
  <c r="N3941" i="4"/>
  <c r="M3941" i="4"/>
  <c r="L3941" i="4"/>
  <c r="K3941" i="4"/>
  <c r="J3941" i="4"/>
  <c r="I3941" i="4"/>
  <c r="H3941" i="4"/>
  <c r="Q3940" i="4"/>
  <c r="P3940" i="4"/>
  <c r="O3940" i="4"/>
  <c r="N3940" i="4"/>
  <c r="M3940" i="4"/>
  <c r="L3940" i="4"/>
  <c r="K3940" i="4"/>
  <c r="J3940" i="4"/>
  <c r="I3940" i="4"/>
  <c r="H3940" i="4"/>
  <c r="Q3939" i="4"/>
  <c r="P3939" i="4"/>
  <c r="O3939" i="4"/>
  <c r="N3939" i="4"/>
  <c r="M3939" i="4"/>
  <c r="L3939" i="4"/>
  <c r="K3939" i="4"/>
  <c r="J3939" i="4"/>
  <c r="I3939" i="4"/>
  <c r="H3939" i="4"/>
  <c r="Q3938" i="4"/>
  <c r="P3938" i="4"/>
  <c r="O3938" i="4"/>
  <c r="N3938" i="4"/>
  <c r="M3938" i="4"/>
  <c r="L3938" i="4"/>
  <c r="K3938" i="4"/>
  <c r="J3938" i="4"/>
  <c r="I3938" i="4"/>
  <c r="H3938" i="4"/>
  <c r="Q3937" i="4"/>
  <c r="P3937" i="4"/>
  <c r="O3937" i="4"/>
  <c r="N3937" i="4"/>
  <c r="M3937" i="4"/>
  <c r="L3937" i="4"/>
  <c r="K3937" i="4"/>
  <c r="J3937" i="4"/>
  <c r="I3937" i="4"/>
  <c r="H3937" i="4"/>
  <c r="Q3936" i="4"/>
  <c r="P3936" i="4"/>
  <c r="O3936" i="4"/>
  <c r="N3936" i="4"/>
  <c r="M3936" i="4"/>
  <c r="L3936" i="4"/>
  <c r="K3936" i="4"/>
  <c r="J3936" i="4"/>
  <c r="I3936" i="4"/>
  <c r="H3936" i="4"/>
  <c r="Q3935" i="4"/>
  <c r="P3935" i="4"/>
  <c r="O3935" i="4"/>
  <c r="N3935" i="4"/>
  <c r="M3935" i="4"/>
  <c r="L3935" i="4"/>
  <c r="K3935" i="4"/>
  <c r="J3935" i="4"/>
  <c r="I3935" i="4"/>
  <c r="H3935" i="4"/>
  <c r="Q3934" i="4"/>
  <c r="P3934" i="4"/>
  <c r="O3934" i="4"/>
  <c r="N3934" i="4"/>
  <c r="M3934" i="4"/>
  <c r="L3934" i="4"/>
  <c r="K3934" i="4"/>
  <c r="J3934" i="4"/>
  <c r="I3934" i="4"/>
  <c r="H3934" i="4"/>
  <c r="Q3933" i="4"/>
  <c r="P3933" i="4"/>
  <c r="O3933" i="4"/>
  <c r="N3933" i="4"/>
  <c r="M3933" i="4"/>
  <c r="L3933" i="4"/>
  <c r="K3933" i="4"/>
  <c r="J3933" i="4"/>
  <c r="I3933" i="4"/>
  <c r="H3933" i="4"/>
  <c r="Q3932" i="4"/>
  <c r="P3932" i="4"/>
  <c r="O3932" i="4"/>
  <c r="N3932" i="4"/>
  <c r="M3932" i="4"/>
  <c r="L3932" i="4"/>
  <c r="K3932" i="4"/>
  <c r="J3932" i="4"/>
  <c r="I3932" i="4"/>
  <c r="H3932" i="4"/>
  <c r="Q3931" i="4"/>
  <c r="P3931" i="4"/>
  <c r="O3931" i="4"/>
  <c r="N3931" i="4"/>
  <c r="M3931" i="4"/>
  <c r="L3931" i="4"/>
  <c r="K3931" i="4"/>
  <c r="J3931" i="4"/>
  <c r="I3931" i="4"/>
  <c r="H3931" i="4"/>
  <c r="Q3930" i="4"/>
  <c r="P3930" i="4"/>
  <c r="O3930" i="4"/>
  <c r="N3930" i="4"/>
  <c r="M3930" i="4"/>
  <c r="L3930" i="4"/>
  <c r="K3930" i="4"/>
  <c r="J3930" i="4"/>
  <c r="I3930" i="4"/>
  <c r="H3930" i="4"/>
  <c r="Q3929" i="4"/>
  <c r="P3929" i="4"/>
  <c r="O3929" i="4"/>
  <c r="N3929" i="4"/>
  <c r="M3929" i="4"/>
  <c r="L3929" i="4"/>
  <c r="K3929" i="4"/>
  <c r="J3929" i="4"/>
  <c r="I3929" i="4"/>
  <c r="H3929" i="4"/>
  <c r="Q3928" i="4"/>
  <c r="P3928" i="4"/>
  <c r="O3928" i="4"/>
  <c r="N3928" i="4"/>
  <c r="M3928" i="4"/>
  <c r="L3928" i="4"/>
  <c r="K3928" i="4"/>
  <c r="J3928" i="4"/>
  <c r="I3928" i="4"/>
  <c r="H3928" i="4"/>
  <c r="Q3927" i="4"/>
  <c r="P3927" i="4"/>
  <c r="O3927" i="4"/>
  <c r="N3927" i="4"/>
  <c r="M3927" i="4"/>
  <c r="L3927" i="4"/>
  <c r="K3927" i="4"/>
  <c r="J3927" i="4"/>
  <c r="I3927" i="4"/>
  <c r="H3927" i="4"/>
  <c r="Q3926" i="4"/>
  <c r="P3926" i="4"/>
  <c r="O3926" i="4"/>
  <c r="N3926" i="4"/>
  <c r="M3926" i="4"/>
  <c r="L3926" i="4"/>
  <c r="K3926" i="4"/>
  <c r="J3926" i="4"/>
  <c r="I3926" i="4"/>
  <c r="H3926" i="4"/>
  <c r="Q3925" i="4"/>
  <c r="P3925" i="4"/>
  <c r="O3925" i="4"/>
  <c r="N3925" i="4"/>
  <c r="M3925" i="4"/>
  <c r="L3925" i="4"/>
  <c r="K3925" i="4"/>
  <c r="J3925" i="4"/>
  <c r="I3925" i="4"/>
  <c r="H3925" i="4"/>
  <c r="Q3924" i="4"/>
  <c r="P3924" i="4"/>
  <c r="O3924" i="4"/>
  <c r="N3924" i="4"/>
  <c r="M3924" i="4"/>
  <c r="L3924" i="4"/>
  <c r="K3924" i="4"/>
  <c r="J3924" i="4"/>
  <c r="I3924" i="4"/>
  <c r="H3924" i="4"/>
  <c r="Q3923" i="4"/>
  <c r="P3923" i="4"/>
  <c r="O3923" i="4"/>
  <c r="N3923" i="4"/>
  <c r="M3923" i="4"/>
  <c r="L3923" i="4"/>
  <c r="K3923" i="4"/>
  <c r="J3923" i="4"/>
  <c r="I3923" i="4"/>
  <c r="H3923" i="4"/>
  <c r="Q3922" i="4"/>
  <c r="P3922" i="4"/>
  <c r="O3922" i="4"/>
  <c r="N3922" i="4"/>
  <c r="M3922" i="4"/>
  <c r="L3922" i="4"/>
  <c r="K3922" i="4"/>
  <c r="J3922" i="4"/>
  <c r="I3922" i="4"/>
  <c r="H3922" i="4"/>
  <c r="Q3921" i="4"/>
  <c r="P3921" i="4"/>
  <c r="O3921" i="4"/>
  <c r="N3921" i="4"/>
  <c r="M3921" i="4"/>
  <c r="L3921" i="4"/>
  <c r="K3921" i="4"/>
  <c r="J3921" i="4"/>
  <c r="I3921" i="4"/>
  <c r="H3921" i="4"/>
  <c r="Q3920" i="4"/>
  <c r="P3920" i="4"/>
  <c r="O3920" i="4"/>
  <c r="N3920" i="4"/>
  <c r="M3920" i="4"/>
  <c r="L3920" i="4"/>
  <c r="K3920" i="4"/>
  <c r="J3920" i="4"/>
  <c r="I3920" i="4"/>
  <c r="H3920" i="4"/>
  <c r="Q3919" i="4"/>
  <c r="P3919" i="4"/>
  <c r="O3919" i="4"/>
  <c r="N3919" i="4"/>
  <c r="M3919" i="4"/>
  <c r="L3919" i="4"/>
  <c r="K3919" i="4"/>
  <c r="J3919" i="4"/>
  <c r="I3919" i="4"/>
  <c r="H3919" i="4"/>
  <c r="Q3918" i="4"/>
  <c r="P3918" i="4"/>
  <c r="O3918" i="4"/>
  <c r="N3918" i="4"/>
  <c r="M3918" i="4"/>
  <c r="L3918" i="4"/>
  <c r="K3918" i="4"/>
  <c r="J3918" i="4"/>
  <c r="I3918" i="4"/>
  <c r="H3918" i="4"/>
  <c r="Q3917" i="4"/>
  <c r="P3917" i="4"/>
  <c r="O3917" i="4"/>
  <c r="N3917" i="4"/>
  <c r="M3917" i="4"/>
  <c r="L3917" i="4"/>
  <c r="K3917" i="4"/>
  <c r="J3917" i="4"/>
  <c r="I3917" i="4"/>
  <c r="H3917" i="4"/>
  <c r="Q3916" i="4"/>
  <c r="P3916" i="4"/>
  <c r="O3916" i="4"/>
  <c r="N3916" i="4"/>
  <c r="M3916" i="4"/>
  <c r="L3916" i="4"/>
  <c r="K3916" i="4"/>
  <c r="J3916" i="4"/>
  <c r="I3916" i="4"/>
  <c r="H3916" i="4"/>
  <c r="Q3915" i="4"/>
  <c r="P3915" i="4"/>
  <c r="O3915" i="4"/>
  <c r="N3915" i="4"/>
  <c r="M3915" i="4"/>
  <c r="L3915" i="4"/>
  <c r="K3915" i="4"/>
  <c r="J3915" i="4"/>
  <c r="I3915" i="4"/>
  <c r="H3915" i="4"/>
  <c r="Q3914" i="4"/>
  <c r="P3914" i="4"/>
  <c r="O3914" i="4"/>
  <c r="N3914" i="4"/>
  <c r="M3914" i="4"/>
  <c r="L3914" i="4"/>
  <c r="K3914" i="4"/>
  <c r="J3914" i="4"/>
  <c r="I3914" i="4"/>
  <c r="H3914" i="4"/>
  <c r="Q3913" i="4"/>
  <c r="P3913" i="4"/>
  <c r="O3913" i="4"/>
  <c r="N3913" i="4"/>
  <c r="M3913" i="4"/>
  <c r="L3913" i="4"/>
  <c r="K3913" i="4"/>
  <c r="J3913" i="4"/>
  <c r="I3913" i="4"/>
  <c r="H3913" i="4"/>
  <c r="Q3912" i="4"/>
  <c r="P3912" i="4"/>
  <c r="O3912" i="4"/>
  <c r="N3912" i="4"/>
  <c r="M3912" i="4"/>
  <c r="L3912" i="4"/>
  <c r="K3912" i="4"/>
  <c r="J3912" i="4"/>
  <c r="I3912" i="4"/>
  <c r="H3912" i="4"/>
  <c r="Q3911" i="4"/>
  <c r="P3911" i="4"/>
  <c r="O3911" i="4"/>
  <c r="N3911" i="4"/>
  <c r="M3911" i="4"/>
  <c r="L3911" i="4"/>
  <c r="K3911" i="4"/>
  <c r="J3911" i="4"/>
  <c r="I3911" i="4"/>
  <c r="H3911" i="4"/>
  <c r="Q3910" i="4"/>
  <c r="P3910" i="4"/>
  <c r="O3910" i="4"/>
  <c r="N3910" i="4"/>
  <c r="M3910" i="4"/>
  <c r="L3910" i="4"/>
  <c r="K3910" i="4"/>
  <c r="J3910" i="4"/>
  <c r="I3910" i="4"/>
  <c r="H3910" i="4"/>
  <c r="Q3909" i="4"/>
  <c r="P3909" i="4"/>
  <c r="O3909" i="4"/>
  <c r="N3909" i="4"/>
  <c r="M3909" i="4"/>
  <c r="L3909" i="4"/>
  <c r="K3909" i="4"/>
  <c r="J3909" i="4"/>
  <c r="I3909" i="4"/>
  <c r="H3909" i="4"/>
  <c r="Q3908" i="4"/>
  <c r="P3908" i="4"/>
  <c r="O3908" i="4"/>
  <c r="N3908" i="4"/>
  <c r="M3908" i="4"/>
  <c r="L3908" i="4"/>
  <c r="K3908" i="4"/>
  <c r="J3908" i="4"/>
  <c r="I3908" i="4"/>
  <c r="H3908" i="4"/>
  <c r="Q3907" i="4"/>
  <c r="P3907" i="4"/>
  <c r="O3907" i="4"/>
  <c r="N3907" i="4"/>
  <c r="M3907" i="4"/>
  <c r="L3907" i="4"/>
  <c r="K3907" i="4"/>
  <c r="J3907" i="4"/>
  <c r="I3907" i="4"/>
  <c r="H3907" i="4"/>
  <c r="Q3906" i="4"/>
  <c r="P3906" i="4"/>
  <c r="O3906" i="4"/>
  <c r="N3906" i="4"/>
  <c r="M3906" i="4"/>
  <c r="L3906" i="4"/>
  <c r="K3906" i="4"/>
  <c r="J3906" i="4"/>
  <c r="I3906" i="4"/>
  <c r="H3906" i="4"/>
  <c r="Q3905" i="4"/>
  <c r="P3905" i="4"/>
  <c r="O3905" i="4"/>
  <c r="N3905" i="4"/>
  <c r="M3905" i="4"/>
  <c r="L3905" i="4"/>
  <c r="K3905" i="4"/>
  <c r="J3905" i="4"/>
  <c r="I3905" i="4"/>
  <c r="H3905" i="4"/>
  <c r="Q3904" i="4"/>
  <c r="P3904" i="4"/>
  <c r="O3904" i="4"/>
  <c r="N3904" i="4"/>
  <c r="M3904" i="4"/>
  <c r="L3904" i="4"/>
  <c r="K3904" i="4"/>
  <c r="J3904" i="4"/>
  <c r="I3904" i="4"/>
  <c r="H3904" i="4"/>
  <c r="Q3903" i="4"/>
  <c r="P3903" i="4"/>
  <c r="O3903" i="4"/>
  <c r="N3903" i="4"/>
  <c r="M3903" i="4"/>
  <c r="L3903" i="4"/>
  <c r="K3903" i="4"/>
  <c r="J3903" i="4"/>
  <c r="I3903" i="4"/>
  <c r="H3903" i="4"/>
  <c r="Q3902" i="4"/>
  <c r="P3902" i="4"/>
  <c r="O3902" i="4"/>
  <c r="N3902" i="4"/>
  <c r="M3902" i="4"/>
  <c r="L3902" i="4"/>
  <c r="K3902" i="4"/>
  <c r="J3902" i="4"/>
  <c r="I3902" i="4"/>
  <c r="H3902" i="4"/>
  <c r="Q3901" i="4"/>
  <c r="P3901" i="4"/>
  <c r="O3901" i="4"/>
  <c r="N3901" i="4"/>
  <c r="M3901" i="4"/>
  <c r="L3901" i="4"/>
  <c r="K3901" i="4"/>
  <c r="J3901" i="4"/>
  <c r="I3901" i="4"/>
  <c r="H3901" i="4"/>
  <c r="Q3900" i="4"/>
  <c r="P3900" i="4"/>
  <c r="O3900" i="4"/>
  <c r="N3900" i="4"/>
  <c r="M3900" i="4"/>
  <c r="L3900" i="4"/>
  <c r="K3900" i="4"/>
  <c r="J3900" i="4"/>
  <c r="I3900" i="4"/>
  <c r="H3900" i="4"/>
  <c r="Q3899" i="4"/>
  <c r="P3899" i="4"/>
  <c r="O3899" i="4"/>
  <c r="N3899" i="4"/>
  <c r="M3899" i="4"/>
  <c r="L3899" i="4"/>
  <c r="K3899" i="4"/>
  <c r="J3899" i="4"/>
  <c r="I3899" i="4"/>
  <c r="H3899" i="4"/>
  <c r="Q3898" i="4"/>
  <c r="P3898" i="4"/>
  <c r="O3898" i="4"/>
  <c r="N3898" i="4"/>
  <c r="M3898" i="4"/>
  <c r="L3898" i="4"/>
  <c r="K3898" i="4"/>
  <c r="J3898" i="4"/>
  <c r="I3898" i="4"/>
  <c r="H3898" i="4"/>
  <c r="Q3897" i="4"/>
  <c r="P3897" i="4"/>
  <c r="O3897" i="4"/>
  <c r="N3897" i="4"/>
  <c r="M3897" i="4"/>
  <c r="L3897" i="4"/>
  <c r="K3897" i="4"/>
  <c r="J3897" i="4"/>
  <c r="I3897" i="4"/>
  <c r="H3897" i="4"/>
  <c r="Q3896" i="4"/>
  <c r="P3896" i="4"/>
  <c r="O3896" i="4"/>
  <c r="N3896" i="4"/>
  <c r="M3896" i="4"/>
  <c r="L3896" i="4"/>
  <c r="K3896" i="4"/>
  <c r="J3896" i="4"/>
  <c r="I3896" i="4"/>
  <c r="H3896" i="4"/>
  <c r="Q3895" i="4"/>
  <c r="P3895" i="4"/>
  <c r="O3895" i="4"/>
  <c r="N3895" i="4"/>
  <c r="M3895" i="4"/>
  <c r="L3895" i="4"/>
  <c r="K3895" i="4"/>
  <c r="J3895" i="4"/>
  <c r="I3895" i="4"/>
  <c r="H3895" i="4"/>
  <c r="Q3894" i="4"/>
  <c r="P3894" i="4"/>
  <c r="O3894" i="4"/>
  <c r="N3894" i="4"/>
  <c r="M3894" i="4"/>
  <c r="L3894" i="4"/>
  <c r="K3894" i="4"/>
  <c r="J3894" i="4"/>
  <c r="I3894" i="4"/>
  <c r="H3894" i="4"/>
  <c r="Q3893" i="4"/>
  <c r="P3893" i="4"/>
  <c r="O3893" i="4"/>
  <c r="N3893" i="4"/>
  <c r="M3893" i="4"/>
  <c r="L3893" i="4"/>
  <c r="K3893" i="4"/>
  <c r="J3893" i="4"/>
  <c r="I3893" i="4"/>
  <c r="H3893" i="4"/>
  <c r="Q3892" i="4"/>
  <c r="P3892" i="4"/>
  <c r="O3892" i="4"/>
  <c r="N3892" i="4"/>
  <c r="M3892" i="4"/>
  <c r="L3892" i="4"/>
  <c r="K3892" i="4"/>
  <c r="J3892" i="4"/>
  <c r="I3892" i="4"/>
  <c r="H3892" i="4"/>
  <c r="Q3891" i="4"/>
  <c r="P3891" i="4"/>
  <c r="O3891" i="4"/>
  <c r="N3891" i="4"/>
  <c r="M3891" i="4"/>
  <c r="L3891" i="4"/>
  <c r="K3891" i="4"/>
  <c r="J3891" i="4"/>
  <c r="I3891" i="4"/>
  <c r="H3891" i="4"/>
  <c r="Q3890" i="4"/>
  <c r="P3890" i="4"/>
  <c r="O3890" i="4"/>
  <c r="N3890" i="4"/>
  <c r="M3890" i="4"/>
  <c r="L3890" i="4"/>
  <c r="K3890" i="4"/>
  <c r="J3890" i="4"/>
  <c r="I3890" i="4"/>
  <c r="H3890" i="4"/>
  <c r="Q3889" i="4"/>
  <c r="P3889" i="4"/>
  <c r="O3889" i="4"/>
  <c r="N3889" i="4"/>
  <c r="M3889" i="4"/>
  <c r="L3889" i="4"/>
  <c r="K3889" i="4"/>
  <c r="J3889" i="4"/>
  <c r="I3889" i="4"/>
  <c r="H3889" i="4"/>
  <c r="Q3888" i="4"/>
  <c r="P3888" i="4"/>
  <c r="O3888" i="4"/>
  <c r="N3888" i="4"/>
  <c r="M3888" i="4"/>
  <c r="L3888" i="4"/>
  <c r="K3888" i="4"/>
  <c r="J3888" i="4"/>
  <c r="I3888" i="4"/>
  <c r="H3888" i="4"/>
  <c r="Q3887" i="4"/>
  <c r="P3887" i="4"/>
  <c r="O3887" i="4"/>
  <c r="N3887" i="4"/>
  <c r="M3887" i="4"/>
  <c r="L3887" i="4"/>
  <c r="K3887" i="4"/>
  <c r="J3887" i="4"/>
  <c r="I3887" i="4"/>
  <c r="H3887" i="4"/>
  <c r="Q3886" i="4"/>
  <c r="P3886" i="4"/>
  <c r="O3886" i="4"/>
  <c r="N3886" i="4"/>
  <c r="M3886" i="4"/>
  <c r="L3886" i="4"/>
  <c r="K3886" i="4"/>
  <c r="J3886" i="4"/>
  <c r="I3886" i="4"/>
  <c r="H3886" i="4"/>
  <c r="Q3885" i="4"/>
  <c r="P3885" i="4"/>
  <c r="O3885" i="4"/>
  <c r="N3885" i="4"/>
  <c r="M3885" i="4"/>
  <c r="L3885" i="4"/>
  <c r="K3885" i="4"/>
  <c r="J3885" i="4"/>
  <c r="I3885" i="4"/>
  <c r="H3885" i="4"/>
  <c r="Q3884" i="4"/>
  <c r="P3884" i="4"/>
  <c r="O3884" i="4"/>
  <c r="N3884" i="4"/>
  <c r="M3884" i="4"/>
  <c r="L3884" i="4"/>
  <c r="K3884" i="4"/>
  <c r="J3884" i="4"/>
  <c r="I3884" i="4"/>
  <c r="H3884" i="4"/>
  <c r="Q3883" i="4"/>
  <c r="P3883" i="4"/>
  <c r="O3883" i="4"/>
  <c r="N3883" i="4"/>
  <c r="M3883" i="4"/>
  <c r="L3883" i="4"/>
  <c r="K3883" i="4"/>
  <c r="J3883" i="4"/>
  <c r="I3883" i="4"/>
  <c r="H3883" i="4"/>
  <c r="Q3882" i="4"/>
  <c r="P3882" i="4"/>
  <c r="O3882" i="4"/>
  <c r="N3882" i="4"/>
  <c r="M3882" i="4"/>
  <c r="L3882" i="4"/>
  <c r="K3882" i="4"/>
  <c r="J3882" i="4"/>
  <c r="I3882" i="4"/>
  <c r="H3882" i="4"/>
  <c r="Q3881" i="4"/>
  <c r="P3881" i="4"/>
  <c r="O3881" i="4"/>
  <c r="N3881" i="4"/>
  <c r="M3881" i="4"/>
  <c r="L3881" i="4"/>
  <c r="K3881" i="4"/>
  <c r="J3881" i="4"/>
  <c r="I3881" i="4"/>
  <c r="H3881" i="4"/>
  <c r="Q3880" i="4"/>
  <c r="P3880" i="4"/>
  <c r="O3880" i="4"/>
  <c r="N3880" i="4"/>
  <c r="M3880" i="4"/>
  <c r="L3880" i="4"/>
  <c r="K3880" i="4"/>
  <c r="J3880" i="4"/>
  <c r="I3880" i="4"/>
  <c r="H3880" i="4"/>
  <c r="Q3879" i="4"/>
  <c r="P3879" i="4"/>
  <c r="O3879" i="4"/>
  <c r="N3879" i="4"/>
  <c r="M3879" i="4"/>
  <c r="L3879" i="4"/>
  <c r="K3879" i="4"/>
  <c r="J3879" i="4"/>
  <c r="I3879" i="4"/>
  <c r="H3879" i="4"/>
  <c r="Q3878" i="4"/>
  <c r="P3878" i="4"/>
  <c r="O3878" i="4"/>
  <c r="N3878" i="4"/>
  <c r="M3878" i="4"/>
  <c r="L3878" i="4"/>
  <c r="K3878" i="4"/>
  <c r="J3878" i="4"/>
  <c r="I3878" i="4"/>
  <c r="H3878" i="4"/>
  <c r="Q3877" i="4"/>
  <c r="P3877" i="4"/>
  <c r="O3877" i="4"/>
  <c r="N3877" i="4"/>
  <c r="M3877" i="4"/>
  <c r="L3877" i="4"/>
  <c r="K3877" i="4"/>
  <c r="J3877" i="4"/>
  <c r="I3877" i="4"/>
  <c r="H3877" i="4"/>
  <c r="Q3876" i="4"/>
  <c r="P3876" i="4"/>
  <c r="O3876" i="4"/>
  <c r="N3876" i="4"/>
  <c r="M3876" i="4"/>
  <c r="L3876" i="4"/>
  <c r="K3876" i="4"/>
  <c r="J3876" i="4"/>
  <c r="I3876" i="4"/>
  <c r="H3876" i="4"/>
  <c r="Q3875" i="4"/>
  <c r="P3875" i="4"/>
  <c r="O3875" i="4"/>
  <c r="N3875" i="4"/>
  <c r="M3875" i="4"/>
  <c r="L3875" i="4"/>
  <c r="K3875" i="4"/>
  <c r="J3875" i="4"/>
  <c r="I3875" i="4"/>
  <c r="H3875" i="4"/>
  <c r="Q3874" i="4"/>
  <c r="P3874" i="4"/>
  <c r="O3874" i="4"/>
  <c r="N3874" i="4"/>
  <c r="M3874" i="4"/>
  <c r="L3874" i="4"/>
  <c r="K3874" i="4"/>
  <c r="J3874" i="4"/>
  <c r="I3874" i="4"/>
  <c r="H3874" i="4"/>
  <c r="Q3873" i="4"/>
  <c r="P3873" i="4"/>
  <c r="O3873" i="4"/>
  <c r="N3873" i="4"/>
  <c r="M3873" i="4"/>
  <c r="L3873" i="4"/>
  <c r="K3873" i="4"/>
  <c r="J3873" i="4"/>
  <c r="I3873" i="4"/>
  <c r="H3873" i="4"/>
  <c r="Q3872" i="4"/>
  <c r="P3872" i="4"/>
  <c r="O3872" i="4"/>
  <c r="N3872" i="4"/>
  <c r="M3872" i="4"/>
  <c r="L3872" i="4"/>
  <c r="K3872" i="4"/>
  <c r="J3872" i="4"/>
  <c r="I3872" i="4"/>
  <c r="H3872" i="4"/>
  <c r="Q3871" i="4"/>
  <c r="P3871" i="4"/>
  <c r="O3871" i="4"/>
  <c r="N3871" i="4"/>
  <c r="M3871" i="4"/>
  <c r="L3871" i="4"/>
  <c r="K3871" i="4"/>
  <c r="J3871" i="4"/>
  <c r="I3871" i="4"/>
  <c r="H3871" i="4"/>
  <c r="Q3870" i="4"/>
  <c r="P3870" i="4"/>
  <c r="O3870" i="4"/>
  <c r="N3870" i="4"/>
  <c r="M3870" i="4"/>
  <c r="L3870" i="4"/>
  <c r="K3870" i="4"/>
  <c r="J3870" i="4"/>
  <c r="I3870" i="4"/>
  <c r="H3870" i="4"/>
  <c r="Q3869" i="4"/>
  <c r="P3869" i="4"/>
  <c r="O3869" i="4"/>
  <c r="N3869" i="4"/>
  <c r="M3869" i="4"/>
  <c r="L3869" i="4"/>
  <c r="K3869" i="4"/>
  <c r="J3869" i="4"/>
  <c r="I3869" i="4"/>
  <c r="H3869" i="4"/>
  <c r="Q3868" i="4"/>
  <c r="P3868" i="4"/>
  <c r="O3868" i="4"/>
  <c r="N3868" i="4"/>
  <c r="M3868" i="4"/>
  <c r="L3868" i="4"/>
  <c r="K3868" i="4"/>
  <c r="J3868" i="4"/>
  <c r="I3868" i="4"/>
  <c r="H3868" i="4"/>
  <c r="Q3867" i="4"/>
  <c r="P3867" i="4"/>
  <c r="O3867" i="4"/>
  <c r="N3867" i="4"/>
  <c r="M3867" i="4"/>
  <c r="L3867" i="4"/>
  <c r="K3867" i="4"/>
  <c r="J3867" i="4"/>
  <c r="I3867" i="4"/>
  <c r="H3867" i="4"/>
  <c r="Q3866" i="4"/>
  <c r="P3866" i="4"/>
  <c r="O3866" i="4"/>
  <c r="N3866" i="4"/>
  <c r="M3866" i="4"/>
  <c r="L3866" i="4"/>
  <c r="K3866" i="4"/>
  <c r="J3866" i="4"/>
  <c r="I3866" i="4"/>
  <c r="H3866" i="4"/>
  <c r="Q3865" i="4"/>
  <c r="P3865" i="4"/>
  <c r="O3865" i="4"/>
  <c r="N3865" i="4"/>
  <c r="M3865" i="4"/>
  <c r="L3865" i="4"/>
  <c r="K3865" i="4"/>
  <c r="J3865" i="4"/>
  <c r="I3865" i="4"/>
  <c r="H3865" i="4"/>
  <c r="Q3864" i="4"/>
  <c r="P3864" i="4"/>
  <c r="O3864" i="4"/>
  <c r="N3864" i="4"/>
  <c r="M3864" i="4"/>
  <c r="L3864" i="4"/>
  <c r="K3864" i="4"/>
  <c r="J3864" i="4"/>
  <c r="I3864" i="4"/>
  <c r="H3864" i="4"/>
  <c r="Q3863" i="4"/>
  <c r="P3863" i="4"/>
  <c r="O3863" i="4"/>
  <c r="N3863" i="4"/>
  <c r="M3863" i="4"/>
  <c r="L3863" i="4"/>
  <c r="K3863" i="4"/>
  <c r="J3863" i="4"/>
  <c r="I3863" i="4"/>
  <c r="H3863" i="4"/>
  <c r="Q3862" i="4"/>
  <c r="P3862" i="4"/>
  <c r="O3862" i="4"/>
  <c r="N3862" i="4"/>
  <c r="M3862" i="4"/>
  <c r="L3862" i="4"/>
  <c r="K3862" i="4"/>
  <c r="J3862" i="4"/>
  <c r="I3862" i="4"/>
  <c r="H3862" i="4"/>
  <c r="Q3861" i="4"/>
  <c r="P3861" i="4"/>
  <c r="O3861" i="4"/>
  <c r="N3861" i="4"/>
  <c r="M3861" i="4"/>
  <c r="L3861" i="4"/>
  <c r="K3861" i="4"/>
  <c r="J3861" i="4"/>
  <c r="I3861" i="4"/>
  <c r="H3861" i="4"/>
  <c r="Q3860" i="4"/>
  <c r="P3860" i="4"/>
  <c r="O3860" i="4"/>
  <c r="N3860" i="4"/>
  <c r="M3860" i="4"/>
  <c r="L3860" i="4"/>
  <c r="K3860" i="4"/>
  <c r="J3860" i="4"/>
  <c r="I3860" i="4"/>
  <c r="H3860" i="4"/>
  <c r="Q3859" i="4"/>
  <c r="P3859" i="4"/>
  <c r="O3859" i="4"/>
  <c r="N3859" i="4"/>
  <c r="M3859" i="4"/>
  <c r="L3859" i="4"/>
  <c r="K3859" i="4"/>
  <c r="J3859" i="4"/>
  <c r="I3859" i="4"/>
  <c r="H3859" i="4"/>
  <c r="Q3858" i="4"/>
  <c r="P3858" i="4"/>
  <c r="O3858" i="4"/>
  <c r="N3858" i="4"/>
  <c r="M3858" i="4"/>
  <c r="L3858" i="4"/>
  <c r="K3858" i="4"/>
  <c r="J3858" i="4"/>
  <c r="I3858" i="4"/>
  <c r="H3858" i="4"/>
  <c r="Q3857" i="4"/>
  <c r="P3857" i="4"/>
  <c r="O3857" i="4"/>
  <c r="N3857" i="4"/>
  <c r="M3857" i="4"/>
  <c r="L3857" i="4"/>
  <c r="K3857" i="4"/>
  <c r="J3857" i="4"/>
  <c r="I3857" i="4"/>
  <c r="H3857" i="4"/>
  <c r="Q3856" i="4"/>
  <c r="P3856" i="4"/>
  <c r="O3856" i="4"/>
  <c r="N3856" i="4"/>
  <c r="M3856" i="4"/>
  <c r="L3856" i="4"/>
  <c r="K3856" i="4"/>
  <c r="J3856" i="4"/>
  <c r="I3856" i="4"/>
  <c r="H3856" i="4"/>
  <c r="Q3855" i="4"/>
  <c r="P3855" i="4"/>
  <c r="O3855" i="4"/>
  <c r="N3855" i="4"/>
  <c r="M3855" i="4"/>
  <c r="L3855" i="4"/>
  <c r="K3855" i="4"/>
  <c r="J3855" i="4"/>
  <c r="I3855" i="4"/>
  <c r="H3855" i="4"/>
  <c r="Q3854" i="4"/>
  <c r="P3854" i="4"/>
  <c r="O3854" i="4"/>
  <c r="N3854" i="4"/>
  <c r="M3854" i="4"/>
  <c r="L3854" i="4"/>
  <c r="K3854" i="4"/>
  <c r="J3854" i="4"/>
  <c r="I3854" i="4"/>
  <c r="H3854" i="4"/>
  <c r="Q3853" i="4"/>
  <c r="P3853" i="4"/>
  <c r="O3853" i="4"/>
  <c r="N3853" i="4"/>
  <c r="M3853" i="4"/>
  <c r="L3853" i="4"/>
  <c r="K3853" i="4"/>
  <c r="J3853" i="4"/>
  <c r="I3853" i="4"/>
  <c r="H3853" i="4"/>
  <c r="Q3852" i="4"/>
  <c r="P3852" i="4"/>
  <c r="O3852" i="4"/>
  <c r="N3852" i="4"/>
  <c r="M3852" i="4"/>
  <c r="L3852" i="4"/>
  <c r="K3852" i="4"/>
  <c r="J3852" i="4"/>
  <c r="I3852" i="4"/>
  <c r="H3852" i="4"/>
  <c r="Q3851" i="4"/>
  <c r="P3851" i="4"/>
  <c r="O3851" i="4"/>
  <c r="N3851" i="4"/>
  <c r="M3851" i="4"/>
  <c r="L3851" i="4"/>
  <c r="K3851" i="4"/>
  <c r="J3851" i="4"/>
  <c r="I3851" i="4"/>
  <c r="H3851" i="4"/>
  <c r="Q3850" i="4"/>
  <c r="P3850" i="4"/>
  <c r="O3850" i="4"/>
  <c r="N3850" i="4"/>
  <c r="M3850" i="4"/>
  <c r="L3850" i="4"/>
  <c r="K3850" i="4"/>
  <c r="J3850" i="4"/>
  <c r="I3850" i="4"/>
  <c r="H3850" i="4"/>
  <c r="Q3849" i="4"/>
  <c r="P3849" i="4"/>
  <c r="O3849" i="4"/>
  <c r="N3849" i="4"/>
  <c r="M3849" i="4"/>
  <c r="L3849" i="4"/>
  <c r="K3849" i="4"/>
  <c r="J3849" i="4"/>
  <c r="I3849" i="4"/>
  <c r="H3849" i="4"/>
  <c r="Q3848" i="4"/>
  <c r="P3848" i="4"/>
  <c r="O3848" i="4"/>
  <c r="N3848" i="4"/>
  <c r="M3848" i="4"/>
  <c r="L3848" i="4"/>
  <c r="K3848" i="4"/>
  <c r="J3848" i="4"/>
  <c r="I3848" i="4"/>
  <c r="H3848" i="4"/>
  <c r="Q3847" i="4"/>
  <c r="P3847" i="4"/>
  <c r="O3847" i="4"/>
  <c r="N3847" i="4"/>
  <c r="M3847" i="4"/>
  <c r="L3847" i="4"/>
  <c r="K3847" i="4"/>
  <c r="J3847" i="4"/>
  <c r="I3847" i="4"/>
  <c r="H3847" i="4"/>
  <c r="Q3846" i="4"/>
  <c r="P3846" i="4"/>
  <c r="O3846" i="4"/>
  <c r="N3846" i="4"/>
  <c r="M3846" i="4"/>
  <c r="L3846" i="4"/>
  <c r="K3846" i="4"/>
  <c r="J3846" i="4"/>
  <c r="I3846" i="4"/>
  <c r="H3846" i="4"/>
  <c r="Q3845" i="4"/>
  <c r="P3845" i="4"/>
  <c r="O3845" i="4"/>
  <c r="N3845" i="4"/>
  <c r="M3845" i="4"/>
  <c r="L3845" i="4"/>
  <c r="K3845" i="4"/>
  <c r="J3845" i="4"/>
  <c r="I3845" i="4"/>
  <c r="H3845" i="4"/>
  <c r="Q3844" i="4"/>
  <c r="P3844" i="4"/>
  <c r="O3844" i="4"/>
  <c r="N3844" i="4"/>
  <c r="M3844" i="4"/>
  <c r="L3844" i="4"/>
  <c r="K3844" i="4"/>
  <c r="J3844" i="4"/>
  <c r="I3844" i="4"/>
  <c r="H3844" i="4"/>
  <c r="Q3843" i="4"/>
  <c r="P3843" i="4"/>
  <c r="O3843" i="4"/>
  <c r="N3843" i="4"/>
  <c r="M3843" i="4"/>
  <c r="L3843" i="4"/>
  <c r="K3843" i="4"/>
  <c r="J3843" i="4"/>
  <c r="I3843" i="4"/>
  <c r="H3843" i="4"/>
  <c r="Q3842" i="4"/>
  <c r="P3842" i="4"/>
  <c r="O3842" i="4"/>
  <c r="N3842" i="4"/>
  <c r="M3842" i="4"/>
  <c r="L3842" i="4"/>
  <c r="K3842" i="4"/>
  <c r="J3842" i="4"/>
  <c r="I3842" i="4"/>
  <c r="H3842" i="4"/>
  <c r="Q3841" i="4"/>
  <c r="P3841" i="4"/>
  <c r="O3841" i="4"/>
  <c r="N3841" i="4"/>
  <c r="M3841" i="4"/>
  <c r="L3841" i="4"/>
  <c r="K3841" i="4"/>
  <c r="J3841" i="4"/>
  <c r="I3841" i="4"/>
  <c r="H3841" i="4"/>
  <c r="Q3840" i="4"/>
  <c r="P3840" i="4"/>
  <c r="O3840" i="4"/>
  <c r="N3840" i="4"/>
  <c r="M3840" i="4"/>
  <c r="L3840" i="4"/>
  <c r="K3840" i="4"/>
  <c r="J3840" i="4"/>
  <c r="I3840" i="4"/>
  <c r="H3840" i="4"/>
  <c r="Q3839" i="4"/>
  <c r="P3839" i="4"/>
  <c r="O3839" i="4"/>
  <c r="N3839" i="4"/>
  <c r="M3839" i="4"/>
  <c r="L3839" i="4"/>
  <c r="K3839" i="4"/>
  <c r="J3839" i="4"/>
  <c r="I3839" i="4"/>
  <c r="H3839" i="4"/>
  <c r="Q3838" i="4"/>
  <c r="P3838" i="4"/>
  <c r="O3838" i="4"/>
  <c r="N3838" i="4"/>
  <c r="M3838" i="4"/>
  <c r="L3838" i="4"/>
  <c r="K3838" i="4"/>
  <c r="J3838" i="4"/>
  <c r="I3838" i="4"/>
  <c r="H3838" i="4"/>
  <c r="Q3837" i="4"/>
  <c r="P3837" i="4"/>
  <c r="O3837" i="4"/>
  <c r="N3837" i="4"/>
  <c r="M3837" i="4"/>
  <c r="L3837" i="4"/>
  <c r="K3837" i="4"/>
  <c r="J3837" i="4"/>
  <c r="I3837" i="4"/>
  <c r="H3837" i="4"/>
  <c r="Q3836" i="4"/>
  <c r="P3836" i="4"/>
  <c r="O3836" i="4"/>
  <c r="N3836" i="4"/>
  <c r="M3836" i="4"/>
  <c r="L3836" i="4"/>
  <c r="K3836" i="4"/>
  <c r="J3836" i="4"/>
  <c r="I3836" i="4"/>
  <c r="H3836" i="4"/>
  <c r="Q3835" i="4"/>
  <c r="P3835" i="4"/>
  <c r="O3835" i="4"/>
  <c r="N3835" i="4"/>
  <c r="M3835" i="4"/>
  <c r="L3835" i="4"/>
  <c r="K3835" i="4"/>
  <c r="J3835" i="4"/>
  <c r="I3835" i="4"/>
  <c r="H3835" i="4"/>
  <c r="Q3834" i="4"/>
  <c r="P3834" i="4"/>
  <c r="O3834" i="4"/>
  <c r="N3834" i="4"/>
  <c r="M3834" i="4"/>
  <c r="L3834" i="4"/>
  <c r="K3834" i="4"/>
  <c r="J3834" i="4"/>
  <c r="I3834" i="4"/>
  <c r="H3834" i="4"/>
  <c r="Q3833" i="4"/>
  <c r="P3833" i="4"/>
  <c r="O3833" i="4"/>
  <c r="N3833" i="4"/>
  <c r="M3833" i="4"/>
  <c r="L3833" i="4"/>
  <c r="K3833" i="4"/>
  <c r="J3833" i="4"/>
  <c r="I3833" i="4"/>
  <c r="H3833" i="4"/>
  <c r="Q3832" i="4"/>
  <c r="P3832" i="4"/>
  <c r="O3832" i="4"/>
  <c r="N3832" i="4"/>
  <c r="M3832" i="4"/>
  <c r="L3832" i="4"/>
  <c r="K3832" i="4"/>
  <c r="J3832" i="4"/>
  <c r="I3832" i="4"/>
  <c r="H3832" i="4"/>
  <c r="Q3831" i="4"/>
  <c r="P3831" i="4"/>
  <c r="O3831" i="4"/>
  <c r="N3831" i="4"/>
  <c r="M3831" i="4"/>
  <c r="L3831" i="4"/>
  <c r="K3831" i="4"/>
  <c r="J3831" i="4"/>
  <c r="I3831" i="4"/>
  <c r="H3831" i="4"/>
  <c r="Q3830" i="4"/>
  <c r="P3830" i="4"/>
  <c r="O3830" i="4"/>
  <c r="N3830" i="4"/>
  <c r="M3830" i="4"/>
  <c r="L3830" i="4"/>
  <c r="K3830" i="4"/>
  <c r="J3830" i="4"/>
  <c r="I3830" i="4"/>
  <c r="H3830" i="4"/>
  <c r="Q3829" i="4"/>
  <c r="P3829" i="4"/>
  <c r="O3829" i="4"/>
  <c r="N3829" i="4"/>
  <c r="M3829" i="4"/>
  <c r="L3829" i="4"/>
  <c r="K3829" i="4"/>
  <c r="J3829" i="4"/>
  <c r="I3829" i="4"/>
  <c r="H3829" i="4"/>
  <c r="Q3828" i="4"/>
  <c r="P3828" i="4"/>
  <c r="O3828" i="4"/>
  <c r="N3828" i="4"/>
  <c r="M3828" i="4"/>
  <c r="L3828" i="4"/>
  <c r="K3828" i="4"/>
  <c r="J3828" i="4"/>
  <c r="I3828" i="4"/>
  <c r="H3828" i="4"/>
  <c r="Q3827" i="4"/>
  <c r="P3827" i="4"/>
  <c r="O3827" i="4"/>
  <c r="N3827" i="4"/>
  <c r="M3827" i="4"/>
  <c r="L3827" i="4"/>
  <c r="K3827" i="4"/>
  <c r="J3827" i="4"/>
  <c r="I3827" i="4"/>
  <c r="H3827" i="4"/>
  <c r="Q3826" i="4"/>
  <c r="P3826" i="4"/>
  <c r="O3826" i="4"/>
  <c r="N3826" i="4"/>
  <c r="M3826" i="4"/>
  <c r="L3826" i="4"/>
  <c r="K3826" i="4"/>
  <c r="J3826" i="4"/>
  <c r="I3826" i="4"/>
  <c r="H3826" i="4"/>
  <c r="Q3825" i="4"/>
  <c r="P3825" i="4"/>
  <c r="O3825" i="4"/>
  <c r="N3825" i="4"/>
  <c r="M3825" i="4"/>
  <c r="L3825" i="4"/>
  <c r="K3825" i="4"/>
  <c r="J3825" i="4"/>
  <c r="I3825" i="4"/>
  <c r="H3825" i="4"/>
  <c r="Q3824" i="4"/>
  <c r="P3824" i="4"/>
  <c r="O3824" i="4"/>
  <c r="N3824" i="4"/>
  <c r="M3824" i="4"/>
  <c r="L3824" i="4"/>
  <c r="K3824" i="4"/>
  <c r="J3824" i="4"/>
  <c r="I3824" i="4"/>
  <c r="H3824" i="4"/>
  <c r="Q3823" i="4"/>
  <c r="P3823" i="4"/>
  <c r="O3823" i="4"/>
  <c r="N3823" i="4"/>
  <c r="M3823" i="4"/>
  <c r="L3823" i="4"/>
  <c r="K3823" i="4"/>
  <c r="J3823" i="4"/>
  <c r="I3823" i="4"/>
  <c r="H3823" i="4"/>
  <c r="Q3822" i="4"/>
  <c r="P3822" i="4"/>
  <c r="O3822" i="4"/>
  <c r="N3822" i="4"/>
  <c r="M3822" i="4"/>
  <c r="L3822" i="4"/>
  <c r="K3822" i="4"/>
  <c r="J3822" i="4"/>
  <c r="I3822" i="4"/>
  <c r="H3822" i="4"/>
  <c r="Q3821" i="4"/>
  <c r="P3821" i="4"/>
  <c r="O3821" i="4"/>
  <c r="N3821" i="4"/>
  <c r="M3821" i="4"/>
  <c r="L3821" i="4"/>
  <c r="K3821" i="4"/>
  <c r="J3821" i="4"/>
  <c r="I3821" i="4"/>
  <c r="H3821" i="4"/>
  <c r="Q3820" i="4"/>
  <c r="P3820" i="4"/>
  <c r="O3820" i="4"/>
  <c r="N3820" i="4"/>
  <c r="M3820" i="4"/>
  <c r="L3820" i="4"/>
  <c r="K3820" i="4"/>
  <c r="J3820" i="4"/>
  <c r="I3820" i="4"/>
  <c r="H3820" i="4"/>
  <c r="Q3819" i="4"/>
  <c r="P3819" i="4"/>
  <c r="O3819" i="4"/>
  <c r="N3819" i="4"/>
  <c r="M3819" i="4"/>
  <c r="L3819" i="4"/>
  <c r="K3819" i="4"/>
  <c r="J3819" i="4"/>
  <c r="I3819" i="4"/>
  <c r="H3819" i="4"/>
  <c r="Q3818" i="4"/>
  <c r="P3818" i="4"/>
  <c r="O3818" i="4"/>
  <c r="N3818" i="4"/>
  <c r="M3818" i="4"/>
  <c r="L3818" i="4"/>
  <c r="K3818" i="4"/>
  <c r="J3818" i="4"/>
  <c r="I3818" i="4"/>
  <c r="H3818" i="4"/>
  <c r="Q3817" i="4"/>
  <c r="P3817" i="4"/>
  <c r="O3817" i="4"/>
  <c r="N3817" i="4"/>
  <c r="M3817" i="4"/>
  <c r="L3817" i="4"/>
  <c r="K3817" i="4"/>
  <c r="J3817" i="4"/>
  <c r="I3817" i="4"/>
  <c r="H3817" i="4"/>
  <c r="Q3816" i="4"/>
  <c r="P3816" i="4"/>
  <c r="O3816" i="4"/>
  <c r="N3816" i="4"/>
  <c r="M3816" i="4"/>
  <c r="L3816" i="4"/>
  <c r="K3816" i="4"/>
  <c r="J3816" i="4"/>
  <c r="I3816" i="4"/>
  <c r="H3816" i="4"/>
  <c r="Q3815" i="4"/>
  <c r="P3815" i="4"/>
  <c r="O3815" i="4"/>
  <c r="N3815" i="4"/>
  <c r="M3815" i="4"/>
  <c r="L3815" i="4"/>
  <c r="K3815" i="4"/>
  <c r="J3815" i="4"/>
  <c r="I3815" i="4"/>
  <c r="H3815" i="4"/>
  <c r="Q3814" i="4"/>
  <c r="P3814" i="4"/>
  <c r="O3814" i="4"/>
  <c r="N3814" i="4"/>
  <c r="M3814" i="4"/>
  <c r="L3814" i="4"/>
  <c r="K3814" i="4"/>
  <c r="J3814" i="4"/>
  <c r="I3814" i="4"/>
  <c r="H3814" i="4"/>
  <c r="Q3813" i="4"/>
  <c r="P3813" i="4"/>
  <c r="O3813" i="4"/>
  <c r="N3813" i="4"/>
  <c r="M3813" i="4"/>
  <c r="L3813" i="4"/>
  <c r="K3813" i="4"/>
  <c r="J3813" i="4"/>
  <c r="I3813" i="4"/>
  <c r="H3813" i="4"/>
  <c r="Q3812" i="4"/>
  <c r="P3812" i="4"/>
  <c r="O3812" i="4"/>
  <c r="N3812" i="4"/>
  <c r="M3812" i="4"/>
  <c r="L3812" i="4"/>
  <c r="K3812" i="4"/>
  <c r="J3812" i="4"/>
  <c r="I3812" i="4"/>
  <c r="H3812" i="4"/>
  <c r="Q3811" i="4"/>
  <c r="P3811" i="4"/>
  <c r="O3811" i="4"/>
  <c r="N3811" i="4"/>
  <c r="M3811" i="4"/>
  <c r="L3811" i="4"/>
  <c r="K3811" i="4"/>
  <c r="J3811" i="4"/>
  <c r="I3811" i="4"/>
  <c r="H3811" i="4"/>
  <c r="Q3810" i="4"/>
  <c r="P3810" i="4"/>
  <c r="O3810" i="4"/>
  <c r="N3810" i="4"/>
  <c r="M3810" i="4"/>
  <c r="L3810" i="4"/>
  <c r="K3810" i="4"/>
  <c r="J3810" i="4"/>
  <c r="I3810" i="4"/>
  <c r="H3810" i="4"/>
  <c r="Q3809" i="4"/>
  <c r="P3809" i="4"/>
  <c r="O3809" i="4"/>
  <c r="N3809" i="4"/>
  <c r="M3809" i="4"/>
  <c r="L3809" i="4"/>
  <c r="K3809" i="4"/>
  <c r="J3809" i="4"/>
  <c r="I3809" i="4"/>
  <c r="H3809" i="4"/>
  <c r="Q3808" i="4"/>
  <c r="P3808" i="4"/>
  <c r="O3808" i="4"/>
  <c r="N3808" i="4"/>
  <c r="M3808" i="4"/>
  <c r="L3808" i="4"/>
  <c r="K3808" i="4"/>
  <c r="J3808" i="4"/>
  <c r="I3808" i="4"/>
  <c r="H3808" i="4"/>
  <c r="Q3807" i="4"/>
  <c r="P3807" i="4"/>
  <c r="O3807" i="4"/>
  <c r="N3807" i="4"/>
  <c r="M3807" i="4"/>
  <c r="L3807" i="4"/>
  <c r="K3807" i="4"/>
  <c r="J3807" i="4"/>
  <c r="I3807" i="4"/>
  <c r="H3807" i="4"/>
  <c r="Q3806" i="4"/>
  <c r="P3806" i="4"/>
  <c r="O3806" i="4"/>
  <c r="N3806" i="4"/>
  <c r="M3806" i="4"/>
  <c r="L3806" i="4"/>
  <c r="K3806" i="4"/>
  <c r="J3806" i="4"/>
  <c r="I3806" i="4"/>
  <c r="H3806" i="4"/>
  <c r="Q3805" i="4"/>
  <c r="P3805" i="4"/>
  <c r="O3805" i="4"/>
  <c r="N3805" i="4"/>
  <c r="M3805" i="4"/>
  <c r="L3805" i="4"/>
  <c r="K3805" i="4"/>
  <c r="J3805" i="4"/>
  <c r="I3805" i="4"/>
  <c r="H3805" i="4"/>
  <c r="Q3804" i="4"/>
  <c r="P3804" i="4"/>
  <c r="O3804" i="4"/>
  <c r="N3804" i="4"/>
  <c r="M3804" i="4"/>
  <c r="L3804" i="4"/>
  <c r="K3804" i="4"/>
  <c r="J3804" i="4"/>
  <c r="I3804" i="4"/>
  <c r="H3804" i="4"/>
  <c r="Q3803" i="4"/>
  <c r="P3803" i="4"/>
  <c r="O3803" i="4"/>
  <c r="N3803" i="4"/>
  <c r="M3803" i="4"/>
  <c r="L3803" i="4"/>
  <c r="K3803" i="4"/>
  <c r="J3803" i="4"/>
  <c r="I3803" i="4"/>
  <c r="H3803" i="4"/>
  <c r="Q3802" i="4"/>
  <c r="P3802" i="4"/>
  <c r="O3802" i="4"/>
  <c r="N3802" i="4"/>
  <c r="M3802" i="4"/>
  <c r="L3802" i="4"/>
  <c r="K3802" i="4"/>
  <c r="J3802" i="4"/>
  <c r="I3802" i="4"/>
  <c r="H3802" i="4"/>
  <c r="Q3801" i="4"/>
  <c r="P3801" i="4"/>
  <c r="O3801" i="4"/>
  <c r="N3801" i="4"/>
  <c r="M3801" i="4"/>
  <c r="L3801" i="4"/>
  <c r="K3801" i="4"/>
  <c r="J3801" i="4"/>
  <c r="I3801" i="4"/>
  <c r="H3801" i="4"/>
  <c r="Q3800" i="4"/>
  <c r="P3800" i="4"/>
  <c r="O3800" i="4"/>
  <c r="N3800" i="4"/>
  <c r="M3800" i="4"/>
  <c r="L3800" i="4"/>
  <c r="K3800" i="4"/>
  <c r="J3800" i="4"/>
  <c r="I3800" i="4"/>
  <c r="H3800" i="4"/>
  <c r="Q3799" i="4"/>
  <c r="P3799" i="4"/>
  <c r="O3799" i="4"/>
  <c r="N3799" i="4"/>
  <c r="M3799" i="4"/>
  <c r="L3799" i="4"/>
  <c r="K3799" i="4"/>
  <c r="J3799" i="4"/>
  <c r="I3799" i="4"/>
  <c r="H3799" i="4"/>
  <c r="Q3798" i="4"/>
  <c r="P3798" i="4"/>
  <c r="O3798" i="4"/>
  <c r="N3798" i="4"/>
  <c r="M3798" i="4"/>
  <c r="L3798" i="4"/>
  <c r="K3798" i="4"/>
  <c r="J3798" i="4"/>
  <c r="I3798" i="4"/>
  <c r="H3798" i="4"/>
  <c r="Q3797" i="4"/>
  <c r="P3797" i="4"/>
  <c r="O3797" i="4"/>
  <c r="N3797" i="4"/>
  <c r="M3797" i="4"/>
  <c r="L3797" i="4"/>
  <c r="K3797" i="4"/>
  <c r="J3797" i="4"/>
  <c r="I3797" i="4"/>
  <c r="H3797" i="4"/>
  <c r="Q3796" i="4"/>
  <c r="P3796" i="4"/>
  <c r="O3796" i="4"/>
  <c r="N3796" i="4"/>
  <c r="M3796" i="4"/>
  <c r="L3796" i="4"/>
  <c r="K3796" i="4"/>
  <c r="J3796" i="4"/>
  <c r="I3796" i="4"/>
  <c r="H3796" i="4"/>
  <c r="Q3795" i="4"/>
  <c r="P3795" i="4"/>
  <c r="O3795" i="4"/>
  <c r="N3795" i="4"/>
  <c r="M3795" i="4"/>
  <c r="L3795" i="4"/>
  <c r="K3795" i="4"/>
  <c r="J3795" i="4"/>
  <c r="I3795" i="4"/>
  <c r="H3795" i="4"/>
  <c r="Q3794" i="4"/>
  <c r="P3794" i="4"/>
  <c r="O3794" i="4"/>
  <c r="N3794" i="4"/>
  <c r="M3794" i="4"/>
  <c r="L3794" i="4"/>
  <c r="K3794" i="4"/>
  <c r="J3794" i="4"/>
  <c r="I3794" i="4"/>
  <c r="H3794" i="4"/>
  <c r="Q3793" i="4"/>
  <c r="P3793" i="4"/>
  <c r="O3793" i="4"/>
  <c r="N3793" i="4"/>
  <c r="M3793" i="4"/>
  <c r="L3793" i="4"/>
  <c r="K3793" i="4"/>
  <c r="J3793" i="4"/>
  <c r="I3793" i="4"/>
  <c r="H3793" i="4"/>
  <c r="Q3792" i="4"/>
  <c r="P3792" i="4"/>
  <c r="O3792" i="4"/>
  <c r="N3792" i="4"/>
  <c r="M3792" i="4"/>
  <c r="L3792" i="4"/>
  <c r="K3792" i="4"/>
  <c r="J3792" i="4"/>
  <c r="I3792" i="4"/>
  <c r="H3792" i="4"/>
  <c r="Q3791" i="4"/>
  <c r="P3791" i="4"/>
  <c r="O3791" i="4"/>
  <c r="N3791" i="4"/>
  <c r="M3791" i="4"/>
  <c r="L3791" i="4"/>
  <c r="K3791" i="4"/>
  <c r="J3791" i="4"/>
  <c r="I3791" i="4"/>
  <c r="H3791" i="4"/>
  <c r="Q3790" i="4"/>
  <c r="P3790" i="4"/>
  <c r="O3790" i="4"/>
  <c r="N3790" i="4"/>
  <c r="M3790" i="4"/>
  <c r="L3790" i="4"/>
  <c r="K3790" i="4"/>
  <c r="J3790" i="4"/>
  <c r="I3790" i="4"/>
  <c r="H3790" i="4"/>
  <c r="Q3789" i="4"/>
  <c r="P3789" i="4"/>
  <c r="O3789" i="4"/>
  <c r="N3789" i="4"/>
  <c r="M3789" i="4"/>
  <c r="L3789" i="4"/>
  <c r="K3789" i="4"/>
  <c r="J3789" i="4"/>
  <c r="I3789" i="4"/>
  <c r="H3789" i="4"/>
  <c r="Q3788" i="4"/>
  <c r="P3788" i="4"/>
  <c r="O3788" i="4"/>
  <c r="N3788" i="4"/>
  <c r="M3788" i="4"/>
  <c r="L3788" i="4"/>
  <c r="K3788" i="4"/>
  <c r="J3788" i="4"/>
  <c r="I3788" i="4"/>
  <c r="H3788" i="4"/>
  <c r="Q3787" i="4"/>
  <c r="P3787" i="4"/>
  <c r="O3787" i="4"/>
  <c r="N3787" i="4"/>
  <c r="M3787" i="4"/>
  <c r="L3787" i="4"/>
  <c r="K3787" i="4"/>
  <c r="J3787" i="4"/>
  <c r="I3787" i="4"/>
  <c r="H3787" i="4"/>
  <c r="Q3786" i="4"/>
  <c r="P3786" i="4"/>
  <c r="O3786" i="4"/>
  <c r="N3786" i="4"/>
  <c r="M3786" i="4"/>
  <c r="L3786" i="4"/>
  <c r="K3786" i="4"/>
  <c r="J3786" i="4"/>
  <c r="I3786" i="4"/>
  <c r="H3786" i="4"/>
  <c r="Q3785" i="4"/>
  <c r="P3785" i="4"/>
  <c r="O3785" i="4"/>
  <c r="N3785" i="4"/>
  <c r="M3785" i="4"/>
  <c r="L3785" i="4"/>
  <c r="K3785" i="4"/>
  <c r="J3785" i="4"/>
  <c r="I3785" i="4"/>
  <c r="H3785" i="4"/>
  <c r="Q3784" i="4"/>
  <c r="P3784" i="4"/>
  <c r="O3784" i="4"/>
  <c r="N3784" i="4"/>
  <c r="M3784" i="4"/>
  <c r="L3784" i="4"/>
  <c r="K3784" i="4"/>
  <c r="J3784" i="4"/>
  <c r="I3784" i="4"/>
  <c r="H3784" i="4"/>
  <c r="Q3783" i="4"/>
  <c r="P3783" i="4"/>
  <c r="O3783" i="4"/>
  <c r="N3783" i="4"/>
  <c r="M3783" i="4"/>
  <c r="L3783" i="4"/>
  <c r="K3783" i="4"/>
  <c r="J3783" i="4"/>
  <c r="I3783" i="4"/>
  <c r="H3783" i="4"/>
  <c r="Q3782" i="4"/>
  <c r="P3782" i="4"/>
  <c r="O3782" i="4"/>
  <c r="N3782" i="4"/>
  <c r="M3782" i="4"/>
  <c r="L3782" i="4"/>
  <c r="K3782" i="4"/>
  <c r="J3782" i="4"/>
  <c r="I3782" i="4"/>
  <c r="H3782" i="4"/>
  <c r="Q3781" i="4"/>
  <c r="P3781" i="4"/>
  <c r="O3781" i="4"/>
  <c r="N3781" i="4"/>
  <c r="M3781" i="4"/>
  <c r="L3781" i="4"/>
  <c r="K3781" i="4"/>
  <c r="J3781" i="4"/>
  <c r="I3781" i="4"/>
  <c r="H3781" i="4"/>
  <c r="Q3780" i="4"/>
  <c r="P3780" i="4"/>
  <c r="O3780" i="4"/>
  <c r="N3780" i="4"/>
  <c r="M3780" i="4"/>
  <c r="L3780" i="4"/>
  <c r="K3780" i="4"/>
  <c r="J3780" i="4"/>
  <c r="I3780" i="4"/>
  <c r="H3780" i="4"/>
  <c r="Q3779" i="4"/>
  <c r="P3779" i="4"/>
  <c r="O3779" i="4"/>
  <c r="N3779" i="4"/>
  <c r="M3779" i="4"/>
  <c r="L3779" i="4"/>
  <c r="K3779" i="4"/>
  <c r="J3779" i="4"/>
  <c r="I3779" i="4"/>
  <c r="H3779" i="4"/>
  <c r="Q3778" i="4"/>
  <c r="P3778" i="4"/>
  <c r="O3778" i="4"/>
  <c r="N3778" i="4"/>
  <c r="M3778" i="4"/>
  <c r="L3778" i="4"/>
  <c r="K3778" i="4"/>
  <c r="J3778" i="4"/>
  <c r="I3778" i="4"/>
  <c r="H3778" i="4"/>
  <c r="Q3777" i="4"/>
  <c r="P3777" i="4"/>
  <c r="O3777" i="4"/>
  <c r="N3777" i="4"/>
  <c r="M3777" i="4"/>
  <c r="L3777" i="4"/>
  <c r="K3777" i="4"/>
  <c r="J3777" i="4"/>
  <c r="I3777" i="4"/>
  <c r="H3777" i="4"/>
  <c r="Q3776" i="4"/>
  <c r="P3776" i="4"/>
  <c r="O3776" i="4"/>
  <c r="N3776" i="4"/>
  <c r="M3776" i="4"/>
  <c r="L3776" i="4"/>
  <c r="K3776" i="4"/>
  <c r="J3776" i="4"/>
  <c r="I3776" i="4"/>
  <c r="H3776" i="4"/>
  <c r="Q3775" i="4"/>
  <c r="P3775" i="4"/>
  <c r="O3775" i="4"/>
  <c r="N3775" i="4"/>
  <c r="M3775" i="4"/>
  <c r="L3775" i="4"/>
  <c r="K3775" i="4"/>
  <c r="J3775" i="4"/>
  <c r="I3775" i="4"/>
  <c r="H3775" i="4"/>
  <c r="Q3774" i="4"/>
  <c r="P3774" i="4"/>
  <c r="O3774" i="4"/>
  <c r="N3774" i="4"/>
  <c r="M3774" i="4"/>
  <c r="L3774" i="4"/>
  <c r="K3774" i="4"/>
  <c r="J3774" i="4"/>
  <c r="I3774" i="4"/>
  <c r="H3774" i="4"/>
  <c r="Q3773" i="4"/>
  <c r="P3773" i="4"/>
  <c r="O3773" i="4"/>
  <c r="N3773" i="4"/>
  <c r="M3773" i="4"/>
  <c r="L3773" i="4"/>
  <c r="K3773" i="4"/>
  <c r="J3773" i="4"/>
  <c r="I3773" i="4"/>
  <c r="H3773" i="4"/>
  <c r="Q3772" i="4"/>
  <c r="P3772" i="4"/>
  <c r="O3772" i="4"/>
  <c r="N3772" i="4"/>
  <c r="M3772" i="4"/>
  <c r="L3772" i="4"/>
  <c r="K3772" i="4"/>
  <c r="J3772" i="4"/>
  <c r="I3772" i="4"/>
  <c r="H3772" i="4"/>
  <c r="Q3771" i="4"/>
  <c r="P3771" i="4"/>
  <c r="O3771" i="4"/>
  <c r="N3771" i="4"/>
  <c r="M3771" i="4"/>
  <c r="L3771" i="4"/>
  <c r="K3771" i="4"/>
  <c r="J3771" i="4"/>
  <c r="I3771" i="4"/>
  <c r="H3771" i="4"/>
  <c r="Q3770" i="4"/>
  <c r="P3770" i="4"/>
  <c r="O3770" i="4"/>
  <c r="N3770" i="4"/>
  <c r="M3770" i="4"/>
  <c r="L3770" i="4"/>
  <c r="K3770" i="4"/>
  <c r="J3770" i="4"/>
  <c r="I3770" i="4"/>
  <c r="H3770" i="4"/>
  <c r="Q3769" i="4"/>
  <c r="P3769" i="4"/>
  <c r="O3769" i="4"/>
  <c r="N3769" i="4"/>
  <c r="M3769" i="4"/>
  <c r="L3769" i="4"/>
  <c r="K3769" i="4"/>
  <c r="J3769" i="4"/>
  <c r="I3769" i="4"/>
  <c r="H3769" i="4"/>
  <c r="Q3768" i="4"/>
  <c r="P3768" i="4"/>
  <c r="O3768" i="4"/>
  <c r="N3768" i="4"/>
  <c r="M3768" i="4"/>
  <c r="L3768" i="4"/>
  <c r="K3768" i="4"/>
  <c r="J3768" i="4"/>
  <c r="I3768" i="4"/>
  <c r="H3768" i="4"/>
  <c r="Q3767" i="4"/>
  <c r="P3767" i="4"/>
  <c r="O3767" i="4"/>
  <c r="N3767" i="4"/>
  <c r="M3767" i="4"/>
  <c r="L3767" i="4"/>
  <c r="K3767" i="4"/>
  <c r="J3767" i="4"/>
  <c r="I3767" i="4"/>
  <c r="H3767" i="4"/>
  <c r="Q3766" i="4"/>
  <c r="P3766" i="4"/>
  <c r="O3766" i="4"/>
  <c r="N3766" i="4"/>
  <c r="M3766" i="4"/>
  <c r="L3766" i="4"/>
  <c r="K3766" i="4"/>
  <c r="J3766" i="4"/>
  <c r="I3766" i="4"/>
  <c r="H3766" i="4"/>
  <c r="Q3765" i="4"/>
  <c r="P3765" i="4"/>
  <c r="O3765" i="4"/>
  <c r="N3765" i="4"/>
  <c r="M3765" i="4"/>
  <c r="L3765" i="4"/>
  <c r="K3765" i="4"/>
  <c r="J3765" i="4"/>
  <c r="I3765" i="4"/>
  <c r="H3765" i="4"/>
  <c r="Q3764" i="4"/>
  <c r="P3764" i="4"/>
  <c r="O3764" i="4"/>
  <c r="N3764" i="4"/>
  <c r="M3764" i="4"/>
  <c r="L3764" i="4"/>
  <c r="K3764" i="4"/>
  <c r="J3764" i="4"/>
  <c r="I3764" i="4"/>
  <c r="H3764" i="4"/>
  <c r="Q3763" i="4"/>
  <c r="P3763" i="4"/>
  <c r="O3763" i="4"/>
  <c r="N3763" i="4"/>
  <c r="M3763" i="4"/>
  <c r="L3763" i="4"/>
  <c r="K3763" i="4"/>
  <c r="J3763" i="4"/>
  <c r="I3763" i="4"/>
  <c r="H3763" i="4"/>
  <c r="Q3762" i="4"/>
  <c r="P3762" i="4"/>
  <c r="O3762" i="4"/>
  <c r="N3762" i="4"/>
  <c r="M3762" i="4"/>
  <c r="L3762" i="4"/>
  <c r="K3762" i="4"/>
  <c r="J3762" i="4"/>
  <c r="I3762" i="4"/>
  <c r="H3762" i="4"/>
  <c r="Q3761" i="4"/>
  <c r="P3761" i="4"/>
  <c r="O3761" i="4"/>
  <c r="N3761" i="4"/>
  <c r="M3761" i="4"/>
  <c r="L3761" i="4"/>
  <c r="K3761" i="4"/>
  <c r="J3761" i="4"/>
  <c r="I3761" i="4"/>
  <c r="H3761" i="4"/>
  <c r="Q3760" i="4"/>
  <c r="P3760" i="4"/>
  <c r="O3760" i="4"/>
  <c r="N3760" i="4"/>
  <c r="M3760" i="4"/>
  <c r="L3760" i="4"/>
  <c r="K3760" i="4"/>
  <c r="J3760" i="4"/>
  <c r="I3760" i="4"/>
  <c r="H3760" i="4"/>
  <c r="Q3759" i="4"/>
  <c r="P3759" i="4"/>
  <c r="O3759" i="4"/>
  <c r="N3759" i="4"/>
  <c r="M3759" i="4"/>
  <c r="L3759" i="4"/>
  <c r="K3759" i="4"/>
  <c r="J3759" i="4"/>
  <c r="I3759" i="4"/>
  <c r="H3759" i="4"/>
  <c r="Q3758" i="4"/>
  <c r="P3758" i="4"/>
  <c r="O3758" i="4"/>
  <c r="N3758" i="4"/>
  <c r="M3758" i="4"/>
  <c r="L3758" i="4"/>
  <c r="K3758" i="4"/>
  <c r="J3758" i="4"/>
  <c r="I3758" i="4"/>
  <c r="H3758" i="4"/>
  <c r="Q3757" i="4"/>
  <c r="P3757" i="4"/>
  <c r="O3757" i="4"/>
  <c r="N3757" i="4"/>
  <c r="M3757" i="4"/>
  <c r="L3757" i="4"/>
  <c r="K3757" i="4"/>
  <c r="J3757" i="4"/>
  <c r="I3757" i="4"/>
  <c r="H3757" i="4"/>
  <c r="Q3756" i="4"/>
  <c r="P3756" i="4"/>
  <c r="O3756" i="4"/>
  <c r="N3756" i="4"/>
  <c r="M3756" i="4"/>
  <c r="L3756" i="4"/>
  <c r="K3756" i="4"/>
  <c r="J3756" i="4"/>
  <c r="I3756" i="4"/>
  <c r="H3756" i="4"/>
  <c r="Q3755" i="4"/>
  <c r="P3755" i="4"/>
  <c r="O3755" i="4"/>
  <c r="N3755" i="4"/>
  <c r="M3755" i="4"/>
  <c r="L3755" i="4"/>
  <c r="K3755" i="4"/>
  <c r="J3755" i="4"/>
  <c r="I3755" i="4"/>
  <c r="H3755" i="4"/>
  <c r="Q3754" i="4"/>
  <c r="P3754" i="4"/>
  <c r="O3754" i="4"/>
  <c r="N3754" i="4"/>
  <c r="M3754" i="4"/>
  <c r="L3754" i="4"/>
  <c r="K3754" i="4"/>
  <c r="J3754" i="4"/>
  <c r="I3754" i="4"/>
  <c r="H3754" i="4"/>
  <c r="Q3753" i="4"/>
  <c r="P3753" i="4"/>
  <c r="O3753" i="4"/>
  <c r="N3753" i="4"/>
  <c r="M3753" i="4"/>
  <c r="L3753" i="4"/>
  <c r="K3753" i="4"/>
  <c r="J3753" i="4"/>
  <c r="I3753" i="4"/>
  <c r="H3753" i="4"/>
  <c r="Q3752" i="4"/>
  <c r="P3752" i="4"/>
  <c r="O3752" i="4"/>
  <c r="N3752" i="4"/>
  <c r="M3752" i="4"/>
  <c r="L3752" i="4"/>
  <c r="K3752" i="4"/>
  <c r="J3752" i="4"/>
  <c r="I3752" i="4"/>
  <c r="H3752" i="4"/>
  <c r="Q3751" i="4"/>
  <c r="P3751" i="4"/>
  <c r="O3751" i="4"/>
  <c r="N3751" i="4"/>
  <c r="M3751" i="4"/>
  <c r="L3751" i="4"/>
  <c r="K3751" i="4"/>
  <c r="J3751" i="4"/>
  <c r="I3751" i="4"/>
  <c r="H3751" i="4"/>
  <c r="Q3750" i="4"/>
  <c r="P3750" i="4"/>
  <c r="O3750" i="4"/>
  <c r="N3750" i="4"/>
  <c r="M3750" i="4"/>
  <c r="L3750" i="4"/>
  <c r="K3750" i="4"/>
  <c r="J3750" i="4"/>
  <c r="I3750" i="4"/>
  <c r="H3750" i="4"/>
  <c r="Q3749" i="4"/>
  <c r="P3749" i="4"/>
  <c r="O3749" i="4"/>
  <c r="N3749" i="4"/>
  <c r="M3749" i="4"/>
  <c r="L3749" i="4"/>
  <c r="K3749" i="4"/>
  <c r="J3749" i="4"/>
  <c r="I3749" i="4"/>
  <c r="H3749" i="4"/>
  <c r="Q3748" i="4"/>
  <c r="P3748" i="4"/>
  <c r="O3748" i="4"/>
  <c r="N3748" i="4"/>
  <c r="M3748" i="4"/>
  <c r="L3748" i="4"/>
  <c r="K3748" i="4"/>
  <c r="J3748" i="4"/>
  <c r="I3748" i="4"/>
  <c r="H3748" i="4"/>
  <c r="Q3747" i="4"/>
  <c r="P3747" i="4"/>
  <c r="O3747" i="4"/>
  <c r="N3747" i="4"/>
  <c r="M3747" i="4"/>
  <c r="L3747" i="4"/>
  <c r="K3747" i="4"/>
  <c r="J3747" i="4"/>
  <c r="I3747" i="4"/>
  <c r="H3747" i="4"/>
  <c r="Q3746" i="4"/>
  <c r="P3746" i="4"/>
  <c r="O3746" i="4"/>
  <c r="N3746" i="4"/>
  <c r="M3746" i="4"/>
  <c r="L3746" i="4"/>
  <c r="K3746" i="4"/>
  <c r="J3746" i="4"/>
  <c r="I3746" i="4"/>
  <c r="H3746" i="4"/>
  <c r="Q3745" i="4"/>
  <c r="P3745" i="4"/>
  <c r="O3745" i="4"/>
  <c r="N3745" i="4"/>
  <c r="M3745" i="4"/>
  <c r="L3745" i="4"/>
  <c r="K3745" i="4"/>
  <c r="J3745" i="4"/>
  <c r="I3745" i="4"/>
  <c r="H3745" i="4"/>
  <c r="Q3744" i="4"/>
  <c r="P3744" i="4"/>
  <c r="O3744" i="4"/>
  <c r="N3744" i="4"/>
  <c r="M3744" i="4"/>
  <c r="L3744" i="4"/>
  <c r="K3744" i="4"/>
  <c r="J3744" i="4"/>
  <c r="I3744" i="4"/>
  <c r="H3744" i="4"/>
  <c r="Q3743" i="4"/>
  <c r="P3743" i="4"/>
  <c r="O3743" i="4"/>
  <c r="N3743" i="4"/>
  <c r="M3743" i="4"/>
  <c r="L3743" i="4"/>
  <c r="K3743" i="4"/>
  <c r="J3743" i="4"/>
  <c r="I3743" i="4"/>
  <c r="H3743" i="4"/>
  <c r="Q3742" i="4"/>
  <c r="P3742" i="4"/>
  <c r="O3742" i="4"/>
  <c r="N3742" i="4"/>
  <c r="M3742" i="4"/>
  <c r="L3742" i="4"/>
  <c r="K3742" i="4"/>
  <c r="J3742" i="4"/>
  <c r="I3742" i="4"/>
  <c r="H3742" i="4"/>
  <c r="Q3741" i="4"/>
  <c r="P3741" i="4"/>
  <c r="O3741" i="4"/>
  <c r="N3741" i="4"/>
  <c r="M3741" i="4"/>
  <c r="L3741" i="4"/>
  <c r="K3741" i="4"/>
  <c r="J3741" i="4"/>
  <c r="I3741" i="4"/>
  <c r="H3741" i="4"/>
  <c r="Q3740" i="4"/>
  <c r="P3740" i="4"/>
  <c r="O3740" i="4"/>
  <c r="N3740" i="4"/>
  <c r="M3740" i="4"/>
  <c r="L3740" i="4"/>
  <c r="K3740" i="4"/>
  <c r="J3740" i="4"/>
  <c r="I3740" i="4"/>
  <c r="H3740" i="4"/>
  <c r="Q3739" i="4"/>
  <c r="P3739" i="4"/>
  <c r="O3739" i="4"/>
  <c r="N3739" i="4"/>
  <c r="M3739" i="4"/>
  <c r="L3739" i="4"/>
  <c r="K3739" i="4"/>
  <c r="J3739" i="4"/>
  <c r="I3739" i="4"/>
  <c r="H3739" i="4"/>
  <c r="Q3738" i="4"/>
  <c r="P3738" i="4"/>
  <c r="O3738" i="4"/>
  <c r="N3738" i="4"/>
  <c r="M3738" i="4"/>
  <c r="L3738" i="4"/>
  <c r="K3738" i="4"/>
  <c r="J3738" i="4"/>
  <c r="I3738" i="4"/>
  <c r="H3738" i="4"/>
  <c r="Q3737" i="4"/>
  <c r="P3737" i="4"/>
  <c r="O3737" i="4"/>
  <c r="N3737" i="4"/>
  <c r="M3737" i="4"/>
  <c r="L3737" i="4"/>
  <c r="K3737" i="4"/>
  <c r="J3737" i="4"/>
  <c r="I3737" i="4"/>
  <c r="H3737" i="4"/>
  <c r="Q3736" i="4"/>
  <c r="P3736" i="4"/>
  <c r="O3736" i="4"/>
  <c r="N3736" i="4"/>
  <c r="M3736" i="4"/>
  <c r="L3736" i="4"/>
  <c r="K3736" i="4"/>
  <c r="J3736" i="4"/>
  <c r="I3736" i="4"/>
  <c r="H3736" i="4"/>
  <c r="Q3735" i="4"/>
  <c r="P3735" i="4"/>
  <c r="O3735" i="4"/>
  <c r="N3735" i="4"/>
  <c r="M3735" i="4"/>
  <c r="L3735" i="4"/>
  <c r="K3735" i="4"/>
  <c r="J3735" i="4"/>
  <c r="I3735" i="4"/>
  <c r="H3735" i="4"/>
  <c r="Q3734" i="4"/>
  <c r="P3734" i="4"/>
  <c r="O3734" i="4"/>
  <c r="N3734" i="4"/>
  <c r="M3734" i="4"/>
  <c r="L3734" i="4"/>
  <c r="K3734" i="4"/>
  <c r="J3734" i="4"/>
  <c r="I3734" i="4"/>
  <c r="H3734" i="4"/>
  <c r="Q3733" i="4"/>
  <c r="P3733" i="4"/>
  <c r="O3733" i="4"/>
  <c r="N3733" i="4"/>
  <c r="M3733" i="4"/>
  <c r="L3733" i="4"/>
  <c r="K3733" i="4"/>
  <c r="J3733" i="4"/>
  <c r="I3733" i="4"/>
  <c r="H3733" i="4"/>
  <c r="Q3732" i="4"/>
  <c r="P3732" i="4"/>
  <c r="O3732" i="4"/>
  <c r="N3732" i="4"/>
  <c r="M3732" i="4"/>
  <c r="L3732" i="4"/>
  <c r="K3732" i="4"/>
  <c r="J3732" i="4"/>
  <c r="I3732" i="4"/>
  <c r="H3732" i="4"/>
  <c r="Q3731" i="4"/>
  <c r="P3731" i="4"/>
  <c r="O3731" i="4"/>
  <c r="N3731" i="4"/>
  <c r="M3731" i="4"/>
  <c r="L3731" i="4"/>
  <c r="K3731" i="4"/>
  <c r="J3731" i="4"/>
  <c r="I3731" i="4"/>
  <c r="H3731" i="4"/>
  <c r="Q3730" i="4"/>
  <c r="P3730" i="4"/>
  <c r="O3730" i="4"/>
  <c r="N3730" i="4"/>
  <c r="M3730" i="4"/>
  <c r="L3730" i="4"/>
  <c r="K3730" i="4"/>
  <c r="J3730" i="4"/>
  <c r="I3730" i="4"/>
  <c r="H3730" i="4"/>
  <c r="Q3729" i="4"/>
  <c r="P3729" i="4"/>
  <c r="O3729" i="4"/>
  <c r="N3729" i="4"/>
  <c r="M3729" i="4"/>
  <c r="L3729" i="4"/>
  <c r="K3729" i="4"/>
  <c r="J3729" i="4"/>
  <c r="I3729" i="4"/>
  <c r="H3729" i="4"/>
  <c r="Q3728" i="4"/>
  <c r="P3728" i="4"/>
  <c r="O3728" i="4"/>
  <c r="N3728" i="4"/>
  <c r="M3728" i="4"/>
  <c r="L3728" i="4"/>
  <c r="K3728" i="4"/>
  <c r="J3728" i="4"/>
  <c r="I3728" i="4"/>
  <c r="H3728" i="4"/>
  <c r="Q3727" i="4"/>
  <c r="P3727" i="4"/>
  <c r="O3727" i="4"/>
  <c r="N3727" i="4"/>
  <c r="M3727" i="4"/>
  <c r="L3727" i="4"/>
  <c r="K3727" i="4"/>
  <c r="J3727" i="4"/>
  <c r="I3727" i="4"/>
  <c r="H3727" i="4"/>
  <c r="Q3726" i="4"/>
  <c r="P3726" i="4"/>
  <c r="O3726" i="4"/>
  <c r="N3726" i="4"/>
  <c r="M3726" i="4"/>
  <c r="L3726" i="4"/>
  <c r="K3726" i="4"/>
  <c r="J3726" i="4"/>
  <c r="I3726" i="4"/>
  <c r="H3726" i="4"/>
  <c r="Q3725" i="4"/>
  <c r="P3725" i="4"/>
  <c r="O3725" i="4"/>
  <c r="N3725" i="4"/>
  <c r="M3725" i="4"/>
  <c r="L3725" i="4"/>
  <c r="K3725" i="4"/>
  <c r="J3725" i="4"/>
  <c r="I3725" i="4"/>
  <c r="H3725" i="4"/>
  <c r="Q3724" i="4"/>
  <c r="P3724" i="4"/>
  <c r="O3724" i="4"/>
  <c r="N3724" i="4"/>
  <c r="M3724" i="4"/>
  <c r="L3724" i="4"/>
  <c r="K3724" i="4"/>
  <c r="J3724" i="4"/>
  <c r="I3724" i="4"/>
  <c r="H3724" i="4"/>
  <c r="Q3723" i="4"/>
  <c r="P3723" i="4"/>
  <c r="O3723" i="4"/>
  <c r="N3723" i="4"/>
  <c r="M3723" i="4"/>
  <c r="L3723" i="4"/>
  <c r="K3723" i="4"/>
  <c r="J3723" i="4"/>
  <c r="I3723" i="4"/>
  <c r="H3723" i="4"/>
  <c r="Q3722" i="4"/>
  <c r="P3722" i="4"/>
  <c r="O3722" i="4"/>
  <c r="N3722" i="4"/>
  <c r="M3722" i="4"/>
  <c r="L3722" i="4"/>
  <c r="K3722" i="4"/>
  <c r="J3722" i="4"/>
  <c r="I3722" i="4"/>
  <c r="H3722" i="4"/>
  <c r="Q3721" i="4"/>
  <c r="P3721" i="4"/>
  <c r="O3721" i="4"/>
  <c r="N3721" i="4"/>
  <c r="M3721" i="4"/>
  <c r="L3721" i="4"/>
  <c r="K3721" i="4"/>
  <c r="J3721" i="4"/>
  <c r="I3721" i="4"/>
  <c r="H3721" i="4"/>
  <c r="Q3720" i="4"/>
  <c r="P3720" i="4"/>
  <c r="O3720" i="4"/>
  <c r="N3720" i="4"/>
  <c r="M3720" i="4"/>
  <c r="L3720" i="4"/>
  <c r="K3720" i="4"/>
  <c r="J3720" i="4"/>
  <c r="I3720" i="4"/>
  <c r="H3720" i="4"/>
  <c r="Q3719" i="4"/>
  <c r="P3719" i="4"/>
  <c r="O3719" i="4"/>
  <c r="N3719" i="4"/>
  <c r="M3719" i="4"/>
  <c r="L3719" i="4"/>
  <c r="K3719" i="4"/>
  <c r="J3719" i="4"/>
  <c r="I3719" i="4"/>
  <c r="H3719" i="4"/>
  <c r="Q3718" i="4"/>
  <c r="P3718" i="4"/>
  <c r="O3718" i="4"/>
  <c r="N3718" i="4"/>
  <c r="M3718" i="4"/>
  <c r="L3718" i="4"/>
  <c r="K3718" i="4"/>
  <c r="J3718" i="4"/>
  <c r="I3718" i="4"/>
  <c r="H3718" i="4"/>
  <c r="Q3717" i="4"/>
  <c r="P3717" i="4"/>
  <c r="O3717" i="4"/>
  <c r="N3717" i="4"/>
  <c r="M3717" i="4"/>
  <c r="L3717" i="4"/>
  <c r="K3717" i="4"/>
  <c r="J3717" i="4"/>
  <c r="I3717" i="4"/>
  <c r="H3717" i="4"/>
  <c r="Q3716" i="4"/>
  <c r="P3716" i="4"/>
  <c r="O3716" i="4"/>
  <c r="N3716" i="4"/>
  <c r="M3716" i="4"/>
  <c r="L3716" i="4"/>
  <c r="K3716" i="4"/>
  <c r="J3716" i="4"/>
  <c r="I3716" i="4"/>
  <c r="H3716" i="4"/>
  <c r="Q3715" i="4"/>
  <c r="P3715" i="4"/>
  <c r="O3715" i="4"/>
  <c r="N3715" i="4"/>
  <c r="M3715" i="4"/>
  <c r="L3715" i="4"/>
  <c r="K3715" i="4"/>
  <c r="J3715" i="4"/>
  <c r="I3715" i="4"/>
  <c r="H3715" i="4"/>
  <c r="Q3714" i="4"/>
  <c r="P3714" i="4"/>
  <c r="O3714" i="4"/>
  <c r="N3714" i="4"/>
  <c r="M3714" i="4"/>
  <c r="L3714" i="4"/>
  <c r="K3714" i="4"/>
  <c r="J3714" i="4"/>
  <c r="I3714" i="4"/>
  <c r="H3714" i="4"/>
  <c r="Q3713" i="4"/>
  <c r="P3713" i="4"/>
  <c r="O3713" i="4"/>
  <c r="N3713" i="4"/>
  <c r="M3713" i="4"/>
  <c r="L3713" i="4"/>
  <c r="K3713" i="4"/>
  <c r="J3713" i="4"/>
  <c r="I3713" i="4"/>
  <c r="H3713" i="4"/>
  <c r="Q3712" i="4"/>
  <c r="P3712" i="4"/>
  <c r="O3712" i="4"/>
  <c r="N3712" i="4"/>
  <c r="M3712" i="4"/>
  <c r="L3712" i="4"/>
  <c r="K3712" i="4"/>
  <c r="J3712" i="4"/>
  <c r="I3712" i="4"/>
  <c r="H3712" i="4"/>
  <c r="Q3711" i="4"/>
  <c r="P3711" i="4"/>
  <c r="O3711" i="4"/>
  <c r="N3711" i="4"/>
  <c r="M3711" i="4"/>
  <c r="L3711" i="4"/>
  <c r="K3711" i="4"/>
  <c r="J3711" i="4"/>
  <c r="I3711" i="4"/>
  <c r="H3711" i="4"/>
  <c r="Q3710" i="4"/>
  <c r="P3710" i="4"/>
  <c r="O3710" i="4"/>
  <c r="N3710" i="4"/>
  <c r="M3710" i="4"/>
  <c r="L3710" i="4"/>
  <c r="K3710" i="4"/>
  <c r="J3710" i="4"/>
  <c r="I3710" i="4"/>
  <c r="H3710" i="4"/>
  <c r="Q3709" i="4"/>
  <c r="P3709" i="4"/>
  <c r="O3709" i="4"/>
  <c r="N3709" i="4"/>
  <c r="M3709" i="4"/>
  <c r="L3709" i="4"/>
  <c r="K3709" i="4"/>
  <c r="J3709" i="4"/>
  <c r="I3709" i="4"/>
  <c r="H3709" i="4"/>
  <c r="Q3708" i="4"/>
  <c r="P3708" i="4"/>
  <c r="O3708" i="4"/>
  <c r="N3708" i="4"/>
  <c r="M3708" i="4"/>
  <c r="L3708" i="4"/>
  <c r="K3708" i="4"/>
  <c r="J3708" i="4"/>
  <c r="I3708" i="4"/>
  <c r="H3708" i="4"/>
  <c r="Q3707" i="4"/>
  <c r="P3707" i="4"/>
  <c r="O3707" i="4"/>
  <c r="N3707" i="4"/>
  <c r="M3707" i="4"/>
  <c r="L3707" i="4"/>
  <c r="K3707" i="4"/>
  <c r="J3707" i="4"/>
  <c r="I3707" i="4"/>
  <c r="H3707" i="4"/>
  <c r="Q3706" i="4"/>
  <c r="P3706" i="4"/>
  <c r="O3706" i="4"/>
  <c r="N3706" i="4"/>
  <c r="M3706" i="4"/>
  <c r="L3706" i="4"/>
  <c r="K3706" i="4"/>
  <c r="J3706" i="4"/>
  <c r="I3706" i="4"/>
  <c r="H3706" i="4"/>
  <c r="Q3705" i="4"/>
  <c r="P3705" i="4"/>
  <c r="O3705" i="4"/>
  <c r="N3705" i="4"/>
  <c r="M3705" i="4"/>
  <c r="L3705" i="4"/>
  <c r="K3705" i="4"/>
  <c r="J3705" i="4"/>
  <c r="I3705" i="4"/>
  <c r="H3705" i="4"/>
  <c r="Q3704" i="4"/>
  <c r="P3704" i="4"/>
  <c r="O3704" i="4"/>
  <c r="N3704" i="4"/>
  <c r="M3704" i="4"/>
  <c r="L3704" i="4"/>
  <c r="K3704" i="4"/>
  <c r="J3704" i="4"/>
  <c r="I3704" i="4"/>
  <c r="H3704" i="4"/>
  <c r="Q3703" i="4"/>
  <c r="P3703" i="4"/>
  <c r="O3703" i="4"/>
  <c r="N3703" i="4"/>
  <c r="M3703" i="4"/>
  <c r="L3703" i="4"/>
  <c r="K3703" i="4"/>
  <c r="J3703" i="4"/>
  <c r="I3703" i="4"/>
  <c r="H3703" i="4"/>
  <c r="Q3702" i="4"/>
  <c r="P3702" i="4"/>
  <c r="O3702" i="4"/>
  <c r="N3702" i="4"/>
  <c r="M3702" i="4"/>
  <c r="L3702" i="4"/>
  <c r="K3702" i="4"/>
  <c r="J3702" i="4"/>
  <c r="I3702" i="4"/>
  <c r="H3702" i="4"/>
  <c r="Q3701" i="4"/>
  <c r="P3701" i="4"/>
  <c r="O3701" i="4"/>
  <c r="N3701" i="4"/>
  <c r="M3701" i="4"/>
  <c r="L3701" i="4"/>
  <c r="K3701" i="4"/>
  <c r="J3701" i="4"/>
  <c r="I3701" i="4"/>
  <c r="H3701" i="4"/>
  <c r="Q3700" i="4"/>
  <c r="P3700" i="4"/>
  <c r="O3700" i="4"/>
  <c r="N3700" i="4"/>
  <c r="M3700" i="4"/>
  <c r="L3700" i="4"/>
  <c r="K3700" i="4"/>
  <c r="J3700" i="4"/>
  <c r="I3700" i="4"/>
  <c r="H3700" i="4"/>
  <c r="Q3699" i="4"/>
  <c r="P3699" i="4"/>
  <c r="O3699" i="4"/>
  <c r="N3699" i="4"/>
  <c r="M3699" i="4"/>
  <c r="L3699" i="4"/>
  <c r="K3699" i="4"/>
  <c r="J3699" i="4"/>
  <c r="I3699" i="4"/>
  <c r="H3699" i="4"/>
  <c r="Q3698" i="4"/>
  <c r="P3698" i="4"/>
  <c r="O3698" i="4"/>
  <c r="N3698" i="4"/>
  <c r="M3698" i="4"/>
  <c r="L3698" i="4"/>
  <c r="K3698" i="4"/>
  <c r="J3698" i="4"/>
  <c r="I3698" i="4"/>
  <c r="H3698" i="4"/>
  <c r="Q3697" i="4"/>
  <c r="P3697" i="4"/>
  <c r="O3697" i="4"/>
  <c r="N3697" i="4"/>
  <c r="M3697" i="4"/>
  <c r="L3697" i="4"/>
  <c r="K3697" i="4"/>
  <c r="J3697" i="4"/>
  <c r="I3697" i="4"/>
  <c r="H3697" i="4"/>
  <c r="Q3696" i="4"/>
  <c r="P3696" i="4"/>
  <c r="O3696" i="4"/>
  <c r="N3696" i="4"/>
  <c r="M3696" i="4"/>
  <c r="L3696" i="4"/>
  <c r="K3696" i="4"/>
  <c r="J3696" i="4"/>
  <c r="I3696" i="4"/>
  <c r="H3696" i="4"/>
  <c r="Q3695" i="4"/>
  <c r="P3695" i="4"/>
  <c r="O3695" i="4"/>
  <c r="N3695" i="4"/>
  <c r="M3695" i="4"/>
  <c r="L3695" i="4"/>
  <c r="K3695" i="4"/>
  <c r="J3695" i="4"/>
  <c r="I3695" i="4"/>
  <c r="H3695" i="4"/>
  <c r="Q3694" i="4"/>
  <c r="P3694" i="4"/>
  <c r="O3694" i="4"/>
  <c r="N3694" i="4"/>
  <c r="M3694" i="4"/>
  <c r="L3694" i="4"/>
  <c r="K3694" i="4"/>
  <c r="J3694" i="4"/>
  <c r="I3694" i="4"/>
  <c r="H3694" i="4"/>
  <c r="Q3693" i="4"/>
  <c r="P3693" i="4"/>
  <c r="O3693" i="4"/>
  <c r="N3693" i="4"/>
  <c r="M3693" i="4"/>
  <c r="L3693" i="4"/>
  <c r="K3693" i="4"/>
  <c r="J3693" i="4"/>
  <c r="I3693" i="4"/>
  <c r="H3693" i="4"/>
  <c r="Q3692" i="4"/>
  <c r="P3692" i="4"/>
  <c r="O3692" i="4"/>
  <c r="N3692" i="4"/>
  <c r="M3692" i="4"/>
  <c r="L3692" i="4"/>
  <c r="K3692" i="4"/>
  <c r="J3692" i="4"/>
  <c r="I3692" i="4"/>
  <c r="H3692" i="4"/>
  <c r="Q3691" i="4"/>
  <c r="P3691" i="4"/>
  <c r="O3691" i="4"/>
  <c r="N3691" i="4"/>
  <c r="M3691" i="4"/>
  <c r="L3691" i="4"/>
  <c r="K3691" i="4"/>
  <c r="J3691" i="4"/>
  <c r="I3691" i="4"/>
  <c r="H3691" i="4"/>
  <c r="Q3690" i="4"/>
  <c r="P3690" i="4"/>
  <c r="O3690" i="4"/>
  <c r="N3690" i="4"/>
  <c r="M3690" i="4"/>
  <c r="L3690" i="4"/>
  <c r="K3690" i="4"/>
  <c r="J3690" i="4"/>
  <c r="I3690" i="4"/>
  <c r="H3690" i="4"/>
  <c r="Q3689" i="4"/>
  <c r="P3689" i="4"/>
  <c r="O3689" i="4"/>
  <c r="N3689" i="4"/>
  <c r="M3689" i="4"/>
  <c r="L3689" i="4"/>
  <c r="K3689" i="4"/>
  <c r="J3689" i="4"/>
  <c r="I3689" i="4"/>
  <c r="H3689" i="4"/>
  <c r="Q3688" i="4"/>
  <c r="P3688" i="4"/>
  <c r="O3688" i="4"/>
  <c r="N3688" i="4"/>
  <c r="M3688" i="4"/>
  <c r="L3688" i="4"/>
  <c r="K3688" i="4"/>
  <c r="J3688" i="4"/>
  <c r="I3688" i="4"/>
  <c r="H3688" i="4"/>
  <c r="Q3687" i="4"/>
  <c r="P3687" i="4"/>
  <c r="O3687" i="4"/>
  <c r="N3687" i="4"/>
  <c r="M3687" i="4"/>
  <c r="L3687" i="4"/>
  <c r="K3687" i="4"/>
  <c r="J3687" i="4"/>
  <c r="I3687" i="4"/>
  <c r="H3687" i="4"/>
  <c r="Q3686" i="4"/>
  <c r="P3686" i="4"/>
  <c r="O3686" i="4"/>
  <c r="N3686" i="4"/>
  <c r="M3686" i="4"/>
  <c r="L3686" i="4"/>
  <c r="K3686" i="4"/>
  <c r="J3686" i="4"/>
  <c r="I3686" i="4"/>
  <c r="H3686" i="4"/>
  <c r="Q3685" i="4"/>
  <c r="P3685" i="4"/>
  <c r="O3685" i="4"/>
  <c r="N3685" i="4"/>
  <c r="M3685" i="4"/>
  <c r="L3685" i="4"/>
  <c r="K3685" i="4"/>
  <c r="J3685" i="4"/>
  <c r="I3685" i="4"/>
  <c r="H3685" i="4"/>
  <c r="Q3684" i="4"/>
  <c r="P3684" i="4"/>
  <c r="O3684" i="4"/>
  <c r="N3684" i="4"/>
  <c r="M3684" i="4"/>
  <c r="L3684" i="4"/>
  <c r="K3684" i="4"/>
  <c r="J3684" i="4"/>
  <c r="I3684" i="4"/>
  <c r="H3684" i="4"/>
  <c r="Q3683" i="4"/>
  <c r="P3683" i="4"/>
  <c r="O3683" i="4"/>
  <c r="N3683" i="4"/>
  <c r="M3683" i="4"/>
  <c r="L3683" i="4"/>
  <c r="K3683" i="4"/>
  <c r="J3683" i="4"/>
  <c r="I3683" i="4"/>
  <c r="H3683" i="4"/>
  <c r="Q3682" i="4"/>
  <c r="P3682" i="4"/>
  <c r="O3682" i="4"/>
  <c r="N3682" i="4"/>
  <c r="M3682" i="4"/>
  <c r="L3682" i="4"/>
  <c r="K3682" i="4"/>
  <c r="J3682" i="4"/>
  <c r="I3682" i="4"/>
  <c r="H3682" i="4"/>
  <c r="Q3681" i="4"/>
  <c r="P3681" i="4"/>
  <c r="O3681" i="4"/>
  <c r="N3681" i="4"/>
  <c r="M3681" i="4"/>
  <c r="L3681" i="4"/>
  <c r="K3681" i="4"/>
  <c r="J3681" i="4"/>
  <c r="I3681" i="4"/>
  <c r="H3681" i="4"/>
  <c r="Q3680" i="4"/>
  <c r="P3680" i="4"/>
  <c r="O3680" i="4"/>
  <c r="N3680" i="4"/>
  <c r="M3680" i="4"/>
  <c r="L3680" i="4"/>
  <c r="K3680" i="4"/>
  <c r="J3680" i="4"/>
  <c r="I3680" i="4"/>
  <c r="H3680" i="4"/>
  <c r="Q3679" i="4"/>
  <c r="P3679" i="4"/>
  <c r="O3679" i="4"/>
  <c r="N3679" i="4"/>
  <c r="M3679" i="4"/>
  <c r="L3679" i="4"/>
  <c r="K3679" i="4"/>
  <c r="J3679" i="4"/>
  <c r="I3679" i="4"/>
  <c r="H3679" i="4"/>
  <c r="Q3678" i="4"/>
  <c r="P3678" i="4"/>
  <c r="O3678" i="4"/>
  <c r="N3678" i="4"/>
  <c r="M3678" i="4"/>
  <c r="L3678" i="4"/>
  <c r="K3678" i="4"/>
  <c r="J3678" i="4"/>
  <c r="I3678" i="4"/>
  <c r="H3678" i="4"/>
  <c r="Q3677" i="4"/>
  <c r="P3677" i="4"/>
  <c r="O3677" i="4"/>
  <c r="N3677" i="4"/>
  <c r="M3677" i="4"/>
  <c r="L3677" i="4"/>
  <c r="K3677" i="4"/>
  <c r="J3677" i="4"/>
  <c r="I3677" i="4"/>
  <c r="H3677" i="4"/>
  <c r="Q3676" i="4"/>
  <c r="P3676" i="4"/>
  <c r="O3676" i="4"/>
  <c r="N3676" i="4"/>
  <c r="M3676" i="4"/>
  <c r="L3676" i="4"/>
  <c r="K3676" i="4"/>
  <c r="J3676" i="4"/>
  <c r="I3676" i="4"/>
  <c r="H3676" i="4"/>
  <c r="Q3675" i="4"/>
  <c r="P3675" i="4"/>
  <c r="O3675" i="4"/>
  <c r="N3675" i="4"/>
  <c r="M3675" i="4"/>
  <c r="L3675" i="4"/>
  <c r="K3675" i="4"/>
  <c r="J3675" i="4"/>
  <c r="I3675" i="4"/>
  <c r="H3675" i="4"/>
  <c r="Q3674" i="4"/>
  <c r="P3674" i="4"/>
  <c r="O3674" i="4"/>
  <c r="N3674" i="4"/>
  <c r="M3674" i="4"/>
  <c r="L3674" i="4"/>
  <c r="K3674" i="4"/>
  <c r="J3674" i="4"/>
  <c r="I3674" i="4"/>
  <c r="H3674" i="4"/>
  <c r="Q3673" i="4"/>
  <c r="P3673" i="4"/>
  <c r="O3673" i="4"/>
  <c r="N3673" i="4"/>
  <c r="M3673" i="4"/>
  <c r="L3673" i="4"/>
  <c r="K3673" i="4"/>
  <c r="J3673" i="4"/>
  <c r="I3673" i="4"/>
  <c r="H3673" i="4"/>
  <c r="Q3672" i="4"/>
  <c r="P3672" i="4"/>
  <c r="O3672" i="4"/>
  <c r="N3672" i="4"/>
  <c r="M3672" i="4"/>
  <c r="L3672" i="4"/>
  <c r="K3672" i="4"/>
  <c r="J3672" i="4"/>
  <c r="I3672" i="4"/>
  <c r="H3672" i="4"/>
  <c r="Q3671" i="4"/>
  <c r="P3671" i="4"/>
  <c r="O3671" i="4"/>
  <c r="N3671" i="4"/>
  <c r="M3671" i="4"/>
  <c r="L3671" i="4"/>
  <c r="K3671" i="4"/>
  <c r="J3671" i="4"/>
  <c r="I3671" i="4"/>
  <c r="H3671" i="4"/>
  <c r="Q3670" i="4"/>
  <c r="P3670" i="4"/>
  <c r="O3670" i="4"/>
  <c r="N3670" i="4"/>
  <c r="M3670" i="4"/>
  <c r="L3670" i="4"/>
  <c r="K3670" i="4"/>
  <c r="J3670" i="4"/>
  <c r="I3670" i="4"/>
  <c r="H3670" i="4"/>
  <c r="Q3669" i="4"/>
  <c r="P3669" i="4"/>
  <c r="O3669" i="4"/>
  <c r="N3669" i="4"/>
  <c r="M3669" i="4"/>
  <c r="L3669" i="4"/>
  <c r="K3669" i="4"/>
  <c r="J3669" i="4"/>
  <c r="I3669" i="4"/>
  <c r="H3669" i="4"/>
  <c r="Q3668" i="4"/>
  <c r="P3668" i="4"/>
  <c r="O3668" i="4"/>
  <c r="N3668" i="4"/>
  <c r="M3668" i="4"/>
  <c r="L3668" i="4"/>
  <c r="K3668" i="4"/>
  <c r="J3668" i="4"/>
  <c r="I3668" i="4"/>
  <c r="H3668" i="4"/>
  <c r="Q3667" i="4"/>
  <c r="P3667" i="4"/>
  <c r="O3667" i="4"/>
  <c r="N3667" i="4"/>
  <c r="M3667" i="4"/>
  <c r="L3667" i="4"/>
  <c r="K3667" i="4"/>
  <c r="J3667" i="4"/>
  <c r="I3667" i="4"/>
  <c r="H3667" i="4"/>
  <c r="Q3666" i="4"/>
  <c r="P3666" i="4"/>
  <c r="O3666" i="4"/>
  <c r="N3666" i="4"/>
  <c r="M3666" i="4"/>
  <c r="L3666" i="4"/>
  <c r="K3666" i="4"/>
  <c r="J3666" i="4"/>
  <c r="I3666" i="4"/>
  <c r="H3666" i="4"/>
  <c r="Q3665" i="4"/>
  <c r="P3665" i="4"/>
  <c r="O3665" i="4"/>
  <c r="N3665" i="4"/>
  <c r="M3665" i="4"/>
  <c r="L3665" i="4"/>
  <c r="K3665" i="4"/>
  <c r="J3665" i="4"/>
  <c r="I3665" i="4"/>
  <c r="H3665" i="4"/>
  <c r="Q3664" i="4"/>
  <c r="P3664" i="4"/>
  <c r="O3664" i="4"/>
  <c r="N3664" i="4"/>
  <c r="M3664" i="4"/>
  <c r="L3664" i="4"/>
  <c r="K3664" i="4"/>
  <c r="J3664" i="4"/>
  <c r="I3664" i="4"/>
  <c r="H3664" i="4"/>
  <c r="Q3663" i="4"/>
  <c r="P3663" i="4"/>
  <c r="O3663" i="4"/>
  <c r="N3663" i="4"/>
  <c r="M3663" i="4"/>
  <c r="L3663" i="4"/>
  <c r="K3663" i="4"/>
  <c r="J3663" i="4"/>
  <c r="I3663" i="4"/>
  <c r="H3663" i="4"/>
  <c r="Q3662" i="4"/>
  <c r="P3662" i="4"/>
  <c r="O3662" i="4"/>
  <c r="N3662" i="4"/>
  <c r="M3662" i="4"/>
  <c r="L3662" i="4"/>
  <c r="K3662" i="4"/>
  <c r="J3662" i="4"/>
  <c r="I3662" i="4"/>
  <c r="H3662" i="4"/>
  <c r="Q3661" i="4"/>
  <c r="P3661" i="4"/>
  <c r="O3661" i="4"/>
  <c r="N3661" i="4"/>
  <c r="M3661" i="4"/>
  <c r="L3661" i="4"/>
  <c r="K3661" i="4"/>
  <c r="J3661" i="4"/>
  <c r="I3661" i="4"/>
  <c r="H3661" i="4"/>
  <c r="Q3660" i="4"/>
  <c r="P3660" i="4"/>
  <c r="O3660" i="4"/>
  <c r="N3660" i="4"/>
  <c r="M3660" i="4"/>
  <c r="L3660" i="4"/>
  <c r="K3660" i="4"/>
  <c r="J3660" i="4"/>
  <c r="I3660" i="4"/>
  <c r="H3660" i="4"/>
  <c r="Q3659" i="4"/>
  <c r="P3659" i="4"/>
  <c r="O3659" i="4"/>
  <c r="N3659" i="4"/>
  <c r="M3659" i="4"/>
  <c r="L3659" i="4"/>
  <c r="K3659" i="4"/>
  <c r="J3659" i="4"/>
  <c r="I3659" i="4"/>
  <c r="H3659" i="4"/>
  <c r="Q3658" i="4"/>
  <c r="P3658" i="4"/>
  <c r="O3658" i="4"/>
  <c r="N3658" i="4"/>
  <c r="M3658" i="4"/>
  <c r="L3658" i="4"/>
  <c r="K3658" i="4"/>
  <c r="J3658" i="4"/>
  <c r="I3658" i="4"/>
  <c r="H3658" i="4"/>
  <c r="Q3657" i="4"/>
  <c r="P3657" i="4"/>
  <c r="O3657" i="4"/>
  <c r="N3657" i="4"/>
  <c r="M3657" i="4"/>
  <c r="L3657" i="4"/>
  <c r="K3657" i="4"/>
  <c r="J3657" i="4"/>
  <c r="I3657" i="4"/>
  <c r="H3657" i="4"/>
  <c r="Q3656" i="4"/>
  <c r="P3656" i="4"/>
  <c r="O3656" i="4"/>
  <c r="N3656" i="4"/>
  <c r="M3656" i="4"/>
  <c r="L3656" i="4"/>
  <c r="K3656" i="4"/>
  <c r="J3656" i="4"/>
  <c r="I3656" i="4"/>
  <c r="H3656" i="4"/>
  <c r="Q3655" i="4"/>
  <c r="P3655" i="4"/>
  <c r="O3655" i="4"/>
  <c r="N3655" i="4"/>
  <c r="M3655" i="4"/>
  <c r="L3655" i="4"/>
  <c r="K3655" i="4"/>
  <c r="J3655" i="4"/>
  <c r="I3655" i="4"/>
  <c r="H3655" i="4"/>
  <c r="Q3654" i="4"/>
  <c r="P3654" i="4"/>
  <c r="O3654" i="4"/>
  <c r="N3654" i="4"/>
  <c r="M3654" i="4"/>
  <c r="L3654" i="4"/>
  <c r="K3654" i="4"/>
  <c r="J3654" i="4"/>
  <c r="I3654" i="4"/>
  <c r="H3654" i="4"/>
  <c r="Q3653" i="4"/>
  <c r="P3653" i="4"/>
  <c r="O3653" i="4"/>
  <c r="N3653" i="4"/>
  <c r="M3653" i="4"/>
  <c r="L3653" i="4"/>
  <c r="K3653" i="4"/>
  <c r="J3653" i="4"/>
  <c r="I3653" i="4"/>
  <c r="H3653" i="4"/>
  <c r="Q3652" i="4"/>
  <c r="P3652" i="4"/>
  <c r="O3652" i="4"/>
  <c r="N3652" i="4"/>
  <c r="M3652" i="4"/>
  <c r="L3652" i="4"/>
  <c r="K3652" i="4"/>
  <c r="J3652" i="4"/>
  <c r="I3652" i="4"/>
  <c r="H3652" i="4"/>
  <c r="Q3651" i="4"/>
  <c r="P3651" i="4"/>
  <c r="O3651" i="4"/>
  <c r="N3651" i="4"/>
  <c r="M3651" i="4"/>
  <c r="L3651" i="4"/>
  <c r="K3651" i="4"/>
  <c r="J3651" i="4"/>
  <c r="I3651" i="4"/>
  <c r="H3651" i="4"/>
  <c r="Q3650" i="4"/>
  <c r="P3650" i="4"/>
  <c r="O3650" i="4"/>
  <c r="N3650" i="4"/>
  <c r="M3650" i="4"/>
  <c r="L3650" i="4"/>
  <c r="K3650" i="4"/>
  <c r="J3650" i="4"/>
  <c r="I3650" i="4"/>
  <c r="H3650" i="4"/>
  <c r="Q3649" i="4"/>
  <c r="P3649" i="4"/>
  <c r="O3649" i="4"/>
  <c r="N3649" i="4"/>
  <c r="M3649" i="4"/>
  <c r="L3649" i="4"/>
  <c r="K3649" i="4"/>
  <c r="J3649" i="4"/>
  <c r="I3649" i="4"/>
  <c r="H3649" i="4"/>
  <c r="Q3648" i="4"/>
  <c r="P3648" i="4"/>
  <c r="O3648" i="4"/>
  <c r="N3648" i="4"/>
  <c r="M3648" i="4"/>
  <c r="L3648" i="4"/>
  <c r="K3648" i="4"/>
  <c r="J3648" i="4"/>
  <c r="I3648" i="4"/>
  <c r="H3648" i="4"/>
  <c r="Q3647" i="4"/>
  <c r="P3647" i="4"/>
  <c r="O3647" i="4"/>
  <c r="N3647" i="4"/>
  <c r="M3647" i="4"/>
  <c r="L3647" i="4"/>
  <c r="K3647" i="4"/>
  <c r="J3647" i="4"/>
  <c r="I3647" i="4"/>
  <c r="H3647" i="4"/>
  <c r="Q3646" i="4"/>
  <c r="P3646" i="4"/>
  <c r="O3646" i="4"/>
  <c r="N3646" i="4"/>
  <c r="M3646" i="4"/>
  <c r="L3646" i="4"/>
  <c r="K3646" i="4"/>
  <c r="J3646" i="4"/>
  <c r="I3646" i="4"/>
  <c r="H3646" i="4"/>
  <c r="Q3645" i="4"/>
  <c r="P3645" i="4"/>
  <c r="O3645" i="4"/>
  <c r="N3645" i="4"/>
  <c r="M3645" i="4"/>
  <c r="L3645" i="4"/>
  <c r="K3645" i="4"/>
  <c r="J3645" i="4"/>
  <c r="I3645" i="4"/>
  <c r="H3645" i="4"/>
  <c r="Q3644" i="4"/>
  <c r="P3644" i="4"/>
  <c r="O3644" i="4"/>
  <c r="N3644" i="4"/>
  <c r="M3644" i="4"/>
  <c r="L3644" i="4"/>
  <c r="K3644" i="4"/>
  <c r="J3644" i="4"/>
  <c r="I3644" i="4"/>
  <c r="H3644" i="4"/>
  <c r="Q3643" i="4"/>
  <c r="P3643" i="4"/>
  <c r="O3643" i="4"/>
  <c r="N3643" i="4"/>
  <c r="M3643" i="4"/>
  <c r="L3643" i="4"/>
  <c r="K3643" i="4"/>
  <c r="J3643" i="4"/>
  <c r="I3643" i="4"/>
  <c r="H3643" i="4"/>
  <c r="Q3642" i="4"/>
  <c r="P3642" i="4"/>
  <c r="O3642" i="4"/>
  <c r="N3642" i="4"/>
  <c r="M3642" i="4"/>
  <c r="L3642" i="4"/>
  <c r="K3642" i="4"/>
  <c r="J3642" i="4"/>
  <c r="I3642" i="4"/>
  <c r="H3642" i="4"/>
  <c r="Q3641" i="4"/>
  <c r="P3641" i="4"/>
  <c r="O3641" i="4"/>
  <c r="N3641" i="4"/>
  <c r="M3641" i="4"/>
  <c r="L3641" i="4"/>
  <c r="K3641" i="4"/>
  <c r="J3641" i="4"/>
  <c r="I3641" i="4"/>
  <c r="H3641" i="4"/>
  <c r="Q3640" i="4"/>
  <c r="P3640" i="4"/>
  <c r="O3640" i="4"/>
  <c r="N3640" i="4"/>
  <c r="M3640" i="4"/>
  <c r="L3640" i="4"/>
  <c r="K3640" i="4"/>
  <c r="J3640" i="4"/>
  <c r="I3640" i="4"/>
  <c r="H3640" i="4"/>
  <c r="Q3639" i="4"/>
  <c r="P3639" i="4"/>
  <c r="O3639" i="4"/>
  <c r="N3639" i="4"/>
  <c r="M3639" i="4"/>
  <c r="L3639" i="4"/>
  <c r="K3639" i="4"/>
  <c r="J3639" i="4"/>
  <c r="I3639" i="4"/>
  <c r="H3639" i="4"/>
  <c r="Q3638" i="4"/>
  <c r="P3638" i="4"/>
  <c r="O3638" i="4"/>
  <c r="N3638" i="4"/>
  <c r="M3638" i="4"/>
  <c r="L3638" i="4"/>
  <c r="K3638" i="4"/>
  <c r="J3638" i="4"/>
  <c r="I3638" i="4"/>
  <c r="H3638" i="4"/>
  <c r="Q3637" i="4"/>
  <c r="P3637" i="4"/>
  <c r="O3637" i="4"/>
  <c r="N3637" i="4"/>
  <c r="M3637" i="4"/>
  <c r="L3637" i="4"/>
  <c r="K3637" i="4"/>
  <c r="J3637" i="4"/>
  <c r="I3637" i="4"/>
  <c r="H3637" i="4"/>
  <c r="Q3636" i="4"/>
  <c r="P3636" i="4"/>
  <c r="O3636" i="4"/>
  <c r="N3636" i="4"/>
  <c r="M3636" i="4"/>
  <c r="L3636" i="4"/>
  <c r="K3636" i="4"/>
  <c r="J3636" i="4"/>
  <c r="I3636" i="4"/>
  <c r="H3636" i="4"/>
  <c r="Q3635" i="4"/>
  <c r="P3635" i="4"/>
  <c r="O3635" i="4"/>
  <c r="N3635" i="4"/>
  <c r="M3635" i="4"/>
  <c r="L3635" i="4"/>
  <c r="K3635" i="4"/>
  <c r="J3635" i="4"/>
  <c r="I3635" i="4"/>
  <c r="H3635" i="4"/>
  <c r="Q3634" i="4"/>
  <c r="P3634" i="4"/>
  <c r="O3634" i="4"/>
  <c r="N3634" i="4"/>
  <c r="M3634" i="4"/>
  <c r="L3634" i="4"/>
  <c r="K3634" i="4"/>
  <c r="J3634" i="4"/>
  <c r="I3634" i="4"/>
  <c r="H3634" i="4"/>
  <c r="Q3633" i="4"/>
  <c r="P3633" i="4"/>
  <c r="O3633" i="4"/>
  <c r="N3633" i="4"/>
  <c r="M3633" i="4"/>
  <c r="L3633" i="4"/>
  <c r="K3633" i="4"/>
  <c r="J3633" i="4"/>
  <c r="I3633" i="4"/>
  <c r="H3633" i="4"/>
  <c r="Q3632" i="4"/>
  <c r="P3632" i="4"/>
  <c r="O3632" i="4"/>
  <c r="N3632" i="4"/>
  <c r="M3632" i="4"/>
  <c r="L3632" i="4"/>
  <c r="K3632" i="4"/>
  <c r="J3632" i="4"/>
  <c r="I3632" i="4"/>
  <c r="H3632" i="4"/>
  <c r="Q3631" i="4"/>
  <c r="P3631" i="4"/>
  <c r="O3631" i="4"/>
  <c r="N3631" i="4"/>
  <c r="M3631" i="4"/>
  <c r="L3631" i="4"/>
  <c r="K3631" i="4"/>
  <c r="J3631" i="4"/>
  <c r="I3631" i="4"/>
  <c r="H3631" i="4"/>
  <c r="Q3630" i="4"/>
  <c r="P3630" i="4"/>
  <c r="O3630" i="4"/>
  <c r="N3630" i="4"/>
  <c r="M3630" i="4"/>
  <c r="L3630" i="4"/>
  <c r="K3630" i="4"/>
  <c r="J3630" i="4"/>
  <c r="I3630" i="4"/>
  <c r="H3630" i="4"/>
  <c r="Q3629" i="4"/>
  <c r="P3629" i="4"/>
  <c r="O3629" i="4"/>
  <c r="N3629" i="4"/>
  <c r="M3629" i="4"/>
  <c r="L3629" i="4"/>
  <c r="K3629" i="4"/>
  <c r="J3629" i="4"/>
  <c r="I3629" i="4"/>
  <c r="H3629" i="4"/>
  <c r="Q3628" i="4"/>
  <c r="P3628" i="4"/>
  <c r="O3628" i="4"/>
  <c r="N3628" i="4"/>
  <c r="M3628" i="4"/>
  <c r="L3628" i="4"/>
  <c r="K3628" i="4"/>
  <c r="J3628" i="4"/>
  <c r="I3628" i="4"/>
  <c r="H3628" i="4"/>
  <c r="Q3627" i="4"/>
  <c r="P3627" i="4"/>
  <c r="O3627" i="4"/>
  <c r="N3627" i="4"/>
  <c r="M3627" i="4"/>
  <c r="L3627" i="4"/>
  <c r="K3627" i="4"/>
  <c r="J3627" i="4"/>
  <c r="I3627" i="4"/>
  <c r="H3627" i="4"/>
  <c r="Q3626" i="4"/>
  <c r="P3626" i="4"/>
  <c r="O3626" i="4"/>
  <c r="N3626" i="4"/>
  <c r="M3626" i="4"/>
  <c r="L3626" i="4"/>
  <c r="K3626" i="4"/>
  <c r="J3626" i="4"/>
  <c r="I3626" i="4"/>
  <c r="H3626" i="4"/>
  <c r="Q3625" i="4"/>
  <c r="P3625" i="4"/>
  <c r="O3625" i="4"/>
  <c r="N3625" i="4"/>
  <c r="M3625" i="4"/>
  <c r="L3625" i="4"/>
  <c r="K3625" i="4"/>
  <c r="J3625" i="4"/>
  <c r="I3625" i="4"/>
  <c r="H3625" i="4"/>
  <c r="Q3624" i="4"/>
  <c r="P3624" i="4"/>
  <c r="O3624" i="4"/>
  <c r="N3624" i="4"/>
  <c r="M3624" i="4"/>
  <c r="L3624" i="4"/>
  <c r="K3624" i="4"/>
  <c r="J3624" i="4"/>
  <c r="I3624" i="4"/>
  <c r="H3624" i="4"/>
  <c r="Q3623" i="4"/>
  <c r="P3623" i="4"/>
  <c r="O3623" i="4"/>
  <c r="N3623" i="4"/>
  <c r="M3623" i="4"/>
  <c r="L3623" i="4"/>
  <c r="K3623" i="4"/>
  <c r="J3623" i="4"/>
  <c r="I3623" i="4"/>
  <c r="H3623" i="4"/>
  <c r="Q3622" i="4"/>
  <c r="P3622" i="4"/>
  <c r="O3622" i="4"/>
  <c r="N3622" i="4"/>
  <c r="M3622" i="4"/>
  <c r="L3622" i="4"/>
  <c r="K3622" i="4"/>
  <c r="J3622" i="4"/>
  <c r="I3622" i="4"/>
  <c r="H3622" i="4"/>
  <c r="Q3621" i="4"/>
  <c r="P3621" i="4"/>
  <c r="O3621" i="4"/>
  <c r="N3621" i="4"/>
  <c r="M3621" i="4"/>
  <c r="L3621" i="4"/>
  <c r="K3621" i="4"/>
  <c r="J3621" i="4"/>
  <c r="I3621" i="4"/>
  <c r="H3621" i="4"/>
  <c r="Q3620" i="4"/>
  <c r="P3620" i="4"/>
  <c r="O3620" i="4"/>
  <c r="N3620" i="4"/>
  <c r="M3620" i="4"/>
  <c r="L3620" i="4"/>
  <c r="K3620" i="4"/>
  <c r="J3620" i="4"/>
  <c r="I3620" i="4"/>
  <c r="H3620" i="4"/>
  <c r="Q3619" i="4"/>
  <c r="P3619" i="4"/>
  <c r="O3619" i="4"/>
  <c r="N3619" i="4"/>
  <c r="M3619" i="4"/>
  <c r="L3619" i="4"/>
  <c r="K3619" i="4"/>
  <c r="J3619" i="4"/>
  <c r="I3619" i="4"/>
  <c r="H3619" i="4"/>
  <c r="Q3618" i="4"/>
  <c r="P3618" i="4"/>
  <c r="O3618" i="4"/>
  <c r="N3618" i="4"/>
  <c r="M3618" i="4"/>
  <c r="L3618" i="4"/>
  <c r="K3618" i="4"/>
  <c r="J3618" i="4"/>
  <c r="I3618" i="4"/>
  <c r="H3618" i="4"/>
  <c r="Q3617" i="4"/>
  <c r="P3617" i="4"/>
  <c r="O3617" i="4"/>
  <c r="N3617" i="4"/>
  <c r="M3617" i="4"/>
  <c r="L3617" i="4"/>
  <c r="K3617" i="4"/>
  <c r="J3617" i="4"/>
  <c r="I3617" i="4"/>
  <c r="H3617" i="4"/>
  <c r="Q3616" i="4"/>
  <c r="P3616" i="4"/>
  <c r="O3616" i="4"/>
  <c r="N3616" i="4"/>
  <c r="M3616" i="4"/>
  <c r="L3616" i="4"/>
  <c r="K3616" i="4"/>
  <c r="J3616" i="4"/>
  <c r="I3616" i="4"/>
  <c r="H3616" i="4"/>
  <c r="Q3615" i="4"/>
  <c r="P3615" i="4"/>
  <c r="O3615" i="4"/>
  <c r="N3615" i="4"/>
  <c r="M3615" i="4"/>
  <c r="L3615" i="4"/>
  <c r="K3615" i="4"/>
  <c r="J3615" i="4"/>
  <c r="I3615" i="4"/>
  <c r="H3615" i="4"/>
  <c r="Q3614" i="4"/>
  <c r="P3614" i="4"/>
  <c r="O3614" i="4"/>
  <c r="N3614" i="4"/>
  <c r="M3614" i="4"/>
  <c r="L3614" i="4"/>
  <c r="K3614" i="4"/>
  <c r="J3614" i="4"/>
  <c r="I3614" i="4"/>
  <c r="H3614" i="4"/>
  <c r="Q3613" i="4"/>
  <c r="P3613" i="4"/>
  <c r="O3613" i="4"/>
  <c r="N3613" i="4"/>
  <c r="M3613" i="4"/>
  <c r="L3613" i="4"/>
  <c r="K3613" i="4"/>
  <c r="J3613" i="4"/>
  <c r="I3613" i="4"/>
  <c r="H3613" i="4"/>
  <c r="Q3612" i="4"/>
  <c r="P3612" i="4"/>
  <c r="O3612" i="4"/>
  <c r="N3612" i="4"/>
  <c r="M3612" i="4"/>
  <c r="L3612" i="4"/>
  <c r="K3612" i="4"/>
  <c r="J3612" i="4"/>
  <c r="I3612" i="4"/>
  <c r="H3612" i="4"/>
  <c r="Q3611" i="4"/>
  <c r="P3611" i="4"/>
  <c r="O3611" i="4"/>
  <c r="N3611" i="4"/>
  <c r="M3611" i="4"/>
  <c r="L3611" i="4"/>
  <c r="K3611" i="4"/>
  <c r="J3611" i="4"/>
  <c r="I3611" i="4"/>
  <c r="H3611" i="4"/>
  <c r="Q3610" i="4"/>
  <c r="P3610" i="4"/>
  <c r="O3610" i="4"/>
  <c r="N3610" i="4"/>
  <c r="M3610" i="4"/>
  <c r="L3610" i="4"/>
  <c r="K3610" i="4"/>
  <c r="J3610" i="4"/>
  <c r="I3610" i="4"/>
  <c r="H3610" i="4"/>
  <c r="Q3609" i="4"/>
  <c r="P3609" i="4"/>
  <c r="O3609" i="4"/>
  <c r="N3609" i="4"/>
  <c r="M3609" i="4"/>
  <c r="L3609" i="4"/>
  <c r="K3609" i="4"/>
  <c r="J3609" i="4"/>
  <c r="I3609" i="4"/>
  <c r="H3609" i="4"/>
  <c r="Q3608" i="4"/>
  <c r="P3608" i="4"/>
  <c r="O3608" i="4"/>
  <c r="N3608" i="4"/>
  <c r="M3608" i="4"/>
  <c r="L3608" i="4"/>
  <c r="K3608" i="4"/>
  <c r="J3608" i="4"/>
  <c r="I3608" i="4"/>
  <c r="H3608" i="4"/>
  <c r="Q3607" i="4"/>
  <c r="P3607" i="4"/>
  <c r="O3607" i="4"/>
  <c r="N3607" i="4"/>
  <c r="M3607" i="4"/>
  <c r="L3607" i="4"/>
  <c r="K3607" i="4"/>
  <c r="J3607" i="4"/>
  <c r="I3607" i="4"/>
  <c r="H3607" i="4"/>
  <c r="Q3606" i="4"/>
  <c r="P3606" i="4"/>
  <c r="O3606" i="4"/>
  <c r="N3606" i="4"/>
  <c r="M3606" i="4"/>
  <c r="L3606" i="4"/>
  <c r="K3606" i="4"/>
  <c r="J3606" i="4"/>
  <c r="I3606" i="4"/>
  <c r="H3606" i="4"/>
  <c r="Q3605" i="4"/>
  <c r="P3605" i="4"/>
  <c r="O3605" i="4"/>
  <c r="N3605" i="4"/>
  <c r="M3605" i="4"/>
  <c r="L3605" i="4"/>
  <c r="K3605" i="4"/>
  <c r="J3605" i="4"/>
  <c r="I3605" i="4"/>
  <c r="H3605" i="4"/>
  <c r="Q3604" i="4"/>
  <c r="P3604" i="4"/>
  <c r="O3604" i="4"/>
  <c r="N3604" i="4"/>
  <c r="M3604" i="4"/>
  <c r="L3604" i="4"/>
  <c r="K3604" i="4"/>
  <c r="J3604" i="4"/>
  <c r="I3604" i="4"/>
  <c r="H3604" i="4"/>
  <c r="Q3603" i="4"/>
  <c r="P3603" i="4"/>
  <c r="O3603" i="4"/>
  <c r="N3603" i="4"/>
  <c r="M3603" i="4"/>
  <c r="L3603" i="4"/>
  <c r="K3603" i="4"/>
  <c r="J3603" i="4"/>
  <c r="I3603" i="4"/>
  <c r="H3603" i="4"/>
  <c r="Q3602" i="4"/>
  <c r="P3602" i="4"/>
  <c r="O3602" i="4"/>
  <c r="N3602" i="4"/>
  <c r="M3602" i="4"/>
  <c r="L3602" i="4"/>
  <c r="K3602" i="4"/>
  <c r="J3602" i="4"/>
  <c r="I3602" i="4"/>
  <c r="H3602" i="4"/>
  <c r="Q3601" i="4"/>
  <c r="P3601" i="4"/>
  <c r="O3601" i="4"/>
  <c r="N3601" i="4"/>
  <c r="M3601" i="4"/>
  <c r="L3601" i="4"/>
  <c r="K3601" i="4"/>
  <c r="J3601" i="4"/>
  <c r="I3601" i="4"/>
  <c r="H3601" i="4"/>
  <c r="Q3600" i="4"/>
  <c r="P3600" i="4"/>
  <c r="O3600" i="4"/>
  <c r="N3600" i="4"/>
  <c r="M3600" i="4"/>
  <c r="L3600" i="4"/>
  <c r="K3600" i="4"/>
  <c r="J3600" i="4"/>
  <c r="I3600" i="4"/>
  <c r="H3600" i="4"/>
  <c r="Q3599" i="4"/>
  <c r="P3599" i="4"/>
  <c r="O3599" i="4"/>
  <c r="N3599" i="4"/>
  <c r="M3599" i="4"/>
  <c r="L3599" i="4"/>
  <c r="K3599" i="4"/>
  <c r="J3599" i="4"/>
  <c r="I3599" i="4"/>
  <c r="H3599" i="4"/>
  <c r="Q3598" i="4"/>
  <c r="P3598" i="4"/>
  <c r="O3598" i="4"/>
  <c r="N3598" i="4"/>
  <c r="M3598" i="4"/>
  <c r="L3598" i="4"/>
  <c r="K3598" i="4"/>
  <c r="J3598" i="4"/>
  <c r="I3598" i="4"/>
  <c r="H3598" i="4"/>
  <c r="Q3597" i="4"/>
  <c r="P3597" i="4"/>
  <c r="O3597" i="4"/>
  <c r="N3597" i="4"/>
  <c r="M3597" i="4"/>
  <c r="L3597" i="4"/>
  <c r="K3597" i="4"/>
  <c r="J3597" i="4"/>
  <c r="I3597" i="4"/>
  <c r="H3597" i="4"/>
  <c r="Q3596" i="4"/>
  <c r="P3596" i="4"/>
  <c r="O3596" i="4"/>
  <c r="N3596" i="4"/>
  <c r="M3596" i="4"/>
  <c r="L3596" i="4"/>
  <c r="K3596" i="4"/>
  <c r="J3596" i="4"/>
  <c r="I3596" i="4"/>
  <c r="H3596" i="4"/>
  <c r="Q3595" i="4"/>
  <c r="P3595" i="4"/>
  <c r="O3595" i="4"/>
  <c r="N3595" i="4"/>
  <c r="M3595" i="4"/>
  <c r="L3595" i="4"/>
  <c r="K3595" i="4"/>
  <c r="J3595" i="4"/>
  <c r="I3595" i="4"/>
  <c r="H3595" i="4"/>
  <c r="Q3594" i="4"/>
  <c r="P3594" i="4"/>
  <c r="O3594" i="4"/>
  <c r="N3594" i="4"/>
  <c r="M3594" i="4"/>
  <c r="L3594" i="4"/>
  <c r="K3594" i="4"/>
  <c r="J3594" i="4"/>
  <c r="I3594" i="4"/>
  <c r="H3594" i="4"/>
  <c r="Q3593" i="4"/>
  <c r="P3593" i="4"/>
  <c r="O3593" i="4"/>
  <c r="N3593" i="4"/>
  <c r="M3593" i="4"/>
  <c r="L3593" i="4"/>
  <c r="K3593" i="4"/>
  <c r="J3593" i="4"/>
  <c r="I3593" i="4"/>
  <c r="H3593" i="4"/>
  <c r="Q3592" i="4"/>
  <c r="P3592" i="4"/>
  <c r="O3592" i="4"/>
  <c r="N3592" i="4"/>
  <c r="M3592" i="4"/>
  <c r="L3592" i="4"/>
  <c r="K3592" i="4"/>
  <c r="J3592" i="4"/>
  <c r="I3592" i="4"/>
  <c r="H3592" i="4"/>
  <c r="Q3591" i="4"/>
  <c r="P3591" i="4"/>
  <c r="O3591" i="4"/>
  <c r="N3591" i="4"/>
  <c r="M3591" i="4"/>
  <c r="L3591" i="4"/>
  <c r="K3591" i="4"/>
  <c r="J3591" i="4"/>
  <c r="I3591" i="4"/>
  <c r="H3591" i="4"/>
  <c r="Q3590" i="4"/>
  <c r="P3590" i="4"/>
  <c r="O3590" i="4"/>
  <c r="N3590" i="4"/>
  <c r="M3590" i="4"/>
  <c r="L3590" i="4"/>
  <c r="K3590" i="4"/>
  <c r="J3590" i="4"/>
  <c r="I3590" i="4"/>
  <c r="H3590" i="4"/>
  <c r="Q3589" i="4"/>
  <c r="P3589" i="4"/>
  <c r="O3589" i="4"/>
  <c r="N3589" i="4"/>
  <c r="M3589" i="4"/>
  <c r="L3589" i="4"/>
  <c r="K3589" i="4"/>
  <c r="J3589" i="4"/>
  <c r="I3589" i="4"/>
  <c r="H3589" i="4"/>
  <c r="Q3588" i="4"/>
  <c r="P3588" i="4"/>
  <c r="O3588" i="4"/>
  <c r="N3588" i="4"/>
  <c r="M3588" i="4"/>
  <c r="L3588" i="4"/>
  <c r="K3588" i="4"/>
  <c r="J3588" i="4"/>
  <c r="I3588" i="4"/>
  <c r="H3588" i="4"/>
  <c r="Q3587" i="4"/>
  <c r="P3587" i="4"/>
  <c r="O3587" i="4"/>
  <c r="N3587" i="4"/>
  <c r="M3587" i="4"/>
  <c r="L3587" i="4"/>
  <c r="K3587" i="4"/>
  <c r="J3587" i="4"/>
  <c r="I3587" i="4"/>
  <c r="H3587" i="4"/>
  <c r="Q3586" i="4"/>
  <c r="P3586" i="4"/>
  <c r="O3586" i="4"/>
  <c r="N3586" i="4"/>
  <c r="M3586" i="4"/>
  <c r="L3586" i="4"/>
  <c r="K3586" i="4"/>
  <c r="J3586" i="4"/>
  <c r="I3586" i="4"/>
  <c r="H3586" i="4"/>
  <c r="Q3585" i="4"/>
  <c r="P3585" i="4"/>
  <c r="O3585" i="4"/>
  <c r="N3585" i="4"/>
  <c r="M3585" i="4"/>
  <c r="L3585" i="4"/>
  <c r="K3585" i="4"/>
  <c r="J3585" i="4"/>
  <c r="I3585" i="4"/>
  <c r="H3585" i="4"/>
  <c r="Q3584" i="4"/>
  <c r="P3584" i="4"/>
  <c r="O3584" i="4"/>
  <c r="N3584" i="4"/>
  <c r="M3584" i="4"/>
  <c r="L3584" i="4"/>
  <c r="K3584" i="4"/>
  <c r="J3584" i="4"/>
  <c r="I3584" i="4"/>
  <c r="H3584" i="4"/>
  <c r="Q3583" i="4"/>
  <c r="P3583" i="4"/>
  <c r="O3583" i="4"/>
  <c r="N3583" i="4"/>
  <c r="M3583" i="4"/>
  <c r="L3583" i="4"/>
  <c r="K3583" i="4"/>
  <c r="J3583" i="4"/>
  <c r="I3583" i="4"/>
  <c r="H3583" i="4"/>
  <c r="Q3582" i="4"/>
  <c r="P3582" i="4"/>
  <c r="O3582" i="4"/>
  <c r="N3582" i="4"/>
  <c r="M3582" i="4"/>
  <c r="L3582" i="4"/>
  <c r="K3582" i="4"/>
  <c r="J3582" i="4"/>
  <c r="I3582" i="4"/>
  <c r="H3582" i="4"/>
  <c r="Q3581" i="4"/>
  <c r="P3581" i="4"/>
  <c r="O3581" i="4"/>
  <c r="N3581" i="4"/>
  <c r="M3581" i="4"/>
  <c r="L3581" i="4"/>
  <c r="K3581" i="4"/>
  <c r="J3581" i="4"/>
  <c r="I3581" i="4"/>
  <c r="H3581" i="4"/>
  <c r="Q3580" i="4"/>
  <c r="P3580" i="4"/>
  <c r="O3580" i="4"/>
  <c r="N3580" i="4"/>
  <c r="M3580" i="4"/>
  <c r="L3580" i="4"/>
  <c r="K3580" i="4"/>
  <c r="J3580" i="4"/>
  <c r="I3580" i="4"/>
  <c r="H3580" i="4"/>
  <c r="Q3579" i="4"/>
  <c r="P3579" i="4"/>
  <c r="O3579" i="4"/>
  <c r="N3579" i="4"/>
  <c r="M3579" i="4"/>
  <c r="L3579" i="4"/>
  <c r="K3579" i="4"/>
  <c r="J3579" i="4"/>
  <c r="I3579" i="4"/>
  <c r="H3579" i="4"/>
  <c r="Q3578" i="4"/>
  <c r="P3578" i="4"/>
  <c r="O3578" i="4"/>
  <c r="N3578" i="4"/>
  <c r="M3578" i="4"/>
  <c r="L3578" i="4"/>
  <c r="K3578" i="4"/>
  <c r="J3578" i="4"/>
  <c r="I3578" i="4"/>
  <c r="H3578" i="4"/>
  <c r="Q3577" i="4"/>
  <c r="P3577" i="4"/>
  <c r="O3577" i="4"/>
  <c r="N3577" i="4"/>
  <c r="M3577" i="4"/>
  <c r="L3577" i="4"/>
  <c r="K3577" i="4"/>
  <c r="J3577" i="4"/>
  <c r="I3577" i="4"/>
  <c r="H3577" i="4"/>
  <c r="Q3576" i="4"/>
  <c r="P3576" i="4"/>
  <c r="O3576" i="4"/>
  <c r="N3576" i="4"/>
  <c r="M3576" i="4"/>
  <c r="L3576" i="4"/>
  <c r="K3576" i="4"/>
  <c r="J3576" i="4"/>
  <c r="I3576" i="4"/>
  <c r="H3576" i="4"/>
  <c r="Q3575" i="4"/>
  <c r="P3575" i="4"/>
  <c r="O3575" i="4"/>
  <c r="N3575" i="4"/>
  <c r="M3575" i="4"/>
  <c r="L3575" i="4"/>
  <c r="K3575" i="4"/>
  <c r="J3575" i="4"/>
  <c r="I3575" i="4"/>
  <c r="H3575" i="4"/>
  <c r="Q3574" i="4"/>
  <c r="P3574" i="4"/>
  <c r="O3574" i="4"/>
  <c r="N3574" i="4"/>
  <c r="M3574" i="4"/>
  <c r="L3574" i="4"/>
  <c r="K3574" i="4"/>
  <c r="J3574" i="4"/>
  <c r="I3574" i="4"/>
  <c r="H3574" i="4"/>
  <c r="Q3573" i="4"/>
  <c r="P3573" i="4"/>
  <c r="O3573" i="4"/>
  <c r="N3573" i="4"/>
  <c r="M3573" i="4"/>
  <c r="L3573" i="4"/>
  <c r="K3573" i="4"/>
  <c r="J3573" i="4"/>
  <c r="I3573" i="4"/>
  <c r="H3573" i="4"/>
  <c r="Q3572" i="4"/>
  <c r="P3572" i="4"/>
  <c r="O3572" i="4"/>
  <c r="N3572" i="4"/>
  <c r="M3572" i="4"/>
  <c r="L3572" i="4"/>
  <c r="K3572" i="4"/>
  <c r="J3572" i="4"/>
  <c r="I3572" i="4"/>
  <c r="H3572" i="4"/>
  <c r="Q3571" i="4"/>
  <c r="P3571" i="4"/>
  <c r="O3571" i="4"/>
  <c r="N3571" i="4"/>
  <c r="M3571" i="4"/>
  <c r="L3571" i="4"/>
  <c r="K3571" i="4"/>
  <c r="J3571" i="4"/>
  <c r="I3571" i="4"/>
  <c r="H3571" i="4"/>
  <c r="Q3570" i="4"/>
  <c r="P3570" i="4"/>
  <c r="O3570" i="4"/>
  <c r="N3570" i="4"/>
  <c r="M3570" i="4"/>
  <c r="L3570" i="4"/>
  <c r="K3570" i="4"/>
  <c r="J3570" i="4"/>
  <c r="I3570" i="4"/>
  <c r="H3570" i="4"/>
  <c r="Q3569" i="4"/>
  <c r="P3569" i="4"/>
  <c r="O3569" i="4"/>
  <c r="N3569" i="4"/>
  <c r="M3569" i="4"/>
  <c r="L3569" i="4"/>
  <c r="K3569" i="4"/>
  <c r="J3569" i="4"/>
  <c r="I3569" i="4"/>
  <c r="H3569" i="4"/>
  <c r="Q3568" i="4"/>
  <c r="P3568" i="4"/>
  <c r="O3568" i="4"/>
  <c r="N3568" i="4"/>
  <c r="M3568" i="4"/>
  <c r="L3568" i="4"/>
  <c r="K3568" i="4"/>
  <c r="J3568" i="4"/>
  <c r="I3568" i="4"/>
  <c r="H3568" i="4"/>
  <c r="Q3567" i="4"/>
  <c r="P3567" i="4"/>
  <c r="O3567" i="4"/>
  <c r="N3567" i="4"/>
  <c r="M3567" i="4"/>
  <c r="L3567" i="4"/>
  <c r="K3567" i="4"/>
  <c r="J3567" i="4"/>
  <c r="I3567" i="4"/>
  <c r="H3567" i="4"/>
  <c r="Q3566" i="4"/>
  <c r="P3566" i="4"/>
  <c r="O3566" i="4"/>
  <c r="N3566" i="4"/>
  <c r="M3566" i="4"/>
  <c r="L3566" i="4"/>
  <c r="K3566" i="4"/>
  <c r="J3566" i="4"/>
  <c r="I3566" i="4"/>
  <c r="H3566" i="4"/>
  <c r="Q3565" i="4"/>
  <c r="P3565" i="4"/>
  <c r="O3565" i="4"/>
  <c r="N3565" i="4"/>
  <c r="M3565" i="4"/>
  <c r="L3565" i="4"/>
  <c r="K3565" i="4"/>
  <c r="J3565" i="4"/>
  <c r="I3565" i="4"/>
  <c r="H3565" i="4"/>
  <c r="Q3564" i="4"/>
  <c r="P3564" i="4"/>
  <c r="O3564" i="4"/>
  <c r="N3564" i="4"/>
  <c r="M3564" i="4"/>
  <c r="L3564" i="4"/>
  <c r="K3564" i="4"/>
  <c r="J3564" i="4"/>
  <c r="I3564" i="4"/>
  <c r="H3564" i="4"/>
  <c r="Q3563" i="4"/>
  <c r="P3563" i="4"/>
  <c r="O3563" i="4"/>
  <c r="N3563" i="4"/>
  <c r="M3563" i="4"/>
  <c r="L3563" i="4"/>
  <c r="K3563" i="4"/>
  <c r="J3563" i="4"/>
  <c r="I3563" i="4"/>
  <c r="H3563" i="4"/>
  <c r="Q3562" i="4"/>
  <c r="P3562" i="4"/>
  <c r="O3562" i="4"/>
  <c r="N3562" i="4"/>
  <c r="M3562" i="4"/>
  <c r="L3562" i="4"/>
  <c r="K3562" i="4"/>
  <c r="J3562" i="4"/>
  <c r="I3562" i="4"/>
  <c r="H3562" i="4"/>
  <c r="Q3561" i="4"/>
  <c r="P3561" i="4"/>
  <c r="O3561" i="4"/>
  <c r="N3561" i="4"/>
  <c r="M3561" i="4"/>
  <c r="L3561" i="4"/>
  <c r="K3561" i="4"/>
  <c r="J3561" i="4"/>
  <c r="I3561" i="4"/>
  <c r="H3561" i="4"/>
  <c r="Q3560" i="4"/>
  <c r="P3560" i="4"/>
  <c r="O3560" i="4"/>
  <c r="N3560" i="4"/>
  <c r="M3560" i="4"/>
  <c r="L3560" i="4"/>
  <c r="K3560" i="4"/>
  <c r="J3560" i="4"/>
  <c r="I3560" i="4"/>
  <c r="H3560" i="4"/>
  <c r="Q3559" i="4"/>
  <c r="P3559" i="4"/>
  <c r="O3559" i="4"/>
  <c r="N3559" i="4"/>
  <c r="M3559" i="4"/>
  <c r="L3559" i="4"/>
  <c r="K3559" i="4"/>
  <c r="J3559" i="4"/>
  <c r="I3559" i="4"/>
  <c r="H3559" i="4"/>
  <c r="Q3558" i="4"/>
  <c r="P3558" i="4"/>
  <c r="O3558" i="4"/>
  <c r="N3558" i="4"/>
  <c r="M3558" i="4"/>
  <c r="L3558" i="4"/>
  <c r="K3558" i="4"/>
  <c r="J3558" i="4"/>
  <c r="I3558" i="4"/>
  <c r="H3558" i="4"/>
  <c r="Q3557" i="4"/>
  <c r="P3557" i="4"/>
  <c r="O3557" i="4"/>
  <c r="N3557" i="4"/>
  <c r="M3557" i="4"/>
  <c r="L3557" i="4"/>
  <c r="K3557" i="4"/>
  <c r="J3557" i="4"/>
  <c r="I3557" i="4"/>
  <c r="H3557" i="4"/>
  <c r="Q3556" i="4"/>
  <c r="P3556" i="4"/>
  <c r="O3556" i="4"/>
  <c r="N3556" i="4"/>
  <c r="M3556" i="4"/>
  <c r="L3556" i="4"/>
  <c r="K3556" i="4"/>
  <c r="J3556" i="4"/>
  <c r="I3556" i="4"/>
  <c r="H3556" i="4"/>
  <c r="Q3555" i="4"/>
  <c r="P3555" i="4"/>
  <c r="O3555" i="4"/>
  <c r="N3555" i="4"/>
  <c r="M3555" i="4"/>
  <c r="L3555" i="4"/>
  <c r="K3555" i="4"/>
  <c r="J3555" i="4"/>
  <c r="I3555" i="4"/>
  <c r="H3555" i="4"/>
  <c r="Q3554" i="4"/>
  <c r="P3554" i="4"/>
  <c r="O3554" i="4"/>
  <c r="N3554" i="4"/>
  <c r="M3554" i="4"/>
  <c r="L3554" i="4"/>
  <c r="K3554" i="4"/>
  <c r="J3554" i="4"/>
  <c r="I3554" i="4"/>
  <c r="H3554" i="4"/>
  <c r="Q3553" i="4"/>
  <c r="P3553" i="4"/>
  <c r="O3553" i="4"/>
  <c r="N3553" i="4"/>
  <c r="M3553" i="4"/>
  <c r="L3553" i="4"/>
  <c r="K3553" i="4"/>
  <c r="J3553" i="4"/>
  <c r="I3553" i="4"/>
  <c r="H3553" i="4"/>
  <c r="Q3552" i="4"/>
  <c r="P3552" i="4"/>
  <c r="O3552" i="4"/>
  <c r="N3552" i="4"/>
  <c r="M3552" i="4"/>
  <c r="L3552" i="4"/>
  <c r="K3552" i="4"/>
  <c r="J3552" i="4"/>
  <c r="I3552" i="4"/>
  <c r="H3552" i="4"/>
  <c r="Q3551" i="4"/>
  <c r="P3551" i="4"/>
  <c r="O3551" i="4"/>
  <c r="N3551" i="4"/>
  <c r="M3551" i="4"/>
  <c r="L3551" i="4"/>
  <c r="K3551" i="4"/>
  <c r="J3551" i="4"/>
  <c r="I3551" i="4"/>
  <c r="H3551" i="4"/>
  <c r="Q3550" i="4"/>
  <c r="P3550" i="4"/>
  <c r="O3550" i="4"/>
  <c r="N3550" i="4"/>
  <c r="M3550" i="4"/>
  <c r="L3550" i="4"/>
  <c r="K3550" i="4"/>
  <c r="J3550" i="4"/>
  <c r="I3550" i="4"/>
  <c r="H3550" i="4"/>
  <c r="Q3549" i="4"/>
  <c r="P3549" i="4"/>
  <c r="O3549" i="4"/>
  <c r="N3549" i="4"/>
  <c r="M3549" i="4"/>
  <c r="L3549" i="4"/>
  <c r="K3549" i="4"/>
  <c r="J3549" i="4"/>
  <c r="I3549" i="4"/>
  <c r="H3549" i="4"/>
  <c r="Q3548" i="4"/>
  <c r="P3548" i="4"/>
  <c r="O3548" i="4"/>
  <c r="N3548" i="4"/>
  <c r="M3548" i="4"/>
  <c r="L3548" i="4"/>
  <c r="K3548" i="4"/>
  <c r="J3548" i="4"/>
  <c r="I3548" i="4"/>
  <c r="H3548" i="4"/>
  <c r="Q3547" i="4"/>
  <c r="P3547" i="4"/>
  <c r="O3547" i="4"/>
  <c r="N3547" i="4"/>
  <c r="M3547" i="4"/>
  <c r="L3547" i="4"/>
  <c r="K3547" i="4"/>
  <c r="J3547" i="4"/>
  <c r="I3547" i="4"/>
  <c r="H3547" i="4"/>
  <c r="Q3546" i="4"/>
  <c r="P3546" i="4"/>
  <c r="O3546" i="4"/>
  <c r="N3546" i="4"/>
  <c r="M3546" i="4"/>
  <c r="L3546" i="4"/>
  <c r="K3546" i="4"/>
  <c r="J3546" i="4"/>
  <c r="I3546" i="4"/>
  <c r="H3546" i="4"/>
  <c r="Q3545" i="4"/>
  <c r="P3545" i="4"/>
  <c r="O3545" i="4"/>
  <c r="N3545" i="4"/>
  <c r="M3545" i="4"/>
  <c r="L3545" i="4"/>
  <c r="K3545" i="4"/>
  <c r="J3545" i="4"/>
  <c r="I3545" i="4"/>
  <c r="H3545" i="4"/>
  <c r="Q3544" i="4"/>
  <c r="P3544" i="4"/>
  <c r="O3544" i="4"/>
  <c r="N3544" i="4"/>
  <c r="M3544" i="4"/>
  <c r="L3544" i="4"/>
  <c r="K3544" i="4"/>
  <c r="J3544" i="4"/>
  <c r="I3544" i="4"/>
  <c r="H3544" i="4"/>
  <c r="Q3543" i="4"/>
  <c r="P3543" i="4"/>
  <c r="O3543" i="4"/>
  <c r="N3543" i="4"/>
  <c r="M3543" i="4"/>
  <c r="L3543" i="4"/>
  <c r="K3543" i="4"/>
  <c r="J3543" i="4"/>
  <c r="I3543" i="4"/>
  <c r="H3543" i="4"/>
  <c r="Q3542" i="4"/>
  <c r="P3542" i="4"/>
  <c r="O3542" i="4"/>
  <c r="N3542" i="4"/>
  <c r="M3542" i="4"/>
  <c r="L3542" i="4"/>
  <c r="K3542" i="4"/>
  <c r="J3542" i="4"/>
  <c r="I3542" i="4"/>
  <c r="H3542" i="4"/>
  <c r="Q3541" i="4"/>
  <c r="P3541" i="4"/>
  <c r="O3541" i="4"/>
  <c r="N3541" i="4"/>
  <c r="M3541" i="4"/>
  <c r="L3541" i="4"/>
  <c r="K3541" i="4"/>
  <c r="J3541" i="4"/>
  <c r="I3541" i="4"/>
  <c r="H3541" i="4"/>
  <c r="Q3540" i="4"/>
  <c r="P3540" i="4"/>
  <c r="O3540" i="4"/>
  <c r="N3540" i="4"/>
  <c r="M3540" i="4"/>
  <c r="L3540" i="4"/>
  <c r="K3540" i="4"/>
  <c r="J3540" i="4"/>
  <c r="I3540" i="4"/>
  <c r="H3540" i="4"/>
  <c r="Q3539" i="4"/>
  <c r="P3539" i="4"/>
  <c r="O3539" i="4"/>
  <c r="N3539" i="4"/>
  <c r="M3539" i="4"/>
  <c r="L3539" i="4"/>
  <c r="K3539" i="4"/>
  <c r="J3539" i="4"/>
  <c r="I3539" i="4"/>
  <c r="H3539" i="4"/>
  <c r="Q3538" i="4"/>
  <c r="P3538" i="4"/>
  <c r="O3538" i="4"/>
  <c r="N3538" i="4"/>
  <c r="M3538" i="4"/>
  <c r="L3538" i="4"/>
  <c r="K3538" i="4"/>
  <c r="J3538" i="4"/>
  <c r="I3538" i="4"/>
  <c r="H3538" i="4"/>
  <c r="Q3537" i="4"/>
  <c r="P3537" i="4"/>
  <c r="O3537" i="4"/>
  <c r="N3537" i="4"/>
  <c r="M3537" i="4"/>
  <c r="L3537" i="4"/>
  <c r="K3537" i="4"/>
  <c r="J3537" i="4"/>
  <c r="I3537" i="4"/>
  <c r="H3537" i="4"/>
  <c r="Q3536" i="4"/>
  <c r="P3536" i="4"/>
  <c r="O3536" i="4"/>
  <c r="N3536" i="4"/>
  <c r="M3536" i="4"/>
  <c r="L3536" i="4"/>
  <c r="K3536" i="4"/>
  <c r="J3536" i="4"/>
  <c r="I3536" i="4"/>
  <c r="H3536" i="4"/>
  <c r="Q3535" i="4"/>
  <c r="P3535" i="4"/>
  <c r="O3535" i="4"/>
  <c r="N3535" i="4"/>
  <c r="M3535" i="4"/>
  <c r="L3535" i="4"/>
  <c r="K3535" i="4"/>
  <c r="J3535" i="4"/>
  <c r="I3535" i="4"/>
  <c r="H3535" i="4"/>
  <c r="Q3534" i="4"/>
  <c r="P3534" i="4"/>
  <c r="O3534" i="4"/>
  <c r="N3534" i="4"/>
  <c r="M3534" i="4"/>
  <c r="L3534" i="4"/>
  <c r="K3534" i="4"/>
  <c r="J3534" i="4"/>
  <c r="I3534" i="4"/>
  <c r="H3534" i="4"/>
  <c r="Q3533" i="4"/>
  <c r="P3533" i="4"/>
  <c r="O3533" i="4"/>
  <c r="N3533" i="4"/>
  <c r="M3533" i="4"/>
  <c r="L3533" i="4"/>
  <c r="K3533" i="4"/>
  <c r="J3533" i="4"/>
  <c r="I3533" i="4"/>
  <c r="H3533" i="4"/>
  <c r="Q3532" i="4"/>
  <c r="P3532" i="4"/>
  <c r="O3532" i="4"/>
  <c r="N3532" i="4"/>
  <c r="M3532" i="4"/>
  <c r="L3532" i="4"/>
  <c r="K3532" i="4"/>
  <c r="J3532" i="4"/>
  <c r="I3532" i="4"/>
  <c r="H3532" i="4"/>
  <c r="Q3531" i="4"/>
  <c r="P3531" i="4"/>
  <c r="O3531" i="4"/>
  <c r="N3531" i="4"/>
  <c r="M3531" i="4"/>
  <c r="L3531" i="4"/>
  <c r="K3531" i="4"/>
  <c r="J3531" i="4"/>
  <c r="I3531" i="4"/>
  <c r="H3531" i="4"/>
  <c r="Q3530" i="4"/>
  <c r="P3530" i="4"/>
  <c r="O3530" i="4"/>
  <c r="N3530" i="4"/>
  <c r="M3530" i="4"/>
  <c r="L3530" i="4"/>
  <c r="K3530" i="4"/>
  <c r="J3530" i="4"/>
  <c r="I3530" i="4"/>
  <c r="H3530" i="4"/>
  <c r="Q3529" i="4"/>
  <c r="P3529" i="4"/>
  <c r="O3529" i="4"/>
  <c r="N3529" i="4"/>
  <c r="M3529" i="4"/>
  <c r="L3529" i="4"/>
  <c r="K3529" i="4"/>
  <c r="J3529" i="4"/>
  <c r="I3529" i="4"/>
  <c r="H3529" i="4"/>
  <c r="Q3528" i="4"/>
  <c r="P3528" i="4"/>
  <c r="O3528" i="4"/>
  <c r="N3528" i="4"/>
  <c r="M3528" i="4"/>
  <c r="L3528" i="4"/>
  <c r="K3528" i="4"/>
  <c r="J3528" i="4"/>
  <c r="I3528" i="4"/>
  <c r="H3528" i="4"/>
  <c r="Q3527" i="4"/>
  <c r="P3527" i="4"/>
  <c r="O3527" i="4"/>
  <c r="N3527" i="4"/>
  <c r="M3527" i="4"/>
  <c r="L3527" i="4"/>
  <c r="K3527" i="4"/>
  <c r="J3527" i="4"/>
  <c r="I3527" i="4"/>
  <c r="H3527" i="4"/>
  <c r="Q3526" i="4"/>
  <c r="P3526" i="4"/>
  <c r="O3526" i="4"/>
  <c r="N3526" i="4"/>
  <c r="M3526" i="4"/>
  <c r="L3526" i="4"/>
  <c r="K3526" i="4"/>
  <c r="J3526" i="4"/>
  <c r="I3526" i="4"/>
  <c r="H3526" i="4"/>
  <c r="Q3525" i="4"/>
  <c r="P3525" i="4"/>
  <c r="O3525" i="4"/>
  <c r="N3525" i="4"/>
  <c r="M3525" i="4"/>
  <c r="L3525" i="4"/>
  <c r="K3525" i="4"/>
  <c r="J3525" i="4"/>
  <c r="I3525" i="4"/>
  <c r="H3525" i="4"/>
  <c r="Q3524" i="4"/>
  <c r="P3524" i="4"/>
  <c r="O3524" i="4"/>
  <c r="N3524" i="4"/>
  <c r="M3524" i="4"/>
  <c r="L3524" i="4"/>
  <c r="K3524" i="4"/>
  <c r="J3524" i="4"/>
  <c r="I3524" i="4"/>
  <c r="H3524" i="4"/>
  <c r="Q3523" i="4"/>
  <c r="P3523" i="4"/>
  <c r="O3523" i="4"/>
  <c r="N3523" i="4"/>
  <c r="M3523" i="4"/>
  <c r="L3523" i="4"/>
  <c r="K3523" i="4"/>
  <c r="J3523" i="4"/>
  <c r="I3523" i="4"/>
  <c r="H3523" i="4"/>
  <c r="Q3522" i="4"/>
  <c r="P3522" i="4"/>
  <c r="O3522" i="4"/>
  <c r="N3522" i="4"/>
  <c r="M3522" i="4"/>
  <c r="L3522" i="4"/>
  <c r="K3522" i="4"/>
  <c r="J3522" i="4"/>
  <c r="I3522" i="4"/>
  <c r="H3522" i="4"/>
  <c r="Q3521" i="4"/>
  <c r="P3521" i="4"/>
  <c r="O3521" i="4"/>
  <c r="N3521" i="4"/>
  <c r="M3521" i="4"/>
  <c r="L3521" i="4"/>
  <c r="K3521" i="4"/>
  <c r="J3521" i="4"/>
  <c r="I3521" i="4"/>
  <c r="H3521" i="4"/>
  <c r="Q3520" i="4"/>
  <c r="P3520" i="4"/>
  <c r="O3520" i="4"/>
  <c r="N3520" i="4"/>
  <c r="M3520" i="4"/>
  <c r="L3520" i="4"/>
  <c r="K3520" i="4"/>
  <c r="J3520" i="4"/>
  <c r="I3520" i="4"/>
  <c r="H3520" i="4"/>
  <c r="Q3519" i="4"/>
  <c r="P3519" i="4"/>
  <c r="O3519" i="4"/>
  <c r="N3519" i="4"/>
  <c r="M3519" i="4"/>
  <c r="L3519" i="4"/>
  <c r="K3519" i="4"/>
  <c r="J3519" i="4"/>
  <c r="I3519" i="4"/>
  <c r="H3519" i="4"/>
  <c r="Q3518" i="4"/>
  <c r="P3518" i="4"/>
  <c r="O3518" i="4"/>
  <c r="N3518" i="4"/>
  <c r="M3518" i="4"/>
  <c r="L3518" i="4"/>
  <c r="K3518" i="4"/>
  <c r="J3518" i="4"/>
  <c r="I3518" i="4"/>
  <c r="H3518" i="4"/>
  <c r="Q3517" i="4"/>
  <c r="P3517" i="4"/>
  <c r="O3517" i="4"/>
  <c r="N3517" i="4"/>
  <c r="M3517" i="4"/>
  <c r="L3517" i="4"/>
  <c r="K3517" i="4"/>
  <c r="J3517" i="4"/>
  <c r="I3517" i="4"/>
  <c r="H3517" i="4"/>
  <c r="Q3516" i="4"/>
  <c r="P3516" i="4"/>
  <c r="O3516" i="4"/>
  <c r="N3516" i="4"/>
  <c r="M3516" i="4"/>
  <c r="L3516" i="4"/>
  <c r="K3516" i="4"/>
  <c r="J3516" i="4"/>
  <c r="I3516" i="4"/>
  <c r="H3516" i="4"/>
  <c r="Q3515" i="4"/>
  <c r="P3515" i="4"/>
  <c r="O3515" i="4"/>
  <c r="N3515" i="4"/>
  <c r="M3515" i="4"/>
  <c r="L3515" i="4"/>
  <c r="K3515" i="4"/>
  <c r="J3515" i="4"/>
  <c r="I3515" i="4"/>
  <c r="H3515" i="4"/>
  <c r="Q3514" i="4"/>
  <c r="P3514" i="4"/>
  <c r="O3514" i="4"/>
  <c r="N3514" i="4"/>
  <c r="M3514" i="4"/>
  <c r="L3514" i="4"/>
  <c r="K3514" i="4"/>
  <c r="J3514" i="4"/>
  <c r="I3514" i="4"/>
  <c r="H3514" i="4"/>
  <c r="Q3513" i="4"/>
  <c r="P3513" i="4"/>
  <c r="O3513" i="4"/>
  <c r="N3513" i="4"/>
  <c r="M3513" i="4"/>
  <c r="L3513" i="4"/>
  <c r="K3513" i="4"/>
  <c r="J3513" i="4"/>
  <c r="I3513" i="4"/>
  <c r="H3513" i="4"/>
  <c r="Q3512" i="4"/>
  <c r="P3512" i="4"/>
  <c r="O3512" i="4"/>
  <c r="N3512" i="4"/>
  <c r="M3512" i="4"/>
  <c r="L3512" i="4"/>
  <c r="K3512" i="4"/>
  <c r="J3512" i="4"/>
  <c r="I3512" i="4"/>
  <c r="H3512" i="4"/>
  <c r="Q3511" i="4"/>
  <c r="P3511" i="4"/>
  <c r="O3511" i="4"/>
  <c r="N3511" i="4"/>
  <c r="M3511" i="4"/>
  <c r="L3511" i="4"/>
  <c r="K3511" i="4"/>
  <c r="J3511" i="4"/>
  <c r="I3511" i="4"/>
  <c r="H3511" i="4"/>
  <c r="Q3510" i="4"/>
  <c r="P3510" i="4"/>
  <c r="O3510" i="4"/>
  <c r="N3510" i="4"/>
  <c r="M3510" i="4"/>
  <c r="L3510" i="4"/>
  <c r="K3510" i="4"/>
  <c r="J3510" i="4"/>
  <c r="I3510" i="4"/>
  <c r="H3510" i="4"/>
  <c r="Q3509" i="4"/>
  <c r="P3509" i="4"/>
  <c r="O3509" i="4"/>
  <c r="N3509" i="4"/>
  <c r="M3509" i="4"/>
  <c r="L3509" i="4"/>
  <c r="K3509" i="4"/>
  <c r="J3509" i="4"/>
  <c r="I3509" i="4"/>
  <c r="H3509" i="4"/>
  <c r="Q3508" i="4"/>
  <c r="P3508" i="4"/>
  <c r="O3508" i="4"/>
  <c r="N3508" i="4"/>
  <c r="M3508" i="4"/>
  <c r="L3508" i="4"/>
  <c r="K3508" i="4"/>
  <c r="J3508" i="4"/>
  <c r="I3508" i="4"/>
  <c r="H3508" i="4"/>
  <c r="Q3507" i="4"/>
  <c r="P3507" i="4"/>
  <c r="O3507" i="4"/>
  <c r="N3507" i="4"/>
  <c r="M3507" i="4"/>
  <c r="L3507" i="4"/>
  <c r="K3507" i="4"/>
  <c r="J3507" i="4"/>
  <c r="I3507" i="4"/>
  <c r="H3507" i="4"/>
  <c r="Q3506" i="4"/>
  <c r="P3506" i="4"/>
  <c r="O3506" i="4"/>
  <c r="N3506" i="4"/>
  <c r="M3506" i="4"/>
  <c r="L3506" i="4"/>
  <c r="K3506" i="4"/>
  <c r="J3506" i="4"/>
  <c r="I3506" i="4"/>
  <c r="H3506" i="4"/>
  <c r="Q3505" i="4"/>
  <c r="P3505" i="4"/>
  <c r="O3505" i="4"/>
  <c r="N3505" i="4"/>
  <c r="M3505" i="4"/>
  <c r="L3505" i="4"/>
  <c r="K3505" i="4"/>
  <c r="J3505" i="4"/>
  <c r="I3505" i="4"/>
  <c r="H3505" i="4"/>
  <c r="Q3504" i="4"/>
  <c r="P3504" i="4"/>
  <c r="O3504" i="4"/>
  <c r="N3504" i="4"/>
  <c r="M3504" i="4"/>
  <c r="L3504" i="4"/>
  <c r="K3504" i="4"/>
  <c r="J3504" i="4"/>
  <c r="I3504" i="4"/>
  <c r="H3504" i="4"/>
  <c r="Q3503" i="4"/>
  <c r="P3503" i="4"/>
  <c r="O3503" i="4"/>
  <c r="N3503" i="4"/>
  <c r="M3503" i="4"/>
  <c r="L3503" i="4"/>
  <c r="K3503" i="4"/>
  <c r="J3503" i="4"/>
  <c r="I3503" i="4"/>
  <c r="H3503" i="4"/>
  <c r="Q3502" i="4"/>
  <c r="P3502" i="4"/>
  <c r="O3502" i="4"/>
  <c r="N3502" i="4"/>
  <c r="M3502" i="4"/>
  <c r="L3502" i="4"/>
  <c r="K3502" i="4"/>
  <c r="J3502" i="4"/>
  <c r="I3502" i="4"/>
  <c r="H3502" i="4"/>
  <c r="Q3501" i="4"/>
  <c r="P3501" i="4"/>
  <c r="O3501" i="4"/>
  <c r="N3501" i="4"/>
  <c r="M3501" i="4"/>
  <c r="L3501" i="4"/>
  <c r="K3501" i="4"/>
  <c r="J3501" i="4"/>
  <c r="I3501" i="4"/>
  <c r="H3501" i="4"/>
  <c r="Q3500" i="4"/>
  <c r="P3500" i="4"/>
  <c r="O3500" i="4"/>
  <c r="N3500" i="4"/>
  <c r="M3500" i="4"/>
  <c r="L3500" i="4"/>
  <c r="K3500" i="4"/>
  <c r="J3500" i="4"/>
  <c r="I3500" i="4"/>
  <c r="H3500" i="4"/>
  <c r="Q3499" i="4"/>
  <c r="P3499" i="4"/>
  <c r="O3499" i="4"/>
  <c r="N3499" i="4"/>
  <c r="M3499" i="4"/>
  <c r="L3499" i="4"/>
  <c r="K3499" i="4"/>
  <c r="J3499" i="4"/>
  <c r="I3499" i="4"/>
  <c r="H3499" i="4"/>
  <c r="Q3498" i="4"/>
  <c r="P3498" i="4"/>
  <c r="O3498" i="4"/>
  <c r="N3498" i="4"/>
  <c r="M3498" i="4"/>
  <c r="L3498" i="4"/>
  <c r="K3498" i="4"/>
  <c r="J3498" i="4"/>
  <c r="I3498" i="4"/>
  <c r="H3498" i="4"/>
  <c r="Q3497" i="4"/>
  <c r="P3497" i="4"/>
  <c r="O3497" i="4"/>
  <c r="N3497" i="4"/>
  <c r="M3497" i="4"/>
  <c r="L3497" i="4"/>
  <c r="K3497" i="4"/>
  <c r="J3497" i="4"/>
  <c r="I3497" i="4"/>
  <c r="H3497" i="4"/>
  <c r="Q3496" i="4"/>
  <c r="P3496" i="4"/>
  <c r="O3496" i="4"/>
  <c r="N3496" i="4"/>
  <c r="M3496" i="4"/>
  <c r="L3496" i="4"/>
  <c r="K3496" i="4"/>
  <c r="J3496" i="4"/>
  <c r="I3496" i="4"/>
  <c r="H3496" i="4"/>
  <c r="Q3495" i="4"/>
  <c r="P3495" i="4"/>
  <c r="O3495" i="4"/>
  <c r="N3495" i="4"/>
  <c r="M3495" i="4"/>
  <c r="L3495" i="4"/>
  <c r="K3495" i="4"/>
  <c r="J3495" i="4"/>
  <c r="I3495" i="4"/>
  <c r="H3495" i="4"/>
  <c r="Q3494" i="4"/>
  <c r="P3494" i="4"/>
  <c r="O3494" i="4"/>
  <c r="N3494" i="4"/>
  <c r="M3494" i="4"/>
  <c r="L3494" i="4"/>
  <c r="K3494" i="4"/>
  <c r="J3494" i="4"/>
  <c r="I3494" i="4"/>
  <c r="H3494" i="4"/>
  <c r="Q3493" i="4"/>
  <c r="P3493" i="4"/>
  <c r="O3493" i="4"/>
  <c r="N3493" i="4"/>
  <c r="M3493" i="4"/>
  <c r="L3493" i="4"/>
  <c r="K3493" i="4"/>
  <c r="J3493" i="4"/>
  <c r="I3493" i="4"/>
  <c r="H3493" i="4"/>
  <c r="Q3492" i="4"/>
  <c r="P3492" i="4"/>
  <c r="O3492" i="4"/>
  <c r="N3492" i="4"/>
  <c r="M3492" i="4"/>
  <c r="L3492" i="4"/>
  <c r="K3492" i="4"/>
  <c r="J3492" i="4"/>
  <c r="I3492" i="4"/>
  <c r="H3492" i="4"/>
  <c r="Q3491" i="4"/>
  <c r="P3491" i="4"/>
  <c r="O3491" i="4"/>
  <c r="N3491" i="4"/>
  <c r="M3491" i="4"/>
  <c r="L3491" i="4"/>
  <c r="K3491" i="4"/>
  <c r="J3491" i="4"/>
  <c r="I3491" i="4"/>
  <c r="H3491" i="4"/>
  <c r="Q3490" i="4"/>
  <c r="P3490" i="4"/>
  <c r="O3490" i="4"/>
  <c r="N3490" i="4"/>
  <c r="M3490" i="4"/>
  <c r="L3490" i="4"/>
  <c r="K3490" i="4"/>
  <c r="J3490" i="4"/>
  <c r="I3490" i="4"/>
  <c r="H3490" i="4"/>
  <c r="Q3489" i="4"/>
  <c r="P3489" i="4"/>
  <c r="O3489" i="4"/>
  <c r="N3489" i="4"/>
  <c r="M3489" i="4"/>
  <c r="L3489" i="4"/>
  <c r="K3489" i="4"/>
  <c r="J3489" i="4"/>
  <c r="I3489" i="4"/>
  <c r="H3489" i="4"/>
  <c r="Q3488" i="4"/>
  <c r="P3488" i="4"/>
  <c r="O3488" i="4"/>
  <c r="N3488" i="4"/>
  <c r="M3488" i="4"/>
  <c r="L3488" i="4"/>
  <c r="K3488" i="4"/>
  <c r="J3488" i="4"/>
  <c r="I3488" i="4"/>
  <c r="H3488" i="4"/>
  <c r="Q3487" i="4"/>
  <c r="P3487" i="4"/>
  <c r="O3487" i="4"/>
  <c r="N3487" i="4"/>
  <c r="M3487" i="4"/>
  <c r="L3487" i="4"/>
  <c r="K3487" i="4"/>
  <c r="J3487" i="4"/>
  <c r="I3487" i="4"/>
  <c r="H3487" i="4"/>
  <c r="Q3486" i="4"/>
  <c r="P3486" i="4"/>
  <c r="O3486" i="4"/>
  <c r="N3486" i="4"/>
  <c r="M3486" i="4"/>
  <c r="L3486" i="4"/>
  <c r="K3486" i="4"/>
  <c r="J3486" i="4"/>
  <c r="I3486" i="4"/>
  <c r="H3486" i="4"/>
  <c r="Q3485" i="4"/>
  <c r="P3485" i="4"/>
  <c r="O3485" i="4"/>
  <c r="N3485" i="4"/>
  <c r="M3485" i="4"/>
  <c r="L3485" i="4"/>
  <c r="K3485" i="4"/>
  <c r="J3485" i="4"/>
  <c r="I3485" i="4"/>
  <c r="H3485" i="4"/>
  <c r="Q3484" i="4"/>
  <c r="P3484" i="4"/>
  <c r="O3484" i="4"/>
  <c r="N3484" i="4"/>
  <c r="M3484" i="4"/>
  <c r="L3484" i="4"/>
  <c r="K3484" i="4"/>
  <c r="J3484" i="4"/>
  <c r="I3484" i="4"/>
  <c r="H3484" i="4"/>
  <c r="Q3483" i="4"/>
  <c r="P3483" i="4"/>
  <c r="O3483" i="4"/>
  <c r="N3483" i="4"/>
  <c r="M3483" i="4"/>
  <c r="L3483" i="4"/>
  <c r="K3483" i="4"/>
  <c r="J3483" i="4"/>
  <c r="I3483" i="4"/>
  <c r="H3483" i="4"/>
  <c r="Q3482" i="4"/>
  <c r="P3482" i="4"/>
  <c r="O3482" i="4"/>
  <c r="N3482" i="4"/>
  <c r="M3482" i="4"/>
  <c r="L3482" i="4"/>
  <c r="K3482" i="4"/>
  <c r="J3482" i="4"/>
  <c r="I3482" i="4"/>
  <c r="H3482" i="4"/>
  <c r="Q3481" i="4"/>
  <c r="P3481" i="4"/>
  <c r="O3481" i="4"/>
  <c r="N3481" i="4"/>
  <c r="M3481" i="4"/>
  <c r="L3481" i="4"/>
  <c r="K3481" i="4"/>
  <c r="J3481" i="4"/>
  <c r="I3481" i="4"/>
  <c r="H3481" i="4"/>
  <c r="Q3480" i="4"/>
  <c r="P3480" i="4"/>
  <c r="O3480" i="4"/>
  <c r="N3480" i="4"/>
  <c r="M3480" i="4"/>
  <c r="L3480" i="4"/>
  <c r="K3480" i="4"/>
  <c r="J3480" i="4"/>
  <c r="I3480" i="4"/>
  <c r="H3480" i="4"/>
  <c r="Q3479" i="4"/>
  <c r="P3479" i="4"/>
  <c r="O3479" i="4"/>
  <c r="N3479" i="4"/>
  <c r="M3479" i="4"/>
  <c r="L3479" i="4"/>
  <c r="K3479" i="4"/>
  <c r="J3479" i="4"/>
  <c r="I3479" i="4"/>
  <c r="H3479" i="4"/>
  <c r="Q3478" i="4"/>
  <c r="P3478" i="4"/>
  <c r="O3478" i="4"/>
  <c r="N3478" i="4"/>
  <c r="M3478" i="4"/>
  <c r="L3478" i="4"/>
  <c r="K3478" i="4"/>
  <c r="J3478" i="4"/>
  <c r="I3478" i="4"/>
  <c r="H3478" i="4"/>
  <c r="Q3477" i="4"/>
  <c r="P3477" i="4"/>
  <c r="O3477" i="4"/>
  <c r="N3477" i="4"/>
  <c r="M3477" i="4"/>
  <c r="L3477" i="4"/>
  <c r="K3477" i="4"/>
  <c r="J3477" i="4"/>
  <c r="I3477" i="4"/>
  <c r="H3477" i="4"/>
  <c r="Q3476" i="4"/>
  <c r="P3476" i="4"/>
  <c r="O3476" i="4"/>
  <c r="N3476" i="4"/>
  <c r="M3476" i="4"/>
  <c r="L3476" i="4"/>
  <c r="K3476" i="4"/>
  <c r="J3476" i="4"/>
  <c r="I3476" i="4"/>
  <c r="H3476" i="4"/>
  <c r="Q3475" i="4"/>
  <c r="P3475" i="4"/>
  <c r="O3475" i="4"/>
  <c r="N3475" i="4"/>
  <c r="M3475" i="4"/>
  <c r="L3475" i="4"/>
  <c r="K3475" i="4"/>
  <c r="J3475" i="4"/>
  <c r="I3475" i="4"/>
  <c r="H3475" i="4"/>
  <c r="Q3474" i="4"/>
  <c r="P3474" i="4"/>
  <c r="O3474" i="4"/>
  <c r="N3474" i="4"/>
  <c r="M3474" i="4"/>
  <c r="L3474" i="4"/>
  <c r="K3474" i="4"/>
  <c r="J3474" i="4"/>
  <c r="I3474" i="4"/>
  <c r="H3474" i="4"/>
  <c r="Q3473" i="4"/>
  <c r="P3473" i="4"/>
  <c r="O3473" i="4"/>
  <c r="N3473" i="4"/>
  <c r="M3473" i="4"/>
  <c r="L3473" i="4"/>
  <c r="K3473" i="4"/>
  <c r="J3473" i="4"/>
  <c r="I3473" i="4"/>
  <c r="H3473" i="4"/>
  <c r="Q3472" i="4"/>
  <c r="P3472" i="4"/>
  <c r="O3472" i="4"/>
  <c r="N3472" i="4"/>
  <c r="M3472" i="4"/>
  <c r="L3472" i="4"/>
  <c r="K3472" i="4"/>
  <c r="J3472" i="4"/>
  <c r="I3472" i="4"/>
  <c r="H3472" i="4"/>
  <c r="Q3471" i="4"/>
  <c r="P3471" i="4"/>
  <c r="O3471" i="4"/>
  <c r="N3471" i="4"/>
  <c r="M3471" i="4"/>
  <c r="L3471" i="4"/>
  <c r="K3471" i="4"/>
  <c r="J3471" i="4"/>
  <c r="I3471" i="4"/>
  <c r="H3471" i="4"/>
  <c r="Q3470" i="4"/>
  <c r="P3470" i="4"/>
  <c r="O3470" i="4"/>
  <c r="N3470" i="4"/>
  <c r="M3470" i="4"/>
  <c r="L3470" i="4"/>
  <c r="K3470" i="4"/>
  <c r="J3470" i="4"/>
  <c r="I3470" i="4"/>
  <c r="H3470" i="4"/>
  <c r="Q3469" i="4"/>
  <c r="P3469" i="4"/>
  <c r="O3469" i="4"/>
  <c r="N3469" i="4"/>
  <c r="M3469" i="4"/>
  <c r="L3469" i="4"/>
  <c r="K3469" i="4"/>
  <c r="J3469" i="4"/>
  <c r="I3469" i="4"/>
  <c r="H3469" i="4"/>
  <c r="Q3468" i="4"/>
  <c r="P3468" i="4"/>
  <c r="O3468" i="4"/>
  <c r="N3468" i="4"/>
  <c r="M3468" i="4"/>
  <c r="L3468" i="4"/>
  <c r="K3468" i="4"/>
  <c r="J3468" i="4"/>
  <c r="I3468" i="4"/>
  <c r="H3468" i="4"/>
  <c r="Q3467" i="4"/>
  <c r="P3467" i="4"/>
  <c r="O3467" i="4"/>
  <c r="N3467" i="4"/>
  <c r="M3467" i="4"/>
  <c r="L3467" i="4"/>
  <c r="K3467" i="4"/>
  <c r="J3467" i="4"/>
  <c r="I3467" i="4"/>
  <c r="H3467" i="4"/>
  <c r="Q3466" i="4"/>
  <c r="P3466" i="4"/>
  <c r="O3466" i="4"/>
  <c r="N3466" i="4"/>
  <c r="M3466" i="4"/>
  <c r="L3466" i="4"/>
  <c r="K3466" i="4"/>
  <c r="J3466" i="4"/>
  <c r="I3466" i="4"/>
  <c r="H3466" i="4"/>
  <c r="Q3465" i="4"/>
  <c r="P3465" i="4"/>
  <c r="O3465" i="4"/>
  <c r="N3465" i="4"/>
  <c r="M3465" i="4"/>
  <c r="L3465" i="4"/>
  <c r="K3465" i="4"/>
  <c r="J3465" i="4"/>
  <c r="I3465" i="4"/>
  <c r="H3465" i="4"/>
  <c r="Q3464" i="4"/>
  <c r="P3464" i="4"/>
  <c r="O3464" i="4"/>
  <c r="N3464" i="4"/>
  <c r="M3464" i="4"/>
  <c r="L3464" i="4"/>
  <c r="K3464" i="4"/>
  <c r="J3464" i="4"/>
  <c r="I3464" i="4"/>
  <c r="H3464" i="4"/>
  <c r="Q3463" i="4"/>
  <c r="P3463" i="4"/>
  <c r="O3463" i="4"/>
  <c r="N3463" i="4"/>
  <c r="M3463" i="4"/>
  <c r="L3463" i="4"/>
  <c r="K3463" i="4"/>
  <c r="J3463" i="4"/>
  <c r="I3463" i="4"/>
  <c r="H3463" i="4"/>
  <c r="Q3462" i="4"/>
  <c r="P3462" i="4"/>
  <c r="O3462" i="4"/>
  <c r="N3462" i="4"/>
  <c r="M3462" i="4"/>
  <c r="L3462" i="4"/>
  <c r="K3462" i="4"/>
  <c r="J3462" i="4"/>
  <c r="I3462" i="4"/>
  <c r="H3462" i="4"/>
  <c r="Q3461" i="4"/>
  <c r="P3461" i="4"/>
  <c r="O3461" i="4"/>
  <c r="N3461" i="4"/>
  <c r="M3461" i="4"/>
  <c r="L3461" i="4"/>
  <c r="K3461" i="4"/>
  <c r="J3461" i="4"/>
  <c r="I3461" i="4"/>
  <c r="H3461" i="4"/>
  <c r="Q3460" i="4"/>
  <c r="P3460" i="4"/>
  <c r="O3460" i="4"/>
  <c r="N3460" i="4"/>
  <c r="M3460" i="4"/>
  <c r="L3460" i="4"/>
  <c r="K3460" i="4"/>
  <c r="J3460" i="4"/>
  <c r="I3460" i="4"/>
  <c r="H3460" i="4"/>
  <c r="Q3459" i="4"/>
  <c r="P3459" i="4"/>
  <c r="O3459" i="4"/>
  <c r="N3459" i="4"/>
  <c r="M3459" i="4"/>
  <c r="L3459" i="4"/>
  <c r="K3459" i="4"/>
  <c r="J3459" i="4"/>
  <c r="I3459" i="4"/>
  <c r="H3459" i="4"/>
  <c r="Q3458" i="4"/>
  <c r="P3458" i="4"/>
  <c r="O3458" i="4"/>
  <c r="N3458" i="4"/>
  <c r="M3458" i="4"/>
  <c r="L3458" i="4"/>
  <c r="K3458" i="4"/>
  <c r="J3458" i="4"/>
  <c r="I3458" i="4"/>
  <c r="H3458" i="4"/>
  <c r="Q3457" i="4"/>
  <c r="P3457" i="4"/>
  <c r="O3457" i="4"/>
  <c r="N3457" i="4"/>
  <c r="M3457" i="4"/>
  <c r="L3457" i="4"/>
  <c r="K3457" i="4"/>
  <c r="J3457" i="4"/>
  <c r="I3457" i="4"/>
  <c r="H3457" i="4"/>
  <c r="Q3456" i="4"/>
  <c r="P3456" i="4"/>
  <c r="O3456" i="4"/>
  <c r="N3456" i="4"/>
  <c r="M3456" i="4"/>
  <c r="L3456" i="4"/>
  <c r="K3456" i="4"/>
  <c r="J3456" i="4"/>
  <c r="I3456" i="4"/>
  <c r="H3456" i="4"/>
  <c r="Q3455" i="4"/>
  <c r="P3455" i="4"/>
  <c r="O3455" i="4"/>
  <c r="N3455" i="4"/>
  <c r="M3455" i="4"/>
  <c r="L3455" i="4"/>
  <c r="K3455" i="4"/>
  <c r="J3455" i="4"/>
  <c r="I3455" i="4"/>
  <c r="H3455" i="4"/>
  <c r="Q3454" i="4"/>
  <c r="P3454" i="4"/>
  <c r="O3454" i="4"/>
  <c r="N3454" i="4"/>
  <c r="M3454" i="4"/>
  <c r="L3454" i="4"/>
  <c r="K3454" i="4"/>
  <c r="J3454" i="4"/>
  <c r="I3454" i="4"/>
  <c r="H3454" i="4"/>
  <c r="Q3453" i="4"/>
  <c r="P3453" i="4"/>
  <c r="O3453" i="4"/>
  <c r="N3453" i="4"/>
  <c r="M3453" i="4"/>
  <c r="L3453" i="4"/>
  <c r="K3453" i="4"/>
  <c r="J3453" i="4"/>
  <c r="I3453" i="4"/>
  <c r="H3453" i="4"/>
  <c r="Q3452" i="4"/>
  <c r="P3452" i="4"/>
  <c r="O3452" i="4"/>
  <c r="N3452" i="4"/>
  <c r="M3452" i="4"/>
  <c r="L3452" i="4"/>
  <c r="K3452" i="4"/>
  <c r="J3452" i="4"/>
  <c r="I3452" i="4"/>
  <c r="H3452" i="4"/>
  <c r="Q3451" i="4"/>
  <c r="P3451" i="4"/>
  <c r="O3451" i="4"/>
  <c r="N3451" i="4"/>
  <c r="M3451" i="4"/>
  <c r="L3451" i="4"/>
  <c r="K3451" i="4"/>
  <c r="J3451" i="4"/>
  <c r="I3451" i="4"/>
  <c r="H3451" i="4"/>
  <c r="Q3450" i="4"/>
  <c r="P3450" i="4"/>
  <c r="O3450" i="4"/>
  <c r="N3450" i="4"/>
  <c r="M3450" i="4"/>
  <c r="L3450" i="4"/>
  <c r="K3450" i="4"/>
  <c r="J3450" i="4"/>
  <c r="I3450" i="4"/>
  <c r="H3450" i="4"/>
  <c r="Q3449" i="4"/>
  <c r="P3449" i="4"/>
  <c r="O3449" i="4"/>
  <c r="N3449" i="4"/>
  <c r="M3449" i="4"/>
  <c r="L3449" i="4"/>
  <c r="K3449" i="4"/>
  <c r="J3449" i="4"/>
  <c r="I3449" i="4"/>
  <c r="H3449" i="4"/>
  <c r="Q3448" i="4"/>
  <c r="P3448" i="4"/>
  <c r="O3448" i="4"/>
  <c r="N3448" i="4"/>
  <c r="M3448" i="4"/>
  <c r="L3448" i="4"/>
  <c r="K3448" i="4"/>
  <c r="J3448" i="4"/>
  <c r="I3448" i="4"/>
  <c r="H3448" i="4"/>
  <c r="Q3447" i="4"/>
  <c r="P3447" i="4"/>
  <c r="O3447" i="4"/>
  <c r="N3447" i="4"/>
  <c r="M3447" i="4"/>
  <c r="L3447" i="4"/>
  <c r="K3447" i="4"/>
  <c r="J3447" i="4"/>
  <c r="I3447" i="4"/>
  <c r="H3447" i="4"/>
  <c r="Q3446" i="4"/>
  <c r="P3446" i="4"/>
  <c r="O3446" i="4"/>
  <c r="N3446" i="4"/>
  <c r="M3446" i="4"/>
  <c r="L3446" i="4"/>
  <c r="K3446" i="4"/>
  <c r="J3446" i="4"/>
  <c r="I3446" i="4"/>
  <c r="H3446" i="4"/>
  <c r="Q3445" i="4"/>
  <c r="P3445" i="4"/>
  <c r="O3445" i="4"/>
  <c r="N3445" i="4"/>
  <c r="M3445" i="4"/>
  <c r="L3445" i="4"/>
  <c r="K3445" i="4"/>
  <c r="J3445" i="4"/>
  <c r="I3445" i="4"/>
  <c r="H3445" i="4"/>
  <c r="Q3444" i="4"/>
  <c r="P3444" i="4"/>
  <c r="O3444" i="4"/>
  <c r="N3444" i="4"/>
  <c r="M3444" i="4"/>
  <c r="L3444" i="4"/>
  <c r="K3444" i="4"/>
  <c r="J3444" i="4"/>
  <c r="I3444" i="4"/>
  <c r="H3444" i="4"/>
  <c r="Q3443" i="4"/>
  <c r="P3443" i="4"/>
  <c r="O3443" i="4"/>
  <c r="N3443" i="4"/>
  <c r="M3443" i="4"/>
  <c r="L3443" i="4"/>
  <c r="K3443" i="4"/>
  <c r="J3443" i="4"/>
  <c r="I3443" i="4"/>
  <c r="H3443" i="4"/>
  <c r="Q3442" i="4"/>
  <c r="P3442" i="4"/>
  <c r="O3442" i="4"/>
  <c r="N3442" i="4"/>
  <c r="M3442" i="4"/>
  <c r="L3442" i="4"/>
  <c r="K3442" i="4"/>
  <c r="J3442" i="4"/>
  <c r="I3442" i="4"/>
  <c r="H3442" i="4"/>
  <c r="Q3441" i="4"/>
  <c r="P3441" i="4"/>
  <c r="O3441" i="4"/>
  <c r="N3441" i="4"/>
  <c r="M3441" i="4"/>
  <c r="L3441" i="4"/>
  <c r="K3441" i="4"/>
  <c r="J3441" i="4"/>
  <c r="I3441" i="4"/>
  <c r="H3441" i="4"/>
  <c r="Q3440" i="4"/>
  <c r="P3440" i="4"/>
  <c r="O3440" i="4"/>
  <c r="N3440" i="4"/>
  <c r="M3440" i="4"/>
  <c r="L3440" i="4"/>
  <c r="K3440" i="4"/>
  <c r="J3440" i="4"/>
  <c r="I3440" i="4"/>
  <c r="H3440" i="4"/>
  <c r="Q3439" i="4"/>
  <c r="P3439" i="4"/>
  <c r="O3439" i="4"/>
  <c r="N3439" i="4"/>
  <c r="M3439" i="4"/>
  <c r="L3439" i="4"/>
  <c r="K3439" i="4"/>
  <c r="J3439" i="4"/>
  <c r="I3439" i="4"/>
  <c r="H3439" i="4"/>
  <c r="Q3438" i="4"/>
  <c r="P3438" i="4"/>
  <c r="O3438" i="4"/>
  <c r="N3438" i="4"/>
  <c r="M3438" i="4"/>
  <c r="L3438" i="4"/>
  <c r="K3438" i="4"/>
  <c r="J3438" i="4"/>
  <c r="I3438" i="4"/>
  <c r="H3438" i="4"/>
  <c r="Q3437" i="4"/>
  <c r="P3437" i="4"/>
  <c r="O3437" i="4"/>
  <c r="N3437" i="4"/>
  <c r="M3437" i="4"/>
  <c r="L3437" i="4"/>
  <c r="K3437" i="4"/>
  <c r="J3437" i="4"/>
  <c r="I3437" i="4"/>
  <c r="H3437" i="4"/>
  <c r="Q3436" i="4"/>
  <c r="P3436" i="4"/>
  <c r="O3436" i="4"/>
  <c r="N3436" i="4"/>
  <c r="M3436" i="4"/>
  <c r="L3436" i="4"/>
  <c r="K3436" i="4"/>
  <c r="J3436" i="4"/>
  <c r="I3436" i="4"/>
  <c r="H3436" i="4"/>
  <c r="Q3435" i="4"/>
  <c r="P3435" i="4"/>
  <c r="O3435" i="4"/>
  <c r="N3435" i="4"/>
  <c r="M3435" i="4"/>
  <c r="L3435" i="4"/>
  <c r="K3435" i="4"/>
  <c r="J3435" i="4"/>
  <c r="I3435" i="4"/>
  <c r="H3435" i="4"/>
  <c r="Q3434" i="4"/>
  <c r="P3434" i="4"/>
  <c r="O3434" i="4"/>
  <c r="N3434" i="4"/>
  <c r="M3434" i="4"/>
  <c r="L3434" i="4"/>
  <c r="K3434" i="4"/>
  <c r="J3434" i="4"/>
  <c r="I3434" i="4"/>
  <c r="H3434" i="4"/>
  <c r="Q3433" i="4"/>
  <c r="P3433" i="4"/>
  <c r="O3433" i="4"/>
  <c r="N3433" i="4"/>
  <c r="M3433" i="4"/>
  <c r="L3433" i="4"/>
  <c r="K3433" i="4"/>
  <c r="J3433" i="4"/>
  <c r="I3433" i="4"/>
  <c r="H3433" i="4"/>
  <c r="Q3432" i="4"/>
  <c r="P3432" i="4"/>
  <c r="O3432" i="4"/>
  <c r="N3432" i="4"/>
  <c r="M3432" i="4"/>
  <c r="L3432" i="4"/>
  <c r="K3432" i="4"/>
  <c r="J3432" i="4"/>
  <c r="I3432" i="4"/>
  <c r="H3432" i="4"/>
  <c r="Q3431" i="4"/>
  <c r="P3431" i="4"/>
  <c r="O3431" i="4"/>
  <c r="N3431" i="4"/>
  <c r="M3431" i="4"/>
  <c r="L3431" i="4"/>
  <c r="K3431" i="4"/>
  <c r="J3431" i="4"/>
  <c r="I3431" i="4"/>
  <c r="H3431" i="4"/>
  <c r="Q3430" i="4"/>
  <c r="P3430" i="4"/>
  <c r="O3430" i="4"/>
  <c r="N3430" i="4"/>
  <c r="M3430" i="4"/>
  <c r="L3430" i="4"/>
  <c r="K3430" i="4"/>
  <c r="J3430" i="4"/>
  <c r="I3430" i="4"/>
  <c r="H3430" i="4"/>
  <c r="Q3429" i="4"/>
  <c r="P3429" i="4"/>
  <c r="O3429" i="4"/>
  <c r="N3429" i="4"/>
  <c r="M3429" i="4"/>
  <c r="L3429" i="4"/>
  <c r="K3429" i="4"/>
  <c r="J3429" i="4"/>
  <c r="I3429" i="4"/>
  <c r="H3429" i="4"/>
  <c r="Q3428" i="4"/>
  <c r="P3428" i="4"/>
  <c r="O3428" i="4"/>
  <c r="N3428" i="4"/>
  <c r="M3428" i="4"/>
  <c r="L3428" i="4"/>
  <c r="K3428" i="4"/>
  <c r="J3428" i="4"/>
  <c r="I3428" i="4"/>
  <c r="H3428" i="4"/>
  <c r="Q3427" i="4"/>
  <c r="P3427" i="4"/>
  <c r="O3427" i="4"/>
  <c r="N3427" i="4"/>
  <c r="M3427" i="4"/>
  <c r="L3427" i="4"/>
  <c r="K3427" i="4"/>
  <c r="J3427" i="4"/>
  <c r="I3427" i="4"/>
  <c r="H3427" i="4"/>
  <c r="Q3426" i="4"/>
  <c r="P3426" i="4"/>
  <c r="O3426" i="4"/>
  <c r="N3426" i="4"/>
  <c r="M3426" i="4"/>
  <c r="L3426" i="4"/>
  <c r="K3426" i="4"/>
  <c r="J3426" i="4"/>
  <c r="I3426" i="4"/>
  <c r="H3426" i="4"/>
  <c r="Q3425" i="4"/>
  <c r="P3425" i="4"/>
  <c r="O3425" i="4"/>
  <c r="N3425" i="4"/>
  <c r="M3425" i="4"/>
  <c r="L3425" i="4"/>
  <c r="K3425" i="4"/>
  <c r="J3425" i="4"/>
  <c r="I3425" i="4"/>
  <c r="H3425" i="4"/>
  <c r="Q3424" i="4"/>
  <c r="P3424" i="4"/>
  <c r="O3424" i="4"/>
  <c r="N3424" i="4"/>
  <c r="M3424" i="4"/>
  <c r="L3424" i="4"/>
  <c r="K3424" i="4"/>
  <c r="J3424" i="4"/>
  <c r="I3424" i="4"/>
  <c r="H3424" i="4"/>
  <c r="Q3423" i="4"/>
  <c r="P3423" i="4"/>
  <c r="O3423" i="4"/>
  <c r="N3423" i="4"/>
  <c r="M3423" i="4"/>
  <c r="L3423" i="4"/>
  <c r="K3423" i="4"/>
  <c r="J3423" i="4"/>
  <c r="I3423" i="4"/>
  <c r="H3423" i="4"/>
  <c r="Q3422" i="4"/>
  <c r="P3422" i="4"/>
  <c r="O3422" i="4"/>
  <c r="N3422" i="4"/>
  <c r="M3422" i="4"/>
  <c r="L3422" i="4"/>
  <c r="K3422" i="4"/>
  <c r="J3422" i="4"/>
  <c r="I3422" i="4"/>
  <c r="H3422" i="4"/>
  <c r="Q3421" i="4"/>
  <c r="P3421" i="4"/>
  <c r="O3421" i="4"/>
  <c r="N3421" i="4"/>
  <c r="M3421" i="4"/>
  <c r="L3421" i="4"/>
  <c r="K3421" i="4"/>
  <c r="J3421" i="4"/>
  <c r="I3421" i="4"/>
  <c r="H3421" i="4"/>
  <c r="Q3420" i="4"/>
  <c r="P3420" i="4"/>
  <c r="O3420" i="4"/>
  <c r="N3420" i="4"/>
  <c r="M3420" i="4"/>
  <c r="L3420" i="4"/>
  <c r="K3420" i="4"/>
  <c r="J3420" i="4"/>
  <c r="I3420" i="4"/>
  <c r="H3420" i="4"/>
  <c r="Q3419" i="4"/>
  <c r="P3419" i="4"/>
  <c r="O3419" i="4"/>
  <c r="N3419" i="4"/>
  <c r="M3419" i="4"/>
  <c r="L3419" i="4"/>
  <c r="K3419" i="4"/>
  <c r="J3419" i="4"/>
  <c r="I3419" i="4"/>
  <c r="H3419" i="4"/>
  <c r="Q3418" i="4"/>
  <c r="P3418" i="4"/>
  <c r="O3418" i="4"/>
  <c r="N3418" i="4"/>
  <c r="M3418" i="4"/>
  <c r="L3418" i="4"/>
  <c r="K3418" i="4"/>
  <c r="J3418" i="4"/>
  <c r="I3418" i="4"/>
  <c r="H3418" i="4"/>
  <c r="Q3417" i="4"/>
  <c r="P3417" i="4"/>
  <c r="O3417" i="4"/>
  <c r="N3417" i="4"/>
  <c r="M3417" i="4"/>
  <c r="L3417" i="4"/>
  <c r="K3417" i="4"/>
  <c r="J3417" i="4"/>
  <c r="I3417" i="4"/>
  <c r="H3417" i="4"/>
  <c r="Q3416" i="4"/>
  <c r="P3416" i="4"/>
  <c r="O3416" i="4"/>
  <c r="N3416" i="4"/>
  <c r="M3416" i="4"/>
  <c r="L3416" i="4"/>
  <c r="K3416" i="4"/>
  <c r="J3416" i="4"/>
  <c r="I3416" i="4"/>
  <c r="H3416" i="4"/>
  <c r="Q3415" i="4"/>
  <c r="P3415" i="4"/>
  <c r="O3415" i="4"/>
  <c r="N3415" i="4"/>
  <c r="M3415" i="4"/>
  <c r="L3415" i="4"/>
  <c r="K3415" i="4"/>
  <c r="J3415" i="4"/>
  <c r="I3415" i="4"/>
  <c r="H3415" i="4"/>
  <c r="Q3414" i="4"/>
  <c r="P3414" i="4"/>
  <c r="O3414" i="4"/>
  <c r="N3414" i="4"/>
  <c r="M3414" i="4"/>
  <c r="L3414" i="4"/>
  <c r="K3414" i="4"/>
  <c r="J3414" i="4"/>
  <c r="I3414" i="4"/>
  <c r="H3414" i="4"/>
  <c r="Q3413" i="4"/>
  <c r="P3413" i="4"/>
  <c r="O3413" i="4"/>
  <c r="N3413" i="4"/>
  <c r="M3413" i="4"/>
  <c r="L3413" i="4"/>
  <c r="K3413" i="4"/>
  <c r="J3413" i="4"/>
  <c r="I3413" i="4"/>
  <c r="H3413" i="4"/>
  <c r="Q3412" i="4"/>
  <c r="P3412" i="4"/>
  <c r="O3412" i="4"/>
  <c r="N3412" i="4"/>
  <c r="M3412" i="4"/>
  <c r="L3412" i="4"/>
  <c r="K3412" i="4"/>
  <c r="J3412" i="4"/>
  <c r="I3412" i="4"/>
  <c r="H3412" i="4"/>
  <c r="Q3411" i="4"/>
  <c r="P3411" i="4"/>
  <c r="O3411" i="4"/>
  <c r="N3411" i="4"/>
  <c r="M3411" i="4"/>
  <c r="L3411" i="4"/>
  <c r="K3411" i="4"/>
  <c r="J3411" i="4"/>
  <c r="I3411" i="4"/>
  <c r="H3411" i="4"/>
  <c r="Q3410" i="4"/>
  <c r="P3410" i="4"/>
  <c r="O3410" i="4"/>
  <c r="N3410" i="4"/>
  <c r="M3410" i="4"/>
  <c r="L3410" i="4"/>
  <c r="K3410" i="4"/>
  <c r="J3410" i="4"/>
  <c r="I3410" i="4"/>
  <c r="H3410" i="4"/>
  <c r="Q3409" i="4"/>
  <c r="P3409" i="4"/>
  <c r="O3409" i="4"/>
  <c r="N3409" i="4"/>
  <c r="M3409" i="4"/>
  <c r="L3409" i="4"/>
  <c r="K3409" i="4"/>
  <c r="J3409" i="4"/>
  <c r="I3409" i="4"/>
  <c r="H3409" i="4"/>
  <c r="Q3408" i="4"/>
  <c r="P3408" i="4"/>
  <c r="O3408" i="4"/>
  <c r="N3408" i="4"/>
  <c r="M3408" i="4"/>
  <c r="L3408" i="4"/>
  <c r="K3408" i="4"/>
  <c r="J3408" i="4"/>
  <c r="I3408" i="4"/>
  <c r="H3408" i="4"/>
  <c r="Q3407" i="4"/>
  <c r="P3407" i="4"/>
  <c r="O3407" i="4"/>
  <c r="N3407" i="4"/>
  <c r="M3407" i="4"/>
  <c r="L3407" i="4"/>
  <c r="K3407" i="4"/>
  <c r="J3407" i="4"/>
  <c r="I3407" i="4"/>
  <c r="H3407" i="4"/>
  <c r="Q3406" i="4"/>
  <c r="P3406" i="4"/>
  <c r="O3406" i="4"/>
  <c r="N3406" i="4"/>
  <c r="M3406" i="4"/>
  <c r="L3406" i="4"/>
  <c r="K3406" i="4"/>
  <c r="J3406" i="4"/>
  <c r="I3406" i="4"/>
  <c r="H3406" i="4"/>
  <c r="Q3405" i="4"/>
  <c r="P3405" i="4"/>
  <c r="O3405" i="4"/>
  <c r="N3405" i="4"/>
  <c r="M3405" i="4"/>
  <c r="L3405" i="4"/>
  <c r="K3405" i="4"/>
  <c r="J3405" i="4"/>
  <c r="I3405" i="4"/>
  <c r="H3405" i="4"/>
  <c r="Q3404" i="4"/>
  <c r="P3404" i="4"/>
  <c r="O3404" i="4"/>
  <c r="N3404" i="4"/>
  <c r="M3404" i="4"/>
  <c r="L3404" i="4"/>
  <c r="K3404" i="4"/>
  <c r="J3404" i="4"/>
  <c r="I3404" i="4"/>
  <c r="H3404" i="4"/>
  <c r="Q3403" i="4"/>
  <c r="P3403" i="4"/>
  <c r="O3403" i="4"/>
  <c r="N3403" i="4"/>
  <c r="M3403" i="4"/>
  <c r="L3403" i="4"/>
  <c r="K3403" i="4"/>
  <c r="J3403" i="4"/>
  <c r="I3403" i="4"/>
  <c r="H3403" i="4"/>
  <c r="Q3402" i="4"/>
  <c r="P3402" i="4"/>
  <c r="O3402" i="4"/>
  <c r="N3402" i="4"/>
  <c r="M3402" i="4"/>
  <c r="L3402" i="4"/>
  <c r="K3402" i="4"/>
  <c r="J3402" i="4"/>
  <c r="I3402" i="4"/>
  <c r="H3402" i="4"/>
  <c r="Q3401" i="4"/>
  <c r="P3401" i="4"/>
  <c r="O3401" i="4"/>
  <c r="N3401" i="4"/>
  <c r="M3401" i="4"/>
  <c r="L3401" i="4"/>
  <c r="K3401" i="4"/>
  <c r="J3401" i="4"/>
  <c r="I3401" i="4"/>
  <c r="H3401" i="4"/>
  <c r="Q3400" i="4"/>
  <c r="P3400" i="4"/>
  <c r="O3400" i="4"/>
  <c r="N3400" i="4"/>
  <c r="M3400" i="4"/>
  <c r="L3400" i="4"/>
  <c r="K3400" i="4"/>
  <c r="J3400" i="4"/>
  <c r="I3400" i="4"/>
  <c r="H3400" i="4"/>
  <c r="Q3399" i="4"/>
  <c r="P3399" i="4"/>
  <c r="O3399" i="4"/>
  <c r="N3399" i="4"/>
  <c r="M3399" i="4"/>
  <c r="L3399" i="4"/>
  <c r="K3399" i="4"/>
  <c r="J3399" i="4"/>
  <c r="I3399" i="4"/>
  <c r="H3399" i="4"/>
  <c r="Q3398" i="4"/>
  <c r="P3398" i="4"/>
  <c r="O3398" i="4"/>
  <c r="N3398" i="4"/>
  <c r="M3398" i="4"/>
  <c r="L3398" i="4"/>
  <c r="K3398" i="4"/>
  <c r="J3398" i="4"/>
  <c r="I3398" i="4"/>
  <c r="H3398" i="4"/>
  <c r="Q3397" i="4"/>
  <c r="P3397" i="4"/>
  <c r="O3397" i="4"/>
  <c r="N3397" i="4"/>
  <c r="M3397" i="4"/>
  <c r="L3397" i="4"/>
  <c r="K3397" i="4"/>
  <c r="J3397" i="4"/>
  <c r="I3397" i="4"/>
  <c r="H3397" i="4"/>
  <c r="Q3396" i="4"/>
  <c r="P3396" i="4"/>
  <c r="O3396" i="4"/>
  <c r="N3396" i="4"/>
  <c r="M3396" i="4"/>
  <c r="L3396" i="4"/>
  <c r="K3396" i="4"/>
  <c r="J3396" i="4"/>
  <c r="I3396" i="4"/>
  <c r="H3396" i="4"/>
  <c r="Q3395" i="4"/>
  <c r="P3395" i="4"/>
  <c r="O3395" i="4"/>
  <c r="N3395" i="4"/>
  <c r="M3395" i="4"/>
  <c r="L3395" i="4"/>
  <c r="K3395" i="4"/>
  <c r="J3395" i="4"/>
  <c r="I3395" i="4"/>
  <c r="H3395" i="4"/>
  <c r="Q3394" i="4"/>
  <c r="P3394" i="4"/>
  <c r="O3394" i="4"/>
  <c r="N3394" i="4"/>
  <c r="M3394" i="4"/>
  <c r="L3394" i="4"/>
  <c r="K3394" i="4"/>
  <c r="J3394" i="4"/>
  <c r="I3394" i="4"/>
  <c r="H3394" i="4"/>
  <c r="Q3393" i="4"/>
  <c r="P3393" i="4"/>
  <c r="O3393" i="4"/>
  <c r="N3393" i="4"/>
  <c r="M3393" i="4"/>
  <c r="L3393" i="4"/>
  <c r="K3393" i="4"/>
  <c r="J3393" i="4"/>
  <c r="I3393" i="4"/>
  <c r="H3393" i="4"/>
  <c r="Q3392" i="4"/>
  <c r="P3392" i="4"/>
  <c r="O3392" i="4"/>
  <c r="N3392" i="4"/>
  <c r="M3392" i="4"/>
  <c r="L3392" i="4"/>
  <c r="K3392" i="4"/>
  <c r="J3392" i="4"/>
  <c r="I3392" i="4"/>
  <c r="H3392" i="4"/>
  <c r="Q3391" i="4"/>
  <c r="P3391" i="4"/>
  <c r="O3391" i="4"/>
  <c r="N3391" i="4"/>
  <c r="M3391" i="4"/>
  <c r="L3391" i="4"/>
  <c r="K3391" i="4"/>
  <c r="J3391" i="4"/>
  <c r="I3391" i="4"/>
  <c r="H3391" i="4"/>
  <c r="Q3390" i="4"/>
  <c r="P3390" i="4"/>
  <c r="O3390" i="4"/>
  <c r="N3390" i="4"/>
  <c r="M3390" i="4"/>
  <c r="L3390" i="4"/>
  <c r="K3390" i="4"/>
  <c r="J3390" i="4"/>
  <c r="I3390" i="4"/>
  <c r="H3390" i="4"/>
  <c r="Q3389" i="4"/>
  <c r="P3389" i="4"/>
  <c r="O3389" i="4"/>
  <c r="N3389" i="4"/>
  <c r="M3389" i="4"/>
  <c r="L3389" i="4"/>
  <c r="K3389" i="4"/>
  <c r="J3389" i="4"/>
  <c r="I3389" i="4"/>
  <c r="H3389" i="4"/>
  <c r="Q3388" i="4"/>
  <c r="P3388" i="4"/>
  <c r="O3388" i="4"/>
  <c r="N3388" i="4"/>
  <c r="M3388" i="4"/>
  <c r="L3388" i="4"/>
  <c r="K3388" i="4"/>
  <c r="J3388" i="4"/>
  <c r="I3388" i="4"/>
  <c r="H3388" i="4"/>
  <c r="Q3387" i="4"/>
  <c r="P3387" i="4"/>
  <c r="O3387" i="4"/>
  <c r="N3387" i="4"/>
  <c r="M3387" i="4"/>
  <c r="L3387" i="4"/>
  <c r="K3387" i="4"/>
  <c r="J3387" i="4"/>
  <c r="I3387" i="4"/>
  <c r="H3387" i="4"/>
  <c r="Q3386" i="4"/>
  <c r="P3386" i="4"/>
  <c r="O3386" i="4"/>
  <c r="N3386" i="4"/>
  <c r="M3386" i="4"/>
  <c r="L3386" i="4"/>
  <c r="K3386" i="4"/>
  <c r="J3386" i="4"/>
  <c r="I3386" i="4"/>
  <c r="H3386" i="4"/>
  <c r="Q3385" i="4"/>
  <c r="P3385" i="4"/>
  <c r="O3385" i="4"/>
  <c r="N3385" i="4"/>
  <c r="M3385" i="4"/>
  <c r="L3385" i="4"/>
  <c r="K3385" i="4"/>
  <c r="J3385" i="4"/>
  <c r="I3385" i="4"/>
  <c r="H3385" i="4"/>
  <c r="Q3384" i="4"/>
  <c r="P3384" i="4"/>
  <c r="O3384" i="4"/>
  <c r="N3384" i="4"/>
  <c r="M3384" i="4"/>
  <c r="L3384" i="4"/>
  <c r="K3384" i="4"/>
  <c r="J3384" i="4"/>
  <c r="I3384" i="4"/>
  <c r="H3384" i="4"/>
  <c r="Q3383" i="4"/>
  <c r="P3383" i="4"/>
  <c r="O3383" i="4"/>
  <c r="N3383" i="4"/>
  <c r="M3383" i="4"/>
  <c r="L3383" i="4"/>
  <c r="K3383" i="4"/>
  <c r="J3383" i="4"/>
  <c r="I3383" i="4"/>
  <c r="H3383" i="4"/>
  <c r="Q3382" i="4"/>
  <c r="P3382" i="4"/>
  <c r="O3382" i="4"/>
  <c r="N3382" i="4"/>
  <c r="M3382" i="4"/>
  <c r="L3382" i="4"/>
  <c r="K3382" i="4"/>
  <c r="J3382" i="4"/>
  <c r="I3382" i="4"/>
  <c r="H3382" i="4"/>
  <c r="Q3381" i="4"/>
  <c r="P3381" i="4"/>
  <c r="O3381" i="4"/>
  <c r="N3381" i="4"/>
  <c r="M3381" i="4"/>
  <c r="L3381" i="4"/>
  <c r="K3381" i="4"/>
  <c r="J3381" i="4"/>
  <c r="I3381" i="4"/>
  <c r="H3381" i="4"/>
  <c r="Q3380" i="4"/>
  <c r="P3380" i="4"/>
  <c r="O3380" i="4"/>
  <c r="N3380" i="4"/>
  <c r="M3380" i="4"/>
  <c r="L3380" i="4"/>
  <c r="K3380" i="4"/>
  <c r="J3380" i="4"/>
  <c r="I3380" i="4"/>
  <c r="H3380" i="4"/>
  <c r="Q3379" i="4"/>
  <c r="P3379" i="4"/>
  <c r="O3379" i="4"/>
  <c r="N3379" i="4"/>
  <c r="M3379" i="4"/>
  <c r="L3379" i="4"/>
  <c r="K3379" i="4"/>
  <c r="J3379" i="4"/>
  <c r="I3379" i="4"/>
  <c r="H3379" i="4"/>
  <c r="Q3378" i="4"/>
  <c r="P3378" i="4"/>
  <c r="O3378" i="4"/>
  <c r="N3378" i="4"/>
  <c r="M3378" i="4"/>
  <c r="L3378" i="4"/>
  <c r="K3378" i="4"/>
  <c r="J3378" i="4"/>
  <c r="I3378" i="4"/>
  <c r="H3378" i="4"/>
  <c r="Q3377" i="4"/>
  <c r="P3377" i="4"/>
  <c r="O3377" i="4"/>
  <c r="N3377" i="4"/>
  <c r="M3377" i="4"/>
  <c r="L3377" i="4"/>
  <c r="K3377" i="4"/>
  <c r="J3377" i="4"/>
  <c r="I3377" i="4"/>
  <c r="H3377" i="4"/>
  <c r="Q3376" i="4"/>
  <c r="P3376" i="4"/>
  <c r="O3376" i="4"/>
  <c r="N3376" i="4"/>
  <c r="M3376" i="4"/>
  <c r="L3376" i="4"/>
  <c r="K3376" i="4"/>
  <c r="J3376" i="4"/>
  <c r="I3376" i="4"/>
  <c r="H3376" i="4"/>
  <c r="Q3375" i="4"/>
  <c r="P3375" i="4"/>
  <c r="O3375" i="4"/>
  <c r="N3375" i="4"/>
  <c r="M3375" i="4"/>
  <c r="L3375" i="4"/>
  <c r="K3375" i="4"/>
  <c r="J3375" i="4"/>
  <c r="I3375" i="4"/>
  <c r="H3375" i="4"/>
  <c r="Q3374" i="4"/>
  <c r="P3374" i="4"/>
  <c r="O3374" i="4"/>
  <c r="N3374" i="4"/>
  <c r="M3374" i="4"/>
  <c r="L3374" i="4"/>
  <c r="K3374" i="4"/>
  <c r="J3374" i="4"/>
  <c r="I3374" i="4"/>
  <c r="H3374" i="4"/>
  <c r="Q3373" i="4"/>
  <c r="P3373" i="4"/>
  <c r="O3373" i="4"/>
  <c r="N3373" i="4"/>
  <c r="M3373" i="4"/>
  <c r="L3373" i="4"/>
  <c r="K3373" i="4"/>
  <c r="J3373" i="4"/>
  <c r="I3373" i="4"/>
  <c r="H3373" i="4"/>
  <c r="Q3372" i="4"/>
  <c r="P3372" i="4"/>
  <c r="O3372" i="4"/>
  <c r="N3372" i="4"/>
  <c r="M3372" i="4"/>
  <c r="L3372" i="4"/>
  <c r="K3372" i="4"/>
  <c r="J3372" i="4"/>
  <c r="I3372" i="4"/>
  <c r="H3372" i="4"/>
  <c r="Q3371" i="4"/>
  <c r="P3371" i="4"/>
  <c r="O3371" i="4"/>
  <c r="N3371" i="4"/>
  <c r="M3371" i="4"/>
  <c r="L3371" i="4"/>
  <c r="K3371" i="4"/>
  <c r="J3371" i="4"/>
  <c r="I3371" i="4"/>
  <c r="H3371" i="4"/>
  <c r="Q3370" i="4"/>
  <c r="P3370" i="4"/>
  <c r="O3370" i="4"/>
  <c r="N3370" i="4"/>
  <c r="M3370" i="4"/>
  <c r="L3370" i="4"/>
  <c r="K3370" i="4"/>
  <c r="J3370" i="4"/>
  <c r="I3370" i="4"/>
  <c r="H3370" i="4"/>
  <c r="Q3369" i="4"/>
  <c r="P3369" i="4"/>
  <c r="O3369" i="4"/>
  <c r="N3369" i="4"/>
  <c r="M3369" i="4"/>
  <c r="L3369" i="4"/>
  <c r="K3369" i="4"/>
  <c r="J3369" i="4"/>
  <c r="I3369" i="4"/>
  <c r="H3369" i="4"/>
  <c r="Q3368" i="4"/>
  <c r="P3368" i="4"/>
  <c r="O3368" i="4"/>
  <c r="N3368" i="4"/>
  <c r="M3368" i="4"/>
  <c r="L3368" i="4"/>
  <c r="K3368" i="4"/>
  <c r="J3368" i="4"/>
  <c r="I3368" i="4"/>
  <c r="H3368" i="4"/>
  <c r="Q3367" i="4"/>
  <c r="P3367" i="4"/>
  <c r="O3367" i="4"/>
  <c r="N3367" i="4"/>
  <c r="M3367" i="4"/>
  <c r="L3367" i="4"/>
  <c r="K3367" i="4"/>
  <c r="J3367" i="4"/>
  <c r="I3367" i="4"/>
  <c r="H3367" i="4"/>
  <c r="Q3366" i="4"/>
  <c r="P3366" i="4"/>
  <c r="O3366" i="4"/>
  <c r="N3366" i="4"/>
  <c r="M3366" i="4"/>
  <c r="L3366" i="4"/>
  <c r="K3366" i="4"/>
  <c r="J3366" i="4"/>
  <c r="I3366" i="4"/>
  <c r="H3366" i="4"/>
  <c r="Q3365" i="4"/>
  <c r="P3365" i="4"/>
  <c r="O3365" i="4"/>
  <c r="N3365" i="4"/>
  <c r="M3365" i="4"/>
  <c r="L3365" i="4"/>
  <c r="K3365" i="4"/>
  <c r="J3365" i="4"/>
  <c r="I3365" i="4"/>
  <c r="H3365" i="4"/>
  <c r="Q3364" i="4"/>
  <c r="P3364" i="4"/>
  <c r="O3364" i="4"/>
  <c r="N3364" i="4"/>
  <c r="M3364" i="4"/>
  <c r="L3364" i="4"/>
  <c r="K3364" i="4"/>
  <c r="J3364" i="4"/>
  <c r="I3364" i="4"/>
  <c r="H3364" i="4"/>
  <c r="Q3363" i="4"/>
  <c r="P3363" i="4"/>
  <c r="O3363" i="4"/>
  <c r="N3363" i="4"/>
  <c r="M3363" i="4"/>
  <c r="L3363" i="4"/>
  <c r="K3363" i="4"/>
  <c r="J3363" i="4"/>
  <c r="I3363" i="4"/>
  <c r="H3363" i="4"/>
  <c r="Q3362" i="4"/>
  <c r="P3362" i="4"/>
  <c r="O3362" i="4"/>
  <c r="N3362" i="4"/>
  <c r="M3362" i="4"/>
  <c r="L3362" i="4"/>
  <c r="K3362" i="4"/>
  <c r="J3362" i="4"/>
  <c r="I3362" i="4"/>
  <c r="H3362" i="4"/>
  <c r="Q3361" i="4"/>
  <c r="P3361" i="4"/>
  <c r="O3361" i="4"/>
  <c r="N3361" i="4"/>
  <c r="M3361" i="4"/>
  <c r="L3361" i="4"/>
  <c r="K3361" i="4"/>
  <c r="J3361" i="4"/>
  <c r="I3361" i="4"/>
  <c r="H3361" i="4"/>
  <c r="Q3360" i="4"/>
  <c r="P3360" i="4"/>
  <c r="O3360" i="4"/>
  <c r="N3360" i="4"/>
  <c r="M3360" i="4"/>
  <c r="L3360" i="4"/>
  <c r="K3360" i="4"/>
  <c r="J3360" i="4"/>
  <c r="I3360" i="4"/>
  <c r="H3360" i="4"/>
  <c r="Q3359" i="4"/>
  <c r="P3359" i="4"/>
  <c r="O3359" i="4"/>
  <c r="N3359" i="4"/>
  <c r="M3359" i="4"/>
  <c r="L3359" i="4"/>
  <c r="K3359" i="4"/>
  <c r="J3359" i="4"/>
  <c r="I3359" i="4"/>
  <c r="H3359" i="4"/>
  <c r="Q3358" i="4"/>
  <c r="P3358" i="4"/>
  <c r="O3358" i="4"/>
  <c r="N3358" i="4"/>
  <c r="M3358" i="4"/>
  <c r="L3358" i="4"/>
  <c r="K3358" i="4"/>
  <c r="J3358" i="4"/>
  <c r="I3358" i="4"/>
  <c r="H3358" i="4"/>
  <c r="Q3357" i="4"/>
  <c r="P3357" i="4"/>
  <c r="O3357" i="4"/>
  <c r="N3357" i="4"/>
  <c r="M3357" i="4"/>
  <c r="L3357" i="4"/>
  <c r="K3357" i="4"/>
  <c r="J3357" i="4"/>
  <c r="I3357" i="4"/>
  <c r="H3357" i="4"/>
  <c r="Q3356" i="4"/>
  <c r="P3356" i="4"/>
  <c r="O3356" i="4"/>
  <c r="N3356" i="4"/>
  <c r="M3356" i="4"/>
  <c r="L3356" i="4"/>
  <c r="K3356" i="4"/>
  <c r="J3356" i="4"/>
  <c r="I3356" i="4"/>
  <c r="H3356" i="4"/>
  <c r="Q3355" i="4"/>
  <c r="P3355" i="4"/>
  <c r="O3355" i="4"/>
  <c r="N3355" i="4"/>
  <c r="M3355" i="4"/>
  <c r="L3355" i="4"/>
  <c r="K3355" i="4"/>
  <c r="J3355" i="4"/>
  <c r="I3355" i="4"/>
  <c r="H3355" i="4"/>
  <c r="Q3354" i="4"/>
  <c r="P3354" i="4"/>
  <c r="O3354" i="4"/>
  <c r="N3354" i="4"/>
  <c r="M3354" i="4"/>
  <c r="L3354" i="4"/>
  <c r="K3354" i="4"/>
  <c r="J3354" i="4"/>
  <c r="I3354" i="4"/>
  <c r="H3354" i="4"/>
  <c r="Q3353" i="4"/>
  <c r="P3353" i="4"/>
  <c r="O3353" i="4"/>
  <c r="N3353" i="4"/>
  <c r="M3353" i="4"/>
  <c r="L3353" i="4"/>
  <c r="K3353" i="4"/>
  <c r="J3353" i="4"/>
  <c r="I3353" i="4"/>
  <c r="H3353" i="4"/>
  <c r="Q3352" i="4"/>
  <c r="P3352" i="4"/>
  <c r="O3352" i="4"/>
  <c r="N3352" i="4"/>
  <c r="M3352" i="4"/>
  <c r="L3352" i="4"/>
  <c r="K3352" i="4"/>
  <c r="J3352" i="4"/>
  <c r="I3352" i="4"/>
  <c r="H3352" i="4"/>
  <c r="Q3351" i="4"/>
  <c r="P3351" i="4"/>
  <c r="O3351" i="4"/>
  <c r="N3351" i="4"/>
  <c r="M3351" i="4"/>
  <c r="L3351" i="4"/>
  <c r="K3351" i="4"/>
  <c r="J3351" i="4"/>
  <c r="I3351" i="4"/>
  <c r="H3351" i="4"/>
  <c r="Q3350" i="4"/>
  <c r="P3350" i="4"/>
  <c r="O3350" i="4"/>
  <c r="N3350" i="4"/>
  <c r="M3350" i="4"/>
  <c r="L3350" i="4"/>
  <c r="K3350" i="4"/>
  <c r="J3350" i="4"/>
  <c r="I3350" i="4"/>
  <c r="H3350" i="4"/>
  <c r="Q3349" i="4"/>
  <c r="P3349" i="4"/>
  <c r="O3349" i="4"/>
  <c r="N3349" i="4"/>
  <c r="M3349" i="4"/>
  <c r="L3349" i="4"/>
  <c r="K3349" i="4"/>
  <c r="J3349" i="4"/>
  <c r="I3349" i="4"/>
  <c r="H3349" i="4"/>
  <c r="Q3348" i="4"/>
  <c r="P3348" i="4"/>
  <c r="O3348" i="4"/>
  <c r="N3348" i="4"/>
  <c r="M3348" i="4"/>
  <c r="L3348" i="4"/>
  <c r="K3348" i="4"/>
  <c r="J3348" i="4"/>
  <c r="I3348" i="4"/>
  <c r="H3348" i="4"/>
  <c r="Q3347" i="4"/>
  <c r="P3347" i="4"/>
  <c r="O3347" i="4"/>
  <c r="N3347" i="4"/>
  <c r="M3347" i="4"/>
  <c r="L3347" i="4"/>
  <c r="K3347" i="4"/>
  <c r="J3347" i="4"/>
  <c r="I3347" i="4"/>
  <c r="H3347" i="4"/>
  <c r="Q3346" i="4"/>
  <c r="P3346" i="4"/>
  <c r="O3346" i="4"/>
  <c r="N3346" i="4"/>
  <c r="M3346" i="4"/>
  <c r="L3346" i="4"/>
  <c r="K3346" i="4"/>
  <c r="J3346" i="4"/>
  <c r="I3346" i="4"/>
  <c r="H3346" i="4"/>
  <c r="Q3345" i="4"/>
  <c r="P3345" i="4"/>
  <c r="O3345" i="4"/>
  <c r="N3345" i="4"/>
  <c r="M3345" i="4"/>
  <c r="L3345" i="4"/>
  <c r="K3345" i="4"/>
  <c r="J3345" i="4"/>
  <c r="I3345" i="4"/>
  <c r="H3345" i="4"/>
  <c r="Q3344" i="4"/>
  <c r="P3344" i="4"/>
  <c r="O3344" i="4"/>
  <c r="N3344" i="4"/>
  <c r="M3344" i="4"/>
  <c r="L3344" i="4"/>
  <c r="K3344" i="4"/>
  <c r="J3344" i="4"/>
  <c r="I3344" i="4"/>
  <c r="H3344" i="4"/>
  <c r="Q3343" i="4"/>
  <c r="P3343" i="4"/>
  <c r="O3343" i="4"/>
  <c r="N3343" i="4"/>
  <c r="M3343" i="4"/>
  <c r="L3343" i="4"/>
  <c r="K3343" i="4"/>
  <c r="J3343" i="4"/>
  <c r="I3343" i="4"/>
  <c r="H3343" i="4"/>
  <c r="Q3342" i="4"/>
  <c r="P3342" i="4"/>
  <c r="O3342" i="4"/>
  <c r="N3342" i="4"/>
  <c r="M3342" i="4"/>
  <c r="L3342" i="4"/>
  <c r="K3342" i="4"/>
  <c r="J3342" i="4"/>
  <c r="I3342" i="4"/>
  <c r="H3342" i="4"/>
  <c r="Q3341" i="4"/>
  <c r="P3341" i="4"/>
  <c r="O3341" i="4"/>
  <c r="N3341" i="4"/>
  <c r="M3341" i="4"/>
  <c r="L3341" i="4"/>
  <c r="K3341" i="4"/>
  <c r="J3341" i="4"/>
  <c r="I3341" i="4"/>
  <c r="H3341" i="4"/>
  <c r="Q3340" i="4"/>
  <c r="P3340" i="4"/>
  <c r="O3340" i="4"/>
  <c r="N3340" i="4"/>
  <c r="M3340" i="4"/>
  <c r="L3340" i="4"/>
  <c r="K3340" i="4"/>
  <c r="J3340" i="4"/>
  <c r="I3340" i="4"/>
  <c r="H3340" i="4"/>
  <c r="Q3339" i="4"/>
  <c r="P3339" i="4"/>
  <c r="O3339" i="4"/>
  <c r="N3339" i="4"/>
  <c r="M3339" i="4"/>
  <c r="L3339" i="4"/>
  <c r="K3339" i="4"/>
  <c r="J3339" i="4"/>
  <c r="I3339" i="4"/>
  <c r="H3339" i="4"/>
  <c r="Q3338" i="4"/>
  <c r="P3338" i="4"/>
  <c r="O3338" i="4"/>
  <c r="N3338" i="4"/>
  <c r="M3338" i="4"/>
  <c r="L3338" i="4"/>
  <c r="K3338" i="4"/>
  <c r="J3338" i="4"/>
  <c r="I3338" i="4"/>
  <c r="H3338" i="4"/>
  <c r="Q3337" i="4"/>
  <c r="P3337" i="4"/>
  <c r="O3337" i="4"/>
  <c r="N3337" i="4"/>
  <c r="M3337" i="4"/>
  <c r="L3337" i="4"/>
  <c r="K3337" i="4"/>
  <c r="J3337" i="4"/>
  <c r="I3337" i="4"/>
  <c r="H3337" i="4"/>
  <c r="Q3336" i="4"/>
  <c r="P3336" i="4"/>
  <c r="O3336" i="4"/>
  <c r="N3336" i="4"/>
  <c r="M3336" i="4"/>
  <c r="L3336" i="4"/>
  <c r="K3336" i="4"/>
  <c r="J3336" i="4"/>
  <c r="I3336" i="4"/>
  <c r="H3336" i="4"/>
  <c r="Q3335" i="4"/>
  <c r="P3335" i="4"/>
  <c r="O3335" i="4"/>
  <c r="N3335" i="4"/>
  <c r="M3335" i="4"/>
  <c r="L3335" i="4"/>
  <c r="K3335" i="4"/>
  <c r="J3335" i="4"/>
  <c r="I3335" i="4"/>
  <c r="H3335" i="4"/>
  <c r="Q3334" i="4"/>
  <c r="P3334" i="4"/>
  <c r="O3334" i="4"/>
  <c r="N3334" i="4"/>
  <c r="M3334" i="4"/>
  <c r="L3334" i="4"/>
  <c r="K3334" i="4"/>
  <c r="J3334" i="4"/>
  <c r="I3334" i="4"/>
  <c r="H3334" i="4"/>
  <c r="Q3333" i="4"/>
  <c r="P3333" i="4"/>
  <c r="O3333" i="4"/>
  <c r="N3333" i="4"/>
  <c r="M3333" i="4"/>
  <c r="L3333" i="4"/>
  <c r="K3333" i="4"/>
  <c r="J3333" i="4"/>
  <c r="I3333" i="4"/>
  <c r="H3333" i="4"/>
  <c r="Q3332" i="4"/>
  <c r="P3332" i="4"/>
  <c r="O3332" i="4"/>
  <c r="N3332" i="4"/>
  <c r="M3332" i="4"/>
  <c r="L3332" i="4"/>
  <c r="K3332" i="4"/>
  <c r="J3332" i="4"/>
  <c r="I3332" i="4"/>
  <c r="H3332" i="4"/>
  <c r="Q3331" i="4"/>
  <c r="P3331" i="4"/>
  <c r="O3331" i="4"/>
  <c r="N3331" i="4"/>
  <c r="M3331" i="4"/>
  <c r="L3331" i="4"/>
  <c r="K3331" i="4"/>
  <c r="J3331" i="4"/>
  <c r="I3331" i="4"/>
  <c r="H3331" i="4"/>
  <c r="Q3330" i="4"/>
  <c r="P3330" i="4"/>
  <c r="O3330" i="4"/>
  <c r="N3330" i="4"/>
  <c r="M3330" i="4"/>
  <c r="L3330" i="4"/>
  <c r="K3330" i="4"/>
  <c r="J3330" i="4"/>
  <c r="I3330" i="4"/>
  <c r="H3330" i="4"/>
  <c r="Q3329" i="4"/>
  <c r="P3329" i="4"/>
  <c r="O3329" i="4"/>
  <c r="N3329" i="4"/>
  <c r="M3329" i="4"/>
  <c r="L3329" i="4"/>
  <c r="K3329" i="4"/>
  <c r="J3329" i="4"/>
  <c r="I3329" i="4"/>
  <c r="H3329" i="4"/>
  <c r="Q3328" i="4"/>
  <c r="P3328" i="4"/>
  <c r="O3328" i="4"/>
  <c r="N3328" i="4"/>
  <c r="M3328" i="4"/>
  <c r="L3328" i="4"/>
  <c r="K3328" i="4"/>
  <c r="J3328" i="4"/>
  <c r="I3328" i="4"/>
  <c r="H3328" i="4"/>
  <c r="Q3327" i="4"/>
  <c r="P3327" i="4"/>
  <c r="O3327" i="4"/>
  <c r="N3327" i="4"/>
  <c r="M3327" i="4"/>
  <c r="L3327" i="4"/>
  <c r="K3327" i="4"/>
  <c r="J3327" i="4"/>
  <c r="I3327" i="4"/>
  <c r="H3327" i="4"/>
  <c r="Q3326" i="4"/>
  <c r="P3326" i="4"/>
  <c r="O3326" i="4"/>
  <c r="N3326" i="4"/>
  <c r="M3326" i="4"/>
  <c r="L3326" i="4"/>
  <c r="K3326" i="4"/>
  <c r="J3326" i="4"/>
  <c r="I3326" i="4"/>
  <c r="H3326" i="4"/>
  <c r="Q3325" i="4"/>
  <c r="P3325" i="4"/>
  <c r="O3325" i="4"/>
  <c r="N3325" i="4"/>
  <c r="M3325" i="4"/>
  <c r="L3325" i="4"/>
  <c r="K3325" i="4"/>
  <c r="J3325" i="4"/>
  <c r="I3325" i="4"/>
  <c r="H3325" i="4"/>
  <c r="Q3324" i="4"/>
  <c r="P3324" i="4"/>
  <c r="O3324" i="4"/>
  <c r="N3324" i="4"/>
  <c r="M3324" i="4"/>
  <c r="L3324" i="4"/>
  <c r="K3324" i="4"/>
  <c r="J3324" i="4"/>
  <c r="I3324" i="4"/>
  <c r="H3324" i="4"/>
  <c r="Q3323" i="4"/>
  <c r="P3323" i="4"/>
  <c r="O3323" i="4"/>
  <c r="N3323" i="4"/>
  <c r="M3323" i="4"/>
  <c r="L3323" i="4"/>
  <c r="K3323" i="4"/>
  <c r="J3323" i="4"/>
  <c r="I3323" i="4"/>
  <c r="H3323" i="4"/>
  <c r="Q3322" i="4"/>
  <c r="P3322" i="4"/>
  <c r="O3322" i="4"/>
  <c r="N3322" i="4"/>
  <c r="M3322" i="4"/>
  <c r="L3322" i="4"/>
  <c r="K3322" i="4"/>
  <c r="J3322" i="4"/>
  <c r="I3322" i="4"/>
  <c r="H3322" i="4"/>
  <c r="Q3321" i="4"/>
  <c r="P3321" i="4"/>
  <c r="O3321" i="4"/>
  <c r="N3321" i="4"/>
  <c r="M3321" i="4"/>
  <c r="L3321" i="4"/>
  <c r="K3321" i="4"/>
  <c r="J3321" i="4"/>
  <c r="I3321" i="4"/>
  <c r="H3321" i="4"/>
  <c r="Q3320" i="4"/>
  <c r="P3320" i="4"/>
  <c r="O3320" i="4"/>
  <c r="N3320" i="4"/>
  <c r="M3320" i="4"/>
  <c r="L3320" i="4"/>
  <c r="K3320" i="4"/>
  <c r="J3320" i="4"/>
  <c r="I3320" i="4"/>
  <c r="H3320" i="4"/>
  <c r="Q3319" i="4"/>
  <c r="P3319" i="4"/>
  <c r="O3319" i="4"/>
  <c r="N3319" i="4"/>
  <c r="M3319" i="4"/>
  <c r="L3319" i="4"/>
  <c r="K3319" i="4"/>
  <c r="J3319" i="4"/>
  <c r="I3319" i="4"/>
  <c r="H3319" i="4"/>
  <c r="Q3318" i="4"/>
  <c r="P3318" i="4"/>
  <c r="O3318" i="4"/>
  <c r="N3318" i="4"/>
  <c r="M3318" i="4"/>
  <c r="L3318" i="4"/>
  <c r="K3318" i="4"/>
  <c r="J3318" i="4"/>
  <c r="I3318" i="4"/>
  <c r="H3318" i="4"/>
  <c r="Q3317" i="4"/>
  <c r="P3317" i="4"/>
  <c r="O3317" i="4"/>
  <c r="N3317" i="4"/>
  <c r="M3317" i="4"/>
  <c r="L3317" i="4"/>
  <c r="K3317" i="4"/>
  <c r="J3317" i="4"/>
  <c r="I3317" i="4"/>
  <c r="H3317" i="4"/>
  <c r="Q3316" i="4"/>
  <c r="P3316" i="4"/>
  <c r="O3316" i="4"/>
  <c r="N3316" i="4"/>
  <c r="M3316" i="4"/>
  <c r="L3316" i="4"/>
  <c r="K3316" i="4"/>
  <c r="J3316" i="4"/>
  <c r="I3316" i="4"/>
  <c r="H3316" i="4"/>
  <c r="Q3315" i="4"/>
  <c r="P3315" i="4"/>
  <c r="O3315" i="4"/>
  <c r="N3315" i="4"/>
  <c r="M3315" i="4"/>
  <c r="L3315" i="4"/>
  <c r="K3315" i="4"/>
  <c r="J3315" i="4"/>
  <c r="I3315" i="4"/>
  <c r="H3315" i="4"/>
  <c r="Q3314" i="4"/>
  <c r="P3314" i="4"/>
  <c r="O3314" i="4"/>
  <c r="N3314" i="4"/>
  <c r="M3314" i="4"/>
  <c r="L3314" i="4"/>
  <c r="K3314" i="4"/>
  <c r="J3314" i="4"/>
  <c r="I3314" i="4"/>
  <c r="H3314" i="4"/>
  <c r="Q3313" i="4"/>
  <c r="P3313" i="4"/>
  <c r="O3313" i="4"/>
  <c r="N3313" i="4"/>
  <c r="M3313" i="4"/>
  <c r="L3313" i="4"/>
  <c r="K3313" i="4"/>
  <c r="J3313" i="4"/>
  <c r="I3313" i="4"/>
  <c r="H3313" i="4"/>
  <c r="Q3312" i="4"/>
  <c r="P3312" i="4"/>
  <c r="O3312" i="4"/>
  <c r="N3312" i="4"/>
  <c r="M3312" i="4"/>
  <c r="L3312" i="4"/>
  <c r="K3312" i="4"/>
  <c r="J3312" i="4"/>
  <c r="I3312" i="4"/>
  <c r="H3312" i="4"/>
  <c r="Q3311" i="4"/>
  <c r="P3311" i="4"/>
  <c r="O3311" i="4"/>
  <c r="N3311" i="4"/>
  <c r="M3311" i="4"/>
  <c r="L3311" i="4"/>
  <c r="K3311" i="4"/>
  <c r="J3311" i="4"/>
  <c r="I3311" i="4"/>
  <c r="H3311" i="4"/>
  <c r="Q3310" i="4"/>
  <c r="P3310" i="4"/>
  <c r="O3310" i="4"/>
  <c r="N3310" i="4"/>
  <c r="M3310" i="4"/>
  <c r="L3310" i="4"/>
  <c r="K3310" i="4"/>
  <c r="J3310" i="4"/>
  <c r="I3310" i="4"/>
  <c r="H3310" i="4"/>
  <c r="Q3309" i="4"/>
  <c r="P3309" i="4"/>
  <c r="O3309" i="4"/>
  <c r="N3309" i="4"/>
  <c r="M3309" i="4"/>
  <c r="L3309" i="4"/>
  <c r="K3309" i="4"/>
  <c r="J3309" i="4"/>
  <c r="I3309" i="4"/>
  <c r="H3309" i="4"/>
  <c r="Q3308" i="4"/>
  <c r="P3308" i="4"/>
  <c r="O3308" i="4"/>
  <c r="N3308" i="4"/>
  <c r="M3308" i="4"/>
  <c r="L3308" i="4"/>
  <c r="K3308" i="4"/>
  <c r="J3308" i="4"/>
  <c r="I3308" i="4"/>
  <c r="H3308" i="4"/>
  <c r="Q3307" i="4"/>
  <c r="P3307" i="4"/>
  <c r="O3307" i="4"/>
  <c r="N3307" i="4"/>
  <c r="M3307" i="4"/>
  <c r="L3307" i="4"/>
  <c r="K3307" i="4"/>
  <c r="J3307" i="4"/>
  <c r="I3307" i="4"/>
  <c r="H3307" i="4"/>
  <c r="Q3306" i="4"/>
  <c r="P3306" i="4"/>
  <c r="O3306" i="4"/>
  <c r="N3306" i="4"/>
  <c r="M3306" i="4"/>
  <c r="L3306" i="4"/>
  <c r="K3306" i="4"/>
  <c r="J3306" i="4"/>
  <c r="I3306" i="4"/>
  <c r="H3306" i="4"/>
  <c r="Q3305" i="4"/>
  <c r="P3305" i="4"/>
  <c r="O3305" i="4"/>
  <c r="N3305" i="4"/>
  <c r="M3305" i="4"/>
  <c r="L3305" i="4"/>
  <c r="K3305" i="4"/>
  <c r="J3305" i="4"/>
  <c r="I3305" i="4"/>
  <c r="H3305" i="4"/>
  <c r="Q3304" i="4"/>
  <c r="P3304" i="4"/>
  <c r="O3304" i="4"/>
  <c r="N3304" i="4"/>
  <c r="M3304" i="4"/>
  <c r="L3304" i="4"/>
  <c r="K3304" i="4"/>
  <c r="J3304" i="4"/>
  <c r="I3304" i="4"/>
  <c r="H3304" i="4"/>
  <c r="Q3303" i="4"/>
  <c r="P3303" i="4"/>
  <c r="O3303" i="4"/>
  <c r="N3303" i="4"/>
  <c r="M3303" i="4"/>
  <c r="L3303" i="4"/>
  <c r="K3303" i="4"/>
  <c r="J3303" i="4"/>
  <c r="I3303" i="4"/>
  <c r="H3303" i="4"/>
  <c r="Q3302" i="4"/>
  <c r="P3302" i="4"/>
  <c r="O3302" i="4"/>
  <c r="N3302" i="4"/>
  <c r="M3302" i="4"/>
  <c r="L3302" i="4"/>
  <c r="K3302" i="4"/>
  <c r="J3302" i="4"/>
  <c r="I3302" i="4"/>
  <c r="H3302" i="4"/>
  <c r="Q3301" i="4"/>
  <c r="P3301" i="4"/>
  <c r="O3301" i="4"/>
  <c r="N3301" i="4"/>
  <c r="M3301" i="4"/>
  <c r="L3301" i="4"/>
  <c r="K3301" i="4"/>
  <c r="J3301" i="4"/>
  <c r="I3301" i="4"/>
  <c r="H3301" i="4"/>
  <c r="Q3300" i="4"/>
  <c r="P3300" i="4"/>
  <c r="O3300" i="4"/>
  <c r="N3300" i="4"/>
  <c r="M3300" i="4"/>
  <c r="L3300" i="4"/>
  <c r="K3300" i="4"/>
  <c r="J3300" i="4"/>
  <c r="I3300" i="4"/>
  <c r="H3300" i="4"/>
  <c r="Q3299" i="4"/>
  <c r="P3299" i="4"/>
  <c r="O3299" i="4"/>
  <c r="N3299" i="4"/>
  <c r="M3299" i="4"/>
  <c r="L3299" i="4"/>
  <c r="K3299" i="4"/>
  <c r="J3299" i="4"/>
  <c r="I3299" i="4"/>
  <c r="H3299" i="4"/>
  <c r="Q3298" i="4"/>
  <c r="P3298" i="4"/>
  <c r="O3298" i="4"/>
  <c r="N3298" i="4"/>
  <c r="M3298" i="4"/>
  <c r="L3298" i="4"/>
  <c r="K3298" i="4"/>
  <c r="J3298" i="4"/>
  <c r="I3298" i="4"/>
  <c r="H3298" i="4"/>
  <c r="Q3297" i="4"/>
  <c r="P3297" i="4"/>
  <c r="O3297" i="4"/>
  <c r="N3297" i="4"/>
  <c r="M3297" i="4"/>
  <c r="L3297" i="4"/>
  <c r="K3297" i="4"/>
  <c r="J3297" i="4"/>
  <c r="I3297" i="4"/>
  <c r="H3297" i="4"/>
  <c r="Q3296" i="4"/>
  <c r="P3296" i="4"/>
  <c r="O3296" i="4"/>
  <c r="N3296" i="4"/>
  <c r="M3296" i="4"/>
  <c r="L3296" i="4"/>
  <c r="K3296" i="4"/>
  <c r="J3296" i="4"/>
  <c r="I3296" i="4"/>
  <c r="H3296" i="4"/>
  <c r="Q3295" i="4"/>
  <c r="P3295" i="4"/>
  <c r="O3295" i="4"/>
  <c r="N3295" i="4"/>
  <c r="M3295" i="4"/>
  <c r="L3295" i="4"/>
  <c r="K3295" i="4"/>
  <c r="J3295" i="4"/>
  <c r="I3295" i="4"/>
  <c r="H3295" i="4"/>
  <c r="Q3294" i="4"/>
  <c r="P3294" i="4"/>
  <c r="O3294" i="4"/>
  <c r="N3294" i="4"/>
  <c r="M3294" i="4"/>
  <c r="L3294" i="4"/>
  <c r="K3294" i="4"/>
  <c r="J3294" i="4"/>
  <c r="I3294" i="4"/>
  <c r="H3294" i="4"/>
  <c r="Q3293" i="4"/>
  <c r="P3293" i="4"/>
  <c r="O3293" i="4"/>
  <c r="N3293" i="4"/>
  <c r="M3293" i="4"/>
  <c r="L3293" i="4"/>
  <c r="K3293" i="4"/>
  <c r="J3293" i="4"/>
  <c r="I3293" i="4"/>
  <c r="H3293" i="4"/>
  <c r="Q3292" i="4"/>
  <c r="P3292" i="4"/>
  <c r="O3292" i="4"/>
  <c r="N3292" i="4"/>
  <c r="M3292" i="4"/>
  <c r="L3292" i="4"/>
  <c r="K3292" i="4"/>
  <c r="J3292" i="4"/>
  <c r="I3292" i="4"/>
  <c r="H3292" i="4"/>
  <c r="Q3291" i="4"/>
  <c r="P3291" i="4"/>
  <c r="O3291" i="4"/>
  <c r="N3291" i="4"/>
  <c r="M3291" i="4"/>
  <c r="L3291" i="4"/>
  <c r="K3291" i="4"/>
  <c r="J3291" i="4"/>
  <c r="I3291" i="4"/>
  <c r="H3291" i="4"/>
  <c r="Q3290" i="4"/>
  <c r="P3290" i="4"/>
  <c r="O3290" i="4"/>
  <c r="N3290" i="4"/>
  <c r="M3290" i="4"/>
  <c r="L3290" i="4"/>
  <c r="K3290" i="4"/>
  <c r="J3290" i="4"/>
  <c r="I3290" i="4"/>
  <c r="H3290" i="4"/>
  <c r="Q3289" i="4"/>
  <c r="P3289" i="4"/>
  <c r="O3289" i="4"/>
  <c r="N3289" i="4"/>
  <c r="M3289" i="4"/>
  <c r="L3289" i="4"/>
  <c r="K3289" i="4"/>
  <c r="J3289" i="4"/>
  <c r="I3289" i="4"/>
  <c r="H3289" i="4"/>
  <c r="Q3288" i="4"/>
  <c r="P3288" i="4"/>
  <c r="O3288" i="4"/>
  <c r="N3288" i="4"/>
  <c r="M3288" i="4"/>
  <c r="L3288" i="4"/>
  <c r="K3288" i="4"/>
  <c r="J3288" i="4"/>
  <c r="I3288" i="4"/>
  <c r="H3288" i="4"/>
  <c r="Q3287" i="4"/>
  <c r="P3287" i="4"/>
  <c r="O3287" i="4"/>
  <c r="N3287" i="4"/>
  <c r="M3287" i="4"/>
  <c r="L3287" i="4"/>
  <c r="K3287" i="4"/>
  <c r="J3287" i="4"/>
  <c r="I3287" i="4"/>
  <c r="H3287" i="4"/>
  <c r="Q3286" i="4"/>
  <c r="P3286" i="4"/>
  <c r="O3286" i="4"/>
  <c r="N3286" i="4"/>
  <c r="M3286" i="4"/>
  <c r="L3286" i="4"/>
  <c r="K3286" i="4"/>
  <c r="J3286" i="4"/>
  <c r="I3286" i="4"/>
  <c r="H3286" i="4"/>
  <c r="Q3285" i="4"/>
  <c r="P3285" i="4"/>
  <c r="O3285" i="4"/>
  <c r="N3285" i="4"/>
  <c r="M3285" i="4"/>
  <c r="L3285" i="4"/>
  <c r="K3285" i="4"/>
  <c r="J3285" i="4"/>
  <c r="I3285" i="4"/>
  <c r="H3285" i="4"/>
  <c r="Q3284" i="4"/>
  <c r="P3284" i="4"/>
  <c r="O3284" i="4"/>
  <c r="N3284" i="4"/>
  <c r="M3284" i="4"/>
  <c r="L3284" i="4"/>
  <c r="K3284" i="4"/>
  <c r="J3284" i="4"/>
  <c r="I3284" i="4"/>
  <c r="H3284" i="4"/>
  <c r="Q3283" i="4"/>
  <c r="P3283" i="4"/>
  <c r="O3283" i="4"/>
  <c r="N3283" i="4"/>
  <c r="M3283" i="4"/>
  <c r="L3283" i="4"/>
  <c r="K3283" i="4"/>
  <c r="J3283" i="4"/>
  <c r="I3283" i="4"/>
  <c r="H3283" i="4"/>
  <c r="Q3282" i="4"/>
  <c r="P3282" i="4"/>
  <c r="O3282" i="4"/>
  <c r="N3282" i="4"/>
  <c r="M3282" i="4"/>
  <c r="L3282" i="4"/>
  <c r="K3282" i="4"/>
  <c r="J3282" i="4"/>
  <c r="I3282" i="4"/>
  <c r="H3282" i="4"/>
  <c r="Q3281" i="4"/>
  <c r="P3281" i="4"/>
  <c r="O3281" i="4"/>
  <c r="N3281" i="4"/>
  <c r="M3281" i="4"/>
  <c r="L3281" i="4"/>
  <c r="K3281" i="4"/>
  <c r="J3281" i="4"/>
  <c r="I3281" i="4"/>
  <c r="H3281" i="4"/>
  <c r="Q3280" i="4"/>
  <c r="P3280" i="4"/>
  <c r="O3280" i="4"/>
  <c r="N3280" i="4"/>
  <c r="M3280" i="4"/>
  <c r="L3280" i="4"/>
  <c r="K3280" i="4"/>
  <c r="J3280" i="4"/>
  <c r="I3280" i="4"/>
  <c r="H3280" i="4"/>
  <c r="Q3279" i="4"/>
  <c r="P3279" i="4"/>
  <c r="O3279" i="4"/>
  <c r="N3279" i="4"/>
  <c r="M3279" i="4"/>
  <c r="L3279" i="4"/>
  <c r="K3279" i="4"/>
  <c r="J3279" i="4"/>
  <c r="I3279" i="4"/>
  <c r="H3279" i="4"/>
  <c r="Q3278" i="4"/>
  <c r="P3278" i="4"/>
  <c r="O3278" i="4"/>
  <c r="N3278" i="4"/>
  <c r="M3278" i="4"/>
  <c r="L3278" i="4"/>
  <c r="K3278" i="4"/>
  <c r="J3278" i="4"/>
  <c r="I3278" i="4"/>
  <c r="H3278" i="4"/>
  <c r="Q3277" i="4"/>
  <c r="P3277" i="4"/>
  <c r="O3277" i="4"/>
  <c r="N3277" i="4"/>
  <c r="M3277" i="4"/>
  <c r="L3277" i="4"/>
  <c r="K3277" i="4"/>
  <c r="J3277" i="4"/>
  <c r="I3277" i="4"/>
  <c r="H3277" i="4"/>
  <c r="Q3276" i="4"/>
  <c r="P3276" i="4"/>
  <c r="O3276" i="4"/>
  <c r="N3276" i="4"/>
  <c r="M3276" i="4"/>
  <c r="L3276" i="4"/>
  <c r="K3276" i="4"/>
  <c r="J3276" i="4"/>
  <c r="I3276" i="4"/>
  <c r="H3276" i="4"/>
  <c r="Q3275" i="4"/>
  <c r="P3275" i="4"/>
  <c r="O3275" i="4"/>
  <c r="N3275" i="4"/>
  <c r="M3275" i="4"/>
  <c r="L3275" i="4"/>
  <c r="K3275" i="4"/>
  <c r="J3275" i="4"/>
  <c r="I3275" i="4"/>
  <c r="H3275" i="4"/>
  <c r="Q3274" i="4"/>
  <c r="P3274" i="4"/>
  <c r="O3274" i="4"/>
  <c r="N3274" i="4"/>
  <c r="M3274" i="4"/>
  <c r="L3274" i="4"/>
  <c r="K3274" i="4"/>
  <c r="J3274" i="4"/>
  <c r="I3274" i="4"/>
  <c r="H3274" i="4"/>
  <c r="Q3273" i="4"/>
  <c r="P3273" i="4"/>
  <c r="O3273" i="4"/>
  <c r="N3273" i="4"/>
  <c r="M3273" i="4"/>
  <c r="L3273" i="4"/>
  <c r="K3273" i="4"/>
  <c r="J3273" i="4"/>
  <c r="I3273" i="4"/>
  <c r="H3273" i="4"/>
  <c r="Q3272" i="4"/>
  <c r="P3272" i="4"/>
  <c r="O3272" i="4"/>
  <c r="N3272" i="4"/>
  <c r="M3272" i="4"/>
  <c r="L3272" i="4"/>
  <c r="K3272" i="4"/>
  <c r="J3272" i="4"/>
  <c r="I3272" i="4"/>
  <c r="H3272" i="4"/>
  <c r="Q3271" i="4"/>
  <c r="P3271" i="4"/>
  <c r="O3271" i="4"/>
  <c r="N3271" i="4"/>
  <c r="M3271" i="4"/>
  <c r="L3271" i="4"/>
  <c r="K3271" i="4"/>
  <c r="J3271" i="4"/>
  <c r="I3271" i="4"/>
  <c r="H3271" i="4"/>
  <c r="Q3270" i="4"/>
  <c r="P3270" i="4"/>
  <c r="O3270" i="4"/>
  <c r="N3270" i="4"/>
  <c r="M3270" i="4"/>
  <c r="L3270" i="4"/>
  <c r="K3270" i="4"/>
  <c r="J3270" i="4"/>
  <c r="I3270" i="4"/>
  <c r="H3270" i="4"/>
  <c r="Q3269" i="4"/>
  <c r="P3269" i="4"/>
  <c r="O3269" i="4"/>
  <c r="N3269" i="4"/>
  <c r="M3269" i="4"/>
  <c r="L3269" i="4"/>
  <c r="K3269" i="4"/>
  <c r="J3269" i="4"/>
  <c r="I3269" i="4"/>
  <c r="H3269" i="4"/>
  <c r="Q3268" i="4"/>
  <c r="P3268" i="4"/>
  <c r="O3268" i="4"/>
  <c r="N3268" i="4"/>
  <c r="M3268" i="4"/>
  <c r="L3268" i="4"/>
  <c r="K3268" i="4"/>
  <c r="J3268" i="4"/>
  <c r="I3268" i="4"/>
  <c r="H3268" i="4"/>
  <c r="Q3267" i="4"/>
  <c r="P3267" i="4"/>
  <c r="O3267" i="4"/>
  <c r="N3267" i="4"/>
  <c r="M3267" i="4"/>
  <c r="L3267" i="4"/>
  <c r="K3267" i="4"/>
  <c r="J3267" i="4"/>
  <c r="I3267" i="4"/>
  <c r="H3267" i="4"/>
  <c r="Q3266" i="4"/>
  <c r="P3266" i="4"/>
  <c r="O3266" i="4"/>
  <c r="N3266" i="4"/>
  <c r="M3266" i="4"/>
  <c r="L3266" i="4"/>
  <c r="K3266" i="4"/>
  <c r="J3266" i="4"/>
  <c r="I3266" i="4"/>
  <c r="H3266" i="4"/>
  <c r="Q3265" i="4"/>
  <c r="P3265" i="4"/>
  <c r="O3265" i="4"/>
  <c r="N3265" i="4"/>
  <c r="M3265" i="4"/>
  <c r="L3265" i="4"/>
  <c r="K3265" i="4"/>
  <c r="J3265" i="4"/>
  <c r="I3265" i="4"/>
  <c r="H3265" i="4"/>
  <c r="Q3264" i="4"/>
  <c r="P3264" i="4"/>
  <c r="O3264" i="4"/>
  <c r="N3264" i="4"/>
  <c r="M3264" i="4"/>
  <c r="L3264" i="4"/>
  <c r="K3264" i="4"/>
  <c r="J3264" i="4"/>
  <c r="I3264" i="4"/>
  <c r="H3264" i="4"/>
  <c r="Q3263" i="4"/>
  <c r="P3263" i="4"/>
  <c r="O3263" i="4"/>
  <c r="N3263" i="4"/>
  <c r="M3263" i="4"/>
  <c r="L3263" i="4"/>
  <c r="K3263" i="4"/>
  <c r="J3263" i="4"/>
  <c r="I3263" i="4"/>
  <c r="H3263" i="4"/>
  <c r="Q3262" i="4"/>
  <c r="P3262" i="4"/>
  <c r="O3262" i="4"/>
  <c r="N3262" i="4"/>
  <c r="M3262" i="4"/>
  <c r="L3262" i="4"/>
  <c r="K3262" i="4"/>
  <c r="J3262" i="4"/>
  <c r="I3262" i="4"/>
  <c r="H3262" i="4"/>
  <c r="Q3261" i="4"/>
  <c r="P3261" i="4"/>
  <c r="O3261" i="4"/>
  <c r="N3261" i="4"/>
  <c r="M3261" i="4"/>
  <c r="L3261" i="4"/>
  <c r="K3261" i="4"/>
  <c r="J3261" i="4"/>
  <c r="I3261" i="4"/>
  <c r="H3261" i="4"/>
  <c r="Q3260" i="4"/>
  <c r="P3260" i="4"/>
  <c r="O3260" i="4"/>
  <c r="N3260" i="4"/>
  <c r="M3260" i="4"/>
  <c r="L3260" i="4"/>
  <c r="K3260" i="4"/>
  <c r="J3260" i="4"/>
  <c r="I3260" i="4"/>
  <c r="H3260" i="4"/>
  <c r="Q3259" i="4"/>
  <c r="P3259" i="4"/>
  <c r="O3259" i="4"/>
  <c r="N3259" i="4"/>
  <c r="M3259" i="4"/>
  <c r="L3259" i="4"/>
  <c r="K3259" i="4"/>
  <c r="J3259" i="4"/>
  <c r="I3259" i="4"/>
  <c r="H3259" i="4"/>
  <c r="Q3258" i="4"/>
  <c r="P3258" i="4"/>
  <c r="O3258" i="4"/>
  <c r="N3258" i="4"/>
  <c r="M3258" i="4"/>
  <c r="L3258" i="4"/>
  <c r="K3258" i="4"/>
  <c r="J3258" i="4"/>
  <c r="I3258" i="4"/>
  <c r="H3258" i="4"/>
  <c r="Q3257" i="4"/>
  <c r="P3257" i="4"/>
  <c r="O3257" i="4"/>
  <c r="N3257" i="4"/>
  <c r="M3257" i="4"/>
  <c r="L3257" i="4"/>
  <c r="K3257" i="4"/>
  <c r="J3257" i="4"/>
  <c r="I3257" i="4"/>
  <c r="H3257" i="4"/>
  <c r="Q3256" i="4"/>
  <c r="P3256" i="4"/>
  <c r="O3256" i="4"/>
  <c r="N3256" i="4"/>
  <c r="M3256" i="4"/>
  <c r="L3256" i="4"/>
  <c r="K3256" i="4"/>
  <c r="J3256" i="4"/>
  <c r="I3256" i="4"/>
  <c r="H3256" i="4"/>
  <c r="Q3255" i="4"/>
  <c r="P3255" i="4"/>
  <c r="O3255" i="4"/>
  <c r="N3255" i="4"/>
  <c r="M3255" i="4"/>
  <c r="L3255" i="4"/>
  <c r="K3255" i="4"/>
  <c r="J3255" i="4"/>
  <c r="I3255" i="4"/>
  <c r="H3255" i="4"/>
  <c r="Q3254" i="4"/>
  <c r="P3254" i="4"/>
  <c r="O3254" i="4"/>
  <c r="N3254" i="4"/>
  <c r="M3254" i="4"/>
  <c r="L3254" i="4"/>
  <c r="K3254" i="4"/>
  <c r="J3254" i="4"/>
  <c r="I3254" i="4"/>
  <c r="H3254" i="4"/>
  <c r="Q3253" i="4"/>
  <c r="P3253" i="4"/>
  <c r="O3253" i="4"/>
  <c r="N3253" i="4"/>
  <c r="M3253" i="4"/>
  <c r="L3253" i="4"/>
  <c r="K3253" i="4"/>
  <c r="J3253" i="4"/>
  <c r="I3253" i="4"/>
  <c r="H3253" i="4"/>
  <c r="Q3252" i="4"/>
  <c r="P3252" i="4"/>
  <c r="O3252" i="4"/>
  <c r="N3252" i="4"/>
  <c r="M3252" i="4"/>
  <c r="L3252" i="4"/>
  <c r="K3252" i="4"/>
  <c r="J3252" i="4"/>
  <c r="I3252" i="4"/>
  <c r="H3252" i="4"/>
  <c r="Q3251" i="4"/>
  <c r="P3251" i="4"/>
  <c r="O3251" i="4"/>
  <c r="N3251" i="4"/>
  <c r="M3251" i="4"/>
  <c r="L3251" i="4"/>
  <c r="K3251" i="4"/>
  <c r="J3251" i="4"/>
  <c r="I3251" i="4"/>
  <c r="H3251" i="4"/>
  <c r="Q3250" i="4"/>
  <c r="P3250" i="4"/>
  <c r="O3250" i="4"/>
  <c r="N3250" i="4"/>
  <c r="M3250" i="4"/>
  <c r="L3250" i="4"/>
  <c r="K3250" i="4"/>
  <c r="J3250" i="4"/>
  <c r="I3250" i="4"/>
  <c r="H3250" i="4"/>
  <c r="Q3249" i="4"/>
  <c r="P3249" i="4"/>
  <c r="O3249" i="4"/>
  <c r="N3249" i="4"/>
  <c r="M3249" i="4"/>
  <c r="L3249" i="4"/>
  <c r="K3249" i="4"/>
  <c r="J3249" i="4"/>
  <c r="I3249" i="4"/>
  <c r="H3249" i="4"/>
  <c r="Q3248" i="4"/>
  <c r="P3248" i="4"/>
  <c r="O3248" i="4"/>
  <c r="N3248" i="4"/>
  <c r="M3248" i="4"/>
  <c r="L3248" i="4"/>
  <c r="K3248" i="4"/>
  <c r="J3248" i="4"/>
  <c r="I3248" i="4"/>
  <c r="H3248" i="4"/>
  <c r="Q3247" i="4"/>
  <c r="P3247" i="4"/>
  <c r="O3247" i="4"/>
  <c r="N3247" i="4"/>
  <c r="M3247" i="4"/>
  <c r="L3247" i="4"/>
  <c r="K3247" i="4"/>
  <c r="J3247" i="4"/>
  <c r="I3247" i="4"/>
  <c r="H3247" i="4"/>
  <c r="Q3246" i="4"/>
  <c r="P3246" i="4"/>
  <c r="O3246" i="4"/>
  <c r="N3246" i="4"/>
  <c r="M3246" i="4"/>
  <c r="L3246" i="4"/>
  <c r="K3246" i="4"/>
  <c r="J3246" i="4"/>
  <c r="I3246" i="4"/>
  <c r="H3246" i="4"/>
  <c r="Q3245" i="4"/>
  <c r="P3245" i="4"/>
  <c r="O3245" i="4"/>
  <c r="N3245" i="4"/>
  <c r="M3245" i="4"/>
  <c r="L3245" i="4"/>
  <c r="K3245" i="4"/>
  <c r="J3245" i="4"/>
  <c r="I3245" i="4"/>
  <c r="H3245" i="4"/>
  <c r="Q3244" i="4"/>
  <c r="P3244" i="4"/>
  <c r="O3244" i="4"/>
  <c r="N3244" i="4"/>
  <c r="M3244" i="4"/>
  <c r="L3244" i="4"/>
  <c r="K3244" i="4"/>
  <c r="J3244" i="4"/>
  <c r="I3244" i="4"/>
  <c r="H3244" i="4"/>
  <c r="Q3243" i="4"/>
  <c r="P3243" i="4"/>
  <c r="O3243" i="4"/>
  <c r="N3243" i="4"/>
  <c r="M3243" i="4"/>
  <c r="L3243" i="4"/>
  <c r="K3243" i="4"/>
  <c r="J3243" i="4"/>
  <c r="I3243" i="4"/>
  <c r="H3243" i="4"/>
  <c r="Q3242" i="4"/>
  <c r="P3242" i="4"/>
  <c r="O3242" i="4"/>
  <c r="N3242" i="4"/>
  <c r="M3242" i="4"/>
  <c r="L3242" i="4"/>
  <c r="K3242" i="4"/>
  <c r="J3242" i="4"/>
  <c r="I3242" i="4"/>
  <c r="H3242" i="4"/>
  <c r="Q3241" i="4"/>
  <c r="P3241" i="4"/>
  <c r="O3241" i="4"/>
  <c r="N3241" i="4"/>
  <c r="M3241" i="4"/>
  <c r="L3241" i="4"/>
  <c r="K3241" i="4"/>
  <c r="J3241" i="4"/>
  <c r="I3241" i="4"/>
  <c r="H3241" i="4"/>
  <c r="Q3240" i="4"/>
  <c r="P3240" i="4"/>
  <c r="O3240" i="4"/>
  <c r="N3240" i="4"/>
  <c r="M3240" i="4"/>
  <c r="L3240" i="4"/>
  <c r="K3240" i="4"/>
  <c r="J3240" i="4"/>
  <c r="I3240" i="4"/>
  <c r="H3240" i="4"/>
  <c r="Q3239" i="4"/>
  <c r="P3239" i="4"/>
  <c r="O3239" i="4"/>
  <c r="N3239" i="4"/>
  <c r="M3239" i="4"/>
  <c r="L3239" i="4"/>
  <c r="K3239" i="4"/>
  <c r="J3239" i="4"/>
  <c r="I3239" i="4"/>
  <c r="H3239" i="4"/>
  <c r="Q3238" i="4"/>
  <c r="P3238" i="4"/>
  <c r="O3238" i="4"/>
  <c r="N3238" i="4"/>
  <c r="M3238" i="4"/>
  <c r="L3238" i="4"/>
  <c r="K3238" i="4"/>
  <c r="J3238" i="4"/>
  <c r="I3238" i="4"/>
  <c r="H3238" i="4"/>
  <c r="Q3237" i="4"/>
  <c r="P3237" i="4"/>
  <c r="O3237" i="4"/>
  <c r="N3237" i="4"/>
  <c r="M3237" i="4"/>
  <c r="L3237" i="4"/>
  <c r="K3237" i="4"/>
  <c r="J3237" i="4"/>
  <c r="I3237" i="4"/>
  <c r="H3237" i="4"/>
  <c r="Q3236" i="4"/>
  <c r="P3236" i="4"/>
  <c r="O3236" i="4"/>
  <c r="N3236" i="4"/>
  <c r="M3236" i="4"/>
  <c r="L3236" i="4"/>
  <c r="K3236" i="4"/>
  <c r="J3236" i="4"/>
  <c r="I3236" i="4"/>
  <c r="H3236" i="4"/>
  <c r="Q3235" i="4"/>
  <c r="P3235" i="4"/>
  <c r="O3235" i="4"/>
  <c r="N3235" i="4"/>
  <c r="M3235" i="4"/>
  <c r="L3235" i="4"/>
  <c r="K3235" i="4"/>
  <c r="J3235" i="4"/>
  <c r="I3235" i="4"/>
  <c r="H3235" i="4"/>
  <c r="Q3234" i="4"/>
  <c r="P3234" i="4"/>
  <c r="O3234" i="4"/>
  <c r="N3234" i="4"/>
  <c r="M3234" i="4"/>
  <c r="L3234" i="4"/>
  <c r="K3234" i="4"/>
  <c r="J3234" i="4"/>
  <c r="I3234" i="4"/>
  <c r="H3234" i="4"/>
  <c r="Q3233" i="4"/>
  <c r="P3233" i="4"/>
  <c r="O3233" i="4"/>
  <c r="N3233" i="4"/>
  <c r="M3233" i="4"/>
  <c r="L3233" i="4"/>
  <c r="K3233" i="4"/>
  <c r="J3233" i="4"/>
  <c r="I3233" i="4"/>
  <c r="H3233" i="4"/>
  <c r="Q3232" i="4"/>
  <c r="P3232" i="4"/>
  <c r="O3232" i="4"/>
  <c r="N3232" i="4"/>
  <c r="M3232" i="4"/>
  <c r="L3232" i="4"/>
  <c r="K3232" i="4"/>
  <c r="J3232" i="4"/>
  <c r="I3232" i="4"/>
  <c r="H3232" i="4"/>
  <c r="Q3231" i="4"/>
  <c r="P3231" i="4"/>
  <c r="O3231" i="4"/>
  <c r="N3231" i="4"/>
  <c r="M3231" i="4"/>
  <c r="L3231" i="4"/>
  <c r="K3231" i="4"/>
  <c r="J3231" i="4"/>
  <c r="I3231" i="4"/>
  <c r="H3231" i="4"/>
  <c r="Q3230" i="4"/>
  <c r="P3230" i="4"/>
  <c r="O3230" i="4"/>
  <c r="N3230" i="4"/>
  <c r="M3230" i="4"/>
  <c r="L3230" i="4"/>
  <c r="K3230" i="4"/>
  <c r="J3230" i="4"/>
  <c r="I3230" i="4"/>
  <c r="H3230" i="4"/>
  <c r="Q3229" i="4"/>
  <c r="P3229" i="4"/>
  <c r="O3229" i="4"/>
  <c r="N3229" i="4"/>
  <c r="M3229" i="4"/>
  <c r="L3229" i="4"/>
  <c r="K3229" i="4"/>
  <c r="J3229" i="4"/>
  <c r="I3229" i="4"/>
  <c r="H3229" i="4"/>
  <c r="Q3228" i="4"/>
  <c r="P3228" i="4"/>
  <c r="O3228" i="4"/>
  <c r="N3228" i="4"/>
  <c r="M3228" i="4"/>
  <c r="L3228" i="4"/>
  <c r="K3228" i="4"/>
  <c r="J3228" i="4"/>
  <c r="I3228" i="4"/>
  <c r="H3228" i="4"/>
  <c r="Q3227" i="4"/>
  <c r="P3227" i="4"/>
  <c r="O3227" i="4"/>
  <c r="N3227" i="4"/>
  <c r="M3227" i="4"/>
  <c r="L3227" i="4"/>
  <c r="K3227" i="4"/>
  <c r="J3227" i="4"/>
  <c r="I3227" i="4"/>
  <c r="H3227" i="4"/>
  <c r="Q3226" i="4"/>
  <c r="P3226" i="4"/>
  <c r="O3226" i="4"/>
  <c r="N3226" i="4"/>
  <c r="M3226" i="4"/>
  <c r="L3226" i="4"/>
  <c r="K3226" i="4"/>
  <c r="J3226" i="4"/>
  <c r="I3226" i="4"/>
  <c r="H3226" i="4"/>
  <c r="Q3225" i="4"/>
  <c r="P3225" i="4"/>
  <c r="O3225" i="4"/>
  <c r="N3225" i="4"/>
  <c r="M3225" i="4"/>
  <c r="L3225" i="4"/>
  <c r="K3225" i="4"/>
  <c r="J3225" i="4"/>
  <c r="I3225" i="4"/>
  <c r="H3225" i="4"/>
  <c r="Q3224" i="4"/>
  <c r="P3224" i="4"/>
  <c r="O3224" i="4"/>
  <c r="N3224" i="4"/>
  <c r="M3224" i="4"/>
  <c r="L3224" i="4"/>
  <c r="K3224" i="4"/>
  <c r="J3224" i="4"/>
  <c r="I3224" i="4"/>
  <c r="H3224" i="4"/>
  <c r="Q3223" i="4"/>
  <c r="P3223" i="4"/>
  <c r="O3223" i="4"/>
  <c r="N3223" i="4"/>
  <c r="M3223" i="4"/>
  <c r="L3223" i="4"/>
  <c r="K3223" i="4"/>
  <c r="J3223" i="4"/>
  <c r="I3223" i="4"/>
  <c r="H3223" i="4"/>
  <c r="Q3222" i="4"/>
  <c r="P3222" i="4"/>
  <c r="O3222" i="4"/>
  <c r="N3222" i="4"/>
  <c r="M3222" i="4"/>
  <c r="L3222" i="4"/>
  <c r="K3222" i="4"/>
  <c r="J3222" i="4"/>
  <c r="I3222" i="4"/>
  <c r="H3222" i="4"/>
  <c r="Q3221" i="4"/>
  <c r="P3221" i="4"/>
  <c r="O3221" i="4"/>
  <c r="N3221" i="4"/>
  <c r="M3221" i="4"/>
  <c r="L3221" i="4"/>
  <c r="K3221" i="4"/>
  <c r="J3221" i="4"/>
  <c r="I3221" i="4"/>
  <c r="H3221" i="4"/>
  <c r="Q3220" i="4"/>
  <c r="P3220" i="4"/>
  <c r="O3220" i="4"/>
  <c r="N3220" i="4"/>
  <c r="M3220" i="4"/>
  <c r="L3220" i="4"/>
  <c r="K3220" i="4"/>
  <c r="J3220" i="4"/>
  <c r="I3220" i="4"/>
  <c r="H3220" i="4"/>
  <c r="Q3219" i="4"/>
  <c r="P3219" i="4"/>
  <c r="O3219" i="4"/>
  <c r="N3219" i="4"/>
  <c r="M3219" i="4"/>
  <c r="L3219" i="4"/>
  <c r="K3219" i="4"/>
  <c r="J3219" i="4"/>
  <c r="I3219" i="4"/>
  <c r="H3219" i="4"/>
  <c r="Q3218" i="4"/>
  <c r="P3218" i="4"/>
  <c r="O3218" i="4"/>
  <c r="N3218" i="4"/>
  <c r="M3218" i="4"/>
  <c r="L3218" i="4"/>
  <c r="K3218" i="4"/>
  <c r="J3218" i="4"/>
  <c r="I3218" i="4"/>
  <c r="H3218" i="4"/>
  <c r="Q3217" i="4"/>
  <c r="P3217" i="4"/>
  <c r="O3217" i="4"/>
  <c r="N3217" i="4"/>
  <c r="M3217" i="4"/>
  <c r="L3217" i="4"/>
  <c r="K3217" i="4"/>
  <c r="J3217" i="4"/>
  <c r="I3217" i="4"/>
  <c r="H3217" i="4"/>
  <c r="Q3216" i="4"/>
  <c r="P3216" i="4"/>
  <c r="O3216" i="4"/>
  <c r="N3216" i="4"/>
  <c r="M3216" i="4"/>
  <c r="L3216" i="4"/>
  <c r="K3216" i="4"/>
  <c r="J3216" i="4"/>
  <c r="I3216" i="4"/>
  <c r="H3216" i="4"/>
  <c r="Q3215" i="4"/>
  <c r="P3215" i="4"/>
  <c r="O3215" i="4"/>
  <c r="N3215" i="4"/>
  <c r="M3215" i="4"/>
  <c r="L3215" i="4"/>
  <c r="K3215" i="4"/>
  <c r="J3215" i="4"/>
  <c r="I3215" i="4"/>
  <c r="H3215" i="4"/>
  <c r="Q3214" i="4"/>
  <c r="P3214" i="4"/>
  <c r="O3214" i="4"/>
  <c r="N3214" i="4"/>
  <c r="M3214" i="4"/>
  <c r="L3214" i="4"/>
  <c r="K3214" i="4"/>
  <c r="J3214" i="4"/>
  <c r="I3214" i="4"/>
  <c r="H3214" i="4"/>
  <c r="Q3213" i="4"/>
  <c r="P3213" i="4"/>
  <c r="O3213" i="4"/>
  <c r="N3213" i="4"/>
  <c r="M3213" i="4"/>
  <c r="L3213" i="4"/>
  <c r="K3213" i="4"/>
  <c r="J3213" i="4"/>
  <c r="I3213" i="4"/>
  <c r="H3213" i="4"/>
  <c r="Q3212" i="4"/>
  <c r="P3212" i="4"/>
  <c r="O3212" i="4"/>
  <c r="N3212" i="4"/>
  <c r="M3212" i="4"/>
  <c r="L3212" i="4"/>
  <c r="K3212" i="4"/>
  <c r="J3212" i="4"/>
  <c r="I3212" i="4"/>
  <c r="H3212" i="4"/>
  <c r="Q3211" i="4"/>
  <c r="P3211" i="4"/>
  <c r="O3211" i="4"/>
  <c r="N3211" i="4"/>
  <c r="M3211" i="4"/>
  <c r="L3211" i="4"/>
  <c r="K3211" i="4"/>
  <c r="J3211" i="4"/>
  <c r="I3211" i="4"/>
  <c r="H3211" i="4"/>
  <c r="Q3210" i="4"/>
  <c r="P3210" i="4"/>
  <c r="O3210" i="4"/>
  <c r="N3210" i="4"/>
  <c r="M3210" i="4"/>
  <c r="L3210" i="4"/>
  <c r="K3210" i="4"/>
  <c r="J3210" i="4"/>
  <c r="I3210" i="4"/>
  <c r="H3210" i="4"/>
  <c r="Q3209" i="4"/>
  <c r="P3209" i="4"/>
  <c r="O3209" i="4"/>
  <c r="N3209" i="4"/>
  <c r="M3209" i="4"/>
  <c r="L3209" i="4"/>
  <c r="K3209" i="4"/>
  <c r="J3209" i="4"/>
  <c r="I3209" i="4"/>
  <c r="H3209" i="4"/>
  <c r="Q3208" i="4"/>
  <c r="P3208" i="4"/>
  <c r="O3208" i="4"/>
  <c r="N3208" i="4"/>
  <c r="M3208" i="4"/>
  <c r="L3208" i="4"/>
  <c r="K3208" i="4"/>
  <c r="J3208" i="4"/>
  <c r="I3208" i="4"/>
  <c r="H3208" i="4"/>
  <c r="Q3207" i="4"/>
  <c r="P3207" i="4"/>
  <c r="O3207" i="4"/>
  <c r="N3207" i="4"/>
  <c r="M3207" i="4"/>
  <c r="L3207" i="4"/>
  <c r="K3207" i="4"/>
  <c r="J3207" i="4"/>
  <c r="I3207" i="4"/>
  <c r="H3207" i="4"/>
  <c r="Q3206" i="4"/>
  <c r="P3206" i="4"/>
  <c r="O3206" i="4"/>
  <c r="N3206" i="4"/>
  <c r="M3206" i="4"/>
  <c r="L3206" i="4"/>
  <c r="K3206" i="4"/>
  <c r="J3206" i="4"/>
  <c r="I3206" i="4"/>
  <c r="H3206" i="4"/>
  <c r="Q3205" i="4"/>
  <c r="P3205" i="4"/>
  <c r="O3205" i="4"/>
  <c r="N3205" i="4"/>
  <c r="M3205" i="4"/>
  <c r="L3205" i="4"/>
  <c r="K3205" i="4"/>
  <c r="J3205" i="4"/>
  <c r="I3205" i="4"/>
  <c r="H3205" i="4"/>
  <c r="Q3204" i="4"/>
  <c r="P3204" i="4"/>
  <c r="O3204" i="4"/>
  <c r="N3204" i="4"/>
  <c r="M3204" i="4"/>
  <c r="L3204" i="4"/>
  <c r="K3204" i="4"/>
  <c r="J3204" i="4"/>
  <c r="I3204" i="4"/>
  <c r="H3204" i="4"/>
  <c r="Q3203" i="4"/>
  <c r="P3203" i="4"/>
  <c r="O3203" i="4"/>
  <c r="N3203" i="4"/>
  <c r="M3203" i="4"/>
  <c r="L3203" i="4"/>
  <c r="K3203" i="4"/>
  <c r="J3203" i="4"/>
  <c r="I3203" i="4"/>
  <c r="H3203" i="4"/>
  <c r="Q3202" i="4"/>
  <c r="P3202" i="4"/>
  <c r="O3202" i="4"/>
  <c r="N3202" i="4"/>
  <c r="M3202" i="4"/>
  <c r="L3202" i="4"/>
  <c r="K3202" i="4"/>
  <c r="J3202" i="4"/>
  <c r="I3202" i="4"/>
  <c r="H3202" i="4"/>
  <c r="Q3201" i="4"/>
  <c r="P3201" i="4"/>
  <c r="O3201" i="4"/>
  <c r="N3201" i="4"/>
  <c r="M3201" i="4"/>
  <c r="L3201" i="4"/>
  <c r="K3201" i="4"/>
  <c r="J3201" i="4"/>
  <c r="I3201" i="4"/>
  <c r="H3201" i="4"/>
  <c r="Q3200" i="4"/>
  <c r="P3200" i="4"/>
  <c r="O3200" i="4"/>
  <c r="N3200" i="4"/>
  <c r="M3200" i="4"/>
  <c r="L3200" i="4"/>
  <c r="K3200" i="4"/>
  <c r="J3200" i="4"/>
  <c r="I3200" i="4"/>
  <c r="H3200" i="4"/>
  <c r="Q3199" i="4"/>
  <c r="P3199" i="4"/>
  <c r="O3199" i="4"/>
  <c r="N3199" i="4"/>
  <c r="M3199" i="4"/>
  <c r="L3199" i="4"/>
  <c r="K3199" i="4"/>
  <c r="J3199" i="4"/>
  <c r="I3199" i="4"/>
  <c r="H3199" i="4"/>
  <c r="Q3198" i="4"/>
  <c r="P3198" i="4"/>
  <c r="O3198" i="4"/>
  <c r="N3198" i="4"/>
  <c r="M3198" i="4"/>
  <c r="L3198" i="4"/>
  <c r="K3198" i="4"/>
  <c r="J3198" i="4"/>
  <c r="I3198" i="4"/>
  <c r="H3198" i="4"/>
  <c r="Q3197" i="4"/>
  <c r="P3197" i="4"/>
  <c r="O3197" i="4"/>
  <c r="N3197" i="4"/>
  <c r="M3197" i="4"/>
  <c r="L3197" i="4"/>
  <c r="K3197" i="4"/>
  <c r="J3197" i="4"/>
  <c r="I3197" i="4"/>
  <c r="H3197" i="4"/>
  <c r="Q3196" i="4"/>
  <c r="P3196" i="4"/>
  <c r="O3196" i="4"/>
  <c r="N3196" i="4"/>
  <c r="M3196" i="4"/>
  <c r="L3196" i="4"/>
  <c r="K3196" i="4"/>
  <c r="J3196" i="4"/>
  <c r="I3196" i="4"/>
  <c r="H3196" i="4"/>
  <c r="Q3195" i="4"/>
  <c r="P3195" i="4"/>
  <c r="O3195" i="4"/>
  <c r="N3195" i="4"/>
  <c r="M3195" i="4"/>
  <c r="L3195" i="4"/>
  <c r="K3195" i="4"/>
  <c r="J3195" i="4"/>
  <c r="I3195" i="4"/>
  <c r="H3195" i="4"/>
  <c r="Q3194" i="4"/>
  <c r="P3194" i="4"/>
  <c r="O3194" i="4"/>
  <c r="N3194" i="4"/>
  <c r="M3194" i="4"/>
  <c r="L3194" i="4"/>
  <c r="K3194" i="4"/>
  <c r="J3194" i="4"/>
  <c r="I3194" i="4"/>
  <c r="H3194" i="4"/>
  <c r="Q3193" i="4"/>
  <c r="P3193" i="4"/>
  <c r="O3193" i="4"/>
  <c r="N3193" i="4"/>
  <c r="M3193" i="4"/>
  <c r="L3193" i="4"/>
  <c r="K3193" i="4"/>
  <c r="J3193" i="4"/>
  <c r="I3193" i="4"/>
  <c r="H3193" i="4"/>
  <c r="Q3192" i="4"/>
  <c r="P3192" i="4"/>
  <c r="O3192" i="4"/>
  <c r="N3192" i="4"/>
  <c r="M3192" i="4"/>
  <c r="L3192" i="4"/>
  <c r="K3192" i="4"/>
  <c r="J3192" i="4"/>
  <c r="I3192" i="4"/>
  <c r="H3192" i="4"/>
  <c r="Q3191" i="4"/>
  <c r="P3191" i="4"/>
  <c r="O3191" i="4"/>
  <c r="N3191" i="4"/>
  <c r="M3191" i="4"/>
  <c r="L3191" i="4"/>
  <c r="K3191" i="4"/>
  <c r="J3191" i="4"/>
  <c r="I3191" i="4"/>
  <c r="H3191" i="4"/>
  <c r="Q3190" i="4"/>
  <c r="P3190" i="4"/>
  <c r="O3190" i="4"/>
  <c r="N3190" i="4"/>
  <c r="M3190" i="4"/>
  <c r="L3190" i="4"/>
  <c r="K3190" i="4"/>
  <c r="J3190" i="4"/>
  <c r="I3190" i="4"/>
  <c r="H3190" i="4"/>
  <c r="Q3189" i="4"/>
  <c r="P3189" i="4"/>
  <c r="O3189" i="4"/>
  <c r="N3189" i="4"/>
  <c r="M3189" i="4"/>
  <c r="L3189" i="4"/>
  <c r="K3189" i="4"/>
  <c r="J3189" i="4"/>
  <c r="I3189" i="4"/>
  <c r="H3189" i="4"/>
  <c r="Q3188" i="4"/>
  <c r="P3188" i="4"/>
  <c r="O3188" i="4"/>
  <c r="N3188" i="4"/>
  <c r="M3188" i="4"/>
  <c r="L3188" i="4"/>
  <c r="K3188" i="4"/>
  <c r="J3188" i="4"/>
  <c r="I3188" i="4"/>
  <c r="H3188" i="4"/>
  <c r="Q3187" i="4"/>
  <c r="P3187" i="4"/>
  <c r="O3187" i="4"/>
  <c r="N3187" i="4"/>
  <c r="M3187" i="4"/>
  <c r="L3187" i="4"/>
  <c r="K3187" i="4"/>
  <c r="J3187" i="4"/>
  <c r="I3187" i="4"/>
  <c r="H3187" i="4"/>
  <c r="Q3186" i="4"/>
  <c r="P3186" i="4"/>
  <c r="O3186" i="4"/>
  <c r="N3186" i="4"/>
  <c r="M3186" i="4"/>
  <c r="L3186" i="4"/>
  <c r="K3186" i="4"/>
  <c r="J3186" i="4"/>
  <c r="I3186" i="4"/>
  <c r="H3186" i="4"/>
  <c r="Q3185" i="4"/>
  <c r="P3185" i="4"/>
  <c r="O3185" i="4"/>
  <c r="N3185" i="4"/>
  <c r="M3185" i="4"/>
  <c r="L3185" i="4"/>
  <c r="K3185" i="4"/>
  <c r="J3185" i="4"/>
  <c r="I3185" i="4"/>
  <c r="H3185" i="4"/>
  <c r="Q3184" i="4"/>
  <c r="P3184" i="4"/>
  <c r="O3184" i="4"/>
  <c r="N3184" i="4"/>
  <c r="M3184" i="4"/>
  <c r="L3184" i="4"/>
  <c r="K3184" i="4"/>
  <c r="J3184" i="4"/>
  <c r="I3184" i="4"/>
  <c r="H3184" i="4"/>
  <c r="Q3183" i="4"/>
  <c r="P3183" i="4"/>
  <c r="O3183" i="4"/>
  <c r="N3183" i="4"/>
  <c r="M3183" i="4"/>
  <c r="L3183" i="4"/>
  <c r="K3183" i="4"/>
  <c r="J3183" i="4"/>
  <c r="I3183" i="4"/>
  <c r="H3183" i="4"/>
  <c r="Q3182" i="4"/>
  <c r="P3182" i="4"/>
  <c r="O3182" i="4"/>
  <c r="N3182" i="4"/>
  <c r="M3182" i="4"/>
  <c r="L3182" i="4"/>
  <c r="K3182" i="4"/>
  <c r="J3182" i="4"/>
  <c r="I3182" i="4"/>
  <c r="H3182" i="4"/>
  <c r="Q3181" i="4"/>
  <c r="P3181" i="4"/>
  <c r="O3181" i="4"/>
  <c r="N3181" i="4"/>
  <c r="M3181" i="4"/>
  <c r="L3181" i="4"/>
  <c r="K3181" i="4"/>
  <c r="J3181" i="4"/>
  <c r="I3181" i="4"/>
  <c r="H3181" i="4"/>
  <c r="Q3180" i="4"/>
  <c r="P3180" i="4"/>
  <c r="O3180" i="4"/>
  <c r="N3180" i="4"/>
  <c r="M3180" i="4"/>
  <c r="L3180" i="4"/>
  <c r="K3180" i="4"/>
  <c r="J3180" i="4"/>
  <c r="I3180" i="4"/>
  <c r="H3180" i="4"/>
  <c r="Q3179" i="4"/>
  <c r="P3179" i="4"/>
  <c r="O3179" i="4"/>
  <c r="N3179" i="4"/>
  <c r="M3179" i="4"/>
  <c r="L3179" i="4"/>
  <c r="K3179" i="4"/>
  <c r="J3179" i="4"/>
  <c r="I3179" i="4"/>
  <c r="H3179" i="4"/>
  <c r="Q3178" i="4"/>
  <c r="P3178" i="4"/>
  <c r="O3178" i="4"/>
  <c r="N3178" i="4"/>
  <c r="M3178" i="4"/>
  <c r="L3178" i="4"/>
  <c r="K3178" i="4"/>
  <c r="J3178" i="4"/>
  <c r="I3178" i="4"/>
  <c r="H3178" i="4"/>
  <c r="Q3177" i="4"/>
  <c r="P3177" i="4"/>
  <c r="O3177" i="4"/>
  <c r="N3177" i="4"/>
  <c r="M3177" i="4"/>
  <c r="L3177" i="4"/>
  <c r="K3177" i="4"/>
  <c r="J3177" i="4"/>
  <c r="I3177" i="4"/>
  <c r="H3177" i="4"/>
  <c r="Q3176" i="4"/>
  <c r="P3176" i="4"/>
  <c r="O3176" i="4"/>
  <c r="N3176" i="4"/>
  <c r="M3176" i="4"/>
  <c r="L3176" i="4"/>
  <c r="K3176" i="4"/>
  <c r="J3176" i="4"/>
  <c r="I3176" i="4"/>
  <c r="H3176" i="4"/>
  <c r="Q3175" i="4"/>
  <c r="P3175" i="4"/>
  <c r="O3175" i="4"/>
  <c r="N3175" i="4"/>
  <c r="M3175" i="4"/>
  <c r="L3175" i="4"/>
  <c r="K3175" i="4"/>
  <c r="J3175" i="4"/>
  <c r="I3175" i="4"/>
  <c r="H3175" i="4"/>
  <c r="Q3174" i="4"/>
  <c r="P3174" i="4"/>
  <c r="O3174" i="4"/>
  <c r="N3174" i="4"/>
  <c r="M3174" i="4"/>
  <c r="L3174" i="4"/>
  <c r="K3174" i="4"/>
  <c r="J3174" i="4"/>
  <c r="I3174" i="4"/>
  <c r="H3174" i="4"/>
  <c r="Q3173" i="4"/>
  <c r="P3173" i="4"/>
  <c r="O3173" i="4"/>
  <c r="N3173" i="4"/>
  <c r="M3173" i="4"/>
  <c r="L3173" i="4"/>
  <c r="K3173" i="4"/>
  <c r="J3173" i="4"/>
  <c r="I3173" i="4"/>
  <c r="H3173" i="4"/>
  <c r="Q3172" i="4"/>
  <c r="P3172" i="4"/>
  <c r="O3172" i="4"/>
  <c r="N3172" i="4"/>
  <c r="M3172" i="4"/>
  <c r="L3172" i="4"/>
  <c r="K3172" i="4"/>
  <c r="J3172" i="4"/>
  <c r="I3172" i="4"/>
  <c r="H3172" i="4"/>
  <c r="Q3171" i="4"/>
  <c r="P3171" i="4"/>
  <c r="O3171" i="4"/>
  <c r="N3171" i="4"/>
  <c r="M3171" i="4"/>
  <c r="L3171" i="4"/>
  <c r="K3171" i="4"/>
  <c r="J3171" i="4"/>
  <c r="I3171" i="4"/>
  <c r="H3171" i="4"/>
  <c r="Q3170" i="4"/>
  <c r="P3170" i="4"/>
  <c r="O3170" i="4"/>
  <c r="N3170" i="4"/>
  <c r="M3170" i="4"/>
  <c r="L3170" i="4"/>
  <c r="K3170" i="4"/>
  <c r="J3170" i="4"/>
  <c r="I3170" i="4"/>
  <c r="H3170" i="4"/>
  <c r="Q3169" i="4"/>
  <c r="P3169" i="4"/>
  <c r="O3169" i="4"/>
  <c r="N3169" i="4"/>
  <c r="M3169" i="4"/>
  <c r="L3169" i="4"/>
  <c r="K3169" i="4"/>
  <c r="J3169" i="4"/>
  <c r="I3169" i="4"/>
  <c r="H3169" i="4"/>
  <c r="Q3168" i="4"/>
  <c r="P3168" i="4"/>
  <c r="O3168" i="4"/>
  <c r="N3168" i="4"/>
  <c r="M3168" i="4"/>
  <c r="L3168" i="4"/>
  <c r="K3168" i="4"/>
  <c r="J3168" i="4"/>
  <c r="I3168" i="4"/>
  <c r="H3168" i="4"/>
  <c r="Q3167" i="4"/>
  <c r="P3167" i="4"/>
  <c r="O3167" i="4"/>
  <c r="N3167" i="4"/>
  <c r="M3167" i="4"/>
  <c r="L3167" i="4"/>
  <c r="K3167" i="4"/>
  <c r="J3167" i="4"/>
  <c r="I3167" i="4"/>
  <c r="H3167" i="4"/>
  <c r="Q3166" i="4"/>
  <c r="P3166" i="4"/>
  <c r="O3166" i="4"/>
  <c r="N3166" i="4"/>
  <c r="M3166" i="4"/>
  <c r="L3166" i="4"/>
  <c r="K3166" i="4"/>
  <c r="J3166" i="4"/>
  <c r="I3166" i="4"/>
  <c r="H3166" i="4"/>
  <c r="Q3165" i="4"/>
  <c r="P3165" i="4"/>
  <c r="O3165" i="4"/>
  <c r="N3165" i="4"/>
  <c r="M3165" i="4"/>
  <c r="L3165" i="4"/>
  <c r="K3165" i="4"/>
  <c r="J3165" i="4"/>
  <c r="I3165" i="4"/>
  <c r="H3165" i="4"/>
  <c r="Q3164" i="4"/>
  <c r="P3164" i="4"/>
  <c r="O3164" i="4"/>
  <c r="N3164" i="4"/>
  <c r="M3164" i="4"/>
  <c r="L3164" i="4"/>
  <c r="K3164" i="4"/>
  <c r="J3164" i="4"/>
  <c r="I3164" i="4"/>
  <c r="H3164" i="4"/>
  <c r="Q3163" i="4"/>
  <c r="P3163" i="4"/>
  <c r="O3163" i="4"/>
  <c r="N3163" i="4"/>
  <c r="M3163" i="4"/>
  <c r="L3163" i="4"/>
  <c r="K3163" i="4"/>
  <c r="J3163" i="4"/>
  <c r="I3163" i="4"/>
  <c r="H3163" i="4"/>
  <c r="Q3162" i="4"/>
  <c r="P3162" i="4"/>
  <c r="O3162" i="4"/>
  <c r="N3162" i="4"/>
  <c r="M3162" i="4"/>
  <c r="L3162" i="4"/>
  <c r="K3162" i="4"/>
  <c r="J3162" i="4"/>
  <c r="I3162" i="4"/>
  <c r="H3162" i="4"/>
  <c r="Q3161" i="4"/>
  <c r="P3161" i="4"/>
  <c r="O3161" i="4"/>
  <c r="N3161" i="4"/>
  <c r="M3161" i="4"/>
  <c r="L3161" i="4"/>
  <c r="K3161" i="4"/>
  <c r="J3161" i="4"/>
  <c r="I3161" i="4"/>
  <c r="H3161" i="4"/>
  <c r="Q3160" i="4"/>
  <c r="P3160" i="4"/>
  <c r="O3160" i="4"/>
  <c r="N3160" i="4"/>
  <c r="M3160" i="4"/>
  <c r="L3160" i="4"/>
  <c r="K3160" i="4"/>
  <c r="J3160" i="4"/>
  <c r="I3160" i="4"/>
  <c r="H3160" i="4"/>
  <c r="Q3159" i="4"/>
  <c r="P3159" i="4"/>
  <c r="O3159" i="4"/>
  <c r="N3159" i="4"/>
  <c r="M3159" i="4"/>
  <c r="L3159" i="4"/>
  <c r="K3159" i="4"/>
  <c r="J3159" i="4"/>
  <c r="I3159" i="4"/>
  <c r="H3159" i="4"/>
  <c r="Q3158" i="4"/>
  <c r="P3158" i="4"/>
  <c r="O3158" i="4"/>
  <c r="N3158" i="4"/>
  <c r="M3158" i="4"/>
  <c r="L3158" i="4"/>
  <c r="K3158" i="4"/>
  <c r="J3158" i="4"/>
  <c r="I3158" i="4"/>
  <c r="H3158" i="4"/>
  <c r="Q3157" i="4"/>
  <c r="P3157" i="4"/>
  <c r="O3157" i="4"/>
  <c r="N3157" i="4"/>
  <c r="M3157" i="4"/>
  <c r="L3157" i="4"/>
  <c r="K3157" i="4"/>
  <c r="J3157" i="4"/>
  <c r="I3157" i="4"/>
  <c r="H3157" i="4"/>
  <c r="Q3156" i="4"/>
  <c r="P3156" i="4"/>
  <c r="O3156" i="4"/>
  <c r="N3156" i="4"/>
  <c r="M3156" i="4"/>
  <c r="L3156" i="4"/>
  <c r="K3156" i="4"/>
  <c r="J3156" i="4"/>
  <c r="I3156" i="4"/>
  <c r="H3156" i="4"/>
  <c r="Q3155" i="4"/>
  <c r="P3155" i="4"/>
  <c r="O3155" i="4"/>
  <c r="N3155" i="4"/>
  <c r="M3155" i="4"/>
  <c r="L3155" i="4"/>
  <c r="K3155" i="4"/>
  <c r="J3155" i="4"/>
  <c r="I3155" i="4"/>
  <c r="H3155" i="4"/>
  <c r="Q3154" i="4"/>
  <c r="P3154" i="4"/>
  <c r="O3154" i="4"/>
  <c r="N3154" i="4"/>
  <c r="M3154" i="4"/>
  <c r="L3154" i="4"/>
  <c r="K3154" i="4"/>
  <c r="J3154" i="4"/>
  <c r="I3154" i="4"/>
  <c r="H3154" i="4"/>
  <c r="Q3153" i="4"/>
  <c r="P3153" i="4"/>
  <c r="O3153" i="4"/>
  <c r="N3153" i="4"/>
  <c r="M3153" i="4"/>
  <c r="L3153" i="4"/>
  <c r="K3153" i="4"/>
  <c r="J3153" i="4"/>
  <c r="I3153" i="4"/>
  <c r="H3153" i="4"/>
  <c r="Q3152" i="4"/>
  <c r="P3152" i="4"/>
  <c r="O3152" i="4"/>
  <c r="N3152" i="4"/>
  <c r="M3152" i="4"/>
  <c r="L3152" i="4"/>
  <c r="K3152" i="4"/>
  <c r="J3152" i="4"/>
  <c r="I3152" i="4"/>
  <c r="H3152" i="4"/>
  <c r="Q3151" i="4"/>
  <c r="P3151" i="4"/>
  <c r="O3151" i="4"/>
  <c r="N3151" i="4"/>
  <c r="M3151" i="4"/>
  <c r="L3151" i="4"/>
  <c r="K3151" i="4"/>
  <c r="J3151" i="4"/>
  <c r="I3151" i="4"/>
  <c r="H3151" i="4"/>
  <c r="Q3150" i="4"/>
  <c r="P3150" i="4"/>
  <c r="O3150" i="4"/>
  <c r="N3150" i="4"/>
  <c r="M3150" i="4"/>
  <c r="L3150" i="4"/>
  <c r="K3150" i="4"/>
  <c r="J3150" i="4"/>
  <c r="I3150" i="4"/>
  <c r="H3150" i="4"/>
  <c r="Q3149" i="4"/>
  <c r="P3149" i="4"/>
  <c r="O3149" i="4"/>
  <c r="N3149" i="4"/>
  <c r="M3149" i="4"/>
  <c r="L3149" i="4"/>
  <c r="K3149" i="4"/>
  <c r="J3149" i="4"/>
  <c r="I3149" i="4"/>
  <c r="H3149" i="4"/>
  <c r="Q3148" i="4"/>
  <c r="P3148" i="4"/>
  <c r="O3148" i="4"/>
  <c r="N3148" i="4"/>
  <c r="M3148" i="4"/>
  <c r="L3148" i="4"/>
  <c r="K3148" i="4"/>
  <c r="J3148" i="4"/>
  <c r="I3148" i="4"/>
  <c r="H3148" i="4"/>
  <c r="Q3147" i="4"/>
  <c r="P3147" i="4"/>
  <c r="O3147" i="4"/>
  <c r="N3147" i="4"/>
  <c r="M3147" i="4"/>
  <c r="L3147" i="4"/>
  <c r="K3147" i="4"/>
  <c r="J3147" i="4"/>
  <c r="I3147" i="4"/>
  <c r="H3147" i="4"/>
  <c r="Q3146" i="4"/>
  <c r="P3146" i="4"/>
  <c r="O3146" i="4"/>
  <c r="N3146" i="4"/>
  <c r="M3146" i="4"/>
  <c r="L3146" i="4"/>
  <c r="K3146" i="4"/>
  <c r="J3146" i="4"/>
  <c r="I3146" i="4"/>
  <c r="H3146" i="4"/>
  <c r="Q3145" i="4"/>
  <c r="P3145" i="4"/>
  <c r="O3145" i="4"/>
  <c r="N3145" i="4"/>
  <c r="M3145" i="4"/>
  <c r="L3145" i="4"/>
  <c r="K3145" i="4"/>
  <c r="J3145" i="4"/>
  <c r="I3145" i="4"/>
  <c r="H3145" i="4"/>
  <c r="Q3144" i="4"/>
  <c r="P3144" i="4"/>
  <c r="O3144" i="4"/>
  <c r="N3144" i="4"/>
  <c r="M3144" i="4"/>
  <c r="L3144" i="4"/>
  <c r="K3144" i="4"/>
  <c r="J3144" i="4"/>
  <c r="I3144" i="4"/>
  <c r="H3144" i="4"/>
  <c r="Q3143" i="4"/>
  <c r="P3143" i="4"/>
  <c r="O3143" i="4"/>
  <c r="N3143" i="4"/>
  <c r="M3143" i="4"/>
  <c r="L3143" i="4"/>
  <c r="K3143" i="4"/>
  <c r="J3143" i="4"/>
  <c r="I3143" i="4"/>
  <c r="H3143" i="4"/>
  <c r="Q3142" i="4"/>
  <c r="P3142" i="4"/>
  <c r="O3142" i="4"/>
  <c r="N3142" i="4"/>
  <c r="M3142" i="4"/>
  <c r="L3142" i="4"/>
  <c r="K3142" i="4"/>
  <c r="J3142" i="4"/>
  <c r="I3142" i="4"/>
  <c r="H3142" i="4"/>
  <c r="Q3141" i="4"/>
  <c r="P3141" i="4"/>
  <c r="O3141" i="4"/>
  <c r="N3141" i="4"/>
  <c r="M3141" i="4"/>
  <c r="L3141" i="4"/>
  <c r="K3141" i="4"/>
  <c r="J3141" i="4"/>
  <c r="I3141" i="4"/>
  <c r="H3141" i="4"/>
  <c r="Q3140" i="4"/>
  <c r="P3140" i="4"/>
  <c r="O3140" i="4"/>
  <c r="N3140" i="4"/>
  <c r="M3140" i="4"/>
  <c r="L3140" i="4"/>
  <c r="K3140" i="4"/>
  <c r="J3140" i="4"/>
  <c r="I3140" i="4"/>
  <c r="H3140" i="4"/>
  <c r="Q3139" i="4"/>
  <c r="P3139" i="4"/>
  <c r="O3139" i="4"/>
  <c r="N3139" i="4"/>
  <c r="M3139" i="4"/>
  <c r="L3139" i="4"/>
  <c r="K3139" i="4"/>
  <c r="J3139" i="4"/>
  <c r="I3139" i="4"/>
  <c r="H3139" i="4"/>
  <c r="Q3138" i="4"/>
  <c r="P3138" i="4"/>
  <c r="O3138" i="4"/>
  <c r="N3138" i="4"/>
  <c r="M3138" i="4"/>
  <c r="L3138" i="4"/>
  <c r="K3138" i="4"/>
  <c r="J3138" i="4"/>
  <c r="I3138" i="4"/>
  <c r="H3138" i="4"/>
  <c r="Q3137" i="4"/>
  <c r="P3137" i="4"/>
  <c r="O3137" i="4"/>
  <c r="N3137" i="4"/>
  <c r="M3137" i="4"/>
  <c r="L3137" i="4"/>
  <c r="K3137" i="4"/>
  <c r="J3137" i="4"/>
  <c r="I3137" i="4"/>
  <c r="H3137" i="4"/>
  <c r="Q3136" i="4"/>
  <c r="P3136" i="4"/>
  <c r="O3136" i="4"/>
  <c r="N3136" i="4"/>
  <c r="M3136" i="4"/>
  <c r="L3136" i="4"/>
  <c r="K3136" i="4"/>
  <c r="J3136" i="4"/>
  <c r="I3136" i="4"/>
  <c r="H3136" i="4"/>
  <c r="Q3135" i="4"/>
  <c r="P3135" i="4"/>
  <c r="O3135" i="4"/>
  <c r="N3135" i="4"/>
  <c r="M3135" i="4"/>
  <c r="L3135" i="4"/>
  <c r="K3135" i="4"/>
  <c r="J3135" i="4"/>
  <c r="I3135" i="4"/>
  <c r="H3135" i="4"/>
  <c r="Q3134" i="4"/>
  <c r="P3134" i="4"/>
  <c r="O3134" i="4"/>
  <c r="N3134" i="4"/>
  <c r="M3134" i="4"/>
  <c r="L3134" i="4"/>
  <c r="K3134" i="4"/>
  <c r="J3134" i="4"/>
  <c r="I3134" i="4"/>
  <c r="H3134" i="4"/>
  <c r="Q3133" i="4"/>
  <c r="P3133" i="4"/>
  <c r="O3133" i="4"/>
  <c r="N3133" i="4"/>
  <c r="M3133" i="4"/>
  <c r="L3133" i="4"/>
  <c r="K3133" i="4"/>
  <c r="J3133" i="4"/>
  <c r="I3133" i="4"/>
  <c r="H3133" i="4"/>
  <c r="Q3132" i="4"/>
  <c r="P3132" i="4"/>
  <c r="O3132" i="4"/>
  <c r="N3132" i="4"/>
  <c r="M3132" i="4"/>
  <c r="L3132" i="4"/>
  <c r="K3132" i="4"/>
  <c r="J3132" i="4"/>
  <c r="I3132" i="4"/>
  <c r="H3132" i="4"/>
  <c r="Q3131" i="4"/>
  <c r="P3131" i="4"/>
  <c r="O3131" i="4"/>
  <c r="N3131" i="4"/>
  <c r="M3131" i="4"/>
  <c r="L3131" i="4"/>
  <c r="K3131" i="4"/>
  <c r="J3131" i="4"/>
  <c r="I3131" i="4"/>
  <c r="H3131" i="4"/>
  <c r="Q3130" i="4"/>
  <c r="P3130" i="4"/>
  <c r="O3130" i="4"/>
  <c r="N3130" i="4"/>
  <c r="M3130" i="4"/>
  <c r="L3130" i="4"/>
  <c r="K3130" i="4"/>
  <c r="J3130" i="4"/>
  <c r="I3130" i="4"/>
  <c r="H3130" i="4"/>
  <c r="Q3129" i="4"/>
  <c r="P3129" i="4"/>
  <c r="O3129" i="4"/>
  <c r="N3129" i="4"/>
  <c r="M3129" i="4"/>
  <c r="L3129" i="4"/>
  <c r="K3129" i="4"/>
  <c r="J3129" i="4"/>
  <c r="I3129" i="4"/>
  <c r="H3129" i="4"/>
  <c r="Q3128" i="4"/>
  <c r="P3128" i="4"/>
  <c r="O3128" i="4"/>
  <c r="N3128" i="4"/>
  <c r="M3128" i="4"/>
  <c r="L3128" i="4"/>
  <c r="K3128" i="4"/>
  <c r="J3128" i="4"/>
  <c r="I3128" i="4"/>
  <c r="H3128" i="4"/>
  <c r="Q3127" i="4"/>
  <c r="P3127" i="4"/>
  <c r="O3127" i="4"/>
  <c r="N3127" i="4"/>
  <c r="M3127" i="4"/>
  <c r="L3127" i="4"/>
  <c r="K3127" i="4"/>
  <c r="J3127" i="4"/>
  <c r="I3127" i="4"/>
  <c r="H3127" i="4"/>
  <c r="Q3126" i="4"/>
  <c r="P3126" i="4"/>
  <c r="O3126" i="4"/>
  <c r="N3126" i="4"/>
  <c r="M3126" i="4"/>
  <c r="L3126" i="4"/>
  <c r="K3126" i="4"/>
  <c r="J3126" i="4"/>
  <c r="I3126" i="4"/>
  <c r="H3126" i="4"/>
  <c r="Q3125" i="4"/>
  <c r="P3125" i="4"/>
  <c r="O3125" i="4"/>
  <c r="N3125" i="4"/>
  <c r="M3125" i="4"/>
  <c r="L3125" i="4"/>
  <c r="K3125" i="4"/>
  <c r="J3125" i="4"/>
  <c r="I3125" i="4"/>
  <c r="H3125" i="4"/>
  <c r="Q3124" i="4"/>
  <c r="P3124" i="4"/>
  <c r="O3124" i="4"/>
  <c r="N3124" i="4"/>
  <c r="M3124" i="4"/>
  <c r="L3124" i="4"/>
  <c r="K3124" i="4"/>
  <c r="J3124" i="4"/>
  <c r="I3124" i="4"/>
  <c r="H3124" i="4"/>
  <c r="Q3123" i="4"/>
  <c r="P3123" i="4"/>
  <c r="O3123" i="4"/>
  <c r="N3123" i="4"/>
  <c r="M3123" i="4"/>
  <c r="L3123" i="4"/>
  <c r="K3123" i="4"/>
  <c r="J3123" i="4"/>
  <c r="I3123" i="4"/>
  <c r="H3123" i="4"/>
  <c r="Q3122" i="4"/>
  <c r="P3122" i="4"/>
  <c r="O3122" i="4"/>
  <c r="N3122" i="4"/>
  <c r="M3122" i="4"/>
  <c r="L3122" i="4"/>
  <c r="K3122" i="4"/>
  <c r="J3122" i="4"/>
  <c r="I3122" i="4"/>
  <c r="H3122" i="4"/>
  <c r="Q3121" i="4"/>
  <c r="P3121" i="4"/>
  <c r="O3121" i="4"/>
  <c r="N3121" i="4"/>
  <c r="M3121" i="4"/>
  <c r="L3121" i="4"/>
  <c r="K3121" i="4"/>
  <c r="J3121" i="4"/>
  <c r="I3121" i="4"/>
  <c r="H3121" i="4"/>
  <c r="Q3120" i="4"/>
  <c r="P3120" i="4"/>
  <c r="O3120" i="4"/>
  <c r="N3120" i="4"/>
  <c r="M3120" i="4"/>
  <c r="L3120" i="4"/>
  <c r="K3120" i="4"/>
  <c r="J3120" i="4"/>
  <c r="I3120" i="4"/>
  <c r="H3120" i="4"/>
  <c r="Q3119" i="4"/>
  <c r="P3119" i="4"/>
  <c r="O3119" i="4"/>
  <c r="N3119" i="4"/>
  <c r="M3119" i="4"/>
  <c r="L3119" i="4"/>
  <c r="K3119" i="4"/>
  <c r="J3119" i="4"/>
  <c r="I3119" i="4"/>
  <c r="H3119" i="4"/>
  <c r="Q3118" i="4"/>
  <c r="P3118" i="4"/>
  <c r="O3118" i="4"/>
  <c r="N3118" i="4"/>
  <c r="M3118" i="4"/>
  <c r="L3118" i="4"/>
  <c r="K3118" i="4"/>
  <c r="J3118" i="4"/>
  <c r="I3118" i="4"/>
  <c r="H3118" i="4"/>
  <c r="Q3117" i="4"/>
  <c r="P3117" i="4"/>
  <c r="O3117" i="4"/>
  <c r="N3117" i="4"/>
  <c r="M3117" i="4"/>
  <c r="L3117" i="4"/>
  <c r="K3117" i="4"/>
  <c r="J3117" i="4"/>
  <c r="I3117" i="4"/>
  <c r="H3117" i="4"/>
  <c r="Q3116" i="4"/>
  <c r="P3116" i="4"/>
  <c r="O3116" i="4"/>
  <c r="N3116" i="4"/>
  <c r="M3116" i="4"/>
  <c r="L3116" i="4"/>
  <c r="K3116" i="4"/>
  <c r="J3116" i="4"/>
  <c r="I3116" i="4"/>
  <c r="H3116" i="4"/>
  <c r="Q3115" i="4"/>
  <c r="P3115" i="4"/>
  <c r="O3115" i="4"/>
  <c r="N3115" i="4"/>
  <c r="M3115" i="4"/>
  <c r="L3115" i="4"/>
  <c r="K3115" i="4"/>
  <c r="J3115" i="4"/>
  <c r="I3115" i="4"/>
  <c r="H3115" i="4"/>
  <c r="Q3114" i="4"/>
  <c r="P3114" i="4"/>
  <c r="O3114" i="4"/>
  <c r="N3114" i="4"/>
  <c r="M3114" i="4"/>
  <c r="L3114" i="4"/>
  <c r="K3114" i="4"/>
  <c r="J3114" i="4"/>
  <c r="I3114" i="4"/>
  <c r="H3114" i="4"/>
  <c r="Q3113" i="4"/>
  <c r="P3113" i="4"/>
  <c r="O3113" i="4"/>
  <c r="N3113" i="4"/>
  <c r="M3113" i="4"/>
  <c r="L3113" i="4"/>
  <c r="K3113" i="4"/>
  <c r="J3113" i="4"/>
  <c r="I3113" i="4"/>
  <c r="H3113" i="4"/>
  <c r="Q3112" i="4"/>
  <c r="P3112" i="4"/>
  <c r="O3112" i="4"/>
  <c r="N3112" i="4"/>
  <c r="M3112" i="4"/>
  <c r="L3112" i="4"/>
  <c r="K3112" i="4"/>
  <c r="J3112" i="4"/>
  <c r="I3112" i="4"/>
  <c r="H3112" i="4"/>
  <c r="Q3111" i="4"/>
  <c r="P3111" i="4"/>
  <c r="O3111" i="4"/>
  <c r="N3111" i="4"/>
  <c r="M3111" i="4"/>
  <c r="L3111" i="4"/>
  <c r="K3111" i="4"/>
  <c r="J3111" i="4"/>
  <c r="I3111" i="4"/>
  <c r="H3111" i="4"/>
  <c r="Q3110" i="4"/>
  <c r="P3110" i="4"/>
  <c r="O3110" i="4"/>
  <c r="N3110" i="4"/>
  <c r="M3110" i="4"/>
  <c r="L3110" i="4"/>
  <c r="K3110" i="4"/>
  <c r="J3110" i="4"/>
  <c r="I3110" i="4"/>
  <c r="H3110" i="4"/>
  <c r="Q3109" i="4"/>
  <c r="P3109" i="4"/>
  <c r="O3109" i="4"/>
  <c r="N3109" i="4"/>
  <c r="M3109" i="4"/>
  <c r="L3109" i="4"/>
  <c r="K3109" i="4"/>
  <c r="J3109" i="4"/>
  <c r="I3109" i="4"/>
  <c r="H3109" i="4"/>
  <c r="Q3108" i="4"/>
  <c r="P3108" i="4"/>
  <c r="O3108" i="4"/>
  <c r="N3108" i="4"/>
  <c r="M3108" i="4"/>
  <c r="L3108" i="4"/>
  <c r="K3108" i="4"/>
  <c r="J3108" i="4"/>
  <c r="I3108" i="4"/>
  <c r="H3108" i="4"/>
  <c r="Q3107" i="4"/>
  <c r="P3107" i="4"/>
  <c r="O3107" i="4"/>
  <c r="N3107" i="4"/>
  <c r="M3107" i="4"/>
  <c r="L3107" i="4"/>
  <c r="K3107" i="4"/>
  <c r="J3107" i="4"/>
  <c r="I3107" i="4"/>
  <c r="H3107" i="4"/>
  <c r="Q3106" i="4"/>
  <c r="P3106" i="4"/>
  <c r="O3106" i="4"/>
  <c r="N3106" i="4"/>
  <c r="M3106" i="4"/>
  <c r="L3106" i="4"/>
  <c r="K3106" i="4"/>
  <c r="J3106" i="4"/>
  <c r="I3106" i="4"/>
  <c r="H3106" i="4"/>
  <c r="Q3105" i="4"/>
  <c r="P3105" i="4"/>
  <c r="O3105" i="4"/>
  <c r="N3105" i="4"/>
  <c r="M3105" i="4"/>
  <c r="L3105" i="4"/>
  <c r="K3105" i="4"/>
  <c r="J3105" i="4"/>
  <c r="I3105" i="4"/>
  <c r="H3105" i="4"/>
  <c r="Q3104" i="4"/>
  <c r="P3104" i="4"/>
  <c r="O3104" i="4"/>
  <c r="N3104" i="4"/>
  <c r="M3104" i="4"/>
  <c r="L3104" i="4"/>
  <c r="K3104" i="4"/>
  <c r="J3104" i="4"/>
  <c r="I3104" i="4"/>
  <c r="H3104" i="4"/>
  <c r="Q3103" i="4"/>
  <c r="P3103" i="4"/>
  <c r="O3103" i="4"/>
  <c r="N3103" i="4"/>
  <c r="M3103" i="4"/>
  <c r="L3103" i="4"/>
  <c r="K3103" i="4"/>
  <c r="J3103" i="4"/>
  <c r="I3103" i="4"/>
  <c r="H3103" i="4"/>
  <c r="Q3102" i="4"/>
  <c r="P3102" i="4"/>
  <c r="O3102" i="4"/>
  <c r="N3102" i="4"/>
  <c r="M3102" i="4"/>
  <c r="L3102" i="4"/>
  <c r="K3102" i="4"/>
  <c r="J3102" i="4"/>
  <c r="I3102" i="4"/>
  <c r="H3102" i="4"/>
  <c r="Q3101" i="4"/>
  <c r="P3101" i="4"/>
  <c r="O3101" i="4"/>
  <c r="N3101" i="4"/>
  <c r="M3101" i="4"/>
  <c r="L3101" i="4"/>
  <c r="K3101" i="4"/>
  <c r="J3101" i="4"/>
  <c r="I3101" i="4"/>
  <c r="H3101" i="4"/>
  <c r="Q3100" i="4"/>
  <c r="P3100" i="4"/>
  <c r="O3100" i="4"/>
  <c r="N3100" i="4"/>
  <c r="M3100" i="4"/>
  <c r="L3100" i="4"/>
  <c r="K3100" i="4"/>
  <c r="J3100" i="4"/>
  <c r="I3100" i="4"/>
  <c r="H3100" i="4"/>
  <c r="Q3099" i="4"/>
  <c r="P3099" i="4"/>
  <c r="O3099" i="4"/>
  <c r="N3099" i="4"/>
  <c r="M3099" i="4"/>
  <c r="L3099" i="4"/>
  <c r="K3099" i="4"/>
  <c r="J3099" i="4"/>
  <c r="I3099" i="4"/>
  <c r="H3099" i="4"/>
  <c r="Q3098" i="4"/>
  <c r="P3098" i="4"/>
  <c r="O3098" i="4"/>
  <c r="N3098" i="4"/>
  <c r="M3098" i="4"/>
  <c r="L3098" i="4"/>
  <c r="K3098" i="4"/>
  <c r="J3098" i="4"/>
  <c r="I3098" i="4"/>
  <c r="H3098" i="4"/>
  <c r="Q3097" i="4"/>
  <c r="P3097" i="4"/>
  <c r="O3097" i="4"/>
  <c r="N3097" i="4"/>
  <c r="M3097" i="4"/>
  <c r="L3097" i="4"/>
  <c r="K3097" i="4"/>
  <c r="J3097" i="4"/>
  <c r="I3097" i="4"/>
  <c r="H3097" i="4"/>
  <c r="Q3096" i="4"/>
  <c r="P3096" i="4"/>
  <c r="O3096" i="4"/>
  <c r="N3096" i="4"/>
  <c r="M3096" i="4"/>
  <c r="L3096" i="4"/>
  <c r="K3096" i="4"/>
  <c r="J3096" i="4"/>
  <c r="I3096" i="4"/>
  <c r="H3096" i="4"/>
  <c r="Q3095" i="4"/>
  <c r="P3095" i="4"/>
  <c r="O3095" i="4"/>
  <c r="N3095" i="4"/>
  <c r="M3095" i="4"/>
  <c r="L3095" i="4"/>
  <c r="K3095" i="4"/>
  <c r="J3095" i="4"/>
  <c r="I3095" i="4"/>
  <c r="H3095" i="4"/>
  <c r="Q3094" i="4"/>
  <c r="P3094" i="4"/>
  <c r="O3094" i="4"/>
  <c r="N3094" i="4"/>
  <c r="M3094" i="4"/>
  <c r="L3094" i="4"/>
  <c r="K3094" i="4"/>
  <c r="J3094" i="4"/>
  <c r="I3094" i="4"/>
  <c r="H3094" i="4"/>
  <c r="Q3093" i="4"/>
  <c r="P3093" i="4"/>
  <c r="O3093" i="4"/>
  <c r="N3093" i="4"/>
  <c r="M3093" i="4"/>
  <c r="L3093" i="4"/>
  <c r="K3093" i="4"/>
  <c r="J3093" i="4"/>
  <c r="I3093" i="4"/>
  <c r="H3093" i="4"/>
  <c r="Q3092" i="4"/>
  <c r="P3092" i="4"/>
  <c r="O3092" i="4"/>
  <c r="N3092" i="4"/>
  <c r="M3092" i="4"/>
  <c r="L3092" i="4"/>
  <c r="K3092" i="4"/>
  <c r="J3092" i="4"/>
  <c r="I3092" i="4"/>
  <c r="H3092" i="4"/>
  <c r="Q3091" i="4"/>
  <c r="P3091" i="4"/>
  <c r="O3091" i="4"/>
  <c r="N3091" i="4"/>
  <c r="M3091" i="4"/>
  <c r="L3091" i="4"/>
  <c r="K3091" i="4"/>
  <c r="J3091" i="4"/>
  <c r="I3091" i="4"/>
  <c r="H3091" i="4"/>
  <c r="Q3090" i="4"/>
  <c r="P3090" i="4"/>
  <c r="O3090" i="4"/>
  <c r="N3090" i="4"/>
  <c r="M3090" i="4"/>
  <c r="L3090" i="4"/>
  <c r="K3090" i="4"/>
  <c r="J3090" i="4"/>
  <c r="I3090" i="4"/>
  <c r="H3090" i="4"/>
  <c r="Q3089" i="4"/>
  <c r="P3089" i="4"/>
  <c r="O3089" i="4"/>
  <c r="N3089" i="4"/>
  <c r="M3089" i="4"/>
  <c r="L3089" i="4"/>
  <c r="K3089" i="4"/>
  <c r="J3089" i="4"/>
  <c r="I3089" i="4"/>
  <c r="H3089" i="4"/>
  <c r="Q3088" i="4"/>
  <c r="P3088" i="4"/>
  <c r="O3088" i="4"/>
  <c r="N3088" i="4"/>
  <c r="M3088" i="4"/>
  <c r="L3088" i="4"/>
  <c r="K3088" i="4"/>
  <c r="J3088" i="4"/>
  <c r="I3088" i="4"/>
  <c r="H3088" i="4"/>
  <c r="Q3087" i="4"/>
  <c r="P3087" i="4"/>
  <c r="O3087" i="4"/>
  <c r="N3087" i="4"/>
  <c r="M3087" i="4"/>
  <c r="L3087" i="4"/>
  <c r="K3087" i="4"/>
  <c r="J3087" i="4"/>
  <c r="I3087" i="4"/>
  <c r="H3087" i="4"/>
  <c r="Q3086" i="4"/>
  <c r="P3086" i="4"/>
  <c r="O3086" i="4"/>
  <c r="N3086" i="4"/>
  <c r="M3086" i="4"/>
  <c r="L3086" i="4"/>
  <c r="K3086" i="4"/>
  <c r="J3086" i="4"/>
  <c r="I3086" i="4"/>
  <c r="H3086" i="4"/>
  <c r="Q3085" i="4"/>
  <c r="P3085" i="4"/>
  <c r="O3085" i="4"/>
  <c r="N3085" i="4"/>
  <c r="M3085" i="4"/>
  <c r="L3085" i="4"/>
  <c r="K3085" i="4"/>
  <c r="J3085" i="4"/>
  <c r="I3085" i="4"/>
  <c r="H3085" i="4"/>
  <c r="Q3084" i="4"/>
  <c r="P3084" i="4"/>
  <c r="O3084" i="4"/>
  <c r="N3084" i="4"/>
  <c r="M3084" i="4"/>
  <c r="L3084" i="4"/>
  <c r="K3084" i="4"/>
  <c r="J3084" i="4"/>
  <c r="I3084" i="4"/>
  <c r="H3084" i="4"/>
  <c r="Q3083" i="4"/>
  <c r="P3083" i="4"/>
  <c r="O3083" i="4"/>
  <c r="N3083" i="4"/>
  <c r="M3083" i="4"/>
  <c r="L3083" i="4"/>
  <c r="K3083" i="4"/>
  <c r="J3083" i="4"/>
  <c r="I3083" i="4"/>
  <c r="H3083" i="4"/>
  <c r="Q3082" i="4"/>
  <c r="P3082" i="4"/>
  <c r="O3082" i="4"/>
  <c r="N3082" i="4"/>
  <c r="M3082" i="4"/>
  <c r="L3082" i="4"/>
  <c r="K3082" i="4"/>
  <c r="J3082" i="4"/>
  <c r="I3082" i="4"/>
  <c r="H3082" i="4"/>
  <c r="Q3081" i="4"/>
  <c r="P3081" i="4"/>
  <c r="O3081" i="4"/>
  <c r="N3081" i="4"/>
  <c r="M3081" i="4"/>
  <c r="L3081" i="4"/>
  <c r="K3081" i="4"/>
  <c r="J3081" i="4"/>
  <c r="I3081" i="4"/>
  <c r="H3081" i="4"/>
  <c r="Q3080" i="4"/>
  <c r="P3080" i="4"/>
  <c r="O3080" i="4"/>
  <c r="N3080" i="4"/>
  <c r="M3080" i="4"/>
  <c r="L3080" i="4"/>
  <c r="K3080" i="4"/>
  <c r="J3080" i="4"/>
  <c r="I3080" i="4"/>
  <c r="H3080" i="4"/>
  <c r="Q3079" i="4"/>
  <c r="P3079" i="4"/>
  <c r="O3079" i="4"/>
  <c r="N3079" i="4"/>
  <c r="M3079" i="4"/>
  <c r="L3079" i="4"/>
  <c r="K3079" i="4"/>
  <c r="J3079" i="4"/>
  <c r="I3079" i="4"/>
  <c r="H3079" i="4"/>
  <c r="Q3078" i="4"/>
  <c r="P3078" i="4"/>
  <c r="O3078" i="4"/>
  <c r="N3078" i="4"/>
  <c r="M3078" i="4"/>
  <c r="L3078" i="4"/>
  <c r="K3078" i="4"/>
  <c r="J3078" i="4"/>
  <c r="I3078" i="4"/>
  <c r="H3078" i="4"/>
  <c r="Q3077" i="4"/>
  <c r="P3077" i="4"/>
  <c r="O3077" i="4"/>
  <c r="N3077" i="4"/>
  <c r="M3077" i="4"/>
  <c r="L3077" i="4"/>
  <c r="K3077" i="4"/>
  <c r="J3077" i="4"/>
  <c r="I3077" i="4"/>
  <c r="H3077" i="4"/>
  <c r="Q3076" i="4"/>
  <c r="P3076" i="4"/>
  <c r="O3076" i="4"/>
  <c r="N3076" i="4"/>
  <c r="M3076" i="4"/>
  <c r="L3076" i="4"/>
  <c r="K3076" i="4"/>
  <c r="J3076" i="4"/>
  <c r="I3076" i="4"/>
  <c r="H3076" i="4"/>
  <c r="Q3075" i="4"/>
  <c r="P3075" i="4"/>
  <c r="O3075" i="4"/>
  <c r="N3075" i="4"/>
  <c r="M3075" i="4"/>
  <c r="L3075" i="4"/>
  <c r="K3075" i="4"/>
  <c r="J3075" i="4"/>
  <c r="I3075" i="4"/>
  <c r="H3075" i="4"/>
  <c r="Q3074" i="4"/>
  <c r="P3074" i="4"/>
  <c r="O3074" i="4"/>
  <c r="N3074" i="4"/>
  <c r="M3074" i="4"/>
  <c r="L3074" i="4"/>
  <c r="K3074" i="4"/>
  <c r="J3074" i="4"/>
  <c r="I3074" i="4"/>
  <c r="H3074" i="4"/>
  <c r="Q3073" i="4"/>
  <c r="P3073" i="4"/>
  <c r="O3073" i="4"/>
  <c r="N3073" i="4"/>
  <c r="M3073" i="4"/>
  <c r="L3073" i="4"/>
  <c r="K3073" i="4"/>
  <c r="J3073" i="4"/>
  <c r="I3073" i="4"/>
  <c r="H3073" i="4"/>
  <c r="Q3072" i="4"/>
  <c r="P3072" i="4"/>
  <c r="O3072" i="4"/>
  <c r="N3072" i="4"/>
  <c r="M3072" i="4"/>
  <c r="L3072" i="4"/>
  <c r="K3072" i="4"/>
  <c r="J3072" i="4"/>
  <c r="I3072" i="4"/>
  <c r="H3072" i="4"/>
  <c r="Q3071" i="4"/>
  <c r="P3071" i="4"/>
  <c r="O3071" i="4"/>
  <c r="N3071" i="4"/>
  <c r="M3071" i="4"/>
  <c r="L3071" i="4"/>
  <c r="K3071" i="4"/>
  <c r="J3071" i="4"/>
  <c r="I3071" i="4"/>
  <c r="H3071" i="4"/>
  <c r="Q3070" i="4"/>
  <c r="P3070" i="4"/>
  <c r="O3070" i="4"/>
  <c r="N3070" i="4"/>
  <c r="M3070" i="4"/>
  <c r="L3070" i="4"/>
  <c r="K3070" i="4"/>
  <c r="J3070" i="4"/>
  <c r="I3070" i="4"/>
  <c r="H3070" i="4"/>
  <c r="Q3069" i="4"/>
  <c r="P3069" i="4"/>
  <c r="O3069" i="4"/>
  <c r="N3069" i="4"/>
  <c r="M3069" i="4"/>
  <c r="L3069" i="4"/>
  <c r="K3069" i="4"/>
  <c r="J3069" i="4"/>
  <c r="I3069" i="4"/>
  <c r="H3069" i="4"/>
  <c r="Q3068" i="4"/>
  <c r="P3068" i="4"/>
  <c r="O3068" i="4"/>
  <c r="N3068" i="4"/>
  <c r="M3068" i="4"/>
  <c r="L3068" i="4"/>
  <c r="K3068" i="4"/>
  <c r="J3068" i="4"/>
  <c r="I3068" i="4"/>
  <c r="H3068" i="4"/>
  <c r="Q3067" i="4"/>
  <c r="P3067" i="4"/>
  <c r="O3067" i="4"/>
  <c r="N3067" i="4"/>
  <c r="M3067" i="4"/>
  <c r="L3067" i="4"/>
  <c r="K3067" i="4"/>
  <c r="J3067" i="4"/>
  <c r="I3067" i="4"/>
  <c r="H3067" i="4"/>
  <c r="Q3066" i="4"/>
  <c r="P3066" i="4"/>
  <c r="O3066" i="4"/>
  <c r="N3066" i="4"/>
  <c r="M3066" i="4"/>
  <c r="L3066" i="4"/>
  <c r="K3066" i="4"/>
  <c r="J3066" i="4"/>
  <c r="I3066" i="4"/>
  <c r="H3066" i="4"/>
  <c r="Q3065" i="4"/>
  <c r="P3065" i="4"/>
  <c r="O3065" i="4"/>
  <c r="N3065" i="4"/>
  <c r="M3065" i="4"/>
  <c r="L3065" i="4"/>
  <c r="K3065" i="4"/>
  <c r="J3065" i="4"/>
  <c r="I3065" i="4"/>
  <c r="H3065" i="4"/>
  <c r="Q3064" i="4"/>
  <c r="P3064" i="4"/>
  <c r="O3064" i="4"/>
  <c r="N3064" i="4"/>
  <c r="M3064" i="4"/>
  <c r="L3064" i="4"/>
  <c r="K3064" i="4"/>
  <c r="J3064" i="4"/>
  <c r="I3064" i="4"/>
  <c r="H3064" i="4"/>
  <c r="Q3063" i="4"/>
  <c r="P3063" i="4"/>
  <c r="O3063" i="4"/>
  <c r="N3063" i="4"/>
  <c r="M3063" i="4"/>
  <c r="L3063" i="4"/>
  <c r="K3063" i="4"/>
  <c r="J3063" i="4"/>
  <c r="I3063" i="4"/>
  <c r="H3063" i="4"/>
  <c r="Q3062" i="4"/>
  <c r="P3062" i="4"/>
  <c r="O3062" i="4"/>
  <c r="N3062" i="4"/>
  <c r="M3062" i="4"/>
  <c r="L3062" i="4"/>
  <c r="K3062" i="4"/>
  <c r="J3062" i="4"/>
  <c r="I3062" i="4"/>
  <c r="H3062" i="4"/>
  <c r="Q3061" i="4"/>
  <c r="P3061" i="4"/>
  <c r="O3061" i="4"/>
  <c r="N3061" i="4"/>
  <c r="M3061" i="4"/>
  <c r="L3061" i="4"/>
  <c r="K3061" i="4"/>
  <c r="J3061" i="4"/>
  <c r="I3061" i="4"/>
  <c r="H3061" i="4"/>
  <c r="Q3060" i="4"/>
  <c r="P3060" i="4"/>
  <c r="O3060" i="4"/>
  <c r="N3060" i="4"/>
  <c r="M3060" i="4"/>
  <c r="L3060" i="4"/>
  <c r="K3060" i="4"/>
  <c r="J3060" i="4"/>
  <c r="I3060" i="4"/>
  <c r="H3060" i="4"/>
  <c r="Q3059" i="4"/>
  <c r="P3059" i="4"/>
  <c r="O3059" i="4"/>
  <c r="N3059" i="4"/>
  <c r="M3059" i="4"/>
  <c r="L3059" i="4"/>
  <c r="K3059" i="4"/>
  <c r="J3059" i="4"/>
  <c r="I3059" i="4"/>
  <c r="H3059" i="4"/>
  <c r="Q3058" i="4"/>
  <c r="P3058" i="4"/>
  <c r="O3058" i="4"/>
  <c r="N3058" i="4"/>
  <c r="M3058" i="4"/>
  <c r="L3058" i="4"/>
  <c r="K3058" i="4"/>
  <c r="J3058" i="4"/>
  <c r="I3058" i="4"/>
  <c r="H3058" i="4"/>
  <c r="Q3057" i="4"/>
  <c r="P3057" i="4"/>
  <c r="O3057" i="4"/>
  <c r="N3057" i="4"/>
  <c r="M3057" i="4"/>
  <c r="L3057" i="4"/>
  <c r="K3057" i="4"/>
  <c r="J3057" i="4"/>
  <c r="I3057" i="4"/>
  <c r="H3057" i="4"/>
  <c r="Q3056" i="4"/>
  <c r="P3056" i="4"/>
  <c r="O3056" i="4"/>
  <c r="N3056" i="4"/>
  <c r="M3056" i="4"/>
  <c r="L3056" i="4"/>
  <c r="K3056" i="4"/>
  <c r="J3056" i="4"/>
  <c r="I3056" i="4"/>
  <c r="H3056" i="4"/>
  <c r="Q3055" i="4"/>
  <c r="P3055" i="4"/>
  <c r="O3055" i="4"/>
  <c r="N3055" i="4"/>
  <c r="M3055" i="4"/>
  <c r="L3055" i="4"/>
  <c r="K3055" i="4"/>
  <c r="J3055" i="4"/>
  <c r="I3055" i="4"/>
  <c r="H3055" i="4"/>
  <c r="Q3054" i="4"/>
  <c r="P3054" i="4"/>
  <c r="O3054" i="4"/>
  <c r="N3054" i="4"/>
  <c r="M3054" i="4"/>
  <c r="L3054" i="4"/>
  <c r="K3054" i="4"/>
  <c r="J3054" i="4"/>
  <c r="I3054" i="4"/>
  <c r="H3054" i="4"/>
  <c r="Q3053" i="4"/>
  <c r="P3053" i="4"/>
  <c r="O3053" i="4"/>
  <c r="N3053" i="4"/>
  <c r="M3053" i="4"/>
  <c r="L3053" i="4"/>
  <c r="K3053" i="4"/>
  <c r="J3053" i="4"/>
  <c r="I3053" i="4"/>
  <c r="H3053" i="4"/>
  <c r="Q3052" i="4"/>
  <c r="P3052" i="4"/>
  <c r="O3052" i="4"/>
  <c r="N3052" i="4"/>
  <c r="M3052" i="4"/>
  <c r="L3052" i="4"/>
  <c r="K3052" i="4"/>
  <c r="J3052" i="4"/>
  <c r="I3052" i="4"/>
  <c r="H3052" i="4"/>
  <c r="Q3051" i="4"/>
  <c r="P3051" i="4"/>
  <c r="O3051" i="4"/>
  <c r="N3051" i="4"/>
  <c r="M3051" i="4"/>
  <c r="L3051" i="4"/>
  <c r="K3051" i="4"/>
  <c r="J3051" i="4"/>
  <c r="I3051" i="4"/>
  <c r="H3051" i="4"/>
  <c r="Q3050" i="4"/>
  <c r="P3050" i="4"/>
  <c r="O3050" i="4"/>
  <c r="N3050" i="4"/>
  <c r="M3050" i="4"/>
  <c r="L3050" i="4"/>
  <c r="K3050" i="4"/>
  <c r="J3050" i="4"/>
  <c r="I3050" i="4"/>
  <c r="H3050" i="4"/>
  <c r="Q3049" i="4"/>
  <c r="P3049" i="4"/>
  <c r="O3049" i="4"/>
  <c r="N3049" i="4"/>
  <c r="M3049" i="4"/>
  <c r="L3049" i="4"/>
  <c r="K3049" i="4"/>
  <c r="J3049" i="4"/>
  <c r="I3049" i="4"/>
  <c r="H3049" i="4"/>
  <c r="Q3048" i="4"/>
  <c r="P3048" i="4"/>
  <c r="O3048" i="4"/>
  <c r="N3048" i="4"/>
  <c r="M3048" i="4"/>
  <c r="L3048" i="4"/>
  <c r="K3048" i="4"/>
  <c r="J3048" i="4"/>
  <c r="I3048" i="4"/>
  <c r="H3048" i="4"/>
  <c r="Q3047" i="4"/>
  <c r="P3047" i="4"/>
  <c r="O3047" i="4"/>
  <c r="N3047" i="4"/>
  <c r="M3047" i="4"/>
  <c r="L3047" i="4"/>
  <c r="K3047" i="4"/>
  <c r="J3047" i="4"/>
  <c r="I3047" i="4"/>
  <c r="H3047" i="4"/>
  <c r="Q3046" i="4"/>
  <c r="P3046" i="4"/>
  <c r="O3046" i="4"/>
  <c r="N3046" i="4"/>
  <c r="M3046" i="4"/>
  <c r="L3046" i="4"/>
  <c r="K3046" i="4"/>
  <c r="J3046" i="4"/>
  <c r="I3046" i="4"/>
  <c r="H3046" i="4"/>
  <c r="Q3045" i="4"/>
  <c r="P3045" i="4"/>
  <c r="O3045" i="4"/>
  <c r="N3045" i="4"/>
  <c r="M3045" i="4"/>
  <c r="L3045" i="4"/>
  <c r="K3045" i="4"/>
  <c r="J3045" i="4"/>
  <c r="I3045" i="4"/>
  <c r="H3045" i="4"/>
  <c r="Q3044" i="4"/>
  <c r="P3044" i="4"/>
  <c r="O3044" i="4"/>
  <c r="N3044" i="4"/>
  <c r="M3044" i="4"/>
  <c r="L3044" i="4"/>
  <c r="K3044" i="4"/>
  <c r="J3044" i="4"/>
  <c r="I3044" i="4"/>
  <c r="H3044" i="4"/>
  <c r="Q3043" i="4"/>
  <c r="P3043" i="4"/>
  <c r="O3043" i="4"/>
  <c r="N3043" i="4"/>
  <c r="M3043" i="4"/>
  <c r="L3043" i="4"/>
  <c r="K3043" i="4"/>
  <c r="J3043" i="4"/>
  <c r="I3043" i="4"/>
  <c r="H3043" i="4"/>
  <c r="Q3042" i="4"/>
  <c r="P3042" i="4"/>
  <c r="O3042" i="4"/>
  <c r="N3042" i="4"/>
  <c r="M3042" i="4"/>
  <c r="L3042" i="4"/>
  <c r="K3042" i="4"/>
  <c r="J3042" i="4"/>
  <c r="I3042" i="4"/>
  <c r="H3042" i="4"/>
  <c r="Q3041" i="4"/>
  <c r="P3041" i="4"/>
  <c r="O3041" i="4"/>
  <c r="N3041" i="4"/>
  <c r="M3041" i="4"/>
  <c r="L3041" i="4"/>
  <c r="K3041" i="4"/>
  <c r="J3041" i="4"/>
  <c r="I3041" i="4"/>
  <c r="H3041" i="4"/>
  <c r="Q3040" i="4"/>
  <c r="P3040" i="4"/>
  <c r="O3040" i="4"/>
  <c r="N3040" i="4"/>
  <c r="M3040" i="4"/>
  <c r="L3040" i="4"/>
  <c r="K3040" i="4"/>
  <c r="J3040" i="4"/>
  <c r="I3040" i="4"/>
  <c r="H3040" i="4"/>
  <c r="Q3039" i="4"/>
  <c r="P3039" i="4"/>
  <c r="O3039" i="4"/>
  <c r="N3039" i="4"/>
  <c r="M3039" i="4"/>
  <c r="L3039" i="4"/>
  <c r="K3039" i="4"/>
  <c r="J3039" i="4"/>
  <c r="I3039" i="4"/>
  <c r="H3039" i="4"/>
  <c r="Q3038" i="4"/>
  <c r="P3038" i="4"/>
  <c r="O3038" i="4"/>
  <c r="N3038" i="4"/>
  <c r="M3038" i="4"/>
  <c r="L3038" i="4"/>
  <c r="K3038" i="4"/>
  <c r="J3038" i="4"/>
  <c r="I3038" i="4"/>
  <c r="H3038" i="4"/>
  <c r="Q3037" i="4"/>
  <c r="P3037" i="4"/>
  <c r="O3037" i="4"/>
  <c r="N3037" i="4"/>
  <c r="M3037" i="4"/>
  <c r="L3037" i="4"/>
  <c r="K3037" i="4"/>
  <c r="J3037" i="4"/>
  <c r="I3037" i="4"/>
  <c r="H3037" i="4"/>
  <c r="Q3036" i="4"/>
  <c r="P3036" i="4"/>
  <c r="O3036" i="4"/>
  <c r="N3036" i="4"/>
  <c r="M3036" i="4"/>
  <c r="L3036" i="4"/>
  <c r="K3036" i="4"/>
  <c r="J3036" i="4"/>
  <c r="I3036" i="4"/>
  <c r="H3036" i="4"/>
  <c r="Q3035" i="4"/>
  <c r="P3035" i="4"/>
  <c r="O3035" i="4"/>
  <c r="N3035" i="4"/>
  <c r="M3035" i="4"/>
  <c r="L3035" i="4"/>
  <c r="K3035" i="4"/>
  <c r="J3035" i="4"/>
  <c r="I3035" i="4"/>
  <c r="H3035" i="4"/>
  <c r="Q3034" i="4"/>
  <c r="P3034" i="4"/>
  <c r="O3034" i="4"/>
  <c r="N3034" i="4"/>
  <c r="M3034" i="4"/>
  <c r="L3034" i="4"/>
  <c r="K3034" i="4"/>
  <c r="J3034" i="4"/>
  <c r="I3034" i="4"/>
  <c r="H3034" i="4"/>
  <c r="Q3033" i="4"/>
  <c r="P3033" i="4"/>
  <c r="O3033" i="4"/>
  <c r="N3033" i="4"/>
  <c r="M3033" i="4"/>
  <c r="L3033" i="4"/>
  <c r="K3033" i="4"/>
  <c r="J3033" i="4"/>
  <c r="I3033" i="4"/>
  <c r="H3033" i="4"/>
  <c r="Q3032" i="4"/>
  <c r="P3032" i="4"/>
  <c r="O3032" i="4"/>
  <c r="N3032" i="4"/>
  <c r="M3032" i="4"/>
  <c r="L3032" i="4"/>
  <c r="K3032" i="4"/>
  <c r="J3032" i="4"/>
  <c r="I3032" i="4"/>
  <c r="H3032" i="4"/>
  <c r="Q3031" i="4"/>
  <c r="P3031" i="4"/>
  <c r="O3031" i="4"/>
  <c r="N3031" i="4"/>
  <c r="M3031" i="4"/>
  <c r="L3031" i="4"/>
  <c r="K3031" i="4"/>
  <c r="J3031" i="4"/>
  <c r="I3031" i="4"/>
  <c r="H3031" i="4"/>
  <c r="Q3030" i="4"/>
  <c r="P3030" i="4"/>
  <c r="O3030" i="4"/>
  <c r="N3030" i="4"/>
  <c r="M3030" i="4"/>
  <c r="L3030" i="4"/>
  <c r="K3030" i="4"/>
  <c r="J3030" i="4"/>
  <c r="I3030" i="4"/>
  <c r="H3030" i="4"/>
  <c r="Q3029" i="4"/>
  <c r="P3029" i="4"/>
  <c r="O3029" i="4"/>
  <c r="N3029" i="4"/>
  <c r="M3029" i="4"/>
  <c r="L3029" i="4"/>
  <c r="K3029" i="4"/>
  <c r="J3029" i="4"/>
  <c r="I3029" i="4"/>
  <c r="H3029" i="4"/>
  <c r="Q3028" i="4"/>
  <c r="P3028" i="4"/>
  <c r="O3028" i="4"/>
  <c r="N3028" i="4"/>
  <c r="M3028" i="4"/>
  <c r="L3028" i="4"/>
  <c r="K3028" i="4"/>
  <c r="J3028" i="4"/>
  <c r="I3028" i="4"/>
  <c r="H3028" i="4"/>
  <c r="Q3027" i="4"/>
  <c r="P3027" i="4"/>
  <c r="O3027" i="4"/>
  <c r="N3027" i="4"/>
  <c r="M3027" i="4"/>
  <c r="L3027" i="4"/>
  <c r="K3027" i="4"/>
  <c r="J3027" i="4"/>
  <c r="I3027" i="4"/>
  <c r="H3027" i="4"/>
  <c r="Q3026" i="4"/>
  <c r="P3026" i="4"/>
  <c r="O3026" i="4"/>
  <c r="N3026" i="4"/>
  <c r="M3026" i="4"/>
  <c r="L3026" i="4"/>
  <c r="K3026" i="4"/>
  <c r="J3026" i="4"/>
  <c r="I3026" i="4"/>
  <c r="H3026" i="4"/>
  <c r="Q3025" i="4"/>
  <c r="P3025" i="4"/>
  <c r="O3025" i="4"/>
  <c r="N3025" i="4"/>
  <c r="M3025" i="4"/>
  <c r="L3025" i="4"/>
  <c r="K3025" i="4"/>
  <c r="J3025" i="4"/>
  <c r="I3025" i="4"/>
  <c r="H3025" i="4"/>
  <c r="Q3024" i="4"/>
  <c r="P3024" i="4"/>
  <c r="O3024" i="4"/>
  <c r="N3024" i="4"/>
  <c r="M3024" i="4"/>
  <c r="L3024" i="4"/>
  <c r="K3024" i="4"/>
  <c r="J3024" i="4"/>
  <c r="I3024" i="4"/>
  <c r="H3024" i="4"/>
  <c r="Q3023" i="4"/>
  <c r="P3023" i="4"/>
  <c r="O3023" i="4"/>
  <c r="N3023" i="4"/>
  <c r="M3023" i="4"/>
  <c r="L3023" i="4"/>
  <c r="K3023" i="4"/>
  <c r="J3023" i="4"/>
  <c r="I3023" i="4"/>
  <c r="H3023" i="4"/>
  <c r="Q3022" i="4"/>
  <c r="P3022" i="4"/>
  <c r="O3022" i="4"/>
  <c r="N3022" i="4"/>
  <c r="M3022" i="4"/>
  <c r="L3022" i="4"/>
  <c r="K3022" i="4"/>
  <c r="J3022" i="4"/>
  <c r="I3022" i="4"/>
  <c r="H3022" i="4"/>
  <c r="Q3021" i="4"/>
  <c r="P3021" i="4"/>
  <c r="O3021" i="4"/>
  <c r="N3021" i="4"/>
  <c r="M3021" i="4"/>
  <c r="L3021" i="4"/>
  <c r="K3021" i="4"/>
  <c r="J3021" i="4"/>
  <c r="I3021" i="4"/>
  <c r="H3021" i="4"/>
  <c r="Q3020" i="4"/>
  <c r="P3020" i="4"/>
  <c r="O3020" i="4"/>
  <c r="N3020" i="4"/>
  <c r="M3020" i="4"/>
  <c r="L3020" i="4"/>
  <c r="K3020" i="4"/>
  <c r="J3020" i="4"/>
  <c r="I3020" i="4"/>
  <c r="H3020" i="4"/>
  <c r="Q3019" i="4"/>
  <c r="P3019" i="4"/>
  <c r="O3019" i="4"/>
  <c r="N3019" i="4"/>
  <c r="M3019" i="4"/>
  <c r="L3019" i="4"/>
  <c r="K3019" i="4"/>
  <c r="J3019" i="4"/>
  <c r="I3019" i="4"/>
  <c r="H3019" i="4"/>
  <c r="Q3018" i="4"/>
  <c r="P3018" i="4"/>
  <c r="O3018" i="4"/>
  <c r="N3018" i="4"/>
  <c r="M3018" i="4"/>
  <c r="L3018" i="4"/>
  <c r="K3018" i="4"/>
  <c r="J3018" i="4"/>
  <c r="I3018" i="4"/>
  <c r="H3018" i="4"/>
  <c r="Q3017" i="4"/>
  <c r="P3017" i="4"/>
  <c r="O3017" i="4"/>
  <c r="N3017" i="4"/>
  <c r="M3017" i="4"/>
  <c r="L3017" i="4"/>
  <c r="K3017" i="4"/>
  <c r="J3017" i="4"/>
  <c r="I3017" i="4"/>
  <c r="H3017" i="4"/>
  <c r="Q3016" i="4"/>
  <c r="P3016" i="4"/>
  <c r="O3016" i="4"/>
  <c r="N3016" i="4"/>
  <c r="M3016" i="4"/>
  <c r="L3016" i="4"/>
  <c r="K3016" i="4"/>
  <c r="J3016" i="4"/>
  <c r="I3016" i="4"/>
  <c r="H3016" i="4"/>
  <c r="Q3015" i="4"/>
  <c r="P3015" i="4"/>
  <c r="O3015" i="4"/>
  <c r="N3015" i="4"/>
  <c r="M3015" i="4"/>
  <c r="L3015" i="4"/>
  <c r="K3015" i="4"/>
  <c r="J3015" i="4"/>
  <c r="I3015" i="4"/>
  <c r="H3015" i="4"/>
  <c r="Q3014" i="4"/>
  <c r="P3014" i="4"/>
  <c r="O3014" i="4"/>
  <c r="N3014" i="4"/>
  <c r="M3014" i="4"/>
  <c r="L3014" i="4"/>
  <c r="K3014" i="4"/>
  <c r="J3014" i="4"/>
  <c r="I3014" i="4"/>
  <c r="H3014" i="4"/>
  <c r="Q3013" i="4"/>
  <c r="P3013" i="4"/>
  <c r="O3013" i="4"/>
  <c r="N3013" i="4"/>
  <c r="M3013" i="4"/>
  <c r="L3013" i="4"/>
  <c r="K3013" i="4"/>
  <c r="J3013" i="4"/>
  <c r="I3013" i="4"/>
  <c r="H3013" i="4"/>
  <c r="Q3012" i="4"/>
  <c r="P3012" i="4"/>
  <c r="O3012" i="4"/>
  <c r="N3012" i="4"/>
  <c r="M3012" i="4"/>
  <c r="L3012" i="4"/>
  <c r="K3012" i="4"/>
  <c r="J3012" i="4"/>
  <c r="I3012" i="4"/>
  <c r="H3012" i="4"/>
  <c r="Q3011" i="4"/>
  <c r="P3011" i="4"/>
  <c r="O3011" i="4"/>
  <c r="N3011" i="4"/>
  <c r="M3011" i="4"/>
  <c r="L3011" i="4"/>
  <c r="K3011" i="4"/>
  <c r="J3011" i="4"/>
  <c r="I3011" i="4"/>
  <c r="H3011" i="4"/>
  <c r="Q3010" i="4"/>
  <c r="P3010" i="4"/>
  <c r="O3010" i="4"/>
  <c r="N3010" i="4"/>
  <c r="M3010" i="4"/>
  <c r="L3010" i="4"/>
  <c r="K3010" i="4"/>
  <c r="J3010" i="4"/>
  <c r="I3010" i="4"/>
  <c r="H3010" i="4"/>
  <c r="Q3009" i="4"/>
  <c r="P3009" i="4"/>
  <c r="O3009" i="4"/>
  <c r="N3009" i="4"/>
  <c r="M3009" i="4"/>
  <c r="L3009" i="4"/>
  <c r="K3009" i="4"/>
  <c r="J3009" i="4"/>
  <c r="I3009" i="4"/>
  <c r="H3009" i="4"/>
  <c r="Q3008" i="4"/>
  <c r="P3008" i="4"/>
  <c r="O3008" i="4"/>
  <c r="N3008" i="4"/>
  <c r="M3008" i="4"/>
  <c r="L3008" i="4"/>
  <c r="K3008" i="4"/>
  <c r="J3008" i="4"/>
  <c r="I3008" i="4"/>
  <c r="H3008" i="4"/>
  <c r="Q3007" i="4"/>
  <c r="P3007" i="4"/>
  <c r="O3007" i="4"/>
  <c r="N3007" i="4"/>
  <c r="M3007" i="4"/>
  <c r="L3007" i="4"/>
  <c r="K3007" i="4"/>
  <c r="J3007" i="4"/>
  <c r="I3007" i="4"/>
  <c r="H3007" i="4"/>
  <c r="Q3006" i="4"/>
  <c r="P3006" i="4"/>
  <c r="O3006" i="4"/>
  <c r="N3006" i="4"/>
  <c r="M3006" i="4"/>
  <c r="L3006" i="4"/>
  <c r="K3006" i="4"/>
  <c r="J3006" i="4"/>
  <c r="I3006" i="4"/>
  <c r="H3006" i="4"/>
  <c r="Q3005" i="4"/>
  <c r="P3005" i="4"/>
  <c r="O3005" i="4"/>
  <c r="N3005" i="4"/>
  <c r="M3005" i="4"/>
  <c r="L3005" i="4"/>
  <c r="K3005" i="4"/>
  <c r="J3005" i="4"/>
  <c r="I3005" i="4"/>
  <c r="H3005" i="4"/>
  <c r="Q3004" i="4"/>
  <c r="P3004" i="4"/>
  <c r="O3004" i="4"/>
  <c r="N3004" i="4"/>
  <c r="M3004" i="4"/>
  <c r="L3004" i="4"/>
  <c r="K3004" i="4"/>
  <c r="J3004" i="4"/>
  <c r="I3004" i="4"/>
  <c r="H3004" i="4"/>
  <c r="Q3003" i="4"/>
  <c r="P3003" i="4"/>
  <c r="O3003" i="4"/>
  <c r="N3003" i="4"/>
  <c r="M3003" i="4"/>
  <c r="L3003" i="4"/>
  <c r="K3003" i="4"/>
  <c r="J3003" i="4"/>
  <c r="I3003" i="4"/>
  <c r="H3003" i="4"/>
  <c r="Q3002" i="4"/>
  <c r="P3002" i="4"/>
  <c r="O3002" i="4"/>
  <c r="N3002" i="4"/>
  <c r="M3002" i="4"/>
  <c r="L3002" i="4"/>
  <c r="K3002" i="4"/>
  <c r="J3002" i="4"/>
  <c r="I3002" i="4"/>
  <c r="H3002" i="4"/>
  <c r="Q3001" i="4"/>
  <c r="P3001" i="4"/>
  <c r="O3001" i="4"/>
  <c r="N3001" i="4"/>
  <c r="M3001" i="4"/>
  <c r="L3001" i="4"/>
  <c r="K3001" i="4"/>
  <c r="J3001" i="4"/>
  <c r="I3001" i="4"/>
  <c r="H3001" i="4"/>
  <c r="Q3000" i="4"/>
  <c r="P3000" i="4"/>
  <c r="O3000" i="4"/>
  <c r="N3000" i="4"/>
  <c r="M3000" i="4"/>
  <c r="L3000" i="4"/>
  <c r="K3000" i="4"/>
  <c r="J3000" i="4"/>
  <c r="I3000" i="4"/>
  <c r="H3000" i="4"/>
  <c r="Q2999" i="4"/>
  <c r="P2999" i="4"/>
  <c r="O2999" i="4"/>
  <c r="N2999" i="4"/>
  <c r="M2999" i="4"/>
  <c r="L2999" i="4"/>
  <c r="K2999" i="4"/>
  <c r="J2999" i="4"/>
  <c r="I2999" i="4"/>
  <c r="H2999" i="4"/>
  <c r="Q2998" i="4"/>
  <c r="P2998" i="4"/>
  <c r="O2998" i="4"/>
  <c r="N2998" i="4"/>
  <c r="M2998" i="4"/>
  <c r="L2998" i="4"/>
  <c r="K2998" i="4"/>
  <c r="J2998" i="4"/>
  <c r="I2998" i="4"/>
  <c r="H2998" i="4"/>
  <c r="Q2997" i="4"/>
  <c r="P2997" i="4"/>
  <c r="O2997" i="4"/>
  <c r="N2997" i="4"/>
  <c r="M2997" i="4"/>
  <c r="L2997" i="4"/>
  <c r="K2997" i="4"/>
  <c r="J2997" i="4"/>
  <c r="I2997" i="4"/>
  <c r="H2997" i="4"/>
  <c r="Q2996" i="4"/>
  <c r="P2996" i="4"/>
  <c r="O2996" i="4"/>
  <c r="N2996" i="4"/>
  <c r="M2996" i="4"/>
  <c r="L2996" i="4"/>
  <c r="K2996" i="4"/>
  <c r="J2996" i="4"/>
  <c r="I2996" i="4"/>
  <c r="H2996" i="4"/>
  <c r="Q2995" i="4"/>
  <c r="P2995" i="4"/>
  <c r="O2995" i="4"/>
  <c r="N2995" i="4"/>
  <c r="M2995" i="4"/>
  <c r="L2995" i="4"/>
  <c r="K2995" i="4"/>
  <c r="J2995" i="4"/>
  <c r="I2995" i="4"/>
  <c r="H2995" i="4"/>
  <c r="Q2994" i="4"/>
  <c r="P2994" i="4"/>
  <c r="O2994" i="4"/>
  <c r="N2994" i="4"/>
  <c r="M2994" i="4"/>
  <c r="L2994" i="4"/>
  <c r="K2994" i="4"/>
  <c r="J2994" i="4"/>
  <c r="I2994" i="4"/>
  <c r="H2994" i="4"/>
  <c r="Q2993" i="4"/>
  <c r="P2993" i="4"/>
  <c r="O2993" i="4"/>
  <c r="N2993" i="4"/>
  <c r="M2993" i="4"/>
  <c r="L2993" i="4"/>
  <c r="K2993" i="4"/>
  <c r="J2993" i="4"/>
  <c r="I2993" i="4"/>
  <c r="H2993" i="4"/>
  <c r="Q2992" i="4"/>
  <c r="P2992" i="4"/>
  <c r="O2992" i="4"/>
  <c r="N2992" i="4"/>
  <c r="M2992" i="4"/>
  <c r="L2992" i="4"/>
  <c r="K2992" i="4"/>
  <c r="J2992" i="4"/>
  <c r="I2992" i="4"/>
  <c r="H2992" i="4"/>
  <c r="Q2991" i="4"/>
  <c r="P2991" i="4"/>
  <c r="O2991" i="4"/>
  <c r="N2991" i="4"/>
  <c r="M2991" i="4"/>
  <c r="L2991" i="4"/>
  <c r="K2991" i="4"/>
  <c r="J2991" i="4"/>
  <c r="I2991" i="4"/>
  <c r="H2991" i="4"/>
  <c r="Q2990" i="4"/>
  <c r="P2990" i="4"/>
  <c r="O2990" i="4"/>
  <c r="N2990" i="4"/>
  <c r="M2990" i="4"/>
  <c r="L2990" i="4"/>
  <c r="K2990" i="4"/>
  <c r="J2990" i="4"/>
  <c r="I2990" i="4"/>
  <c r="H2990" i="4"/>
  <c r="Q2989" i="4"/>
  <c r="P2989" i="4"/>
  <c r="O2989" i="4"/>
  <c r="N2989" i="4"/>
  <c r="M2989" i="4"/>
  <c r="L2989" i="4"/>
  <c r="K2989" i="4"/>
  <c r="J2989" i="4"/>
  <c r="I2989" i="4"/>
  <c r="H2989" i="4"/>
  <c r="Q2988" i="4"/>
  <c r="P2988" i="4"/>
  <c r="O2988" i="4"/>
  <c r="N2988" i="4"/>
  <c r="M2988" i="4"/>
  <c r="L2988" i="4"/>
  <c r="K2988" i="4"/>
  <c r="J2988" i="4"/>
  <c r="I2988" i="4"/>
  <c r="H2988" i="4"/>
  <c r="Q2987" i="4"/>
  <c r="P2987" i="4"/>
  <c r="O2987" i="4"/>
  <c r="N2987" i="4"/>
  <c r="M2987" i="4"/>
  <c r="L2987" i="4"/>
  <c r="K2987" i="4"/>
  <c r="J2987" i="4"/>
  <c r="I2987" i="4"/>
  <c r="H2987" i="4"/>
  <c r="Q2986" i="4"/>
  <c r="P2986" i="4"/>
  <c r="O2986" i="4"/>
  <c r="N2986" i="4"/>
  <c r="M2986" i="4"/>
  <c r="L2986" i="4"/>
  <c r="K2986" i="4"/>
  <c r="J2986" i="4"/>
  <c r="I2986" i="4"/>
  <c r="H2986" i="4"/>
  <c r="Q2985" i="4"/>
  <c r="P2985" i="4"/>
  <c r="O2985" i="4"/>
  <c r="N2985" i="4"/>
  <c r="M2985" i="4"/>
  <c r="L2985" i="4"/>
  <c r="K2985" i="4"/>
  <c r="J2985" i="4"/>
  <c r="I2985" i="4"/>
  <c r="H2985" i="4"/>
  <c r="Q2984" i="4"/>
  <c r="P2984" i="4"/>
  <c r="O2984" i="4"/>
  <c r="N2984" i="4"/>
  <c r="M2984" i="4"/>
  <c r="L2984" i="4"/>
  <c r="K2984" i="4"/>
  <c r="J2984" i="4"/>
  <c r="I2984" i="4"/>
  <c r="H2984" i="4"/>
  <c r="Q2983" i="4"/>
  <c r="P2983" i="4"/>
  <c r="O2983" i="4"/>
  <c r="N2983" i="4"/>
  <c r="M2983" i="4"/>
  <c r="L2983" i="4"/>
  <c r="K2983" i="4"/>
  <c r="J2983" i="4"/>
  <c r="I2983" i="4"/>
  <c r="H2983" i="4"/>
  <c r="Q2982" i="4"/>
  <c r="P2982" i="4"/>
  <c r="O2982" i="4"/>
  <c r="N2982" i="4"/>
  <c r="M2982" i="4"/>
  <c r="L2982" i="4"/>
  <c r="K2982" i="4"/>
  <c r="J2982" i="4"/>
  <c r="I2982" i="4"/>
  <c r="H2982" i="4"/>
  <c r="Q2981" i="4"/>
  <c r="P2981" i="4"/>
  <c r="O2981" i="4"/>
  <c r="N2981" i="4"/>
  <c r="M2981" i="4"/>
  <c r="L2981" i="4"/>
  <c r="K2981" i="4"/>
  <c r="J2981" i="4"/>
  <c r="I2981" i="4"/>
  <c r="H2981" i="4"/>
  <c r="Q2980" i="4"/>
  <c r="P2980" i="4"/>
  <c r="O2980" i="4"/>
  <c r="N2980" i="4"/>
  <c r="M2980" i="4"/>
  <c r="L2980" i="4"/>
  <c r="K2980" i="4"/>
  <c r="J2980" i="4"/>
  <c r="I2980" i="4"/>
  <c r="H2980" i="4"/>
  <c r="Q2979" i="4"/>
  <c r="P2979" i="4"/>
  <c r="O2979" i="4"/>
  <c r="N2979" i="4"/>
  <c r="M2979" i="4"/>
  <c r="L2979" i="4"/>
  <c r="K2979" i="4"/>
  <c r="J2979" i="4"/>
  <c r="I2979" i="4"/>
  <c r="H2979" i="4"/>
  <c r="Q2978" i="4"/>
  <c r="P2978" i="4"/>
  <c r="O2978" i="4"/>
  <c r="N2978" i="4"/>
  <c r="M2978" i="4"/>
  <c r="L2978" i="4"/>
  <c r="K2978" i="4"/>
  <c r="J2978" i="4"/>
  <c r="I2978" i="4"/>
  <c r="H2978" i="4"/>
  <c r="Q2977" i="4"/>
  <c r="P2977" i="4"/>
  <c r="O2977" i="4"/>
  <c r="N2977" i="4"/>
  <c r="M2977" i="4"/>
  <c r="L2977" i="4"/>
  <c r="K2977" i="4"/>
  <c r="J2977" i="4"/>
  <c r="I2977" i="4"/>
  <c r="H2977" i="4"/>
  <c r="Q2976" i="4"/>
  <c r="P2976" i="4"/>
  <c r="O2976" i="4"/>
  <c r="N2976" i="4"/>
  <c r="M2976" i="4"/>
  <c r="L2976" i="4"/>
  <c r="K2976" i="4"/>
  <c r="J2976" i="4"/>
  <c r="I2976" i="4"/>
  <c r="H2976" i="4"/>
  <c r="Q2975" i="4"/>
  <c r="P2975" i="4"/>
  <c r="O2975" i="4"/>
  <c r="N2975" i="4"/>
  <c r="M2975" i="4"/>
  <c r="L2975" i="4"/>
  <c r="K2975" i="4"/>
  <c r="J2975" i="4"/>
  <c r="I2975" i="4"/>
  <c r="H2975" i="4"/>
  <c r="Q2974" i="4"/>
  <c r="P2974" i="4"/>
  <c r="O2974" i="4"/>
  <c r="N2974" i="4"/>
  <c r="M2974" i="4"/>
  <c r="L2974" i="4"/>
  <c r="K2974" i="4"/>
  <c r="J2974" i="4"/>
  <c r="I2974" i="4"/>
  <c r="H2974" i="4"/>
  <c r="Q2973" i="4"/>
  <c r="P2973" i="4"/>
  <c r="O2973" i="4"/>
  <c r="N2973" i="4"/>
  <c r="M2973" i="4"/>
  <c r="L2973" i="4"/>
  <c r="K2973" i="4"/>
  <c r="J2973" i="4"/>
  <c r="I2973" i="4"/>
  <c r="H2973" i="4"/>
  <c r="Q2972" i="4"/>
  <c r="P2972" i="4"/>
  <c r="O2972" i="4"/>
  <c r="N2972" i="4"/>
  <c r="M2972" i="4"/>
  <c r="L2972" i="4"/>
  <c r="K2972" i="4"/>
  <c r="J2972" i="4"/>
  <c r="I2972" i="4"/>
  <c r="H2972" i="4"/>
  <c r="Q2971" i="4"/>
  <c r="P2971" i="4"/>
  <c r="O2971" i="4"/>
  <c r="N2971" i="4"/>
  <c r="M2971" i="4"/>
  <c r="L2971" i="4"/>
  <c r="K2971" i="4"/>
  <c r="J2971" i="4"/>
  <c r="I2971" i="4"/>
  <c r="H2971" i="4"/>
  <c r="Q2970" i="4"/>
  <c r="P2970" i="4"/>
  <c r="O2970" i="4"/>
  <c r="N2970" i="4"/>
  <c r="M2970" i="4"/>
  <c r="L2970" i="4"/>
  <c r="K2970" i="4"/>
  <c r="J2970" i="4"/>
  <c r="I2970" i="4"/>
  <c r="H2970" i="4"/>
  <c r="Q2969" i="4"/>
  <c r="P2969" i="4"/>
  <c r="O2969" i="4"/>
  <c r="N2969" i="4"/>
  <c r="M2969" i="4"/>
  <c r="L2969" i="4"/>
  <c r="K2969" i="4"/>
  <c r="J2969" i="4"/>
  <c r="I2969" i="4"/>
  <c r="H2969" i="4"/>
  <c r="Q2968" i="4"/>
  <c r="P2968" i="4"/>
  <c r="O2968" i="4"/>
  <c r="N2968" i="4"/>
  <c r="M2968" i="4"/>
  <c r="L2968" i="4"/>
  <c r="K2968" i="4"/>
  <c r="J2968" i="4"/>
  <c r="I2968" i="4"/>
  <c r="H2968" i="4"/>
  <c r="Q2967" i="4"/>
  <c r="P2967" i="4"/>
  <c r="O2967" i="4"/>
  <c r="N2967" i="4"/>
  <c r="M2967" i="4"/>
  <c r="L2967" i="4"/>
  <c r="K2967" i="4"/>
  <c r="J2967" i="4"/>
  <c r="I2967" i="4"/>
  <c r="H2967" i="4"/>
  <c r="Q2966" i="4"/>
  <c r="P2966" i="4"/>
  <c r="O2966" i="4"/>
  <c r="N2966" i="4"/>
  <c r="M2966" i="4"/>
  <c r="L2966" i="4"/>
  <c r="K2966" i="4"/>
  <c r="J2966" i="4"/>
  <c r="I2966" i="4"/>
  <c r="H2966" i="4"/>
  <c r="Q2965" i="4"/>
  <c r="P2965" i="4"/>
  <c r="O2965" i="4"/>
  <c r="N2965" i="4"/>
  <c r="M2965" i="4"/>
  <c r="L2965" i="4"/>
  <c r="K2965" i="4"/>
  <c r="J2965" i="4"/>
  <c r="I2965" i="4"/>
  <c r="H2965" i="4"/>
  <c r="Q2964" i="4"/>
  <c r="P2964" i="4"/>
  <c r="O2964" i="4"/>
  <c r="N2964" i="4"/>
  <c r="M2964" i="4"/>
  <c r="L2964" i="4"/>
  <c r="K2964" i="4"/>
  <c r="J2964" i="4"/>
  <c r="I2964" i="4"/>
  <c r="H2964" i="4"/>
  <c r="Q2963" i="4"/>
  <c r="P2963" i="4"/>
  <c r="O2963" i="4"/>
  <c r="N2963" i="4"/>
  <c r="M2963" i="4"/>
  <c r="L2963" i="4"/>
  <c r="K2963" i="4"/>
  <c r="J2963" i="4"/>
  <c r="I2963" i="4"/>
  <c r="H2963" i="4"/>
  <c r="Q2962" i="4"/>
  <c r="P2962" i="4"/>
  <c r="O2962" i="4"/>
  <c r="N2962" i="4"/>
  <c r="M2962" i="4"/>
  <c r="L2962" i="4"/>
  <c r="K2962" i="4"/>
  <c r="J2962" i="4"/>
  <c r="I2962" i="4"/>
  <c r="H2962" i="4"/>
  <c r="Q2961" i="4"/>
  <c r="P2961" i="4"/>
  <c r="O2961" i="4"/>
  <c r="N2961" i="4"/>
  <c r="M2961" i="4"/>
  <c r="L2961" i="4"/>
  <c r="K2961" i="4"/>
  <c r="J2961" i="4"/>
  <c r="I2961" i="4"/>
  <c r="H2961" i="4"/>
  <c r="Q2960" i="4"/>
  <c r="P2960" i="4"/>
  <c r="O2960" i="4"/>
  <c r="N2960" i="4"/>
  <c r="M2960" i="4"/>
  <c r="L2960" i="4"/>
  <c r="K2960" i="4"/>
  <c r="J2960" i="4"/>
  <c r="I2960" i="4"/>
  <c r="H2960" i="4"/>
  <c r="Q2959" i="4"/>
  <c r="P2959" i="4"/>
  <c r="O2959" i="4"/>
  <c r="N2959" i="4"/>
  <c r="M2959" i="4"/>
  <c r="L2959" i="4"/>
  <c r="K2959" i="4"/>
  <c r="J2959" i="4"/>
  <c r="I2959" i="4"/>
  <c r="H2959" i="4"/>
  <c r="Q2958" i="4"/>
  <c r="P2958" i="4"/>
  <c r="O2958" i="4"/>
  <c r="N2958" i="4"/>
  <c r="M2958" i="4"/>
  <c r="L2958" i="4"/>
  <c r="K2958" i="4"/>
  <c r="J2958" i="4"/>
  <c r="I2958" i="4"/>
  <c r="H2958" i="4"/>
  <c r="Q2957" i="4"/>
  <c r="P2957" i="4"/>
  <c r="O2957" i="4"/>
  <c r="N2957" i="4"/>
  <c r="M2957" i="4"/>
  <c r="L2957" i="4"/>
  <c r="K2957" i="4"/>
  <c r="J2957" i="4"/>
  <c r="I2957" i="4"/>
  <c r="H2957" i="4"/>
  <c r="Q2956" i="4"/>
  <c r="P2956" i="4"/>
  <c r="O2956" i="4"/>
  <c r="N2956" i="4"/>
  <c r="M2956" i="4"/>
  <c r="L2956" i="4"/>
  <c r="K2956" i="4"/>
  <c r="J2956" i="4"/>
  <c r="I2956" i="4"/>
  <c r="H2956" i="4"/>
  <c r="Q2955" i="4"/>
  <c r="P2955" i="4"/>
  <c r="O2955" i="4"/>
  <c r="N2955" i="4"/>
  <c r="M2955" i="4"/>
  <c r="L2955" i="4"/>
  <c r="K2955" i="4"/>
  <c r="J2955" i="4"/>
  <c r="I2955" i="4"/>
  <c r="H2955" i="4"/>
  <c r="Q2954" i="4"/>
  <c r="P2954" i="4"/>
  <c r="O2954" i="4"/>
  <c r="N2954" i="4"/>
  <c r="M2954" i="4"/>
  <c r="L2954" i="4"/>
  <c r="K2954" i="4"/>
  <c r="J2954" i="4"/>
  <c r="I2954" i="4"/>
  <c r="H2954" i="4"/>
  <c r="Q2953" i="4"/>
  <c r="P2953" i="4"/>
  <c r="O2953" i="4"/>
  <c r="N2953" i="4"/>
  <c r="M2953" i="4"/>
  <c r="L2953" i="4"/>
  <c r="K2953" i="4"/>
  <c r="J2953" i="4"/>
  <c r="I2953" i="4"/>
  <c r="H2953" i="4"/>
  <c r="Q2952" i="4"/>
  <c r="P2952" i="4"/>
  <c r="O2952" i="4"/>
  <c r="N2952" i="4"/>
  <c r="M2952" i="4"/>
  <c r="L2952" i="4"/>
  <c r="K2952" i="4"/>
  <c r="J2952" i="4"/>
  <c r="I2952" i="4"/>
  <c r="H2952" i="4"/>
  <c r="Q2951" i="4"/>
  <c r="P2951" i="4"/>
  <c r="O2951" i="4"/>
  <c r="N2951" i="4"/>
  <c r="M2951" i="4"/>
  <c r="L2951" i="4"/>
  <c r="K2951" i="4"/>
  <c r="J2951" i="4"/>
  <c r="I2951" i="4"/>
  <c r="H2951" i="4"/>
  <c r="Q2950" i="4"/>
  <c r="P2950" i="4"/>
  <c r="O2950" i="4"/>
  <c r="N2950" i="4"/>
  <c r="M2950" i="4"/>
  <c r="L2950" i="4"/>
  <c r="K2950" i="4"/>
  <c r="J2950" i="4"/>
  <c r="I2950" i="4"/>
  <c r="H2950" i="4"/>
  <c r="Q2949" i="4"/>
  <c r="P2949" i="4"/>
  <c r="O2949" i="4"/>
  <c r="N2949" i="4"/>
  <c r="M2949" i="4"/>
  <c r="L2949" i="4"/>
  <c r="K2949" i="4"/>
  <c r="J2949" i="4"/>
  <c r="I2949" i="4"/>
  <c r="H2949" i="4"/>
  <c r="Q2948" i="4"/>
  <c r="P2948" i="4"/>
  <c r="O2948" i="4"/>
  <c r="N2948" i="4"/>
  <c r="M2948" i="4"/>
  <c r="L2948" i="4"/>
  <c r="K2948" i="4"/>
  <c r="J2948" i="4"/>
  <c r="I2948" i="4"/>
  <c r="H2948" i="4"/>
  <c r="Q2947" i="4"/>
  <c r="P2947" i="4"/>
  <c r="O2947" i="4"/>
  <c r="N2947" i="4"/>
  <c r="M2947" i="4"/>
  <c r="L2947" i="4"/>
  <c r="K2947" i="4"/>
  <c r="J2947" i="4"/>
  <c r="I2947" i="4"/>
  <c r="H2947" i="4"/>
  <c r="Q2946" i="4"/>
  <c r="P2946" i="4"/>
  <c r="O2946" i="4"/>
  <c r="N2946" i="4"/>
  <c r="M2946" i="4"/>
  <c r="L2946" i="4"/>
  <c r="K2946" i="4"/>
  <c r="J2946" i="4"/>
  <c r="I2946" i="4"/>
  <c r="H2946" i="4"/>
  <c r="Q2945" i="4"/>
  <c r="P2945" i="4"/>
  <c r="O2945" i="4"/>
  <c r="N2945" i="4"/>
  <c r="M2945" i="4"/>
  <c r="L2945" i="4"/>
  <c r="K2945" i="4"/>
  <c r="J2945" i="4"/>
  <c r="I2945" i="4"/>
  <c r="H2945" i="4"/>
  <c r="Q2944" i="4"/>
  <c r="P2944" i="4"/>
  <c r="O2944" i="4"/>
  <c r="N2944" i="4"/>
  <c r="M2944" i="4"/>
  <c r="L2944" i="4"/>
  <c r="K2944" i="4"/>
  <c r="J2944" i="4"/>
  <c r="I2944" i="4"/>
  <c r="H2944" i="4"/>
  <c r="Q2943" i="4"/>
  <c r="P2943" i="4"/>
  <c r="O2943" i="4"/>
  <c r="N2943" i="4"/>
  <c r="M2943" i="4"/>
  <c r="L2943" i="4"/>
  <c r="K2943" i="4"/>
  <c r="J2943" i="4"/>
  <c r="I2943" i="4"/>
  <c r="H2943" i="4"/>
  <c r="Q2942" i="4"/>
  <c r="P2942" i="4"/>
  <c r="O2942" i="4"/>
  <c r="N2942" i="4"/>
  <c r="M2942" i="4"/>
  <c r="L2942" i="4"/>
  <c r="K2942" i="4"/>
  <c r="J2942" i="4"/>
  <c r="I2942" i="4"/>
  <c r="H2942" i="4"/>
  <c r="Q2941" i="4"/>
  <c r="P2941" i="4"/>
  <c r="O2941" i="4"/>
  <c r="N2941" i="4"/>
  <c r="M2941" i="4"/>
  <c r="L2941" i="4"/>
  <c r="K2941" i="4"/>
  <c r="J2941" i="4"/>
  <c r="I2941" i="4"/>
  <c r="H2941" i="4"/>
  <c r="Q2940" i="4"/>
  <c r="P2940" i="4"/>
  <c r="O2940" i="4"/>
  <c r="N2940" i="4"/>
  <c r="M2940" i="4"/>
  <c r="L2940" i="4"/>
  <c r="K2940" i="4"/>
  <c r="J2940" i="4"/>
  <c r="I2940" i="4"/>
  <c r="H2940" i="4"/>
  <c r="Q2939" i="4"/>
  <c r="P2939" i="4"/>
  <c r="O2939" i="4"/>
  <c r="N2939" i="4"/>
  <c r="M2939" i="4"/>
  <c r="L2939" i="4"/>
  <c r="K2939" i="4"/>
  <c r="J2939" i="4"/>
  <c r="I2939" i="4"/>
  <c r="H2939" i="4"/>
  <c r="Q2938" i="4"/>
  <c r="P2938" i="4"/>
  <c r="O2938" i="4"/>
  <c r="N2938" i="4"/>
  <c r="M2938" i="4"/>
  <c r="L2938" i="4"/>
  <c r="K2938" i="4"/>
  <c r="J2938" i="4"/>
  <c r="I2938" i="4"/>
  <c r="H2938" i="4"/>
  <c r="Q2937" i="4"/>
  <c r="P2937" i="4"/>
  <c r="O2937" i="4"/>
  <c r="N2937" i="4"/>
  <c r="M2937" i="4"/>
  <c r="L2937" i="4"/>
  <c r="K2937" i="4"/>
  <c r="J2937" i="4"/>
  <c r="I2937" i="4"/>
  <c r="H2937" i="4"/>
  <c r="Q2936" i="4"/>
  <c r="P2936" i="4"/>
  <c r="O2936" i="4"/>
  <c r="N2936" i="4"/>
  <c r="M2936" i="4"/>
  <c r="L2936" i="4"/>
  <c r="K2936" i="4"/>
  <c r="J2936" i="4"/>
  <c r="I2936" i="4"/>
  <c r="H2936" i="4"/>
  <c r="Q2935" i="4"/>
  <c r="P2935" i="4"/>
  <c r="O2935" i="4"/>
  <c r="N2935" i="4"/>
  <c r="M2935" i="4"/>
  <c r="L2935" i="4"/>
  <c r="K2935" i="4"/>
  <c r="J2935" i="4"/>
  <c r="I2935" i="4"/>
  <c r="H2935" i="4"/>
  <c r="Q2934" i="4"/>
  <c r="P2934" i="4"/>
  <c r="O2934" i="4"/>
  <c r="N2934" i="4"/>
  <c r="M2934" i="4"/>
  <c r="L2934" i="4"/>
  <c r="K2934" i="4"/>
  <c r="J2934" i="4"/>
  <c r="I2934" i="4"/>
  <c r="H2934" i="4"/>
  <c r="Q2933" i="4"/>
  <c r="P2933" i="4"/>
  <c r="O2933" i="4"/>
  <c r="N2933" i="4"/>
  <c r="M2933" i="4"/>
  <c r="L2933" i="4"/>
  <c r="K2933" i="4"/>
  <c r="J2933" i="4"/>
  <c r="I2933" i="4"/>
  <c r="H2933" i="4"/>
  <c r="Q2932" i="4"/>
  <c r="P2932" i="4"/>
  <c r="O2932" i="4"/>
  <c r="N2932" i="4"/>
  <c r="M2932" i="4"/>
  <c r="L2932" i="4"/>
  <c r="K2932" i="4"/>
  <c r="J2932" i="4"/>
  <c r="I2932" i="4"/>
  <c r="H2932" i="4"/>
  <c r="Q2931" i="4"/>
  <c r="P2931" i="4"/>
  <c r="O2931" i="4"/>
  <c r="N2931" i="4"/>
  <c r="M2931" i="4"/>
  <c r="L2931" i="4"/>
  <c r="K2931" i="4"/>
  <c r="J2931" i="4"/>
  <c r="I2931" i="4"/>
  <c r="H2931" i="4"/>
  <c r="Q2930" i="4"/>
  <c r="P2930" i="4"/>
  <c r="O2930" i="4"/>
  <c r="N2930" i="4"/>
  <c r="M2930" i="4"/>
  <c r="L2930" i="4"/>
  <c r="K2930" i="4"/>
  <c r="J2930" i="4"/>
  <c r="I2930" i="4"/>
  <c r="H2930" i="4"/>
  <c r="Q2929" i="4"/>
  <c r="P2929" i="4"/>
  <c r="O2929" i="4"/>
  <c r="N2929" i="4"/>
  <c r="M2929" i="4"/>
  <c r="L2929" i="4"/>
  <c r="K2929" i="4"/>
  <c r="J2929" i="4"/>
  <c r="I2929" i="4"/>
  <c r="H2929" i="4"/>
  <c r="Q2928" i="4"/>
  <c r="P2928" i="4"/>
  <c r="O2928" i="4"/>
  <c r="N2928" i="4"/>
  <c r="M2928" i="4"/>
  <c r="L2928" i="4"/>
  <c r="K2928" i="4"/>
  <c r="J2928" i="4"/>
  <c r="I2928" i="4"/>
  <c r="H2928" i="4"/>
  <c r="Q2927" i="4"/>
  <c r="P2927" i="4"/>
  <c r="O2927" i="4"/>
  <c r="N2927" i="4"/>
  <c r="M2927" i="4"/>
  <c r="L2927" i="4"/>
  <c r="K2927" i="4"/>
  <c r="J2927" i="4"/>
  <c r="I2927" i="4"/>
  <c r="H2927" i="4"/>
  <c r="Q2926" i="4"/>
  <c r="P2926" i="4"/>
  <c r="O2926" i="4"/>
  <c r="N2926" i="4"/>
  <c r="M2926" i="4"/>
  <c r="L2926" i="4"/>
  <c r="K2926" i="4"/>
  <c r="J2926" i="4"/>
  <c r="I2926" i="4"/>
  <c r="H2926" i="4"/>
  <c r="Q2925" i="4"/>
  <c r="P2925" i="4"/>
  <c r="O2925" i="4"/>
  <c r="N2925" i="4"/>
  <c r="M2925" i="4"/>
  <c r="L2925" i="4"/>
  <c r="K2925" i="4"/>
  <c r="J2925" i="4"/>
  <c r="I2925" i="4"/>
  <c r="H2925" i="4"/>
  <c r="Q2924" i="4"/>
  <c r="P2924" i="4"/>
  <c r="O2924" i="4"/>
  <c r="N2924" i="4"/>
  <c r="M2924" i="4"/>
  <c r="L2924" i="4"/>
  <c r="K2924" i="4"/>
  <c r="J2924" i="4"/>
  <c r="I2924" i="4"/>
  <c r="H2924" i="4"/>
  <c r="Q2923" i="4"/>
  <c r="P2923" i="4"/>
  <c r="O2923" i="4"/>
  <c r="N2923" i="4"/>
  <c r="M2923" i="4"/>
  <c r="L2923" i="4"/>
  <c r="K2923" i="4"/>
  <c r="J2923" i="4"/>
  <c r="I2923" i="4"/>
  <c r="H2923" i="4"/>
  <c r="Q2922" i="4"/>
  <c r="P2922" i="4"/>
  <c r="O2922" i="4"/>
  <c r="N2922" i="4"/>
  <c r="M2922" i="4"/>
  <c r="L2922" i="4"/>
  <c r="K2922" i="4"/>
  <c r="J2922" i="4"/>
  <c r="I2922" i="4"/>
  <c r="H2922" i="4"/>
  <c r="Q2921" i="4"/>
  <c r="P2921" i="4"/>
  <c r="O2921" i="4"/>
  <c r="N2921" i="4"/>
  <c r="M2921" i="4"/>
  <c r="L2921" i="4"/>
  <c r="K2921" i="4"/>
  <c r="J2921" i="4"/>
  <c r="I2921" i="4"/>
  <c r="H2921" i="4"/>
  <c r="Q2920" i="4"/>
  <c r="P2920" i="4"/>
  <c r="O2920" i="4"/>
  <c r="N2920" i="4"/>
  <c r="M2920" i="4"/>
  <c r="L2920" i="4"/>
  <c r="K2920" i="4"/>
  <c r="J2920" i="4"/>
  <c r="I2920" i="4"/>
  <c r="H2920" i="4"/>
  <c r="Q2919" i="4"/>
  <c r="P2919" i="4"/>
  <c r="O2919" i="4"/>
  <c r="N2919" i="4"/>
  <c r="M2919" i="4"/>
  <c r="L2919" i="4"/>
  <c r="K2919" i="4"/>
  <c r="J2919" i="4"/>
  <c r="I2919" i="4"/>
  <c r="H2919" i="4"/>
  <c r="Q2918" i="4"/>
  <c r="P2918" i="4"/>
  <c r="O2918" i="4"/>
  <c r="N2918" i="4"/>
  <c r="M2918" i="4"/>
  <c r="L2918" i="4"/>
  <c r="K2918" i="4"/>
  <c r="J2918" i="4"/>
  <c r="I2918" i="4"/>
  <c r="H2918" i="4"/>
  <c r="Q2917" i="4"/>
  <c r="P2917" i="4"/>
  <c r="O2917" i="4"/>
  <c r="N2917" i="4"/>
  <c r="M2917" i="4"/>
  <c r="L2917" i="4"/>
  <c r="K2917" i="4"/>
  <c r="J2917" i="4"/>
  <c r="I2917" i="4"/>
  <c r="H2917" i="4"/>
  <c r="Q2916" i="4"/>
  <c r="P2916" i="4"/>
  <c r="O2916" i="4"/>
  <c r="N2916" i="4"/>
  <c r="M2916" i="4"/>
  <c r="L2916" i="4"/>
  <c r="K2916" i="4"/>
  <c r="J2916" i="4"/>
  <c r="I2916" i="4"/>
  <c r="H2916" i="4"/>
  <c r="Q2915" i="4"/>
  <c r="P2915" i="4"/>
  <c r="O2915" i="4"/>
  <c r="N2915" i="4"/>
  <c r="M2915" i="4"/>
  <c r="L2915" i="4"/>
  <c r="K2915" i="4"/>
  <c r="J2915" i="4"/>
  <c r="I2915" i="4"/>
  <c r="H2915" i="4"/>
  <c r="Q2914" i="4"/>
  <c r="P2914" i="4"/>
  <c r="O2914" i="4"/>
  <c r="N2914" i="4"/>
  <c r="M2914" i="4"/>
  <c r="L2914" i="4"/>
  <c r="K2914" i="4"/>
  <c r="J2914" i="4"/>
  <c r="I2914" i="4"/>
  <c r="H2914" i="4"/>
  <c r="Q2913" i="4"/>
  <c r="P2913" i="4"/>
  <c r="O2913" i="4"/>
  <c r="N2913" i="4"/>
  <c r="M2913" i="4"/>
  <c r="L2913" i="4"/>
  <c r="K2913" i="4"/>
  <c r="J2913" i="4"/>
  <c r="I2913" i="4"/>
  <c r="H2913" i="4"/>
  <c r="Q2912" i="4"/>
  <c r="P2912" i="4"/>
  <c r="O2912" i="4"/>
  <c r="N2912" i="4"/>
  <c r="M2912" i="4"/>
  <c r="L2912" i="4"/>
  <c r="K2912" i="4"/>
  <c r="J2912" i="4"/>
  <c r="I2912" i="4"/>
  <c r="H2912" i="4"/>
  <c r="Q2911" i="4"/>
  <c r="P2911" i="4"/>
  <c r="O2911" i="4"/>
  <c r="N2911" i="4"/>
  <c r="M2911" i="4"/>
  <c r="L2911" i="4"/>
  <c r="K2911" i="4"/>
  <c r="J2911" i="4"/>
  <c r="I2911" i="4"/>
  <c r="H2911" i="4"/>
  <c r="Q2910" i="4"/>
  <c r="P2910" i="4"/>
  <c r="O2910" i="4"/>
  <c r="N2910" i="4"/>
  <c r="M2910" i="4"/>
  <c r="L2910" i="4"/>
  <c r="K2910" i="4"/>
  <c r="J2910" i="4"/>
  <c r="I2910" i="4"/>
  <c r="H2910" i="4"/>
  <c r="Q2909" i="4"/>
  <c r="P2909" i="4"/>
  <c r="O2909" i="4"/>
  <c r="N2909" i="4"/>
  <c r="M2909" i="4"/>
  <c r="L2909" i="4"/>
  <c r="K2909" i="4"/>
  <c r="J2909" i="4"/>
  <c r="I2909" i="4"/>
  <c r="H2909" i="4"/>
  <c r="Q2908" i="4"/>
  <c r="P2908" i="4"/>
  <c r="O2908" i="4"/>
  <c r="N2908" i="4"/>
  <c r="M2908" i="4"/>
  <c r="L2908" i="4"/>
  <c r="K2908" i="4"/>
  <c r="J2908" i="4"/>
  <c r="I2908" i="4"/>
  <c r="H2908" i="4"/>
  <c r="Q2907" i="4"/>
  <c r="P2907" i="4"/>
  <c r="O2907" i="4"/>
  <c r="N2907" i="4"/>
  <c r="M2907" i="4"/>
  <c r="L2907" i="4"/>
  <c r="K2907" i="4"/>
  <c r="J2907" i="4"/>
  <c r="I2907" i="4"/>
  <c r="H2907" i="4"/>
  <c r="Q2906" i="4"/>
  <c r="P2906" i="4"/>
  <c r="O2906" i="4"/>
  <c r="N2906" i="4"/>
  <c r="M2906" i="4"/>
  <c r="L2906" i="4"/>
  <c r="K2906" i="4"/>
  <c r="J2906" i="4"/>
  <c r="I2906" i="4"/>
  <c r="H2906" i="4"/>
  <c r="Q2905" i="4"/>
  <c r="P2905" i="4"/>
  <c r="O2905" i="4"/>
  <c r="N2905" i="4"/>
  <c r="M2905" i="4"/>
  <c r="L2905" i="4"/>
  <c r="K2905" i="4"/>
  <c r="J2905" i="4"/>
  <c r="I2905" i="4"/>
  <c r="H2905" i="4"/>
  <c r="Q2904" i="4"/>
  <c r="P2904" i="4"/>
  <c r="O2904" i="4"/>
  <c r="N2904" i="4"/>
  <c r="M2904" i="4"/>
  <c r="L2904" i="4"/>
  <c r="K2904" i="4"/>
  <c r="J2904" i="4"/>
  <c r="I2904" i="4"/>
  <c r="H2904" i="4"/>
  <c r="Q2903" i="4"/>
  <c r="P2903" i="4"/>
  <c r="O2903" i="4"/>
  <c r="N2903" i="4"/>
  <c r="M2903" i="4"/>
  <c r="L2903" i="4"/>
  <c r="K2903" i="4"/>
  <c r="J2903" i="4"/>
  <c r="I2903" i="4"/>
  <c r="H2903" i="4"/>
  <c r="Q2902" i="4"/>
  <c r="P2902" i="4"/>
  <c r="O2902" i="4"/>
  <c r="N2902" i="4"/>
  <c r="M2902" i="4"/>
  <c r="L2902" i="4"/>
  <c r="K2902" i="4"/>
  <c r="J2902" i="4"/>
  <c r="I2902" i="4"/>
  <c r="H2902" i="4"/>
  <c r="Q2901" i="4"/>
  <c r="P2901" i="4"/>
  <c r="O2901" i="4"/>
  <c r="N2901" i="4"/>
  <c r="M2901" i="4"/>
  <c r="L2901" i="4"/>
  <c r="K2901" i="4"/>
  <c r="J2901" i="4"/>
  <c r="I2901" i="4"/>
  <c r="H2901" i="4"/>
  <c r="Q2900" i="4"/>
  <c r="P2900" i="4"/>
  <c r="O2900" i="4"/>
  <c r="N2900" i="4"/>
  <c r="M2900" i="4"/>
  <c r="L2900" i="4"/>
  <c r="K2900" i="4"/>
  <c r="J2900" i="4"/>
  <c r="I2900" i="4"/>
  <c r="H2900" i="4"/>
  <c r="Q2899" i="4"/>
  <c r="P2899" i="4"/>
  <c r="O2899" i="4"/>
  <c r="N2899" i="4"/>
  <c r="M2899" i="4"/>
  <c r="L2899" i="4"/>
  <c r="K2899" i="4"/>
  <c r="J2899" i="4"/>
  <c r="I2899" i="4"/>
  <c r="H2899" i="4"/>
  <c r="Q2898" i="4"/>
  <c r="P2898" i="4"/>
  <c r="O2898" i="4"/>
  <c r="N2898" i="4"/>
  <c r="M2898" i="4"/>
  <c r="L2898" i="4"/>
  <c r="K2898" i="4"/>
  <c r="J2898" i="4"/>
  <c r="I2898" i="4"/>
  <c r="H2898" i="4"/>
  <c r="Q2897" i="4"/>
  <c r="P2897" i="4"/>
  <c r="O2897" i="4"/>
  <c r="N2897" i="4"/>
  <c r="M2897" i="4"/>
  <c r="L2897" i="4"/>
  <c r="K2897" i="4"/>
  <c r="J2897" i="4"/>
  <c r="I2897" i="4"/>
  <c r="H2897" i="4"/>
  <c r="Q2896" i="4"/>
  <c r="P2896" i="4"/>
  <c r="O2896" i="4"/>
  <c r="N2896" i="4"/>
  <c r="M2896" i="4"/>
  <c r="L2896" i="4"/>
  <c r="K2896" i="4"/>
  <c r="J2896" i="4"/>
  <c r="I2896" i="4"/>
  <c r="H2896" i="4"/>
  <c r="Q2895" i="4"/>
  <c r="P2895" i="4"/>
  <c r="O2895" i="4"/>
  <c r="N2895" i="4"/>
  <c r="M2895" i="4"/>
  <c r="L2895" i="4"/>
  <c r="K2895" i="4"/>
  <c r="J2895" i="4"/>
  <c r="I2895" i="4"/>
  <c r="H2895" i="4"/>
  <c r="Q2894" i="4"/>
  <c r="P2894" i="4"/>
  <c r="O2894" i="4"/>
  <c r="N2894" i="4"/>
  <c r="M2894" i="4"/>
  <c r="L2894" i="4"/>
  <c r="K2894" i="4"/>
  <c r="J2894" i="4"/>
  <c r="I2894" i="4"/>
  <c r="H2894" i="4"/>
  <c r="Q2893" i="4"/>
  <c r="P2893" i="4"/>
  <c r="O2893" i="4"/>
  <c r="N2893" i="4"/>
  <c r="M2893" i="4"/>
  <c r="L2893" i="4"/>
  <c r="K2893" i="4"/>
  <c r="J2893" i="4"/>
  <c r="I2893" i="4"/>
  <c r="H2893" i="4"/>
  <c r="Q2892" i="4"/>
  <c r="P2892" i="4"/>
  <c r="O2892" i="4"/>
  <c r="N2892" i="4"/>
  <c r="M2892" i="4"/>
  <c r="L2892" i="4"/>
  <c r="K2892" i="4"/>
  <c r="J2892" i="4"/>
  <c r="I2892" i="4"/>
  <c r="H2892" i="4"/>
  <c r="Q2891" i="4"/>
  <c r="P2891" i="4"/>
  <c r="O2891" i="4"/>
  <c r="N2891" i="4"/>
  <c r="M2891" i="4"/>
  <c r="L2891" i="4"/>
  <c r="K2891" i="4"/>
  <c r="J2891" i="4"/>
  <c r="I2891" i="4"/>
  <c r="H2891" i="4"/>
  <c r="Q2890" i="4"/>
  <c r="P2890" i="4"/>
  <c r="O2890" i="4"/>
  <c r="N2890" i="4"/>
  <c r="M2890" i="4"/>
  <c r="L2890" i="4"/>
  <c r="K2890" i="4"/>
  <c r="J2890" i="4"/>
  <c r="I2890" i="4"/>
  <c r="H2890" i="4"/>
  <c r="Q2889" i="4"/>
  <c r="P2889" i="4"/>
  <c r="O2889" i="4"/>
  <c r="N2889" i="4"/>
  <c r="M2889" i="4"/>
  <c r="L2889" i="4"/>
  <c r="K2889" i="4"/>
  <c r="J2889" i="4"/>
  <c r="I2889" i="4"/>
  <c r="H2889" i="4"/>
  <c r="Q2888" i="4"/>
  <c r="P2888" i="4"/>
  <c r="O2888" i="4"/>
  <c r="N2888" i="4"/>
  <c r="M2888" i="4"/>
  <c r="L2888" i="4"/>
  <c r="K2888" i="4"/>
  <c r="J2888" i="4"/>
  <c r="I2888" i="4"/>
  <c r="H2888" i="4"/>
  <c r="Q2887" i="4"/>
  <c r="P2887" i="4"/>
  <c r="O2887" i="4"/>
  <c r="N2887" i="4"/>
  <c r="M2887" i="4"/>
  <c r="L2887" i="4"/>
  <c r="K2887" i="4"/>
  <c r="J2887" i="4"/>
  <c r="I2887" i="4"/>
  <c r="H2887" i="4"/>
  <c r="Q2886" i="4"/>
  <c r="P2886" i="4"/>
  <c r="O2886" i="4"/>
  <c r="N2886" i="4"/>
  <c r="M2886" i="4"/>
  <c r="L2886" i="4"/>
  <c r="K2886" i="4"/>
  <c r="J2886" i="4"/>
  <c r="I2886" i="4"/>
  <c r="H2886" i="4"/>
  <c r="Q2885" i="4"/>
  <c r="P2885" i="4"/>
  <c r="O2885" i="4"/>
  <c r="N2885" i="4"/>
  <c r="M2885" i="4"/>
  <c r="L2885" i="4"/>
  <c r="K2885" i="4"/>
  <c r="J2885" i="4"/>
  <c r="I2885" i="4"/>
  <c r="H2885" i="4"/>
  <c r="Q2884" i="4"/>
  <c r="P2884" i="4"/>
  <c r="O2884" i="4"/>
  <c r="N2884" i="4"/>
  <c r="M2884" i="4"/>
  <c r="L2884" i="4"/>
  <c r="K2884" i="4"/>
  <c r="J2884" i="4"/>
  <c r="I2884" i="4"/>
  <c r="H2884" i="4"/>
  <c r="Q2883" i="4"/>
  <c r="P2883" i="4"/>
  <c r="O2883" i="4"/>
  <c r="N2883" i="4"/>
  <c r="M2883" i="4"/>
  <c r="L2883" i="4"/>
  <c r="K2883" i="4"/>
  <c r="J2883" i="4"/>
  <c r="I2883" i="4"/>
  <c r="H2883" i="4"/>
  <c r="Q2882" i="4"/>
  <c r="P2882" i="4"/>
  <c r="O2882" i="4"/>
  <c r="N2882" i="4"/>
  <c r="M2882" i="4"/>
  <c r="L2882" i="4"/>
  <c r="K2882" i="4"/>
  <c r="J2882" i="4"/>
  <c r="I2882" i="4"/>
  <c r="H2882" i="4"/>
  <c r="Q2881" i="4"/>
  <c r="P2881" i="4"/>
  <c r="O2881" i="4"/>
  <c r="N2881" i="4"/>
  <c r="M2881" i="4"/>
  <c r="L2881" i="4"/>
  <c r="K2881" i="4"/>
  <c r="J2881" i="4"/>
  <c r="I2881" i="4"/>
  <c r="H2881" i="4"/>
  <c r="Q2880" i="4"/>
  <c r="P2880" i="4"/>
  <c r="O2880" i="4"/>
  <c r="N2880" i="4"/>
  <c r="M2880" i="4"/>
  <c r="L2880" i="4"/>
  <c r="K2880" i="4"/>
  <c r="J2880" i="4"/>
  <c r="I2880" i="4"/>
  <c r="H2880" i="4"/>
  <c r="Q2879" i="4"/>
  <c r="P2879" i="4"/>
  <c r="O2879" i="4"/>
  <c r="N2879" i="4"/>
  <c r="M2879" i="4"/>
  <c r="L2879" i="4"/>
  <c r="K2879" i="4"/>
  <c r="J2879" i="4"/>
  <c r="I2879" i="4"/>
  <c r="H2879" i="4"/>
  <c r="Q2878" i="4"/>
  <c r="P2878" i="4"/>
  <c r="O2878" i="4"/>
  <c r="N2878" i="4"/>
  <c r="M2878" i="4"/>
  <c r="L2878" i="4"/>
  <c r="K2878" i="4"/>
  <c r="J2878" i="4"/>
  <c r="I2878" i="4"/>
  <c r="H2878" i="4"/>
  <c r="Q2877" i="4"/>
  <c r="P2877" i="4"/>
  <c r="O2877" i="4"/>
  <c r="N2877" i="4"/>
  <c r="M2877" i="4"/>
  <c r="L2877" i="4"/>
  <c r="K2877" i="4"/>
  <c r="J2877" i="4"/>
  <c r="I2877" i="4"/>
  <c r="H2877" i="4"/>
  <c r="Q2876" i="4"/>
  <c r="P2876" i="4"/>
  <c r="O2876" i="4"/>
  <c r="N2876" i="4"/>
  <c r="M2876" i="4"/>
  <c r="L2876" i="4"/>
  <c r="K2876" i="4"/>
  <c r="J2876" i="4"/>
  <c r="I2876" i="4"/>
  <c r="H2876" i="4"/>
  <c r="Q2875" i="4"/>
  <c r="P2875" i="4"/>
  <c r="O2875" i="4"/>
  <c r="N2875" i="4"/>
  <c r="M2875" i="4"/>
  <c r="L2875" i="4"/>
  <c r="K2875" i="4"/>
  <c r="J2875" i="4"/>
  <c r="I2875" i="4"/>
  <c r="H2875" i="4"/>
  <c r="Q2874" i="4"/>
  <c r="P2874" i="4"/>
  <c r="O2874" i="4"/>
  <c r="N2874" i="4"/>
  <c r="M2874" i="4"/>
  <c r="L2874" i="4"/>
  <c r="K2874" i="4"/>
  <c r="J2874" i="4"/>
  <c r="I2874" i="4"/>
  <c r="H2874" i="4"/>
  <c r="Q2873" i="4"/>
  <c r="P2873" i="4"/>
  <c r="O2873" i="4"/>
  <c r="N2873" i="4"/>
  <c r="M2873" i="4"/>
  <c r="L2873" i="4"/>
  <c r="K2873" i="4"/>
  <c r="J2873" i="4"/>
  <c r="I2873" i="4"/>
  <c r="H2873" i="4"/>
  <c r="Q2872" i="4"/>
  <c r="P2872" i="4"/>
  <c r="O2872" i="4"/>
  <c r="N2872" i="4"/>
  <c r="M2872" i="4"/>
  <c r="L2872" i="4"/>
  <c r="K2872" i="4"/>
  <c r="J2872" i="4"/>
  <c r="I2872" i="4"/>
  <c r="H2872" i="4"/>
  <c r="Q2871" i="4"/>
  <c r="P2871" i="4"/>
  <c r="O2871" i="4"/>
  <c r="N2871" i="4"/>
  <c r="M2871" i="4"/>
  <c r="L2871" i="4"/>
  <c r="K2871" i="4"/>
  <c r="J2871" i="4"/>
  <c r="I2871" i="4"/>
  <c r="H2871" i="4"/>
  <c r="Q2870" i="4"/>
  <c r="P2870" i="4"/>
  <c r="O2870" i="4"/>
  <c r="N2870" i="4"/>
  <c r="M2870" i="4"/>
  <c r="L2870" i="4"/>
  <c r="K2870" i="4"/>
  <c r="J2870" i="4"/>
  <c r="I2870" i="4"/>
  <c r="H2870" i="4"/>
  <c r="Q2869" i="4"/>
  <c r="P2869" i="4"/>
  <c r="O2869" i="4"/>
  <c r="N2869" i="4"/>
  <c r="M2869" i="4"/>
  <c r="L2869" i="4"/>
  <c r="K2869" i="4"/>
  <c r="J2869" i="4"/>
  <c r="I2869" i="4"/>
  <c r="H2869" i="4"/>
  <c r="Q2868" i="4"/>
  <c r="P2868" i="4"/>
  <c r="O2868" i="4"/>
  <c r="N2868" i="4"/>
  <c r="M2868" i="4"/>
  <c r="L2868" i="4"/>
  <c r="K2868" i="4"/>
  <c r="J2868" i="4"/>
  <c r="I2868" i="4"/>
  <c r="H2868" i="4"/>
  <c r="Q2867" i="4"/>
  <c r="P2867" i="4"/>
  <c r="O2867" i="4"/>
  <c r="N2867" i="4"/>
  <c r="M2867" i="4"/>
  <c r="L2867" i="4"/>
  <c r="K2867" i="4"/>
  <c r="J2867" i="4"/>
  <c r="I2867" i="4"/>
  <c r="H2867" i="4"/>
  <c r="Q2866" i="4"/>
  <c r="P2866" i="4"/>
  <c r="O2866" i="4"/>
  <c r="N2866" i="4"/>
  <c r="M2866" i="4"/>
  <c r="L2866" i="4"/>
  <c r="K2866" i="4"/>
  <c r="J2866" i="4"/>
  <c r="I2866" i="4"/>
  <c r="H2866" i="4"/>
  <c r="Q2865" i="4"/>
  <c r="P2865" i="4"/>
  <c r="O2865" i="4"/>
  <c r="N2865" i="4"/>
  <c r="M2865" i="4"/>
  <c r="L2865" i="4"/>
  <c r="K2865" i="4"/>
  <c r="J2865" i="4"/>
  <c r="I2865" i="4"/>
  <c r="H2865" i="4"/>
  <c r="Q2864" i="4"/>
  <c r="P2864" i="4"/>
  <c r="O2864" i="4"/>
  <c r="N2864" i="4"/>
  <c r="M2864" i="4"/>
  <c r="L2864" i="4"/>
  <c r="K2864" i="4"/>
  <c r="J2864" i="4"/>
  <c r="I2864" i="4"/>
  <c r="H2864" i="4"/>
  <c r="Q2863" i="4"/>
  <c r="P2863" i="4"/>
  <c r="O2863" i="4"/>
  <c r="N2863" i="4"/>
  <c r="M2863" i="4"/>
  <c r="L2863" i="4"/>
  <c r="K2863" i="4"/>
  <c r="J2863" i="4"/>
  <c r="I2863" i="4"/>
  <c r="H2863" i="4"/>
  <c r="Q2862" i="4"/>
  <c r="P2862" i="4"/>
  <c r="O2862" i="4"/>
  <c r="N2862" i="4"/>
  <c r="M2862" i="4"/>
  <c r="L2862" i="4"/>
  <c r="K2862" i="4"/>
  <c r="J2862" i="4"/>
  <c r="I2862" i="4"/>
  <c r="H2862" i="4"/>
  <c r="Q2861" i="4"/>
  <c r="P2861" i="4"/>
  <c r="O2861" i="4"/>
  <c r="N2861" i="4"/>
  <c r="M2861" i="4"/>
  <c r="L2861" i="4"/>
  <c r="K2861" i="4"/>
  <c r="J2861" i="4"/>
  <c r="I2861" i="4"/>
  <c r="H2861" i="4"/>
  <c r="Q2860" i="4"/>
  <c r="P2860" i="4"/>
  <c r="O2860" i="4"/>
  <c r="N2860" i="4"/>
  <c r="M2860" i="4"/>
  <c r="L2860" i="4"/>
  <c r="K2860" i="4"/>
  <c r="J2860" i="4"/>
  <c r="I2860" i="4"/>
  <c r="H2860" i="4"/>
  <c r="Q2859" i="4"/>
  <c r="P2859" i="4"/>
  <c r="O2859" i="4"/>
  <c r="N2859" i="4"/>
  <c r="M2859" i="4"/>
  <c r="L2859" i="4"/>
  <c r="K2859" i="4"/>
  <c r="J2859" i="4"/>
  <c r="I2859" i="4"/>
  <c r="H2859" i="4"/>
  <c r="Q2858" i="4"/>
  <c r="P2858" i="4"/>
  <c r="O2858" i="4"/>
  <c r="N2858" i="4"/>
  <c r="M2858" i="4"/>
  <c r="L2858" i="4"/>
  <c r="K2858" i="4"/>
  <c r="J2858" i="4"/>
  <c r="I2858" i="4"/>
  <c r="H2858" i="4"/>
  <c r="Q2857" i="4"/>
  <c r="P2857" i="4"/>
  <c r="O2857" i="4"/>
  <c r="N2857" i="4"/>
  <c r="M2857" i="4"/>
  <c r="L2857" i="4"/>
  <c r="K2857" i="4"/>
  <c r="J2857" i="4"/>
  <c r="I2857" i="4"/>
  <c r="H2857" i="4"/>
  <c r="Q2856" i="4"/>
  <c r="P2856" i="4"/>
  <c r="O2856" i="4"/>
  <c r="N2856" i="4"/>
  <c r="M2856" i="4"/>
  <c r="L2856" i="4"/>
  <c r="K2856" i="4"/>
  <c r="J2856" i="4"/>
  <c r="I2856" i="4"/>
  <c r="H2856" i="4"/>
  <c r="Q2855" i="4"/>
  <c r="P2855" i="4"/>
  <c r="O2855" i="4"/>
  <c r="N2855" i="4"/>
  <c r="M2855" i="4"/>
  <c r="L2855" i="4"/>
  <c r="K2855" i="4"/>
  <c r="J2855" i="4"/>
  <c r="I2855" i="4"/>
  <c r="H2855" i="4"/>
  <c r="Q2854" i="4"/>
  <c r="P2854" i="4"/>
  <c r="O2854" i="4"/>
  <c r="N2854" i="4"/>
  <c r="M2854" i="4"/>
  <c r="L2854" i="4"/>
  <c r="K2854" i="4"/>
  <c r="J2854" i="4"/>
  <c r="I2854" i="4"/>
  <c r="H2854" i="4"/>
  <c r="Q2853" i="4"/>
  <c r="P2853" i="4"/>
  <c r="O2853" i="4"/>
  <c r="N2853" i="4"/>
  <c r="M2853" i="4"/>
  <c r="L2853" i="4"/>
  <c r="K2853" i="4"/>
  <c r="J2853" i="4"/>
  <c r="I2853" i="4"/>
  <c r="H2853" i="4"/>
  <c r="Q2852" i="4"/>
  <c r="P2852" i="4"/>
  <c r="O2852" i="4"/>
  <c r="N2852" i="4"/>
  <c r="M2852" i="4"/>
  <c r="L2852" i="4"/>
  <c r="K2852" i="4"/>
  <c r="J2852" i="4"/>
  <c r="I2852" i="4"/>
  <c r="H2852" i="4"/>
  <c r="Q2851" i="4"/>
  <c r="P2851" i="4"/>
  <c r="O2851" i="4"/>
  <c r="N2851" i="4"/>
  <c r="M2851" i="4"/>
  <c r="L2851" i="4"/>
  <c r="K2851" i="4"/>
  <c r="J2851" i="4"/>
  <c r="I2851" i="4"/>
  <c r="H2851" i="4"/>
  <c r="Q2850" i="4"/>
  <c r="P2850" i="4"/>
  <c r="O2850" i="4"/>
  <c r="N2850" i="4"/>
  <c r="M2850" i="4"/>
  <c r="L2850" i="4"/>
  <c r="K2850" i="4"/>
  <c r="J2850" i="4"/>
  <c r="I2850" i="4"/>
  <c r="H2850" i="4"/>
  <c r="Q2849" i="4"/>
  <c r="P2849" i="4"/>
  <c r="O2849" i="4"/>
  <c r="N2849" i="4"/>
  <c r="M2849" i="4"/>
  <c r="L2849" i="4"/>
  <c r="K2849" i="4"/>
  <c r="J2849" i="4"/>
  <c r="I2849" i="4"/>
  <c r="H2849" i="4"/>
  <c r="Q2848" i="4"/>
  <c r="P2848" i="4"/>
  <c r="O2848" i="4"/>
  <c r="N2848" i="4"/>
  <c r="M2848" i="4"/>
  <c r="L2848" i="4"/>
  <c r="K2848" i="4"/>
  <c r="J2848" i="4"/>
  <c r="I2848" i="4"/>
  <c r="H2848" i="4"/>
  <c r="Q2847" i="4"/>
  <c r="P2847" i="4"/>
  <c r="O2847" i="4"/>
  <c r="N2847" i="4"/>
  <c r="M2847" i="4"/>
  <c r="L2847" i="4"/>
  <c r="K2847" i="4"/>
  <c r="J2847" i="4"/>
  <c r="I2847" i="4"/>
  <c r="H2847" i="4"/>
  <c r="Q2846" i="4"/>
  <c r="P2846" i="4"/>
  <c r="O2846" i="4"/>
  <c r="N2846" i="4"/>
  <c r="M2846" i="4"/>
  <c r="L2846" i="4"/>
  <c r="K2846" i="4"/>
  <c r="J2846" i="4"/>
  <c r="I2846" i="4"/>
  <c r="H2846" i="4"/>
  <c r="Q2845" i="4"/>
  <c r="P2845" i="4"/>
  <c r="O2845" i="4"/>
  <c r="N2845" i="4"/>
  <c r="M2845" i="4"/>
  <c r="L2845" i="4"/>
  <c r="K2845" i="4"/>
  <c r="J2845" i="4"/>
  <c r="I2845" i="4"/>
  <c r="H2845" i="4"/>
  <c r="Q2844" i="4"/>
  <c r="P2844" i="4"/>
  <c r="O2844" i="4"/>
  <c r="N2844" i="4"/>
  <c r="M2844" i="4"/>
  <c r="L2844" i="4"/>
  <c r="K2844" i="4"/>
  <c r="J2844" i="4"/>
  <c r="I2844" i="4"/>
  <c r="H2844" i="4"/>
  <c r="Q2843" i="4"/>
  <c r="P2843" i="4"/>
  <c r="O2843" i="4"/>
  <c r="N2843" i="4"/>
  <c r="M2843" i="4"/>
  <c r="L2843" i="4"/>
  <c r="K2843" i="4"/>
  <c r="J2843" i="4"/>
  <c r="I2843" i="4"/>
  <c r="H2843" i="4"/>
  <c r="Q2842" i="4"/>
  <c r="P2842" i="4"/>
  <c r="O2842" i="4"/>
  <c r="N2842" i="4"/>
  <c r="M2842" i="4"/>
  <c r="L2842" i="4"/>
  <c r="K2842" i="4"/>
  <c r="J2842" i="4"/>
  <c r="I2842" i="4"/>
  <c r="H2842" i="4"/>
  <c r="Q2841" i="4"/>
  <c r="P2841" i="4"/>
  <c r="O2841" i="4"/>
  <c r="N2841" i="4"/>
  <c r="M2841" i="4"/>
  <c r="L2841" i="4"/>
  <c r="K2841" i="4"/>
  <c r="J2841" i="4"/>
  <c r="I2841" i="4"/>
  <c r="H2841" i="4"/>
  <c r="Q2840" i="4"/>
  <c r="P2840" i="4"/>
  <c r="O2840" i="4"/>
  <c r="N2840" i="4"/>
  <c r="M2840" i="4"/>
  <c r="L2840" i="4"/>
  <c r="K2840" i="4"/>
  <c r="J2840" i="4"/>
  <c r="I2840" i="4"/>
  <c r="H2840" i="4"/>
  <c r="Q2839" i="4"/>
  <c r="P2839" i="4"/>
  <c r="O2839" i="4"/>
  <c r="N2839" i="4"/>
  <c r="M2839" i="4"/>
  <c r="L2839" i="4"/>
  <c r="K2839" i="4"/>
  <c r="J2839" i="4"/>
  <c r="I2839" i="4"/>
  <c r="H2839" i="4"/>
  <c r="Q2838" i="4"/>
  <c r="P2838" i="4"/>
  <c r="O2838" i="4"/>
  <c r="N2838" i="4"/>
  <c r="M2838" i="4"/>
  <c r="L2838" i="4"/>
  <c r="K2838" i="4"/>
  <c r="J2838" i="4"/>
  <c r="I2838" i="4"/>
  <c r="H2838" i="4"/>
  <c r="Q2837" i="4"/>
  <c r="P2837" i="4"/>
  <c r="O2837" i="4"/>
  <c r="N2837" i="4"/>
  <c r="M2837" i="4"/>
  <c r="L2837" i="4"/>
  <c r="K2837" i="4"/>
  <c r="J2837" i="4"/>
  <c r="I2837" i="4"/>
  <c r="H2837" i="4"/>
  <c r="Q2836" i="4"/>
  <c r="P2836" i="4"/>
  <c r="O2836" i="4"/>
  <c r="N2836" i="4"/>
  <c r="M2836" i="4"/>
  <c r="L2836" i="4"/>
  <c r="K2836" i="4"/>
  <c r="J2836" i="4"/>
  <c r="I2836" i="4"/>
  <c r="H2836" i="4"/>
  <c r="Q2835" i="4"/>
  <c r="P2835" i="4"/>
  <c r="O2835" i="4"/>
  <c r="N2835" i="4"/>
  <c r="M2835" i="4"/>
  <c r="L2835" i="4"/>
  <c r="K2835" i="4"/>
  <c r="J2835" i="4"/>
  <c r="I2835" i="4"/>
  <c r="H2835" i="4"/>
  <c r="Q2834" i="4"/>
  <c r="P2834" i="4"/>
  <c r="O2834" i="4"/>
  <c r="N2834" i="4"/>
  <c r="M2834" i="4"/>
  <c r="L2834" i="4"/>
  <c r="K2834" i="4"/>
  <c r="J2834" i="4"/>
  <c r="I2834" i="4"/>
  <c r="H2834" i="4"/>
  <c r="Q2833" i="4"/>
  <c r="P2833" i="4"/>
  <c r="O2833" i="4"/>
  <c r="N2833" i="4"/>
  <c r="M2833" i="4"/>
  <c r="L2833" i="4"/>
  <c r="K2833" i="4"/>
  <c r="J2833" i="4"/>
  <c r="I2833" i="4"/>
  <c r="H2833" i="4"/>
  <c r="Q2832" i="4"/>
  <c r="P2832" i="4"/>
  <c r="O2832" i="4"/>
  <c r="N2832" i="4"/>
  <c r="M2832" i="4"/>
  <c r="L2832" i="4"/>
  <c r="K2832" i="4"/>
  <c r="J2832" i="4"/>
  <c r="I2832" i="4"/>
  <c r="H2832" i="4"/>
  <c r="Q2831" i="4"/>
  <c r="P2831" i="4"/>
  <c r="O2831" i="4"/>
  <c r="N2831" i="4"/>
  <c r="M2831" i="4"/>
  <c r="L2831" i="4"/>
  <c r="K2831" i="4"/>
  <c r="J2831" i="4"/>
  <c r="I2831" i="4"/>
  <c r="H2831" i="4"/>
  <c r="Q2830" i="4"/>
  <c r="P2830" i="4"/>
  <c r="O2830" i="4"/>
  <c r="N2830" i="4"/>
  <c r="M2830" i="4"/>
  <c r="L2830" i="4"/>
  <c r="K2830" i="4"/>
  <c r="J2830" i="4"/>
  <c r="I2830" i="4"/>
  <c r="H2830" i="4"/>
  <c r="Q2829" i="4"/>
  <c r="P2829" i="4"/>
  <c r="O2829" i="4"/>
  <c r="N2829" i="4"/>
  <c r="M2829" i="4"/>
  <c r="L2829" i="4"/>
  <c r="K2829" i="4"/>
  <c r="J2829" i="4"/>
  <c r="I2829" i="4"/>
  <c r="H2829" i="4"/>
  <c r="Q2828" i="4"/>
  <c r="P2828" i="4"/>
  <c r="O2828" i="4"/>
  <c r="N2828" i="4"/>
  <c r="M2828" i="4"/>
  <c r="L2828" i="4"/>
  <c r="K2828" i="4"/>
  <c r="J2828" i="4"/>
  <c r="I2828" i="4"/>
  <c r="H2828" i="4"/>
  <c r="Q2827" i="4"/>
  <c r="P2827" i="4"/>
  <c r="O2827" i="4"/>
  <c r="N2827" i="4"/>
  <c r="M2827" i="4"/>
  <c r="L2827" i="4"/>
  <c r="K2827" i="4"/>
  <c r="J2827" i="4"/>
  <c r="I2827" i="4"/>
  <c r="H2827" i="4"/>
  <c r="Q2826" i="4"/>
  <c r="P2826" i="4"/>
  <c r="O2826" i="4"/>
  <c r="N2826" i="4"/>
  <c r="M2826" i="4"/>
  <c r="L2826" i="4"/>
  <c r="K2826" i="4"/>
  <c r="J2826" i="4"/>
  <c r="I2826" i="4"/>
  <c r="H2826" i="4"/>
  <c r="Q2825" i="4"/>
  <c r="P2825" i="4"/>
  <c r="O2825" i="4"/>
  <c r="N2825" i="4"/>
  <c r="M2825" i="4"/>
  <c r="L2825" i="4"/>
  <c r="K2825" i="4"/>
  <c r="J2825" i="4"/>
  <c r="I2825" i="4"/>
  <c r="H2825" i="4"/>
  <c r="Q2824" i="4"/>
  <c r="P2824" i="4"/>
  <c r="O2824" i="4"/>
  <c r="N2824" i="4"/>
  <c r="M2824" i="4"/>
  <c r="L2824" i="4"/>
  <c r="K2824" i="4"/>
  <c r="J2824" i="4"/>
  <c r="I2824" i="4"/>
  <c r="H2824" i="4"/>
  <c r="Q2823" i="4"/>
  <c r="P2823" i="4"/>
  <c r="O2823" i="4"/>
  <c r="N2823" i="4"/>
  <c r="M2823" i="4"/>
  <c r="L2823" i="4"/>
  <c r="K2823" i="4"/>
  <c r="J2823" i="4"/>
  <c r="I2823" i="4"/>
  <c r="H2823" i="4"/>
  <c r="Q2822" i="4"/>
  <c r="P2822" i="4"/>
  <c r="O2822" i="4"/>
  <c r="N2822" i="4"/>
  <c r="M2822" i="4"/>
  <c r="L2822" i="4"/>
  <c r="K2822" i="4"/>
  <c r="J2822" i="4"/>
  <c r="I2822" i="4"/>
  <c r="H2822" i="4"/>
  <c r="Q2821" i="4"/>
  <c r="P2821" i="4"/>
  <c r="O2821" i="4"/>
  <c r="N2821" i="4"/>
  <c r="M2821" i="4"/>
  <c r="L2821" i="4"/>
  <c r="K2821" i="4"/>
  <c r="J2821" i="4"/>
  <c r="I2821" i="4"/>
  <c r="H2821" i="4"/>
  <c r="Q2820" i="4"/>
  <c r="P2820" i="4"/>
  <c r="O2820" i="4"/>
  <c r="N2820" i="4"/>
  <c r="M2820" i="4"/>
  <c r="L2820" i="4"/>
  <c r="K2820" i="4"/>
  <c r="J2820" i="4"/>
  <c r="I2820" i="4"/>
  <c r="H2820" i="4"/>
  <c r="Q2819" i="4"/>
  <c r="P2819" i="4"/>
  <c r="O2819" i="4"/>
  <c r="N2819" i="4"/>
  <c r="M2819" i="4"/>
  <c r="L2819" i="4"/>
  <c r="K2819" i="4"/>
  <c r="J2819" i="4"/>
  <c r="I2819" i="4"/>
  <c r="H2819" i="4"/>
  <c r="Q2818" i="4"/>
  <c r="P2818" i="4"/>
  <c r="O2818" i="4"/>
  <c r="N2818" i="4"/>
  <c r="M2818" i="4"/>
  <c r="L2818" i="4"/>
  <c r="K2818" i="4"/>
  <c r="J2818" i="4"/>
  <c r="I2818" i="4"/>
  <c r="H2818" i="4"/>
  <c r="Q2817" i="4"/>
  <c r="P2817" i="4"/>
  <c r="O2817" i="4"/>
  <c r="N2817" i="4"/>
  <c r="M2817" i="4"/>
  <c r="L2817" i="4"/>
  <c r="K2817" i="4"/>
  <c r="J2817" i="4"/>
  <c r="I2817" i="4"/>
  <c r="H2817" i="4"/>
  <c r="Q2816" i="4"/>
  <c r="P2816" i="4"/>
  <c r="O2816" i="4"/>
  <c r="N2816" i="4"/>
  <c r="M2816" i="4"/>
  <c r="L2816" i="4"/>
  <c r="K2816" i="4"/>
  <c r="J2816" i="4"/>
  <c r="I2816" i="4"/>
  <c r="H2816" i="4"/>
  <c r="Q2815" i="4"/>
  <c r="P2815" i="4"/>
  <c r="O2815" i="4"/>
  <c r="N2815" i="4"/>
  <c r="M2815" i="4"/>
  <c r="L2815" i="4"/>
  <c r="K2815" i="4"/>
  <c r="J2815" i="4"/>
  <c r="I2815" i="4"/>
  <c r="H2815" i="4"/>
  <c r="Q2814" i="4"/>
  <c r="P2814" i="4"/>
  <c r="O2814" i="4"/>
  <c r="N2814" i="4"/>
  <c r="M2814" i="4"/>
  <c r="L2814" i="4"/>
  <c r="K2814" i="4"/>
  <c r="J2814" i="4"/>
  <c r="I2814" i="4"/>
  <c r="H2814" i="4"/>
  <c r="Q2813" i="4"/>
  <c r="P2813" i="4"/>
  <c r="O2813" i="4"/>
  <c r="N2813" i="4"/>
  <c r="M2813" i="4"/>
  <c r="L2813" i="4"/>
  <c r="K2813" i="4"/>
  <c r="J2813" i="4"/>
  <c r="I2813" i="4"/>
  <c r="H2813" i="4"/>
  <c r="Q2812" i="4"/>
  <c r="P2812" i="4"/>
  <c r="O2812" i="4"/>
  <c r="N2812" i="4"/>
  <c r="M2812" i="4"/>
  <c r="L2812" i="4"/>
  <c r="K2812" i="4"/>
  <c r="J2812" i="4"/>
  <c r="I2812" i="4"/>
  <c r="H2812" i="4"/>
  <c r="Q2811" i="4"/>
  <c r="P2811" i="4"/>
  <c r="O2811" i="4"/>
  <c r="N2811" i="4"/>
  <c r="M2811" i="4"/>
  <c r="L2811" i="4"/>
  <c r="K2811" i="4"/>
  <c r="J2811" i="4"/>
  <c r="I2811" i="4"/>
  <c r="H2811" i="4"/>
  <c r="Q2810" i="4"/>
  <c r="P2810" i="4"/>
  <c r="O2810" i="4"/>
  <c r="N2810" i="4"/>
  <c r="M2810" i="4"/>
  <c r="L2810" i="4"/>
  <c r="K2810" i="4"/>
  <c r="J2810" i="4"/>
  <c r="I2810" i="4"/>
  <c r="H2810" i="4"/>
  <c r="Q2809" i="4"/>
  <c r="P2809" i="4"/>
  <c r="O2809" i="4"/>
  <c r="N2809" i="4"/>
  <c r="M2809" i="4"/>
  <c r="L2809" i="4"/>
  <c r="K2809" i="4"/>
  <c r="J2809" i="4"/>
  <c r="I2809" i="4"/>
  <c r="H2809" i="4"/>
  <c r="Q2808" i="4"/>
  <c r="P2808" i="4"/>
  <c r="O2808" i="4"/>
  <c r="N2808" i="4"/>
  <c r="M2808" i="4"/>
  <c r="L2808" i="4"/>
  <c r="K2808" i="4"/>
  <c r="J2808" i="4"/>
  <c r="I2808" i="4"/>
  <c r="H2808" i="4"/>
  <c r="Q2807" i="4"/>
  <c r="P2807" i="4"/>
  <c r="O2807" i="4"/>
  <c r="N2807" i="4"/>
  <c r="M2807" i="4"/>
  <c r="L2807" i="4"/>
  <c r="K2807" i="4"/>
  <c r="J2807" i="4"/>
  <c r="I2807" i="4"/>
  <c r="H2807" i="4"/>
  <c r="Q2806" i="4"/>
  <c r="P2806" i="4"/>
  <c r="O2806" i="4"/>
  <c r="N2806" i="4"/>
  <c r="M2806" i="4"/>
  <c r="L2806" i="4"/>
  <c r="K2806" i="4"/>
  <c r="J2806" i="4"/>
  <c r="I2806" i="4"/>
  <c r="H2806" i="4"/>
  <c r="Q2805" i="4"/>
  <c r="P2805" i="4"/>
  <c r="O2805" i="4"/>
  <c r="N2805" i="4"/>
  <c r="M2805" i="4"/>
  <c r="L2805" i="4"/>
  <c r="K2805" i="4"/>
  <c r="J2805" i="4"/>
  <c r="I2805" i="4"/>
  <c r="H2805" i="4"/>
  <c r="Q2804" i="4"/>
  <c r="P2804" i="4"/>
  <c r="O2804" i="4"/>
  <c r="N2804" i="4"/>
  <c r="M2804" i="4"/>
  <c r="L2804" i="4"/>
  <c r="K2804" i="4"/>
  <c r="J2804" i="4"/>
  <c r="I2804" i="4"/>
  <c r="H2804" i="4"/>
  <c r="Q2803" i="4"/>
  <c r="P2803" i="4"/>
  <c r="O2803" i="4"/>
  <c r="N2803" i="4"/>
  <c r="M2803" i="4"/>
  <c r="L2803" i="4"/>
  <c r="K2803" i="4"/>
  <c r="J2803" i="4"/>
  <c r="I2803" i="4"/>
  <c r="H2803" i="4"/>
  <c r="Q2802" i="4"/>
  <c r="P2802" i="4"/>
  <c r="O2802" i="4"/>
  <c r="N2802" i="4"/>
  <c r="M2802" i="4"/>
  <c r="L2802" i="4"/>
  <c r="K2802" i="4"/>
  <c r="J2802" i="4"/>
  <c r="I2802" i="4"/>
  <c r="H2802" i="4"/>
  <c r="Q2801" i="4"/>
  <c r="P2801" i="4"/>
  <c r="O2801" i="4"/>
  <c r="N2801" i="4"/>
  <c r="M2801" i="4"/>
  <c r="L2801" i="4"/>
  <c r="K2801" i="4"/>
  <c r="J2801" i="4"/>
  <c r="I2801" i="4"/>
  <c r="H2801" i="4"/>
  <c r="Q2800" i="4"/>
  <c r="P2800" i="4"/>
  <c r="O2800" i="4"/>
  <c r="N2800" i="4"/>
  <c r="M2800" i="4"/>
  <c r="L2800" i="4"/>
  <c r="K2800" i="4"/>
  <c r="J2800" i="4"/>
  <c r="I2800" i="4"/>
  <c r="H2800" i="4"/>
  <c r="Q2799" i="4"/>
  <c r="P2799" i="4"/>
  <c r="O2799" i="4"/>
  <c r="N2799" i="4"/>
  <c r="M2799" i="4"/>
  <c r="L2799" i="4"/>
  <c r="K2799" i="4"/>
  <c r="J2799" i="4"/>
  <c r="I2799" i="4"/>
  <c r="H2799" i="4"/>
  <c r="Q2798" i="4"/>
  <c r="P2798" i="4"/>
  <c r="O2798" i="4"/>
  <c r="N2798" i="4"/>
  <c r="M2798" i="4"/>
  <c r="L2798" i="4"/>
  <c r="K2798" i="4"/>
  <c r="J2798" i="4"/>
  <c r="I2798" i="4"/>
  <c r="H2798" i="4"/>
  <c r="Q2797" i="4"/>
  <c r="P2797" i="4"/>
  <c r="O2797" i="4"/>
  <c r="N2797" i="4"/>
  <c r="M2797" i="4"/>
  <c r="L2797" i="4"/>
  <c r="K2797" i="4"/>
  <c r="J2797" i="4"/>
  <c r="I2797" i="4"/>
  <c r="H2797" i="4"/>
  <c r="Q2796" i="4"/>
  <c r="P2796" i="4"/>
  <c r="O2796" i="4"/>
  <c r="N2796" i="4"/>
  <c r="M2796" i="4"/>
  <c r="L2796" i="4"/>
  <c r="K2796" i="4"/>
  <c r="J2796" i="4"/>
  <c r="I2796" i="4"/>
  <c r="H2796" i="4"/>
  <c r="Q2795" i="4"/>
  <c r="P2795" i="4"/>
  <c r="O2795" i="4"/>
  <c r="N2795" i="4"/>
  <c r="M2795" i="4"/>
  <c r="L2795" i="4"/>
  <c r="K2795" i="4"/>
  <c r="J2795" i="4"/>
  <c r="I2795" i="4"/>
  <c r="H2795" i="4"/>
  <c r="Q2794" i="4"/>
  <c r="P2794" i="4"/>
  <c r="O2794" i="4"/>
  <c r="N2794" i="4"/>
  <c r="M2794" i="4"/>
  <c r="L2794" i="4"/>
  <c r="K2794" i="4"/>
  <c r="J2794" i="4"/>
  <c r="I2794" i="4"/>
  <c r="H2794" i="4"/>
  <c r="Q2793" i="4"/>
  <c r="P2793" i="4"/>
  <c r="O2793" i="4"/>
  <c r="N2793" i="4"/>
  <c r="M2793" i="4"/>
  <c r="L2793" i="4"/>
  <c r="K2793" i="4"/>
  <c r="J2793" i="4"/>
  <c r="I2793" i="4"/>
  <c r="H2793" i="4"/>
  <c r="Q2792" i="4"/>
  <c r="P2792" i="4"/>
  <c r="O2792" i="4"/>
  <c r="N2792" i="4"/>
  <c r="M2792" i="4"/>
  <c r="L2792" i="4"/>
  <c r="K2792" i="4"/>
  <c r="J2792" i="4"/>
  <c r="I2792" i="4"/>
  <c r="H2792" i="4"/>
  <c r="Q2791" i="4"/>
  <c r="P2791" i="4"/>
  <c r="O2791" i="4"/>
  <c r="N2791" i="4"/>
  <c r="M2791" i="4"/>
  <c r="L2791" i="4"/>
  <c r="K2791" i="4"/>
  <c r="J2791" i="4"/>
  <c r="I2791" i="4"/>
  <c r="H2791" i="4"/>
  <c r="Q2790" i="4"/>
  <c r="P2790" i="4"/>
  <c r="O2790" i="4"/>
  <c r="N2790" i="4"/>
  <c r="M2790" i="4"/>
  <c r="L2790" i="4"/>
  <c r="K2790" i="4"/>
  <c r="J2790" i="4"/>
  <c r="I2790" i="4"/>
  <c r="H2790" i="4"/>
  <c r="Q2789" i="4"/>
  <c r="P2789" i="4"/>
  <c r="O2789" i="4"/>
  <c r="N2789" i="4"/>
  <c r="M2789" i="4"/>
  <c r="L2789" i="4"/>
  <c r="K2789" i="4"/>
  <c r="J2789" i="4"/>
  <c r="I2789" i="4"/>
  <c r="H2789" i="4"/>
  <c r="Q2788" i="4"/>
  <c r="P2788" i="4"/>
  <c r="O2788" i="4"/>
  <c r="N2788" i="4"/>
  <c r="M2788" i="4"/>
  <c r="L2788" i="4"/>
  <c r="K2788" i="4"/>
  <c r="J2788" i="4"/>
  <c r="I2788" i="4"/>
  <c r="H2788" i="4"/>
  <c r="Q2787" i="4"/>
  <c r="P2787" i="4"/>
  <c r="O2787" i="4"/>
  <c r="N2787" i="4"/>
  <c r="M2787" i="4"/>
  <c r="L2787" i="4"/>
  <c r="K2787" i="4"/>
  <c r="J2787" i="4"/>
  <c r="I2787" i="4"/>
  <c r="H2787" i="4"/>
  <c r="Q2786" i="4"/>
  <c r="P2786" i="4"/>
  <c r="O2786" i="4"/>
  <c r="N2786" i="4"/>
  <c r="M2786" i="4"/>
  <c r="L2786" i="4"/>
  <c r="K2786" i="4"/>
  <c r="J2786" i="4"/>
  <c r="I2786" i="4"/>
  <c r="H2786" i="4"/>
  <c r="Q2785" i="4"/>
  <c r="P2785" i="4"/>
  <c r="O2785" i="4"/>
  <c r="N2785" i="4"/>
  <c r="M2785" i="4"/>
  <c r="L2785" i="4"/>
  <c r="K2785" i="4"/>
  <c r="J2785" i="4"/>
  <c r="I2785" i="4"/>
  <c r="H2785" i="4"/>
  <c r="Q2784" i="4"/>
  <c r="P2784" i="4"/>
  <c r="O2784" i="4"/>
  <c r="N2784" i="4"/>
  <c r="M2784" i="4"/>
  <c r="L2784" i="4"/>
  <c r="K2784" i="4"/>
  <c r="J2784" i="4"/>
  <c r="I2784" i="4"/>
  <c r="H2784" i="4"/>
  <c r="Q2783" i="4"/>
  <c r="P2783" i="4"/>
  <c r="O2783" i="4"/>
  <c r="N2783" i="4"/>
  <c r="M2783" i="4"/>
  <c r="L2783" i="4"/>
  <c r="K2783" i="4"/>
  <c r="J2783" i="4"/>
  <c r="I2783" i="4"/>
  <c r="H2783" i="4"/>
  <c r="Q2782" i="4"/>
  <c r="P2782" i="4"/>
  <c r="O2782" i="4"/>
  <c r="N2782" i="4"/>
  <c r="M2782" i="4"/>
  <c r="L2782" i="4"/>
  <c r="K2782" i="4"/>
  <c r="J2782" i="4"/>
  <c r="I2782" i="4"/>
  <c r="H2782" i="4"/>
  <c r="Q2781" i="4"/>
  <c r="P2781" i="4"/>
  <c r="O2781" i="4"/>
  <c r="N2781" i="4"/>
  <c r="M2781" i="4"/>
  <c r="L2781" i="4"/>
  <c r="K2781" i="4"/>
  <c r="J2781" i="4"/>
  <c r="I2781" i="4"/>
  <c r="H2781" i="4"/>
  <c r="Q2780" i="4"/>
  <c r="P2780" i="4"/>
  <c r="O2780" i="4"/>
  <c r="N2780" i="4"/>
  <c r="M2780" i="4"/>
  <c r="L2780" i="4"/>
  <c r="K2780" i="4"/>
  <c r="J2780" i="4"/>
  <c r="I2780" i="4"/>
  <c r="H2780" i="4"/>
  <c r="Q2779" i="4"/>
  <c r="P2779" i="4"/>
  <c r="O2779" i="4"/>
  <c r="N2779" i="4"/>
  <c r="M2779" i="4"/>
  <c r="L2779" i="4"/>
  <c r="K2779" i="4"/>
  <c r="J2779" i="4"/>
  <c r="I2779" i="4"/>
  <c r="H2779" i="4"/>
  <c r="Q2778" i="4"/>
  <c r="P2778" i="4"/>
  <c r="O2778" i="4"/>
  <c r="N2778" i="4"/>
  <c r="M2778" i="4"/>
  <c r="L2778" i="4"/>
  <c r="K2778" i="4"/>
  <c r="J2778" i="4"/>
  <c r="I2778" i="4"/>
  <c r="H2778" i="4"/>
  <c r="Q2777" i="4"/>
  <c r="P2777" i="4"/>
  <c r="O2777" i="4"/>
  <c r="N2777" i="4"/>
  <c r="M2777" i="4"/>
  <c r="L2777" i="4"/>
  <c r="K2777" i="4"/>
  <c r="J2777" i="4"/>
  <c r="I2777" i="4"/>
  <c r="H2777" i="4"/>
  <c r="Q2776" i="4"/>
  <c r="P2776" i="4"/>
  <c r="O2776" i="4"/>
  <c r="N2776" i="4"/>
  <c r="M2776" i="4"/>
  <c r="L2776" i="4"/>
  <c r="K2776" i="4"/>
  <c r="J2776" i="4"/>
  <c r="I2776" i="4"/>
  <c r="H2776" i="4"/>
  <c r="Q2775" i="4"/>
  <c r="P2775" i="4"/>
  <c r="O2775" i="4"/>
  <c r="N2775" i="4"/>
  <c r="M2775" i="4"/>
  <c r="L2775" i="4"/>
  <c r="K2775" i="4"/>
  <c r="J2775" i="4"/>
  <c r="I2775" i="4"/>
  <c r="H2775" i="4"/>
  <c r="Q2774" i="4"/>
  <c r="P2774" i="4"/>
  <c r="O2774" i="4"/>
  <c r="N2774" i="4"/>
  <c r="M2774" i="4"/>
  <c r="L2774" i="4"/>
  <c r="K2774" i="4"/>
  <c r="J2774" i="4"/>
  <c r="I2774" i="4"/>
  <c r="H2774" i="4"/>
  <c r="Q2773" i="4"/>
  <c r="P2773" i="4"/>
  <c r="O2773" i="4"/>
  <c r="N2773" i="4"/>
  <c r="M2773" i="4"/>
  <c r="L2773" i="4"/>
  <c r="K2773" i="4"/>
  <c r="J2773" i="4"/>
  <c r="I2773" i="4"/>
  <c r="H2773" i="4"/>
  <c r="Q2772" i="4"/>
  <c r="P2772" i="4"/>
  <c r="O2772" i="4"/>
  <c r="N2772" i="4"/>
  <c r="M2772" i="4"/>
  <c r="L2772" i="4"/>
  <c r="K2772" i="4"/>
  <c r="J2772" i="4"/>
  <c r="I2772" i="4"/>
  <c r="H2772" i="4"/>
  <c r="Q2771" i="4"/>
  <c r="P2771" i="4"/>
  <c r="O2771" i="4"/>
  <c r="N2771" i="4"/>
  <c r="M2771" i="4"/>
  <c r="L2771" i="4"/>
  <c r="K2771" i="4"/>
  <c r="J2771" i="4"/>
  <c r="I2771" i="4"/>
  <c r="H2771" i="4"/>
  <c r="Q2770" i="4"/>
  <c r="P2770" i="4"/>
  <c r="O2770" i="4"/>
  <c r="N2770" i="4"/>
  <c r="M2770" i="4"/>
  <c r="L2770" i="4"/>
  <c r="K2770" i="4"/>
  <c r="J2770" i="4"/>
  <c r="I2770" i="4"/>
  <c r="H2770" i="4"/>
  <c r="Q2769" i="4"/>
  <c r="P2769" i="4"/>
  <c r="O2769" i="4"/>
  <c r="N2769" i="4"/>
  <c r="M2769" i="4"/>
  <c r="L2769" i="4"/>
  <c r="K2769" i="4"/>
  <c r="J2769" i="4"/>
  <c r="I2769" i="4"/>
  <c r="H2769" i="4"/>
  <c r="Q2768" i="4"/>
  <c r="P2768" i="4"/>
  <c r="O2768" i="4"/>
  <c r="N2768" i="4"/>
  <c r="M2768" i="4"/>
  <c r="L2768" i="4"/>
  <c r="K2768" i="4"/>
  <c r="J2768" i="4"/>
  <c r="I2768" i="4"/>
  <c r="H2768" i="4"/>
  <c r="Q2767" i="4"/>
  <c r="P2767" i="4"/>
  <c r="O2767" i="4"/>
  <c r="N2767" i="4"/>
  <c r="M2767" i="4"/>
  <c r="L2767" i="4"/>
  <c r="K2767" i="4"/>
  <c r="J2767" i="4"/>
  <c r="I2767" i="4"/>
  <c r="H2767" i="4"/>
  <c r="Q2766" i="4"/>
  <c r="P2766" i="4"/>
  <c r="O2766" i="4"/>
  <c r="N2766" i="4"/>
  <c r="M2766" i="4"/>
  <c r="L2766" i="4"/>
  <c r="K2766" i="4"/>
  <c r="J2766" i="4"/>
  <c r="I2766" i="4"/>
  <c r="H2766" i="4"/>
  <c r="Q2765" i="4"/>
  <c r="P2765" i="4"/>
  <c r="O2765" i="4"/>
  <c r="N2765" i="4"/>
  <c r="M2765" i="4"/>
  <c r="L2765" i="4"/>
  <c r="K2765" i="4"/>
  <c r="J2765" i="4"/>
  <c r="I2765" i="4"/>
  <c r="H2765" i="4"/>
  <c r="Q2764" i="4"/>
  <c r="P2764" i="4"/>
  <c r="O2764" i="4"/>
  <c r="N2764" i="4"/>
  <c r="M2764" i="4"/>
  <c r="L2764" i="4"/>
  <c r="K2764" i="4"/>
  <c r="J2764" i="4"/>
  <c r="I2764" i="4"/>
  <c r="H2764" i="4"/>
  <c r="Q2763" i="4"/>
  <c r="P2763" i="4"/>
  <c r="O2763" i="4"/>
  <c r="N2763" i="4"/>
  <c r="M2763" i="4"/>
  <c r="L2763" i="4"/>
  <c r="K2763" i="4"/>
  <c r="J2763" i="4"/>
  <c r="I2763" i="4"/>
  <c r="H2763" i="4"/>
  <c r="Q2762" i="4"/>
  <c r="P2762" i="4"/>
  <c r="O2762" i="4"/>
  <c r="N2762" i="4"/>
  <c r="M2762" i="4"/>
  <c r="L2762" i="4"/>
  <c r="K2762" i="4"/>
  <c r="J2762" i="4"/>
  <c r="I2762" i="4"/>
  <c r="H2762" i="4"/>
  <c r="Q2761" i="4"/>
  <c r="P2761" i="4"/>
  <c r="O2761" i="4"/>
  <c r="N2761" i="4"/>
  <c r="M2761" i="4"/>
  <c r="L2761" i="4"/>
  <c r="K2761" i="4"/>
  <c r="J2761" i="4"/>
  <c r="I2761" i="4"/>
  <c r="H2761" i="4"/>
  <c r="Q2760" i="4"/>
  <c r="P2760" i="4"/>
  <c r="O2760" i="4"/>
  <c r="N2760" i="4"/>
  <c r="M2760" i="4"/>
  <c r="L2760" i="4"/>
  <c r="K2760" i="4"/>
  <c r="J2760" i="4"/>
  <c r="I2760" i="4"/>
  <c r="H2760" i="4"/>
  <c r="Q2759" i="4"/>
  <c r="P2759" i="4"/>
  <c r="O2759" i="4"/>
  <c r="N2759" i="4"/>
  <c r="M2759" i="4"/>
  <c r="L2759" i="4"/>
  <c r="K2759" i="4"/>
  <c r="J2759" i="4"/>
  <c r="I2759" i="4"/>
  <c r="H2759" i="4"/>
  <c r="Q2758" i="4"/>
  <c r="P2758" i="4"/>
  <c r="O2758" i="4"/>
  <c r="N2758" i="4"/>
  <c r="M2758" i="4"/>
  <c r="L2758" i="4"/>
  <c r="K2758" i="4"/>
  <c r="J2758" i="4"/>
  <c r="I2758" i="4"/>
  <c r="H2758" i="4"/>
  <c r="Q2757" i="4"/>
  <c r="P2757" i="4"/>
  <c r="O2757" i="4"/>
  <c r="N2757" i="4"/>
  <c r="M2757" i="4"/>
  <c r="L2757" i="4"/>
  <c r="K2757" i="4"/>
  <c r="J2757" i="4"/>
  <c r="I2757" i="4"/>
  <c r="H2757" i="4"/>
  <c r="Q2756" i="4"/>
  <c r="P2756" i="4"/>
  <c r="O2756" i="4"/>
  <c r="N2756" i="4"/>
  <c r="M2756" i="4"/>
  <c r="L2756" i="4"/>
  <c r="K2756" i="4"/>
  <c r="J2756" i="4"/>
  <c r="I2756" i="4"/>
  <c r="H2756" i="4"/>
  <c r="Q2755" i="4"/>
  <c r="P2755" i="4"/>
  <c r="O2755" i="4"/>
  <c r="N2755" i="4"/>
  <c r="M2755" i="4"/>
  <c r="L2755" i="4"/>
  <c r="K2755" i="4"/>
  <c r="J2755" i="4"/>
  <c r="I2755" i="4"/>
  <c r="H2755" i="4"/>
  <c r="Q2754" i="4"/>
  <c r="P2754" i="4"/>
  <c r="O2754" i="4"/>
  <c r="N2754" i="4"/>
  <c r="M2754" i="4"/>
  <c r="L2754" i="4"/>
  <c r="K2754" i="4"/>
  <c r="J2754" i="4"/>
  <c r="I2754" i="4"/>
  <c r="H2754" i="4"/>
  <c r="Q2753" i="4"/>
  <c r="P2753" i="4"/>
  <c r="O2753" i="4"/>
  <c r="N2753" i="4"/>
  <c r="M2753" i="4"/>
  <c r="L2753" i="4"/>
  <c r="K2753" i="4"/>
  <c r="J2753" i="4"/>
  <c r="I2753" i="4"/>
  <c r="H2753" i="4"/>
  <c r="Q2752" i="4"/>
  <c r="P2752" i="4"/>
  <c r="O2752" i="4"/>
  <c r="N2752" i="4"/>
  <c r="M2752" i="4"/>
  <c r="L2752" i="4"/>
  <c r="K2752" i="4"/>
  <c r="J2752" i="4"/>
  <c r="I2752" i="4"/>
  <c r="H2752" i="4"/>
  <c r="Q2751" i="4"/>
  <c r="P2751" i="4"/>
  <c r="O2751" i="4"/>
  <c r="N2751" i="4"/>
  <c r="M2751" i="4"/>
  <c r="L2751" i="4"/>
  <c r="K2751" i="4"/>
  <c r="J2751" i="4"/>
  <c r="I2751" i="4"/>
  <c r="H2751" i="4"/>
  <c r="Q2750" i="4"/>
  <c r="P2750" i="4"/>
  <c r="O2750" i="4"/>
  <c r="N2750" i="4"/>
  <c r="M2750" i="4"/>
  <c r="L2750" i="4"/>
  <c r="K2750" i="4"/>
  <c r="J2750" i="4"/>
  <c r="I2750" i="4"/>
  <c r="H2750" i="4"/>
  <c r="Q2749" i="4"/>
  <c r="P2749" i="4"/>
  <c r="O2749" i="4"/>
  <c r="N2749" i="4"/>
  <c r="M2749" i="4"/>
  <c r="L2749" i="4"/>
  <c r="K2749" i="4"/>
  <c r="J2749" i="4"/>
  <c r="I2749" i="4"/>
  <c r="H2749" i="4"/>
  <c r="Q2748" i="4"/>
  <c r="P2748" i="4"/>
  <c r="O2748" i="4"/>
  <c r="N2748" i="4"/>
  <c r="M2748" i="4"/>
  <c r="L2748" i="4"/>
  <c r="K2748" i="4"/>
  <c r="J2748" i="4"/>
  <c r="I2748" i="4"/>
  <c r="H2748" i="4"/>
  <c r="Q2747" i="4"/>
  <c r="P2747" i="4"/>
  <c r="O2747" i="4"/>
  <c r="N2747" i="4"/>
  <c r="M2747" i="4"/>
  <c r="L2747" i="4"/>
  <c r="K2747" i="4"/>
  <c r="J2747" i="4"/>
  <c r="I2747" i="4"/>
  <c r="H2747" i="4"/>
  <c r="Q2746" i="4"/>
  <c r="P2746" i="4"/>
  <c r="O2746" i="4"/>
  <c r="N2746" i="4"/>
  <c r="M2746" i="4"/>
  <c r="L2746" i="4"/>
  <c r="K2746" i="4"/>
  <c r="J2746" i="4"/>
  <c r="I2746" i="4"/>
  <c r="H2746" i="4"/>
  <c r="Q2745" i="4"/>
  <c r="P2745" i="4"/>
  <c r="O2745" i="4"/>
  <c r="N2745" i="4"/>
  <c r="M2745" i="4"/>
  <c r="L2745" i="4"/>
  <c r="K2745" i="4"/>
  <c r="J2745" i="4"/>
  <c r="I2745" i="4"/>
  <c r="H2745" i="4"/>
  <c r="Q2744" i="4"/>
  <c r="P2744" i="4"/>
  <c r="O2744" i="4"/>
  <c r="N2744" i="4"/>
  <c r="M2744" i="4"/>
  <c r="L2744" i="4"/>
  <c r="K2744" i="4"/>
  <c r="J2744" i="4"/>
  <c r="I2744" i="4"/>
  <c r="H2744" i="4"/>
  <c r="Q2743" i="4"/>
  <c r="P2743" i="4"/>
  <c r="O2743" i="4"/>
  <c r="N2743" i="4"/>
  <c r="M2743" i="4"/>
  <c r="L2743" i="4"/>
  <c r="K2743" i="4"/>
  <c r="J2743" i="4"/>
  <c r="I2743" i="4"/>
  <c r="H2743" i="4"/>
  <c r="Q2742" i="4"/>
  <c r="P2742" i="4"/>
  <c r="O2742" i="4"/>
  <c r="N2742" i="4"/>
  <c r="M2742" i="4"/>
  <c r="L2742" i="4"/>
  <c r="K2742" i="4"/>
  <c r="J2742" i="4"/>
  <c r="I2742" i="4"/>
  <c r="H2742" i="4"/>
  <c r="Q2741" i="4"/>
  <c r="P2741" i="4"/>
  <c r="O2741" i="4"/>
  <c r="N2741" i="4"/>
  <c r="M2741" i="4"/>
  <c r="L2741" i="4"/>
  <c r="K2741" i="4"/>
  <c r="J2741" i="4"/>
  <c r="I2741" i="4"/>
  <c r="H2741" i="4"/>
  <c r="Q2740" i="4"/>
  <c r="P2740" i="4"/>
  <c r="O2740" i="4"/>
  <c r="N2740" i="4"/>
  <c r="M2740" i="4"/>
  <c r="L2740" i="4"/>
  <c r="K2740" i="4"/>
  <c r="J2740" i="4"/>
  <c r="I2740" i="4"/>
  <c r="H2740" i="4"/>
  <c r="Q2739" i="4"/>
  <c r="P2739" i="4"/>
  <c r="O2739" i="4"/>
  <c r="N2739" i="4"/>
  <c r="M2739" i="4"/>
  <c r="L2739" i="4"/>
  <c r="K2739" i="4"/>
  <c r="J2739" i="4"/>
  <c r="I2739" i="4"/>
  <c r="H2739" i="4"/>
  <c r="Q2738" i="4"/>
  <c r="P2738" i="4"/>
  <c r="O2738" i="4"/>
  <c r="N2738" i="4"/>
  <c r="M2738" i="4"/>
  <c r="L2738" i="4"/>
  <c r="K2738" i="4"/>
  <c r="J2738" i="4"/>
  <c r="I2738" i="4"/>
  <c r="H2738" i="4"/>
  <c r="Q2737" i="4"/>
  <c r="P2737" i="4"/>
  <c r="O2737" i="4"/>
  <c r="N2737" i="4"/>
  <c r="M2737" i="4"/>
  <c r="L2737" i="4"/>
  <c r="K2737" i="4"/>
  <c r="J2737" i="4"/>
  <c r="I2737" i="4"/>
  <c r="H2737" i="4"/>
  <c r="Q2736" i="4"/>
  <c r="P2736" i="4"/>
  <c r="O2736" i="4"/>
  <c r="N2736" i="4"/>
  <c r="M2736" i="4"/>
  <c r="L2736" i="4"/>
  <c r="K2736" i="4"/>
  <c r="J2736" i="4"/>
  <c r="I2736" i="4"/>
  <c r="H2736" i="4"/>
  <c r="Q2735" i="4"/>
  <c r="P2735" i="4"/>
  <c r="O2735" i="4"/>
  <c r="N2735" i="4"/>
  <c r="M2735" i="4"/>
  <c r="L2735" i="4"/>
  <c r="K2735" i="4"/>
  <c r="J2735" i="4"/>
  <c r="I2735" i="4"/>
  <c r="H2735" i="4"/>
  <c r="Q2734" i="4"/>
  <c r="P2734" i="4"/>
  <c r="O2734" i="4"/>
  <c r="N2734" i="4"/>
  <c r="M2734" i="4"/>
  <c r="L2734" i="4"/>
  <c r="K2734" i="4"/>
  <c r="J2734" i="4"/>
  <c r="I2734" i="4"/>
  <c r="H2734" i="4"/>
  <c r="Q2733" i="4"/>
  <c r="P2733" i="4"/>
  <c r="O2733" i="4"/>
  <c r="N2733" i="4"/>
  <c r="M2733" i="4"/>
  <c r="L2733" i="4"/>
  <c r="K2733" i="4"/>
  <c r="J2733" i="4"/>
  <c r="I2733" i="4"/>
  <c r="H2733" i="4"/>
  <c r="Q2732" i="4"/>
  <c r="P2732" i="4"/>
  <c r="O2732" i="4"/>
  <c r="N2732" i="4"/>
  <c r="M2732" i="4"/>
  <c r="L2732" i="4"/>
  <c r="K2732" i="4"/>
  <c r="J2732" i="4"/>
  <c r="I2732" i="4"/>
  <c r="H2732" i="4"/>
  <c r="Q2731" i="4"/>
  <c r="P2731" i="4"/>
  <c r="O2731" i="4"/>
  <c r="N2731" i="4"/>
  <c r="M2731" i="4"/>
  <c r="L2731" i="4"/>
  <c r="K2731" i="4"/>
  <c r="J2731" i="4"/>
  <c r="I2731" i="4"/>
  <c r="H2731" i="4"/>
  <c r="Q2730" i="4"/>
  <c r="P2730" i="4"/>
  <c r="O2730" i="4"/>
  <c r="N2730" i="4"/>
  <c r="M2730" i="4"/>
  <c r="L2730" i="4"/>
  <c r="K2730" i="4"/>
  <c r="J2730" i="4"/>
  <c r="I2730" i="4"/>
  <c r="H2730" i="4"/>
  <c r="Q2729" i="4"/>
  <c r="P2729" i="4"/>
  <c r="O2729" i="4"/>
  <c r="N2729" i="4"/>
  <c r="M2729" i="4"/>
  <c r="L2729" i="4"/>
  <c r="K2729" i="4"/>
  <c r="J2729" i="4"/>
  <c r="I2729" i="4"/>
  <c r="H2729" i="4"/>
  <c r="Q2728" i="4"/>
  <c r="P2728" i="4"/>
  <c r="O2728" i="4"/>
  <c r="N2728" i="4"/>
  <c r="M2728" i="4"/>
  <c r="L2728" i="4"/>
  <c r="K2728" i="4"/>
  <c r="J2728" i="4"/>
  <c r="I2728" i="4"/>
  <c r="H2728" i="4"/>
  <c r="Q2727" i="4"/>
  <c r="P2727" i="4"/>
  <c r="O2727" i="4"/>
  <c r="N2727" i="4"/>
  <c r="M2727" i="4"/>
  <c r="L2727" i="4"/>
  <c r="K2727" i="4"/>
  <c r="J2727" i="4"/>
  <c r="I2727" i="4"/>
  <c r="H2727" i="4"/>
  <c r="Q2726" i="4"/>
  <c r="P2726" i="4"/>
  <c r="O2726" i="4"/>
  <c r="N2726" i="4"/>
  <c r="M2726" i="4"/>
  <c r="L2726" i="4"/>
  <c r="K2726" i="4"/>
  <c r="J2726" i="4"/>
  <c r="I2726" i="4"/>
  <c r="H2726" i="4"/>
  <c r="Q2725" i="4"/>
  <c r="P2725" i="4"/>
  <c r="O2725" i="4"/>
  <c r="N2725" i="4"/>
  <c r="M2725" i="4"/>
  <c r="L2725" i="4"/>
  <c r="K2725" i="4"/>
  <c r="J2725" i="4"/>
  <c r="I2725" i="4"/>
  <c r="H2725" i="4"/>
  <c r="Q2724" i="4"/>
  <c r="P2724" i="4"/>
  <c r="O2724" i="4"/>
  <c r="N2724" i="4"/>
  <c r="M2724" i="4"/>
  <c r="L2724" i="4"/>
  <c r="K2724" i="4"/>
  <c r="J2724" i="4"/>
  <c r="I2724" i="4"/>
  <c r="H2724" i="4"/>
  <c r="Q2723" i="4"/>
  <c r="P2723" i="4"/>
  <c r="O2723" i="4"/>
  <c r="N2723" i="4"/>
  <c r="M2723" i="4"/>
  <c r="L2723" i="4"/>
  <c r="K2723" i="4"/>
  <c r="J2723" i="4"/>
  <c r="I2723" i="4"/>
  <c r="H2723" i="4"/>
  <c r="Q2722" i="4"/>
  <c r="P2722" i="4"/>
  <c r="O2722" i="4"/>
  <c r="N2722" i="4"/>
  <c r="M2722" i="4"/>
  <c r="L2722" i="4"/>
  <c r="K2722" i="4"/>
  <c r="J2722" i="4"/>
  <c r="I2722" i="4"/>
  <c r="H2722" i="4"/>
  <c r="Q2721" i="4"/>
  <c r="P2721" i="4"/>
  <c r="O2721" i="4"/>
  <c r="N2721" i="4"/>
  <c r="M2721" i="4"/>
  <c r="L2721" i="4"/>
  <c r="K2721" i="4"/>
  <c r="J2721" i="4"/>
  <c r="I2721" i="4"/>
  <c r="H2721" i="4"/>
  <c r="Q2720" i="4"/>
  <c r="P2720" i="4"/>
  <c r="O2720" i="4"/>
  <c r="N2720" i="4"/>
  <c r="M2720" i="4"/>
  <c r="L2720" i="4"/>
  <c r="K2720" i="4"/>
  <c r="J2720" i="4"/>
  <c r="I2720" i="4"/>
  <c r="H2720" i="4"/>
  <c r="Q2719" i="4"/>
  <c r="P2719" i="4"/>
  <c r="O2719" i="4"/>
  <c r="N2719" i="4"/>
  <c r="M2719" i="4"/>
  <c r="L2719" i="4"/>
  <c r="K2719" i="4"/>
  <c r="J2719" i="4"/>
  <c r="I2719" i="4"/>
  <c r="H2719" i="4"/>
  <c r="Q2718" i="4"/>
  <c r="P2718" i="4"/>
  <c r="O2718" i="4"/>
  <c r="N2718" i="4"/>
  <c r="M2718" i="4"/>
  <c r="L2718" i="4"/>
  <c r="K2718" i="4"/>
  <c r="J2718" i="4"/>
  <c r="I2718" i="4"/>
  <c r="H2718" i="4"/>
  <c r="Q2717" i="4"/>
  <c r="P2717" i="4"/>
  <c r="O2717" i="4"/>
  <c r="N2717" i="4"/>
  <c r="M2717" i="4"/>
  <c r="L2717" i="4"/>
  <c r="K2717" i="4"/>
  <c r="J2717" i="4"/>
  <c r="I2717" i="4"/>
  <c r="H2717" i="4"/>
  <c r="Q2716" i="4"/>
  <c r="P2716" i="4"/>
  <c r="O2716" i="4"/>
  <c r="N2716" i="4"/>
  <c r="M2716" i="4"/>
  <c r="L2716" i="4"/>
  <c r="K2716" i="4"/>
  <c r="J2716" i="4"/>
  <c r="I2716" i="4"/>
  <c r="H2716" i="4"/>
  <c r="Q2715" i="4"/>
  <c r="P2715" i="4"/>
  <c r="O2715" i="4"/>
  <c r="N2715" i="4"/>
  <c r="M2715" i="4"/>
  <c r="L2715" i="4"/>
  <c r="K2715" i="4"/>
  <c r="J2715" i="4"/>
  <c r="I2715" i="4"/>
  <c r="H2715" i="4"/>
  <c r="Q2714" i="4"/>
  <c r="P2714" i="4"/>
  <c r="O2714" i="4"/>
  <c r="N2714" i="4"/>
  <c r="M2714" i="4"/>
  <c r="L2714" i="4"/>
  <c r="K2714" i="4"/>
  <c r="J2714" i="4"/>
  <c r="I2714" i="4"/>
  <c r="H2714" i="4"/>
  <c r="Q2713" i="4"/>
  <c r="P2713" i="4"/>
  <c r="O2713" i="4"/>
  <c r="N2713" i="4"/>
  <c r="M2713" i="4"/>
  <c r="L2713" i="4"/>
  <c r="K2713" i="4"/>
  <c r="J2713" i="4"/>
  <c r="I2713" i="4"/>
  <c r="H2713" i="4"/>
  <c r="Q2712" i="4"/>
  <c r="P2712" i="4"/>
  <c r="O2712" i="4"/>
  <c r="N2712" i="4"/>
  <c r="M2712" i="4"/>
  <c r="L2712" i="4"/>
  <c r="K2712" i="4"/>
  <c r="J2712" i="4"/>
  <c r="I2712" i="4"/>
  <c r="H2712" i="4"/>
  <c r="Q2711" i="4"/>
  <c r="P2711" i="4"/>
  <c r="O2711" i="4"/>
  <c r="N2711" i="4"/>
  <c r="M2711" i="4"/>
  <c r="L2711" i="4"/>
  <c r="K2711" i="4"/>
  <c r="J2711" i="4"/>
  <c r="I2711" i="4"/>
  <c r="H2711" i="4"/>
  <c r="Q2710" i="4"/>
  <c r="P2710" i="4"/>
  <c r="O2710" i="4"/>
  <c r="N2710" i="4"/>
  <c r="M2710" i="4"/>
  <c r="L2710" i="4"/>
  <c r="K2710" i="4"/>
  <c r="J2710" i="4"/>
  <c r="I2710" i="4"/>
  <c r="H2710" i="4"/>
  <c r="Q2709" i="4"/>
  <c r="P2709" i="4"/>
  <c r="O2709" i="4"/>
  <c r="N2709" i="4"/>
  <c r="M2709" i="4"/>
  <c r="L2709" i="4"/>
  <c r="K2709" i="4"/>
  <c r="J2709" i="4"/>
  <c r="I2709" i="4"/>
  <c r="H2709" i="4"/>
  <c r="Q2708" i="4"/>
  <c r="P2708" i="4"/>
  <c r="O2708" i="4"/>
  <c r="N2708" i="4"/>
  <c r="M2708" i="4"/>
  <c r="L2708" i="4"/>
  <c r="K2708" i="4"/>
  <c r="J2708" i="4"/>
  <c r="I2708" i="4"/>
  <c r="H2708" i="4"/>
  <c r="Q2707" i="4"/>
  <c r="P2707" i="4"/>
  <c r="O2707" i="4"/>
  <c r="N2707" i="4"/>
  <c r="M2707" i="4"/>
  <c r="L2707" i="4"/>
  <c r="K2707" i="4"/>
  <c r="J2707" i="4"/>
  <c r="I2707" i="4"/>
  <c r="H2707" i="4"/>
  <c r="Q2706" i="4"/>
  <c r="P2706" i="4"/>
  <c r="O2706" i="4"/>
  <c r="N2706" i="4"/>
  <c r="M2706" i="4"/>
  <c r="L2706" i="4"/>
  <c r="K2706" i="4"/>
  <c r="J2706" i="4"/>
  <c r="I2706" i="4"/>
  <c r="H2706" i="4"/>
  <c r="Q2705" i="4"/>
  <c r="P2705" i="4"/>
  <c r="O2705" i="4"/>
  <c r="N2705" i="4"/>
  <c r="M2705" i="4"/>
  <c r="L2705" i="4"/>
  <c r="K2705" i="4"/>
  <c r="J2705" i="4"/>
  <c r="I2705" i="4"/>
  <c r="H2705" i="4"/>
  <c r="Q2704" i="4"/>
  <c r="P2704" i="4"/>
  <c r="O2704" i="4"/>
  <c r="N2704" i="4"/>
  <c r="M2704" i="4"/>
  <c r="L2704" i="4"/>
  <c r="K2704" i="4"/>
  <c r="J2704" i="4"/>
  <c r="I2704" i="4"/>
  <c r="H2704" i="4"/>
  <c r="Q2703" i="4"/>
  <c r="P2703" i="4"/>
  <c r="O2703" i="4"/>
  <c r="N2703" i="4"/>
  <c r="M2703" i="4"/>
  <c r="L2703" i="4"/>
  <c r="K2703" i="4"/>
  <c r="J2703" i="4"/>
  <c r="I2703" i="4"/>
  <c r="H2703" i="4"/>
  <c r="Q2702" i="4"/>
  <c r="P2702" i="4"/>
  <c r="O2702" i="4"/>
  <c r="N2702" i="4"/>
  <c r="M2702" i="4"/>
  <c r="L2702" i="4"/>
  <c r="K2702" i="4"/>
  <c r="J2702" i="4"/>
  <c r="I2702" i="4"/>
  <c r="H2702" i="4"/>
  <c r="Q2701" i="4"/>
  <c r="P2701" i="4"/>
  <c r="O2701" i="4"/>
  <c r="N2701" i="4"/>
  <c r="M2701" i="4"/>
  <c r="L2701" i="4"/>
  <c r="K2701" i="4"/>
  <c r="J2701" i="4"/>
  <c r="I2701" i="4"/>
  <c r="H2701" i="4"/>
  <c r="Q2700" i="4"/>
  <c r="P2700" i="4"/>
  <c r="O2700" i="4"/>
  <c r="N2700" i="4"/>
  <c r="M2700" i="4"/>
  <c r="L2700" i="4"/>
  <c r="K2700" i="4"/>
  <c r="J2700" i="4"/>
  <c r="I2700" i="4"/>
  <c r="H2700" i="4"/>
  <c r="Q2699" i="4"/>
  <c r="P2699" i="4"/>
  <c r="O2699" i="4"/>
  <c r="N2699" i="4"/>
  <c r="M2699" i="4"/>
  <c r="L2699" i="4"/>
  <c r="K2699" i="4"/>
  <c r="J2699" i="4"/>
  <c r="I2699" i="4"/>
  <c r="H2699" i="4"/>
  <c r="Q2698" i="4"/>
  <c r="P2698" i="4"/>
  <c r="O2698" i="4"/>
  <c r="N2698" i="4"/>
  <c r="M2698" i="4"/>
  <c r="L2698" i="4"/>
  <c r="K2698" i="4"/>
  <c r="J2698" i="4"/>
  <c r="I2698" i="4"/>
  <c r="H2698" i="4"/>
  <c r="Q2697" i="4"/>
  <c r="P2697" i="4"/>
  <c r="O2697" i="4"/>
  <c r="N2697" i="4"/>
  <c r="M2697" i="4"/>
  <c r="L2697" i="4"/>
  <c r="K2697" i="4"/>
  <c r="J2697" i="4"/>
  <c r="I2697" i="4"/>
  <c r="H2697" i="4"/>
  <c r="Q2696" i="4"/>
  <c r="P2696" i="4"/>
  <c r="O2696" i="4"/>
  <c r="N2696" i="4"/>
  <c r="M2696" i="4"/>
  <c r="L2696" i="4"/>
  <c r="K2696" i="4"/>
  <c r="J2696" i="4"/>
  <c r="I2696" i="4"/>
  <c r="H2696" i="4"/>
  <c r="Q2695" i="4"/>
  <c r="P2695" i="4"/>
  <c r="O2695" i="4"/>
  <c r="N2695" i="4"/>
  <c r="M2695" i="4"/>
  <c r="L2695" i="4"/>
  <c r="K2695" i="4"/>
  <c r="J2695" i="4"/>
  <c r="I2695" i="4"/>
  <c r="H2695" i="4"/>
  <c r="Q2694" i="4"/>
  <c r="P2694" i="4"/>
  <c r="O2694" i="4"/>
  <c r="N2694" i="4"/>
  <c r="M2694" i="4"/>
  <c r="L2694" i="4"/>
  <c r="K2694" i="4"/>
  <c r="J2694" i="4"/>
  <c r="I2694" i="4"/>
  <c r="H2694" i="4"/>
  <c r="Q2693" i="4"/>
  <c r="P2693" i="4"/>
  <c r="O2693" i="4"/>
  <c r="N2693" i="4"/>
  <c r="M2693" i="4"/>
  <c r="L2693" i="4"/>
  <c r="K2693" i="4"/>
  <c r="J2693" i="4"/>
  <c r="I2693" i="4"/>
  <c r="H2693" i="4"/>
  <c r="Q2692" i="4"/>
  <c r="P2692" i="4"/>
  <c r="O2692" i="4"/>
  <c r="N2692" i="4"/>
  <c r="M2692" i="4"/>
  <c r="L2692" i="4"/>
  <c r="K2692" i="4"/>
  <c r="J2692" i="4"/>
  <c r="I2692" i="4"/>
  <c r="H2692" i="4"/>
  <c r="Q2691" i="4"/>
  <c r="P2691" i="4"/>
  <c r="O2691" i="4"/>
  <c r="N2691" i="4"/>
  <c r="M2691" i="4"/>
  <c r="L2691" i="4"/>
  <c r="K2691" i="4"/>
  <c r="J2691" i="4"/>
  <c r="I2691" i="4"/>
  <c r="H2691" i="4"/>
  <c r="Q2690" i="4"/>
  <c r="P2690" i="4"/>
  <c r="O2690" i="4"/>
  <c r="N2690" i="4"/>
  <c r="M2690" i="4"/>
  <c r="L2690" i="4"/>
  <c r="K2690" i="4"/>
  <c r="J2690" i="4"/>
  <c r="I2690" i="4"/>
  <c r="H2690" i="4"/>
  <c r="Q2689" i="4"/>
  <c r="P2689" i="4"/>
  <c r="O2689" i="4"/>
  <c r="N2689" i="4"/>
  <c r="M2689" i="4"/>
  <c r="L2689" i="4"/>
  <c r="K2689" i="4"/>
  <c r="J2689" i="4"/>
  <c r="I2689" i="4"/>
  <c r="H2689" i="4"/>
  <c r="Q2688" i="4"/>
  <c r="P2688" i="4"/>
  <c r="O2688" i="4"/>
  <c r="N2688" i="4"/>
  <c r="M2688" i="4"/>
  <c r="L2688" i="4"/>
  <c r="K2688" i="4"/>
  <c r="J2688" i="4"/>
  <c r="I2688" i="4"/>
  <c r="H2688" i="4"/>
  <c r="Q2687" i="4"/>
  <c r="P2687" i="4"/>
  <c r="O2687" i="4"/>
  <c r="N2687" i="4"/>
  <c r="M2687" i="4"/>
  <c r="L2687" i="4"/>
  <c r="K2687" i="4"/>
  <c r="J2687" i="4"/>
  <c r="I2687" i="4"/>
  <c r="H2687" i="4"/>
  <c r="Q2686" i="4"/>
  <c r="P2686" i="4"/>
  <c r="O2686" i="4"/>
  <c r="N2686" i="4"/>
  <c r="M2686" i="4"/>
  <c r="L2686" i="4"/>
  <c r="K2686" i="4"/>
  <c r="J2686" i="4"/>
  <c r="I2686" i="4"/>
  <c r="H2686" i="4"/>
  <c r="Q2685" i="4"/>
  <c r="P2685" i="4"/>
  <c r="O2685" i="4"/>
  <c r="N2685" i="4"/>
  <c r="M2685" i="4"/>
  <c r="L2685" i="4"/>
  <c r="K2685" i="4"/>
  <c r="J2685" i="4"/>
  <c r="I2685" i="4"/>
  <c r="H2685" i="4"/>
  <c r="Q2684" i="4"/>
  <c r="P2684" i="4"/>
  <c r="O2684" i="4"/>
  <c r="N2684" i="4"/>
  <c r="M2684" i="4"/>
  <c r="L2684" i="4"/>
  <c r="K2684" i="4"/>
  <c r="J2684" i="4"/>
  <c r="I2684" i="4"/>
  <c r="H2684" i="4"/>
  <c r="Q2683" i="4"/>
  <c r="P2683" i="4"/>
  <c r="O2683" i="4"/>
  <c r="N2683" i="4"/>
  <c r="M2683" i="4"/>
  <c r="L2683" i="4"/>
  <c r="K2683" i="4"/>
  <c r="J2683" i="4"/>
  <c r="I2683" i="4"/>
  <c r="H2683" i="4"/>
  <c r="Q2682" i="4"/>
  <c r="P2682" i="4"/>
  <c r="O2682" i="4"/>
  <c r="N2682" i="4"/>
  <c r="M2682" i="4"/>
  <c r="L2682" i="4"/>
  <c r="K2682" i="4"/>
  <c r="J2682" i="4"/>
  <c r="I2682" i="4"/>
  <c r="H2682" i="4"/>
  <c r="Q2681" i="4"/>
  <c r="P2681" i="4"/>
  <c r="O2681" i="4"/>
  <c r="N2681" i="4"/>
  <c r="M2681" i="4"/>
  <c r="L2681" i="4"/>
  <c r="K2681" i="4"/>
  <c r="J2681" i="4"/>
  <c r="I2681" i="4"/>
  <c r="H2681" i="4"/>
  <c r="Q2680" i="4"/>
  <c r="P2680" i="4"/>
  <c r="O2680" i="4"/>
  <c r="N2680" i="4"/>
  <c r="M2680" i="4"/>
  <c r="L2680" i="4"/>
  <c r="K2680" i="4"/>
  <c r="J2680" i="4"/>
  <c r="I2680" i="4"/>
  <c r="H2680" i="4"/>
  <c r="Q2679" i="4"/>
  <c r="P2679" i="4"/>
  <c r="O2679" i="4"/>
  <c r="N2679" i="4"/>
  <c r="M2679" i="4"/>
  <c r="L2679" i="4"/>
  <c r="K2679" i="4"/>
  <c r="J2679" i="4"/>
  <c r="I2679" i="4"/>
  <c r="H2679" i="4"/>
  <c r="Q2678" i="4"/>
  <c r="P2678" i="4"/>
  <c r="O2678" i="4"/>
  <c r="N2678" i="4"/>
  <c r="M2678" i="4"/>
  <c r="L2678" i="4"/>
  <c r="K2678" i="4"/>
  <c r="J2678" i="4"/>
  <c r="I2678" i="4"/>
  <c r="H2678" i="4"/>
  <c r="Q2677" i="4"/>
  <c r="P2677" i="4"/>
  <c r="O2677" i="4"/>
  <c r="N2677" i="4"/>
  <c r="M2677" i="4"/>
  <c r="L2677" i="4"/>
  <c r="K2677" i="4"/>
  <c r="J2677" i="4"/>
  <c r="I2677" i="4"/>
  <c r="H2677" i="4"/>
  <c r="Q2676" i="4"/>
  <c r="P2676" i="4"/>
  <c r="O2676" i="4"/>
  <c r="N2676" i="4"/>
  <c r="M2676" i="4"/>
  <c r="L2676" i="4"/>
  <c r="K2676" i="4"/>
  <c r="J2676" i="4"/>
  <c r="I2676" i="4"/>
  <c r="H2676" i="4"/>
  <c r="Q2675" i="4"/>
  <c r="P2675" i="4"/>
  <c r="O2675" i="4"/>
  <c r="N2675" i="4"/>
  <c r="M2675" i="4"/>
  <c r="L2675" i="4"/>
  <c r="K2675" i="4"/>
  <c r="J2675" i="4"/>
  <c r="I2675" i="4"/>
  <c r="H2675" i="4"/>
  <c r="Q2674" i="4"/>
  <c r="P2674" i="4"/>
  <c r="O2674" i="4"/>
  <c r="N2674" i="4"/>
  <c r="M2674" i="4"/>
  <c r="L2674" i="4"/>
  <c r="K2674" i="4"/>
  <c r="J2674" i="4"/>
  <c r="I2674" i="4"/>
  <c r="H2674" i="4"/>
  <c r="Q2673" i="4"/>
  <c r="P2673" i="4"/>
  <c r="O2673" i="4"/>
  <c r="N2673" i="4"/>
  <c r="M2673" i="4"/>
  <c r="L2673" i="4"/>
  <c r="K2673" i="4"/>
  <c r="J2673" i="4"/>
  <c r="I2673" i="4"/>
  <c r="H2673" i="4"/>
  <c r="Q2672" i="4"/>
  <c r="P2672" i="4"/>
  <c r="O2672" i="4"/>
  <c r="N2672" i="4"/>
  <c r="M2672" i="4"/>
  <c r="L2672" i="4"/>
  <c r="K2672" i="4"/>
  <c r="J2672" i="4"/>
  <c r="I2672" i="4"/>
  <c r="H2672" i="4"/>
  <c r="Q2671" i="4"/>
  <c r="P2671" i="4"/>
  <c r="O2671" i="4"/>
  <c r="N2671" i="4"/>
  <c r="M2671" i="4"/>
  <c r="L2671" i="4"/>
  <c r="K2671" i="4"/>
  <c r="J2671" i="4"/>
  <c r="I2671" i="4"/>
  <c r="H2671" i="4"/>
  <c r="Q2670" i="4"/>
  <c r="P2670" i="4"/>
  <c r="O2670" i="4"/>
  <c r="N2670" i="4"/>
  <c r="M2670" i="4"/>
  <c r="L2670" i="4"/>
  <c r="K2670" i="4"/>
  <c r="J2670" i="4"/>
  <c r="I2670" i="4"/>
  <c r="H2670" i="4"/>
  <c r="Q2669" i="4"/>
  <c r="P2669" i="4"/>
  <c r="O2669" i="4"/>
  <c r="N2669" i="4"/>
  <c r="M2669" i="4"/>
  <c r="L2669" i="4"/>
  <c r="K2669" i="4"/>
  <c r="J2669" i="4"/>
  <c r="I2669" i="4"/>
  <c r="H2669" i="4"/>
  <c r="Q2668" i="4"/>
  <c r="P2668" i="4"/>
  <c r="O2668" i="4"/>
  <c r="N2668" i="4"/>
  <c r="M2668" i="4"/>
  <c r="L2668" i="4"/>
  <c r="K2668" i="4"/>
  <c r="J2668" i="4"/>
  <c r="I2668" i="4"/>
  <c r="H2668" i="4"/>
  <c r="Q2667" i="4"/>
  <c r="P2667" i="4"/>
  <c r="O2667" i="4"/>
  <c r="N2667" i="4"/>
  <c r="M2667" i="4"/>
  <c r="L2667" i="4"/>
  <c r="K2667" i="4"/>
  <c r="J2667" i="4"/>
  <c r="I2667" i="4"/>
  <c r="H2667" i="4"/>
  <c r="Q2666" i="4"/>
  <c r="P2666" i="4"/>
  <c r="O2666" i="4"/>
  <c r="N2666" i="4"/>
  <c r="M2666" i="4"/>
  <c r="L2666" i="4"/>
  <c r="K2666" i="4"/>
  <c r="J2666" i="4"/>
  <c r="I2666" i="4"/>
  <c r="H2666" i="4"/>
  <c r="Q2665" i="4"/>
  <c r="P2665" i="4"/>
  <c r="O2665" i="4"/>
  <c r="N2665" i="4"/>
  <c r="M2665" i="4"/>
  <c r="L2665" i="4"/>
  <c r="K2665" i="4"/>
  <c r="J2665" i="4"/>
  <c r="I2665" i="4"/>
  <c r="H2665" i="4"/>
  <c r="Q2664" i="4"/>
  <c r="P2664" i="4"/>
  <c r="O2664" i="4"/>
  <c r="N2664" i="4"/>
  <c r="M2664" i="4"/>
  <c r="L2664" i="4"/>
  <c r="K2664" i="4"/>
  <c r="J2664" i="4"/>
  <c r="I2664" i="4"/>
  <c r="H2664" i="4"/>
  <c r="Q2663" i="4"/>
  <c r="P2663" i="4"/>
  <c r="O2663" i="4"/>
  <c r="N2663" i="4"/>
  <c r="M2663" i="4"/>
  <c r="L2663" i="4"/>
  <c r="K2663" i="4"/>
  <c r="J2663" i="4"/>
  <c r="I2663" i="4"/>
  <c r="H2663" i="4"/>
  <c r="Q2662" i="4"/>
  <c r="P2662" i="4"/>
  <c r="O2662" i="4"/>
  <c r="N2662" i="4"/>
  <c r="M2662" i="4"/>
  <c r="L2662" i="4"/>
  <c r="K2662" i="4"/>
  <c r="J2662" i="4"/>
  <c r="I2662" i="4"/>
  <c r="H2662" i="4"/>
  <c r="Q2661" i="4"/>
  <c r="P2661" i="4"/>
  <c r="O2661" i="4"/>
  <c r="N2661" i="4"/>
  <c r="M2661" i="4"/>
  <c r="L2661" i="4"/>
  <c r="K2661" i="4"/>
  <c r="J2661" i="4"/>
  <c r="I2661" i="4"/>
  <c r="H2661" i="4"/>
  <c r="Q2660" i="4"/>
  <c r="P2660" i="4"/>
  <c r="O2660" i="4"/>
  <c r="N2660" i="4"/>
  <c r="M2660" i="4"/>
  <c r="L2660" i="4"/>
  <c r="K2660" i="4"/>
  <c r="J2660" i="4"/>
  <c r="I2660" i="4"/>
  <c r="H2660" i="4"/>
  <c r="Q2659" i="4"/>
  <c r="P2659" i="4"/>
  <c r="O2659" i="4"/>
  <c r="N2659" i="4"/>
  <c r="M2659" i="4"/>
  <c r="L2659" i="4"/>
  <c r="K2659" i="4"/>
  <c r="J2659" i="4"/>
  <c r="I2659" i="4"/>
  <c r="H2659" i="4"/>
  <c r="Q2658" i="4"/>
  <c r="P2658" i="4"/>
  <c r="O2658" i="4"/>
  <c r="N2658" i="4"/>
  <c r="M2658" i="4"/>
  <c r="L2658" i="4"/>
  <c r="K2658" i="4"/>
  <c r="J2658" i="4"/>
  <c r="I2658" i="4"/>
  <c r="H2658" i="4"/>
  <c r="Q2657" i="4"/>
  <c r="P2657" i="4"/>
  <c r="O2657" i="4"/>
  <c r="N2657" i="4"/>
  <c r="M2657" i="4"/>
  <c r="L2657" i="4"/>
  <c r="K2657" i="4"/>
  <c r="J2657" i="4"/>
  <c r="I2657" i="4"/>
  <c r="H2657" i="4"/>
  <c r="Q2656" i="4"/>
  <c r="P2656" i="4"/>
  <c r="O2656" i="4"/>
  <c r="N2656" i="4"/>
  <c r="M2656" i="4"/>
  <c r="L2656" i="4"/>
  <c r="K2656" i="4"/>
  <c r="J2656" i="4"/>
  <c r="I2656" i="4"/>
  <c r="H2656" i="4"/>
  <c r="Q2655" i="4"/>
  <c r="P2655" i="4"/>
  <c r="O2655" i="4"/>
  <c r="N2655" i="4"/>
  <c r="M2655" i="4"/>
  <c r="L2655" i="4"/>
  <c r="K2655" i="4"/>
  <c r="J2655" i="4"/>
  <c r="I2655" i="4"/>
  <c r="H2655" i="4"/>
  <c r="Q2654" i="4"/>
  <c r="P2654" i="4"/>
  <c r="O2654" i="4"/>
  <c r="N2654" i="4"/>
  <c r="M2654" i="4"/>
  <c r="L2654" i="4"/>
  <c r="K2654" i="4"/>
  <c r="J2654" i="4"/>
  <c r="I2654" i="4"/>
  <c r="H2654" i="4"/>
  <c r="Q2653" i="4"/>
  <c r="P2653" i="4"/>
  <c r="O2653" i="4"/>
  <c r="N2653" i="4"/>
  <c r="M2653" i="4"/>
  <c r="L2653" i="4"/>
  <c r="K2653" i="4"/>
  <c r="J2653" i="4"/>
  <c r="I2653" i="4"/>
  <c r="H2653" i="4"/>
  <c r="Q2652" i="4"/>
  <c r="P2652" i="4"/>
  <c r="O2652" i="4"/>
  <c r="N2652" i="4"/>
  <c r="M2652" i="4"/>
  <c r="L2652" i="4"/>
  <c r="K2652" i="4"/>
  <c r="J2652" i="4"/>
  <c r="I2652" i="4"/>
  <c r="H2652" i="4"/>
  <c r="Q2651" i="4"/>
  <c r="P2651" i="4"/>
  <c r="O2651" i="4"/>
  <c r="N2651" i="4"/>
  <c r="M2651" i="4"/>
  <c r="L2651" i="4"/>
  <c r="K2651" i="4"/>
  <c r="J2651" i="4"/>
  <c r="I2651" i="4"/>
  <c r="H2651" i="4"/>
  <c r="Q2650" i="4"/>
  <c r="P2650" i="4"/>
  <c r="O2650" i="4"/>
  <c r="N2650" i="4"/>
  <c r="M2650" i="4"/>
  <c r="L2650" i="4"/>
  <c r="K2650" i="4"/>
  <c r="J2650" i="4"/>
  <c r="I2650" i="4"/>
  <c r="H2650" i="4"/>
  <c r="Q2649" i="4"/>
  <c r="P2649" i="4"/>
  <c r="O2649" i="4"/>
  <c r="N2649" i="4"/>
  <c r="M2649" i="4"/>
  <c r="L2649" i="4"/>
  <c r="K2649" i="4"/>
  <c r="J2649" i="4"/>
  <c r="I2649" i="4"/>
  <c r="H2649" i="4"/>
  <c r="Q2648" i="4"/>
  <c r="P2648" i="4"/>
  <c r="O2648" i="4"/>
  <c r="N2648" i="4"/>
  <c r="M2648" i="4"/>
  <c r="L2648" i="4"/>
  <c r="K2648" i="4"/>
  <c r="J2648" i="4"/>
  <c r="I2648" i="4"/>
  <c r="H2648" i="4"/>
  <c r="Q2647" i="4"/>
  <c r="P2647" i="4"/>
  <c r="O2647" i="4"/>
  <c r="N2647" i="4"/>
  <c r="M2647" i="4"/>
  <c r="L2647" i="4"/>
  <c r="K2647" i="4"/>
  <c r="J2647" i="4"/>
  <c r="I2647" i="4"/>
  <c r="H2647" i="4"/>
  <c r="Q2646" i="4"/>
  <c r="P2646" i="4"/>
  <c r="O2646" i="4"/>
  <c r="N2646" i="4"/>
  <c r="M2646" i="4"/>
  <c r="L2646" i="4"/>
  <c r="K2646" i="4"/>
  <c r="J2646" i="4"/>
  <c r="I2646" i="4"/>
  <c r="H2646" i="4"/>
  <c r="Q2645" i="4"/>
  <c r="P2645" i="4"/>
  <c r="O2645" i="4"/>
  <c r="N2645" i="4"/>
  <c r="M2645" i="4"/>
  <c r="L2645" i="4"/>
  <c r="K2645" i="4"/>
  <c r="J2645" i="4"/>
  <c r="I2645" i="4"/>
  <c r="H2645" i="4"/>
  <c r="Q2644" i="4"/>
  <c r="P2644" i="4"/>
  <c r="O2644" i="4"/>
  <c r="N2644" i="4"/>
  <c r="M2644" i="4"/>
  <c r="L2644" i="4"/>
  <c r="K2644" i="4"/>
  <c r="J2644" i="4"/>
  <c r="I2644" i="4"/>
  <c r="H2644" i="4"/>
  <c r="Q2643" i="4"/>
  <c r="P2643" i="4"/>
  <c r="O2643" i="4"/>
  <c r="N2643" i="4"/>
  <c r="M2643" i="4"/>
  <c r="L2643" i="4"/>
  <c r="K2643" i="4"/>
  <c r="J2643" i="4"/>
  <c r="I2643" i="4"/>
  <c r="H2643" i="4"/>
  <c r="Q2642" i="4"/>
  <c r="P2642" i="4"/>
  <c r="O2642" i="4"/>
  <c r="N2642" i="4"/>
  <c r="M2642" i="4"/>
  <c r="L2642" i="4"/>
  <c r="K2642" i="4"/>
  <c r="J2642" i="4"/>
  <c r="I2642" i="4"/>
  <c r="H2642" i="4"/>
  <c r="Q2641" i="4"/>
  <c r="P2641" i="4"/>
  <c r="O2641" i="4"/>
  <c r="N2641" i="4"/>
  <c r="M2641" i="4"/>
  <c r="L2641" i="4"/>
  <c r="K2641" i="4"/>
  <c r="J2641" i="4"/>
  <c r="I2641" i="4"/>
  <c r="H2641" i="4"/>
  <c r="Q2640" i="4"/>
  <c r="P2640" i="4"/>
  <c r="O2640" i="4"/>
  <c r="N2640" i="4"/>
  <c r="M2640" i="4"/>
  <c r="L2640" i="4"/>
  <c r="K2640" i="4"/>
  <c r="J2640" i="4"/>
  <c r="I2640" i="4"/>
  <c r="H2640" i="4"/>
  <c r="Q2639" i="4"/>
  <c r="P2639" i="4"/>
  <c r="O2639" i="4"/>
  <c r="N2639" i="4"/>
  <c r="M2639" i="4"/>
  <c r="L2639" i="4"/>
  <c r="K2639" i="4"/>
  <c r="J2639" i="4"/>
  <c r="I2639" i="4"/>
  <c r="H2639" i="4"/>
  <c r="Q2638" i="4"/>
  <c r="P2638" i="4"/>
  <c r="O2638" i="4"/>
  <c r="N2638" i="4"/>
  <c r="M2638" i="4"/>
  <c r="L2638" i="4"/>
  <c r="K2638" i="4"/>
  <c r="J2638" i="4"/>
  <c r="I2638" i="4"/>
  <c r="H2638" i="4"/>
  <c r="Q2637" i="4"/>
  <c r="P2637" i="4"/>
  <c r="O2637" i="4"/>
  <c r="N2637" i="4"/>
  <c r="M2637" i="4"/>
  <c r="L2637" i="4"/>
  <c r="K2637" i="4"/>
  <c r="J2637" i="4"/>
  <c r="I2637" i="4"/>
  <c r="H2637" i="4"/>
  <c r="Q2636" i="4"/>
  <c r="P2636" i="4"/>
  <c r="O2636" i="4"/>
  <c r="N2636" i="4"/>
  <c r="M2636" i="4"/>
  <c r="L2636" i="4"/>
  <c r="K2636" i="4"/>
  <c r="J2636" i="4"/>
  <c r="I2636" i="4"/>
  <c r="H2636" i="4"/>
  <c r="Q2635" i="4"/>
  <c r="P2635" i="4"/>
  <c r="O2635" i="4"/>
  <c r="N2635" i="4"/>
  <c r="M2635" i="4"/>
  <c r="L2635" i="4"/>
  <c r="K2635" i="4"/>
  <c r="J2635" i="4"/>
  <c r="I2635" i="4"/>
  <c r="H2635" i="4"/>
  <c r="Q2634" i="4"/>
  <c r="P2634" i="4"/>
  <c r="O2634" i="4"/>
  <c r="N2634" i="4"/>
  <c r="M2634" i="4"/>
  <c r="L2634" i="4"/>
  <c r="K2634" i="4"/>
  <c r="J2634" i="4"/>
  <c r="I2634" i="4"/>
  <c r="H2634" i="4"/>
  <c r="Q2633" i="4"/>
  <c r="P2633" i="4"/>
  <c r="O2633" i="4"/>
  <c r="N2633" i="4"/>
  <c r="M2633" i="4"/>
  <c r="L2633" i="4"/>
  <c r="K2633" i="4"/>
  <c r="J2633" i="4"/>
  <c r="I2633" i="4"/>
  <c r="H2633" i="4"/>
  <c r="Q2632" i="4"/>
  <c r="P2632" i="4"/>
  <c r="O2632" i="4"/>
  <c r="N2632" i="4"/>
  <c r="M2632" i="4"/>
  <c r="L2632" i="4"/>
  <c r="K2632" i="4"/>
  <c r="J2632" i="4"/>
  <c r="I2632" i="4"/>
  <c r="H2632" i="4"/>
  <c r="Q2631" i="4"/>
  <c r="P2631" i="4"/>
  <c r="O2631" i="4"/>
  <c r="N2631" i="4"/>
  <c r="M2631" i="4"/>
  <c r="L2631" i="4"/>
  <c r="K2631" i="4"/>
  <c r="J2631" i="4"/>
  <c r="I2631" i="4"/>
  <c r="H2631" i="4"/>
  <c r="Q2630" i="4"/>
  <c r="P2630" i="4"/>
  <c r="O2630" i="4"/>
  <c r="N2630" i="4"/>
  <c r="M2630" i="4"/>
  <c r="L2630" i="4"/>
  <c r="K2630" i="4"/>
  <c r="J2630" i="4"/>
  <c r="I2630" i="4"/>
  <c r="H2630" i="4"/>
  <c r="Q2629" i="4"/>
  <c r="P2629" i="4"/>
  <c r="O2629" i="4"/>
  <c r="N2629" i="4"/>
  <c r="M2629" i="4"/>
  <c r="L2629" i="4"/>
  <c r="K2629" i="4"/>
  <c r="J2629" i="4"/>
  <c r="I2629" i="4"/>
  <c r="H2629" i="4"/>
  <c r="Q2628" i="4"/>
  <c r="P2628" i="4"/>
  <c r="O2628" i="4"/>
  <c r="N2628" i="4"/>
  <c r="M2628" i="4"/>
  <c r="L2628" i="4"/>
  <c r="K2628" i="4"/>
  <c r="J2628" i="4"/>
  <c r="I2628" i="4"/>
  <c r="H2628" i="4"/>
  <c r="Q2627" i="4"/>
  <c r="P2627" i="4"/>
  <c r="O2627" i="4"/>
  <c r="N2627" i="4"/>
  <c r="M2627" i="4"/>
  <c r="L2627" i="4"/>
  <c r="K2627" i="4"/>
  <c r="J2627" i="4"/>
  <c r="I2627" i="4"/>
  <c r="H2627" i="4"/>
  <c r="Q2626" i="4"/>
  <c r="P2626" i="4"/>
  <c r="O2626" i="4"/>
  <c r="N2626" i="4"/>
  <c r="M2626" i="4"/>
  <c r="L2626" i="4"/>
  <c r="K2626" i="4"/>
  <c r="J2626" i="4"/>
  <c r="I2626" i="4"/>
  <c r="H2626" i="4"/>
  <c r="Q2625" i="4"/>
  <c r="P2625" i="4"/>
  <c r="O2625" i="4"/>
  <c r="N2625" i="4"/>
  <c r="M2625" i="4"/>
  <c r="L2625" i="4"/>
  <c r="K2625" i="4"/>
  <c r="J2625" i="4"/>
  <c r="I2625" i="4"/>
  <c r="H2625" i="4"/>
  <c r="Q2624" i="4"/>
  <c r="P2624" i="4"/>
  <c r="O2624" i="4"/>
  <c r="N2624" i="4"/>
  <c r="M2624" i="4"/>
  <c r="L2624" i="4"/>
  <c r="K2624" i="4"/>
  <c r="J2624" i="4"/>
  <c r="I2624" i="4"/>
  <c r="H2624" i="4"/>
  <c r="Q2623" i="4"/>
  <c r="P2623" i="4"/>
  <c r="O2623" i="4"/>
  <c r="N2623" i="4"/>
  <c r="M2623" i="4"/>
  <c r="L2623" i="4"/>
  <c r="K2623" i="4"/>
  <c r="J2623" i="4"/>
  <c r="I2623" i="4"/>
  <c r="H2623" i="4"/>
  <c r="Q2622" i="4"/>
  <c r="P2622" i="4"/>
  <c r="O2622" i="4"/>
  <c r="N2622" i="4"/>
  <c r="M2622" i="4"/>
  <c r="L2622" i="4"/>
  <c r="K2622" i="4"/>
  <c r="J2622" i="4"/>
  <c r="I2622" i="4"/>
  <c r="H2622" i="4"/>
  <c r="Q2621" i="4"/>
  <c r="P2621" i="4"/>
  <c r="O2621" i="4"/>
  <c r="N2621" i="4"/>
  <c r="M2621" i="4"/>
  <c r="L2621" i="4"/>
  <c r="K2621" i="4"/>
  <c r="J2621" i="4"/>
  <c r="I2621" i="4"/>
  <c r="H2621" i="4"/>
  <c r="Q2620" i="4"/>
  <c r="P2620" i="4"/>
  <c r="O2620" i="4"/>
  <c r="N2620" i="4"/>
  <c r="M2620" i="4"/>
  <c r="L2620" i="4"/>
  <c r="K2620" i="4"/>
  <c r="J2620" i="4"/>
  <c r="I2620" i="4"/>
  <c r="H2620" i="4"/>
  <c r="Q2619" i="4"/>
  <c r="P2619" i="4"/>
  <c r="O2619" i="4"/>
  <c r="N2619" i="4"/>
  <c r="M2619" i="4"/>
  <c r="L2619" i="4"/>
  <c r="K2619" i="4"/>
  <c r="J2619" i="4"/>
  <c r="I2619" i="4"/>
  <c r="H2619" i="4"/>
  <c r="Q2618" i="4"/>
  <c r="P2618" i="4"/>
  <c r="O2618" i="4"/>
  <c r="N2618" i="4"/>
  <c r="M2618" i="4"/>
  <c r="L2618" i="4"/>
  <c r="K2618" i="4"/>
  <c r="J2618" i="4"/>
  <c r="I2618" i="4"/>
  <c r="H2618" i="4"/>
  <c r="Q2617" i="4"/>
  <c r="P2617" i="4"/>
  <c r="O2617" i="4"/>
  <c r="N2617" i="4"/>
  <c r="M2617" i="4"/>
  <c r="L2617" i="4"/>
  <c r="K2617" i="4"/>
  <c r="J2617" i="4"/>
  <c r="I2617" i="4"/>
  <c r="H2617" i="4"/>
  <c r="Q2616" i="4"/>
  <c r="P2616" i="4"/>
  <c r="O2616" i="4"/>
  <c r="N2616" i="4"/>
  <c r="M2616" i="4"/>
  <c r="L2616" i="4"/>
  <c r="K2616" i="4"/>
  <c r="J2616" i="4"/>
  <c r="I2616" i="4"/>
  <c r="H2616" i="4"/>
  <c r="Q2615" i="4"/>
  <c r="P2615" i="4"/>
  <c r="O2615" i="4"/>
  <c r="N2615" i="4"/>
  <c r="M2615" i="4"/>
  <c r="L2615" i="4"/>
  <c r="K2615" i="4"/>
  <c r="J2615" i="4"/>
  <c r="I2615" i="4"/>
  <c r="H2615" i="4"/>
  <c r="Q2614" i="4"/>
  <c r="P2614" i="4"/>
  <c r="O2614" i="4"/>
  <c r="N2614" i="4"/>
  <c r="M2614" i="4"/>
  <c r="L2614" i="4"/>
  <c r="K2614" i="4"/>
  <c r="J2614" i="4"/>
  <c r="I2614" i="4"/>
  <c r="H2614" i="4"/>
  <c r="Q2613" i="4"/>
  <c r="P2613" i="4"/>
  <c r="O2613" i="4"/>
  <c r="N2613" i="4"/>
  <c r="M2613" i="4"/>
  <c r="L2613" i="4"/>
  <c r="K2613" i="4"/>
  <c r="J2613" i="4"/>
  <c r="I2613" i="4"/>
  <c r="H2613" i="4"/>
  <c r="Q2612" i="4"/>
  <c r="P2612" i="4"/>
  <c r="O2612" i="4"/>
  <c r="N2612" i="4"/>
  <c r="M2612" i="4"/>
  <c r="L2612" i="4"/>
  <c r="K2612" i="4"/>
  <c r="J2612" i="4"/>
  <c r="I2612" i="4"/>
  <c r="H2612" i="4"/>
  <c r="Q2611" i="4"/>
  <c r="P2611" i="4"/>
  <c r="O2611" i="4"/>
  <c r="N2611" i="4"/>
  <c r="M2611" i="4"/>
  <c r="L2611" i="4"/>
  <c r="K2611" i="4"/>
  <c r="J2611" i="4"/>
  <c r="I2611" i="4"/>
  <c r="H2611" i="4"/>
  <c r="Q2610" i="4"/>
  <c r="P2610" i="4"/>
  <c r="O2610" i="4"/>
  <c r="N2610" i="4"/>
  <c r="M2610" i="4"/>
  <c r="L2610" i="4"/>
  <c r="K2610" i="4"/>
  <c r="J2610" i="4"/>
  <c r="I2610" i="4"/>
  <c r="H2610" i="4"/>
  <c r="Q2609" i="4"/>
  <c r="P2609" i="4"/>
  <c r="O2609" i="4"/>
  <c r="N2609" i="4"/>
  <c r="M2609" i="4"/>
  <c r="L2609" i="4"/>
  <c r="K2609" i="4"/>
  <c r="J2609" i="4"/>
  <c r="I2609" i="4"/>
  <c r="H2609" i="4"/>
  <c r="Q2608" i="4"/>
  <c r="P2608" i="4"/>
  <c r="O2608" i="4"/>
  <c r="N2608" i="4"/>
  <c r="M2608" i="4"/>
  <c r="L2608" i="4"/>
  <c r="K2608" i="4"/>
  <c r="J2608" i="4"/>
  <c r="I2608" i="4"/>
  <c r="H2608" i="4"/>
  <c r="Q2607" i="4"/>
  <c r="P2607" i="4"/>
  <c r="O2607" i="4"/>
  <c r="N2607" i="4"/>
  <c r="M2607" i="4"/>
  <c r="L2607" i="4"/>
  <c r="K2607" i="4"/>
  <c r="J2607" i="4"/>
  <c r="I2607" i="4"/>
  <c r="H2607" i="4"/>
  <c r="Q2606" i="4"/>
  <c r="P2606" i="4"/>
  <c r="O2606" i="4"/>
  <c r="N2606" i="4"/>
  <c r="M2606" i="4"/>
  <c r="L2606" i="4"/>
  <c r="K2606" i="4"/>
  <c r="J2606" i="4"/>
  <c r="I2606" i="4"/>
  <c r="H2606" i="4"/>
  <c r="Q2605" i="4"/>
  <c r="P2605" i="4"/>
  <c r="O2605" i="4"/>
  <c r="N2605" i="4"/>
  <c r="M2605" i="4"/>
  <c r="L2605" i="4"/>
  <c r="K2605" i="4"/>
  <c r="J2605" i="4"/>
  <c r="I2605" i="4"/>
  <c r="H2605" i="4"/>
  <c r="Q2604" i="4"/>
  <c r="P2604" i="4"/>
  <c r="O2604" i="4"/>
  <c r="N2604" i="4"/>
  <c r="M2604" i="4"/>
  <c r="L2604" i="4"/>
  <c r="K2604" i="4"/>
  <c r="J2604" i="4"/>
  <c r="I2604" i="4"/>
  <c r="H2604" i="4"/>
  <c r="Q2603" i="4"/>
  <c r="P2603" i="4"/>
  <c r="O2603" i="4"/>
  <c r="N2603" i="4"/>
  <c r="M2603" i="4"/>
  <c r="L2603" i="4"/>
  <c r="K2603" i="4"/>
  <c r="J2603" i="4"/>
  <c r="I2603" i="4"/>
  <c r="H2603" i="4"/>
  <c r="Q2602" i="4"/>
  <c r="P2602" i="4"/>
  <c r="O2602" i="4"/>
  <c r="N2602" i="4"/>
  <c r="M2602" i="4"/>
  <c r="L2602" i="4"/>
  <c r="K2602" i="4"/>
  <c r="J2602" i="4"/>
  <c r="I2602" i="4"/>
  <c r="H2602" i="4"/>
  <c r="Q2601" i="4"/>
  <c r="P2601" i="4"/>
  <c r="O2601" i="4"/>
  <c r="N2601" i="4"/>
  <c r="M2601" i="4"/>
  <c r="L2601" i="4"/>
  <c r="K2601" i="4"/>
  <c r="J2601" i="4"/>
  <c r="I2601" i="4"/>
  <c r="H2601" i="4"/>
  <c r="Q2600" i="4"/>
  <c r="P2600" i="4"/>
  <c r="O2600" i="4"/>
  <c r="N2600" i="4"/>
  <c r="M2600" i="4"/>
  <c r="L2600" i="4"/>
  <c r="K2600" i="4"/>
  <c r="J2600" i="4"/>
  <c r="I2600" i="4"/>
  <c r="H2600" i="4"/>
  <c r="Q2599" i="4"/>
  <c r="P2599" i="4"/>
  <c r="O2599" i="4"/>
  <c r="N2599" i="4"/>
  <c r="M2599" i="4"/>
  <c r="L2599" i="4"/>
  <c r="K2599" i="4"/>
  <c r="J2599" i="4"/>
  <c r="I2599" i="4"/>
  <c r="H2599" i="4"/>
  <c r="Q2598" i="4"/>
  <c r="P2598" i="4"/>
  <c r="O2598" i="4"/>
  <c r="N2598" i="4"/>
  <c r="M2598" i="4"/>
  <c r="L2598" i="4"/>
  <c r="K2598" i="4"/>
  <c r="J2598" i="4"/>
  <c r="I2598" i="4"/>
  <c r="H2598" i="4"/>
  <c r="Q2597" i="4"/>
  <c r="P2597" i="4"/>
  <c r="O2597" i="4"/>
  <c r="N2597" i="4"/>
  <c r="M2597" i="4"/>
  <c r="L2597" i="4"/>
  <c r="K2597" i="4"/>
  <c r="J2597" i="4"/>
  <c r="I2597" i="4"/>
  <c r="H2597" i="4"/>
  <c r="Q2596" i="4"/>
  <c r="P2596" i="4"/>
  <c r="O2596" i="4"/>
  <c r="N2596" i="4"/>
  <c r="M2596" i="4"/>
  <c r="L2596" i="4"/>
  <c r="K2596" i="4"/>
  <c r="J2596" i="4"/>
  <c r="I2596" i="4"/>
  <c r="H2596" i="4"/>
  <c r="Q2595" i="4"/>
  <c r="P2595" i="4"/>
  <c r="O2595" i="4"/>
  <c r="N2595" i="4"/>
  <c r="M2595" i="4"/>
  <c r="L2595" i="4"/>
  <c r="K2595" i="4"/>
  <c r="J2595" i="4"/>
  <c r="I2595" i="4"/>
  <c r="H2595" i="4"/>
  <c r="Q2594" i="4"/>
  <c r="P2594" i="4"/>
  <c r="O2594" i="4"/>
  <c r="N2594" i="4"/>
  <c r="M2594" i="4"/>
  <c r="L2594" i="4"/>
  <c r="K2594" i="4"/>
  <c r="J2594" i="4"/>
  <c r="I2594" i="4"/>
  <c r="H2594" i="4"/>
  <c r="Q2593" i="4"/>
  <c r="P2593" i="4"/>
  <c r="O2593" i="4"/>
  <c r="N2593" i="4"/>
  <c r="M2593" i="4"/>
  <c r="L2593" i="4"/>
  <c r="K2593" i="4"/>
  <c r="J2593" i="4"/>
  <c r="I2593" i="4"/>
  <c r="H2593" i="4"/>
  <c r="Q2592" i="4"/>
  <c r="P2592" i="4"/>
  <c r="O2592" i="4"/>
  <c r="N2592" i="4"/>
  <c r="M2592" i="4"/>
  <c r="L2592" i="4"/>
  <c r="K2592" i="4"/>
  <c r="J2592" i="4"/>
  <c r="I2592" i="4"/>
  <c r="H2592" i="4"/>
  <c r="Q2591" i="4"/>
  <c r="P2591" i="4"/>
  <c r="O2591" i="4"/>
  <c r="N2591" i="4"/>
  <c r="M2591" i="4"/>
  <c r="L2591" i="4"/>
  <c r="K2591" i="4"/>
  <c r="J2591" i="4"/>
  <c r="I2591" i="4"/>
  <c r="H2591" i="4"/>
  <c r="Q2590" i="4"/>
  <c r="P2590" i="4"/>
  <c r="O2590" i="4"/>
  <c r="N2590" i="4"/>
  <c r="M2590" i="4"/>
  <c r="L2590" i="4"/>
  <c r="K2590" i="4"/>
  <c r="J2590" i="4"/>
  <c r="I2590" i="4"/>
  <c r="H2590" i="4"/>
  <c r="Q2589" i="4"/>
  <c r="P2589" i="4"/>
  <c r="O2589" i="4"/>
  <c r="N2589" i="4"/>
  <c r="M2589" i="4"/>
  <c r="L2589" i="4"/>
  <c r="K2589" i="4"/>
  <c r="J2589" i="4"/>
  <c r="I2589" i="4"/>
  <c r="H2589" i="4"/>
  <c r="Q2588" i="4"/>
  <c r="P2588" i="4"/>
  <c r="O2588" i="4"/>
  <c r="N2588" i="4"/>
  <c r="M2588" i="4"/>
  <c r="L2588" i="4"/>
  <c r="K2588" i="4"/>
  <c r="J2588" i="4"/>
  <c r="I2588" i="4"/>
  <c r="H2588" i="4"/>
  <c r="Q2587" i="4"/>
  <c r="P2587" i="4"/>
  <c r="O2587" i="4"/>
  <c r="N2587" i="4"/>
  <c r="M2587" i="4"/>
  <c r="L2587" i="4"/>
  <c r="K2587" i="4"/>
  <c r="J2587" i="4"/>
  <c r="I2587" i="4"/>
  <c r="H2587" i="4"/>
  <c r="Q2586" i="4"/>
  <c r="P2586" i="4"/>
  <c r="O2586" i="4"/>
  <c r="N2586" i="4"/>
  <c r="M2586" i="4"/>
  <c r="L2586" i="4"/>
  <c r="K2586" i="4"/>
  <c r="J2586" i="4"/>
  <c r="I2586" i="4"/>
  <c r="H2586" i="4"/>
  <c r="Q2585" i="4"/>
  <c r="P2585" i="4"/>
  <c r="O2585" i="4"/>
  <c r="N2585" i="4"/>
  <c r="M2585" i="4"/>
  <c r="L2585" i="4"/>
  <c r="K2585" i="4"/>
  <c r="J2585" i="4"/>
  <c r="I2585" i="4"/>
  <c r="H2585" i="4"/>
  <c r="Q2584" i="4"/>
  <c r="P2584" i="4"/>
  <c r="O2584" i="4"/>
  <c r="N2584" i="4"/>
  <c r="M2584" i="4"/>
  <c r="L2584" i="4"/>
  <c r="K2584" i="4"/>
  <c r="J2584" i="4"/>
  <c r="I2584" i="4"/>
  <c r="H2584" i="4"/>
  <c r="Q2583" i="4"/>
  <c r="P2583" i="4"/>
  <c r="O2583" i="4"/>
  <c r="N2583" i="4"/>
  <c r="M2583" i="4"/>
  <c r="L2583" i="4"/>
  <c r="K2583" i="4"/>
  <c r="J2583" i="4"/>
  <c r="I2583" i="4"/>
  <c r="H2583" i="4"/>
  <c r="Q2582" i="4"/>
  <c r="P2582" i="4"/>
  <c r="O2582" i="4"/>
  <c r="N2582" i="4"/>
  <c r="M2582" i="4"/>
  <c r="L2582" i="4"/>
  <c r="K2582" i="4"/>
  <c r="J2582" i="4"/>
  <c r="I2582" i="4"/>
  <c r="H2582" i="4"/>
  <c r="Q2581" i="4"/>
  <c r="P2581" i="4"/>
  <c r="O2581" i="4"/>
  <c r="N2581" i="4"/>
  <c r="M2581" i="4"/>
  <c r="L2581" i="4"/>
  <c r="K2581" i="4"/>
  <c r="J2581" i="4"/>
  <c r="I2581" i="4"/>
  <c r="H2581" i="4"/>
  <c r="Q2580" i="4"/>
  <c r="P2580" i="4"/>
  <c r="O2580" i="4"/>
  <c r="N2580" i="4"/>
  <c r="M2580" i="4"/>
  <c r="L2580" i="4"/>
  <c r="K2580" i="4"/>
  <c r="J2580" i="4"/>
  <c r="I2580" i="4"/>
  <c r="H2580" i="4"/>
  <c r="Q2579" i="4"/>
  <c r="P2579" i="4"/>
  <c r="O2579" i="4"/>
  <c r="N2579" i="4"/>
  <c r="M2579" i="4"/>
  <c r="L2579" i="4"/>
  <c r="K2579" i="4"/>
  <c r="J2579" i="4"/>
  <c r="I2579" i="4"/>
  <c r="H2579" i="4"/>
  <c r="Q2578" i="4"/>
  <c r="P2578" i="4"/>
  <c r="O2578" i="4"/>
  <c r="N2578" i="4"/>
  <c r="M2578" i="4"/>
  <c r="L2578" i="4"/>
  <c r="K2578" i="4"/>
  <c r="J2578" i="4"/>
  <c r="I2578" i="4"/>
  <c r="H2578" i="4"/>
  <c r="Q2577" i="4"/>
  <c r="P2577" i="4"/>
  <c r="O2577" i="4"/>
  <c r="N2577" i="4"/>
  <c r="M2577" i="4"/>
  <c r="L2577" i="4"/>
  <c r="K2577" i="4"/>
  <c r="J2577" i="4"/>
  <c r="I2577" i="4"/>
  <c r="H2577" i="4"/>
  <c r="Q2576" i="4"/>
  <c r="P2576" i="4"/>
  <c r="O2576" i="4"/>
  <c r="N2576" i="4"/>
  <c r="M2576" i="4"/>
  <c r="L2576" i="4"/>
  <c r="K2576" i="4"/>
  <c r="J2576" i="4"/>
  <c r="I2576" i="4"/>
  <c r="H2576" i="4"/>
  <c r="Q2575" i="4"/>
  <c r="P2575" i="4"/>
  <c r="O2575" i="4"/>
  <c r="N2575" i="4"/>
  <c r="M2575" i="4"/>
  <c r="L2575" i="4"/>
  <c r="K2575" i="4"/>
  <c r="J2575" i="4"/>
  <c r="I2575" i="4"/>
  <c r="H2575" i="4"/>
  <c r="Q2574" i="4"/>
  <c r="P2574" i="4"/>
  <c r="O2574" i="4"/>
  <c r="N2574" i="4"/>
  <c r="M2574" i="4"/>
  <c r="L2574" i="4"/>
  <c r="K2574" i="4"/>
  <c r="J2574" i="4"/>
  <c r="I2574" i="4"/>
  <c r="H2574" i="4"/>
  <c r="Q2573" i="4"/>
  <c r="P2573" i="4"/>
  <c r="O2573" i="4"/>
  <c r="N2573" i="4"/>
  <c r="M2573" i="4"/>
  <c r="L2573" i="4"/>
  <c r="K2573" i="4"/>
  <c r="J2573" i="4"/>
  <c r="I2573" i="4"/>
  <c r="H2573" i="4"/>
  <c r="Q2572" i="4"/>
  <c r="P2572" i="4"/>
  <c r="O2572" i="4"/>
  <c r="N2572" i="4"/>
  <c r="M2572" i="4"/>
  <c r="L2572" i="4"/>
  <c r="K2572" i="4"/>
  <c r="J2572" i="4"/>
  <c r="I2572" i="4"/>
  <c r="H2572" i="4"/>
  <c r="Q2571" i="4"/>
  <c r="P2571" i="4"/>
  <c r="O2571" i="4"/>
  <c r="N2571" i="4"/>
  <c r="M2571" i="4"/>
  <c r="L2571" i="4"/>
  <c r="K2571" i="4"/>
  <c r="J2571" i="4"/>
  <c r="I2571" i="4"/>
  <c r="H2571" i="4"/>
  <c r="Q2570" i="4"/>
  <c r="P2570" i="4"/>
  <c r="O2570" i="4"/>
  <c r="N2570" i="4"/>
  <c r="M2570" i="4"/>
  <c r="L2570" i="4"/>
  <c r="K2570" i="4"/>
  <c r="J2570" i="4"/>
  <c r="I2570" i="4"/>
  <c r="H2570" i="4"/>
  <c r="Q2569" i="4"/>
  <c r="P2569" i="4"/>
  <c r="O2569" i="4"/>
  <c r="N2569" i="4"/>
  <c r="M2569" i="4"/>
  <c r="L2569" i="4"/>
  <c r="K2569" i="4"/>
  <c r="J2569" i="4"/>
  <c r="I2569" i="4"/>
  <c r="H2569" i="4"/>
  <c r="Q2568" i="4"/>
  <c r="P2568" i="4"/>
  <c r="O2568" i="4"/>
  <c r="N2568" i="4"/>
  <c r="M2568" i="4"/>
  <c r="L2568" i="4"/>
  <c r="K2568" i="4"/>
  <c r="J2568" i="4"/>
  <c r="I2568" i="4"/>
  <c r="H2568" i="4"/>
  <c r="Q2567" i="4"/>
  <c r="P2567" i="4"/>
  <c r="O2567" i="4"/>
  <c r="N2567" i="4"/>
  <c r="M2567" i="4"/>
  <c r="L2567" i="4"/>
  <c r="K2567" i="4"/>
  <c r="J2567" i="4"/>
  <c r="I2567" i="4"/>
  <c r="H2567" i="4"/>
  <c r="Q2566" i="4"/>
  <c r="P2566" i="4"/>
  <c r="O2566" i="4"/>
  <c r="N2566" i="4"/>
  <c r="M2566" i="4"/>
  <c r="L2566" i="4"/>
  <c r="K2566" i="4"/>
  <c r="J2566" i="4"/>
  <c r="I2566" i="4"/>
  <c r="H2566" i="4"/>
  <c r="Q2565" i="4"/>
  <c r="P2565" i="4"/>
  <c r="O2565" i="4"/>
  <c r="N2565" i="4"/>
  <c r="M2565" i="4"/>
  <c r="L2565" i="4"/>
  <c r="K2565" i="4"/>
  <c r="J2565" i="4"/>
  <c r="I2565" i="4"/>
  <c r="H2565" i="4"/>
  <c r="Q2564" i="4"/>
  <c r="P2564" i="4"/>
  <c r="O2564" i="4"/>
  <c r="N2564" i="4"/>
  <c r="M2564" i="4"/>
  <c r="L2564" i="4"/>
  <c r="K2564" i="4"/>
  <c r="J2564" i="4"/>
  <c r="I2564" i="4"/>
  <c r="H2564" i="4"/>
  <c r="Q2563" i="4"/>
  <c r="P2563" i="4"/>
  <c r="O2563" i="4"/>
  <c r="N2563" i="4"/>
  <c r="M2563" i="4"/>
  <c r="L2563" i="4"/>
  <c r="K2563" i="4"/>
  <c r="J2563" i="4"/>
  <c r="I2563" i="4"/>
  <c r="H2563" i="4"/>
  <c r="Q2562" i="4"/>
  <c r="P2562" i="4"/>
  <c r="O2562" i="4"/>
  <c r="N2562" i="4"/>
  <c r="M2562" i="4"/>
  <c r="L2562" i="4"/>
  <c r="K2562" i="4"/>
  <c r="J2562" i="4"/>
  <c r="I2562" i="4"/>
  <c r="H2562" i="4"/>
  <c r="Q2561" i="4"/>
  <c r="P2561" i="4"/>
  <c r="O2561" i="4"/>
  <c r="N2561" i="4"/>
  <c r="M2561" i="4"/>
  <c r="L2561" i="4"/>
  <c r="K2561" i="4"/>
  <c r="J2561" i="4"/>
  <c r="I2561" i="4"/>
  <c r="H2561" i="4"/>
  <c r="Q2560" i="4"/>
  <c r="P2560" i="4"/>
  <c r="O2560" i="4"/>
  <c r="N2560" i="4"/>
  <c r="M2560" i="4"/>
  <c r="L2560" i="4"/>
  <c r="K2560" i="4"/>
  <c r="J2560" i="4"/>
  <c r="I2560" i="4"/>
  <c r="H2560" i="4"/>
  <c r="Q2559" i="4"/>
  <c r="P2559" i="4"/>
  <c r="O2559" i="4"/>
  <c r="N2559" i="4"/>
  <c r="M2559" i="4"/>
  <c r="L2559" i="4"/>
  <c r="K2559" i="4"/>
  <c r="J2559" i="4"/>
  <c r="I2559" i="4"/>
  <c r="H2559" i="4"/>
  <c r="Q2558" i="4"/>
  <c r="P2558" i="4"/>
  <c r="O2558" i="4"/>
  <c r="N2558" i="4"/>
  <c r="M2558" i="4"/>
  <c r="L2558" i="4"/>
  <c r="K2558" i="4"/>
  <c r="J2558" i="4"/>
  <c r="I2558" i="4"/>
  <c r="H2558" i="4"/>
  <c r="Q2557" i="4"/>
  <c r="P2557" i="4"/>
  <c r="O2557" i="4"/>
  <c r="N2557" i="4"/>
  <c r="M2557" i="4"/>
  <c r="L2557" i="4"/>
  <c r="K2557" i="4"/>
  <c r="J2557" i="4"/>
  <c r="I2557" i="4"/>
  <c r="H2557" i="4"/>
  <c r="Q2556" i="4"/>
  <c r="P2556" i="4"/>
  <c r="O2556" i="4"/>
  <c r="N2556" i="4"/>
  <c r="M2556" i="4"/>
  <c r="L2556" i="4"/>
  <c r="K2556" i="4"/>
  <c r="J2556" i="4"/>
  <c r="I2556" i="4"/>
  <c r="H2556" i="4"/>
  <c r="Q2555" i="4"/>
  <c r="P2555" i="4"/>
  <c r="O2555" i="4"/>
  <c r="N2555" i="4"/>
  <c r="M2555" i="4"/>
  <c r="L2555" i="4"/>
  <c r="K2555" i="4"/>
  <c r="J2555" i="4"/>
  <c r="I2555" i="4"/>
  <c r="H2555" i="4"/>
  <c r="Q2554" i="4"/>
  <c r="P2554" i="4"/>
  <c r="O2554" i="4"/>
  <c r="N2554" i="4"/>
  <c r="M2554" i="4"/>
  <c r="L2554" i="4"/>
  <c r="K2554" i="4"/>
  <c r="J2554" i="4"/>
  <c r="I2554" i="4"/>
  <c r="H2554" i="4"/>
  <c r="Q2553" i="4"/>
  <c r="P2553" i="4"/>
  <c r="O2553" i="4"/>
  <c r="N2553" i="4"/>
  <c r="M2553" i="4"/>
  <c r="L2553" i="4"/>
  <c r="K2553" i="4"/>
  <c r="J2553" i="4"/>
  <c r="I2553" i="4"/>
  <c r="H2553" i="4"/>
  <c r="Q2552" i="4"/>
  <c r="P2552" i="4"/>
  <c r="O2552" i="4"/>
  <c r="N2552" i="4"/>
  <c r="M2552" i="4"/>
  <c r="L2552" i="4"/>
  <c r="K2552" i="4"/>
  <c r="J2552" i="4"/>
  <c r="I2552" i="4"/>
  <c r="H2552" i="4"/>
  <c r="Q2551" i="4"/>
  <c r="P2551" i="4"/>
  <c r="O2551" i="4"/>
  <c r="N2551" i="4"/>
  <c r="M2551" i="4"/>
  <c r="L2551" i="4"/>
  <c r="K2551" i="4"/>
  <c r="J2551" i="4"/>
  <c r="I2551" i="4"/>
  <c r="H2551" i="4"/>
  <c r="Q2550" i="4"/>
  <c r="P2550" i="4"/>
  <c r="O2550" i="4"/>
  <c r="N2550" i="4"/>
  <c r="M2550" i="4"/>
  <c r="L2550" i="4"/>
  <c r="K2550" i="4"/>
  <c r="J2550" i="4"/>
  <c r="I2550" i="4"/>
  <c r="H2550" i="4"/>
  <c r="Q2549" i="4"/>
  <c r="P2549" i="4"/>
  <c r="O2549" i="4"/>
  <c r="N2549" i="4"/>
  <c r="M2549" i="4"/>
  <c r="L2549" i="4"/>
  <c r="K2549" i="4"/>
  <c r="J2549" i="4"/>
  <c r="I2549" i="4"/>
  <c r="H2549" i="4"/>
  <c r="Q2548" i="4"/>
  <c r="P2548" i="4"/>
  <c r="O2548" i="4"/>
  <c r="N2548" i="4"/>
  <c r="M2548" i="4"/>
  <c r="L2548" i="4"/>
  <c r="K2548" i="4"/>
  <c r="J2548" i="4"/>
  <c r="I2548" i="4"/>
  <c r="H2548" i="4"/>
  <c r="Q2547" i="4"/>
  <c r="P2547" i="4"/>
  <c r="O2547" i="4"/>
  <c r="N2547" i="4"/>
  <c r="M2547" i="4"/>
  <c r="L2547" i="4"/>
  <c r="K2547" i="4"/>
  <c r="J2547" i="4"/>
  <c r="I2547" i="4"/>
  <c r="H2547" i="4"/>
  <c r="Q2546" i="4"/>
  <c r="P2546" i="4"/>
  <c r="O2546" i="4"/>
  <c r="N2546" i="4"/>
  <c r="M2546" i="4"/>
  <c r="L2546" i="4"/>
  <c r="K2546" i="4"/>
  <c r="J2546" i="4"/>
  <c r="I2546" i="4"/>
  <c r="H2546" i="4"/>
  <c r="Q2545" i="4"/>
  <c r="P2545" i="4"/>
  <c r="O2545" i="4"/>
  <c r="N2545" i="4"/>
  <c r="M2545" i="4"/>
  <c r="L2545" i="4"/>
  <c r="K2545" i="4"/>
  <c r="J2545" i="4"/>
  <c r="I2545" i="4"/>
  <c r="H2545" i="4"/>
  <c r="Q2544" i="4"/>
  <c r="P2544" i="4"/>
  <c r="O2544" i="4"/>
  <c r="N2544" i="4"/>
  <c r="M2544" i="4"/>
  <c r="L2544" i="4"/>
  <c r="K2544" i="4"/>
  <c r="J2544" i="4"/>
  <c r="I2544" i="4"/>
  <c r="H2544" i="4"/>
  <c r="Q2543" i="4"/>
  <c r="P2543" i="4"/>
  <c r="O2543" i="4"/>
  <c r="N2543" i="4"/>
  <c r="M2543" i="4"/>
  <c r="L2543" i="4"/>
  <c r="K2543" i="4"/>
  <c r="J2543" i="4"/>
  <c r="I2543" i="4"/>
  <c r="H2543" i="4"/>
  <c r="Q2542" i="4"/>
  <c r="P2542" i="4"/>
  <c r="O2542" i="4"/>
  <c r="N2542" i="4"/>
  <c r="M2542" i="4"/>
  <c r="L2542" i="4"/>
  <c r="K2542" i="4"/>
  <c r="J2542" i="4"/>
  <c r="I2542" i="4"/>
  <c r="H2542" i="4"/>
  <c r="Q2541" i="4"/>
  <c r="P2541" i="4"/>
  <c r="O2541" i="4"/>
  <c r="N2541" i="4"/>
  <c r="M2541" i="4"/>
  <c r="L2541" i="4"/>
  <c r="K2541" i="4"/>
  <c r="J2541" i="4"/>
  <c r="I2541" i="4"/>
  <c r="H2541" i="4"/>
  <c r="Q2540" i="4"/>
  <c r="P2540" i="4"/>
  <c r="O2540" i="4"/>
  <c r="N2540" i="4"/>
  <c r="M2540" i="4"/>
  <c r="L2540" i="4"/>
  <c r="K2540" i="4"/>
  <c r="J2540" i="4"/>
  <c r="I2540" i="4"/>
  <c r="H2540" i="4"/>
  <c r="Q2539" i="4"/>
  <c r="P2539" i="4"/>
  <c r="O2539" i="4"/>
  <c r="N2539" i="4"/>
  <c r="M2539" i="4"/>
  <c r="L2539" i="4"/>
  <c r="K2539" i="4"/>
  <c r="J2539" i="4"/>
  <c r="I2539" i="4"/>
  <c r="H2539" i="4"/>
  <c r="Q2538" i="4"/>
  <c r="P2538" i="4"/>
  <c r="O2538" i="4"/>
  <c r="N2538" i="4"/>
  <c r="M2538" i="4"/>
  <c r="L2538" i="4"/>
  <c r="K2538" i="4"/>
  <c r="J2538" i="4"/>
  <c r="I2538" i="4"/>
  <c r="H2538" i="4"/>
  <c r="Q2537" i="4"/>
  <c r="P2537" i="4"/>
  <c r="O2537" i="4"/>
  <c r="N2537" i="4"/>
  <c r="M2537" i="4"/>
  <c r="L2537" i="4"/>
  <c r="K2537" i="4"/>
  <c r="J2537" i="4"/>
  <c r="I2537" i="4"/>
  <c r="H2537" i="4"/>
  <c r="Q2536" i="4"/>
  <c r="P2536" i="4"/>
  <c r="O2536" i="4"/>
  <c r="N2536" i="4"/>
  <c r="M2536" i="4"/>
  <c r="L2536" i="4"/>
  <c r="K2536" i="4"/>
  <c r="J2536" i="4"/>
  <c r="I2536" i="4"/>
  <c r="H2536" i="4"/>
  <c r="Q2535" i="4"/>
  <c r="P2535" i="4"/>
  <c r="O2535" i="4"/>
  <c r="N2535" i="4"/>
  <c r="M2535" i="4"/>
  <c r="L2535" i="4"/>
  <c r="K2535" i="4"/>
  <c r="J2535" i="4"/>
  <c r="I2535" i="4"/>
  <c r="H2535" i="4"/>
  <c r="Q2534" i="4"/>
  <c r="P2534" i="4"/>
  <c r="O2534" i="4"/>
  <c r="N2534" i="4"/>
  <c r="M2534" i="4"/>
  <c r="L2534" i="4"/>
  <c r="K2534" i="4"/>
  <c r="J2534" i="4"/>
  <c r="I2534" i="4"/>
  <c r="H2534" i="4"/>
  <c r="Q2533" i="4"/>
  <c r="P2533" i="4"/>
  <c r="O2533" i="4"/>
  <c r="N2533" i="4"/>
  <c r="M2533" i="4"/>
  <c r="L2533" i="4"/>
  <c r="K2533" i="4"/>
  <c r="J2533" i="4"/>
  <c r="I2533" i="4"/>
  <c r="H2533" i="4"/>
  <c r="Q2532" i="4"/>
  <c r="P2532" i="4"/>
  <c r="O2532" i="4"/>
  <c r="N2532" i="4"/>
  <c r="M2532" i="4"/>
  <c r="L2532" i="4"/>
  <c r="K2532" i="4"/>
  <c r="J2532" i="4"/>
  <c r="I2532" i="4"/>
  <c r="H2532" i="4"/>
  <c r="Q2531" i="4"/>
  <c r="P2531" i="4"/>
  <c r="O2531" i="4"/>
  <c r="N2531" i="4"/>
  <c r="M2531" i="4"/>
  <c r="L2531" i="4"/>
  <c r="K2531" i="4"/>
  <c r="J2531" i="4"/>
  <c r="I2531" i="4"/>
  <c r="H2531" i="4"/>
  <c r="Q2530" i="4"/>
  <c r="P2530" i="4"/>
  <c r="O2530" i="4"/>
  <c r="N2530" i="4"/>
  <c r="M2530" i="4"/>
  <c r="L2530" i="4"/>
  <c r="K2530" i="4"/>
  <c r="J2530" i="4"/>
  <c r="I2530" i="4"/>
  <c r="H2530" i="4"/>
  <c r="Q2529" i="4"/>
  <c r="P2529" i="4"/>
  <c r="O2529" i="4"/>
  <c r="N2529" i="4"/>
  <c r="M2529" i="4"/>
  <c r="L2529" i="4"/>
  <c r="K2529" i="4"/>
  <c r="J2529" i="4"/>
  <c r="I2529" i="4"/>
  <c r="H2529" i="4"/>
  <c r="Q2528" i="4"/>
  <c r="P2528" i="4"/>
  <c r="O2528" i="4"/>
  <c r="N2528" i="4"/>
  <c r="M2528" i="4"/>
  <c r="L2528" i="4"/>
  <c r="K2528" i="4"/>
  <c r="J2528" i="4"/>
  <c r="I2528" i="4"/>
  <c r="H2528" i="4"/>
  <c r="Q2527" i="4"/>
  <c r="P2527" i="4"/>
  <c r="O2527" i="4"/>
  <c r="N2527" i="4"/>
  <c r="M2527" i="4"/>
  <c r="L2527" i="4"/>
  <c r="K2527" i="4"/>
  <c r="J2527" i="4"/>
  <c r="I2527" i="4"/>
  <c r="H2527" i="4"/>
  <c r="Q2526" i="4"/>
  <c r="P2526" i="4"/>
  <c r="O2526" i="4"/>
  <c r="N2526" i="4"/>
  <c r="M2526" i="4"/>
  <c r="L2526" i="4"/>
  <c r="K2526" i="4"/>
  <c r="J2526" i="4"/>
  <c r="I2526" i="4"/>
  <c r="H2526" i="4"/>
  <c r="Q2525" i="4"/>
  <c r="P2525" i="4"/>
  <c r="O2525" i="4"/>
  <c r="N2525" i="4"/>
  <c r="M2525" i="4"/>
  <c r="L2525" i="4"/>
  <c r="K2525" i="4"/>
  <c r="J2525" i="4"/>
  <c r="I2525" i="4"/>
  <c r="H2525" i="4"/>
  <c r="Q2524" i="4"/>
  <c r="P2524" i="4"/>
  <c r="O2524" i="4"/>
  <c r="N2524" i="4"/>
  <c r="M2524" i="4"/>
  <c r="L2524" i="4"/>
  <c r="K2524" i="4"/>
  <c r="J2524" i="4"/>
  <c r="I2524" i="4"/>
  <c r="H2524" i="4"/>
  <c r="Q2523" i="4"/>
  <c r="P2523" i="4"/>
  <c r="O2523" i="4"/>
  <c r="N2523" i="4"/>
  <c r="M2523" i="4"/>
  <c r="L2523" i="4"/>
  <c r="K2523" i="4"/>
  <c r="J2523" i="4"/>
  <c r="I2523" i="4"/>
  <c r="H2523" i="4"/>
  <c r="Q2522" i="4"/>
  <c r="P2522" i="4"/>
  <c r="O2522" i="4"/>
  <c r="N2522" i="4"/>
  <c r="M2522" i="4"/>
  <c r="L2522" i="4"/>
  <c r="K2522" i="4"/>
  <c r="J2522" i="4"/>
  <c r="I2522" i="4"/>
  <c r="H2522" i="4"/>
  <c r="Q2521" i="4"/>
  <c r="P2521" i="4"/>
  <c r="O2521" i="4"/>
  <c r="N2521" i="4"/>
  <c r="M2521" i="4"/>
  <c r="L2521" i="4"/>
  <c r="K2521" i="4"/>
  <c r="J2521" i="4"/>
  <c r="I2521" i="4"/>
  <c r="H2521" i="4"/>
  <c r="Q2520" i="4"/>
  <c r="P2520" i="4"/>
  <c r="O2520" i="4"/>
  <c r="N2520" i="4"/>
  <c r="M2520" i="4"/>
  <c r="L2520" i="4"/>
  <c r="K2520" i="4"/>
  <c r="J2520" i="4"/>
  <c r="I2520" i="4"/>
  <c r="H2520" i="4"/>
  <c r="Q2519" i="4"/>
  <c r="P2519" i="4"/>
  <c r="O2519" i="4"/>
  <c r="N2519" i="4"/>
  <c r="M2519" i="4"/>
  <c r="L2519" i="4"/>
  <c r="K2519" i="4"/>
  <c r="J2519" i="4"/>
  <c r="I2519" i="4"/>
  <c r="H2519" i="4"/>
  <c r="Q2518" i="4"/>
  <c r="P2518" i="4"/>
  <c r="O2518" i="4"/>
  <c r="N2518" i="4"/>
  <c r="M2518" i="4"/>
  <c r="L2518" i="4"/>
  <c r="K2518" i="4"/>
  <c r="J2518" i="4"/>
  <c r="I2518" i="4"/>
  <c r="H2518" i="4"/>
  <c r="Q2517" i="4"/>
  <c r="P2517" i="4"/>
  <c r="O2517" i="4"/>
  <c r="N2517" i="4"/>
  <c r="M2517" i="4"/>
  <c r="L2517" i="4"/>
  <c r="K2517" i="4"/>
  <c r="J2517" i="4"/>
  <c r="I2517" i="4"/>
  <c r="H2517" i="4"/>
  <c r="Q2516" i="4"/>
  <c r="P2516" i="4"/>
  <c r="O2516" i="4"/>
  <c r="N2516" i="4"/>
  <c r="M2516" i="4"/>
  <c r="L2516" i="4"/>
  <c r="K2516" i="4"/>
  <c r="J2516" i="4"/>
  <c r="I2516" i="4"/>
  <c r="H2516" i="4"/>
  <c r="Q2515" i="4"/>
  <c r="P2515" i="4"/>
  <c r="O2515" i="4"/>
  <c r="N2515" i="4"/>
  <c r="M2515" i="4"/>
  <c r="L2515" i="4"/>
  <c r="K2515" i="4"/>
  <c r="J2515" i="4"/>
  <c r="I2515" i="4"/>
  <c r="H2515" i="4"/>
  <c r="Q2514" i="4"/>
  <c r="P2514" i="4"/>
  <c r="O2514" i="4"/>
  <c r="N2514" i="4"/>
  <c r="M2514" i="4"/>
  <c r="L2514" i="4"/>
  <c r="K2514" i="4"/>
  <c r="J2514" i="4"/>
  <c r="I2514" i="4"/>
  <c r="H2514" i="4"/>
  <c r="Q2513" i="4"/>
  <c r="P2513" i="4"/>
  <c r="O2513" i="4"/>
  <c r="N2513" i="4"/>
  <c r="M2513" i="4"/>
  <c r="L2513" i="4"/>
  <c r="K2513" i="4"/>
  <c r="J2513" i="4"/>
  <c r="I2513" i="4"/>
  <c r="H2513" i="4"/>
  <c r="Q2512" i="4"/>
  <c r="P2512" i="4"/>
  <c r="O2512" i="4"/>
  <c r="N2512" i="4"/>
  <c r="M2512" i="4"/>
  <c r="L2512" i="4"/>
  <c r="K2512" i="4"/>
  <c r="J2512" i="4"/>
  <c r="I2512" i="4"/>
  <c r="H2512" i="4"/>
  <c r="Q2511" i="4"/>
  <c r="P2511" i="4"/>
  <c r="O2511" i="4"/>
  <c r="N2511" i="4"/>
  <c r="M2511" i="4"/>
  <c r="L2511" i="4"/>
  <c r="K2511" i="4"/>
  <c r="J2511" i="4"/>
  <c r="I2511" i="4"/>
  <c r="H2511" i="4"/>
  <c r="Q2510" i="4"/>
  <c r="P2510" i="4"/>
  <c r="O2510" i="4"/>
  <c r="N2510" i="4"/>
  <c r="M2510" i="4"/>
  <c r="L2510" i="4"/>
  <c r="K2510" i="4"/>
  <c r="J2510" i="4"/>
  <c r="I2510" i="4"/>
  <c r="H2510" i="4"/>
  <c r="Q2509" i="4"/>
  <c r="P2509" i="4"/>
  <c r="O2509" i="4"/>
  <c r="N2509" i="4"/>
  <c r="M2509" i="4"/>
  <c r="L2509" i="4"/>
  <c r="K2509" i="4"/>
  <c r="J2509" i="4"/>
  <c r="I2509" i="4"/>
  <c r="H2509" i="4"/>
  <c r="Q2508" i="4"/>
  <c r="P2508" i="4"/>
  <c r="O2508" i="4"/>
  <c r="N2508" i="4"/>
  <c r="M2508" i="4"/>
  <c r="L2508" i="4"/>
  <c r="K2508" i="4"/>
  <c r="J2508" i="4"/>
  <c r="I2508" i="4"/>
  <c r="H2508" i="4"/>
  <c r="Q2507" i="4"/>
  <c r="P2507" i="4"/>
  <c r="O2507" i="4"/>
  <c r="N2507" i="4"/>
  <c r="M2507" i="4"/>
  <c r="L2507" i="4"/>
  <c r="K2507" i="4"/>
  <c r="J2507" i="4"/>
  <c r="I2507" i="4"/>
  <c r="H2507" i="4"/>
  <c r="Q2506" i="4"/>
  <c r="P2506" i="4"/>
  <c r="O2506" i="4"/>
  <c r="N2506" i="4"/>
  <c r="M2506" i="4"/>
  <c r="L2506" i="4"/>
  <c r="K2506" i="4"/>
  <c r="J2506" i="4"/>
  <c r="I2506" i="4"/>
  <c r="H2506" i="4"/>
  <c r="Q2505" i="4"/>
  <c r="P2505" i="4"/>
  <c r="O2505" i="4"/>
  <c r="N2505" i="4"/>
  <c r="M2505" i="4"/>
  <c r="L2505" i="4"/>
  <c r="K2505" i="4"/>
  <c r="J2505" i="4"/>
  <c r="I2505" i="4"/>
  <c r="H2505" i="4"/>
  <c r="Q2504" i="4"/>
  <c r="P2504" i="4"/>
  <c r="O2504" i="4"/>
  <c r="N2504" i="4"/>
  <c r="M2504" i="4"/>
  <c r="L2504" i="4"/>
  <c r="K2504" i="4"/>
  <c r="J2504" i="4"/>
  <c r="I2504" i="4"/>
  <c r="H2504" i="4"/>
  <c r="Q2503" i="4"/>
  <c r="P2503" i="4"/>
  <c r="O2503" i="4"/>
  <c r="N2503" i="4"/>
  <c r="M2503" i="4"/>
  <c r="L2503" i="4"/>
  <c r="K2503" i="4"/>
  <c r="J2503" i="4"/>
  <c r="I2503" i="4"/>
  <c r="H2503" i="4"/>
  <c r="Q2502" i="4"/>
  <c r="P2502" i="4"/>
  <c r="O2502" i="4"/>
  <c r="N2502" i="4"/>
  <c r="M2502" i="4"/>
  <c r="L2502" i="4"/>
  <c r="K2502" i="4"/>
  <c r="J2502" i="4"/>
  <c r="I2502" i="4"/>
  <c r="H2502" i="4"/>
  <c r="Q2501" i="4"/>
  <c r="P2501" i="4"/>
  <c r="O2501" i="4"/>
  <c r="N2501" i="4"/>
  <c r="M2501" i="4"/>
  <c r="L2501" i="4"/>
  <c r="K2501" i="4"/>
  <c r="J2501" i="4"/>
  <c r="I2501" i="4"/>
  <c r="H2501" i="4"/>
  <c r="Q2500" i="4"/>
  <c r="P2500" i="4"/>
  <c r="O2500" i="4"/>
  <c r="N2500" i="4"/>
  <c r="M2500" i="4"/>
  <c r="L2500" i="4"/>
  <c r="K2500" i="4"/>
  <c r="J2500" i="4"/>
  <c r="I2500" i="4"/>
  <c r="H2500" i="4"/>
  <c r="Q2499" i="4"/>
  <c r="P2499" i="4"/>
  <c r="O2499" i="4"/>
  <c r="N2499" i="4"/>
  <c r="M2499" i="4"/>
  <c r="L2499" i="4"/>
  <c r="K2499" i="4"/>
  <c r="J2499" i="4"/>
  <c r="I2499" i="4"/>
  <c r="H2499" i="4"/>
  <c r="Q2498" i="4"/>
  <c r="P2498" i="4"/>
  <c r="O2498" i="4"/>
  <c r="N2498" i="4"/>
  <c r="M2498" i="4"/>
  <c r="L2498" i="4"/>
  <c r="K2498" i="4"/>
  <c r="J2498" i="4"/>
  <c r="I2498" i="4"/>
  <c r="H2498" i="4"/>
  <c r="Q2497" i="4"/>
  <c r="P2497" i="4"/>
  <c r="O2497" i="4"/>
  <c r="N2497" i="4"/>
  <c r="M2497" i="4"/>
  <c r="L2497" i="4"/>
  <c r="K2497" i="4"/>
  <c r="J2497" i="4"/>
  <c r="I2497" i="4"/>
  <c r="H2497" i="4"/>
  <c r="Q2496" i="4"/>
  <c r="P2496" i="4"/>
  <c r="O2496" i="4"/>
  <c r="N2496" i="4"/>
  <c r="M2496" i="4"/>
  <c r="L2496" i="4"/>
  <c r="K2496" i="4"/>
  <c r="J2496" i="4"/>
  <c r="I2496" i="4"/>
  <c r="H2496" i="4"/>
  <c r="Q2495" i="4"/>
  <c r="P2495" i="4"/>
  <c r="O2495" i="4"/>
  <c r="N2495" i="4"/>
  <c r="M2495" i="4"/>
  <c r="L2495" i="4"/>
  <c r="K2495" i="4"/>
  <c r="J2495" i="4"/>
  <c r="I2495" i="4"/>
  <c r="H2495" i="4"/>
  <c r="Q2494" i="4"/>
  <c r="P2494" i="4"/>
  <c r="O2494" i="4"/>
  <c r="N2494" i="4"/>
  <c r="M2494" i="4"/>
  <c r="L2494" i="4"/>
  <c r="K2494" i="4"/>
  <c r="J2494" i="4"/>
  <c r="I2494" i="4"/>
  <c r="H2494" i="4"/>
  <c r="Q2493" i="4"/>
  <c r="P2493" i="4"/>
  <c r="O2493" i="4"/>
  <c r="N2493" i="4"/>
  <c r="M2493" i="4"/>
  <c r="L2493" i="4"/>
  <c r="K2493" i="4"/>
  <c r="J2493" i="4"/>
  <c r="I2493" i="4"/>
  <c r="H2493" i="4"/>
  <c r="Q2492" i="4"/>
  <c r="P2492" i="4"/>
  <c r="O2492" i="4"/>
  <c r="N2492" i="4"/>
  <c r="M2492" i="4"/>
  <c r="L2492" i="4"/>
  <c r="K2492" i="4"/>
  <c r="J2492" i="4"/>
  <c r="I2492" i="4"/>
  <c r="H2492" i="4"/>
  <c r="Q2491" i="4"/>
  <c r="P2491" i="4"/>
  <c r="O2491" i="4"/>
  <c r="N2491" i="4"/>
  <c r="M2491" i="4"/>
  <c r="L2491" i="4"/>
  <c r="K2491" i="4"/>
  <c r="J2491" i="4"/>
  <c r="I2491" i="4"/>
  <c r="H2491" i="4"/>
  <c r="Q2490" i="4"/>
  <c r="P2490" i="4"/>
  <c r="O2490" i="4"/>
  <c r="N2490" i="4"/>
  <c r="M2490" i="4"/>
  <c r="L2490" i="4"/>
  <c r="K2490" i="4"/>
  <c r="J2490" i="4"/>
  <c r="I2490" i="4"/>
  <c r="H2490" i="4"/>
  <c r="Q2489" i="4"/>
  <c r="P2489" i="4"/>
  <c r="O2489" i="4"/>
  <c r="N2489" i="4"/>
  <c r="M2489" i="4"/>
  <c r="L2489" i="4"/>
  <c r="K2489" i="4"/>
  <c r="J2489" i="4"/>
  <c r="I2489" i="4"/>
  <c r="H2489" i="4"/>
  <c r="Q2488" i="4"/>
  <c r="P2488" i="4"/>
  <c r="O2488" i="4"/>
  <c r="N2488" i="4"/>
  <c r="M2488" i="4"/>
  <c r="L2488" i="4"/>
  <c r="K2488" i="4"/>
  <c r="J2488" i="4"/>
  <c r="I2488" i="4"/>
  <c r="H2488" i="4"/>
  <c r="Q2487" i="4"/>
  <c r="P2487" i="4"/>
  <c r="O2487" i="4"/>
  <c r="N2487" i="4"/>
  <c r="M2487" i="4"/>
  <c r="L2487" i="4"/>
  <c r="K2487" i="4"/>
  <c r="J2487" i="4"/>
  <c r="I2487" i="4"/>
  <c r="H2487" i="4"/>
  <c r="Q2486" i="4"/>
  <c r="P2486" i="4"/>
  <c r="O2486" i="4"/>
  <c r="N2486" i="4"/>
  <c r="M2486" i="4"/>
  <c r="L2486" i="4"/>
  <c r="K2486" i="4"/>
  <c r="J2486" i="4"/>
  <c r="I2486" i="4"/>
  <c r="H2486" i="4"/>
  <c r="Q2485" i="4"/>
  <c r="P2485" i="4"/>
  <c r="O2485" i="4"/>
  <c r="N2485" i="4"/>
  <c r="M2485" i="4"/>
  <c r="L2485" i="4"/>
  <c r="K2485" i="4"/>
  <c r="J2485" i="4"/>
  <c r="I2485" i="4"/>
  <c r="H2485" i="4"/>
  <c r="Q2484" i="4"/>
  <c r="P2484" i="4"/>
  <c r="O2484" i="4"/>
  <c r="N2484" i="4"/>
  <c r="M2484" i="4"/>
  <c r="L2484" i="4"/>
  <c r="K2484" i="4"/>
  <c r="J2484" i="4"/>
  <c r="I2484" i="4"/>
  <c r="H2484" i="4"/>
  <c r="Q2483" i="4"/>
  <c r="P2483" i="4"/>
  <c r="O2483" i="4"/>
  <c r="N2483" i="4"/>
  <c r="M2483" i="4"/>
  <c r="L2483" i="4"/>
  <c r="K2483" i="4"/>
  <c r="J2483" i="4"/>
  <c r="I2483" i="4"/>
  <c r="H2483" i="4"/>
  <c r="Q2482" i="4"/>
  <c r="P2482" i="4"/>
  <c r="O2482" i="4"/>
  <c r="N2482" i="4"/>
  <c r="M2482" i="4"/>
  <c r="L2482" i="4"/>
  <c r="K2482" i="4"/>
  <c r="J2482" i="4"/>
  <c r="I2482" i="4"/>
  <c r="H2482" i="4"/>
  <c r="Q2481" i="4"/>
  <c r="P2481" i="4"/>
  <c r="O2481" i="4"/>
  <c r="N2481" i="4"/>
  <c r="M2481" i="4"/>
  <c r="L2481" i="4"/>
  <c r="K2481" i="4"/>
  <c r="J2481" i="4"/>
  <c r="I2481" i="4"/>
  <c r="H2481" i="4"/>
  <c r="Q2480" i="4"/>
  <c r="P2480" i="4"/>
  <c r="O2480" i="4"/>
  <c r="N2480" i="4"/>
  <c r="M2480" i="4"/>
  <c r="L2480" i="4"/>
  <c r="K2480" i="4"/>
  <c r="J2480" i="4"/>
  <c r="I2480" i="4"/>
  <c r="H2480" i="4"/>
  <c r="Q2479" i="4"/>
  <c r="P2479" i="4"/>
  <c r="O2479" i="4"/>
  <c r="N2479" i="4"/>
  <c r="M2479" i="4"/>
  <c r="L2479" i="4"/>
  <c r="K2479" i="4"/>
  <c r="J2479" i="4"/>
  <c r="I2479" i="4"/>
  <c r="H2479" i="4"/>
  <c r="Q2478" i="4"/>
  <c r="P2478" i="4"/>
  <c r="O2478" i="4"/>
  <c r="N2478" i="4"/>
  <c r="M2478" i="4"/>
  <c r="L2478" i="4"/>
  <c r="K2478" i="4"/>
  <c r="J2478" i="4"/>
  <c r="I2478" i="4"/>
  <c r="H2478" i="4"/>
  <c r="Q2477" i="4"/>
  <c r="P2477" i="4"/>
  <c r="O2477" i="4"/>
  <c r="N2477" i="4"/>
  <c r="M2477" i="4"/>
  <c r="L2477" i="4"/>
  <c r="K2477" i="4"/>
  <c r="J2477" i="4"/>
  <c r="I2477" i="4"/>
  <c r="H2477" i="4"/>
  <c r="Q2476" i="4"/>
  <c r="P2476" i="4"/>
  <c r="O2476" i="4"/>
  <c r="N2476" i="4"/>
  <c r="M2476" i="4"/>
  <c r="L2476" i="4"/>
  <c r="K2476" i="4"/>
  <c r="J2476" i="4"/>
  <c r="I2476" i="4"/>
  <c r="H2476" i="4"/>
  <c r="Q2475" i="4"/>
  <c r="P2475" i="4"/>
  <c r="O2475" i="4"/>
  <c r="N2475" i="4"/>
  <c r="M2475" i="4"/>
  <c r="L2475" i="4"/>
  <c r="K2475" i="4"/>
  <c r="J2475" i="4"/>
  <c r="I2475" i="4"/>
  <c r="H2475" i="4"/>
  <c r="Q2474" i="4"/>
  <c r="P2474" i="4"/>
  <c r="O2474" i="4"/>
  <c r="N2474" i="4"/>
  <c r="M2474" i="4"/>
  <c r="L2474" i="4"/>
  <c r="K2474" i="4"/>
  <c r="J2474" i="4"/>
  <c r="I2474" i="4"/>
  <c r="H2474" i="4"/>
  <c r="Q2473" i="4"/>
  <c r="P2473" i="4"/>
  <c r="O2473" i="4"/>
  <c r="N2473" i="4"/>
  <c r="M2473" i="4"/>
  <c r="L2473" i="4"/>
  <c r="K2473" i="4"/>
  <c r="J2473" i="4"/>
  <c r="I2473" i="4"/>
  <c r="H2473" i="4"/>
  <c r="Q2472" i="4"/>
  <c r="P2472" i="4"/>
  <c r="O2472" i="4"/>
  <c r="N2472" i="4"/>
  <c r="M2472" i="4"/>
  <c r="L2472" i="4"/>
  <c r="K2472" i="4"/>
  <c r="J2472" i="4"/>
  <c r="I2472" i="4"/>
  <c r="H2472" i="4"/>
  <c r="Q2471" i="4"/>
  <c r="P2471" i="4"/>
  <c r="O2471" i="4"/>
  <c r="N2471" i="4"/>
  <c r="M2471" i="4"/>
  <c r="L2471" i="4"/>
  <c r="K2471" i="4"/>
  <c r="J2471" i="4"/>
  <c r="I2471" i="4"/>
  <c r="H2471" i="4"/>
  <c r="Q2470" i="4"/>
  <c r="P2470" i="4"/>
  <c r="O2470" i="4"/>
  <c r="N2470" i="4"/>
  <c r="M2470" i="4"/>
  <c r="L2470" i="4"/>
  <c r="K2470" i="4"/>
  <c r="J2470" i="4"/>
  <c r="I2470" i="4"/>
  <c r="H2470" i="4"/>
  <c r="Q2469" i="4"/>
  <c r="P2469" i="4"/>
  <c r="O2469" i="4"/>
  <c r="N2469" i="4"/>
  <c r="M2469" i="4"/>
  <c r="L2469" i="4"/>
  <c r="K2469" i="4"/>
  <c r="J2469" i="4"/>
  <c r="I2469" i="4"/>
  <c r="H2469" i="4"/>
  <c r="Q2468" i="4"/>
  <c r="P2468" i="4"/>
  <c r="O2468" i="4"/>
  <c r="N2468" i="4"/>
  <c r="M2468" i="4"/>
  <c r="L2468" i="4"/>
  <c r="K2468" i="4"/>
  <c r="J2468" i="4"/>
  <c r="I2468" i="4"/>
  <c r="H2468" i="4"/>
  <c r="Q2467" i="4"/>
  <c r="P2467" i="4"/>
  <c r="O2467" i="4"/>
  <c r="N2467" i="4"/>
  <c r="M2467" i="4"/>
  <c r="L2467" i="4"/>
  <c r="K2467" i="4"/>
  <c r="J2467" i="4"/>
  <c r="I2467" i="4"/>
  <c r="H2467" i="4"/>
  <c r="Q2466" i="4"/>
  <c r="P2466" i="4"/>
  <c r="O2466" i="4"/>
  <c r="N2466" i="4"/>
  <c r="M2466" i="4"/>
  <c r="L2466" i="4"/>
  <c r="K2466" i="4"/>
  <c r="J2466" i="4"/>
  <c r="I2466" i="4"/>
  <c r="H2466" i="4"/>
  <c r="Q2465" i="4"/>
  <c r="P2465" i="4"/>
  <c r="O2465" i="4"/>
  <c r="N2465" i="4"/>
  <c r="M2465" i="4"/>
  <c r="L2465" i="4"/>
  <c r="K2465" i="4"/>
  <c r="J2465" i="4"/>
  <c r="I2465" i="4"/>
  <c r="H2465" i="4"/>
  <c r="Q2464" i="4"/>
  <c r="P2464" i="4"/>
  <c r="O2464" i="4"/>
  <c r="N2464" i="4"/>
  <c r="M2464" i="4"/>
  <c r="L2464" i="4"/>
  <c r="K2464" i="4"/>
  <c r="J2464" i="4"/>
  <c r="I2464" i="4"/>
  <c r="H2464" i="4"/>
  <c r="Q2463" i="4"/>
  <c r="P2463" i="4"/>
  <c r="O2463" i="4"/>
  <c r="N2463" i="4"/>
  <c r="M2463" i="4"/>
  <c r="L2463" i="4"/>
  <c r="K2463" i="4"/>
  <c r="J2463" i="4"/>
  <c r="I2463" i="4"/>
  <c r="H2463" i="4"/>
  <c r="Q2462" i="4"/>
  <c r="P2462" i="4"/>
  <c r="O2462" i="4"/>
  <c r="N2462" i="4"/>
  <c r="M2462" i="4"/>
  <c r="L2462" i="4"/>
  <c r="K2462" i="4"/>
  <c r="J2462" i="4"/>
  <c r="I2462" i="4"/>
  <c r="H2462" i="4"/>
  <c r="Q2461" i="4"/>
  <c r="P2461" i="4"/>
  <c r="O2461" i="4"/>
  <c r="N2461" i="4"/>
  <c r="M2461" i="4"/>
  <c r="L2461" i="4"/>
  <c r="K2461" i="4"/>
  <c r="J2461" i="4"/>
  <c r="I2461" i="4"/>
  <c r="H2461" i="4"/>
  <c r="Q2460" i="4"/>
  <c r="P2460" i="4"/>
  <c r="O2460" i="4"/>
  <c r="N2460" i="4"/>
  <c r="M2460" i="4"/>
  <c r="L2460" i="4"/>
  <c r="K2460" i="4"/>
  <c r="J2460" i="4"/>
  <c r="I2460" i="4"/>
  <c r="H2460" i="4"/>
  <c r="Q2459" i="4"/>
  <c r="P2459" i="4"/>
  <c r="O2459" i="4"/>
  <c r="N2459" i="4"/>
  <c r="M2459" i="4"/>
  <c r="L2459" i="4"/>
  <c r="K2459" i="4"/>
  <c r="J2459" i="4"/>
  <c r="I2459" i="4"/>
  <c r="H2459" i="4"/>
  <c r="Q2458" i="4"/>
  <c r="P2458" i="4"/>
  <c r="O2458" i="4"/>
  <c r="N2458" i="4"/>
  <c r="M2458" i="4"/>
  <c r="L2458" i="4"/>
  <c r="K2458" i="4"/>
  <c r="J2458" i="4"/>
  <c r="I2458" i="4"/>
  <c r="H2458" i="4"/>
  <c r="Q2457" i="4"/>
  <c r="P2457" i="4"/>
  <c r="O2457" i="4"/>
  <c r="N2457" i="4"/>
  <c r="M2457" i="4"/>
  <c r="L2457" i="4"/>
  <c r="K2457" i="4"/>
  <c r="J2457" i="4"/>
  <c r="I2457" i="4"/>
  <c r="H2457" i="4"/>
  <c r="Q2456" i="4"/>
  <c r="P2456" i="4"/>
  <c r="O2456" i="4"/>
  <c r="N2456" i="4"/>
  <c r="M2456" i="4"/>
  <c r="L2456" i="4"/>
  <c r="K2456" i="4"/>
  <c r="J2456" i="4"/>
  <c r="I2456" i="4"/>
  <c r="H2456" i="4"/>
  <c r="Q2455" i="4"/>
  <c r="P2455" i="4"/>
  <c r="O2455" i="4"/>
  <c r="N2455" i="4"/>
  <c r="M2455" i="4"/>
  <c r="L2455" i="4"/>
  <c r="K2455" i="4"/>
  <c r="J2455" i="4"/>
  <c r="I2455" i="4"/>
  <c r="H2455" i="4"/>
  <c r="Q2454" i="4"/>
  <c r="P2454" i="4"/>
  <c r="O2454" i="4"/>
  <c r="N2454" i="4"/>
  <c r="M2454" i="4"/>
  <c r="L2454" i="4"/>
  <c r="K2454" i="4"/>
  <c r="J2454" i="4"/>
  <c r="I2454" i="4"/>
  <c r="H2454" i="4"/>
  <c r="Q2453" i="4"/>
  <c r="P2453" i="4"/>
  <c r="O2453" i="4"/>
  <c r="N2453" i="4"/>
  <c r="M2453" i="4"/>
  <c r="L2453" i="4"/>
  <c r="K2453" i="4"/>
  <c r="J2453" i="4"/>
  <c r="I2453" i="4"/>
  <c r="H2453" i="4"/>
  <c r="Q2452" i="4"/>
  <c r="P2452" i="4"/>
  <c r="O2452" i="4"/>
  <c r="N2452" i="4"/>
  <c r="M2452" i="4"/>
  <c r="L2452" i="4"/>
  <c r="K2452" i="4"/>
  <c r="J2452" i="4"/>
  <c r="I2452" i="4"/>
  <c r="H2452" i="4"/>
  <c r="Q2451" i="4"/>
  <c r="P2451" i="4"/>
  <c r="O2451" i="4"/>
  <c r="N2451" i="4"/>
  <c r="M2451" i="4"/>
  <c r="L2451" i="4"/>
  <c r="K2451" i="4"/>
  <c r="J2451" i="4"/>
  <c r="I2451" i="4"/>
  <c r="H2451" i="4"/>
  <c r="Q2450" i="4"/>
  <c r="P2450" i="4"/>
  <c r="O2450" i="4"/>
  <c r="N2450" i="4"/>
  <c r="M2450" i="4"/>
  <c r="L2450" i="4"/>
  <c r="K2450" i="4"/>
  <c r="J2450" i="4"/>
  <c r="I2450" i="4"/>
  <c r="H2450" i="4"/>
  <c r="Q2449" i="4"/>
  <c r="P2449" i="4"/>
  <c r="O2449" i="4"/>
  <c r="N2449" i="4"/>
  <c r="M2449" i="4"/>
  <c r="L2449" i="4"/>
  <c r="K2449" i="4"/>
  <c r="J2449" i="4"/>
  <c r="I2449" i="4"/>
  <c r="H2449" i="4"/>
  <c r="Q2448" i="4"/>
  <c r="P2448" i="4"/>
  <c r="O2448" i="4"/>
  <c r="N2448" i="4"/>
  <c r="M2448" i="4"/>
  <c r="L2448" i="4"/>
  <c r="K2448" i="4"/>
  <c r="J2448" i="4"/>
  <c r="I2448" i="4"/>
  <c r="H2448" i="4"/>
  <c r="Q2447" i="4"/>
  <c r="P2447" i="4"/>
  <c r="O2447" i="4"/>
  <c r="N2447" i="4"/>
  <c r="M2447" i="4"/>
  <c r="L2447" i="4"/>
  <c r="K2447" i="4"/>
  <c r="J2447" i="4"/>
  <c r="I2447" i="4"/>
  <c r="H2447" i="4"/>
  <c r="Q2446" i="4"/>
  <c r="P2446" i="4"/>
  <c r="O2446" i="4"/>
  <c r="N2446" i="4"/>
  <c r="M2446" i="4"/>
  <c r="L2446" i="4"/>
  <c r="K2446" i="4"/>
  <c r="J2446" i="4"/>
  <c r="I2446" i="4"/>
  <c r="H2446" i="4"/>
  <c r="Q2445" i="4"/>
  <c r="P2445" i="4"/>
  <c r="O2445" i="4"/>
  <c r="N2445" i="4"/>
  <c r="M2445" i="4"/>
  <c r="L2445" i="4"/>
  <c r="K2445" i="4"/>
  <c r="J2445" i="4"/>
  <c r="I2445" i="4"/>
  <c r="H2445" i="4"/>
  <c r="Q2444" i="4"/>
  <c r="P2444" i="4"/>
  <c r="O2444" i="4"/>
  <c r="N2444" i="4"/>
  <c r="M2444" i="4"/>
  <c r="L2444" i="4"/>
  <c r="K2444" i="4"/>
  <c r="J2444" i="4"/>
  <c r="I2444" i="4"/>
  <c r="H2444" i="4"/>
  <c r="Q2443" i="4"/>
  <c r="P2443" i="4"/>
  <c r="O2443" i="4"/>
  <c r="N2443" i="4"/>
  <c r="M2443" i="4"/>
  <c r="L2443" i="4"/>
  <c r="K2443" i="4"/>
  <c r="J2443" i="4"/>
  <c r="I2443" i="4"/>
  <c r="H2443" i="4"/>
  <c r="Q2442" i="4"/>
  <c r="P2442" i="4"/>
  <c r="O2442" i="4"/>
  <c r="N2442" i="4"/>
  <c r="M2442" i="4"/>
  <c r="L2442" i="4"/>
  <c r="K2442" i="4"/>
  <c r="J2442" i="4"/>
  <c r="I2442" i="4"/>
  <c r="H2442" i="4"/>
  <c r="Q2441" i="4"/>
  <c r="P2441" i="4"/>
  <c r="O2441" i="4"/>
  <c r="N2441" i="4"/>
  <c r="M2441" i="4"/>
  <c r="L2441" i="4"/>
  <c r="K2441" i="4"/>
  <c r="J2441" i="4"/>
  <c r="I2441" i="4"/>
  <c r="H2441" i="4"/>
  <c r="Q2440" i="4"/>
  <c r="P2440" i="4"/>
  <c r="O2440" i="4"/>
  <c r="N2440" i="4"/>
  <c r="M2440" i="4"/>
  <c r="L2440" i="4"/>
  <c r="K2440" i="4"/>
  <c r="J2440" i="4"/>
  <c r="I2440" i="4"/>
  <c r="H2440" i="4"/>
  <c r="Q2439" i="4"/>
  <c r="P2439" i="4"/>
  <c r="O2439" i="4"/>
  <c r="N2439" i="4"/>
  <c r="M2439" i="4"/>
  <c r="L2439" i="4"/>
  <c r="K2439" i="4"/>
  <c r="J2439" i="4"/>
  <c r="I2439" i="4"/>
  <c r="H2439" i="4"/>
  <c r="Q2438" i="4"/>
  <c r="P2438" i="4"/>
  <c r="O2438" i="4"/>
  <c r="N2438" i="4"/>
  <c r="M2438" i="4"/>
  <c r="L2438" i="4"/>
  <c r="K2438" i="4"/>
  <c r="J2438" i="4"/>
  <c r="I2438" i="4"/>
  <c r="H2438" i="4"/>
  <c r="Q2437" i="4"/>
  <c r="P2437" i="4"/>
  <c r="O2437" i="4"/>
  <c r="N2437" i="4"/>
  <c r="M2437" i="4"/>
  <c r="L2437" i="4"/>
  <c r="K2437" i="4"/>
  <c r="J2437" i="4"/>
  <c r="I2437" i="4"/>
  <c r="H2437" i="4"/>
  <c r="Q2436" i="4"/>
  <c r="P2436" i="4"/>
  <c r="O2436" i="4"/>
  <c r="N2436" i="4"/>
  <c r="M2436" i="4"/>
  <c r="L2436" i="4"/>
  <c r="K2436" i="4"/>
  <c r="J2436" i="4"/>
  <c r="I2436" i="4"/>
  <c r="H2436" i="4"/>
  <c r="Q2435" i="4"/>
  <c r="P2435" i="4"/>
  <c r="O2435" i="4"/>
  <c r="N2435" i="4"/>
  <c r="M2435" i="4"/>
  <c r="L2435" i="4"/>
  <c r="K2435" i="4"/>
  <c r="J2435" i="4"/>
  <c r="I2435" i="4"/>
  <c r="H2435" i="4"/>
  <c r="Q2434" i="4"/>
  <c r="P2434" i="4"/>
  <c r="O2434" i="4"/>
  <c r="N2434" i="4"/>
  <c r="M2434" i="4"/>
  <c r="L2434" i="4"/>
  <c r="K2434" i="4"/>
  <c r="J2434" i="4"/>
  <c r="I2434" i="4"/>
  <c r="H2434" i="4"/>
  <c r="Q2433" i="4"/>
  <c r="P2433" i="4"/>
  <c r="O2433" i="4"/>
  <c r="N2433" i="4"/>
  <c r="M2433" i="4"/>
  <c r="L2433" i="4"/>
  <c r="K2433" i="4"/>
  <c r="J2433" i="4"/>
  <c r="I2433" i="4"/>
  <c r="H2433" i="4"/>
  <c r="Q2432" i="4"/>
  <c r="P2432" i="4"/>
  <c r="O2432" i="4"/>
  <c r="N2432" i="4"/>
  <c r="M2432" i="4"/>
  <c r="L2432" i="4"/>
  <c r="K2432" i="4"/>
  <c r="J2432" i="4"/>
  <c r="I2432" i="4"/>
  <c r="H2432" i="4"/>
  <c r="Q2431" i="4"/>
  <c r="P2431" i="4"/>
  <c r="O2431" i="4"/>
  <c r="N2431" i="4"/>
  <c r="M2431" i="4"/>
  <c r="L2431" i="4"/>
  <c r="K2431" i="4"/>
  <c r="J2431" i="4"/>
  <c r="I2431" i="4"/>
  <c r="H2431" i="4"/>
  <c r="Q2430" i="4"/>
  <c r="P2430" i="4"/>
  <c r="O2430" i="4"/>
  <c r="N2430" i="4"/>
  <c r="M2430" i="4"/>
  <c r="L2430" i="4"/>
  <c r="K2430" i="4"/>
  <c r="J2430" i="4"/>
  <c r="I2430" i="4"/>
  <c r="H2430" i="4"/>
  <c r="Q2429" i="4"/>
  <c r="P2429" i="4"/>
  <c r="O2429" i="4"/>
  <c r="N2429" i="4"/>
  <c r="M2429" i="4"/>
  <c r="L2429" i="4"/>
  <c r="K2429" i="4"/>
  <c r="J2429" i="4"/>
  <c r="I2429" i="4"/>
  <c r="H2429" i="4"/>
  <c r="Q2428" i="4"/>
  <c r="P2428" i="4"/>
  <c r="O2428" i="4"/>
  <c r="N2428" i="4"/>
  <c r="M2428" i="4"/>
  <c r="L2428" i="4"/>
  <c r="K2428" i="4"/>
  <c r="J2428" i="4"/>
  <c r="I2428" i="4"/>
  <c r="H2428" i="4"/>
  <c r="Q2427" i="4"/>
  <c r="P2427" i="4"/>
  <c r="O2427" i="4"/>
  <c r="N2427" i="4"/>
  <c r="M2427" i="4"/>
  <c r="L2427" i="4"/>
  <c r="K2427" i="4"/>
  <c r="J2427" i="4"/>
  <c r="I2427" i="4"/>
  <c r="H2427" i="4"/>
  <c r="Q2426" i="4"/>
  <c r="P2426" i="4"/>
  <c r="O2426" i="4"/>
  <c r="N2426" i="4"/>
  <c r="M2426" i="4"/>
  <c r="L2426" i="4"/>
  <c r="K2426" i="4"/>
  <c r="J2426" i="4"/>
  <c r="I2426" i="4"/>
  <c r="H2426" i="4"/>
  <c r="Q2425" i="4"/>
  <c r="P2425" i="4"/>
  <c r="O2425" i="4"/>
  <c r="N2425" i="4"/>
  <c r="M2425" i="4"/>
  <c r="L2425" i="4"/>
  <c r="K2425" i="4"/>
  <c r="J2425" i="4"/>
  <c r="I2425" i="4"/>
  <c r="H2425" i="4"/>
  <c r="Q2424" i="4"/>
  <c r="P2424" i="4"/>
  <c r="O2424" i="4"/>
  <c r="N2424" i="4"/>
  <c r="M2424" i="4"/>
  <c r="L2424" i="4"/>
  <c r="K2424" i="4"/>
  <c r="J2424" i="4"/>
  <c r="I2424" i="4"/>
  <c r="H2424" i="4"/>
  <c r="Q2423" i="4"/>
  <c r="P2423" i="4"/>
  <c r="O2423" i="4"/>
  <c r="N2423" i="4"/>
  <c r="M2423" i="4"/>
  <c r="L2423" i="4"/>
  <c r="K2423" i="4"/>
  <c r="J2423" i="4"/>
  <c r="I2423" i="4"/>
  <c r="H2423" i="4"/>
  <c r="Q2422" i="4"/>
  <c r="P2422" i="4"/>
  <c r="O2422" i="4"/>
  <c r="N2422" i="4"/>
  <c r="M2422" i="4"/>
  <c r="L2422" i="4"/>
  <c r="K2422" i="4"/>
  <c r="J2422" i="4"/>
  <c r="I2422" i="4"/>
  <c r="H2422" i="4"/>
  <c r="Q2421" i="4"/>
  <c r="P2421" i="4"/>
  <c r="O2421" i="4"/>
  <c r="N2421" i="4"/>
  <c r="M2421" i="4"/>
  <c r="L2421" i="4"/>
  <c r="K2421" i="4"/>
  <c r="J2421" i="4"/>
  <c r="I2421" i="4"/>
  <c r="H2421" i="4"/>
  <c r="Q2420" i="4"/>
  <c r="P2420" i="4"/>
  <c r="O2420" i="4"/>
  <c r="N2420" i="4"/>
  <c r="M2420" i="4"/>
  <c r="L2420" i="4"/>
  <c r="K2420" i="4"/>
  <c r="J2420" i="4"/>
  <c r="I2420" i="4"/>
  <c r="H2420" i="4"/>
  <c r="Q2419" i="4"/>
  <c r="P2419" i="4"/>
  <c r="O2419" i="4"/>
  <c r="N2419" i="4"/>
  <c r="M2419" i="4"/>
  <c r="L2419" i="4"/>
  <c r="K2419" i="4"/>
  <c r="J2419" i="4"/>
  <c r="I2419" i="4"/>
  <c r="H2419" i="4"/>
  <c r="Q2418" i="4"/>
  <c r="P2418" i="4"/>
  <c r="O2418" i="4"/>
  <c r="N2418" i="4"/>
  <c r="M2418" i="4"/>
  <c r="L2418" i="4"/>
  <c r="K2418" i="4"/>
  <c r="J2418" i="4"/>
  <c r="I2418" i="4"/>
  <c r="H2418" i="4"/>
  <c r="Q2417" i="4"/>
  <c r="P2417" i="4"/>
  <c r="O2417" i="4"/>
  <c r="N2417" i="4"/>
  <c r="M2417" i="4"/>
  <c r="L2417" i="4"/>
  <c r="K2417" i="4"/>
  <c r="J2417" i="4"/>
  <c r="I2417" i="4"/>
  <c r="H2417" i="4"/>
  <c r="Q2416" i="4"/>
  <c r="P2416" i="4"/>
  <c r="O2416" i="4"/>
  <c r="N2416" i="4"/>
  <c r="M2416" i="4"/>
  <c r="L2416" i="4"/>
  <c r="K2416" i="4"/>
  <c r="J2416" i="4"/>
  <c r="I2416" i="4"/>
  <c r="H2416" i="4"/>
  <c r="Q2415" i="4"/>
  <c r="P2415" i="4"/>
  <c r="O2415" i="4"/>
  <c r="N2415" i="4"/>
  <c r="M2415" i="4"/>
  <c r="L2415" i="4"/>
  <c r="K2415" i="4"/>
  <c r="J2415" i="4"/>
  <c r="I2415" i="4"/>
  <c r="H2415" i="4"/>
  <c r="Q2414" i="4"/>
  <c r="P2414" i="4"/>
  <c r="O2414" i="4"/>
  <c r="N2414" i="4"/>
  <c r="M2414" i="4"/>
  <c r="L2414" i="4"/>
  <c r="K2414" i="4"/>
  <c r="J2414" i="4"/>
  <c r="I2414" i="4"/>
  <c r="H2414" i="4"/>
  <c r="Q2413" i="4"/>
  <c r="P2413" i="4"/>
  <c r="O2413" i="4"/>
  <c r="N2413" i="4"/>
  <c r="M2413" i="4"/>
  <c r="L2413" i="4"/>
  <c r="K2413" i="4"/>
  <c r="J2413" i="4"/>
  <c r="I2413" i="4"/>
  <c r="H2413" i="4"/>
  <c r="Q2412" i="4"/>
  <c r="P2412" i="4"/>
  <c r="O2412" i="4"/>
  <c r="N2412" i="4"/>
  <c r="M2412" i="4"/>
  <c r="L2412" i="4"/>
  <c r="K2412" i="4"/>
  <c r="J2412" i="4"/>
  <c r="I2412" i="4"/>
  <c r="H2412" i="4"/>
  <c r="Q2411" i="4"/>
  <c r="P2411" i="4"/>
  <c r="O2411" i="4"/>
  <c r="N2411" i="4"/>
  <c r="M2411" i="4"/>
  <c r="L2411" i="4"/>
  <c r="K2411" i="4"/>
  <c r="J2411" i="4"/>
  <c r="I2411" i="4"/>
  <c r="H2411" i="4"/>
  <c r="Q2410" i="4"/>
  <c r="P2410" i="4"/>
  <c r="O2410" i="4"/>
  <c r="N2410" i="4"/>
  <c r="M2410" i="4"/>
  <c r="L2410" i="4"/>
  <c r="K2410" i="4"/>
  <c r="J2410" i="4"/>
  <c r="I2410" i="4"/>
  <c r="H2410" i="4"/>
  <c r="Q2409" i="4"/>
  <c r="P2409" i="4"/>
  <c r="O2409" i="4"/>
  <c r="N2409" i="4"/>
  <c r="M2409" i="4"/>
  <c r="L2409" i="4"/>
  <c r="K2409" i="4"/>
  <c r="J2409" i="4"/>
  <c r="I2409" i="4"/>
  <c r="H2409" i="4"/>
  <c r="Q2408" i="4"/>
  <c r="P2408" i="4"/>
  <c r="O2408" i="4"/>
  <c r="N2408" i="4"/>
  <c r="M2408" i="4"/>
  <c r="L2408" i="4"/>
  <c r="K2408" i="4"/>
  <c r="J2408" i="4"/>
  <c r="I2408" i="4"/>
  <c r="H2408" i="4"/>
  <c r="Q2407" i="4"/>
  <c r="P2407" i="4"/>
  <c r="O2407" i="4"/>
  <c r="N2407" i="4"/>
  <c r="M2407" i="4"/>
  <c r="L2407" i="4"/>
  <c r="K2407" i="4"/>
  <c r="J2407" i="4"/>
  <c r="I2407" i="4"/>
  <c r="H2407" i="4"/>
  <c r="Q2406" i="4"/>
  <c r="P2406" i="4"/>
  <c r="O2406" i="4"/>
  <c r="N2406" i="4"/>
  <c r="M2406" i="4"/>
  <c r="L2406" i="4"/>
  <c r="K2406" i="4"/>
  <c r="J2406" i="4"/>
  <c r="I2406" i="4"/>
  <c r="H2406" i="4"/>
  <c r="Q2405" i="4"/>
  <c r="P2405" i="4"/>
  <c r="O2405" i="4"/>
  <c r="N2405" i="4"/>
  <c r="M2405" i="4"/>
  <c r="L2405" i="4"/>
  <c r="K2405" i="4"/>
  <c r="J2405" i="4"/>
  <c r="I2405" i="4"/>
  <c r="H2405" i="4"/>
  <c r="Q2404" i="4"/>
  <c r="P2404" i="4"/>
  <c r="O2404" i="4"/>
  <c r="N2404" i="4"/>
  <c r="M2404" i="4"/>
  <c r="L2404" i="4"/>
  <c r="K2404" i="4"/>
  <c r="J2404" i="4"/>
  <c r="I2404" i="4"/>
  <c r="H2404" i="4"/>
  <c r="Q2403" i="4"/>
  <c r="P2403" i="4"/>
  <c r="O2403" i="4"/>
  <c r="N2403" i="4"/>
  <c r="M2403" i="4"/>
  <c r="L2403" i="4"/>
  <c r="K2403" i="4"/>
  <c r="J2403" i="4"/>
  <c r="I2403" i="4"/>
  <c r="H2403" i="4"/>
  <c r="Q2402" i="4"/>
  <c r="P2402" i="4"/>
  <c r="O2402" i="4"/>
  <c r="N2402" i="4"/>
  <c r="M2402" i="4"/>
  <c r="L2402" i="4"/>
  <c r="K2402" i="4"/>
  <c r="J2402" i="4"/>
  <c r="I2402" i="4"/>
  <c r="H2402" i="4"/>
  <c r="Q2401" i="4"/>
  <c r="P2401" i="4"/>
  <c r="O2401" i="4"/>
  <c r="N2401" i="4"/>
  <c r="M2401" i="4"/>
  <c r="L2401" i="4"/>
  <c r="K2401" i="4"/>
  <c r="J2401" i="4"/>
  <c r="I2401" i="4"/>
  <c r="H2401" i="4"/>
  <c r="Q2400" i="4"/>
  <c r="P2400" i="4"/>
  <c r="O2400" i="4"/>
  <c r="N2400" i="4"/>
  <c r="M2400" i="4"/>
  <c r="L2400" i="4"/>
  <c r="K2400" i="4"/>
  <c r="J2400" i="4"/>
  <c r="I2400" i="4"/>
  <c r="H2400" i="4"/>
  <c r="Q2399" i="4"/>
  <c r="P2399" i="4"/>
  <c r="O2399" i="4"/>
  <c r="N2399" i="4"/>
  <c r="M2399" i="4"/>
  <c r="L2399" i="4"/>
  <c r="K2399" i="4"/>
  <c r="J2399" i="4"/>
  <c r="I2399" i="4"/>
  <c r="H2399" i="4"/>
  <c r="Q2398" i="4"/>
  <c r="P2398" i="4"/>
  <c r="O2398" i="4"/>
  <c r="N2398" i="4"/>
  <c r="M2398" i="4"/>
  <c r="L2398" i="4"/>
  <c r="K2398" i="4"/>
  <c r="J2398" i="4"/>
  <c r="I2398" i="4"/>
  <c r="H2398" i="4"/>
  <c r="Q2397" i="4"/>
  <c r="P2397" i="4"/>
  <c r="O2397" i="4"/>
  <c r="N2397" i="4"/>
  <c r="M2397" i="4"/>
  <c r="L2397" i="4"/>
  <c r="K2397" i="4"/>
  <c r="J2397" i="4"/>
  <c r="I2397" i="4"/>
  <c r="H2397" i="4"/>
  <c r="Q2396" i="4"/>
  <c r="P2396" i="4"/>
  <c r="O2396" i="4"/>
  <c r="N2396" i="4"/>
  <c r="M2396" i="4"/>
  <c r="L2396" i="4"/>
  <c r="K2396" i="4"/>
  <c r="J2396" i="4"/>
  <c r="I2396" i="4"/>
  <c r="H2396" i="4"/>
  <c r="Q2395" i="4"/>
  <c r="P2395" i="4"/>
  <c r="O2395" i="4"/>
  <c r="N2395" i="4"/>
  <c r="M2395" i="4"/>
  <c r="L2395" i="4"/>
  <c r="K2395" i="4"/>
  <c r="J2395" i="4"/>
  <c r="I2395" i="4"/>
  <c r="H2395" i="4"/>
  <c r="Q2394" i="4"/>
  <c r="P2394" i="4"/>
  <c r="O2394" i="4"/>
  <c r="N2394" i="4"/>
  <c r="M2394" i="4"/>
  <c r="L2394" i="4"/>
  <c r="K2394" i="4"/>
  <c r="J2394" i="4"/>
  <c r="I2394" i="4"/>
  <c r="H2394" i="4"/>
  <c r="Q2393" i="4"/>
  <c r="P2393" i="4"/>
  <c r="O2393" i="4"/>
  <c r="N2393" i="4"/>
  <c r="M2393" i="4"/>
  <c r="L2393" i="4"/>
  <c r="K2393" i="4"/>
  <c r="J2393" i="4"/>
  <c r="I2393" i="4"/>
  <c r="H2393" i="4"/>
  <c r="Q2392" i="4"/>
  <c r="P2392" i="4"/>
  <c r="O2392" i="4"/>
  <c r="N2392" i="4"/>
  <c r="M2392" i="4"/>
  <c r="L2392" i="4"/>
  <c r="K2392" i="4"/>
  <c r="J2392" i="4"/>
  <c r="I2392" i="4"/>
  <c r="H2392" i="4"/>
  <c r="Q2391" i="4"/>
  <c r="P2391" i="4"/>
  <c r="O2391" i="4"/>
  <c r="N2391" i="4"/>
  <c r="M2391" i="4"/>
  <c r="L2391" i="4"/>
  <c r="K2391" i="4"/>
  <c r="J2391" i="4"/>
  <c r="I2391" i="4"/>
  <c r="H2391" i="4"/>
  <c r="Q2390" i="4"/>
  <c r="P2390" i="4"/>
  <c r="O2390" i="4"/>
  <c r="N2390" i="4"/>
  <c r="M2390" i="4"/>
  <c r="L2390" i="4"/>
  <c r="K2390" i="4"/>
  <c r="J2390" i="4"/>
  <c r="I2390" i="4"/>
  <c r="H2390" i="4"/>
  <c r="Q2389" i="4"/>
  <c r="P2389" i="4"/>
  <c r="O2389" i="4"/>
  <c r="N2389" i="4"/>
  <c r="M2389" i="4"/>
  <c r="L2389" i="4"/>
  <c r="K2389" i="4"/>
  <c r="J2389" i="4"/>
  <c r="I2389" i="4"/>
  <c r="H2389" i="4"/>
  <c r="Q2388" i="4"/>
  <c r="P2388" i="4"/>
  <c r="O2388" i="4"/>
  <c r="N2388" i="4"/>
  <c r="M2388" i="4"/>
  <c r="L2388" i="4"/>
  <c r="K2388" i="4"/>
  <c r="J2388" i="4"/>
  <c r="I2388" i="4"/>
  <c r="H2388" i="4"/>
  <c r="Q2387" i="4"/>
  <c r="P2387" i="4"/>
  <c r="O2387" i="4"/>
  <c r="N2387" i="4"/>
  <c r="M2387" i="4"/>
  <c r="L2387" i="4"/>
  <c r="K2387" i="4"/>
  <c r="J2387" i="4"/>
  <c r="I2387" i="4"/>
  <c r="H2387" i="4"/>
  <c r="Q2386" i="4"/>
  <c r="P2386" i="4"/>
  <c r="O2386" i="4"/>
  <c r="N2386" i="4"/>
  <c r="M2386" i="4"/>
  <c r="L2386" i="4"/>
  <c r="K2386" i="4"/>
  <c r="J2386" i="4"/>
  <c r="I2386" i="4"/>
  <c r="H2386" i="4"/>
  <c r="Q2385" i="4"/>
  <c r="P2385" i="4"/>
  <c r="O2385" i="4"/>
  <c r="N2385" i="4"/>
  <c r="M2385" i="4"/>
  <c r="L2385" i="4"/>
  <c r="K2385" i="4"/>
  <c r="J2385" i="4"/>
  <c r="I2385" i="4"/>
  <c r="H2385" i="4"/>
  <c r="Q2384" i="4"/>
  <c r="P2384" i="4"/>
  <c r="O2384" i="4"/>
  <c r="N2384" i="4"/>
  <c r="M2384" i="4"/>
  <c r="L2384" i="4"/>
  <c r="K2384" i="4"/>
  <c r="J2384" i="4"/>
  <c r="I2384" i="4"/>
  <c r="H2384" i="4"/>
  <c r="Q2383" i="4"/>
  <c r="P2383" i="4"/>
  <c r="O2383" i="4"/>
  <c r="N2383" i="4"/>
  <c r="M2383" i="4"/>
  <c r="L2383" i="4"/>
  <c r="K2383" i="4"/>
  <c r="J2383" i="4"/>
  <c r="I2383" i="4"/>
  <c r="H2383" i="4"/>
  <c r="Q2382" i="4"/>
  <c r="P2382" i="4"/>
  <c r="O2382" i="4"/>
  <c r="N2382" i="4"/>
  <c r="M2382" i="4"/>
  <c r="L2382" i="4"/>
  <c r="K2382" i="4"/>
  <c r="J2382" i="4"/>
  <c r="I2382" i="4"/>
  <c r="H2382" i="4"/>
  <c r="Q2381" i="4"/>
  <c r="P2381" i="4"/>
  <c r="O2381" i="4"/>
  <c r="N2381" i="4"/>
  <c r="M2381" i="4"/>
  <c r="L2381" i="4"/>
  <c r="K2381" i="4"/>
  <c r="J2381" i="4"/>
  <c r="I2381" i="4"/>
  <c r="H2381" i="4"/>
  <c r="Q2380" i="4"/>
  <c r="P2380" i="4"/>
  <c r="O2380" i="4"/>
  <c r="N2380" i="4"/>
  <c r="M2380" i="4"/>
  <c r="L2380" i="4"/>
  <c r="K2380" i="4"/>
  <c r="J2380" i="4"/>
  <c r="I2380" i="4"/>
  <c r="H2380" i="4"/>
  <c r="Q2379" i="4"/>
  <c r="P2379" i="4"/>
  <c r="O2379" i="4"/>
  <c r="N2379" i="4"/>
  <c r="M2379" i="4"/>
  <c r="L2379" i="4"/>
  <c r="K2379" i="4"/>
  <c r="J2379" i="4"/>
  <c r="I2379" i="4"/>
  <c r="H2379" i="4"/>
  <c r="Q2378" i="4"/>
  <c r="P2378" i="4"/>
  <c r="O2378" i="4"/>
  <c r="N2378" i="4"/>
  <c r="M2378" i="4"/>
  <c r="L2378" i="4"/>
  <c r="K2378" i="4"/>
  <c r="J2378" i="4"/>
  <c r="I2378" i="4"/>
  <c r="H2378" i="4"/>
  <c r="Q2377" i="4"/>
  <c r="P2377" i="4"/>
  <c r="O2377" i="4"/>
  <c r="N2377" i="4"/>
  <c r="M2377" i="4"/>
  <c r="L2377" i="4"/>
  <c r="K2377" i="4"/>
  <c r="J2377" i="4"/>
  <c r="I2377" i="4"/>
  <c r="H2377" i="4"/>
  <c r="Q2376" i="4"/>
  <c r="P2376" i="4"/>
  <c r="O2376" i="4"/>
  <c r="N2376" i="4"/>
  <c r="M2376" i="4"/>
  <c r="L2376" i="4"/>
  <c r="K2376" i="4"/>
  <c r="J2376" i="4"/>
  <c r="I2376" i="4"/>
  <c r="H2376" i="4"/>
  <c r="Q2375" i="4"/>
  <c r="P2375" i="4"/>
  <c r="O2375" i="4"/>
  <c r="N2375" i="4"/>
  <c r="M2375" i="4"/>
  <c r="L2375" i="4"/>
  <c r="K2375" i="4"/>
  <c r="J2375" i="4"/>
  <c r="I2375" i="4"/>
  <c r="H2375" i="4"/>
  <c r="Q2374" i="4"/>
  <c r="P2374" i="4"/>
  <c r="O2374" i="4"/>
  <c r="N2374" i="4"/>
  <c r="M2374" i="4"/>
  <c r="L2374" i="4"/>
  <c r="K2374" i="4"/>
  <c r="J2374" i="4"/>
  <c r="I2374" i="4"/>
  <c r="H2374" i="4"/>
  <c r="Q2373" i="4"/>
  <c r="P2373" i="4"/>
  <c r="O2373" i="4"/>
  <c r="N2373" i="4"/>
  <c r="M2373" i="4"/>
  <c r="L2373" i="4"/>
  <c r="K2373" i="4"/>
  <c r="J2373" i="4"/>
  <c r="I2373" i="4"/>
  <c r="H2373" i="4"/>
  <c r="Q2372" i="4"/>
  <c r="P2372" i="4"/>
  <c r="O2372" i="4"/>
  <c r="N2372" i="4"/>
  <c r="M2372" i="4"/>
  <c r="L2372" i="4"/>
  <c r="K2372" i="4"/>
  <c r="J2372" i="4"/>
  <c r="I2372" i="4"/>
  <c r="H2372" i="4"/>
  <c r="Q2371" i="4"/>
  <c r="P2371" i="4"/>
  <c r="O2371" i="4"/>
  <c r="N2371" i="4"/>
  <c r="M2371" i="4"/>
  <c r="L2371" i="4"/>
  <c r="K2371" i="4"/>
  <c r="J2371" i="4"/>
  <c r="I2371" i="4"/>
  <c r="H2371" i="4"/>
  <c r="Q2370" i="4"/>
  <c r="P2370" i="4"/>
  <c r="O2370" i="4"/>
  <c r="N2370" i="4"/>
  <c r="M2370" i="4"/>
  <c r="L2370" i="4"/>
  <c r="K2370" i="4"/>
  <c r="J2370" i="4"/>
  <c r="I2370" i="4"/>
  <c r="H2370" i="4"/>
  <c r="Q2369" i="4"/>
  <c r="P2369" i="4"/>
  <c r="O2369" i="4"/>
  <c r="N2369" i="4"/>
  <c r="M2369" i="4"/>
  <c r="L2369" i="4"/>
  <c r="K2369" i="4"/>
  <c r="J2369" i="4"/>
  <c r="I2369" i="4"/>
  <c r="H2369" i="4"/>
  <c r="Q2368" i="4"/>
  <c r="P2368" i="4"/>
  <c r="O2368" i="4"/>
  <c r="N2368" i="4"/>
  <c r="M2368" i="4"/>
  <c r="L2368" i="4"/>
  <c r="K2368" i="4"/>
  <c r="J2368" i="4"/>
  <c r="I2368" i="4"/>
  <c r="H2368" i="4"/>
  <c r="Q2367" i="4"/>
  <c r="P2367" i="4"/>
  <c r="O2367" i="4"/>
  <c r="N2367" i="4"/>
  <c r="M2367" i="4"/>
  <c r="L2367" i="4"/>
  <c r="K2367" i="4"/>
  <c r="J2367" i="4"/>
  <c r="I2367" i="4"/>
  <c r="H2367" i="4"/>
  <c r="Q2366" i="4"/>
  <c r="P2366" i="4"/>
  <c r="O2366" i="4"/>
  <c r="N2366" i="4"/>
  <c r="M2366" i="4"/>
  <c r="L2366" i="4"/>
  <c r="K2366" i="4"/>
  <c r="J2366" i="4"/>
  <c r="I2366" i="4"/>
  <c r="H2366" i="4"/>
  <c r="Q2365" i="4"/>
  <c r="P2365" i="4"/>
  <c r="O2365" i="4"/>
  <c r="N2365" i="4"/>
  <c r="M2365" i="4"/>
  <c r="L2365" i="4"/>
  <c r="K2365" i="4"/>
  <c r="J2365" i="4"/>
  <c r="I2365" i="4"/>
  <c r="H2365" i="4"/>
  <c r="Q2364" i="4"/>
  <c r="P2364" i="4"/>
  <c r="O2364" i="4"/>
  <c r="N2364" i="4"/>
  <c r="M2364" i="4"/>
  <c r="L2364" i="4"/>
  <c r="K2364" i="4"/>
  <c r="J2364" i="4"/>
  <c r="I2364" i="4"/>
  <c r="H2364" i="4"/>
  <c r="Q2363" i="4"/>
  <c r="P2363" i="4"/>
  <c r="O2363" i="4"/>
  <c r="N2363" i="4"/>
  <c r="M2363" i="4"/>
  <c r="L2363" i="4"/>
  <c r="K2363" i="4"/>
  <c r="J2363" i="4"/>
  <c r="I2363" i="4"/>
  <c r="H2363" i="4"/>
  <c r="Q2362" i="4"/>
  <c r="P2362" i="4"/>
  <c r="O2362" i="4"/>
  <c r="N2362" i="4"/>
  <c r="M2362" i="4"/>
  <c r="L2362" i="4"/>
  <c r="K2362" i="4"/>
  <c r="J2362" i="4"/>
  <c r="I2362" i="4"/>
  <c r="H2362" i="4"/>
  <c r="Q2361" i="4"/>
  <c r="P2361" i="4"/>
  <c r="O2361" i="4"/>
  <c r="N2361" i="4"/>
  <c r="M2361" i="4"/>
  <c r="L2361" i="4"/>
  <c r="K2361" i="4"/>
  <c r="J2361" i="4"/>
  <c r="I2361" i="4"/>
  <c r="H2361" i="4"/>
  <c r="Q2360" i="4"/>
  <c r="P2360" i="4"/>
  <c r="O2360" i="4"/>
  <c r="N2360" i="4"/>
  <c r="M2360" i="4"/>
  <c r="L2360" i="4"/>
  <c r="K2360" i="4"/>
  <c r="J2360" i="4"/>
  <c r="I2360" i="4"/>
  <c r="H2360" i="4"/>
  <c r="Q2359" i="4"/>
  <c r="P2359" i="4"/>
  <c r="O2359" i="4"/>
  <c r="N2359" i="4"/>
  <c r="M2359" i="4"/>
  <c r="L2359" i="4"/>
  <c r="K2359" i="4"/>
  <c r="J2359" i="4"/>
  <c r="I2359" i="4"/>
  <c r="H2359" i="4"/>
  <c r="Q2358" i="4"/>
  <c r="P2358" i="4"/>
  <c r="O2358" i="4"/>
  <c r="N2358" i="4"/>
  <c r="M2358" i="4"/>
  <c r="L2358" i="4"/>
  <c r="K2358" i="4"/>
  <c r="J2358" i="4"/>
  <c r="I2358" i="4"/>
  <c r="H2358" i="4"/>
  <c r="Q2357" i="4"/>
  <c r="P2357" i="4"/>
  <c r="O2357" i="4"/>
  <c r="N2357" i="4"/>
  <c r="M2357" i="4"/>
  <c r="L2357" i="4"/>
  <c r="K2357" i="4"/>
  <c r="J2357" i="4"/>
  <c r="I2357" i="4"/>
  <c r="H2357" i="4"/>
  <c r="Q2356" i="4"/>
  <c r="P2356" i="4"/>
  <c r="O2356" i="4"/>
  <c r="N2356" i="4"/>
  <c r="M2356" i="4"/>
  <c r="L2356" i="4"/>
  <c r="K2356" i="4"/>
  <c r="J2356" i="4"/>
  <c r="I2356" i="4"/>
  <c r="H2356" i="4"/>
  <c r="Q2355" i="4"/>
  <c r="P2355" i="4"/>
  <c r="O2355" i="4"/>
  <c r="N2355" i="4"/>
  <c r="M2355" i="4"/>
  <c r="L2355" i="4"/>
  <c r="K2355" i="4"/>
  <c r="J2355" i="4"/>
  <c r="I2355" i="4"/>
  <c r="H2355" i="4"/>
  <c r="Q2354" i="4"/>
  <c r="P2354" i="4"/>
  <c r="O2354" i="4"/>
  <c r="N2354" i="4"/>
  <c r="M2354" i="4"/>
  <c r="L2354" i="4"/>
  <c r="K2354" i="4"/>
  <c r="J2354" i="4"/>
  <c r="I2354" i="4"/>
  <c r="H2354" i="4"/>
  <c r="Q2353" i="4"/>
  <c r="P2353" i="4"/>
  <c r="O2353" i="4"/>
  <c r="N2353" i="4"/>
  <c r="M2353" i="4"/>
  <c r="L2353" i="4"/>
  <c r="K2353" i="4"/>
  <c r="J2353" i="4"/>
  <c r="I2353" i="4"/>
  <c r="H2353" i="4"/>
  <c r="Q2352" i="4"/>
  <c r="P2352" i="4"/>
  <c r="O2352" i="4"/>
  <c r="N2352" i="4"/>
  <c r="M2352" i="4"/>
  <c r="L2352" i="4"/>
  <c r="K2352" i="4"/>
  <c r="J2352" i="4"/>
  <c r="I2352" i="4"/>
  <c r="H2352" i="4"/>
  <c r="Q2351" i="4"/>
  <c r="P2351" i="4"/>
  <c r="O2351" i="4"/>
  <c r="N2351" i="4"/>
  <c r="M2351" i="4"/>
  <c r="L2351" i="4"/>
  <c r="K2351" i="4"/>
  <c r="J2351" i="4"/>
  <c r="I2351" i="4"/>
  <c r="H2351" i="4"/>
  <c r="Q2350" i="4"/>
  <c r="P2350" i="4"/>
  <c r="O2350" i="4"/>
  <c r="N2350" i="4"/>
  <c r="M2350" i="4"/>
  <c r="L2350" i="4"/>
  <c r="K2350" i="4"/>
  <c r="J2350" i="4"/>
  <c r="I2350" i="4"/>
  <c r="H2350" i="4"/>
  <c r="Q2349" i="4"/>
  <c r="P2349" i="4"/>
  <c r="O2349" i="4"/>
  <c r="N2349" i="4"/>
  <c r="M2349" i="4"/>
  <c r="L2349" i="4"/>
  <c r="K2349" i="4"/>
  <c r="J2349" i="4"/>
  <c r="I2349" i="4"/>
  <c r="H2349" i="4"/>
  <c r="Q2348" i="4"/>
  <c r="P2348" i="4"/>
  <c r="O2348" i="4"/>
  <c r="N2348" i="4"/>
  <c r="M2348" i="4"/>
  <c r="L2348" i="4"/>
  <c r="K2348" i="4"/>
  <c r="J2348" i="4"/>
  <c r="I2348" i="4"/>
  <c r="H2348" i="4"/>
  <c r="Q2347" i="4"/>
  <c r="P2347" i="4"/>
  <c r="O2347" i="4"/>
  <c r="N2347" i="4"/>
  <c r="M2347" i="4"/>
  <c r="L2347" i="4"/>
  <c r="K2347" i="4"/>
  <c r="J2347" i="4"/>
  <c r="I2347" i="4"/>
  <c r="H2347" i="4"/>
  <c r="Q2346" i="4"/>
  <c r="P2346" i="4"/>
  <c r="O2346" i="4"/>
  <c r="N2346" i="4"/>
  <c r="M2346" i="4"/>
  <c r="L2346" i="4"/>
  <c r="K2346" i="4"/>
  <c r="J2346" i="4"/>
  <c r="I2346" i="4"/>
  <c r="H2346" i="4"/>
  <c r="Q2345" i="4"/>
  <c r="P2345" i="4"/>
  <c r="O2345" i="4"/>
  <c r="N2345" i="4"/>
  <c r="M2345" i="4"/>
  <c r="L2345" i="4"/>
  <c r="K2345" i="4"/>
  <c r="J2345" i="4"/>
  <c r="I2345" i="4"/>
  <c r="H2345" i="4"/>
  <c r="Q2344" i="4"/>
  <c r="P2344" i="4"/>
  <c r="O2344" i="4"/>
  <c r="N2344" i="4"/>
  <c r="M2344" i="4"/>
  <c r="L2344" i="4"/>
  <c r="K2344" i="4"/>
  <c r="J2344" i="4"/>
  <c r="I2344" i="4"/>
  <c r="H2344" i="4"/>
  <c r="Q2343" i="4"/>
  <c r="P2343" i="4"/>
  <c r="O2343" i="4"/>
  <c r="N2343" i="4"/>
  <c r="M2343" i="4"/>
  <c r="L2343" i="4"/>
  <c r="K2343" i="4"/>
  <c r="J2343" i="4"/>
  <c r="I2343" i="4"/>
  <c r="H2343" i="4"/>
  <c r="Q2342" i="4"/>
  <c r="P2342" i="4"/>
  <c r="O2342" i="4"/>
  <c r="N2342" i="4"/>
  <c r="M2342" i="4"/>
  <c r="L2342" i="4"/>
  <c r="K2342" i="4"/>
  <c r="J2342" i="4"/>
  <c r="I2342" i="4"/>
  <c r="H2342" i="4"/>
  <c r="Q2341" i="4"/>
  <c r="P2341" i="4"/>
  <c r="O2341" i="4"/>
  <c r="N2341" i="4"/>
  <c r="M2341" i="4"/>
  <c r="L2341" i="4"/>
  <c r="K2341" i="4"/>
  <c r="J2341" i="4"/>
  <c r="I2341" i="4"/>
  <c r="H2341" i="4"/>
  <c r="Q2340" i="4"/>
  <c r="P2340" i="4"/>
  <c r="O2340" i="4"/>
  <c r="N2340" i="4"/>
  <c r="M2340" i="4"/>
  <c r="L2340" i="4"/>
  <c r="K2340" i="4"/>
  <c r="J2340" i="4"/>
  <c r="I2340" i="4"/>
  <c r="H2340" i="4"/>
  <c r="Q2339" i="4"/>
  <c r="P2339" i="4"/>
  <c r="O2339" i="4"/>
  <c r="N2339" i="4"/>
  <c r="M2339" i="4"/>
  <c r="L2339" i="4"/>
  <c r="K2339" i="4"/>
  <c r="J2339" i="4"/>
  <c r="I2339" i="4"/>
  <c r="H2339" i="4"/>
  <c r="Q2338" i="4"/>
  <c r="P2338" i="4"/>
  <c r="O2338" i="4"/>
  <c r="N2338" i="4"/>
  <c r="M2338" i="4"/>
  <c r="L2338" i="4"/>
  <c r="K2338" i="4"/>
  <c r="J2338" i="4"/>
  <c r="I2338" i="4"/>
  <c r="H2338" i="4"/>
  <c r="Q2337" i="4"/>
  <c r="P2337" i="4"/>
  <c r="O2337" i="4"/>
  <c r="N2337" i="4"/>
  <c r="M2337" i="4"/>
  <c r="L2337" i="4"/>
  <c r="K2337" i="4"/>
  <c r="J2337" i="4"/>
  <c r="I2337" i="4"/>
  <c r="H2337" i="4"/>
  <c r="Q2336" i="4"/>
  <c r="P2336" i="4"/>
  <c r="O2336" i="4"/>
  <c r="N2336" i="4"/>
  <c r="M2336" i="4"/>
  <c r="L2336" i="4"/>
  <c r="K2336" i="4"/>
  <c r="J2336" i="4"/>
  <c r="I2336" i="4"/>
  <c r="H2336" i="4"/>
  <c r="Q2335" i="4"/>
  <c r="P2335" i="4"/>
  <c r="O2335" i="4"/>
  <c r="N2335" i="4"/>
  <c r="M2335" i="4"/>
  <c r="L2335" i="4"/>
  <c r="K2335" i="4"/>
  <c r="J2335" i="4"/>
  <c r="I2335" i="4"/>
  <c r="H2335" i="4"/>
  <c r="Q2334" i="4"/>
  <c r="P2334" i="4"/>
  <c r="O2334" i="4"/>
  <c r="N2334" i="4"/>
  <c r="M2334" i="4"/>
  <c r="L2334" i="4"/>
  <c r="K2334" i="4"/>
  <c r="J2334" i="4"/>
  <c r="I2334" i="4"/>
  <c r="H2334" i="4"/>
  <c r="Q2333" i="4"/>
  <c r="P2333" i="4"/>
  <c r="O2333" i="4"/>
  <c r="N2333" i="4"/>
  <c r="M2333" i="4"/>
  <c r="L2333" i="4"/>
  <c r="K2333" i="4"/>
  <c r="J2333" i="4"/>
  <c r="I2333" i="4"/>
  <c r="H2333" i="4"/>
  <c r="Q2332" i="4"/>
  <c r="P2332" i="4"/>
  <c r="O2332" i="4"/>
  <c r="N2332" i="4"/>
  <c r="M2332" i="4"/>
  <c r="L2332" i="4"/>
  <c r="K2332" i="4"/>
  <c r="J2332" i="4"/>
  <c r="I2332" i="4"/>
  <c r="H2332" i="4"/>
  <c r="Q2331" i="4"/>
  <c r="P2331" i="4"/>
  <c r="O2331" i="4"/>
  <c r="N2331" i="4"/>
  <c r="M2331" i="4"/>
  <c r="L2331" i="4"/>
  <c r="K2331" i="4"/>
  <c r="J2331" i="4"/>
  <c r="I2331" i="4"/>
  <c r="H2331" i="4"/>
  <c r="Q2330" i="4"/>
  <c r="P2330" i="4"/>
  <c r="O2330" i="4"/>
  <c r="N2330" i="4"/>
  <c r="M2330" i="4"/>
  <c r="L2330" i="4"/>
  <c r="K2330" i="4"/>
  <c r="J2330" i="4"/>
  <c r="I2330" i="4"/>
  <c r="H2330" i="4"/>
  <c r="Q2329" i="4"/>
  <c r="P2329" i="4"/>
  <c r="O2329" i="4"/>
  <c r="N2329" i="4"/>
  <c r="M2329" i="4"/>
  <c r="L2329" i="4"/>
  <c r="K2329" i="4"/>
  <c r="J2329" i="4"/>
  <c r="I2329" i="4"/>
  <c r="H2329" i="4"/>
  <c r="Q2328" i="4"/>
  <c r="P2328" i="4"/>
  <c r="O2328" i="4"/>
  <c r="N2328" i="4"/>
  <c r="M2328" i="4"/>
  <c r="L2328" i="4"/>
  <c r="K2328" i="4"/>
  <c r="J2328" i="4"/>
  <c r="I2328" i="4"/>
  <c r="H2328" i="4"/>
  <c r="Q2327" i="4"/>
  <c r="P2327" i="4"/>
  <c r="O2327" i="4"/>
  <c r="N2327" i="4"/>
  <c r="M2327" i="4"/>
  <c r="L2327" i="4"/>
  <c r="K2327" i="4"/>
  <c r="J2327" i="4"/>
  <c r="I2327" i="4"/>
  <c r="H2327" i="4"/>
  <c r="Q2326" i="4"/>
  <c r="P2326" i="4"/>
  <c r="O2326" i="4"/>
  <c r="N2326" i="4"/>
  <c r="M2326" i="4"/>
  <c r="L2326" i="4"/>
  <c r="K2326" i="4"/>
  <c r="J2326" i="4"/>
  <c r="I2326" i="4"/>
  <c r="H2326" i="4"/>
  <c r="Q2325" i="4"/>
  <c r="P2325" i="4"/>
  <c r="O2325" i="4"/>
  <c r="N2325" i="4"/>
  <c r="M2325" i="4"/>
  <c r="L2325" i="4"/>
  <c r="K2325" i="4"/>
  <c r="J2325" i="4"/>
  <c r="I2325" i="4"/>
  <c r="H2325" i="4"/>
  <c r="Q2324" i="4"/>
  <c r="P2324" i="4"/>
  <c r="O2324" i="4"/>
  <c r="N2324" i="4"/>
  <c r="M2324" i="4"/>
  <c r="L2324" i="4"/>
  <c r="K2324" i="4"/>
  <c r="J2324" i="4"/>
  <c r="I2324" i="4"/>
  <c r="H2324" i="4"/>
  <c r="Q2323" i="4"/>
  <c r="P2323" i="4"/>
  <c r="O2323" i="4"/>
  <c r="N2323" i="4"/>
  <c r="M2323" i="4"/>
  <c r="L2323" i="4"/>
  <c r="K2323" i="4"/>
  <c r="J2323" i="4"/>
  <c r="I2323" i="4"/>
  <c r="H2323" i="4"/>
  <c r="Q2322" i="4"/>
  <c r="P2322" i="4"/>
  <c r="O2322" i="4"/>
  <c r="N2322" i="4"/>
  <c r="M2322" i="4"/>
  <c r="L2322" i="4"/>
  <c r="K2322" i="4"/>
  <c r="J2322" i="4"/>
  <c r="I2322" i="4"/>
  <c r="H2322" i="4"/>
  <c r="Q2321" i="4"/>
  <c r="P2321" i="4"/>
  <c r="O2321" i="4"/>
  <c r="N2321" i="4"/>
  <c r="M2321" i="4"/>
  <c r="L2321" i="4"/>
  <c r="K2321" i="4"/>
  <c r="J2321" i="4"/>
  <c r="I2321" i="4"/>
  <c r="H2321" i="4"/>
  <c r="Q2320" i="4"/>
  <c r="P2320" i="4"/>
  <c r="O2320" i="4"/>
  <c r="N2320" i="4"/>
  <c r="M2320" i="4"/>
  <c r="L2320" i="4"/>
  <c r="K2320" i="4"/>
  <c r="J2320" i="4"/>
  <c r="I2320" i="4"/>
  <c r="H2320" i="4"/>
  <c r="Q2319" i="4"/>
  <c r="P2319" i="4"/>
  <c r="O2319" i="4"/>
  <c r="N2319" i="4"/>
  <c r="M2319" i="4"/>
  <c r="L2319" i="4"/>
  <c r="K2319" i="4"/>
  <c r="J2319" i="4"/>
  <c r="I2319" i="4"/>
  <c r="H2319" i="4"/>
  <c r="Q2318" i="4"/>
  <c r="P2318" i="4"/>
  <c r="O2318" i="4"/>
  <c r="N2318" i="4"/>
  <c r="M2318" i="4"/>
  <c r="L2318" i="4"/>
  <c r="K2318" i="4"/>
  <c r="J2318" i="4"/>
  <c r="I2318" i="4"/>
  <c r="H2318" i="4"/>
  <c r="Q2317" i="4"/>
  <c r="P2317" i="4"/>
  <c r="O2317" i="4"/>
  <c r="N2317" i="4"/>
  <c r="M2317" i="4"/>
  <c r="L2317" i="4"/>
  <c r="K2317" i="4"/>
  <c r="J2317" i="4"/>
  <c r="I2317" i="4"/>
  <c r="H2317" i="4"/>
  <c r="Q2316" i="4"/>
  <c r="P2316" i="4"/>
  <c r="O2316" i="4"/>
  <c r="N2316" i="4"/>
  <c r="M2316" i="4"/>
  <c r="L2316" i="4"/>
  <c r="K2316" i="4"/>
  <c r="J2316" i="4"/>
  <c r="I2316" i="4"/>
  <c r="H2316" i="4"/>
  <c r="Q2315" i="4"/>
  <c r="P2315" i="4"/>
  <c r="O2315" i="4"/>
  <c r="N2315" i="4"/>
  <c r="M2315" i="4"/>
  <c r="L2315" i="4"/>
  <c r="K2315" i="4"/>
  <c r="J2315" i="4"/>
  <c r="I2315" i="4"/>
  <c r="H2315" i="4"/>
  <c r="Q2314" i="4"/>
  <c r="P2314" i="4"/>
  <c r="O2314" i="4"/>
  <c r="N2314" i="4"/>
  <c r="M2314" i="4"/>
  <c r="L2314" i="4"/>
  <c r="K2314" i="4"/>
  <c r="J2314" i="4"/>
  <c r="I2314" i="4"/>
  <c r="H2314" i="4"/>
  <c r="Q2313" i="4"/>
  <c r="P2313" i="4"/>
  <c r="O2313" i="4"/>
  <c r="N2313" i="4"/>
  <c r="M2313" i="4"/>
  <c r="L2313" i="4"/>
  <c r="K2313" i="4"/>
  <c r="J2313" i="4"/>
  <c r="I2313" i="4"/>
  <c r="H2313" i="4"/>
  <c r="Q2312" i="4"/>
  <c r="P2312" i="4"/>
  <c r="O2312" i="4"/>
  <c r="N2312" i="4"/>
  <c r="M2312" i="4"/>
  <c r="L2312" i="4"/>
  <c r="K2312" i="4"/>
  <c r="J2312" i="4"/>
  <c r="I2312" i="4"/>
  <c r="H2312" i="4"/>
  <c r="Q2311" i="4"/>
  <c r="P2311" i="4"/>
  <c r="O2311" i="4"/>
  <c r="N2311" i="4"/>
  <c r="M2311" i="4"/>
  <c r="L2311" i="4"/>
  <c r="K2311" i="4"/>
  <c r="J2311" i="4"/>
  <c r="I2311" i="4"/>
  <c r="H2311" i="4"/>
  <c r="Q2310" i="4"/>
  <c r="P2310" i="4"/>
  <c r="O2310" i="4"/>
  <c r="N2310" i="4"/>
  <c r="M2310" i="4"/>
  <c r="L2310" i="4"/>
  <c r="K2310" i="4"/>
  <c r="J2310" i="4"/>
  <c r="I2310" i="4"/>
  <c r="H2310" i="4"/>
  <c r="Q2309" i="4"/>
  <c r="P2309" i="4"/>
  <c r="O2309" i="4"/>
  <c r="N2309" i="4"/>
  <c r="M2309" i="4"/>
  <c r="L2309" i="4"/>
  <c r="K2309" i="4"/>
  <c r="J2309" i="4"/>
  <c r="I2309" i="4"/>
  <c r="H2309" i="4"/>
  <c r="Q2308" i="4"/>
  <c r="P2308" i="4"/>
  <c r="O2308" i="4"/>
  <c r="N2308" i="4"/>
  <c r="M2308" i="4"/>
  <c r="L2308" i="4"/>
  <c r="K2308" i="4"/>
  <c r="J2308" i="4"/>
  <c r="I2308" i="4"/>
  <c r="H2308" i="4"/>
  <c r="Q2307" i="4"/>
  <c r="P2307" i="4"/>
  <c r="O2307" i="4"/>
  <c r="N2307" i="4"/>
  <c r="M2307" i="4"/>
  <c r="L2307" i="4"/>
  <c r="K2307" i="4"/>
  <c r="J2307" i="4"/>
  <c r="I2307" i="4"/>
  <c r="H2307" i="4"/>
  <c r="Q2306" i="4"/>
  <c r="P2306" i="4"/>
  <c r="O2306" i="4"/>
  <c r="N2306" i="4"/>
  <c r="M2306" i="4"/>
  <c r="L2306" i="4"/>
  <c r="K2306" i="4"/>
  <c r="J2306" i="4"/>
  <c r="I2306" i="4"/>
  <c r="H2306" i="4"/>
  <c r="Q2305" i="4"/>
  <c r="P2305" i="4"/>
  <c r="O2305" i="4"/>
  <c r="N2305" i="4"/>
  <c r="M2305" i="4"/>
  <c r="L2305" i="4"/>
  <c r="K2305" i="4"/>
  <c r="J2305" i="4"/>
  <c r="I2305" i="4"/>
  <c r="H2305" i="4"/>
  <c r="Q2304" i="4"/>
  <c r="P2304" i="4"/>
  <c r="O2304" i="4"/>
  <c r="N2304" i="4"/>
  <c r="M2304" i="4"/>
  <c r="L2304" i="4"/>
  <c r="K2304" i="4"/>
  <c r="J2304" i="4"/>
  <c r="I2304" i="4"/>
  <c r="H2304" i="4"/>
  <c r="Q2303" i="4"/>
  <c r="P2303" i="4"/>
  <c r="O2303" i="4"/>
  <c r="N2303" i="4"/>
  <c r="M2303" i="4"/>
  <c r="L2303" i="4"/>
  <c r="K2303" i="4"/>
  <c r="J2303" i="4"/>
  <c r="I2303" i="4"/>
  <c r="H2303" i="4"/>
  <c r="Q2302" i="4"/>
  <c r="P2302" i="4"/>
  <c r="O2302" i="4"/>
  <c r="N2302" i="4"/>
  <c r="M2302" i="4"/>
  <c r="L2302" i="4"/>
  <c r="K2302" i="4"/>
  <c r="J2302" i="4"/>
  <c r="I2302" i="4"/>
  <c r="H2302" i="4"/>
  <c r="Q2301" i="4"/>
  <c r="P2301" i="4"/>
  <c r="O2301" i="4"/>
  <c r="N2301" i="4"/>
  <c r="M2301" i="4"/>
  <c r="L2301" i="4"/>
  <c r="K2301" i="4"/>
  <c r="J2301" i="4"/>
  <c r="I2301" i="4"/>
  <c r="H2301" i="4"/>
  <c r="Q2300" i="4"/>
  <c r="P2300" i="4"/>
  <c r="O2300" i="4"/>
  <c r="N2300" i="4"/>
  <c r="M2300" i="4"/>
  <c r="L2300" i="4"/>
  <c r="K2300" i="4"/>
  <c r="J2300" i="4"/>
  <c r="I2300" i="4"/>
  <c r="H2300" i="4"/>
  <c r="Q2299" i="4"/>
  <c r="P2299" i="4"/>
  <c r="O2299" i="4"/>
  <c r="N2299" i="4"/>
  <c r="M2299" i="4"/>
  <c r="L2299" i="4"/>
  <c r="K2299" i="4"/>
  <c r="J2299" i="4"/>
  <c r="I2299" i="4"/>
  <c r="H2299" i="4"/>
  <c r="Q2298" i="4"/>
  <c r="P2298" i="4"/>
  <c r="O2298" i="4"/>
  <c r="N2298" i="4"/>
  <c r="M2298" i="4"/>
  <c r="L2298" i="4"/>
  <c r="K2298" i="4"/>
  <c r="J2298" i="4"/>
  <c r="I2298" i="4"/>
  <c r="H2298" i="4"/>
  <c r="Q2297" i="4"/>
  <c r="P2297" i="4"/>
  <c r="O2297" i="4"/>
  <c r="N2297" i="4"/>
  <c r="M2297" i="4"/>
  <c r="L2297" i="4"/>
  <c r="K2297" i="4"/>
  <c r="J2297" i="4"/>
  <c r="I2297" i="4"/>
  <c r="H2297" i="4"/>
  <c r="Q2296" i="4"/>
  <c r="P2296" i="4"/>
  <c r="O2296" i="4"/>
  <c r="N2296" i="4"/>
  <c r="M2296" i="4"/>
  <c r="L2296" i="4"/>
  <c r="K2296" i="4"/>
  <c r="J2296" i="4"/>
  <c r="I2296" i="4"/>
  <c r="H2296" i="4"/>
  <c r="Q2295" i="4"/>
  <c r="P2295" i="4"/>
  <c r="O2295" i="4"/>
  <c r="N2295" i="4"/>
  <c r="M2295" i="4"/>
  <c r="L2295" i="4"/>
  <c r="K2295" i="4"/>
  <c r="J2295" i="4"/>
  <c r="I2295" i="4"/>
  <c r="H2295" i="4"/>
  <c r="Q2294" i="4"/>
  <c r="P2294" i="4"/>
  <c r="O2294" i="4"/>
  <c r="N2294" i="4"/>
  <c r="M2294" i="4"/>
  <c r="L2294" i="4"/>
  <c r="K2294" i="4"/>
  <c r="J2294" i="4"/>
  <c r="I2294" i="4"/>
  <c r="H2294" i="4"/>
  <c r="Q2293" i="4"/>
  <c r="P2293" i="4"/>
  <c r="O2293" i="4"/>
  <c r="N2293" i="4"/>
  <c r="M2293" i="4"/>
  <c r="L2293" i="4"/>
  <c r="K2293" i="4"/>
  <c r="J2293" i="4"/>
  <c r="I2293" i="4"/>
  <c r="H2293" i="4"/>
  <c r="Q2292" i="4"/>
  <c r="P2292" i="4"/>
  <c r="O2292" i="4"/>
  <c r="N2292" i="4"/>
  <c r="M2292" i="4"/>
  <c r="L2292" i="4"/>
  <c r="K2292" i="4"/>
  <c r="J2292" i="4"/>
  <c r="I2292" i="4"/>
  <c r="H2292" i="4"/>
  <c r="Q2291" i="4"/>
  <c r="P2291" i="4"/>
  <c r="O2291" i="4"/>
  <c r="N2291" i="4"/>
  <c r="M2291" i="4"/>
  <c r="L2291" i="4"/>
  <c r="K2291" i="4"/>
  <c r="J2291" i="4"/>
  <c r="I2291" i="4"/>
  <c r="H2291" i="4"/>
  <c r="Q2290" i="4"/>
  <c r="P2290" i="4"/>
  <c r="O2290" i="4"/>
  <c r="N2290" i="4"/>
  <c r="M2290" i="4"/>
  <c r="L2290" i="4"/>
  <c r="K2290" i="4"/>
  <c r="J2290" i="4"/>
  <c r="I2290" i="4"/>
  <c r="H2290" i="4"/>
  <c r="Q2289" i="4"/>
  <c r="P2289" i="4"/>
  <c r="O2289" i="4"/>
  <c r="N2289" i="4"/>
  <c r="M2289" i="4"/>
  <c r="L2289" i="4"/>
  <c r="K2289" i="4"/>
  <c r="J2289" i="4"/>
  <c r="I2289" i="4"/>
  <c r="H2289" i="4"/>
  <c r="Q2288" i="4"/>
  <c r="P2288" i="4"/>
  <c r="O2288" i="4"/>
  <c r="N2288" i="4"/>
  <c r="M2288" i="4"/>
  <c r="L2288" i="4"/>
  <c r="K2288" i="4"/>
  <c r="J2288" i="4"/>
  <c r="I2288" i="4"/>
  <c r="H2288" i="4"/>
  <c r="Q2287" i="4"/>
  <c r="P2287" i="4"/>
  <c r="O2287" i="4"/>
  <c r="N2287" i="4"/>
  <c r="M2287" i="4"/>
  <c r="L2287" i="4"/>
  <c r="K2287" i="4"/>
  <c r="J2287" i="4"/>
  <c r="I2287" i="4"/>
  <c r="H2287" i="4"/>
  <c r="Q2286" i="4"/>
  <c r="P2286" i="4"/>
  <c r="O2286" i="4"/>
  <c r="N2286" i="4"/>
  <c r="M2286" i="4"/>
  <c r="L2286" i="4"/>
  <c r="K2286" i="4"/>
  <c r="J2286" i="4"/>
  <c r="I2286" i="4"/>
  <c r="H2286" i="4"/>
  <c r="Q2285" i="4"/>
  <c r="P2285" i="4"/>
  <c r="O2285" i="4"/>
  <c r="N2285" i="4"/>
  <c r="M2285" i="4"/>
  <c r="L2285" i="4"/>
  <c r="K2285" i="4"/>
  <c r="J2285" i="4"/>
  <c r="I2285" i="4"/>
  <c r="H2285" i="4"/>
  <c r="Q2284" i="4"/>
  <c r="P2284" i="4"/>
  <c r="O2284" i="4"/>
  <c r="N2284" i="4"/>
  <c r="M2284" i="4"/>
  <c r="L2284" i="4"/>
  <c r="K2284" i="4"/>
  <c r="J2284" i="4"/>
  <c r="I2284" i="4"/>
  <c r="H2284" i="4"/>
  <c r="Q2283" i="4"/>
  <c r="P2283" i="4"/>
  <c r="O2283" i="4"/>
  <c r="N2283" i="4"/>
  <c r="M2283" i="4"/>
  <c r="L2283" i="4"/>
  <c r="K2283" i="4"/>
  <c r="J2283" i="4"/>
  <c r="I2283" i="4"/>
  <c r="H2283" i="4"/>
  <c r="Q2282" i="4"/>
  <c r="P2282" i="4"/>
  <c r="O2282" i="4"/>
  <c r="N2282" i="4"/>
  <c r="M2282" i="4"/>
  <c r="L2282" i="4"/>
  <c r="K2282" i="4"/>
  <c r="J2282" i="4"/>
  <c r="I2282" i="4"/>
  <c r="H2282" i="4"/>
  <c r="Q2281" i="4"/>
  <c r="P2281" i="4"/>
  <c r="O2281" i="4"/>
  <c r="N2281" i="4"/>
  <c r="M2281" i="4"/>
  <c r="L2281" i="4"/>
  <c r="K2281" i="4"/>
  <c r="J2281" i="4"/>
  <c r="I2281" i="4"/>
  <c r="H2281" i="4"/>
  <c r="Q2280" i="4"/>
  <c r="P2280" i="4"/>
  <c r="O2280" i="4"/>
  <c r="N2280" i="4"/>
  <c r="M2280" i="4"/>
  <c r="L2280" i="4"/>
  <c r="K2280" i="4"/>
  <c r="J2280" i="4"/>
  <c r="I2280" i="4"/>
  <c r="H2280" i="4"/>
  <c r="Q2279" i="4"/>
  <c r="P2279" i="4"/>
  <c r="O2279" i="4"/>
  <c r="N2279" i="4"/>
  <c r="M2279" i="4"/>
  <c r="L2279" i="4"/>
  <c r="K2279" i="4"/>
  <c r="J2279" i="4"/>
  <c r="I2279" i="4"/>
  <c r="H2279" i="4"/>
  <c r="Q2278" i="4"/>
  <c r="P2278" i="4"/>
  <c r="O2278" i="4"/>
  <c r="N2278" i="4"/>
  <c r="M2278" i="4"/>
  <c r="L2278" i="4"/>
  <c r="K2278" i="4"/>
  <c r="J2278" i="4"/>
  <c r="I2278" i="4"/>
  <c r="H2278" i="4"/>
  <c r="Q2277" i="4"/>
  <c r="P2277" i="4"/>
  <c r="O2277" i="4"/>
  <c r="N2277" i="4"/>
  <c r="M2277" i="4"/>
  <c r="L2277" i="4"/>
  <c r="K2277" i="4"/>
  <c r="J2277" i="4"/>
  <c r="I2277" i="4"/>
  <c r="H2277" i="4"/>
  <c r="Q2276" i="4"/>
  <c r="P2276" i="4"/>
  <c r="O2276" i="4"/>
  <c r="N2276" i="4"/>
  <c r="M2276" i="4"/>
  <c r="L2276" i="4"/>
  <c r="K2276" i="4"/>
  <c r="J2276" i="4"/>
  <c r="I2276" i="4"/>
  <c r="H2276" i="4"/>
  <c r="Q2275" i="4"/>
  <c r="P2275" i="4"/>
  <c r="O2275" i="4"/>
  <c r="N2275" i="4"/>
  <c r="M2275" i="4"/>
  <c r="L2275" i="4"/>
  <c r="K2275" i="4"/>
  <c r="J2275" i="4"/>
  <c r="I2275" i="4"/>
  <c r="H2275" i="4"/>
  <c r="Q2274" i="4"/>
  <c r="P2274" i="4"/>
  <c r="O2274" i="4"/>
  <c r="N2274" i="4"/>
  <c r="M2274" i="4"/>
  <c r="L2274" i="4"/>
  <c r="K2274" i="4"/>
  <c r="J2274" i="4"/>
  <c r="I2274" i="4"/>
  <c r="H2274" i="4"/>
  <c r="Q2273" i="4"/>
  <c r="P2273" i="4"/>
  <c r="O2273" i="4"/>
  <c r="N2273" i="4"/>
  <c r="M2273" i="4"/>
  <c r="L2273" i="4"/>
  <c r="K2273" i="4"/>
  <c r="J2273" i="4"/>
  <c r="I2273" i="4"/>
  <c r="H2273" i="4"/>
  <c r="Q2272" i="4"/>
  <c r="P2272" i="4"/>
  <c r="O2272" i="4"/>
  <c r="N2272" i="4"/>
  <c r="M2272" i="4"/>
  <c r="L2272" i="4"/>
  <c r="K2272" i="4"/>
  <c r="J2272" i="4"/>
  <c r="I2272" i="4"/>
  <c r="H2272" i="4"/>
  <c r="Q2271" i="4"/>
  <c r="P2271" i="4"/>
  <c r="O2271" i="4"/>
  <c r="N2271" i="4"/>
  <c r="M2271" i="4"/>
  <c r="L2271" i="4"/>
  <c r="K2271" i="4"/>
  <c r="J2271" i="4"/>
  <c r="I2271" i="4"/>
  <c r="H2271" i="4"/>
  <c r="Q2270" i="4"/>
  <c r="P2270" i="4"/>
  <c r="O2270" i="4"/>
  <c r="N2270" i="4"/>
  <c r="M2270" i="4"/>
  <c r="L2270" i="4"/>
  <c r="K2270" i="4"/>
  <c r="J2270" i="4"/>
  <c r="I2270" i="4"/>
  <c r="H2270" i="4"/>
  <c r="Q2269" i="4"/>
  <c r="P2269" i="4"/>
  <c r="O2269" i="4"/>
  <c r="N2269" i="4"/>
  <c r="M2269" i="4"/>
  <c r="L2269" i="4"/>
  <c r="K2269" i="4"/>
  <c r="J2269" i="4"/>
  <c r="I2269" i="4"/>
  <c r="H2269" i="4"/>
  <c r="Q2268" i="4"/>
  <c r="P2268" i="4"/>
  <c r="O2268" i="4"/>
  <c r="N2268" i="4"/>
  <c r="M2268" i="4"/>
  <c r="L2268" i="4"/>
  <c r="K2268" i="4"/>
  <c r="J2268" i="4"/>
  <c r="I2268" i="4"/>
  <c r="H2268" i="4"/>
  <c r="Q2267" i="4"/>
  <c r="P2267" i="4"/>
  <c r="O2267" i="4"/>
  <c r="N2267" i="4"/>
  <c r="M2267" i="4"/>
  <c r="L2267" i="4"/>
  <c r="K2267" i="4"/>
  <c r="J2267" i="4"/>
  <c r="I2267" i="4"/>
  <c r="H2267" i="4"/>
  <c r="Q2266" i="4"/>
  <c r="P2266" i="4"/>
  <c r="O2266" i="4"/>
  <c r="N2266" i="4"/>
  <c r="M2266" i="4"/>
  <c r="L2266" i="4"/>
  <c r="K2266" i="4"/>
  <c r="J2266" i="4"/>
  <c r="I2266" i="4"/>
  <c r="H2266" i="4"/>
  <c r="Q2265" i="4"/>
  <c r="P2265" i="4"/>
  <c r="O2265" i="4"/>
  <c r="N2265" i="4"/>
  <c r="M2265" i="4"/>
  <c r="L2265" i="4"/>
  <c r="K2265" i="4"/>
  <c r="J2265" i="4"/>
  <c r="I2265" i="4"/>
  <c r="H2265" i="4"/>
  <c r="Q2264" i="4"/>
  <c r="P2264" i="4"/>
  <c r="O2264" i="4"/>
  <c r="N2264" i="4"/>
  <c r="M2264" i="4"/>
  <c r="L2264" i="4"/>
  <c r="K2264" i="4"/>
  <c r="J2264" i="4"/>
  <c r="I2264" i="4"/>
  <c r="H2264" i="4"/>
  <c r="Q2263" i="4"/>
  <c r="P2263" i="4"/>
  <c r="O2263" i="4"/>
  <c r="N2263" i="4"/>
  <c r="M2263" i="4"/>
  <c r="L2263" i="4"/>
  <c r="K2263" i="4"/>
  <c r="J2263" i="4"/>
  <c r="I2263" i="4"/>
  <c r="H2263" i="4"/>
  <c r="Q2262" i="4"/>
  <c r="P2262" i="4"/>
  <c r="O2262" i="4"/>
  <c r="N2262" i="4"/>
  <c r="M2262" i="4"/>
  <c r="L2262" i="4"/>
  <c r="K2262" i="4"/>
  <c r="J2262" i="4"/>
  <c r="I2262" i="4"/>
  <c r="H2262" i="4"/>
  <c r="Q2261" i="4"/>
  <c r="P2261" i="4"/>
  <c r="O2261" i="4"/>
  <c r="N2261" i="4"/>
  <c r="M2261" i="4"/>
  <c r="L2261" i="4"/>
  <c r="K2261" i="4"/>
  <c r="J2261" i="4"/>
  <c r="I2261" i="4"/>
  <c r="H2261" i="4"/>
  <c r="Q2260" i="4"/>
  <c r="P2260" i="4"/>
  <c r="O2260" i="4"/>
  <c r="N2260" i="4"/>
  <c r="M2260" i="4"/>
  <c r="L2260" i="4"/>
  <c r="K2260" i="4"/>
  <c r="J2260" i="4"/>
  <c r="I2260" i="4"/>
  <c r="H2260" i="4"/>
  <c r="Q2259" i="4"/>
  <c r="P2259" i="4"/>
  <c r="O2259" i="4"/>
  <c r="N2259" i="4"/>
  <c r="M2259" i="4"/>
  <c r="L2259" i="4"/>
  <c r="K2259" i="4"/>
  <c r="J2259" i="4"/>
  <c r="I2259" i="4"/>
  <c r="H2259" i="4"/>
  <c r="Q2258" i="4"/>
  <c r="P2258" i="4"/>
  <c r="O2258" i="4"/>
  <c r="N2258" i="4"/>
  <c r="M2258" i="4"/>
  <c r="L2258" i="4"/>
  <c r="K2258" i="4"/>
  <c r="J2258" i="4"/>
  <c r="I2258" i="4"/>
  <c r="H2258" i="4"/>
  <c r="Q2257" i="4"/>
  <c r="P2257" i="4"/>
  <c r="O2257" i="4"/>
  <c r="N2257" i="4"/>
  <c r="M2257" i="4"/>
  <c r="L2257" i="4"/>
  <c r="K2257" i="4"/>
  <c r="J2257" i="4"/>
  <c r="I2257" i="4"/>
  <c r="H2257" i="4"/>
  <c r="Q2256" i="4"/>
  <c r="P2256" i="4"/>
  <c r="O2256" i="4"/>
  <c r="N2256" i="4"/>
  <c r="M2256" i="4"/>
  <c r="L2256" i="4"/>
  <c r="K2256" i="4"/>
  <c r="J2256" i="4"/>
  <c r="I2256" i="4"/>
  <c r="H2256" i="4"/>
  <c r="Q2255" i="4"/>
  <c r="P2255" i="4"/>
  <c r="O2255" i="4"/>
  <c r="N2255" i="4"/>
  <c r="M2255" i="4"/>
  <c r="L2255" i="4"/>
  <c r="K2255" i="4"/>
  <c r="J2255" i="4"/>
  <c r="I2255" i="4"/>
  <c r="H2255" i="4"/>
  <c r="Q2254" i="4"/>
  <c r="P2254" i="4"/>
  <c r="O2254" i="4"/>
  <c r="N2254" i="4"/>
  <c r="M2254" i="4"/>
  <c r="L2254" i="4"/>
  <c r="K2254" i="4"/>
  <c r="J2254" i="4"/>
  <c r="I2254" i="4"/>
  <c r="H2254" i="4"/>
  <c r="Q2253" i="4"/>
  <c r="P2253" i="4"/>
  <c r="O2253" i="4"/>
  <c r="N2253" i="4"/>
  <c r="M2253" i="4"/>
  <c r="L2253" i="4"/>
  <c r="K2253" i="4"/>
  <c r="J2253" i="4"/>
  <c r="I2253" i="4"/>
  <c r="H2253" i="4"/>
  <c r="Q2252" i="4"/>
  <c r="P2252" i="4"/>
  <c r="O2252" i="4"/>
  <c r="N2252" i="4"/>
  <c r="M2252" i="4"/>
  <c r="L2252" i="4"/>
  <c r="K2252" i="4"/>
  <c r="J2252" i="4"/>
  <c r="I2252" i="4"/>
  <c r="H2252" i="4"/>
  <c r="Q2251" i="4"/>
  <c r="P2251" i="4"/>
  <c r="O2251" i="4"/>
  <c r="N2251" i="4"/>
  <c r="M2251" i="4"/>
  <c r="L2251" i="4"/>
  <c r="K2251" i="4"/>
  <c r="J2251" i="4"/>
  <c r="I2251" i="4"/>
  <c r="H2251" i="4"/>
  <c r="Q2250" i="4"/>
  <c r="P2250" i="4"/>
  <c r="O2250" i="4"/>
  <c r="N2250" i="4"/>
  <c r="M2250" i="4"/>
  <c r="L2250" i="4"/>
  <c r="K2250" i="4"/>
  <c r="J2250" i="4"/>
  <c r="I2250" i="4"/>
  <c r="H2250" i="4"/>
  <c r="Q2249" i="4"/>
  <c r="P2249" i="4"/>
  <c r="O2249" i="4"/>
  <c r="N2249" i="4"/>
  <c r="M2249" i="4"/>
  <c r="L2249" i="4"/>
  <c r="K2249" i="4"/>
  <c r="J2249" i="4"/>
  <c r="I2249" i="4"/>
  <c r="H2249" i="4"/>
  <c r="Q2248" i="4"/>
  <c r="P2248" i="4"/>
  <c r="O2248" i="4"/>
  <c r="N2248" i="4"/>
  <c r="M2248" i="4"/>
  <c r="L2248" i="4"/>
  <c r="K2248" i="4"/>
  <c r="J2248" i="4"/>
  <c r="I2248" i="4"/>
  <c r="H2248" i="4"/>
  <c r="Q2247" i="4"/>
  <c r="P2247" i="4"/>
  <c r="O2247" i="4"/>
  <c r="N2247" i="4"/>
  <c r="M2247" i="4"/>
  <c r="L2247" i="4"/>
  <c r="K2247" i="4"/>
  <c r="J2247" i="4"/>
  <c r="I2247" i="4"/>
  <c r="H2247" i="4"/>
  <c r="Q2246" i="4"/>
  <c r="P2246" i="4"/>
  <c r="O2246" i="4"/>
  <c r="N2246" i="4"/>
  <c r="M2246" i="4"/>
  <c r="L2246" i="4"/>
  <c r="K2246" i="4"/>
  <c r="J2246" i="4"/>
  <c r="I2246" i="4"/>
  <c r="H2246" i="4"/>
  <c r="Q2245" i="4"/>
  <c r="P2245" i="4"/>
  <c r="O2245" i="4"/>
  <c r="N2245" i="4"/>
  <c r="M2245" i="4"/>
  <c r="L2245" i="4"/>
  <c r="K2245" i="4"/>
  <c r="J2245" i="4"/>
  <c r="I2245" i="4"/>
  <c r="H2245" i="4"/>
  <c r="Q2244" i="4"/>
  <c r="P2244" i="4"/>
  <c r="O2244" i="4"/>
  <c r="N2244" i="4"/>
  <c r="M2244" i="4"/>
  <c r="L2244" i="4"/>
  <c r="K2244" i="4"/>
  <c r="J2244" i="4"/>
  <c r="I2244" i="4"/>
  <c r="H2244" i="4"/>
  <c r="Q2243" i="4"/>
  <c r="P2243" i="4"/>
  <c r="O2243" i="4"/>
  <c r="N2243" i="4"/>
  <c r="M2243" i="4"/>
  <c r="L2243" i="4"/>
  <c r="K2243" i="4"/>
  <c r="J2243" i="4"/>
  <c r="I2243" i="4"/>
  <c r="H2243" i="4"/>
  <c r="Q2242" i="4"/>
  <c r="P2242" i="4"/>
  <c r="O2242" i="4"/>
  <c r="N2242" i="4"/>
  <c r="M2242" i="4"/>
  <c r="L2242" i="4"/>
  <c r="K2242" i="4"/>
  <c r="J2242" i="4"/>
  <c r="I2242" i="4"/>
  <c r="H2242" i="4"/>
  <c r="Q2241" i="4"/>
  <c r="P2241" i="4"/>
  <c r="O2241" i="4"/>
  <c r="N2241" i="4"/>
  <c r="M2241" i="4"/>
  <c r="L2241" i="4"/>
  <c r="K2241" i="4"/>
  <c r="J2241" i="4"/>
  <c r="I2241" i="4"/>
  <c r="H2241" i="4"/>
  <c r="Q2240" i="4"/>
  <c r="P2240" i="4"/>
  <c r="O2240" i="4"/>
  <c r="N2240" i="4"/>
  <c r="M2240" i="4"/>
  <c r="L2240" i="4"/>
  <c r="K2240" i="4"/>
  <c r="J2240" i="4"/>
  <c r="I2240" i="4"/>
  <c r="H2240" i="4"/>
  <c r="Q2239" i="4"/>
  <c r="P2239" i="4"/>
  <c r="O2239" i="4"/>
  <c r="N2239" i="4"/>
  <c r="M2239" i="4"/>
  <c r="L2239" i="4"/>
  <c r="K2239" i="4"/>
  <c r="J2239" i="4"/>
  <c r="I2239" i="4"/>
  <c r="H2239" i="4"/>
  <c r="Q2238" i="4"/>
  <c r="P2238" i="4"/>
  <c r="O2238" i="4"/>
  <c r="N2238" i="4"/>
  <c r="M2238" i="4"/>
  <c r="L2238" i="4"/>
  <c r="K2238" i="4"/>
  <c r="J2238" i="4"/>
  <c r="I2238" i="4"/>
  <c r="H2238" i="4"/>
  <c r="Q2237" i="4"/>
  <c r="P2237" i="4"/>
  <c r="O2237" i="4"/>
  <c r="N2237" i="4"/>
  <c r="M2237" i="4"/>
  <c r="L2237" i="4"/>
  <c r="K2237" i="4"/>
  <c r="J2237" i="4"/>
  <c r="I2237" i="4"/>
  <c r="H2237" i="4"/>
  <c r="Q2236" i="4"/>
  <c r="P2236" i="4"/>
  <c r="O2236" i="4"/>
  <c r="N2236" i="4"/>
  <c r="M2236" i="4"/>
  <c r="L2236" i="4"/>
  <c r="K2236" i="4"/>
  <c r="J2236" i="4"/>
  <c r="I2236" i="4"/>
  <c r="H2236" i="4"/>
  <c r="Q2235" i="4"/>
  <c r="P2235" i="4"/>
  <c r="O2235" i="4"/>
  <c r="N2235" i="4"/>
  <c r="M2235" i="4"/>
  <c r="L2235" i="4"/>
  <c r="K2235" i="4"/>
  <c r="J2235" i="4"/>
  <c r="I2235" i="4"/>
  <c r="H2235" i="4"/>
  <c r="Q2234" i="4"/>
  <c r="P2234" i="4"/>
  <c r="O2234" i="4"/>
  <c r="N2234" i="4"/>
  <c r="M2234" i="4"/>
  <c r="L2234" i="4"/>
  <c r="K2234" i="4"/>
  <c r="J2234" i="4"/>
  <c r="I2234" i="4"/>
  <c r="H2234" i="4"/>
  <c r="Q2233" i="4"/>
  <c r="P2233" i="4"/>
  <c r="O2233" i="4"/>
  <c r="N2233" i="4"/>
  <c r="M2233" i="4"/>
  <c r="L2233" i="4"/>
  <c r="K2233" i="4"/>
  <c r="J2233" i="4"/>
  <c r="I2233" i="4"/>
  <c r="H2233" i="4"/>
  <c r="Q2232" i="4"/>
  <c r="P2232" i="4"/>
  <c r="O2232" i="4"/>
  <c r="N2232" i="4"/>
  <c r="M2232" i="4"/>
  <c r="L2232" i="4"/>
  <c r="K2232" i="4"/>
  <c r="J2232" i="4"/>
  <c r="I2232" i="4"/>
  <c r="H2232" i="4"/>
  <c r="Q2231" i="4"/>
  <c r="P2231" i="4"/>
  <c r="O2231" i="4"/>
  <c r="N2231" i="4"/>
  <c r="M2231" i="4"/>
  <c r="L2231" i="4"/>
  <c r="K2231" i="4"/>
  <c r="J2231" i="4"/>
  <c r="I2231" i="4"/>
  <c r="H2231" i="4"/>
  <c r="Q2230" i="4"/>
  <c r="P2230" i="4"/>
  <c r="O2230" i="4"/>
  <c r="N2230" i="4"/>
  <c r="M2230" i="4"/>
  <c r="L2230" i="4"/>
  <c r="K2230" i="4"/>
  <c r="J2230" i="4"/>
  <c r="I2230" i="4"/>
  <c r="H2230" i="4"/>
  <c r="Q2229" i="4"/>
  <c r="P2229" i="4"/>
  <c r="O2229" i="4"/>
  <c r="N2229" i="4"/>
  <c r="M2229" i="4"/>
  <c r="L2229" i="4"/>
  <c r="K2229" i="4"/>
  <c r="J2229" i="4"/>
  <c r="I2229" i="4"/>
  <c r="H2229" i="4"/>
  <c r="Q2228" i="4"/>
  <c r="P2228" i="4"/>
  <c r="O2228" i="4"/>
  <c r="N2228" i="4"/>
  <c r="M2228" i="4"/>
  <c r="L2228" i="4"/>
  <c r="K2228" i="4"/>
  <c r="J2228" i="4"/>
  <c r="I2228" i="4"/>
  <c r="H2228" i="4"/>
  <c r="Q2227" i="4"/>
  <c r="P2227" i="4"/>
  <c r="O2227" i="4"/>
  <c r="N2227" i="4"/>
  <c r="M2227" i="4"/>
  <c r="L2227" i="4"/>
  <c r="K2227" i="4"/>
  <c r="J2227" i="4"/>
  <c r="I2227" i="4"/>
  <c r="H2227" i="4"/>
  <c r="Q2226" i="4"/>
  <c r="P2226" i="4"/>
  <c r="O2226" i="4"/>
  <c r="N2226" i="4"/>
  <c r="M2226" i="4"/>
  <c r="L2226" i="4"/>
  <c r="K2226" i="4"/>
  <c r="J2226" i="4"/>
  <c r="I2226" i="4"/>
  <c r="H2226" i="4"/>
  <c r="Q2225" i="4"/>
  <c r="P2225" i="4"/>
  <c r="O2225" i="4"/>
  <c r="N2225" i="4"/>
  <c r="M2225" i="4"/>
  <c r="L2225" i="4"/>
  <c r="K2225" i="4"/>
  <c r="J2225" i="4"/>
  <c r="I2225" i="4"/>
  <c r="H2225" i="4"/>
  <c r="Q2224" i="4"/>
  <c r="P2224" i="4"/>
  <c r="O2224" i="4"/>
  <c r="N2224" i="4"/>
  <c r="M2224" i="4"/>
  <c r="L2224" i="4"/>
  <c r="K2224" i="4"/>
  <c r="J2224" i="4"/>
  <c r="I2224" i="4"/>
  <c r="H2224" i="4"/>
  <c r="Q2223" i="4"/>
  <c r="P2223" i="4"/>
  <c r="O2223" i="4"/>
  <c r="N2223" i="4"/>
  <c r="M2223" i="4"/>
  <c r="L2223" i="4"/>
  <c r="K2223" i="4"/>
  <c r="J2223" i="4"/>
  <c r="I2223" i="4"/>
  <c r="H2223" i="4"/>
  <c r="Q2222" i="4"/>
  <c r="P2222" i="4"/>
  <c r="O2222" i="4"/>
  <c r="N2222" i="4"/>
  <c r="M2222" i="4"/>
  <c r="L2222" i="4"/>
  <c r="K2222" i="4"/>
  <c r="J2222" i="4"/>
  <c r="I2222" i="4"/>
  <c r="H2222" i="4"/>
  <c r="Q2221" i="4"/>
  <c r="P2221" i="4"/>
  <c r="O2221" i="4"/>
  <c r="N2221" i="4"/>
  <c r="M2221" i="4"/>
  <c r="L2221" i="4"/>
  <c r="K2221" i="4"/>
  <c r="J2221" i="4"/>
  <c r="I2221" i="4"/>
  <c r="H2221" i="4"/>
  <c r="Q2220" i="4"/>
  <c r="P2220" i="4"/>
  <c r="O2220" i="4"/>
  <c r="N2220" i="4"/>
  <c r="M2220" i="4"/>
  <c r="L2220" i="4"/>
  <c r="K2220" i="4"/>
  <c r="J2220" i="4"/>
  <c r="I2220" i="4"/>
  <c r="H2220" i="4"/>
  <c r="Q2219" i="4"/>
  <c r="P2219" i="4"/>
  <c r="O2219" i="4"/>
  <c r="N2219" i="4"/>
  <c r="M2219" i="4"/>
  <c r="L2219" i="4"/>
  <c r="K2219" i="4"/>
  <c r="J2219" i="4"/>
  <c r="I2219" i="4"/>
  <c r="H2219" i="4"/>
  <c r="Q2218" i="4"/>
  <c r="P2218" i="4"/>
  <c r="O2218" i="4"/>
  <c r="N2218" i="4"/>
  <c r="M2218" i="4"/>
  <c r="L2218" i="4"/>
  <c r="K2218" i="4"/>
  <c r="J2218" i="4"/>
  <c r="I2218" i="4"/>
  <c r="H2218" i="4"/>
  <c r="Q2217" i="4"/>
  <c r="P2217" i="4"/>
  <c r="O2217" i="4"/>
  <c r="N2217" i="4"/>
  <c r="M2217" i="4"/>
  <c r="L2217" i="4"/>
  <c r="K2217" i="4"/>
  <c r="J2217" i="4"/>
  <c r="I2217" i="4"/>
  <c r="H2217" i="4"/>
  <c r="Q2216" i="4"/>
  <c r="P2216" i="4"/>
  <c r="O2216" i="4"/>
  <c r="N2216" i="4"/>
  <c r="M2216" i="4"/>
  <c r="L2216" i="4"/>
  <c r="K2216" i="4"/>
  <c r="J2216" i="4"/>
  <c r="I2216" i="4"/>
  <c r="H2216" i="4"/>
  <c r="Q2215" i="4"/>
  <c r="P2215" i="4"/>
  <c r="O2215" i="4"/>
  <c r="N2215" i="4"/>
  <c r="M2215" i="4"/>
  <c r="L2215" i="4"/>
  <c r="K2215" i="4"/>
  <c r="J2215" i="4"/>
  <c r="I2215" i="4"/>
  <c r="H2215" i="4"/>
  <c r="Q2214" i="4"/>
  <c r="P2214" i="4"/>
  <c r="O2214" i="4"/>
  <c r="N2214" i="4"/>
  <c r="M2214" i="4"/>
  <c r="L2214" i="4"/>
  <c r="K2214" i="4"/>
  <c r="J2214" i="4"/>
  <c r="I2214" i="4"/>
  <c r="H2214" i="4"/>
  <c r="Q2213" i="4"/>
  <c r="P2213" i="4"/>
  <c r="O2213" i="4"/>
  <c r="N2213" i="4"/>
  <c r="M2213" i="4"/>
  <c r="L2213" i="4"/>
  <c r="K2213" i="4"/>
  <c r="J2213" i="4"/>
  <c r="I2213" i="4"/>
  <c r="H2213" i="4"/>
  <c r="Q2212" i="4"/>
  <c r="P2212" i="4"/>
  <c r="O2212" i="4"/>
  <c r="N2212" i="4"/>
  <c r="M2212" i="4"/>
  <c r="L2212" i="4"/>
  <c r="K2212" i="4"/>
  <c r="J2212" i="4"/>
  <c r="I2212" i="4"/>
  <c r="H2212" i="4"/>
  <c r="Q2211" i="4"/>
  <c r="P2211" i="4"/>
  <c r="O2211" i="4"/>
  <c r="N2211" i="4"/>
  <c r="M2211" i="4"/>
  <c r="L2211" i="4"/>
  <c r="K2211" i="4"/>
  <c r="J2211" i="4"/>
  <c r="I2211" i="4"/>
  <c r="H2211" i="4"/>
  <c r="Q2210" i="4"/>
  <c r="P2210" i="4"/>
  <c r="O2210" i="4"/>
  <c r="N2210" i="4"/>
  <c r="M2210" i="4"/>
  <c r="L2210" i="4"/>
  <c r="K2210" i="4"/>
  <c r="J2210" i="4"/>
  <c r="I2210" i="4"/>
  <c r="H2210" i="4"/>
  <c r="Q2209" i="4"/>
  <c r="P2209" i="4"/>
  <c r="O2209" i="4"/>
  <c r="N2209" i="4"/>
  <c r="M2209" i="4"/>
  <c r="L2209" i="4"/>
  <c r="K2209" i="4"/>
  <c r="J2209" i="4"/>
  <c r="I2209" i="4"/>
  <c r="H2209" i="4"/>
  <c r="Q2208" i="4"/>
  <c r="P2208" i="4"/>
  <c r="O2208" i="4"/>
  <c r="N2208" i="4"/>
  <c r="M2208" i="4"/>
  <c r="L2208" i="4"/>
  <c r="K2208" i="4"/>
  <c r="J2208" i="4"/>
  <c r="I2208" i="4"/>
  <c r="H2208" i="4"/>
  <c r="Q2207" i="4"/>
  <c r="P2207" i="4"/>
  <c r="O2207" i="4"/>
  <c r="N2207" i="4"/>
  <c r="M2207" i="4"/>
  <c r="L2207" i="4"/>
  <c r="K2207" i="4"/>
  <c r="J2207" i="4"/>
  <c r="I2207" i="4"/>
  <c r="H2207" i="4"/>
  <c r="Q2206" i="4"/>
  <c r="P2206" i="4"/>
  <c r="O2206" i="4"/>
  <c r="N2206" i="4"/>
  <c r="M2206" i="4"/>
  <c r="L2206" i="4"/>
  <c r="K2206" i="4"/>
  <c r="J2206" i="4"/>
  <c r="I2206" i="4"/>
  <c r="H2206" i="4"/>
  <c r="Q2205" i="4"/>
  <c r="P2205" i="4"/>
  <c r="O2205" i="4"/>
  <c r="N2205" i="4"/>
  <c r="M2205" i="4"/>
  <c r="L2205" i="4"/>
  <c r="K2205" i="4"/>
  <c r="J2205" i="4"/>
  <c r="I2205" i="4"/>
  <c r="H2205" i="4"/>
  <c r="Q2204" i="4"/>
  <c r="P2204" i="4"/>
  <c r="O2204" i="4"/>
  <c r="N2204" i="4"/>
  <c r="M2204" i="4"/>
  <c r="L2204" i="4"/>
  <c r="K2204" i="4"/>
  <c r="J2204" i="4"/>
  <c r="I2204" i="4"/>
  <c r="H2204" i="4"/>
  <c r="Q2203" i="4"/>
  <c r="P2203" i="4"/>
  <c r="O2203" i="4"/>
  <c r="N2203" i="4"/>
  <c r="M2203" i="4"/>
  <c r="L2203" i="4"/>
  <c r="K2203" i="4"/>
  <c r="J2203" i="4"/>
  <c r="I2203" i="4"/>
  <c r="H2203" i="4"/>
  <c r="Q2202" i="4"/>
  <c r="P2202" i="4"/>
  <c r="O2202" i="4"/>
  <c r="N2202" i="4"/>
  <c r="M2202" i="4"/>
  <c r="L2202" i="4"/>
  <c r="K2202" i="4"/>
  <c r="J2202" i="4"/>
  <c r="I2202" i="4"/>
  <c r="H2202" i="4"/>
  <c r="Q2201" i="4"/>
  <c r="P2201" i="4"/>
  <c r="O2201" i="4"/>
  <c r="N2201" i="4"/>
  <c r="M2201" i="4"/>
  <c r="L2201" i="4"/>
  <c r="K2201" i="4"/>
  <c r="J2201" i="4"/>
  <c r="I2201" i="4"/>
  <c r="H2201" i="4"/>
  <c r="Q2200" i="4"/>
  <c r="P2200" i="4"/>
  <c r="O2200" i="4"/>
  <c r="N2200" i="4"/>
  <c r="M2200" i="4"/>
  <c r="L2200" i="4"/>
  <c r="K2200" i="4"/>
  <c r="J2200" i="4"/>
  <c r="I2200" i="4"/>
  <c r="H2200" i="4"/>
  <c r="Q2199" i="4"/>
  <c r="P2199" i="4"/>
  <c r="O2199" i="4"/>
  <c r="N2199" i="4"/>
  <c r="M2199" i="4"/>
  <c r="L2199" i="4"/>
  <c r="K2199" i="4"/>
  <c r="J2199" i="4"/>
  <c r="I2199" i="4"/>
  <c r="H2199" i="4"/>
  <c r="Q2198" i="4"/>
  <c r="P2198" i="4"/>
  <c r="O2198" i="4"/>
  <c r="N2198" i="4"/>
  <c r="M2198" i="4"/>
  <c r="L2198" i="4"/>
  <c r="K2198" i="4"/>
  <c r="J2198" i="4"/>
  <c r="I2198" i="4"/>
  <c r="H2198" i="4"/>
  <c r="Q2197" i="4"/>
  <c r="P2197" i="4"/>
  <c r="O2197" i="4"/>
  <c r="N2197" i="4"/>
  <c r="M2197" i="4"/>
  <c r="L2197" i="4"/>
  <c r="K2197" i="4"/>
  <c r="J2197" i="4"/>
  <c r="I2197" i="4"/>
  <c r="H2197" i="4"/>
  <c r="Q2196" i="4"/>
  <c r="P2196" i="4"/>
  <c r="O2196" i="4"/>
  <c r="N2196" i="4"/>
  <c r="M2196" i="4"/>
  <c r="L2196" i="4"/>
  <c r="K2196" i="4"/>
  <c r="J2196" i="4"/>
  <c r="I2196" i="4"/>
  <c r="H2196" i="4"/>
  <c r="Q2195" i="4"/>
  <c r="P2195" i="4"/>
  <c r="O2195" i="4"/>
  <c r="N2195" i="4"/>
  <c r="M2195" i="4"/>
  <c r="L2195" i="4"/>
  <c r="K2195" i="4"/>
  <c r="J2195" i="4"/>
  <c r="I2195" i="4"/>
  <c r="H2195" i="4"/>
  <c r="Q2194" i="4"/>
  <c r="P2194" i="4"/>
  <c r="O2194" i="4"/>
  <c r="N2194" i="4"/>
  <c r="M2194" i="4"/>
  <c r="L2194" i="4"/>
  <c r="K2194" i="4"/>
  <c r="J2194" i="4"/>
  <c r="I2194" i="4"/>
  <c r="H2194" i="4"/>
  <c r="Q2193" i="4"/>
  <c r="P2193" i="4"/>
  <c r="O2193" i="4"/>
  <c r="N2193" i="4"/>
  <c r="M2193" i="4"/>
  <c r="L2193" i="4"/>
  <c r="K2193" i="4"/>
  <c r="J2193" i="4"/>
  <c r="I2193" i="4"/>
  <c r="H2193" i="4"/>
  <c r="Q2192" i="4"/>
  <c r="P2192" i="4"/>
  <c r="O2192" i="4"/>
  <c r="N2192" i="4"/>
  <c r="M2192" i="4"/>
  <c r="L2192" i="4"/>
  <c r="K2192" i="4"/>
  <c r="J2192" i="4"/>
  <c r="I2192" i="4"/>
  <c r="H2192" i="4"/>
  <c r="Q2191" i="4"/>
  <c r="P2191" i="4"/>
  <c r="O2191" i="4"/>
  <c r="N2191" i="4"/>
  <c r="M2191" i="4"/>
  <c r="L2191" i="4"/>
  <c r="K2191" i="4"/>
  <c r="J2191" i="4"/>
  <c r="I2191" i="4"/>
  <c r="H2191" i="4"/>
  <c r="Q2190" i="4"/>
  <c r="P2190" i="4"/>
  <c r="O2190" i="4"/>
  <c r="N2190" i="4"/>
  <c r="M2190" i="4"/>
  <c r="L2190" i="4"/>
  <c r="K2190" i="4"/>
  <c r="J2190" i="4"/>
  <c r="I2190" i="4"/>
  <c r="H2190" i="4"/>
  <c r="Q2189" i="4"/>
  <c r="P2189" i="4"/>
  <c r="O2189" i="4"/>
  <c r="N2189" i="4"/>
  <c r="M2189" i="4"/>
  <c r="L2189" i="4"/>
  <c r="K2189" i="4"/>
  <c r="J2189" i="4"/>
  <c r="I2189" i="4"/>
  <c r="H2189" i="4"/>
  <c r="Q2188" i="4"/>
  <c r="P2188" i="4"/>
  <c r="O2188" i="4"/>
  <c r="N2188" i="4"/>
  <c r="M2188" i="4"/>
  <c r="L2188" i="4"/>
  <c r="K2188" i="4"/>
  <c r="J2188" i="4"/>
  <c r="I2188" i="4"/>
  <c r="H2188" i="4"/>
  <c r="Q2187" i="4"/>
  <c r="P2187" i="4"/>
  <c r="O2187" i="4"/>
  <c r="N2187" i="4"/>
  <c r="M2187" i="4"/>
  <c r="L2187" i="4"/>
  <c r="K2187" i="4"/>
  <c r="J2187" i="4"/>
  <c r="I2187" i="4"/>
  <c r="H2187" i="4"/>
  <c r="Q2186" i="4"/>
  <c r="P2186" i="4"/>
  <c r="O2186" i="4"/>
  <c r="N2186" i="4"/>
  <c r="M2186" i="4"/>
  <c r="L2186" i="4"/>
  <c r="K2186" i="4"/>
  <c r="J2186" i="4"/>
  <c r="I2186" i="4"/>
  <c r="H2186" i="4"/>
  <c r="Q2185" i="4"/>
  <c r="P2185" i="4"/>
  <c r="O2185" i="4"/>
  <c r="N2185" i="4"/>
  <c r="M2185" i="4"/>
  <c r="L2185" i="4"/>
  <c r="K2185" i="4"/>
  <c r="J2185" i="4"/>
  <c r="I2185" i="4"/>
  <c r="H2185" i="4"/>
  <c r="Q2184" i="4"/>
  <c r="P2184" i="4"/>
  <c r="O2184" i="4"/>
  <c r="N2184" i="4"/>
  <c r="M2184" i="4"/>
  <c r="L2184" i="4"/>
  <c r="K2184" i="4"/>
  <c r="J2184" i="4"/>
  <c r="I2184" i="4"/>
  <c r="H2184" i="4"/>
  <c r="Q2183" i="4"/>
  <c r="P2183" i="4"/>
  <c r="O2183" i="4"/>
  <c r="N2183" i="4"/>
  <c r="M2183" i="4"/>
  <c r="L2183" i="4"/>
  <c r="K2183" i="4"/>
  <c r="J2183" i="4"/>
  <c r="I2183" i="4"/>
  <c r="H2183" i="4"/>
  <c r="Q2182" i="4"/>
  <c r="P2182" i="4"/>
  <c r="O2182" i="4"/>
  <c r="N2182" i="4"/>
  <c r="M2182" i="4"/>
  <c r="L2182" i="4"/>
  <c r="K2182" i="4"/>
  <c r="J2182" i="4"/>
  <c r="I2182" i="4"/>
  <c r="H2182" i="4"/>
  <c r="Q2181" i="4"/>
  <c r="P2181" i="4"/>
  <c r="O2181" i="4"/>
  <c r="N2181" i="4"/>
  <c r="M2181" i="4"/>
  <c r="L2181" i="4"/>
  <c r="K2181" i="4"/>
  <c r="J2181" i="4"/>
  <c r="I2181" i="4"/>
  <c r="H2181" i="4"/>
  <c r="Q2180" i="4"/>
  <c r="P2180" i="4"/>
  <c r="O2180" i="4"/>
  <c r="N2180" i="4"/>
  <c r="M2180" i="4"/>
  <c r="L2180" i="4"/>
  <c r="K2180" i="4"/>
  <c r="J2180" i="4"/>
  <c r="I2180" i="4"/>
  <c r="H2180" i="4"/>
  <c r="Q2179" i="4"/>
  <c r="P2179" i="4"/>
  <c r="O2179" i="4"/>
  <c r="N2179" i="4"/>
  <c r="M2179" i="4"/>
  <c r="L2179" i="4"/>
  <c r="K2179" i="4"/>
  <c r="J2179" i="4"/>
  <c r="I2179" i="4"/>
  <c r="H2179" i="4"/>
  <c r="Q2178" i="4"/>
  <c r="P2178" i="4"/>
  <c r="O2178" i="4"/>
  <c r="N2178" i="4"/>
  <c r="M2178" i="4"/>
  <c r="L2178" i="4"/>
  <c r="K2178" i="4"/>
  <c r="J2178" i="4"/>
  <c r="I2178" i="4"/>
  <c r="H2178" i="4"/>
  <c r="Q2177" i="4"/>
  <c r="P2177" i="4"/>
  <c r="O2177" i="4"/>
  <c r="N2177" i="4"/>
  <c r="M2177" i="4"/>
  <c r="L2177" i="4"/>
  <c r="K2177" i="4"/>
  <c r="J2177" i="4"/>
  <c r="I2177" i="4"/>
  <c r="H2177" i="4"/>
  <c r="Q2176" i="4"/>
  <c r="P2176" i="4"/>
  <c r="O2176" i="4"/>
  <c r="N2176" i="4"/>
  <c r="M2176" i="4"/>
  <c r="L2176" i="4"/>
  <c r="K2176" i="4"/>
  <c r="J2176" i="4"/>
  <c r="I2176" i="4"/>
  <c r="H2176" i="4"/>
  <c r="Q2175" i="4"/>
  <c r="P2175" i="4"/>
  <c r="O2175" i="4"/>
  <c r="N2175" i="4"/>
  <c r="M2175" i="4"/>
  <c r="L2175" i="4"/>
  <c r="K2175" i="4"/>
  <c r="J2175" i="4"/>
  <c r="I2175" i="4"/>
  <c r="H2175" i="4"/>
  <c r="Q2174" i="4"/>
  <c r="P2174" i="4"/>
  <c r="O2174" i="4"/>
  <c r="N2174" i="4"/>
  <c r="M2174" i="4"/>
  <c r="L2174" i="4"/>
  <c r="K2174" i="4"/>
  <c r="J2174" i="4"/>
  <c r="I2174" i="4"/>
  <c r="H2174" i="4"/>
  <c r="Q2173" i="4"/>
  <c r="P2173" i="4"/>
  <c r="O2173" i="4"/>
  <c r="N2173" i="4"/>
  <c r="M2173" i="4"/>
  <c r="L2173" i="4"/>
  <c r="K2173" i="4"/>
  <c r="J2173" i="4"/>
  <c r="I2173" i="4"/>
  <c r="H2173" i="4"/>
  <c r="Q2172" i="4"/>
  <c r="P2172" i="4"/>
  <c r="O2172" i="4"/>
  <c r="N2172" i="4"/>
  <c r="M2172" i="4"/>
  <c r="L2172" i="4"/>
  <c r="K2172" i="4"/>
  <c r="J2172" i="4"/>
  <c r="I2172" i="4"/>
  <c r="H2172" i="4"/>
  <c r="Q2171" i="4"/>
  <c r="P2171" i="4"/>
  <c r="O2171" i="4"/>
  <c r="N2171" i="4"/>
  <c r="M2171" i="4"/>
  <c r="L2171" i="4"/>
  <c r="K2171" i="4"/>
  <c r="J2171" i="4"/>
  <c r="I2171" i="4"/>
  <c r="H2171" i="4"/>
  <c r="Q2170" i="4"/>
  <c r="P2170" i="4"/>
  <c r="O2170" i="4"/>
  <c r="N2170" i="4"/>
  <c r="M2170" i="4"/>
  <c r="L2170" i="4"/>
  <c r="K2170" i="4"/>
  <c r="J2170" i="4"/>
  <c r="I2170" i="4"/>
  <c r="H2170" i="4"/>
  <c r="Q2169" i="4"/>
  <c r="P2169" i="4"/>
  <c r="O2169" i="4"/>
  <c r="N2169" i="4"/>
  <c r="M2169" i="4"/>
  <c r="L2169" i="4"/>
  <c r="K2169" i="4"/>
  <c r="J2169" i="4"/>
  <c r="I2169" i="4"/>
  <c r="H2169" i="4"/>
  <c r="Q2168" i="4"/>
  <c r="P2168" i="4"/>
  <c r="O2168" i="4"/>
  <c r="N2168" i="4"/>
  <c r="M2168" i="4"/>
  <c r="L2168" i="4"/>
  <c r="K2168" i="4"/>
  <c r="J2168" i="4"/>
  <c r="I2168" i="4"/>
  <c r="H2168" i="4"/>
  <c r="Q2167" i="4"/>
  <c r="P2167" i="4"/>
  <c r="O2167" i="4"/>
  <c r="N2167" i="4"/>
  <c r="M2167" i="4"/>
  <c r="L2167" i="4"/>
  <c r="K2167" i="4"/>
  <c r="J2167" i="4"/>
  <c r="I2167" i="4"/>
  <c r="H2167" i="4"/>
  <c r="Q2166" i="4"/>
  <c r="P2166" i="4"/>
  <c r="O2166" i="4"/>
  <c r="N2166" i="4"/>
  <c r="M2166" i="4"/>
  <c r="L2166" i="4"/>
  <c r="K2166" i="4"/>
  <c r="J2166" i="4"/>
  <c r="I2166" i="4"/>
  <c r="H2166" i="4"/>
  <c r="Q2165" i="4"/>
  <c r="P2165" i="4"/>
  <c r="O2165" i="4"/>
  <c r="N2165" i="4"/>
  <c r="M2165" i="4"/>
  <c r="L2165" i="4"/>
  <c r="K2165" i="4"/>
  <c r="J2165" i="4"/>
  <c r="I2165" i="4"/>
  <c r="H2165" i="4"/>
  <c r="Q2164" i="4"/>
  <c r="P2164" i="4"/>
  <c r="O2164" i="4"/>
  <c r="N2164" i="4"/>
  <c r="M2164" i="4"/>
  <c r="L2164" i="4"/>
  <c r="K2164" i="4"/>
  <c r="J2164" i="4"/>
  <c r="I2164" i="4"/>
  <c r="H2164" i="4"/>
  <c r="Q2163" i="4"/>
  <c r="P2163" i="4"/>
  <c r="O2163" i="4"/>
  <c r="N2163" i="4"/>
  <c r="M2163" i="4"/>
  <c r="L2163" i="4"/>
  <c r="K2163" i="4"/>
  <c r="J2163" i="4"/>
  <c r="I2163" i="4"/>
  <c r="H2163" i="4"/>
  <c r="Q2162" i="4"/>
  <c r="P2162" i="4"/>
  <c r="O2162" i="4"/>
  <c r="N2162" i="4"/>
  <c r="M2162" i="4"/>
  <c r="L2162" i="4"/>
  <c r="K2162" i="4"/>
  <c r="J2162" i="4"/>
  <c r="I2162" i="4"/>
  <c r="H2162" i="4"/>
  <c r="Q2161" i="4"/>
  <c r="P2161" i="4"/>
  <c r="O2161" i="4"/>
  <c r="N2161" i="4"/>
  <c r="M2161" i="4"/>
  <c r="L2161" i="4"/>
  <c r="K2161" i="4"/>
  <c r="J2161" i="4"/>
  <c r="I2161" i="4"/>
  <c r="H2161" i="4"/>
  <c r="Q2160" i="4"/>
  <c r="P2160" i="4"/>
  <c r="O2160" i="4"/>
  <c r="N2160" i="4"/>
  <c r="M2160" i="4"/>
  <c r="L2160" i="4"/>
  <c r="K2160" i="4"/>
  <c r="J2160" i="4"/>
  <c r="I2160" i="4"/>
  <c r="H2160" i="4"/>
  <c r="Q2159" i="4"/>
  <c r="P2159" i="4"/>
  <c r="O2159" i="4"/>
  <c r="N2159" i="4"/>
  <c r="M2159" i="4"/>
  <c r="L2159" i="4"/>
  <c r="K2159" i="4"/>
  <c r="J2159" i="4"/>
  <c r="I2159" i="4"/>
  <c r="H2159" i="4"/>
  <c r="Q2158" i="4"/>
  <c r="P2158" i="4"/>
  <c r="O2158" i="4"/>
  <c r="N2158" i="4"/>
  <c r="M2158" i="4"/>
  <c r="L2158" i="4"/>
  <c r="K2158" i="4"/>
  <c r="J2158" i="4"/>
  <c r="I2158" i="4"/>
  <c r="H2158" i="4"/>
  <c r="Q2157" i="4"/>
  <c r="P2157" i="4"/>
  <c r="O2157" i="4"/>
  <c r="N2157" i="4"/>
  <c r="M2157" i="4"/>
  <c r="L2157" i="4"/>
  <c r="K2157" i="4"/>
  <c r="J2157" i="4"/>
  <c r="I2157" i="4"/>
  <c r="H2157" i="4"/>
  <c r="Q2156" i="4"/>
  <c r="P2156" i="4"/>
  <c r="O2156" i="4"/>
  <c r="N2156" i="4"/>
  <c r="M2156" i="4"/>
  <c r="L2156" i="4"/>
  <c r="K2156" i="4"/>
  <c r="J2156" i="4"/>
  <c r="I2156" i="4"/>
  <c r="H2156" i="4"/>
  <c r="Q2155" i="4"/>
  <c r="P2155" i="4"/>
  <c r="O2155" i="4"/>
  <c r="N2155" i="4"/>
  <c r="M2155" i="4"/>
  <c r="L2155" i="4"/>
  <c r="K2155" i="4"/>
  <c r="J2155" i="4"/>
  <c r="I2155" i="4"/>
  <c r="H2155" i="4"/>
  <c r="Q2154" i="4"/>
  <c r="P2154" i="4"/>
  <c r="O2154" i="4"/>
  <c r="N2154" i="4"/>
  <c r="M2154" i="4"/>
  <c r="L2154" i="4"/>
  <c r="K2154" i="4"/>
  <c r="J2154" i="4"/>
  <c r="I2154" i="4"/>
  <c r="H2154" i="4"/>
  <c r="Q2153" i="4"/>
  <c r="P2153" i="4"/>
  <c r="O2153" i="4"/>
  <c r="N2153" i="4"/>
  <c r="M2153" i="4"/>
  <c r="L2153" i="4"/>
  <c r="K2153" i="4"/>
  <c r="J2153" i="4"/>
  <c r="I2153" i="4"/>
  <c r="H2153" i="4"/>
  <c r="Q2152" i="4"/>
  <c r="P2152" i="4"/>
  <c r="O2152" i="4"/>
  <c r="N2152" i="4"/>
  <c r="M2152" i="4"/>
  <c r="L2152" i="4"/>
  <c r="K2152" i="4"/>
  <c r="J2152" i="4"/>
  <c r="I2152" i="4"/>
  <c r="H2152" i="4"/>
  <c r="Q2151" i="4"/>
  <c r="P2151" i="4"/>
  <c r="O2151" i="4"/>
  <c r="N2151" i="4"/>
  <c r="M2151" i="4"/>
  <c r="L2151" i="4"/>
  <c r="K2151" i="4"/>
  <c r="J2151" i="4"/>
  <c r="I2151" i="4"/>
  <c r="H2151" i="4"/>
  <c r="Q2150" i="4"/>
  <c r="P2150" i="4"/>
  <c r="O2150" i="4"/>
  <c r="N2150" i="4"/>
  <c r="M2150" i="4"/>
  <c r="L2150" i="4"/>
  <c r="K2150" i="4"/>
  <c r="J2150" i="4"/>
  <c r="I2150" i="4"/>
  <c r="H2150" i="4"/>
  <c r="Q2149" i="4"/>
  <c r="P2149" i="4"/>
  <c r="O2149" i="4"/>
  <c r="N2149" i="4"/>
  <c r="M2149" i="4"/>
  <c r="L2149" i="4"/>
  <c r="K2149" i="4"/>
  <c r="J2149" i="4"/>
  <c r="I2149" i="4"/>
  <c r="H2149" i="4"/>
  <c r="Q2148" i="4"/>
  <c r="P2148" i="4"/>
  <c r="O2148" i="4"/>
  <c r="N2148" i="4"/>
  <c r="M2148" i="4"/>
  <c r="L2148" i="4"/>
  <c r="K2148" i="4"/>
  <c r="J2148" i="4"/>
  <c r="I2148" i="4"/>
  <c r="H2148" i="4"/>
  <c r="Q2147" i="4"/>
  <c r="P2147" i="4"/>
  <c r="O2147" i="4"/>
  <c r="N2147" i="4"/>
  <c r="M2147" i="4"/>
  <c r="L2147" i="4"/>
  <c r="K2147" i="4"/>
  <c r="J2147" i="4"/>
  <c r="I2147" i="4"/>
  <c r="H2147" i="4"/>
  <c r="Q2146" i="4"/>
  <c r="P2146" i="4"/>
  <c r="O2146" i="4"/>
  <c r="N2146" i="4"/>
  <c r="M2146" i="4"/>
  <c r="L2146" i="4"/>
  <c r="K2146" i="4"/>
  <c r="J2146" i="4"/>
  <c r="I2146" i="4"/>
  <c r="H2146" i="4"/>
  <c r="Q2145" i="4"/>
  <c r="P2145" i="4"/>
  <c r="O2145" i="4"/>
  <c r="N2145" i="4"/>
  <c r="M2145" i="4"/>
  <c r="L2145" i="4"/>
  <c r="K2145" i="4"/>
  <c r="J2145" i="4"/>
  <c r="I2145" i="4"/>
  <c r="H2145" i="4"/>
  <c r="Q2144" i="4"/>
  <c r="P2144" i="4"/>
  <c r="O2144" i="4"/>
  <c r="N2144" i="4"/>
  <c r="M2144" i="4"/>
  <c r="L2144" i="4"/>
  <c r="K2144" i="4"/>
  <c r="J2144" i="4"/>
  <c r="I2144" i="4"/>
  <c r="H2144" i="4"/>
  <c r="Q2143" i="4"/>
  <c r="P2143" i="4"/>
  <c r="O2143" i="4"/>
  <c r="N2143" i="4"/>
  <c r="M2143" i="4"/>
  <c r="L2143" i="4"/>
  <c r="K2143" i="4"/>
  <c r="J2143" i="4"/>
  <c r="I2143" i="4"/>
  <c r="H2143" i="4"/>
  <c r="Q2142" i="4"/>
  <c r="P2142" i="4"/>
  <c r="O2142" i="4"/>
  <c r="N2142" i="4"/>
  <c r="M2142" i="4"/>
  <c r="L2142" i="4"/>
  <c r="K2142" i="4"/>
  <c r="J2142" i="4"/>
  <c r="I2142" i="4"/>
  <c r="H2142" i="4"/>
  <c r="Q2141" i="4"/>
  <c r="P2141" i="4"/>
  <c r="O2141" i="4"/>
  <c r="N2141" i="4"/>
  <c r="M2141" i="4"/>
  <c r="L2141" i="4"/>
  <c r="K2141" i="4"/>
  <c r="J2141" i="4"/>
  <c r="I2141" i="4"/>
  <c r="H2141" i="4"/>
  <c r="Q2140" i="4"/>
  <c r="P2140" i="4"/>
  <c r="O2140" i="4"/>
  <c r="N2140" i="4"/>
  <c r="M2140" i="4"/>
  <c r="L2140" i="4"/>
  <c r="K2140" i="4"/>
  <c r="J2140" i="4"/>
  <c r="I2140" i="4"/>
  <c r="H2140" i="4"/>
  <c r="Q2139" i="4"/>
  <c r="P2139" i="4"/>
  <c r="O2139" i="4"/>
  <c r="N2139" i="4"/>
  <c r="M2139" i="4"/>
  <c r="L2139" i="4"/>
  <c r="K2139" i="4"/>
  <c r="J2139" i="4"/>
  <c r="I2139" i="4"/>
  <c r="H2139" i="4"/>
  <c r="Q2138" i="4"/>
  <c r="P2138" i="4"/>
  <c r="O2138" i="4"/>
  <c r="N2138" i="4"/>
  <c r="M2138" i="4"/>
  <c r="L2138" i="4"/>
  <c r="K2138" i="4"/>
  <c r="J2138" i="4"/>
  <c r="I2138" i="4"/>
  <c r="H2138" i="4"/>
  <c r="Q2137" i="4"/>
  <c r="P2137" i="4"/>
  <c r="O2137" i="4"/>
  <c r="N2137" i="4"/>
  <c r="M2137" i="4"/>
  <c r="L2137" i="4"/>
  <c r="K2137" i="4"/>
  <c r="J2137" i="4"/>
  <c r="I2137" i="4"/>
  <c r="H2137" i="4"/>
  <c r="Q2136" i="4"/>
  <c r="P2136" i="4"/>
  <c r="O2136" i="4"/>
  <c r="N2136" i="4"/>
  <c r="M2136" i="4"/>
  <c r="L2136" i="4"/>
  <c r="K2136" i="4"/>
  <c r="J2136" i="4"/>
  <c r="I2136" i="4"/>
  <c r="H2136" i="4"/>
  <c r="Q2135" i="4"/>
  <c r="P2135" i="4"/>
  <c r="O2135" i="4"/>
  <c r="N2135" i="4"/>
  <c r="M2135" i="4"/>
  <c r="L2135" i="4"/>
  <c r="K2135" i="4"/>
  <c r="J2135" i="4"/>
  <c r="I2135" i="4"/>
  <c r="H2135" i="4"/>
  <c r="Q2134" i="4"/>
  <c r="P2134" i="4"/>
  <c r="O2134" i="4"/>
  <c r="N2134" i="4"/>
  <c r="M2134" i="4"/>
  <c r="L2134" i="4"/>
  <c r="K2134" i="4"/>
  <c r="J2134" i="4"/>
  <c r="I2134" i="4"/>
  <c r="H2134" i="4"/>
  <c r="Q2133" i="4"/>
  <c r="P2133" i="4"/>
  <c r="O2133" i="4"/>
  <c r="N2133" i="4"/>
  <c r="M2133" i="4"/>
  <c r="L2133" i="4"/>
  <c r="K2133" i="4"/>
  <c r="J2133" i="4"/>
  <c r="I2133" i="4"/>
  <c r="H2133" i="4"/>
  <c r="Q2132" i="4"/>
  <c r="P2132" i="4"/>
  <c r="O2132" i="4"/>
  <c r="N2132" i="4"/>
  <c r="M2132" i="4"/>
  <c r="L2132" i="4"/>
  <c r="K2132" i="4"/>
  <c r="J2132" i="4"/>
  <c r="I2132" i="4"/>
  <c r="H2132" i="4"/>
  <c r="Q2131" i="4"/>
  <c r="P2131" i="4"/>
  <c r="O2131" i="4"/>
  <c r="N2131" i="4"/>
  <c r="M2131" i="4"/>
  <c r="L2131" i="4"/>
  <c r="K2131" i="4"/>
  <c r="J2131" i="4"/>
  <c r="I2131" i="4"/>
  <c r="H2131" i="4"/>
  <c r="Q2130" i="4"/>
  <c r="P2130" i="4"/>
  <c r="O2130" i="4"/>
  <c r="N2130" i="4"/>
  <c r="M2130" i="4"/>
  <c r="L2130" i="4"/>
  <c r="K2130" i="4"/>
  <c r="J2130" i="4"/>
  <c r="I2130" i="4"/>
  <c r="H2130" i="4"/>
  <c r="Q2129" i="4"/>
  <c r="P2129" i="4"/>
  <c r="O2129" i="4"/>
  <c r="N2129" i="4"/>
  <c r="M2129" i="4"/>
  <c r="L2129" i="4"/>
  <c r="K2129" i="4"/>
  <c r="J2129" i="4"/>
  <c r="I2129" i="4"/>
  <c r="H2129" i="4"/>
  <c r="Q2128" i="4"/>
  <c r="P2128" i="4"/>
  <c r="O2128" i="4"/>
  <c r="N2128" i="4"/>
  <c r="M2128" i="4"/>
  <c r="L2128" i="4"/>
  <c r="K2128" i="4"/>
  <c r="J2128" i="4"/>
  <c r="I2128" i="4"/>
  <c r="H2128" i="4"/>
  <c r="Q2127" i="4"/>
  <c r="P2127" i="4"/>
  <c r="O2127" i="4"/>
  <c r="N2127" i="4"/>
  <c r="M2127" i="4"/>
  <c r="L2127" i="4"/>
  <c r="K2127" i="4"/>
  <c r="J2127" i="4"/>
  <c r="I2127" i="4"/>
  <c r="H2127" i="4"/>
  <c r="Q2126" i="4"/>
  <c r="P2126" i="4"/>
  <c r="O2126" i="4"/>
  <c r="N2126" i="4"/>
  <c r="M2126" i="4"/>
  <c r="L2126" i="4"/>
  <c r="K2126" i="4"/>
  <c r="J2126" i="4"/>
  <c r="I2126" i="4"/>
  <c r="H2126" i="4"/>
  <c r="Q2125" i="4"/>
  <c r="P2125" i="4"/>
  <c r="O2125" i="4"/>
  <c r="N2125" i="4"/>
  <c r="M2125" i="4"/>
  <c r="L2125" i="4"/>
  <c r="K2125" i="4"/>
  <c r="J2125" i="4"/>
  <c r="I2125" i="4"/>
  <c r="H2125" i="4"/>
  <c r="Q2124" i="4"/>
  <c r="P2124" i="4"/>
  <c r="O2124" i="4"/>
  <c r="N2124" i="4"/>
  <c r="M2124" i="4"/>
  <c r="L2124" i="4"/>
  <c r="K2124" i="4"/>
  <c r="J2124" i="4"/>
  <c r="I2124" i="4"/>
  <c r="H2124" i="4"/>
  <c r="Q2123" i="4"/>
  <c r="P2123" i="4"/>
  <c r="O2123" i="4"/>
  <c r="N2123" i="4"/>
  <c r="M2123" i="4"/>
  <c r="L2123" i="4"/>
  <c r="K2123" i="4"/>
  <c r="J2123" i="4"/>
  <c r="I2123" i="4"/>
  <c r="H2123" i="4"/>
  <c r="Q2122" i="4"/>
  <c r="P2122" i="4"/>
  <c r="O2122" i="4"/>
  <c r="N2122" i="4"/>
  <c r="M2122" i="4"/>
  <c r="L2122" i="4"/>
  <c r="K2122" i="4"/>
  <c r="J2122" i="4"/>
  <c r="I2122" i="4"/>
  <c r="H2122" i="4"/>
  <c r="Q2121" i="4"/>
  <c r="P2121" i="4"/>
  <c r="O2121" i="4"/>
  <c r="N2121" i="4"/>
  <c r="M2121" i="4"/>
  <c r="L2121" i="4"/>
  <c r="K2121" i="4"/>
  <c r="J2121" i="4"/>
  <c r="I2121" i="4"/>
  <c r="H2121" i="4"/>
  <c r="Q2120" i="4"/>
  <c r="P2120" i="4"/>
  <c r="O2120" i="4"/>
  <c r="N2120" i="4"/>
  <c r="M2120" i="4"/>
  <c r="L2120" i="4"/>
  <c r="K2120" i="4"/>
  <c r="J2120" i="4"/>
  <c r="I2120" i="4"/>
  <c r="H2120" i="4"/>
  <c r="Q2119" i="4"/>
  <c r="P2119" i="4"/>
  <c r="O2119" i="4"/>
  <c r="N2119" i="4"/>
  <c r="M2119" i="4"/>
  <c r="L2119" i="4"/>
  <c r="K2119" i="4"/>
  <c r="J2119" i="4"/>
  <c r="I2119" i="4"/>
  <c r="H2119" i="4"/>
  <c r="Q2118" i="4"/>
  <c r="P2118" i="4"/>
  <c r="O2118" i="4"/>
  <c r="N2118" i="4"/>
  <c r="M2118" i="4"/>
  <c r="L2118" i="4"/>
  <c r="K2118" i="4"/>
  <c r="J2118" i="4"/>
  <c r="I2118" i="4"/>
  <c r="H2118" i="4"/>
  <c r="Q2117" i="4"/>
  <c r="P2117" i="4"/>
  <c r="O2117" i="4"/>
  <c r="N2117" i="4"/>
  <c r="M2117" i="4"/>
  <c r="L2117" i="4"/>
  <c r="K2117" i="4"/>
  <c r="J2117" i="4"/>
  <c r="I2117" i="4"/>
  <c r="H2117" i="4"/>
  <c r="Q2116" i="4"/>
  <c r="P2116" i="4"/>
  <c r="O2116" i="4"/>
  <c r="N2116" i="4"/>
  <c r="M2116" i="4"/>
  <c r="L2116" i="4"/>
  <c r="K2116" i="4"/>
  <c r="J2116" i="4"/>
  <c r="I2116" i="4"/>
  <c r="H2116" i="4"/>
  <c r="Q2115" i="4"/>
  <c r="P2115" i="4"/>
  <c r="O2115" i="4"/>
  <c r="N2115" i="4"/>
  <c r="M2115" i="4"/>
  <c r="L2115" i="4"/>
  <c r="K2115" i="4"/>
  <c r="J2115" i="4"/>
  <c r="I2115" i="4"/>
  <c r="H2115" i="4"/>
  <c r="Q2114" i="4"/>
  <c r="P2114" i="4"/>
  <c r="O2114" i="4"/>
  <c r="N2114" i="4"/>
  <c r="M2114" i="4"/>
  <c r="L2114" i="4"/>
  <c r="K2114" i="4"/>
  <c r="J2114" i="4"/>
  <c r="I2114" i="4"/>
  <c r="H2114" i="4"/>
  <c r="Q2113" i="4"/>
  <c r="P2113" i="4"/>
  <c r="O2113" i="4"/>
  <c r="N2113" i="4"/>
  <c r="M2113" i="4"/>
  <c r="L2113" i="4"/>
  <c r="K2113" i="4"/>
  <c r="J2113" i="4"/>
  <c r="I2113" i="4"/>
  <c r="H2113" i="4"/>
  <c r="Q2112" i="4"/>
  <c r="P2112" i="4"/>
  <c r="O2112" i="4"/>
  <c r="N2112" i="4"/>
  <c r="M2112" i="4"/>
  <c r="L2112" i="4"/>
  <c r="K2112" i="4"/>
  <c r="J2112" i="4"/>
  <c r="I2112" i="4"/>
  <c r="H2112" i="4"/>
  <c r="Q2111" i="4"/>
  <c r="P2111" i="4"/>
  <c r="O2111" i="4"/>
  <c r="N2111" i="4"/>
  <c r="M2111" i="4"/>
  <c r="L2111" i="4"/>
  <c r="K2111" i="4"/>
  <c r="J2111" i="4"/>
  <c r="I2111" i="4"/>
  <c r="H2111" i="4"/>
  <c r="Q2110" i="4"/>
  <c r="P2110" i="4"/>
  <c r="O2110" i="4"/>
  <c r="N2110" i="4"/>
  <c r="M2110" i="4"/>
  <c r="L2110" i="4"/>
  <c r="K2110" i="4"/>
  <c r="J2110" i="4"/>
  <c r="I2110" i="4"/>
  <c r="H2110" i="4"/>
  <c r="Q2109" i="4"/>
  <c r="P2109" i="4"/>
  <c r="O2109" i="4"/>
  <c r="N2109" i="4"/>
  <c r="M2109" i="4"/>
  <c r="L2109" i="4"/>
  <c r="K2109" i="4"/>
  <c r="J2109" i="4"/>
  <c r="I2109" i="4"/>
  <c r="H2109" i="4"/>
  <c r="Q2108" i="4"/>
  <c r="P2108" i="4"/>
  <c r="O2108" i="4"/>
  <c r="N2108" i="4"/>
  <c r="M2108" i="4"/>
  <c r="L2108" i="4"/>
  <c r="K2108" i="4"/>
  <c r="J2108" i="4"/>
  <c r="I2108" i="4"/>
  <c r="H2108" i="4"/>
  <c r="Q2107" i="4"/>
  <c r="P2107" i="4"/>
  <c r="O2107" i="4"/>
  <c r="N2107" i="4"/>
  <c r="M2107" i="4"/>
  <c r="L2107" i="4"/>
  <c r="K2107" i="4"/>
  <c r="J2107" i="4"/>
  <c r="I2107" i="4"/>
  <c r="H2107" i="4"/>
  <c r="Q2106" i="4"/>
  <c r="P2106" i="4"/>
  <c r="O2106" i="4"/>
  <c r="N2106" i="4"/>
  <c r="M2106" i="4"/>
  <c r="L2106" i="4"/>
  <c r="K2106" i="4"/>
  <c r="J2106" i="4"/>
  <c r="I2106" i="4"/>
  <c r="H2106" i="4"/>
  <c r="Q2105" i="4"/>
  <c r="P2105" i="4"/>
  <c r="O2105" i="4"/>
  <c r="N2105" i="4"/>
  <c r="M2105" i="4"/>
  <c r="L2105" i="4"/>
  <c r="K2105" i="4"/>
  <c r="J2105" i="4"/>
  <c r="I2105" i="4"/>
  <c r="H2105" i="4"/>
  <c r="Q2104" i="4"/>
  <c r="P2104" i="4"/>
  <c r="O2104" i="4"/>
  <c r="N2104" i="4"/>
  <c r="M2104" i="4"/>
  <c r="L2104" i="4"/>
  <c r="K2104" i="4"/>
  <c r="J2104" i="4"/>
  <c r="I2104" i="4"/>
  <c r="H2104" i="4"/>
  <c r="Q2103" i="4"/>
  <c r="P2103" i="4"/>
  <c r="O2103" i="4"/>
  <c r="N2103" i="4"/>
  <c r="M2103" i="4"/>
  <c r="L2103" i="4"/>
  <c r="K2103" i="4"/>
  <c r="J2103" i="4"/>
  <c r="I2103" i="4"/>
  <c r="H2103" i="4"/>
  <c r="Q2102" i="4"/>
  <c r="P2102" i="4"/>
  <c r="O2102" i="4"/>
  <c r="N2102" i="4"/>
  <c r="M2102" i="4"/>
  <c r="L2102" i="4"/>
  <c r="K2102" i="4"/>
  <c r="J2102" i="4"/>
  <c r="I2102" i="4"/>
  <c r="H2102" i="4"/>
  <c r="Q2101" i="4"/>
  <c r="P2101" i="4"/>
  <c r="O2101" i="4"/>
  <c r="N2101" i="4"/>
  <c r="M2101" i="4"/>
  <c r="L2101" i="4"/>
  <c r="K2101" i="4"/>
  <c r="J2101" i="4"/>
  <c r="I2101" i="4"/>
  <c r="H2101" i="4"/>
  <c r="Q2100" i="4"/>
  <c r="P2100" i="4"/>
  <c r="O2100" i="4"/>
  <c r="N2100" i="4"/>
  <c r="M2100" i="4"/>
  <c r="L2100" i="4"/>
  <c r="K2100" i="4"/>
  <c r="J2100" i="4"/>
  <c r="I2100" i="4"/>
  <c r="H2100" i="4"/>
  <c r="Q2099" i="4"/>
  <c r="P2099" i="4"/>
  <c r="O2099" i="4"/>
  <c r="N2099" i="4"/>
  <c r="M2099" i="4"/>
  <c r="L2099" i="4"/>
  <c r="K2099" i="4"/>
  <c r="J2099" i="4"/>
  <c r="I2099" i="4"/>
  <c r="H2099" i="4"/>
  <c r="Q2098" i="4"/>
  <c r="P2098" i="4"/>
  <c r="O2098" i="4"/>
  <c r="N2098" i="4"/>
  <c r="M2098" i="4"/>
  <c r="L2098" i="4"/>
  <c r="K2098" i="4"/>
  <c r="J2098" i="4"/>
  <c r="I2098" i="4"/>
  <c r="H2098" i="4"/>
  <c r="Q2097" i="4"/>
  <c r="P2097" i="4"/>
  <c r="O2097" i="4"/>
  <c r="N2097" i="4"/>
  <c r="M2097" i="4"/>
  <c r="L2097" i="4"/>
  <c r="K2097" i="4"/>
  <c r="J2097" i="4"/>
  <c r="I2097" i="4"/>
  <c r="H2097" i="4"/>
  <c r="Q2096" i="4"/>
  <c r="P2096" i="4"/>
  <c r="O2096" i="4"/>
  <c r="N2096" i="4"/>
  <c r="M2096" i="4"/>
  <c r="L2096" i="4"/>
  <c r="K2096" i="4"/>
  <c r="J2096" i="4"/>
  <c r="I2096" i="4"/>
  <c r="H2096" i="4"/>
  <c r="Q2095" i="4"/>
  <c r="P2095" i="4"/>
  <c r="O2095" i="4"/>
  <c r="N2095" i="4"/>
  <c r="M2095" i="4"/>
  <c r="L2095" i="4"/>
  <c r="K2095" i="4"/>
  <c r="J2095" i="4"/>
  <c r="I2095" i="4"/>
  <c r="H2095" i="4"/>
  <c r="Q2094" i="4"/>
  <c r="P2094" i="4"/>
  <c r="O2094" i="4"/>
  <c r="N2094" i="4"/>
  <c r="M2094" i="4"/>
  <c r="L2094" i="4"/>
  <c r="K2094" i="4"/>
  <c r="J2094" i="4"/>
  <c r="I2094" i="4"/>
  <c r="H2094" i="4"/>
  <c r="Q2093" i="4"/>
  <c r="P2093" i="4"/>
  <c r="O2093" i="4"/>
  <c r="N2093" i="4"/>
  <c r="M2093" i="4"/>
  <c r="L2093" i="4"/>
  <c r="K2093" i="4"/>
  <c r="J2093" i="4"/>
  <c r="I2093" i="4"/>
  <c r="H2093" i="4"/>
  <c r="Q2092" i="4"/>
  <c r="P2092" i="4"/>
  <c r="O2092" i="4"/>
  <c r="N2092" i="4"/>
  <c r="M2092" i="4"/>
  <c r="L2092" i="4"/>
  <c r="K2092" i="4"/>
  <c r="J2092" i="4"/>
  <c r="I2092" i="4"/>
  <c r="H2092" i="4"/>
  <c r="Q2091" i="4"/>
  <c r="P2091" i="4"/>
  <c r="O2091" i="4"/>
  <c r="N2091" i="4"/>
  <c r="M2091" i="4"/>
  <c r="L2091" i="4"/>
  <c r="K2091" i="4"/>
  <c r="J2091" i="4"/>
  <c r="I2091" i="4"/>
  <c r="H2091" i="4"/>
  <c r="Q2090" i="4"/>
  <c r="P2090" i="4"/>
  <c r="O2090" i="4"/>
  <c r="N2090" i="4"/>
  <c r="M2090" i="4"/>
  <c r="L2090" i="4"/>
  <c r="K2090" i="4"/>
  <c r="J2090" i="4"/>
  <c r="I2090" i="4"/>
  <c r="H2090" i="4"/>
  <c r="Q2089" i="4"/>
  <c r="P2089" i="4"/>
  <c r="O2089" i="4"/>
  <c r="N2089" i="4"/>
  <c r="M2089" i="4"/>
  <c r="L2089" i="4"/>
  <c r="K2089" i="4"/>
  <c r="J2089" i="4"/>
  <c r="I2089" i="4"/>
  <c r="H2089" i="4"/>
  <c r="Q2088" i="4"/>
  <c r="P2088" i="4"/>
  <c r="O2088" i="4"/>
  <c r="N2088" i="4"/>
  <c r="M2088" i="4"/>
  <c r="L2088" i="4"/>
  <c r="K2088" i="4"/>
  <c r="J2088" i="4"/>
  <c r="I2088" i="4"/>
  <c r="H2088" i="4"/>
  <c r="Q2087" i="4"/>
  <c r="P2087" i="4"/>
  <c r="O2087" i="4"/>
  <c r="N2087" i="4"/>
  <c r="M2087" i="4"/>
  <c r="L2087" i="4"/>
  <c r="K2087" i="4"/>
  <c r="J2087" i="4"/>
  <c r="I2087" i="4"/>
  <c r="H2087" i="4"/>
  <c r="Q2086" i="4"/>
  <c r="P2086" i="4"/>
  <c r="O2086" i="4"/>
  <c r="N2086" i="4"/>
  <c r="M2086" i="4"/>
  <c r="L2086" i="4"/>
  <c r="K2086" i="4"/>
  <c r="J2086" i="4"/>
  <c r="I2086" i="4"/>
  <c r="H2086" i="4"/>
  <c r="Q2085" i="4"/>
  <c r="P2085" i="4"/>
  <c r="O2085" i="4"/>
  <c r="N2085" i="4"/>
  <c r="M2085" i="4"/>
  <c r="L2085" i="4"/>
  <c r="K2085" i="4"/>
  <c r="J2085" i="4"/>
  <c r="I2085" i="4"/>
  <c r="H2085" i="4"/>
  <c r="Q2084" i="4"/>
  <c r="P2084" i="4"/>
  <c r="O2084" i="4"/>
  <c r="N2084" i="4"/>
  <c r="M2084" i="4"/>
  <c r="L2084" i="4"/>
  <c r="K2084" i="4"/>
  <c r="J2084" i="4"/>
  <c r="I2084" i="4"/>
  <c r="H2084" i="4"/>
  <c r="Q2083" i="4"/>
  <c r="P2083" i="4"/>
  <c r="O2083" i="4"/>
  <c r="N2083" i="4"/>
  <c r="M2083" i="4"/>
  <c r="L2083" i="4"/>
  <c r="K2083" i="4"/>
  <c r="J2083" i="4"/>
  <c r="I2083" i="4"/>
  <c r="H2083" i="4"/>
  <c r="Q2082" i="4"/>
  <c r="P2082" i="4"/>
  <c r="O2082" i="4"/>
  <c r="N2082" i="4"/>
  <c r="M2082" i="4"/>
  <c r="L2082" i="4"/>
  <c r="K2082" i="4"/>
  <c r="J2082" i="4"/>
  <c r="I2082" i="4"/>
  <c r="H2082" i="4"/>
  <c r="Q2081" i="4"/>
  <c r="P2081" i="4"/>
  <c r="O2081" i="4"/>
  <c r="N2081" i="4"/>
  <c r="M2081" i="4"/>
  <c r="L2081" i="4"/>
  <c r="K2081" i="4"/>
  <c r="J2081" i="4"/>
  <c r="I2081" i="4"/>
  <c r="H2081" i="4"/>
  <c r="Q2080" i="4"/>
  <c r="P2080" i="4"/>
  <c r="O2080" i="4"/>
  <c r="N2080" i="4"/>
  <c r="M2080" i="4"/>
  <c r="L2080" i="4"/>
  <c r="K2080" i="4"/>
  <c r="J2080" i="4"/>
  <c r="I2080" i="4"/>
  <c r="H2080" i="4"/>
  <c r="Q2079" i="4"/>
  <c r="P2079" i="4"/>
  <c r="O2079" i="4"/>
  <c r="N2079" i="4"/>
  <c r="M2079" i="4"/>
  <c r="L2079" i="4"/>
  <c r="K2079" i="4"/>
  <c r="J2079" i="4"/>
  <c r="I2079" i="4"/>
  <c r="H2079" i="4"/>
  <c r="Q2078" i="4"/>
  <c r="P2078" i="4"/>
  <c r="O2078" i="4"/>
  <c r="N2078" i="4"/>
  <c r="M2078" i="4"/>
  <c r="L2078" i="4"/>
  <c r="K2078" i="4"/>
  <c r="J2078" i="4"/>
  <c r="I2078" i="4"/>
  <c r="H2078" i="4"/>
  <c r="Q2077" i="4"/>
  <c r="P2077" i="4"/>
  <c r="O2077" i="4"/>
  <c r="N2077" i="4"/>
  <c r="M2077" i="4"/>
  <c r="L2077" i="4"/>
  <c r="K2077" i="4"/>
  <c r="J2077" i="4"/>
  <c r="I2077" i="4"/>
  <c r="H2077" i="4"/>
  <c r="Q2076" i="4"/>
  <c r="P2076" i="4"/>
  <c r="O2076" i="4"/>
  <c r="N2076" i="4"/>
  <c r="M2076" i="4"/>
  <c r="L2076" i="4"/>
  <c r="K2076" i="4"/>
  <c r="J2076" i="4"/>
  <c r="I2076" i="4"/>
  <c r="H2076" i="4"/>
  <c r="Q2075" i="4"/>
  <c r="P2075" i="4"/>
  <c r="O2075" i="4"/>
  <c r="N2075" i="4"/>
  <c r="M2075" i="4"/>
  <c r="L2075" i="4"/>
  <c r="K2075" i="4"/>
  <c r="J2075" i="4"/>
  <c r="I2075" i="4"/>
  <c r="H2075" i="4"/>
  <c r="Q2074" i="4"/>
  <c r="P2074" i="4"/>
  <c r="O2074" i="4"/>
  <c r="N2074" i="4"/>
  <c r="M2074" i="4"/>
  <c r="L2074" i="4"/>
  <c r="K2074" i="4"/>
  <c r="J2074" i="4"/>
  <c r="I2074" i="4"/>
  <c r="H2074" i="4"/>
  <c r="Q2073" i="4"/>
  <c r="P2073" i="4"/>
  <c r="O2073" i="4"/>
  <c r="N2073" i="4"/>
  <c r="M2073" i="4"/>
  <c r="L2073" i="4"/>
  <c r="K2073" i="4"/>
  <c r="J2073" i="4"/>
  <c r="I2073" i="4"/>
  <c r="H2073" i="4"/>
  <c r="Q2072" i="4"/>
  <c r="P2072" i="4"/>
  <c r="O2072" i="4"/>
  <c r="N2072" i="4"/>
  <c r="M2072" i="4"/>
  <c r="L2072" i="4"/>
  <c r="K2072" i="4"/>
  <c r="J2072" i="4"/>
  <c r="I2072" i="4"/>
  <c r="H2072" i="4"/>
  <c r="Q2071" i="4"/>
  <c r="P2071" i="4"/>
  <c r="O2071" i="4"/>
  <c r="N2071" i="4"/>
  <c r="M2071" i="4"/>
  <c r="L2071" i="4"/>
  <c r="K2071" i="4"/>
  <c r="J2071" i="4"/>
  <c r="I2071" i="4"/>
  <c r="H2071" i="4"/>
  <c r="Q2070" i="4"/>
  <c r="P2070" i="4"/>
  <c r="O2070" i="4"/>
  <c r="N2070" i="4"/>
  <c r="M2070" i="4"/>
  <c r="L2070" i="4"/>
  <c r="K2070" i="4"/>
  <c r="J2070" i="4"/>
  <c r="I2070" i="4"/>
  <c r="H2070" i="4"/>
  <c r="Q2069" i="4"/>
  <c r="P2069" i="4"/>
  <c r="O2069" i="4"/>
  <c r="N2069" i="4"/>
  <c r="M2069" i="4"/>
  <c r="L2069" i="4"/>
  <c r="K2069" i="4"/>
  <c r="J2069" i="4"/>
  <c r="I2069" i="4"/>
  <c r="H2069" i="4"/>
  <c r="Q2068" i="4"/>
  <c r="P2068" i="4"/>
  <c r="O2068" i="4"/>
  <c r="N2068" i="4"/>
  <c r="M2068" i="4"/>
  <c r="L2068" i="4"/>
  <c r="K2068" i="4"/>
  <c r="J2068" i="4"/>
  <c r="I2068" i="4"/>
  <c r="H2068" i="4"/>
  <c r="Q2067" i="4"/>
  <c r="P2067" i="4"/>
  <c r="O2067" i="4"/>
  <c r="N2067" i="4"/>
  <c r="M2067" i="4"/>
  <c r="L2067" i="4"/>
  <c r="K2067" i="4"/>
  <c r="J2067" i="4"/>
  <c r="I2067" i="4"/>
  <c r="H2067" i="4"/>
  <c r="Q2066" i="4"/>
  <c r="P2066" i="4"/>
  <c r="O2066" i="4"/>
  <c r="N2066" i="4"/>
  <c r="M2066" i="4"/>
  <c r="L2066" i="4"/>
  <c r="K2066" i="4"/>
  <c r="J2066" i="4"/>
  <c r="I2066" i="4"/>
  <c r="H2066" i="4"/>
  <c r="Q2065" i="4"/>
  <c r="P2065" i="4"/>
  <c r="O2065" i="4"/>
  <c r="N2065" i="4"/>
  <c r="M2065" i="4"/>
  <c r="L2065" i="4"/>
  <c r="K2065" i="4"/>
  <c r="J2065" i="4"/>
  <c r="I2065" i="4"/>
  <c r="H2065" i="4"/>
  <c r="Q2064" i="4"/>
  <c r="P2064" i="4"/>
  <c r="O2064" i="4"/>
  <c r="N2064" i="4"/>
  <c r="M2064" i="4"/>
  <c r="L2064" i="4"/>
  <c r="K2064" i="4"/>
  <c r="J2064" i="4"/>
  <c r="I2064" i="4"/>
  <c r="H2064" i="4"/>
  <c r="Q2063" i="4"/>
  <c r="P2063" i="4"/>
  <c r="O2063" i="4"/>
  <c r="N2063" i="4"/>
  <c r="M2063" i="4"/>
  <c r="L2063" i="4"/>
  <c r="K2063" i="4"/>
  <c r="J2063" i="4"/>
  <c r="I2063" i="4"/>
  <c r="H2063" i="4"/>
  <c r="Q2062" i="4"/>
  <c r="P2062" i="4"/>
  <c r="O2062" i="4"/>
  <c r="N2062" i="4"/>
  <c r="M2062" i="4"/>
  <c r="L2062" i="4"/>
  <c r="K2062" i="4"/>
  <c r="J2062" i="4"/>
  <c r="I2062" i="4"/>
  <c r="H2062" i="4"/>
  <c r="Q2061" i="4"/>
  <c r="P2061" i="4"/>
  <c r="O2061" i="4"/>
  <c r="N2061" i="4"/>
  <c r="M2061" i="4"/>
  <c r="L2061" i="4"/>
  <c r="K2061" i="4"/>
  <c r="J2061" i="4"/>
  <c r="I2061" i="4"/>
  <c r="H2061" i="4"/>
  <c r="Q2060" i="4"/>
  <c r="P2060" i="4"/>
  <c r="O2060" i="4"/>
  <c r="N2060" i="4"/>
  <c r="M2060" i="4"/>
  <c r="L2060" i="4"/>
  <c r="K2060" i="4"/>
  <c r="J2060" i="4"/>
  <c r="I2060" i="4"/>
  <c r="H2060" i="4"/>
  <c r="Q2059" i="4"/>
  <c r="P2059" i="4"/>
  <c r="O2059" i="4"/>
  <c r="N2059" i="4"/>
  <c r="M2059" i="4"/>
  <c r="L2059" i="4"/>
  <c r="K2059" i="4"/>
  <c r="J2059" i="4"/>
  <c r="I2059" i="4"/>
  <c r="H2059" i="4"/>
  <c r="Q2058" i="4"/>
  <c r="P2058" i="4"/>
  <c r="O2058" i="4"/>
  <c r="N2058" i="4"/>
  <c r="M2058" i="4"/>
  <c r="L2058" i="4"/>
  <c r="K2058" i="4"/>
  <c r="J2058" i="4"/>
  <c r="I2058" i="4"/>
  <c r="H2058" i="4"/>
  <c r="Q2057" i="4"/>
  <c r="P2057" i="4"/>
  <c r="O2057" i="4"/>
  <c r="N2057" i="4"/>
  <c r="M2057" i="4"/>
  <c r="L2057" i="4"/>
  <c r="K2057" i="4"/>
  <c r="J2057" i="4"/>
  <c r="I2057" i="4"/>
  <c r="H2057" i="4"/>
  <c r="Q2056" i="4"/>
  <c r="P2056" i="4"/>
  <c r="O2056" i="4"/>
  <c r="N2056" i="4"/>
  <c r="M2056" i="4"/>
  <c r="L2056" i="4"/>
  <c r="K2056" i="4"/>
  <c r="J2056" i="4"/>
  <c r="I2056" i="4"/>
  <c r="H2056" i="4"/>
  <c r="Q2055" i="4"/>
  <c r="P2055" i="4"/>
  <c r="O2055" i="4"/>
  <c r="N2055" i="4"/>
  <c r="M2055" i="4"/>
  <c r="L2055" i="4"/>
  <c r="K2055" i="4"/>
  <c r="J2055" i="4"/>
  <c r="I2055" i="4"/>
  <c r="H2055" i="4"/>
  <c r="Q2054" i="4"/>
  <c r="P2054" i="4"/>
  <c r="O2054" i="4"/>
  <c r="N2054" i="4"/>
  <c r="M2054" i="4"/>
  <c r="L2054" i="4"/>
  <c r="K2054" i="4"/>
  <c r="J2054" i="4"/>
  <c r="I2054" i="4"/>
  <c r="H2054" i="4"/>
  <c r="Q2053" i="4"/>
  <c r="P2053" i="4"/>
  <c r="O2053" i="4"/>
  <c r="N2053" i="4"/>
  <c r="M2053" i="4"/>
  <c r="L2053" i="4"/>
  <c r="K2053" i="4"/>
  <c r="J2053" i="4"/>
  <c r="I2053" i="4"/>
  <c r="H2053" i="4"/>
  <c r="Q2052" i="4"/>
  <c r="P2052" i="4"/>
  <c r="O2052" i="4"/>
  <c r="N2052" i="4"/>
  <c r="M2052" i="4"/>
  <c r="L2052" i="4"/>
  <c r="K2052" i="4"/>
  <c r="J2052" i="4"/>
  <c r="I2052" i="4"/>
  <c r="H2052" i="4"/>
  <c r="Q2051" i="4"/>
  <c r="P2051" i="4"/>
  <c r="O2051" i="4"/>
  <c r="N2051" i="4"/>
  <c r="M2051" i="4"/>
  <c r="L2051" i="4"/>
  <c r="K2051" i="4"/>
  <c r="J2051" i="4"/>
  <c r="I2051" i="4"/>
  <c r="H2051" i="4"/>
  <c r="Q2050" i="4"/>
  <c r="P2050" i="4"/>
  <c r="O2050" i="4"/>
  <c r="N2050" i="4"/>
  <c r="M2050" i="4"/>
  <c r="L2050" i="4"/>
  <c r="K2050" i="4"/>
  <c r="J2050" i="4"/>
  <c r="I2050" i="4"/>
  <c r="H2050" i="4"/>
  <c r="Q2049" i="4"/>
  <c r="P2049" i="4"/>
  <c r="O2049" i="4"/>
  <c r="N2049" i="4"/>
  <c r="M2049" i="4"/>
  <c r="L2049" i="4"/>
  <c r="K2049" i="4"/>
  <c r="J2049" i="4"/>
  <c r="I2049" i="4"/>
  <c r="H2049" i="4"/>
  <c r="Q2048" i="4"/>
  <c r="P2048" i="4"/>
  <c r="O2048" i="4"/>
  <c r="N2048" i="4"/>
  <c r="M2048" i="4"/>
  <c r="L2048" i="4"/>
  <c r="K2048" i="4"/>
  <c r="J2048" i="4"/>
  <c r="I2048" i="4"/>
  <c r="H2048" i="4"/>
  <c r="Q2047" i="4"/>
  <c r="P2047" i="4"/>
  <c r="O2047" i="4"/>
  <c r="N2047" i="4"/>
  <c r="M2047" i="4"/>
  <c r="L2047" i="4"/>
  <c r="K2047" i="4"/>
  <c r="J2047" i="4"/>
  <c r="I2047" i="4"/>
  <c r="H2047" i="4"/>
  <c r="Q2046" i="4"/>
  <c r="P2046" i="4"/>
  <c r="O2046" i="4"/>
  <c r="N2046" i="4"/>
  <c r="M2046" i="4"/>
  <c r="L2046" i="4"/>
  <c r="K2046" i="4"/>
  <c r="J2046" i="4"/>
  <c r="I2046" i="4"/>
  <c r="H2046" i="4"/>
  <c r="Q2045" i="4"/>
  <c r="P2045" i="4"/>
  <c r="O2045" i="4"/>
  <c r="N2045" i="4"/>
  <c r="M2045" i="4"/>
  <c r="L2045" i="4"/>
  <c r="K2045" i="4"/>
  <c r="J2045" i="4"/>
  <c r="I2045" i="4"/>
  <c r="H2045" i="4"/>
  <c r="Q2044" i="4"/>
  <c r="P2044" i="4"/>
  <c r="O2044" i="4"/>
  <c r="N2044" i="4"/>
  <c r="M2044" i="4"/>
  <c r="L2044" i="4"/>
  <c r="K2044" i="4"/>
  <c r="J2044" i="4"/>
  <c r="I2044" i="4"/>
  <c r="H2044" i="4"/>
  <c r="Q2043" i="4"/>
  <c r="P2043" i="4"/>
  <c r="O2043" i="4"/>
  <c r="N2043" i="4"/>
  <c r="M2043" i="4"/>
  <c r="L2043" i="4"/>
  <c r="K2043" i="4"/>
  <c r="J2043" i="4"/>
  <c r="I2043" i="4"/>
  <c r="H2043" i="4"/>
  <c r="Q2042" i="4"/>
  <c r="P2042" i="4"/>
  <c r="O2042" i="4"/>
  <c r="N2042" i="4"/>
  <c r="M2042" i="4"/>
  <c r="L2042" i="4"/>
  <c r="K2042" i="4"/>
  <c r="J2042" i="4"/>
  <c r="I2042" i="4"/>
  <c r="H2042" i="4"/>
  <c r="Q2041" i="4"/>
  <c r="P2041" i="4"/>
  <c r="O2041" i="4"/>
  <c r="N2041" i="4"/>
  <c r="M2041" i="4"/>
  <c r="L2041" i="4"/>
  <c r="K2041" i="4"/>
  <c r="J2041" i="4"/>
  <c r="I2041" i="4"/>
  <c r="H2041" i="4"/>
  <c r="Q2040" i="4"/>
  <c r="P2040" i="4"/>
  <c r="O2040" i="4"/>
  <c r="N2040" i="4"/>
  <c r="M2040" i="4"/>
  <c r="L2040" i="4"/>
  <c r="K2040" i="4"/>
  <c r="J2040" i="4"/>
  <c r="I2040" i="4"/>
  <c r="H2040" i="4"/>
  <c r="Q2039" i="4"/>
  <c r="P2039" i="4"/>
  <c r="O2039" i="4"/>
  <c r="N2039" i="4"/>
  <c r="M2039" i="4"/>
  <c r="L2039" i="4"/>
  <c r="K2039" i="4"/>
  <c r="J2039" i="4"/>
  <c r="I2039" i="4"/>
  <c r="H2039" i="4"/>
  <c r="Q2038" i="4"/>
  <c r="P2038" i="4"/>
  <c r="O2038" i="4"/>
  <c r="N2038" i="4"/>
  <c r="M2038" i="4"/>
  <c r="L2038" i="4"/>
  <c r="K2038" i="4"/>
  <c r="J2038" i="4"/>
  <c r="I2038" i="4"/>
  <c r="H2038" i="4"/>
  <c r="Q2037" i="4"/>
  <c r="P2037" i="4"/>
  <c r="O2037" i="4"/>
  <c r="N2037" i="4"/>
  <c r="M2037" i="4"/>
  <c r="L2037" i="4"/>
  <c r="K2037" i="4"/>
  <c r="J2037" i="4"/>
  <c r="I2037" i="4"/>
  <c r="H2037" i="4"/>
  <c r="Q2036" i="4"/>
  <c r="P2036" i="4"/>
  <c r="O2036" i="4"/>
  <c r="N2036" i="4"/>
  <c r="M2036" i="4"/>
  <c r="L2036" i="4"/>
  <c r="K2036" i="4"/>
  <c r="J2036" i="4"/>
  <c r="I2036" i="4"/>
  <c r="H2036" i="4"/>
  <c r="Q2035" i="4"/>
  <c r="P2035" i="4"/>
  <c r="O2035" i="4"/>
  <c r="N2035" i="4"/>
  <c r="M2035" i="4"/>
  <c r="L2035" i="4"/>
  <c r="K2035" i="4"/>
  <c r="J2035" i="4"/>
  <c r="I2035" i="4"/>
  <c r="H2035" i="4"/>
  <c r="Q2034" i="4"/>
  <c r="P2034" i="4"/>
  <c r="O2034" i="4"/>
  <c r="N2034" i="4"/>
  <c r="M2034" i="4"/>
  <c r="L2034" i="4"/>
  <c r="K2034" i="4"/>
  <c r="J2034" i="4"/>
  <c r="I2034" i="4"/>
  <c r="H2034" i="4"/>
  <c r="Q2033" i="4"/>
  <c r="P2033" i="4"/>
  <c r="O2033" i="4"/>
  <c r="N2033" i="4"/>
  <c r="M2033" i="4"/>
  <c r="L2033" i="4"/>
  <c r="K2033" i="4"/>
  <c r="J2033" i="4"/>
  <c r="I2033" i="4"/>
  <c r="H2033" i="4"/>
  <c r="Q2032" i="4"/>
  <c r="P2032" i="4"/>
  <c r="O2032" i="4"/>
  <c r="N2032" i="4"/>
  <c r="M2032" i="4"/>
  <c r="L2032" i="4"/>
  <c r="K2032" i="4"/>
  <c r="J2032" i="4"/>
  <c r="I2032" i="4"/>
  <c r="H2032" i="4"/>
  <c r="Q2031" i="4"/>
  <c r="P2031" i="4"/>
  <c r="O2031" i="4"/>
  <c r="N2031" i="4"/>
  <c r="M2031" i="4"/>
  <c r="L2031" i="4"/>
  <c r="K2031" i="4"/>
  <c r="J2031" i="4"/>
  <c r="I2031" i="4"/>
  <c r="H2031" i="4"/>
  <c r="Q2030" i="4"/>
  <c r="P2030" i="4"/>
  <c r="O2030" i="4"/>
  <c r="N2030" i="4"/>
  <c r="M2030" i="4"/>
  <c r="L2030" i="4"/>
  <c r="K2030" i="4"/>
  <c r="J2030" i="4"/>
  <c r="I2030" i="4"/>
  <c r="H2030" i="4"/>
  <c r="Q2029" i="4"/>
  <c r="P2029" i="4"/>
  <c r="O2029" i="4"/>
  <c r="N2029" i="4"/>
  <c r="M2029" i="4"/>
  <c r="L2029" i="4"/>
  <c r="K2029" i="4"/>
  <c r="J2029" i="4"/>
  <c r="I2029" i="4"/>
  <c r="H2029" i="4"/>
  <c r="Q2028" i="4"/>
  <c r="P2028" i="4"/>
  <c r="O2028" i="4"/>
  <c r="N2028" i="4"/>
  <c r="M2028" i="4"/>
  <c r="L2028" i="4"/>
  <c r="K2028" i="4"/>
  <c r="J2028" i="4"/>
  <c r="I2028" i="4"/>
  <c r="H2028" i="4"/>
  <c r="Q2027" i="4"/>
  <c r="P2027" i="4"/>
  <c r="O2027" i="4"/>
  <c r="N2027" i="4"/>
  <c r="M2027" i="4"/>
  <c r="L2027" i="4"/>
  <c r="K2027" i="4"/>
  <c r="J2027" i="4"/>
  <c r="I2027" i="4"/>
  <c r="H2027" i="4"/>
  <c r="Q2026" i="4"/>
  <c r="P2026" i="4"/>
  <c r="O2026" i="4"/>
  <c r="N2026" i="4"/>
  <c r="M2026" i="4"/>
  <c r="L2026" i="4"/>
  <c r="K2026" i="4"/>
  <c r="J2026" i="4"/>
  <c r="I2026" i="4"/>
  <c r="H2026" i="4"/>
  <c r="Q2025" i="4"/>
  <c r="P2025" i="4"/>
  <c r="O2025" i="4"/>
  <c r="N2025" i="4"/>
  <c r="M2025" i="4"/>
  <c r="L2025" i="4"/>
  <c r="K2025" i="4"/>
  <c r="J2025" i="4"/>
  <c r="I2025" i="4"/>
  <c r="H2025" i="4"/>
  <c r="Q2024" i="4"/>
  <c r="P2024" i="4"/>
  <c r="O2024" i="4"/>
  <c r="N2024" i="4"/>
  <c r="M2024" i="4"/>
  <c r="L2024" i="4"/>
  <c r="K2024" i="4"/>
  <c r="J2024" i="4"/>
  <c r="I2024" i="4"/>
  <c r="H2024" i="4"/>
  <c r="Q2023" i="4"/>
  <c r="P2023" i="4"/>
  <c r="O2023" i="4"/>
  <c r="N2023" i="4"/>
  <c r="M2023" i="4"/>
  <c r="L2023" i="4"/>
  <c r="K2023" i="4"/>
  <c r="J2023" i="4"/>
  <c r="I2023" i="4"/>
  <c r="H2023" i="4"/>
  <c r="Q2022" i="4"/>
  <c r="P2022" i="4"/>
  <c r="O2022" i="4"/>
  <c r="N2022" i="4"/>
  <c r="M2022" i="4"/>
  <c r="L2022" i="4"/>
  <c r="K2022" i="4"/>
  <c r="J2022" i="4"/>
  <c r="I2022" i="4"/>
  <c r="H2022" i="4"/>
  <c r="Q2021" i="4"/>
  <c r="P2021" i="4"/>
  <c r="O2021" i="4"/>
  <c r="N2021" i="4"/>
  <c r="M2021" i="4"/>
  <c r="L2021" i="4"/>
  <c r="K2021" i="4"/>
  <c r="J2021" i="4"/>
  <c r="I2021" i="4"/>
  <c r="H2021" i="4"/>
  <c r="Q2020" i="4"/>
  <c r="P2020" i="4"/>
  <c r="O2020" i="4"/>
  <c r="N2020" i="4"/>
  <c r="M2020" i="4"/>
  <c r="L2020" i="4"/>
  <c r="K2020" i="4"/>
  <c r="J2020" i="4"/>
  <c r="I2020" i="4"/>
  <c r="H2020" i="4"/>
  <c r="Q2019" i="4"/>
  <c r="P2019" i="4"/>
  <c r="O2019" i="4"/>
  <c r="N2019" i="4"/>
  <c r="M2019" i="4"/>
  <c r="L2019" i="4"/>
  <c r="K2019" i="4"/>
  <c r="J2019" i="4"/>
  <c r="I2019" i="4"/>
  <c r="H2019" i="4"/>
  <c r="Q2018" i="4"/>
  <c r="P2018" i="4"/>
  <c r="O2018" i="4"/>
  <c r="N2018" i="4"/>
  <c r="M2018" i="4"/>
  <c r="L2018" i="4"/>
  <c r="K2018" i="4"/>
  <c r="J2018" i="4"/>
  <c r="I2018" i="4"/>
  <c r="H2018" i="4"/>
  <c r="Q2017" i="4"/>
  <c r="P2017" i="4"/>
  <c r="O2017" i="4"/>
  <c r="N2017" i="4"/>
  <c r="M2017" i="4"/>
  <c r="L2017" i="4"/>
  <c r="K2017" i="4"/>
  <c r="J2017" i="4"/>
  <c r="I2017" i="4"/>
  <c r="H2017" i="4"/>
  <c r="Q2016" i="4"/>
  <c r="P2016" i="4"/>
  <c r="O2016" i="4"/>
  <c r="N2016" i="4"/>
  <c r="M2016" i="4"/>
  <c r="L2016" i="4"/>
  <c r="K2016" i="4"/>
  <c r="J2016" i="4"/>
  <c r="I2016" i="4"/>
  <c r="H2016" i="4"/>
  <c r="Q2015" i="4"/>
  <c r="P2015" i="4"/>
  <c r="O2015" i="4"/>
  <c r="N2015" i="4"/>
  <c r="M2015" i="4"/>
  <c r="L2015" i="4"/>
  <c r="K2015" i="4"/>
  <c r="J2015" i="4"/>
  <c r="I2015" i="4"/>
  <c r="H2015" i="4"/>
  <c r="Q2014" i="4"/>
  <c r="P2014" i="4"/>
  <c r="O2014" i="4"/>
  <c r="N2014" i="4"/>
  <c r="M2014" i="4"/>
  <c r="L2014" i="4"/>
  <c r="K2014" i="4"/>
  <c r="J2014" i="4"/>
  <c r="I2014" i="4"/>
  <c r="H2014" i="4"/>
  <c r="Q2013" i="4"/>
  <c r="P2013" i="4"/>
  <c r="O2013" i="4"/>
  <c r="N2013" i="4"/>
  <c r="M2013" i="4"/>
  <c r="L2013" i="4"/>
  <c r="K2013" i="4"/>
  <c r="J2013" i="4"/>
  <c r="I2013" i="4"/>
  <c r="H2013" i="4"/>
  <c r="Q2012" i="4"/>
  <c r="P2012" i="4"/>
  <c r="O2012" i="4"/>
  <c r="N2012" i="4"/>
  <c r="M2012" i="4"/>
  <c r="L2012" i="4"/>
  <c r="K2012" i="4"/>
  <c r="J2012" i="4"/>
  <c r="I2012" i="4"/>
  <c r="H2012" i="4"/>
  <c r="Q2011" i="4"/>
  <c r="P2011" i="4"/>
  <c r="O2011" i="4"/>
  <c r="N2011" i="4"/>
  <c r="M2011" i="4"/>
  <c r="L2011" i="4"/>
  <c r="K2011" i="4"/>
  <c r="J2011" i="4"/>
  <c r="I2011" i="4"/>
  <c r="H2011" i="4"/>
  <c r="Q2010" i="4"/>
  <c r="P2010" i="4"/>
  <c r="O2010" i="4"/>
  <c r="N2010" i="4"/>
  <c r="M2010" i="4"/>
  <c r="L2010" i="4"/>
  <c r="K2010" i="4"/>
  <c r="J2010" i="4"/>
  <c r="I2010" i="4"/>
  <c r="H2010" i="4"/>
  <c r="Q2009" i="4"/>
  <c r="P2009" i="4"/>
  <c r="O2009" i="4"/>
  <c r="N2009" i="4"/>
  <c r="M2009" i="4"/>
  <c r="L2009" i="4"/>
  <c r="K2009" i="4"/>
  <c r="J2009" i="4"/>
  <c r="I2009" i="4"/>
  <c r="H2009" i="4"/>
  <c r="Q2008" i="4"/>
  <c r="P2008" i="4"/>
  <c r="O2008" i="4"/>
  <c r="N2008" i="4"/>
  <c r="M2008" i="4"/>
  <c r="L2008" i="4"/>
  <c r="K2008" i="4"/>
  <c r="J2008" i="4"/>
  <c r="I2008" i="4"/>
  <c r="H2008" i="4"/>
  <c r="Q2007" i="4"/>
  <c r="P2007" i="4"/>
  <c r="O2007" i="4"/>
  <c r="N2007" i="4"/>
  <c r="M2007" i="4"/>
  <c r="L2007" i="4"/>
  <c r="K2007" i="4"/>
  <c r="J2007" i="4"/>
  <c r="I2007" i="4"/>
  <c r="H2007" i="4"/>
  <c r="Q2006" i="4"/>
  <c r="P2006" i="4"/>
  <c r="O2006" i="4"/>
  <c r="N2006" i="4"/>
  <c r="M2006" i="4"/>
  <c r="L2006" i="4"/>
  <c r="K2006" i="4"/>
  <c r="J2006" i="4"/>
  <c r="I2006" i="4"/>
  <c r="H2006" i="4"/>
  <c r="Q2005" i="4"/>
  <c r="P2005" i="4"/>
  <c r="O2005" i="4"/>
  <c r="N2005" i="4"/>
  <c r="M2005" i="4"/>
  <c r="L2005" i="4"/>
  <c r="K2005" i="4"/>
  <c r="J2005" i="4"/>
  <c r="I2005" i="4"/>
  <c r="H2005" i="4"/>
  <c r="Q2004" i="4"/>
  <c r="P2004" i="4"/>
  <c r="O2004" i="4"/>
  <c r="N2004" i="4"/>
  <c r="M2004" i="4"/>
  <c r="L2004" i="4"/>
  <c r="K2004" i="4"/>
  <c r="J2004" i="4"/>
  <c r="I2004" i="4"/>
  <c r="H2004" i="4"/>
  <c r="Q2003" i="4"/>
  <c r="P2003" i="4"/>
  <c r="O2003" i="4"/>
  <c r="N2003" i="4"/>
  <c r="M2003" i="4"/>
  <c r="L2003" i="4"/>
  <c r="K2003" i="4"/>
  <c r="J2003" i="4"/>
  <c r="I2003" i="4"/>
  <c r="H2003" i="4"/>
  <c r="Q2002" i="4"/>
  <c r="P2002" i="4"/>
  <c r="O2002" i="4"/>
  <c r="N2002" i="4"/>
  <c r="M2002" i="4"/>
  <c r="L2002" i="4"/>
  <c r="K2002" i="4"/>
  <c r="J2002" i="4"/>
  <c r="I2002" i="4"/>
  <c r="H2002" i="4"/>
  <c r="Q2001" i="4"/>
  <c r="P2001" i="4"/>
  <c r="O2001" i="4"/>
  <c r="N2001" i="4"/>
  <c r="M2001" i="4"/>
  <c r="L2001" i="4"/>
  <c r="K2001" i="4"/>
  <c r="J2001" i="4"/>
  <c r="I2001" i="4"/>
  <c r="H2001" i="4"/>
  <c r="Q2000" i="4"/>
  <c r="P2000" i="4"/>
  <c r="O2000" i="4"/>
  <c r="N2000" i="4"/>
  <c r="M2000" i="4"/>
  <c r="L2000" i="4"/>
  <c r="K2000" i="4"/>
  <c r="J2000" i="4"/>
  <c r="I2000" i="4"/>
  <c r="H2000" i="4"/>
  <c r="Q1999" i="4"/>
  <c r="P1999" i="4"/>
  <c r="O1999" i="4"/>
  <c r="N1999" i="4"/>
  <c r="M1999" i="4"/>
  <c r="L1999" i="4"/>
  <c r="K1999" i="4"/>
  <c r="J1999" i="4"/>
  <c r="I1999" i="4"/>
  <c r="H1999" i="4"/>
  <c r="Q1998" i="4"/>
  <c r="P1998" i="4"/>
  <c r="O1998" i="4"/>
  <c r="N1998" i="4"/>
  <c r="M1998" i="4"/>
  <c r="L1998" i="4"/>
  <c r="K1998" i="4"/>
  <c r="J1998" i="4"/>
  <c r="I1998" i="4"/>
  <c r="H1998" i="4"/>
  <c r="Q1997" i="4"/>
  <c r="P1997" i="4"/>
  <c r="O1997" i="4"/>
  <c r="N1997" i="4"/>
  <c r="M1997" i="4"/>
  <c r="L1997" i="4"/>
  <c r="K1997" i="4"/>
  <c r="J1997" i="4"/>
  <c r="I1997" i="4"/>
  <c r="H1997" i="4"/>
  <c r="Q1996" i="4"/>
  <c r="P1996" i="4"/>
  <c r="O1996" i="4"/>
  <c r="N1996" i="4"/>
  <c r="M1996" i="4"/>
  <c r="L1996" i="4"/>
  <c r="K1996" i="4"/>
  <c r="J1996" i="4"/>
  <c r="I1996" i="4"/>
  <c r="H1996" i="4"/>
  <c r="Q1995" i="4"/>
  <c r="P1995" i="4"/>
  <c r="O1995" i="4"/>
  <c r="N1995" i="4"/>
  <c r="M1995" i="4"/>
  <c r="L1995" i="4"/>
  <c r="K1995" i="4"/>
  <c r="J1995" i="4"/>
  <c r="I1995" i="4"/>
  <c r="H1995" i="4"/>
  <c r="Q1994" i="4"/>
  <c r="P1994" i="4"/>
  <c r="O1994" i="4"/>
  <c r="N1994" i="4"/>
  <c r="M1994" i="4"/>
  <c r="L1994" i="4"/>
  <c r="K1994" i="4"/>
  <c r="J1994" i="4"/>
  <c r="I1994" i="4"/>
  <c r="H1994" i="4"/>
  <c r="Q1993" i="4"/>
  <c r="P1993" i="4"/>
  <c r="O1993" i="4"/>
  <c r="N1993" i="4"/>
  <c r="M1993" i="4"/>
  <c r="L1993" i="4"/>
  <c r="K1993" i="4"/>
  <c r="J1993" i="4"/>
  <c r="I1993" i="4"/>
  <c r="H1993" i="4"/>
  <c r="Q1992" i="4"/>
  <c r="P1992" i="4"/>
  <c r="O1992" i="4"/>
  <c r="N1992" i="4"/>
  <c r="M1992" i="4"/>
  <c r="L1992" i="4"/>
  <c r="K1992" i="4"/>
  <c r="J1992" i="4"/>
  <c r="I1992" i="4"/>
  <c r="H1992" i="4"/>
  <c r="Q1991" i="4"/>
  <c r="P1991" i="4"/>
  <c r="O1991" i="4"/>
  <c r="N1991" i="4"/>
  <c r="M1991" i="4"/>
  <c r="L1991" i="4"/>
  <c r="K1991" i="4"/>
  <c r="J1991" i="4"/>
  <c r="I1991" i="4"/>
  <c r="H1991" i="4"/>
  <c r="Q1990" i="4"/>
  <c r="P1990" i="4"/>
  <c r="O1990" i="4"/>
  <c r="N1990" i="4"/>
  <c r="M1990" i="4"/>
  <c r="L1990" i="4"/>
  <c r="K1990" i="4"/>
  <c r="J1990" i="4"/>
  <c r="I1990" i="4"/>
  <c r="H1990" i="4"/>
  <c r="Q1989" i="4"/>
  <c r="P1989" i="4"/>
  <c r="O1989" i="4"/>
  <c r="N1989" i="4"/>
  <c r="M1989" i="4"/>
  <c r="L1989" i="4"/>
  <c r="K1989" i="4"/>
  <c r="J1989" i="4"/>
  <c r="I1989" i="4"/>
  <c r="H1989" i="4"/>
  <c r="Q1988" i="4"/>
  <c r="P1988" i="4"/>
  <c r="O1988" i="4"/>
  <c r="N1988" i="4"/>
  <c r="M1988" i="4"/>
  <c r="L1988" i="4"/>
  <c r="K1988" i="4"/>
  <c r="J1988" i="4"/>
  <c r="I1988" i="4"/>
  <c r="H1988" i="4"/>
  <c r="Q1987" i="4"/>
  <c r="P1987" i="4"/>
  <c r="O1987" i="4"/>
  <c r="N1987" i="4"/>
  <c r="M1987" i="4"/>
  <c r="L1987" i="4"/>
  <c r="K1987" i="4"/>
  <c r="J1987" i="4"/>
  <c r="I1987" i="4"/>
  <c r="H1987" i="4"/>
  <c r="Q1986" i="4"/>
  <c r="P1986" i="4"/>
  <c r="O1986" i="4"/>
  <c r="N1986" i="4"/>
  <c r="M1986" i="4"/>
  <c r="L1986" i="4"/>
  <c r="K1986" i="4"/>
  <c r="J1986" i="4"/>
  <c r="I1986" i="4"/>
  <c r="H1986" i="4"/>
  <c r="Q1985" i="4"/>
  <c r="P1985" i="4"/>
  <c r="O1985" i="4"/>
  <c r="N1985" i="4"/>
  <c r="M1985" i="4"/>
  <c r="L1985" i="4"/>
  <c r="K1985" i="4"/>
  <c r="J1985" i="4"/>
  <c r="I1985" i="4"/>
  <c r="H1985" i="4"/>
  <c r="Q1984" i="4"/>
  <c r="P1984" i="4"/>
  <c r="O1984" i="4"/>
  <c r="N1984" i="4"/>
  <c r="M1984" i="4"/>
  <c r="L1984" i="4"/>
  <c r="K1984" i="4"/>
  <c r="J1984" i="4"/>
  <c r="I1984" i="4"/>
  <c r="H1984" i="4"/>
  <c r="Q1983" i="4"/>
  <c r="P1983" i="4"/>
  <c r="O1983" i="4"/>
  <c r="N1983" i="4"/>
  <c r="M1983" i="4"/>
  <c r="L1983" i="4"/>
  <c r="K1983" i="4"/>
  <c r="J1983" i="4"/>
  <c r="I1983" i="4"/>
  <c r="H1983" i="4"/>
  <c r="Q1982" i="4"/>
  <c r="P1982" i="4"/>
  <c r="O1982" i="4"/>
  <c r="N1982" i="4"/>
  <c r="M1982" i="4"/>
  <c r="L1982" i="4"/>
  <c r="K1982" i="4"/>
  <c r="J1982" i="4"/>
  <c r="I1982" i="4"/>
  <c r="H1982" i="4"/>
  <c r="Q1981" i="4"/>
  <c r="P1981" i="4"/>
  <c r="O1981" i="4"/>
  <c r="N1981" i="4"/>
  <c r="M1981" i="4"/>
  <c r="L1981" i="4"/>
  <c r="K1981" i="4"/>
  <c r="J1981" i="4"/>
  <c r="I1981" i="4"/>
  <c r="H1981" i="4"/>
  <c r="Q1980" i="4"/>
  <c r="P1980" i="4"/>
  <c r="O1980" i="4"/>
  <c r="N1980" i="4"/>
  <c r="M1980" i="4"/>
  <c r="L1980" i="4"/>
  <c r="K1980" i="4"/>
  <c r="J1980" i="4"/>
  <c r="I1980" i="4"/>
  <c r="H1980" i="4"/>
  <c r="Q1979" i="4"/>
  <c r="P1979" i="4"/>
  <c r="O1979" i="4"/>
  <c r="N1979" i="4"/>
  <c r="M1979" i="4"/>
  <c r="L1979" i="4"/>
  <c r="K1979" i="4"/>
  <c r="J1979" i="4"/>
  <c r="I1979" i="4"/>
  <c r="H1979" i="4"/>
  <c r="Q1978" i="4"/>
  <c r="P1978" i="4"/>
  <c r="O1978" i="4"/>
  <c r="N1978" i="4"/>
  <c r="M1978" i="4"/>
  <c r="L1978" i="4"/>
  <c r="K1978" i="4"/>
  <c r="J1978" i="4"/>
  <c r="I1978" i="4"/>
  <c r="H1978" i="4"/>
  <c r="Q1977" i="4"/>
  <c r="P1977" i="4"/>
  <c r="O1977" i="4"/>
  <c r="N1977" i="4"/>
  <c r="M1977" i="4"/>
  <c r="L1977" i="4"/>
  <c r="K1977" i="4"/>
  <c r="J1977" i="4"/>
  <c r="I1977" i="4"/>
  <c r="H1977" i="4"/>
  <c r="Q1976" i="4"/>
  <c r="P1976" i="4"/>
  <c r="O1976" i="4"/>
  <c r="N1976" i="4"/>
  <c r="M1976" i="4"/>
  <c r="L1976" i="4"/>
  <c r="K1976" i="4"/>
  <c r="J1976" i="4"/>
  <c r="I1976" i="4"/>
  <c r="H1976" i="4"/>
  <c r="Q1975" i="4"/>
  <c r="P1975" i="4"/>
  <c r="O1975" i="4"/>
  <c r="N1975" i="4"/>
  <c r="M1975" i="4"/>
  <c r="L1975" i="4"/>
  <c r="K1975" i="4"/>
  <c r="J1975" i="4"/>
  <c r="I1975" i="4"/>
  <c r="H1975" i="4"/>
  <c r="Q1974" i="4"/>
  <c r="P1974" i="4"/>
  <c r="O1974" i="4"/>
  <c r="N1974" i="4"/>
  <c r="M1974" i="4"/>
  <c r="L1974" i="4"/>
  <c r="K1974" i="4"/>
  <c r="J1974" i="4"/>
  <c r="I1974" i="4"/>
  <c r="H1974" i="4"/>
  <c r="Q1973" i="4"/>
  <c r="P1973" i="4"/>
  <c r="O1973" i="4"/>
  <c r="N1973" i="4"/>
  <c r="M1973" i="4"/>
  <c r="L1973" i="4"/>
  <c r="K1973" i="4"/>
  <c r="J1973" i="4"/>
  <c r="I1973" i="4"/>
  <c r="H1973" i="4"/>
  <c r="Q1972" i="4"/>
  <c r="P1972" i="4"/>
  <c r="O1972" i="4"/>
  <c r="N1972" i="4"/>
  <c r="M1972" i="4"/>
  <c r="L1972" i="4"/>
  <c r="K1972" i="4"/>
  <c r="J1972" i="4"/>
  <c r="I1972" i="4"/>
  <c r="H1972" i="4"/>
  <c r="Q1971" i="4"/>
  <c r="P1971" i="4"/>
  <c r="O1971" i="4"/>
  <c r="N1971" i="4"/>
  <c r="M1971" i="4"/>
  <c r="L1971" i="4"/>
  <c r="K1971" i="4"/>
  <c r="J1971" i="4"/>
  <c r="I1971" i="4"/>
  <c r="H1971" i="4"/>
  <c r="Q1970" i="4"/>
  <c r="P1970" i="4"/>
  <c r="O1970" i="4"/>
  <c r="N1970" i="4"/>
  <c r="M1970" i="4"/>
  <c r="L1970" i="4"/>
  <c r="K1970" i="4"/>
  <c r="J1970" i="4"/>
  <c r="I1970" i="4"/>
  <c r="H1970" i="4"/>
  <c r="Q1969" i="4"/>
  <c r="P1969" i="4"/>
  <c r="O1969" i="4"/>
  <c r="N1969" i="4"/>
  <c r="M1969" i="4"/>
  <c r="L1969" i="4"/>
  <c r="K1969" i="4"/>
  <c r="J1969" i="4"/>
  <c r="I1969" i="4"/>
  <c r="H1969" i="4"/>
  <c r="Q1968" i="4"/>
  <c r="P1968" i="4"/>
  <c r="O1968" i="4"/>
  <c r="N1968" i="4"/>
  <c r="M1968" i="4"/>
  <c r="L1968" i="4"/>
  <c r="K1968" i="4"/>
  <c r="J1968" i="4"/>
  <c r="I1968" i="4"/>
  <c r="H1968" i="4"/>
  <c r="Q1967" i="4"/>
  <c r="P1967" i="4"/>
  <c r="O1967" i="4"/>
  <c r="N1967" i="4"/>
  <c r="M1967" i="4"/>
  <c r="L1967" i="4"/>
  <c r="K1967" i="4"/>
  <c r="J1967" i="4"/>
  <c r="I1967" i="4"/>
  <c r="H1967" i="4"/>
  <c r="Q1966" i="4"/>
  <c r="P1966" i="4"/>
  <c r="O1966" i="4"/>
  <c r="N1966" i="4"/>
  <c r="M1966" i="4"/>
  <c r="L1966" i="4"/>
  <c r="K1966" i="4"/>
  <c r="J1966" i="4"/>
  <c r="I1966" i="4"/>
  <c r="H1966" i="4"/>
  <c r="Q1965" i="4"/>
  <c r="P1965" i="4"/>
  <c r="O1965" i="4"/>
  <c r="N1965" i="4"/>
  <c r="M1965" i="4"/>
  <c r="L1965" i="4"/>
  <c r="K1965" i="4"/>
  <c r="J1965" i="4"/>
  <c r="I1965" i="4"/>
  <c r="H1965" i="4"/>
  <c r="Q1964" i="4"/>
  <c r="P1964" i="4"/>
  <c r="O1964" i="4"/>
  <c r="N1964" i="4"/>
  <c r="M1964" i="4"/>
  <c r="L1964" i="4"/>
  <c r="K1964" i="4"/>
  <c r="J1964" i="4"/>
  <c r="I1964" i="4"/>
  <c r="H1964" i="4"/>
  <c r="Q1963" i="4"/>
  <c r="P1963" i="4"/>
  <c r="O1963" i="4"/>
  <c r="N1963" i="4"/>
  <c r="M1963" i="4"/>
  <c r="L1963" i="4"/>
  <c r="K1963" i="4"/>
  <c r="J1963" i="4"/>
  <c r="I1963" i="4"/>
  <c r="H1963" i="4"/>
  <c r="Q1962" i="4"/>
  <c r="P1962" i="4"/>
  <c r="O1962" i="4"/>
  <c r="N1962" i="4"/>
  <c r="M1962" i="4"/>
  <c r="L1962" i="4"/>
  <c r="K1962" i="4"/>
  <c r="J1962" i="4"/>
  <c r="I1962" i="4"/>
  <c r="H1962" i="4"/>
  <c r="Q1961" i="4"/>
  <c r="P1961" i="4"/>
  <c r="O1961" i="4"/>
  <c r="N1961" i="4"/>
  <c r="M1961" i="4"/>
  <c r="L1961" i="4"/>
  <c r="K1961" i="4"/>
  <c r="J1961" i="4"/>
  <c r="I1961" i="4"/>
  <c r="H1961" i="4"/>
  <c r="Q1960" i="4"/>
  <c r="P1960" i="4"/>
  <c r="O1960" i="4"/>
  <c r="N1960" i="4"/>
  <c r="M1960" i="4"/>
  <c r="L1960" i="4"/>
  <c r="K1960" i="4"/>
  <c r="J1960" i="4"/>
  <c r="I1960" i="4"/>
  <c r="H1960" i="4"/>
  <c r="Q1959" i="4"/>
  <c r="P1959" i="4"/>
  <c r="O1959" i="4"/>
  <c r="N1959" i="4"/>
  <c r="M1959" i="4"/>
  <c r="L1959" i="4"/>
  <c r="K1959" i="4"/>
  <c r="J1959" i="4"/>
  <c r="I1959" i="4"/>
  <c r="H1959" i="4"/>
  <c r="Q1958" i="4"/>
  <c r="P1958" i="4"/>
  <c r="O1958" i="4"/>
  <c r="N1958" i="4"/>
  <c r="M1958" i="4"/>
  <c r="L1958" i="4"/>
  <c r="K1958" i="4"/>
  <c r="J1958" i="4"/>
  <c r="I1958" i="4"/>
  <c r="H1958" i="4"/>
  <c r="Q1957" i="4"/>
  <c r="P1957" i="4"/>
  <c r="O1957" i="4"/>
  <c r="N1957" i="4"/>
  <c r="M1957" i="4"/>
  <c r="L1957" i="4"/>
  <c r="K1957" i="4"/>
  <c r="J1957" i="4"/>
  <c r="I1957" i="4"/>
  <c r="H1957" i="4"/>
  <c r="Q1956" i="4"/>
  <c r="P1956" i="4"/>
  <c r="O1956" i="4"/>
  <c r="N1956" i="4"/>
  <c r="M1956" i="4"/>
  <c r="L1956" i="4"/>
  <c r="K1956" i="4"/>
  <c r="J1956" i="4"/>
  <c r="I1956" i="4"/>
  <c r="H1956" i="4"/>
  <c r="Q1955" i="4"/>
  <c r="P1955" i="4"/>
  <c r="O1955" i="4"/>
  <c r="N1955" i="4"/>
  <c r="M1955" i="4"/>
  <c r="L1955" i="4"/>
  <c r="K1955" i="4"/>
  <c r="J1955" i="4"/>
  <c r="I1955" i="4"/>
  <c r="H1955" i="4"/>
  <c r="Q1954" i="4"/>
  <c r="P1954" i="4"/>
  <c r="O1954" i="4"/>
  <c r="N1954" i="4"/>
  <c r="M1954" i="4"/>
  <c r="L1954" i="4"/>
  <c r="K1954" i="4"/>
  <c r="J1954" i="4"/>
  <c r="I1954" i="4"/>
  <c r="H1954" i="4"/>
  <c r="Q1953" i="4"/>
  <c r="P1953" i="4"/>
  <c r="O1953" i="4"/>
  <c r="N1953" i="4"/>
  <c r="M1953" i="4"/>
  <c r="L1953" i="4"/>
  <c r="K1953" i="4"/>
  <c r="J1953" i="4"/>
  <c r="I1953" i="4"/>
  <c r="H1953" i="4"/>
  <c r="Q1952" i="4"/>
  <c r="P1952" i="4"/>
  <c r="O1952" i="4"/>
  <c r="N1952" i="4"/>
  <c r="M1952" i="4"/>
  <c r="L1952" i="4"/>
  <c r="K1952" i="4"/>
  <c r="J1952" i="4"/>
  <c r="I1952" i="4"/>
  <c r="H1952" i="4"/>
  <c r="Q1951" i="4"/>
  <c r="P1951" i="4"/>
  <c r="O1951" i="4"/>
  <c r="N1951" i="4"/>
  <c r="M1951" i="4"/>
  <c r="L1951" i="4"/>
  <c r="K1951" i="4"/>
  <c r="J1951" i="4"/>
  <c r="I1951" i="4"/>
  <c r="H1951" i="4"/>
  <c r="Q1950" i="4"/>
  <c r="P1950" i="4"/>
  <c r="O1950" i="4"/>
  <c r="N1950" i="4"/>
  <c r="M1950" i="4"/>
  <c r="L1950" i="4"/>
  <c r="K1950" i="4"/>
  <c r="J1950" i="4"/>
  <c r="I1950" i="4"/>
  <c r="H1950" i="4"/>
  <c r="Q1949" i="4"/>
  <c r="P1949" i="4"/>
  <c r="O1949" i="4"/>
  <c r="N1949" i="4"/>
  <c r="M1949" i="4"/>
  <c r="L1949" i="4"/>
  <c r="K1949" i="4"/>
  <c r="J1949" i="4"/>
  <c r="I1949" i="4"/>
  <c r="H1949" i="4"/>
  <c r="Q1948" i="4"/>
  <c r="P1948" i="4"/>
  <c r="O1948" i="4"/>
  <c r="N1948" i="4"/>
  <c r="M1948" i="4"/>
  <c r="L1948" i="4"/>
  <c r="K1948" i="4"/>
  <c r="J1948" i="4"/>
  <c r="I1948" i="4"/>
  <c r="H1948" i="4"/>
  <c r="Q1947" i="4"/>
  <c r="P1947" i="4"/>
  <c r="O1947" i="4"/>
  <c r="N1947" i="4"/>
  <c r="M1947" i="4"/>
  <c r="L1947" i="4"/>
  <c r="K1947" i="4"/>
  <c r="J1947" i="4"/>
  <c r="I1947" i="4"/>
  <c r="H1947" i="4"/>
  <c r="Q1946" i="4"/>
  <c r="P1946" i="4"/>
  <c r="O1946" i="4"/>
  <c r="N1946" i="4"/>
  <c r="M1946" i="4"/>
  <c r="L1946" i="4"/>
  <c r="K1946" i="4"/>
  <c r="J1946" i="4"/>
  <c r="I1946" i="4"/>
  <c r="H1946" i="4"/>
  <c r="Q1945" i="4"/>
  <c r="P1945" i="4"/>
  <c r="O1945" i="4"/>
  <c r="N1945" i="4"/>
  <c r="M1945" i="4"/>
  <c r="L1945" i="4"/>
  <c r="K1945" i="4"/>
  <c r="J1945" i="4"/>
  <c r="I1945" i="4"/>
  <c r="H1945" i="4"/>
  <c r="Q1944" i="4"/>
  <c r="P1944" i="4"/>
  <c r="O1944" i="4"/>
  <c r="N1944" i="4"/>
  <c r="M1944" i="4"/>
  <c r="L1944" i="4"/>
  <c r="K1944" i="4"/>
  <c r="J1944" i="4"/>
  <c r="I1944" i="4"/>
  <c r="H1944" i="4"/>
  <c r="Q1943" i="4"/>
  <c r="P1943" i="4"/>
  <c r="O1943" i="4"/>
  <c r="N1943" i="4"/>
  <c r="M1943" i="4"/>
  <c r="L1943" i="4"/>
  <c r="K1943" i="4"/>
  <c r="J1943" i="4"/>
  <c r="I1943" i="4"/>
  <c r="H1943" i="4"/>
  <c r="Q1942" i="4"/>
  <c r="P1942" i="4"/>
  <c r="O1942" i="4"/>
  <c r="N1942" i="4"/>
  <c r="M1942" i="4"/>
  <c r="L1942" i="4"/>
  <c r="K1942" i="4"/>
  <c r="J1942" i="4"/>
  <c r="I1942" i="4"/>
  <c r="H1942" i="4"/>
  <c r="Q1941" i="4"/>
  <c r="P1941" i="4"/>
  <c r="O1941" i="4"/>
  <c r="N1941" i="4"/>
  <c r="M1941" i="4"/>
  <c r="L1941" i="4"/>
  <c r="K1941" i="4"/>
  <c r="J1941" i="4"/>
  <c r="I1941" i="4"/>
  <c r="H1941" i="4"/>
  <c r="Q1940" i="4"/>
  <c r="P1940" i="4"/>
  <c r="O1940" i="4"/>
  <c r="N1940" i="4"/>
  <c r="M1940" i="4"/>
  <c r="L1940" i="4"/>
  <c r="K1940" i="4"/>
  <c r="J1940" i="4"/>
  <c r="I1940" i="4"/>
  <c r="H1940" i="4"/>
  <c r="Q1939" i="4"/>
  <c r="P1939" i="4"/>
  <c r="O1939" i="4"/>
  <c r="N1939" i="4"/>
  <c r="M1939" i="4"/>
  <c r="L1939" i="4"/>
  <c r="K1939" i="4"/>
  <c r="J1939" i="4"/>
  <c r="I1939" i="4"/>
  <c r="H1939" i="4"/>
  <c r="Q1938" i="4"/>
  <c r="P1938" i="4"/>
  <c r="O1938" i="4"/>
  <c r="N1938" i="4"/>
  <c r="M1938" i="4"/>
  <c r="L1938" i="4"/>
  <c r="K1938" i="4"/>
  <c r="J1938" i="4"/>
  <c r="I1938" i="4"/>
  <c r="H1938" i="4"/>
  <c r="Q1937" i="4"/>
  <c r="P1937" i="4"/>
  <c r="O1937" i="4"/>
  <c r="N1937" i="4"/>
  <c r="M1937" i="4"/>
  <c r="L1937" i="4"/>
  <c r="K1937" i="4"/>
  <c r="J1937" i="4"/>
  <c r="I1937" i="4"/>
  <c r="H1937" i="4"/>
  <c r="Q1936" i="4"/>
  <c r="P1936" i="4"/>
  <c r="O1936" i="4"/>
  <c r="N1936" i="4"/>
  <c r="M1936" i="4"/>
  <c r="L1936" i="4"/>
  <c r="K1936" i="4"/>
  <c r="J1936" i="4"/>
  <c r="I1936" i="4"/>
  <c r="H1936" i="4"/>
  <c r="Q1935" i="4"/>
  <c r="P1935" i="4"/>
  <c r="O1935" i="4"/>
  <c r="N1935" i="4"/>
  <c r="M1935" i="4"/>
  <c r="L1935" i="4"/>
  <c r="K1935" i="4"/>
  <c r="J1935" i="4"/>
  <c r="I1935" i="4"/>
  <c r="H1935" i="4"/>
  <c r="Q1934" i="4"/>
  <c r="P1934" i="4"/>
  <c r="O1934" i="4"/>
  <c r="N1934" i="4"/>
  <c r="M1934" i="4"/>
  <c r="L1934" i="4"/>
  <c r="K1934" i="4"/>
  <c r="J1934" i="4"/>
  <c r="I1934" i="4"/>
  <c r="H1934" i="4"/>
  <c r="Q1933" i="4"/>
  <c r="P1933" i="4"/>
  <c r="O1933" i="4"/>
  <c r="N1933" i="4"/>
  <c r="M1933" i="4"/>
  <c r="L1933" i="4"/>
  <c r="K1933" i="4"/>
  <c r="J1933" i="4"/>
  <c r="I1933" i="4"/>
  <c r="H1933" i="4"/>
  <c r="Q1932" i="4"/>
  <c r="P1932" i="4"/>
  <c r="O1932" i="4"/>
  <c r="N1932" i="4"/>
  <c r="M1932" i="4"/>
  <c r="L1932" i="4"/>
  <c r="K1932" i="4"/>
  <c r="J1932" i="4"/>
  <c r="I1932" i="4"/>
  <c r="H1932" i="4"/>
  <c r="Q1931" i="4"/>
  <c r="P1931" i="4"/>
  <c r="O1931" i="4"/>
  <c r="N1931" i="4"/>
  <c r="M1931" i="4"/>
  <c r="L1931" i="4"/>
  <c r="K1931" i="4"/>
  <c r="J1931" i="4"/>
  <c r="I1931" i="4"/>
  <c r="H1931" i="4"/>
  <c r="Q1930" i="4"/>
  <c r="P1930" i="4"/>
  <c r="O1930" i="4"/>
  <c r="N1930" i="4"/>
  <c r="M1930" i="4"/>
  <c r="L1930" i="4"/>
  <c r="K1930" i="4"/>
  <c r="J1930" i="4"/>
  <c r="I1930" i="4"/>
  <c r="H1930" i="4"/>
  <c r="Q1929" i="4"/>
  <c r="P1929" i="4"/>
  <c r="O1929" i="4"/>
  <c r="N1929" i="4"/>
  <c r="M1929" i="4"/>
  <c r="L1929" i="4"/>
  <c r="K1929" i="4"/>
  <c r="J1929" i="4"/>
  <c r="I1929" i="4"/>
  <c r="H1929" i="4"/>
  <c r="Q1928" i="4"/>
  <c r="P1928" i="4"/>
  <c r="O1928" i="4"/>
  <c r="N1928" i="4"/>
  <c r="M1928" i="4"/>
  <c r="L1928" i="4"/>
  <c r="K1928" i="4"/>
  <c r="J1928" i="4"/>
  <c r="I1928" i="4"/>
  <c r="H1928" i="4"/>
  <c r="Q1927" i="4"/>
  <c r="P1927" i="4"/>
  <c r="O1927" i="4"/>
  <c r="N1927" i="4"/>
  <c r="M1927" i="4"/>
  <c r="L1927" i="4"/>
  <c r="K1927" i="4"/>
  <c r="J1927" i="4"/>
  <c r="I1927" i="4"/>
  <c r="H1927" i="4"/>
  <c r="Q1926" i="4"/>
  <c r="P1926" i="4"/>
  <c r="O1926" i="4"/>
  <c r="N1926" i="4"/>
  <c r="M1926" i="4"/>
  <c r="L1926" i="4"/>
  <c r="K1926" i="4"/>
  <c r="J1926" i="4"/>
  <c r="I1926" i="4"/>
  <c r="H1926" i="4"/>
  <c r="Q1925" i="4"/>
  <c r="P1925" i="4"/>
  <c r="O1925" i="4"/>
  <c r="N1925" i="4"/>
  <c r="M1925" i="4"/>
  <c r="L1925" i="4"/>
  <c r="K1925" i="4"/>
  <c r="J1925" i="4"/>
  <c r="I1925" i="4"/>
  <c r="H1925" i="4"/>
  <c r="Q1924" i="4"/>
  <c r="P1924" i="4"/>
  <c r="O1924" i="4"/>
  <c r="N1924" i="4"/>
  <c r="M1924" i="4"/>
  <c r="L1924" i="4"/>
  <c r="K1924" i="4"/>
  <c r="J1924" i="4"/>
  <c r="I1924" i="4"/>
  <c r="H1924" i="4"/>
  <c r="Q1923" i="4"/>
  <c r="P1923" i="4"/>
  <c r="O1923" i="4"/>
  <c r="N1923" i="4"/>
  <c r="M1923" i="4"/>
  <c r="L1923" i="4"/>
  <c r="K1923" i="4"/>
  <c r="J1923" i="4"/>
  <c r="I1923" i="4"/>
  <c r="H1923" i="4"/>
  <c r="Q1922" i="4"/>
  <c r="P1922" i="4"/>
  <c r="O1922" i="4"/>
  <c r="N1922" i="4"/>
  <c r="M1922" i="4"/>
  <c r="L1922" i="4"/>
  <c r="K1922" i="4"/>
  <c r="J1922" i="4"/>
  <c r="I1922" i="4"/>
  <c r="H1922" i="4"/>
  <c r="Q1921" i="4"/>
  <c r="P1921" i="4"/>
  <c r="O1921" i="4"/>
  <c r="N1921" i="4"/>
  <c r="M1921" i="4"/>
  <c r="L1921" i="4"/>
  <c r="K1921" i="4"/>
  <c r="J1921" i="4"/>
  <c r="I1921" i="4"/>
  <c r="H1921" i="4"/>
  <c r="Q1920" i="4"/>
  <c r="P1920" i="4"/>
  <c r="O1920" i="4"/>
  <c r="N1920" i="4"/>
  <c r="M1920" i="4"/>
  <c r="L1920" i="4"/>
  <c r="K1920" i="4"/>
  <c r="J1920" i="4"/>
  <c r="I1920" i="4"/>
  <c r="H1920" i="4"/>
  <c r="Q1919" i="4"/>
  <c r="P1919" i="4"/>
  <c r="O1919" i="4"/>
  <c r="N1919" i="4"/>
  <c r="M1919" i="4"/>
  <c r="L1919" i="4"/>
  <c r="K1919" i="4"/>
  <c r="J1919" i="4"/>
  <c r="I1919" i="4"/>
  <c r="H1919" i="4"/>
  <c r="Q1918" i="4"/>
  <c r="P1918" i="4"/>
  <c r="O1918" i="4"/>
  <c r="N1918" i="4"/>
  <c r="M1918" i="4"/>
  <c r="L1918" i="4"/>
  <c r="K1918" i="4"/>
  <c r="J1918" i="4"/>
  <c r="I1918" i="4"/>
  <c r="H1918" i="4"/>
  <c r="Q1917" i="4"/>
  <c r="P1917" i="4"/>
  <c r="O1917" i="4"/>
  <c r="N1917" i="4"/>
  <c r="M1917" i="4"/>
  <c r="L1917" i="4"/>
  <c r="K1917" i="4"/>
  <c r="J1917" i="4"/>
  <c r="I1917" i="4"/>
  <c r="H1917" i="4"/>
  <c r="Q1916" i="4"/>
  <c r="P1916" i="4"/>
  <c r="O1916" i="4"/>
  <c r="N1916" i="4"/>
  <c r="M1916" i="4"/>
  <c r="L1916" i="4"/>
  <c r="K1916" i="4"/>
  <c r="J1916" i="4"/>
  <c r="I1916" i="4"/>
  <c r="H1916" i="4"/>
  <c r="Q1915" i="4"/>
  <c r="P1915" i="4"/>
  <c r="O1915" i="4"/>
  <c r="N1915" i="4"/>
  <c r="M1915" i="4"/>
  <c r="L1915" i="4"/>
  <c r="K1915" i="4"/>
  <c r="J1915" i="4"/>
  <c r="I1915" i="4"/>
  <c r="H1915" i="4"/>
  <c r="Q1914" i="4"/>
  <c r="P1914" i="4"/>
  <c r="O1914" i="4"/>
  <c r="N1914" i="4"/>
  <c r="M1914" i="4"/>
  <c r="L1914" i="4"/>
  <c r="K1914" i="4"/>
  <c r="J1914" i="4"/>
  <c r="I1914" i="4"/>
  <c r="H1914" i="4"/>
  <c r="Q1913" i="4"/>
  <c r="P1913" i="4"/>
  <c r="O1913" i="4"/>
  <c r="N1913" i="4"/>
  <c r="M1913" i="4"/>
  <c r="L1913" i="4"/>
  <c r="K1913" i="4"/>
  <c r="J1913" i="4"/>
  <c r="I1913" i="4"/>
  <c r="H1913" i="4"/>
  <c r="Q1912" i="4"/>
  <c r="P1912" i="4"/>
  <c r="O1912" i="4"/>
  <c r="N1912" i="4"/>
  <c r="M1912" i="4"/>
  <c r="L1912" i="4"/>
  <c r="K1912" i="4"/>
  <c r="J1912" i="4"/>
  <c r="I1912" i="4"/>
  <c r="H1912" i="4"/>
  <c r="Q1911" i="4"/>
  <c r="P1911" i="4"/>
  <c r="O1911" i="4"/>
  <c r="N1911" i="4"/>
  <c r="M1911" i="4"/>
  <c r="L1911" i="4"/>
  <c r="K1911" i="4"/>
  <c r="J1911" i="4"/>
  <c r="I1911" i="4"/>
  <c r="H1911" i="4"/>
  <c r="Q1910" i="4"/>
  <c r="P1910" i="4"/>
  <c r="O1910" i="4"/>
  <c r="N1910" i="4"/>
  <c r="M1910" i="4"/>
  <c r="L1910" i="4"/>
  <c r="K1910" i="4"/>
  <c r="J1910" i="4"/>
  <c r="I1910" i="4"/>
  <c r="H1910" i="4"/>
  <c r="Q1909" i="4"/>
  <c r="P1909" i="4"/>
  <c r="O1909" i="4"/>
  <c r="N1909" i="4"/>
  <c r="M1909" i="4"/>
  <c r="L1909" i="4"/>
  <c r="K1909" i="4"/>
  <c r="J1909" i="4"/>
  <c r="I1909" i="4"/>
  <c r="H1909" i="4"/>
  <c r="Q1908" i="4"/>
  <c r="P1908" i="4"/>
  <c r="O1908" i="4"/>
  <c r="N1908" i="4"/>
  <c r="M1908" i="4"/>
  <c r="L1908" i="4"/>
  <c r="K1908" i="4"/>
  <c r="J1908" i="4"/>
  <c r="I1908" i="4"/>
  <c r="H1908" i="4"/>
  <c r="Q1907" i="4"/>
  <c r="P1907" i="4"/>
  <c r="O1907" i="4"/>
  <c r="N1907" i="4"/>
  <c r="M1907" i="4"/>
  <c r="L1907" i="4"/>
  <c r="K1907" i="4"/>
  <c r="J1907" i="4"/>
  <c r="I1907" i="4"/>
  <c r="H1907" i="4"/>
  <c r="Q1906" i="4"/>
  <c r="P1906" i="4"/>
  <c r="O1906" i="4"/>
  <c r="N1906" i="4"/>
  <c r="M1906" i="4"/>
  <c r="L1906" i="4"/>
  <c r="K1906" i="4"/>
  <c r="J1906" i="4"/>
  <c r="I1906" i="4"/>
  <c r="H1906" i="4"/>
  <c r="Q1905" i="4"/>
  <c r="P1905" i="4"/>
  <c r="O1905" i="4"/>
  <c r="N1905" i="4"/>
  <c r="M1905" i="4"/>
  <c r="L1905" i="4"/>
  <c r="K1905" i="4"/>
  <c r="J1905" i="4"/>
  <c r="I1905" i="4"/>
  <c r="H1905" i="4"/>
  <c r="Q1904" i="4"/>
  <c r="P1904" i="4"/>
  <c r="O1904" i="4"/>
  <c r="N1904" i="4"/>
  <c r="M1904" i="4"/>
  <c r="L1904" i="4"/>
  <c r="K1904" i="4"/>
  <c r="J1904" i="4"/>
  <c r="I1904" i="4"/>
  <c r="H1904" i="4"/>
  <c r="Q1903" i="4"/>
  <c r="P1903" i="4"/>
  <c r="O1903" i="4"/>
  <c r="N1903" i="4"/>
  <c r="M1903" i="4"/>
  <c r="L1903" i="4"/>
  <c r="K1903" i="4"/>
  <c r="J1903" i="4"/>
  <c r="I1903" i="4"/>
  <c r="H1903" i="4"/>
  <c r="Q1902" i="4"/>
  <c r="P1902" i="4"/>
  <c r="O1902" i="4"/>
  <c r="N1902" i="4"/>
  <c r="M1902" i="4"/>
  <c r="L1902" i="4"/>
  <c r="K1902" i="4"/>
  <c r="J1902" i="4"/>
  <c r="I1902" i="4"/>
  <c r="H1902" i="4"/>
  <c r="Q1901" i="4"/>
  <c r="P1901" i="4"/>
  <c r="O1901" i="4"/>
  <c r="N1901" i="4"/>
  <c r="M1901" i="4"/>
  <c r="L1901" i="4"/>
  <c r="K1901" i="4"/>
  <c r="J1901" i="4"/>
  <c r="I1901" i="4"/>
  <c r="H1901" i="4"/>
  <c r="Q1900" i="4"/>
  <c r="P1900" i="4"/>
  <c r="O1900" i="4"/>
  <c r="N1900" i="4"/>
  <c r="M1900" i="4"/>
  <c r="L1900" i="4"/>
  <c r="K1900" i="4"/>
  <c r="J1900" i="4"/>
  <c r="I1900" i="4"/>
  <c r="H1900" i="4"/>
  <c r="Q1899" i="4"/>
  <c r="P1899" i="4"/>
  <c r="O1899" i="4"/>
  <c r="N1899" i="4"/>
  <c r="M1899" i="4"/>
  <c r="L1899" i="4"/>
  <c r="K1899" i="4"/>
  <c r="J1899" i="4"/>
  <c r="I1899" i="4"/>
  <c r="H1899" i="4"/>
  <c r="Q1898" i="4"/>
  <c r="P1898" i="4"/>
  <c r="O1898" i="4"/>
  <c r="N1898" i="4"/>
  <c r="M1898" i="4"/>
  <c r="L1898" i="4"/>
  <c r="K1898" i="4"/>
  <c r="J1898" i="4"/>
  <c r="I1898" i="4"/>
  <c r="H1898" i="4"/>
  <c r="Q1897" i="4"/>
  <c r="P1897" i="4"/>
  <c r="O1897" i="4"/>
  <c r="N1897" i="4"/>
  <c r="M1897" i="4"/>
  <c r="L1897" i="4"/>
  <c r="K1897" i="4"/>
  <c r="J1897" i="4"/>
  <c r="I1897" i="4"/>
  <c r="H1897" i="4"/>
  <c r="Q1896" i="4"/>
  <c r="P1896" i="4"/>
  <c r="O1896" i="4"/>
  <c r="N1896" i="4"/>
  <c r="M1896" i="4"/>
  <c r="L1896" i="4"/>
  <c r="K1896" i="4"/>
  <c r="J1896" i="4"/>
  <c r="I1896" i="4"/>
  <c r="H1896" i="4"/>
  <c r="Q1895" i="4"/>
  <c r="P1895" i="4"/>
  <c r="O1895" i="4"/>
  <c r="N1895" i="4"/>
  <c r="M1895" i="4"/>
  <c r="L1895" i="4"/>
  <c r="K1895" i="4"/>
  <c r="J1895" i="4"/>
  <c r="I1895" i="4"/>
  <c r="H1895" i="4"/>
  <c r="Q1894" i="4"/>
  <c r="P1894" i="4"/>
  <c r="O1894" i="4"/>
  <c r="N1894" i="4"/>
  <c r="M1894" i="4"/>
  <c r="L1894" i="4"/>
  <c r="K1894" i="4"/>
  <c r="J1894" i="4"/>
  <c r="I1894" i="4"/>
  <c r="H1894" i="4"/>
  <c r="Q1893" i="4"/>
  <c r="P1893" i="4"/>
  <c r="O1893" i="4"/>
  <c r="N1893" i="4"/>
  <c r="M1893" i="4"/>
  <c r="L1893" i="4"/>
  <c r="K1893" i="4"/>
  <c r="J1893" i="4"/>
  <c r="I1893" i="4"/>
  <c r="H1893" i="4"/>
  <c r="Q1892" i="4"/>
  <c r="P1892" i="4"/>
  <c r="O1892" i="4"/>
  <c r="N1892" i="4"/>
  <c r="M1892" i="4"/>
  <c r="L1892" i="4"/>
  <c r="K1892" i="4"/>
  <c r="J1892" i="4"/>
  <c r="I1892" i="4"/>
  <c r="H1892" i="4"/>
  <c r="Q1891" i="4"/>
  <c r="P1891" i="4"/>
  <c r="O1891" i="4"/>
  <c r="N1891" i="4"/>
  <c r="M1891" i="4"/>
  <c r="L1891" i="4"/>
  <c r="K1891" i="4"/>
  <c r="J1891" i="4"/>
  <c r="I1891" i="4"/>
  <c r="H1891" i="4"/>
  <c r="Q1890" i="4"/>
  <c r="P1890" i="4"/>
  <c r="O1890" i="4"/>
  <c r="N1890" i="4"/>
  <c r="M1890" i="4"/>
  <c r="L1890" i="4"/>
  <c r="K1890" i="4"/>
  <c r="J1890" i="4"/>
  <c r="I1890" i="4"/>
  <c r="H1890" i="4"/>
  <c r="Q1889" i="4"/>
  <c r="P1889" i="4"/>
  <c r="O1889" i="4"/>
  <c r="N1889" i="4"/>
  <c r="M1889" i="4"/>
  <c r="L1889" i="4"/>
  <c r="K1889" i="4"/>
  <c r="J1889" i="4"/>
  <c r="I1889" i="4"/>
  <c r="H1889" i="4"/>
  <c r="Q1888" i="4"/>
  <c r="P1888" i="4"/>
  <c r="O1888" i="4"/>
  <c r="N1888" i="4"/>
  <c r="M1888" i="4"/>
  <c r="L1888" i="4"/>
  <c r="K1888" i="4"/>
  <c r="J1888" i="4"/>
  <c r="I1888" i="4"/>
  <c r="H1888" i="4"/>
  <c r="Q1887" i="4"/>
  <c r="P1887" i="4"/>
  <c r="O1887" i="4"/>
  <c r="N1887" i="4"/>
  <c r="M1887" i="4"/>
  <c r="L1887" i="4"/>
  <c r="K1887" i="4"/>
  <c r="J1887" i="4"/>
  <c r="I1887" i="4"/>
  <c r="H1887" i="4"/>
  <c r="Q1886" i="4"/>
  <c r="P1886" i="4"/>
  <c r="O1886" i="4"/>
  <c r="N1886" i="4"/>
  <c r="M1886" i="4"/>
  <c r="L1886" i="4"/>
  <c r="K1886" i="4"/>
  <c r="J1886" i="4"/>
  <c r="I1886" i="4"/>
  <c r="H1886" i="4"/>
  <c r="Q1885" i="4"/>
  <c r="P1885" i="4"/>
  <c r="O1885" i="4"/>
  <c r="N1885" i="4"/>
  <c r="M1885" i="4"/>
  <c r="L1885" i="4"/>
  <c r="K1885" i="4"/>
  <c r="J1885" i="4"/>
  <c r="I1885" i="4"/>
  <c r="H1885" i="4"/>
  <c r="Q1884" i="4"/>
  <c r="P1884" i="4"/>
  <c r="O1884" i="4"/>
  <c r="N1884" i="4"/>
  <c r="M1884" i="4"/>
  <c r="L1884" i="4"/>
  <c r="K1884" i="4"/>
  <c r="J1884" i="4"/>
  <c r="I1884" i="4"/>
  <c r="H1884" i="4"/>
  <c r="Q1883" i="4"/>
  <c r="P1883" i="4"/>
  <c r="O1883" i="4"/>
  <c r="N1883" i="4"/>
  <c r="M1883" i="4"/>
  <c r="L1883" i="4"/>
  <c r="K1883" i="4"/>
  <c r="J1883" i="4"/>
  <c r="I1883" i="4"/>
  <c r="H1883" i="4"/>
  <c r="Q1882" i="4"/>
  <c r="P1882" i="4"/>
  <c r="O1882" i="4"/>
  <c r="N1882" i="4"/>
  <c r="M1882" i="4"/>
  <c r="L1882" i="4"/>
  <c r="K1882" i="4"/>
  <c r="J1882" i="4"/>
  <c r="I1882" i="4"/>
  <c r="H1882" i="4"/>
  <c r="Q1881" i="4"/>
  <c r="P1881" i="4"/>
  <c r="O1881" i="4"/>
  <c r="N1881" i="4"/>
  <c r="M1881" i="4"/>
  <c r="L1881" i="4"/>
  <c r="K1881" i="4"/>
  <c r="J1881" i="4"/>
  <c r="I1881" i="4"/>
  <c r="H1881" i="4"/>
  <c r="Q1880" i="4"/>
  <c r="P1880" i="4"/>
  <c r="O1880" i="4"/>
  <c r="N1880" i="4"/>
  <c r="M1880" i="4"/>
  <c r="L1880" i="4"/>
  <c r="K1880" i="4"/>
  <c r="J1880" i="4"/>
  <c r="I1880" i="4"/>
  <c r="H1880" i="4"/>
  <c r="Q1879" i="4"/>
  <c r="P1879" i="4"/>
  <c r="O1879" i="4"/>
  <c r="N1879" i="4"/>
  <c r="M1879" i="4"/>
  <c r="L1879" i="4"/>
  <c r="K1879" i="4"/>
  <c r="J1879" i="4"/>
  <c r="I1879" i="4"/>
  <c r="H1879" i="4"/>
  <c r="Q1878" i="4"/>
  <c r="P1878" i="4"/>
  <c r="O1878" i="4"/>
  <c r="N1878" i="4"/>
  <c r="M1878" i="4"/>
  <c r="L1878" i="4"/>
  <c r="K1878" i="4"/>
  <c r="J1878" i="4"/>
  <c r="I1878" i="4"/>
  <c r="H1878" i="4"/>
  <c r="Q1877" i="4"/>
  <c r="P1877" i="4"/>
  <c r="O1877" i="4"/>
  <c r="N1877" i="4"/>
  <c r="M1877" i="4"/>
  <c r="L1877" i="4"/>
  <c r="K1877" i="4"/>
  <c r="J1877" i="4"/>
  <c r="I1877" i="4"/>
  <c r="H1877" i="4"/>
  <c r="Q1876" i="4"/>
  <c r="P1876" i="4"/>
  <c r="O1876" i="4"/>
  <c r="N1876" i="4"/>
  <c r="M1876" i="4"/>
  <c r="L1876" i="4"/>
  <c r="K1876" i="4"/>
  <c r="J1876" i="4"/>
  <c r="I1876" i="4"/>
  <c r="H1876" i="4"/>
  <c r="Q1875" i="4"/>
  <c r="P1875" i="4"/>
  <c r="O1875" i="4"/>
  <c r="N1875" i="4"/>
  <c r="M1875" i="4"/>
  <c r="L1875" i="4"/>
  <c r="K1875" i="4"/>
  <c r="J1875" i="4"/>
  <c r="I1875" i="4"/>
  <c r="H1875" i="4"/>
  <c r="Q1874" i="4"/>
  <c r="P1874" i="4"/>
  <c r="O1874" i="4"/>
  <c r="N1874" i="4"/>
  <c r="M1874" i="4"/>
  <c r="L1874" i="4"/>
  <c r="K1874" i="4"/>
  <c r="J1874" i="4"/>
  <c r="I1874" i="4"/>
  <c r="H1874" i="4"/>
  <c r="Q1873" i="4"/>
  <c r="P1873" i="4"/>
  <c r="O1873" i="4"/>
  <c r="N1873" i="4"/>
  <c r="M1873" i="4"/>
  <c r="L1873" i="4"/>
  <c r="K1873" i="4"/>
  <c r="J1873" i="4"/>
  <c r="I1873" i="4"/>
  <c r="H1873" i="4"/>
  <c r="Q1872" i="4"/>
  <c r="P1872" i="4"/>
  <c r="O1872" i="4"/>
  <c r="N1872" i="4"/>
  <c r="M1872" i="4"/>
  <c r="L1872" i="4"/>
  <c r="K1872" i="4"/>
  <c r="J1872" i="4"/>
  <c r="I1872" i="4"/>
  <c r="H1872" i="4"/>
  <c r="Q1871" i="4"/>
  <c r="P1871" i="4"/>
  <c r="O1871" i="4"/>
  <c r="N1871" i="4"/>
  <c r="M1871" i="4"/>
  <c r="L1871" i="4"/>
  <c r="K1871" i="4"/>
  <c r="J1871" i="4"/>
  <c r="I1871" i="4"/>
  <c r="H1871" i="4"/>
  <c r="Q1870" i="4"/>
  <c r="P1870" i="4"/>
  <c r="O1870" i="4"/>
  <c r="N1870" i="4"/>
  <c r="M1870" i="4"/>
  <c r="L1870" i="4"/>
  <c r="K1870" i="4"/>
  <c r="J1870" i="4"/>
  <c r="I1870" i="4"/>
  <c r="H1870" i="4"/>
  <c r="Q1869" i="4"/>
  <c r="P1869" i="4"/>
  <c r="O1869" i="4"/>
  <c r="N1869" i="4"/>
  <c r="M1869" i="4"/>
  <c r="L1869" i="4"/>
  <c r="K1869" i="4"/>
  <c r="J1869" i="4"/>
  <c r="I1869" i="4"/>
  <c r="H1869" i="4"/>
  <c r="Q1868" i="4"/>
  <c r="P1868" i="4"/>
  <c r="O1868" i="4"/>
  <c r="N1868" i="4"/>
  <c r="M1868" i="4"/>
  <c r="L1868" i="4"/>
  <c r="K1868" i="4"/>
  <c r="J1868" i="4"/>
  <c r="I1868" i="4"/>
  <c r="H1868" i="4"/>
  <c r="Q1867" i="4"/>
  <c r="P1867" i="4"/>
  <c r="O1867" i="4"/>
  <c r="N1867" i="4"/>
  <c r="M1867" i="4"/>
  <c r="L1867" i="4"/>
  <c r="K1867" i="4"/>
  <c r="J1867" i="4"/>
  <c r="I1867" i="4"/>
  <c r="H1867" i="4"/>
  <c r="Q1866" i="4"/>
  <c r="P1866" i="4"/>
  <c r="O1866" i="4"/>
  <c r="N1866" i="4"/>
  <c r="M1866" i="4"/>
  <c r="L1866" i="4"/>
  <c r="K1866" i="4"/>
  <c r="J1866" i="4"/>
  <c r="I1866" i="4"/>
  <c r="H1866" i="4"/>
  <c r="Q1865" i="4"/>
  <c r="P1865" i="4"/>
  <c r="O1865" i="4"/>
  <c r="N1865" i="4"/>
  <c r="M1865" i="4"/>
  <c r="L1865" i="4"/>
  <c r="K1865" i="4"/>
  <c r="J1865" i="4"/>
  <c r="I1865" i="4"/>
  <c r="H1865" i="4"/>
  <c r="Q1864" i="4"/>
  <c r="P1864" i="4"/>
  <c r="O1864" i="4"/>
  <c r="N1864" i="4"/>
  <c r="M1864" i="4"/>
  <c r="L1864" i="4"/>
  <c r="K1864" i="4"/>
  <c r="J1864" i="4"/>
  <c r="I1864" i="4"/>
  <c r="H1864" i="4"/>
  <c r="Q1863" i="4"/>
  <c r="P1863" i="4"/>
  <c r="O1863" i="4"/>
  <c r="N1863" i="4"/>
  <c r="M1863" i="4"/>
  <c r="L1863" i="4"/>
  <c r="K1863" i="4"/>
  <c r="J1863" i="4"/>
  <c r="I1863" i="4"/>
  <c r="H1863" i="4"/>
  <c r="Q1862" i="4"/>
  <c r="P1862" i="4"/>
  <c r="O1862" i="4"/>
  <c r="N1862" i="4"/>
  <c r="M1862" i="4"/>
  <c r="L1862" i="4"/>
  <c r="K1862" i="4"/>
  <c r="J1862" i="4"/>
  <c r="I1862" i="4"/>
  <c r="H1862" i="4"/>
  <c r="Q1861" i="4"/>
  <c r="P1861" i="4"/>
  <c r="O1861" i="4"/>
  <c r="N1861" i="4"/>
  <c r="M1861" i="4"/>
  <c r="L1861" i="4"/>
  <c r="K1861" i="4"/>
  <c r="J1861" i="4"/>
  <c r="I1861" i="4"/>
  <c r="H1861" i="4"/>
  <c r="Q1860" i="4"/>
  <c r="P1860" i="4"/>
  <c r="O1860" i="4"/>
  <c r="N1860" i="4"/>
  <c r="M1860" i="4"/>
  <c r="L1860" i="4"/>
  <c r="K1860" i="4"/>
  <c r="J1860" i="4"/>
  <c r="I1860" i="4"/>
  <c r="H1860" i="4"/>
  <c r="Q1859" i="4"/>
  <c r="P1859" i="4"/>
  <c r="O1859" i="4"/>
  <c r="N1859" i="4"/>
  <c r="M1859" i="4"/>
  <c r="L1859" i="4"/>
  <c r="K1859" i="4"/>
  <c r="J1859" i="4"/>
  <c r="I1859" i="4"/>
  <c r="H1859" i="4"/>
  <c r="Q1858" i="4"/>
  <c r="P1858" i="4"/>
  <c r="O1858" i="4"/>
  <c r="N1858" i="4"/>
  <c r="M1858" i="4"/>
  <c r="L1858" i="4"/>
  <c r="K1858" i="4"/>
  <c r="J1858" i="4"/>
  <c r="I1858" i="4"/>
  <c r="H1858" i="4"/>
  <c r="Q1857" i="4"/>
  <c r="P1857" i="4"/>
  <c r="O1857" i="4"/>
  <c r="N1857" i="4"/>
  <c r="M1857" i="4"/>
  <c r="L1857" i="4"/>
  <c r="K1857" i="4"/>
  <c r="J1857" i="4"/>
  <c r="I1857" i="4"/>
  <c r="H1857" i="4"/>
  <c r="Q1856" i="4"/>
  <c r="P1856" i="4"/>
  <c r="O1856" i="4"/>
  <c r="N1856" i="4"/>
  <c r="M1856" i="4"/>
  <c r="L1856" i="4"/>
  <c r="K1856" i="4"/>
  <c r="J1856" i="4"/>
  <c r="I1856" i="4"/>
  <c r="H1856" i="4"/>
  <c r="Q1855" i="4"/>
  <c r="P1855" i="4"/>
  <c r="O1855" i="4"/>
  <c r="N1855" i="4"/>
  <c r="M1855" i="4"/>
  <c r="L1855" i="4"/>
  <c r="K1855" i="4"/>
  <c r="J1855" i="4"/>
  <c r="I1855" i="4"/>
  <c r="H1855" i="4"/>
  <c r="Q1854" i="4"/>
  <c r="P1854" i="4"/>
  <c r="O1854" i="4"/>
  <c r="N1854" i="4"/>
  <c r="M1854" i="4"/>
  <c r="L1854" i="4"/>
  <c r="K1854" i="4"/>
  <c r="J1854" i="4"/>
  <c r="I1854" i="4"/>
  <c r="H1854" i="4"/>
  <c r="Q1853" i="4"/>
  <c r="P1853" i="4"/>
  <c r="O1853" i="4"/>
  <c r="N1853" i="4"/>
  <c r="M1853" i="4"/>
  <c r="L1853" i="4"/>
  <c r="K1853" i="4"/>
  <c r="J1853" i="4"/>
  <c r="I1853" i="4"/>
  <c r="H1853" i="4"/>
  <c r="Q1852" i="4"/>
  <c r="P1852" i="4"/>
  <c r="O1852" i="4"/>
  <c r="N1852" i="4"/>
  <c r="M1852" i="4"/>
  <c r="L1852" i="4"/>
  <c r="K1852" i="4"/>
  <c r="J1852" i="4"/>
  <c r="I1852" i="4"/>
  <c r="H1852" i="4"/>
  <c r="Q1851" i="4"/>
  <c r="P1851" i="4"/>
  <c r="O1851" i="4"/>
  <c r="N1851" i="4"/>
  <c r="M1851" i="4"/>
  <c r="L1851" i="4"/>
  <c r="K1851" i="4"/>
  <c r="J1851" i="4"/>
  <c r="I1851" i="4"/>
  <c r="H1851" i="4"/>
  <c r="Q1850" i="4"/>
  <c r="P1850" i="4"/>
  <c r="O1850" i="4"/>
  <c r="N1850" i="4"/>
  <c r="M1850" i="4"/>
  <c r="L1850" i="4"/>
  <c r="K1850" i="4"/>
  <c r="J1850" i="4"/>
  <c r="I1850" i="4"/>
  <c r="H1850" i="4"/>
  <c r="Q1849" i="4"/>
  <c r="P1849" i="4"/>
  <c r="O1849" i="4"/>
  <c r="N1849" i="4"/>
  <c r="M1849" i="4"/>
  <c r="L1849" i="4"/>
  <c r="K1849" i="4"/>
  <c r="J1849" i="4"/>
  <c r="I1849" i="4"/>
  <c r="H1849" i="4"/>
  <c r="Q1848" i="4"/>
  <c r="P1848" i="4"/>
  <c r="O1848" i="4"/>
  <c r="N1848" i="4"/>
  <c r="M1848" i="4"/>
  <c r="L1848" i="4"/>
  <c r="K1848" i="4"/>
  <c r="J1848" i="4"/>
  <c r="I1848" i="4"/>
  <c r="H1848" i="4"/>
  <c r="Q1847" i="4"/>
  <c r="P1847" i="4"/>
  <c r="O1847" i="4"/>
  <c r="N1847" i="4"/>
  <c r="M1847" i="4"/>
  <c r="L1847" i="4"/>
  <c r="K1847" i="4"/>
  <c r="J1847" i="4"/>
  <c r="I1847" i="4"/>
  <c r="H1847" i="4"/>
  <c r="Q1846" i="4"/>
  <c r="P1846" i="4"/>
  <c r="O1846" i="4"/>
  <c r="N1846" i="4"/>
  <c r="M1846" i="4"/>
  <c r="L1846" i="4"/>
  <c r="K1846" i="4"/>
  <c r="J1846" i="4"/>
  <c r="I1846" i="4"/>
  <c r="H1846" i="4"/>
  <c r="Q1845" i="4"/>
  <c r="P1845" i="4"/>
  <c r="O1845" i="4"/>
  <c r="N1845" i="4"/>
  <c r="M1845" i="4"/>
  <c r="L1845" i="4"/>
  <c r="K1845" i="4"/>
  <c r="J1845" i="4"/>
  <c r="I1845" i="4"/>
  <c r="H1845" i="4"/>
  <c r="Q1844" i="4"/>
  <c r="P1844" i="4"/>
  <c r="O1844" i="4"/>
  <c r="N1844" i="4"/>
  <c r="M1844" i="4"/>
  <c r="L1844" i="4"/>
  <c r="K1844" i="4"/>
  <c r="J1844" i="4"/>
  <c r="I1844" i="4"/>
  <c r="H1844" i="4"/>
  <c r="Q1843" i="4"/>
  <c r="P1843" i="4"/>
  <c r="O1843" i="4"/>
  <c r="N1843" i="4"/>
  <c r="M1843" i="4"/>
  <c r="L1843" i="4"/>
  <c r="K1843" i="4"/>
  <c r="J1843" i="4"/>
  <c r="I1843" i="4"/>
  <c r="H1843" i="4"/>
  <c r="Q1842" i="4"/>
  <c r="P1842" i="4"/>
  <c r="O1842" i="4"/>
  <c r="N1842" i="4"/>
  <c r="M1842" i="4"/>
  <c r="L1842" i="4"/>
  <c r="K1842" i="4"/>
  <c r="J1842" i="4"/>
  <c r="I1842" i="4"/>
  <c r="H1842" i="4"/>
  <c r="Q1841" i="4"/>
  <c r="P1841" i="4"/>
  <c r="O1841" i="4"/>
  <c r="N1841" i="4"/>
  <c r="M1841" i="4"/>
  <c r="L1841" i="4"/>
  <c r="K1841" i="4"/>
  <c r="J1841" i="4"/>
  <c r="I1841" i="4"/>
  <c r="H1841" i="4"/>
  <c r="Q1840" i="4"/>
  <c r="P1840" i="4"/>
  <c r="O1840" i="4"/>
  <c r="N1840" i="4"/>
  <c r="M1840" i="4"/>
  <c r="L1840" i="4"/>
  <c r="K1840" i="4"/>
  <c r="J1840" i="4"/>
  <c r="I1840" i="4"/>
  <c r="H1840" i="4"/>
  <c r="Q1839" i="4"/>
  <c r="P1839" i="4"/>
  <c r="O1839" i="4"/>
  <c r="N1839" i="4"/>
  <c r="M1839" i="4"/>
  <c r="L1839" i="4"/>
  <c r="K1839" i="4"/>
  <c r="J1839" i="4"/>
  <c r="I1839" i="4"/>
  <c r="H1839" i="4"/>
  <c r="Q1838" i="4"/>
  <c r="P1838" i="4"/>
  <c r="O1838" i="4"/>
  <c r="N1838" i="4"/>
  <c r="M1838" i="4"/>
  <c r="L1838" i="4"/>
  <c r="K1838" i="4"/>
  <c r="J1838" i="4"/>
  <c r="I1838" i="4"/>
  <c r="H1838" i="4"/>
  <c r="Q1837" i="4"/>
  <c r="P1837" i="4"/>
  <c r="O1837" i="4"/>
  <c r="N1837" i="4"/>
  <c r="M1837" i="4"/>
  <c r="L1837" i="4"/>
  <c r="K1837" i="4"/>
  <c r="J1837" i="4"/>
  <c r="I1837" i="4"/>
  <c r="H1837" i="4"/>
  <c r="Q1836" i="4"/>
  <c r="P1836" i="4"/>
  <c r="O1836" i="4"/>
  <c r="N1836" i="4"/>
  <c r="M1836" i="4"/>
  <c r="L1836" i="4"/>
  <c r="K1836" i="4"/>
  <c r="J1836" i="4"/>
  <c r="I1836" i="4"/>
  <c r="H1836" i="4"/>
  <c r="Q1835" i="4"/>
  <c r="P1835" i="4"/>
  <c r="O1835" i="4"/>
  <c r="N1835" i="4"/>
  <c r="M1835" i="4"/>
  <c r="L1835" i="4"/>
  <c r="K1835" i="4"/>
  <c r="J1835" i="4"/>
  <c r="I1835" i="4"/>
  <c r="H1835" i="4"/>
  <c r="Q1834" i="4"/>
  <c r="P1834" i="4"/>
  <c r="O1834" i="4"/>
  <c r="N1834" i="4"/>
  <c r="M1834" i="4"/>
  <c r="L1834" i="4"/>
  <c r="K1834" i="4"/>
  <c r="J1834" i="4"/>
  <c r="I1834" i="4"/>
  <c r="H1834" i="4"/>
  <c r="Q1833" i="4"/>
  <c r="P1833" i="4"/>
  <c r="O1833" i="4"/>
  <c r="N1833" i="4"/>
  <c r="M1833" i="4"/>
  <c r="L1833" i="4"/>
  <c r="K1833" i="4"/>
  <c r="J1833" i="4"/>
  <c r="I1833" i="4"/>
  <c r="H1833" i="4"/>
  <c r="Q1832" i="4"/>
  <c r="P1832" i="4"/>
  <c r="O1832" i="4"/>
  <c r="N1832" i="4"/>
  <c r="M1832" i="4"/>
  <c r="L1832" i="4"/>
  <c r="K1832" i="4"/>
  <c r="J1832" i="4"/>
  <c r="I1832" i="4"/>
  <c r="H1832" i="4"/>
  <c r="Q1831" i="4"/>
  <c r="P1831" i="4"/>
  <c r="O1831" i="4"/>
  <c r="N1831" i="4"/>
  <c r="M1831" i="4"/>
  <c r="L1831" i="4"/>
  <c r="K1831" i="4"/>
  <c r="J1831" i="4"/>
  <c r="I1831" i="4"/>
  <c r="H1831" i="4"/>
  <c r="Q1830" i="4"/>
  <c r="P1830" i="4"/>
  <c r="O1830" i="4"/>
  <c r="N1830" i="4"/>
  <c r="M1830" i="4"/>
  <c r="L1830" i="4"/>
  <c r="K1830" i="4"/>
  <c r="J1830" i="4"/>
  <c r="I1830" i="4"/>
  <c r="H1830" i="4"/>
  <c r="Q1829" i="4"/>
  <c r="P1829" i="4"/>
  <c r="O1829" i="4"/>
  <c r="N1829" i="4"/>
  <c r="M1829" i="4"/>
  <c r="L1829" i="4"/>
  <c r="K1829" i="4"/>
  <c r="J1829" i="4"/>
  <c r="I1829" i="4"/>
  <c r="H1829" i="4"/>
  <c r="Q1828" i="4"/>
  <c r="P1828" i="4"/>
  <c r="O1828" i="4"/>
  <c r="N1828" i="4"/>
  <c r="M1828" i="4"/>
  <c r="L1828" i="4"/>
  <c r="K1828" i="4"/>
  <c r="J1828" i="4"/>
  <c r="I1828" i="4"/>
  <c r="H1828" i="4"/>
  <c r="Q1827" i="4"/>
  <c r="P1827" i="4"/>
  <c r="O1827" i="4"/>
  <c r="N1827" i="4"/>
  <c r="M1827" i="4"/>
  <c r="L1827" i="4"/>
  <c r="K1827" i="4"/>
  <c r="J1827" i="4"/>
  <c r="I1827" i="4"/>
  <c r="H1827" i="4"/>
  <c r="Q1826" i="4"/>
  <c r="P1826" i="4"/>
  <c r="O1826" i="4"/>
  <c r="N1826" i="4"/>
  <c r="M1826" i="4"/>
  <c r="L1826" i="4"/>
  <c r="K1826" i="4"/>
  <c r="J1826" i="4"/>
  <c r="I1826" i="4"/>
  <c r="H1826" i="4"/>
  <c r="Q1825" i="4"/>
  <c r="P1825" i="4"/>
  <c r="O1825" i="4"/>
  <c r="N1825" i="4"/>
  <c r="M1825" i="4"/>
  <c r="L1825" i="4"/>
  <c r="K1825" i="4"/>
  <c r="J1825" i="4"/>
  <c r="I1825" i="4"/>
  <c r="H1825" i="4"/>
  <c r="Q1824" i="4"/>
  <c r="P1824" i="4"/>
  <c r="O1824" i="4"/>
  <c r="N1824" i="4"/>
  <c r="M1824" i="4"/>
  <c r="L1824" i="4"/>
  <c r="K1824" i="4"/>
  <c r="J1824" i="4"/>
  <c r="I1824" i="4"/>
  <c r="H1824" i="4"/>
  <c r="Q1823" i="4"/>
  <c r="P1823" i="4"/>
  <c r="O1823" i="4"/>
  <c r="N1823" i="4"/>
  <c r="M1823" i="4"/>
  <c r="L1823" i="4"/>
  <c r="K1823" i="4"/>
  <c r="J1823" i="4"/>
  <c r="I1823" i="4"/>
  <c r="H1823" i="4"/>
  <c r="Q1822" i="4"/>
  <c r="P1822" i="4"/>
  <c r="O1822" i="4"/>
  <c r="N1822" i="4"/>
  <c r="M1822" i="4"/>
  <c r="L1822" i="4"/>
  <c r="K1822" i="4"/>
  <c r="J1822" i="4"/>
  <c r="I1822" i="4"/>
  <c r="H1822" i="4"/>
  <c r="Q1821" i="4"/>
  <c r="P1821" i="4"/>
  <c r="O1821" i="4"/>
  <c r="N1821" i="4"/>
  <c r="M1821" i="4"/>
  <c r="L1821" i="4"/>
  <c r="K1821" i="4"/>
  <c r="J1821" i="4"/>
  <c r="I1821" i="4"/>
  <c r="H1821" i="4"/>
  <c r="Q1820" i="4"/>
  <c r="P1820" i="4"/>
  <c r="O1820" i="4"/>
  <c r="N1820" i="4"/>
  <c r="M1820" i="4"/>
  <c r="L1820" i="4"/>
  <c r="K1820" i="4"/>
  <c r="J1820" i="4"/>
  <c r="I1820" i="4"/>
  <c r="H1820" i="4"/>
  <c r="Q1819" i="4"/>
  <c r="P1819" i="4"/>
  <c r="O1819" i="4"/>
  <c r="N1819" i="4"/>
  <c r="M1819" i="4"/>
  <c r="L1819" i="4"/>
  <c r="K1819" i="4"/>
  <c r="J1819" i="4"/>
  <c r="I1819" i="4"/>
  <c r="H1819" i="4"/>
  <c r="Q1818" i="4"/>
  <c r="P1818" i="4"/>
  <c r="O1818" i="4"/>
  <c r="N1818" i="4"/>
  <c r="M1818" i="4"/>
  <c r="L1818" i="4"/>
  <c r="K1818" i="4"/>
  <c r="J1818" i="4"/>
  <c r="I1818" i="4"/>
  <c r="H1818" i="4"/>
  <c r="Q1817" i="4"/>
  <c r="P1817" i="4"/>
  <c r="O1817" i="4"/>
  <c r="N1817" i="4"/>
  <c r="M1817" i="4"/>
  <c r="L1817" i="4"/>
  <c r="K1817" i="4"/>
  <c r="J1817" i="4"/>
  <c r="I1817" i="4"/>
  <c r="H1817" i="4"/>
  <c r="Q1816" i="4"/>
  <c r="P1816" i="4"/>
  <c r="O1816" i="4"/>
  <c r="N1816" i="4"/>
  <c r="M1816" i="4"/>
  <c r="L1816" i="4"/>
  <c r="K1816" i="4"/>
  <c r="J1816" i="4"/>
  <c r="I1816" i="4"/>
  <c r="H1816" i="4"/>
  <c r="Q1815" i="4"/>
  <c r="P1815" i="4"/>
  <c r="O1815" i="4"/>
  <c r="N1815" i="4"/>
  <c r="M1815" i="4"/>
  <c r="L1815" i="4"/>
  <c r="K1815" i="4"/>
  <c r="J1815" i="4"/>
  <c r="I1815" i="4"/>
  <c r="H1815" i="4"/>
  <c r="Q1814" i="4"/>
  <c r="P1814" i="4"/>
  <c r="O1814" i="4"/>
  <c r="N1814" i="4"/>
  <c r="M1814" i="4"/>
  <c r="L1814" i="4"/>
  <c r="K1814" i="4"/>
  <c r="J1814" i="4"/>
  <c r="I1814" i="4"/>
  <c r="H1814" i="4"/>
  <c r="Q1813" i="4"/>
  <c r="P1813" i="4"/>
  <c r="O1813" i="4"/>
  <c r="N1813" i="4"/>
  <c r="M1813" i="4"/>
  <c r="L1813" i="4"/>
  <c r="K1813" i="4"/>
  <c r="J1813" i="4"/>
  <c r="I1813" i="4"/>
  <c r="H1813" i="4"/>
  <c r="Q1812" i="4"/>
  <c r="P1812" i="4"/>
  <c r="O1812" i="4"/>
  <c r="N1812" i="4"/>
  <c r="M1812" i="4"/>
  <c r="L1812" i="4"/>
  <c r="K1812" i="4"/>
  <c r="J1812" i="4"/>
  <c r="I1812" i="4"/>
  <c r="H1812" i="4"/>
  <c r="Q1811" i="4"/>
  <c r="P1811" i="4"/>
  <c r="O1811" i="4"/>
  <c r="N1811" i="4"/>
  <c r="M1811" i="4"/>
  <c r="L1811" i="4"/>
  <c r="K1811" i="4"/>
  <c r="J1811" i="4"/>
  <c r="I1811" i="4"/>
  <c r="H1811" i="4"/>
  <c r="Q1810" i="4"/>
  <c r="P1810" i="4"/>
  <c r="O1810" i="4"/>
  <c r="N1810" i="4"/>
  <c r="M1810" i="4"/>
  <c r="L1810" i="4"/>
  <c r="K1810" i="4"/>
  <c r="J1810" i="4"/>
  <c r="I1810" i="4"/>
  <c r="H1810" i="4"/>
  <c r="Q1809" i="4"/>
  <c r="P1809" i="4"/>
  <c r="O1809" i="4"/>
  <c r="N1809" i="4"/>
  <c r="M1809" i="4"/>
  <c r="L1809" i="4"/>
  <c r="K1809" i="4"/>
  <c r="J1809" i="4"/>
  <c r="I1809" i="4"/>
  <c r="H1809" i="4"/>
  <c r="Q1808" i="4"/>
  <c r="P1808" i="4"/>
  <c r="O1808" i="4"/>
  <c r="N1808" i="4"/>
  <c r="M1808" i="4"/>
  <c r="L1808" i="4"/>
  <c r="K1808" i="4"/>
  <c r="J1808" i="4"/>
  <c r="I1808" i="4"/>
  <c r="H1808" i="4"/>
  <c r="Q1807" i="4"/>
  <c r="P1807" i="4"/>
  <c r="O1807" i="4"/>
  <c r="N1807" i="4"/>
  <c r="M1807" i="4"/>
  <c r="L1807" i="4"/>
  <c r="K1807" i="4"/>
  <c r="J1807" i="4"/>
  <c r="I1807" i="4"/>
  <c r="H1807" i="4"/>
  <c r="Q1806" i="4"/>
  <c r="P1806" i="4"/>
  <c r="O1806" i="4"/>
  <c r="N1806" i="4"/>
  <c r="M1806" i="4"/>
  <c r="L1806" i="4"/>
  <c r="K1806" i="4"/>
  <c r="J1806" i="4"/>
  <c r="I1806" i="4"/>
  <c r="H1806" i="4"/>
  <c r="Q1805" i="4"/>
  <c r="P1805" i="4"/>
  <c r="O1805" i="4"/>
  <c r="N1805" i="4"/>
  <c r="M1805" i="4"/>
  <c r="L1805" i="4"/>
  <c r="K1805" i="4"/>
  <c r="J1805" i="4"/>
  <c r="I1805" i="4"/>
  <c r="H1805" i="4"/>
  <c r="Q1804" i="4"/>
  <c r="P1804" i="4"/>
  <c r="O1804" i="4"/>
  <c r="N1804" i="4"/>
  <c r="M1804" i="4"/>
  <c r="L1804" i="4"/>
  <c r="K1804" i="4"/>
  <c r="J1804" i="4"/>
  <c r="I1804" i="4"/>
  <c r="H1804" i="4"/>
  <c r="Q1803" i="4"/>
  <c r="P1803" i="4"/>
  <c r="O1803" i="4"/>
  <c r="N1803" i="4"/>
  <c r="M1803" i="4"/>
  <c r="L1803" i="4"/>
  <c r="K1803" i="4"/>
  <c r="J1803" i="4"/>
  <c r="I1803" i="4"/>
  <c r="H1803" i="4"/>
  <c r="Q1802" i="4"/>
  <c r="P1802" i="4"/>
  <c r="O1802" i="4"/>
  <c r="N1802" i="4"/>
  <c r="M1802" i="4"/>
  <c r="L1802" i="4"/>
  <c r="K1802" i="4"/>
  <c r="J1802" i="4"/>
  <c r="I1802" i="4"/>
  <c r="H1802" i="4"/>
  <c r="Q1801" i="4"/>
  <c r="P1801" i="4"/>
  <c r="O1801" i="4"/>
  <c r="N1801" i="4"/>
  <c r="M1801" i="4"/>
  <c r="L1801" i="4"/>
  <c r="K1801" i="4"/>
  <c r="J1801" i="4"/>
  <c r="I1801" i="4"/>
  <c r="H1801" i="4"/>
  <c r="Q1800" i="4"/>
  <c r="P1800" i="4"/>
  <c r="O1800" i="4"/>
  <c r="N1800" i="4"/>
  <c r="M1800" i="4"/>
  <c r="L1800" i="4"/>
  <c r="K1800" i="4"/>
  <c r="J1800" i="4"/>
  <c r="I1800" i="4"/>
  <c r="H1800" i="4"/>
  <c r="Q1799" i="4"/>
  <c r="P1799" i="4"/>
  <c r="O1799" i="4"/>
  <c r="N1799" i="4"/>
  <c r="M1799" i="4"/>
  <c r="L1799" i="4"/>
  <c r="K1799" i="4"/>
  <c r="J1799" i="4"/>
  <c r="I1799" i="4"/>
  <c r="H1799" i="4"/>
  <c r="Q1798" i="4"/>
  <c r="P1798" i="4"/>
  <c r="O1798" i="4"/>
  <c r="N1798" i="4"/>
  <c r="M1798" i="4"/>
  <c r="L1798" i="4"/>
  <c r="K1798" i="4"/>
  <c r="J1798" i="4"/>
  <c r="I1798" i="4"/>
  <c r="H1798" i="4"/>
  <c r="Q1797" i="4"/>
  <c r="P1797" i="4"/>
  <c r="O1797" i="4"/>
  <c r="N1797" i="4"/>
  <c r="M1797" i="4"/>
  <c r="L1797" i="4"/>
  <c r="K1797" i="4"/>
  <c r="J1797" i="4"/>
  <c r="I1797" i="4"/>
  <c r="H1797" i="4"/>
  <c r="Q1796" i="4"/>
  <c r="P1796" i="4"/>
  <c r="O1796" i="4"/>
  <c r="N1796" i="4"/>
  <c r="M1796" i="4"/>
  <c r="L1796" i="4"/>
  <c r="K1796" i="4"/>
  <c r="J1796" i="4"/>
  <c r="I1796" i="4"/>
  <c r="H1796" i="4"/>
  <c r="Q1795" i="4"/>
  <c r="P1795" i="4"/>
  <c r="O1795" i="4"/>
  <c r="N1795" i="4"/>
  <c r="M1795" i="4"/>
  <c r="L1795" i="4"/>
  <c r="K1795" i="4"/>
  <c r="J1795" i="4"/>
  <c r="I1795" i="4"/>
  <c r="H1795" i="4"/>
  <c r="Q1794" i="4"/>
  <c r="P1794" i="4"/>
  <c r="O1794" i="4"/>
  <c r="N1794" i="4"/>
  <c r="M1794" i="4"/>
  <c r="L1794" i="4"/>
  <c r="K1794" i="4"/>
  <c r="J1794" i="4"/>
  <c r="I1794" i="4"/>
  <c r="H1794" i="4"/>
  <c r="Q1793" i="4"/>
  <c r="P1793" i="4"/>
  <c r="O1793" i="4"/>
  <c r="N1793" i="4"/>
  <c r="M1793" i="4"/>
  <c r="L1793" i="4"/>
  <c r="K1793" i="4"/>
  <c r="J1793" i="4"/>
  <c r="I1793" i="4"/>
  <c r="H1793" i="4"/>
  <c r="Q1792" i="4"/>
  <c r="P1792" i="4"/>
  <c r="O1792" i="4"/>
  <c r="N1792" i="4"/>
  <c r="M1792" i="4"/>
  <c r="L1792" i="4"/>
  <c r="K1792" i="4"/>
  <c r="J1792" i="4"/>
  <c r="I1792" i="4"/>
  <c r="H1792" i="4"/>
  <c r="Q1791" i="4"/>
  <c r="P1791" i="4"/>
  <c r="O1791" i="4"/>
  <c r="N1791" i="4"/>
  <c r="M1791" i="4"/>
  <c r="L1791" i="4"/>
  <c r="K1791" i="4"/>
  <c r="J1791" i="4"/>
  <c r="I1791" i="4"/>
  <c r="H1791" i="4"/>
  <c r="Q1790" i="4"/>
  <c r="P1790" i="4"/>
  <c r="O1790" i="4"/>
  <c r="N1790" i="4"/>
  <c r="M1790" i="4"/>
  <c r="L1790" i="4"/>
  <c r="K1790" i="4"/>
  <c r="J1790" i="4"/>
  <c r="I1790" i="4"/>
  <c r="H1790" i="4"/>
  <c r="Q1789" i="4"/>
  <c r="P1789" i="4"/>
  <c r="O1789" i="4"/>
  <c r="N1789" i="4"/>
  <c r="M1789" i="4"/>
  <c r="L1789" i="4"/>
  <c r="K1789" i="4"/>
  <c r="J1789" i="4"/>
  <c r="I1789" i="4"/>
  <c r="H1789" i="4"/>
  <c r="Q1788" i="4"/>
  <c r="P1788" i="4"/>
  <c r="O1788" i="4"/>
  <c r="N1788" i="4"/>
  <c r="M1788" i="4"/>
  <c r="L1788" i="4"/>
  <c r="K1788" i="4"/>
  <c r="J1788" i="4"/>
  <c r="I1788" i="4"/>
  <c r="H1788" i="4"/>
  <c r="Q1787" i="4"/>
  <c r="P1787" i="4"/>
  <c r="O1787" i="4"/>
  <c r="N1787" i="4"/>
  <c r="M1787" i="4"/>
  <c r="L1787" i="4"/>
  <c r="K1787" i="4"/>
  <c r="J1787" i="4"/>
  <c r="I1787" i="4"/>
  <c r="H1787" i="4"/>
  <c r="Q1786" i="4"/>
  <c r="P1786" i="4"/>
  <c r="O1786" i="4"/>
  <c r="N1786" i="4"/>
  <c r="M1786" i="4"/>
  <c r="L1786" i="4"/>
  <c r="K1786" i="4"/>
  <c r="J1786" i="4"/>
  <c r="I1786" i="4"/>
  <c r="H1786" i="4"/>
  <c r="Q1785" i="4"/>
  <c r="P1785" i="4"/>
  <c r="O1785" i="4"/>
  <c r="N1785" i="4"/>
  <c r="M1785" i="4"/>
  <c r="L1785" i="4"/>
  <c r="K1785" i="4"/>
  <c r="J1785" i="4"/>
  <c r="I1785" i="4"/>
  <c r="H1785" i="4"/>
  <c r="Q1784" i="4"/>
  <c r="P1784" i="4"/>
  <c r="O1784" i="4"/>
  <c r="N1784" i="4"/>
  <c r="M1784" i="4"/>
  <c r="L1784" i="4"/>
  <c r="K1784" i="4"/>
  <c r="J1784" i="4"/>
  <c r="I1784" i="4"/>
  <c r="H1784" i="4"/>
  <c r="Q1783" i="4"/>
  <c r="P1783" i="4"/>
  <c r="O1783" i="4"/>
  <c r="N1783" i="4"/>
  <c r="M1783" i="4"/>
  <c r="L1783" i="4"/>
  <c r="K1783" i="4"/>
  <c r="J1783" i="4"/>
  <c r="I1783" i="4"/>
  <c r="H1783" i="4"/>
  <c r="Q1782" i="4"/>
  <c r="P1782" i="4"/>
  <c r="O1782" i="4"/>
  <c r="N1782" i="4"/>
  <c r="M1782" i="4"/>
  <c r="L1782" i="4"/>
  <c r="K1782" i="4"/>
  <c r="J1782" i="4"/>
  <c r="I1782" i="4"/>
  <c r="H1782" i="4"/>
  <c r="Q1781" i="4"/>
  <c r="P1781" i="4"/>
  <c r="O1781" i="4"/>
  <c r="N1781" i="4"/>
  <c r="M1781" i="4"/>
  <c r="L1781" i="4"/>
  <c r="K1781" i="4"/>
  <c r="J1781" i="4"/>
  <c r="I1781" i="4"/>
  <c r="H1781" i="4"/>
  <c r="Q1780" i="4"/>
  <c r="P1780" i="4"/>
  <c r="O1780" i="4"/>
  <c r="N1780" i="4"/>
  <c r="M1780" i="4"/>
  <c r="L1780" i="4"/>
  <c r="K1780" i="4"/>
  <c r="J1780" i="4"/>
  <c r="I1780" i="4"/>
  <c r="H1780" i="4"/>
  <c r="Q1779" i="4"/>
  <c r="P1779" i="4"/>
  <c r="O1779" i="4"/>
  <c r="N1779" i="4"/>
  <c r="M1779" i="4"/>
  <c r="L1779" i="4"/>
  <c r="K1779" i="4"/>
  <c r="J1779" i="4"/>
  <c r="I1779" i="4"/>
  <c r="H1779" i="4"/>
  <c r="Q1778" i="4"/>
  <c r="P1778" i="4"/>
  <c r="O1778" i="4"/>
  <c r="N1778" i="4"/>
  <c r="M1778" i="4"/>
  <c r="L1778" i="4"/>
  <c r="K1778" i="4"/>
  <c r="J1778" i="4"/>
  <c r="I1778" i="4"/>
  <c r="H1778" i="4"/>
  <c r="Q1777" i="4"/>
  <c r="P1777" i="4"/>
  <c r="O1777" i="4"/>
  <c r="N1777" i="4"/>
  <c r="M1777" i="4"/>
  <c r="L1777" i="4"/>
  <c r="K1777" i="4"/>
  <c r="J1777" i="4"/>
  <c r="I1777" i="4"/>
  <c r="H1777" i="4"/>
  <c r="Q1776" i="4"/>
  <c r="P1776" i="4"/>
  <c r="O1776" i="4"/>
  <c r="N1776" i="4"/>
  <c r="M1776" i="4"/>
  <c r="L1776" i="4"/>
  <c r="K1776" i="4"/>
  <c r="J1776" i="4"/>
  <c r="I1776" i="4"/>
  <c r="H1776" i="4"/>
  <c r="Q1775" i="4"/>
  <c r="P1775" i="4"/>
  <c r="O1775" i="4"/>
  <c r="N1775" i="4"/>
  <c r="M1775" i="4"/>
  <c r="L1775" i="4"/>
  <c r="K1775" i="4"/>
  <c r="J1775" i="4"/>
  <c r="I1775" i="4"/>
  <c r="H1775" i="4"/>
  <c r="Q1774" i="4"/>
  <c r="P1774" i="4"/>
  <c r="O1774" i="4"/>
  <c r="N1774" i="4"/>
  <c r="M1774" i="4"/>
  <c r="L1774" i="4"/>
  <c r="K1774" i="4"/>
  <c r="J1774" i="4"/>
  <c r="I1774" i="4"/>
  <c r="H1774" i="4"/>
  <c r="Q1773" i="4"/>
  <c r="P1773" i="4"/>
  <c r="O1773" i="4"/>
  <c r="N1773" i="4"/>
  <c r="M1773" i="4"/>
  <c r="L1773" i="4"/>
  <c r="K1773" i="4"/>
  <c r="J1773" i="4"/>
  <c r="I1773" i="4"/>
  <c r="H1773" i="4"/>
  <c r="Q1772" i="4"/>
  <c r="P1772" i="4"/>
  <c r="O1772" i="4"/>
  <c r="N1772" i="4"/>
  <c r="M1772" i="4"/>
  <c r="L1772" i="4"/>
  <c r="K1772" i="4"/>
  <c r="J1772" i="4"/>
  <c r="I1772" i="4"/>
  <c r="H1772" i="4"/>
  <c r="Q1771" i="4"/>
  <c r="P1771" i="4"/>
  <c r="O1771" i="4"/>
  <c r="N1771" i="4"/>
  <c r="M1771" i="4"/>
  <c r="L1771" i="4"/>
  <c r="K1771" i="4"/>
  <c r="J1771" i="4"/>
  <c r="I1771" i="4"/>
  <c r="H1771" i="4"/>
  <c r="Q1770" i="4"/>
  <c r="P1770" i="4"/>
  <c r="O1770" i="4"/>
  <c r="N1770" i="4"/>
  <c r="M1770" i="4"/>
  <c r="L1770" i="4"/>
  <c r="K1770" i="4"/>
  <c r="J1770" i="4"/>
  <c r="I1770" i="4"/>
  <c r="H1770" i="4"/>
  <c r="Q1769" i="4"/>
  <c r="P1769" i="4"/>
  <c r="O1769" i="4"/>
  <c r="N1769" i="4"/>
  <c r="M1769" i="4"/>
  <c r="L1769" i="4"/>
  <c r="K1769" i="4"/>
  <c r="J1769" i="4"/>
  <c r="I1769" i="4"/>
  <c r="H1769" i="4"/>
  <c r="Q1768" i="4"/>
  <c r="P1768" i="4"/>
  <c r="O1768" i="4"/>
  <c r="N1768" i="4"/>
  <c r="M1768" i="4"/>
  <c r="L1768" i="4"/>
  <c r="K1768" i="4"/>
  <c r="J1768" i="4"/>
  <c r="I1768" i="4"/>
  <c r="H1768" i="4"/>
  <c r="Q1767" i="4"/>
  <c r="P1767" i="4"/>
  <c r="O1767" i="4"/>
  <c r="N1767" i="4"/>
  <c r="M1767" i="4"/>
  <c r="L1767" i="4"/>
  <c r="K1767" i="4"/>
  <c r="J1767" i="4"/>
  <c r="I1767" i="4"/>
  <c r="H1767" i="4"/>
  <c r="Q1766" i="4"/>
  <c r="P1766" i="4"/>
  <c r="O1766" i="4"/>
  <c r="N1766" i="4"/>
  <c r="M1766" i="4"/>
  <c r="L1766" i="4"/>
  <c r="K1766" i="4"/>
  <c r="J1766" i="4"/>
  <c r="I1766" i="4"/>
  <c r="H1766" i="4"/>
  <c r="Q1765" i="4"/>
  <c r="P1765" i="4"/>
  <c r="O1765" i="4"/>
  <c r="N1765" i="4"/>
  <c r="M1765" i="4"/>
  <c r="L1765" i="4"/>
  <c r="K1765" i="4"/>
  <c r="J1765" i="4"/>
  <c r="I1765" i="4"/>
  <c r="H1765" i="4"/>
  <c r="Q1764" i="4"/>
  <c r="P1764" i="4"/>
  <c r="O1764" i="4"/>
  <c r="N1764" i="4"/>
  <c r="M1764" i="4"/>
  <c r="L1764" i="4"/>
  <c r="K1764" i="4"/>
  <c r="J1764" i="4"/>
  <c r="I1764" i="4"/>
  <c r="H1764" i="4"/>
  <c r="Q1763" i="4"/>
  <c r="P1763" i="4"/>
  <c r="O1763" i="4"/>
  <c r="N1763" i="4"/>
  <c r="M1763" i="4"/>
  <c r="L1763" i="4"/>
  <c r="K1763" i="4"/>
  <c r="J1763" i="4"/>
  <c r="I1763" i="4"/>
  <c r="H1763" i="4"/>
  <c r="Q1762" i="4"/>
  <c r="P1762" i="4"/>
  <c r="O1762" i="4"/>
  <c r="N1762" i="4"/>
  <c r="M1762" i="4"/>
  <c r="L1762" i="4"/>
  <c r="K1762" i="4"/>
  <c r="J1762" i="4"/>
  <c r="I1762" i="4"/>
  <c r="H1762" i="4"/>
  <c r="Q1761" i="4"/>
  <c r="P1761" i="4"/>
  <c r="O1761" i="4"/>
  <c r="N1761" i="4"/>
  <c r="M1761" i="4"/>
  <c r="L1761" i="4"/>
  <c r="K1761" i="4"/>
  <c r="J1761" i="4"/>
  <c r="I1761" i="4"/>
  <c r="H1761" i="4"/>
  <c r="Q1760" i="4"/>
  <c r="P1760" i="4"/>
  <c r="O1760" i="4"/>
  <c r="N1760" i="4"/>
  <c r="M1760" i="4"/>
  <c r="L1760" i="4"/>
  <c r="K1760" i="4"/>
  <c r="J1760" i="4"/>
  <c r="I1760" i="4"/>
  <c r="H1760" i="4"/>
  <c r="Q1759" i="4"/>
  <c r="P1759" i="4"/>
  <c r="O1759" i="4"/>
  <c r="N1759" i="4"/>
  <c r="M1759" i="4"/>
  <c r="L1759" i="4"/>
  <c r="K1759" i="4"/>
  <c r="J1759" i="4"/>
  <c r="I1759" i="4"/>
  <c r="H1759" i="4"/>
  <c r="Q1758" i="4"/>
  <c r="P1758" i="4"/>
  <c r="O1758" i="4"/>
  <c r="N1758" i="4"/>
  <c r="M1758" i="4"/>
  <c r="L1758" i="4"/>
  <c r="K1758" i="4"/>
  <c r="J1758" i="4"/>
  <c r="I1758" i="4"/>
  <c r="H1758" i="4"/>
  <c r="Q1757" i="4"/>
  <c r="P1757" i="4"/>
  <c r="O1757" i="4"/>
  <c r="N1757" i="4"/>
  <c r="M1757" i="4"/>
  <c r="L1757" i="4"/>
  <c r="K1757" i="4"/>
  <c r="J1757" i="4"/>
  <c r="I1757" i="4"/>
  <c r="H1757" i="4"/>
  <c r="Q1756" i="4"/>
  <c r="P1756" i="4"/>
  <c r="O1756" i="4"/>
  <c r="N1756" i="4"/>
  <c r="M1756" i="4"/>
  <c r="L1756" i="4"/>
  <c r="K1756" i="4"/>
  <c r="J1756" i="4"/>
  <c r="I1756" i="4"/>
  <c r="H1756" i="4"/>
  <c r="Q1755" i="4"/>
  <c r="P1755" i="4"/>
  <c r="O1755" i="4"/>
  <c r="N1755" i="4"/>
  <c r="M1755" i="4"/>
  <c r="L1755" i="4"/>
  <c r="K1755" i="4"/>
  <c r="J1755" i="4"/>
  <c r="I1755" i="4"/>
  <c r="H1755" i="4"/>
  <c r="Q1754" i="4"/>
  <c r="P1754" i="4"/>
  <c r="O1754" i="4"/>
  <c r="N1754" i="4"/>
  <c r="M1754" i="4"/>
  <c r="L1754" i="4"/>
  <c r="K1754" i="4"/>
  <c r="J1754" i="4"/>
  <c r="I1754" i="4"/>
  <c r="H1754" i="4"/>
  <c r="Q1753" i="4"/>
  <c r="P1753" i="4"/>
  <c r="O1753" i="4"/>
  <c r="N1753" i="4"/>
  <c r="M1753" i="4"/>
  <c r="L1753" i="4"/>
  <c r="K1753" i="4"/>
  <c r="J1753" i="4"/>
  <c r="I1753" i="4"/>
  <c r="H1753" i="4"/>
  <c r="Q1752" i="4"/>
  <c r="P1752" i="4"/>
  <c r="O1752" i="4"/>
  <c r="N1752" i="4"/>
  <c r="M1752" i="4"/>
  <c r="L1752" i="4"/>
  <c r="K1752" i="4"/>
  <c r="J1752" i="4"/>
  <c r="I1752" i="4"/>
  <c r="H1752" i="4"/>
  <c r="Q1751" i="4"/>
  <c r="P1751" i="4"/>
  <c r="O1751" i="4"/>
  <c r="N1751" i="4"/>
  <c r="M1751" i="4"/>
  <c r="L1751" i="4"/>
  <c r="K1751" i="4"/>
  <c r="J1751" i="4"/>
  <c r="I1751" i="4"/>
  <c r="H1751" i="4"/>
  <c r="Q1750" i="4"/>
  <c r="P1750" i="4"/>
  <c r="O1750" i="4"/>
  <c r="N1750" i="4"/>
  <c r="M1750" i="4"/>
  <c r="L1750" i="4"/>
  <c r="K1750" i="4"/>
  <c r="J1750" i="4"/>
  <c r="I1750" i="4"/>
  <c r="H1750" i="4"/>
  <c r="Q1749" i="4"/>
  <c r="P1749" i="4"/>
  <c r="O1749" i="4"/>
  <c r="N1749" i="4"/>
  <c r="M1749" i="4"/>
  <c r="L1749" i="4"/>
  <c r="K1749" i="4"/>
  <c r="J1749" i="4"/>
  <c r="I1749" i="4"/>
  <c r="H1749" i="4"/>
  <c r="Q1748" i="4"/>
  <c r="P1748" i="4"/>
  <c r="O1748" i="4"/>
  <c r="N1748" i="4"/>
  <c r="M1748" i="4"/>
  <c r="L1748" i="4"/>
  <c r="K1748" i="4"/>
  <c r="J1748" i="4"/>
  <c r="I1748" i="4"/>
  <c r="H1748" i="4"/>
  <c r="Q1747" i="4"/>
  <c r="P1747" i="4"/>
  <c r="O1747" i="4"/>
  <c r="N1747" i="4"/>
  <c r="M1747" i="4"/>
  <c r="L1747" i="4"/>
  <c r="K1747" i="4"/>
  <c r="J1747" i="4"/>
  <c r="I1747" i="4"/>
  <c r="H1747" i="4"/>
  <c r="Q1746" i="4"/>
  <c r="P1746" i="4"/>
  <c r="O1746" i="4"/>
  <c r="N1746" i="4"/>
  <c r="M1746" i="4"/>
  <c r="L1746" i="4"/>
  <c r="K1746" i="4"/>
  <c r="J1746" i="4"/>
  <c r="I1746" i="4"/>
  <c r="H1746" i="4"/>
  <c r="Q1745" i="4"/>
  <c r="P1745" i="4"/>
  <c r="O1745" i="4"/>
  <c r="N1745" i="4"/>
  <c r="M1745" i="4"/>
  <c r="L1745" i="4"/>
  <c r="K1745" i="4"/>
  <c r="J1745" i="4"/>
  <c r="I1745" i="4"/>
  <c r="H1745" i="4"/>
  <c r="Q1744" i="4"/>
  <c r="P1744" i="4"/>
  <c r="O1744" i="4"/>
  <c r="N1744" i="4"/>
  <c r="M1744" i="4"/>
  <c r="L1744" i="4"/>
  <c r="K1744" i="4"/>
  <c r="J1744" i="4"/>
  <c r="I1744" i="4"/>
  <c r="H1744" i="4"/>
  <c r="Q1743" i="4"/>
  <c r="P1743" i="4"/>
  <c r="O1743" i="4"/>
  <c r="N1743" i="4"/>
  <c r="M1743" i="4"/>
  <c r="L1743" i="4"/>
  <c r="K1743" i="4"/>
  <c r="J1743" i="4"/>
  <c r="I1743" i="4"/>
  <c r="H1743" i="4"/>
  <c r="Q1742" i="4"/>
  <c r="P1742" i="4"/>
  <c r="O1742" i="4"/>
  <c r="N1742" i="4"/>
  <c r="M1742" i="4"/>
  <c r="L1742" i="4"/>
  <c r="K1742" i="4"/>
  <c r="J1742" i="4"/>
  <c r="I1742" i="4"/>
  <c r="H1742" i="4"/>
  <c r="Q1741" i="4"/>
  <c r="P1741" i="4"/>
  <c r="O1741" i="4"/>
  <c r="N1741" i="4"/>
  <c r="M1741" i="4"/>
  <c r="L1741" i="4"/>
  <c r="K1741" i="4"/>
  <c r="J1741" i="4"/>
  <c r="I1741" i="4"/>
  <c r="H1741" i="4"/>
  <c r="Q1740" i="4"/>
  <c r="P1740" i="4"/>
  <c r="O1740" i="4"/>
  <c r="N1740" i="4"/>
  <c r="M1740" i="4"/>
  <c r="L1740" i="4"/>
  <c r="K1740" i="4"/>
  <c r="J1740" i="4"/>
  <c r="I1740" i="4"/>
  <c r="H1740" i="4"/>
  <c r="Q1739" i="4"/>
  <c r="P1739" i="4"/>
  <c r="O1739" i="4"/>
  <c r="N1739" i="4"/>
  <c r="M1739" i="4"/>
  <c r="L1739" i="4"/>
  <c r="K1739" i="4"/>
  <c r="J1739" i="4"/>
  <c r="I1739" i="4"/>
  <c r="H1739" i="4"/>
  <c r="Q1738" i="4"/>
  <c r="P1738" i="4"/>
  <c r="O1738" i="4"/>
  <c r="N1738" i="4"/>
  <c r="M1738" i="4"/>
  <c r="L1738" i="4"/>
  <c r="K1738" i="4"/>
  <c r="J1738" i="4"/>
  <c r="I1738" i="4"/>
  <c r="H1738" i="4"/>
  <c r="Q1737" i="4"/>
  <c r="P1737" i="4"/>
  <c r="O1737" i="4"/>
  <c r="N1737" i="4"/>
  <c r="M1737" i="4"/>
  <c r="L1737" i="4"/>
  <c r="K1737" i="4"/>
  <c r="J1737" i="4"/>
  <c r="I1737" i="4"/>
  <c r="H1737" i="4"/>
  <c r="Q1736" i="4"/>
  <c r="P1736" i="4"/>
  <c r="O1736" i="4"/>
  <c r="N1736" i="4"/>
  <c r="M1736" i="4"/>
  <c r="L1736" i="4"/>
  <c r="K1736" i="4"/>
  <c r="J1736" i="4"/>
  <c r="I1736" i="4"/>
  <c r="H1736" i="4"/>
  <c r="Q1735" i="4"/>
  <c r="P1735" i="4"/>
  <c r="O1735" i="4"/>
  <c r="N1735" i="4"/>
  <c r="M1735" i="4"/>
  <c r="L1735" i="4"/>
  <c r="K1735" i="4"/>
  <c r="J1735" i="4"/>
  <c r="I1735" i="4"/>
  <c r="H1735" i="4"/>
  <c r="Q1734" i="4"/>
  <c r="P1734" i="4"/>
  <c r="O1734" i="4"/>
  <c r="N1734" i="4"/>
  <c r="M1734" i="4"/>
  <c r="L1734" i="4"/>
  <c r="K1734" i="4"/>
  <c r="J1734" i="4"/>
  <c r="I1734" i="4"/>
  <c r="H1734" i="4"/>
  <c r="Q1733" i="4"/>
  <c r="P1733" i="4"/>
  <c r="O1733" i="4"/>
  <c r="N1733" i="4"/>
  <c r="M1733" i="4"/>
  <c r="L1733" i="4"/>
  <c r="K1733" i="4"/>
  <c r="J1733" i="4"/>
  <c r="I1733" i="4"/>
  <c r="H1733" i="4"/>
  <c r="Q1732" i="4"/>
  <c r="P1732" i="4"/>
  <c r="O1732" i="4"/>
  <c r="N1732" i="4"/>
  <c r="M1732" i="4"/>
  <c r="L1732" i="4"/>
  <c r="K1732" i="4"/>
  <c r="J1732" i="4"/>
  <c r="I1732" i="4"/>
  <c r="H1732" i="4"/>
  <c r="Q1731" i="4"/>
  <c r="P1731" i="4"/>
  <c r="O1731" i="4"/>
  <c r="N1731" i="4"/>
  <c r="M1731" i="4"/>
  <c r="L1731" i="4"/>
  <c r="K1731" i="4"/>
  <c r="J1731" i="4"/>
  <c r="I1731" i="4"/>
  <c r="H1731" i="4"/>
  <c r="Q1730" i="4"/>
  <c r="P1730" i="4"/>
  <c r="O1730" i="4"/>
  <c r="N1730" i="4"/>
  <c r="M1730" i="4"/>
  <c r="L1730" i="4"/>
  <c r="K1730" i="4"/>
  <c r="J1730" i="4"/>
  <c r="I1730" i="4"/>
  <c r="H1730" i="4"/>
  <c r="Q1729" i="4"/>
  <c r="P1729" i="4"/>
  <c r="O1729" i="4"/>
  <c r="N1729" i="4"/>
  <c r="M1729" i="4"/>
  <c r="L1729" i="4"/>
  <c r="K1729" i="4"/>
  <c r="J1729" i="4"/>
  <c r="I1729" i="4"/>
  <c r="H1729" i="4"/>
  <c r="Q1728" i="4"/>
  <c r="P1728" i="4"/>
  <c r="O1728" i="4"/>
  <c r="N1728" i="4"/>
  <c r="M1728" i="4"/>
  <c r="L1728" i="4"/>
  <c r="K1728" i="4"/>
  <c r="J1728" i="4"/>
  <c r="I1728" i="4"/>
  <c r="H1728" i="4"/>
  <c r="Q1727" i="4"/>
  <c r="P1727" i="4"/>
  <c r="O1727" i="4"/>
  <c r="N1727" i="4"/>
  <c r="M1727" i="4"/>
  <c r="L1727" i="4"/>
  <c r="K1727" i="4"/>
  <c r="J1727" i="4"/>
  <c r="I1727" i="4"/>
  <c r="H1727" i="4"/>
  <c r="Q1726" i="4"/>
  <c r="P1726" i="4"/>
  <c r="O1726" i="4"/>
  <c r="N1726" i="4"/>
  <c r="M1726" i="4"/>
  <c r="L1726" i="4"/>
  <c r="K1726" i="4"/>
  <c r="J1726" i="4"/>
  <c r="I1726" i="4"/>
  <c r="H1726" i="4"/>
  <c r="Q1725" i="4"/>
  <c r="P1725" i="4"/>
  <c r="O1725" i="4"/>
  <c r="N1725" i="4"/>
  <c r="M1725" i="4"/>
  <c r="L1725" i="4"/>
  <c r="K1725" i="4"/>
  <c r="J1725" i="4"/>
  <c r="I1725" i="4"/>
  <c r="H1725" i="4"/>
  <c r="Q1724" i="4"/>
  <c r="P1724" i="4"/>
  <c r="O1724" i="4"/>
  <c r="N1724" i="4"/>
  <c r="M1724" i="4"/>
  <c r="L1724" i="4"/>
  <c r="K1724" i="4"/>
  <c r="J1724" i="4"/>
  <c r="I1724" i="4"/>
  <c r="H1724" i="4"/>
  <c r="Q1723" i="4"/>
  <c r="P1723" i="4"/>
  <c r="O1723" i="4"/>
  <c r="N1723" i="4"/>
  <c r="M1723" i="4"/>
  <c r="L1723" i="4"/>
  <c r="K1723" i="4"/>
  <c r="J1723" i="4"/>
  <c r="I1723" i="4"/>
  <c r="H1723" i="4"/>
  <c r="Q1722" i="4"/>
  <c r="P1722" i="4"/>
  <c r="O1722" i="4"/>
  <c r="N1722" i="4"/>
  <c r="M1722" i="4"/>
  <c r="L1722" i="4"/>
  <c r="K1722" i="4"/>
  <c r="J1722" i="4"/>
  <c r="I1722" i="4"/>
  <c r="H1722" i="4"/>
  <c r="Q1721" i="4"/>
  <c r="P1721" i="4"/>
  <c r="O1721" i="4"/>
  <c r="N1721" i="4"/>
  <c r="M1721" i="4"/>
  <c r="L1721" i="4"/>
  <c r="K1721" i="4"/>
  <c r="J1721" i="4"/>
  <c r="I1721" i="4"/>
  <c r="H1721" i="4"/>
  <c r="Q1720" i="4"/>
  <c r="P1720" i="4"/>
  <c r="O1720" i="4"/>
  <c r="N1720" i="4"/>
  <c r="M1720" i="4"/>
  <c r="L1720" i="4"/>
  <c r="K1720" i="4"/>
  <c r="J1720" i="4"/>
  <c r="I1720" i="4"/>
  <c r="H1720" i="4"/>
  <c r="Q1719" i="4"/>
  <c r="P1719" i="4"/>
  <c r="O1719" i="4"/>
  <c r="N1719" i="4"/>
  <c r="M1719" i="4"/>
  <c r="L1719" i="4"/>
  <c r="K1719" i="4"/>
  <c r="J1719" i="4"/>
  <c r="I1719" i="4"/>
  <c r="H1719" i="4"/>
  <c r="Q1718" i="4"/>
  <c r="P1718" i="4"/>
  <c r="O1718" i="4"/>
  <c r="N1718" i="4"/>
  <c r="M1718" i="4"/>
  <c r="L1718" i="4"/>
  <c r="K1718" i="4"/>
  <c r="J1718" i="4"/>
  <c r="I1718" i="4"/>
  <c r="H1718" i="4"/>
  <c r="Q1717" i="4"/>
  <c r="P1717" i="4"/>
  <c r="O1717" i="4"/>
  <c r="N1717" i="4"/>
  <c r="M1717" i="4"/>
  <c r="L1717" i="4"/>
  <c r="K1717" i="4"/>
  <c r="J1717" i="4"/>
  <c r="I1717" i="4"/>
  <c r="H1717" i="4"/>
  <c r="Q1716" i="4"/>
  <c r="P1716" i="4"/>
  <c r="O1716" i="4"/>
  <c r="N1716" i="4"/>
  <c r="M1716" i="4"/>
  <c r="L1716" i="4"/>
  <c r="K1716" i="4"/>
  <c r="J1716" i="4"/>
  <c r="I1716" i="4"/>
  <c r="H1716" i="4"/>
  <c r="Q1715" i="4"/>
  <c r="P1715" i="4"/>
  <c r="O1715" i="4"/>
  <c r="N1715" i="4"/>
  <c r="M1715" i="4"/>
  <c r="L1715" i="4"/>
  <c r="K1715" i="4"/>
  <c r="J1715" i="4"/>
  <c r="I1715" i="4"/>
  <c r="H1715" i="4"/>
  <c r="Q1714" i="4"/>
  <c r="P1714" i="4"/>
  <c r="O1714" i="4"/>
  <c r="N1714" i="4"/>
  <c r="M1714" i="4"/>
  <c r="L1714" i="4"/>
  <c r="K1714" i="4"/>
  <c r="J1714" i="4"/>
  <c r="I1714" i="4"/>
  <c r="H1714" i="4"/>
  <c r="Q1713" i="4"/>
  <c r="P1713" i="4"/>
  <c r="O1713" i="4"/>
  <c r="N1713" i="4"/>
  <c r="M1713" i="4"/>
  <c r="L1713" i="4"/>
  <c r="K1713" i="4"/>
  <c r="J1713" i="4"/>
  <c r="I1713" i="4"/>
  <c r="H1713" i="4"/>
  <c r="Q1712" i="4"/>
  <c r="P1712" i="4"/>
  <c r="O1712" i="4"/>
  <c r="N1712" i="4"/>
  <c r="M1712" i="4"/>
  <c r="L1712" i="4"/>
  <c r="K1712" i="4"/>
  <c r="J1712" i="4"/>
  <c r="I1712" i="4"/>
  <c r="H1712" i="4"/>
  <c r="Q1711" i="4"/>
  <c r="P1711" i="4"/>
  <c r="O1711" i="4"/>
  <c r="N1711" i="4"/>
  <c r="M1711" i="4"/>
  <c r="L1711" i="4"/>
  <c r="K1711" i="4"/>
  <c r="J1711" i="4"/>
  <c r="I1711" i="4"/>
  <c r="H1711" i="4"/>
  <c r="Q1710" i="4"/>
  <c r="P1710" i="4"/>
  <c r="O1710" i="4"/>
  <c r="N1710" i="4"/>
  <c r="M1710" i="4"/>
  <c r="L1710" i="4"/>
  <c r="K1710" i="4"/>
  <c r="J1710" i="4"/>
  <c r="I1710" i="4"/>
  <c r="H1710" i="4"/>
  <c r="Q1709" i="4"/>
  <c r="P1709" i="4"/>
  <c r="O1709" i="4"/>
  <c r="N1709" i="4"/>
  <c r="M1709" i="4"/>
  <c r="L1709" i="4"/>
  <c r="K1709" i="4"/>
  <c r="J1709" i="4"/>
  <c r="I1709" i="4"/>
  <c r="H1709" i="4"/>
  <c r="Q1708" i="4"/>
  <c r="P1708" i="4"/>
  <c r="O1708" i="4"/>
  <c r="N1708" i="4"/>
  <c r="M1708" i="4"/>
  <c r="L1708" i="4"/>
  <c r="K1708" i="4"/>
  <c r="J1708" i="4"/>
  <c r="I1708" i="4"/>
  <c r="H1708" i="4"/>
  <c r="Q1707" i="4"/>
  <c r="P1707" i="4"/>
  <c r="O1707" i="4"/>
  <c r="N1707" i="4"/>
  <c r="M1707" i="4"/>
  <c r="L1707" i="4"/>
  <c r="K1707" i="4"/>
  <c r="J1707" i="4"/>
  <c r="I1707" i="4"/>
  <c r="H1707" i="4"/>
  <c r="Q1706" i="4"/>
  <c r="P1706" i="4"/>
  <c r="O1706" i="4"/>
  <c r="N1706" i="4"/>
  <c r="M1706" i="4"/>
  <c r="L1706" i="4"/>
  <c r="K1706" i="4"/>
  <c r="J1706" i="4"/>
  <c r="I1706" i="4"/>
  <c r="H1706" i="4"/>
  <c r="Q1705" i="4"/>
  <c r="P1705" i="4"/>
  <c r="O1705" i="4"/>
  <c r="N1705" i="4"/>
  <c r="M1705" i="4"/>
  <c r="L1705" i="4"/>
  <c r="K1705" i="4"/>
  <c r="J1705" i="4"/>
  <c r="I1705" i="4"/>
  <c r="H1705" i="4"/>
  <c r="Q1704" i="4"/>
  <c r="P1704" i="4"/>
  <c r="O1704" i="4"/>
  <c r="N1704" i="4"/>
  <c r="M1704" i="4"/>
  <c r="L1704" i="4"/>
  <c r="K1704" i="4"/>
  <c r="J1704" i="4"/>
  <c r="I1704" i="4"/>
  <c r="H1704" i="4"/>
  <c r="Q1703" i="4"/>
  <c r="P1703" i="4"/>
  <c r="O1703" i="4"/>
  <c r="N1703" i="4"/>
  <c r="M1703" i="4"/>
  <c r="L1703" i="4"/>
  <c r="K1703" i="4"/>
  <c r="J1703" i="4"/>
  <c r="I1703" i="4"/>
  <c r="H1703" i="4"/>
  <c r="Q1702" i="4"/>
  <c r="P1702" i="4"/>
  <c r="O1702" i="4"/>
  <c r="N1702" i="4"/>
  <c r="M1702" i="4"/>
  <c r="L1702" i="4"/>
  <c r="K1702" i="4"/>
  <c r="J1702" i="4"/>
  <c r="I1702" i="4"/>
  <c r="H1702" i="4"/>
  <c r="Q1701" i="4"/>
  <c r="P1701" i="4"/>
  <c r="O1701" i="4"/>
  <c r="N1701" i="4"/>
  <c r="M1701" i="4"/>
  <c r="L1701" i="4"/>
  <c r="K1701" i="4"/>
  <c r="J1701" i="4"/>
  <c r="I1701" i="4"/>
  <c r="H1701" i="4"/>
  <c r="Q1700" i="4"/>
  <c r="P1700" i="4"/>
  <c r="O1700" i="4"/>
  <c r="N1700" i="4"/>
  <c r="M1700" i="4"/>
  <c r="L1700" i="4"/>
  <c r="K1700" i="4"/>
  <c r="J1700" i="4"/>
  <c r="I1700" i="4"/>
  <c r="H1700" i="4"/>
  <c r="Q1699" i="4"/>
  <c r="P1699" i="4"/>
  <c r="O1699" i="4"/>
  <c r="N1699" i="4"/>
  <c r="M1699" i="4"/>
  <c r="L1699" i="4"/>
  <c r="K1699" i="4"/>
  <c r="J1699" i="4"/>
  <c r="I1699" i="4"/>
  <c r="H1699" i="4"/>
  <c r="Q1698" i="4"/>
  <c r="P1698" i="4"/>
  <c r="O1698" i="4"/>
  <c r="N1698" i="4"/>
  <c r="M1698" i="4"/>
  <c r="L1698" i="4"/>
  <c r="K1698" i="4"/>
  <c r="J1698" i="4"/>
  <c r="I1698" i="4"/>
  <c r="H1698" i="4"/>
  <c r="Q1697" i="4"/>
  <c r="P1697" i="4"/>
  <c r="O1697" i="4"/>
  <c r="N1697" i="4"/>
  <c r="M1697" i="4"/>
  <c r="L1697" i="4"/>
  <c r="K1697" i="4"/>
  <c r="J1697" i="4"/>
  <c r="I1697" i="4"/>
  <c r="H1697" i="4"/>
  <c r="Q1696" i="4"/>
  <c r="P1696" i="4"/>
  <c r="O1696" i="4"/>
  <c r="N1696" i="4"/>
  <c r="M1696" i="4"/>
  <c r="L1696" i="4"/>
  <c r="K1696" i="4"/>
  <c r="J1696" i="4"/>
  <c r="I1696" i="4"/>
  <c r="H1696" i="4"/>
  <c r="Q1695" i="4"/>
  <c r="P1695" i="4"/>
  <c r="O1695" i="4"/>
  <c r="N1695" i="4"/>
  <c r="M1695" i="4"/>
  <c r="L1695" i="4"/>
  <c r="K1695" i="4"/>
  <c r="J1695" i="4"/>
  <c r="I1695" i="4"/>
  <c r="H1695" i="4"/>
  <c r="Q1694" i="4"/>
  <c r="P1694" i="4"/>
  <c r="O1694" i="4"/>
  <c r="N1694" i="4"/>
  <c r="M1694" i="4"/>
  <c r="L1694" i="4"/>
  <c r="K1694" i="4"/>
  <c r="J1694" i="4"/>
  <c r="I1694" i="4"/>
  <c r="H1694" i="4"/>
  <c r="Q1693" i="4"/>
  <c r="P1693" i="4"/>
  <c r="O1693" i="4"/>
  <c r="N1693" i="4"/>
  <c r="M1693" i="4"/>
  <c r="L1693" i="4"/>
  <c r="K1693" i="4"/>
  <c r="J1693" i="4"/>
  <c r="I1693" i="4"/>
  <c r="H1693" i="4"/>
  <c r="Q1692" i="4"/>
  <c r="P1692" i="4"/>
  <c r="O1692" i="4"/>
  <c r="N1692" i="4"/>
  <c r="M1692" i="4"/>
  <c r="L1692" i="4"/>
  <c r="K1692" i="4"/>
  <c r="J1692" i="4"/>
  <c r="I1692" i="4"/>
  <c r="H1692" i="4"/>
  <c r="Q1691" i="4"/>
  <c r="P1691" i="4"/>
  <c r="O1691" i="4"/>
  <c r="N1691" i="4"/>
  <c r="M1691" i="4"/>
  <c r="L1691" i="4"/>
  <c r="K1691" i="4"/>
  <c r="J1691" i="4"/>
  <c r="I1691" i="4"/>
  <c r="H1691" i="4"/>
  <c r="Q1690" i="4"/>
  <c r="P1690" i="4"/>
  <c r="O1690" i="4"/>
  <c r="N1690" i="4"/>
  <c r="M1690" i="4"/>
  <c r="L1690" i="4"/>
  <c r="K1690" i="4"/>
  <c r="J1690" i="4"/>
  <c r="I1690" i="4"/>
  <c r="H1690" i="4"/>
  <c r="Q1689" i="4"/>
  <c r="P1689" i="4"/>
  <c r="O1689" i="4"/>
  <c r="N1689" i="4"/>
  <c r="M1689" i="4"/>
  <c r="L1689" i="4"/>
  <c r="K1689" i="4"/>
  <c r="J1689" i="4"/>
  <c r="I1689" i="4"/>
  <c r="H1689" i="4"/>
  <c r="Q1688" i="4"/>
  <c r="P1688" i="4"/>
  <c r="O1688" i="4"/>
  <c r="N1688" i="4"/>
  <c r="M1688" i="4"/>
  <c r="L1688" i="4"/>
  <c r="K1688" i="4"/>
  <c r="J1688" i="4"/>
  <c r="I1688" i="4"/>
  <c r="H1688" i="4"/>
  <c r="Q1687" i="4"/>
  <c r="P1687" i="4"/>
  <c r="O1687" i="4"/>
  <c r="N1687" i="4"/>
  <c r="M1687" i="4"/>
  <c r="L1687" i="4"/>
  <c r="K1687" i="4"/>
  <c r="J1687" i="4"/>
  <c r="I1687" i="4"/>
  <c r="H1687" i="4"/>
  <c r="Q1686" i="4"/>
  <c r="P1686" i="4"/>
  <c r="O1686" i="4"/>
  <c r="N1686" i="4"/>
  <c r="M1686" i="4"/>
  <c r="L1686" i="4"/>
  <c r="K1686" i="4"/>
  <c r="J1686" i="4"/>
  <c r="I1686" i="4"/>
  <c r="H1686" i="4"/>
  <c r="Q1685" i="4"/>
  <c r="P1685" i="4"/>
  <c r="O1685" i="4"/>
  <c r="N1685" i="4"/>
  <c r="M1685" i="4"/>
  <c r="L1685" i="4"/>
  <c r="K1685" i="4"/>
  <c r="J1685" i="4"/>
  <c r="I1685" i="4"/>
  <c r="H1685" i="4"/>
  <c r="Q1684" i="4"/>
  <c r="P1684" i="4"/>
  <c r="O1684" i="4"/>
  <c r="N1684" i="4"/>
  <c r="M1684" i="4"/>
  <c r="L1684" i="4"/>
  <c r="K1684" i="4"/>
  <c r="J1684" i="4"/>
  <c r="I1684" i="4"/>
  <c r="H1684" i="4"/>
  <c r="Q1683" i="4"/>
  <c r="P1683" i="4"/>
  <c r="O1683" i="4"/>
  <c r="N1683" i="4"/>
  <c r="M1683" i="4"/>
  <c r="L1683" i="4"/>
  <c r="K1683" i="4"/>
  <c r="J1683" i="4"/>
  <c r="I1683" i="4"/>
  <c r="H1683" i="4"/>
  <c r="Q1682" i="4"/>
  <c r="P1682" i="4"/>
  <c r="O1682" i="4"/>
  <c r="N1682" i="4"/>
  <c r="M1682" i="4"/>
  <c r="L1682" i="4"/>
  <c r="K1682" i="4"/>
  <c r="J1682" i="4"/>
  <c r="I1682" i="4"/>
  <c r="H1682" i="4"/>
  <c r="Q1681" i="4"/>
  <c r="P1681" i="4"/>
  <c r="O1681" i="4"/>
  <c r="N1681" i="4"/>
  <c r="M1681" i="4"/>
  <c r="L1681" i="4"/>
  <c r="K1681" i="4"/>
  <c r="J1681" i="4"/>
  <c r="I1681" i="4"/>
  <c r="H1681" i="4"/>
  <c r="Q1680" i="4"/>
  <c r="P1680" i="4"/>
  <c r="O1680" i="4"/>
  <c r="N1680" i="4"/>
  <c r="M1680" i="4"/>
  <c r="L1680" i="4"/>
  <c r="K1680" i="4"/>
  <c r="J1680" i="4"/>
  <c r="I1680" i="4"/>
  <c r="H1680" i="4"/>
  <c r="Q1679" i="4"/>
  <c r="P1679" i="4"/>
  <c r="O1679" i="4"/>
  <c r="N1679" i="4"/>
  <c r="M1679" i="4"/>
  <c r="L1679" i="4"/>
  <c r="K1679" i="4"/>
  <c r="J1679" i="4"/>
  <c r="I1679" i="4"/>
  <c r="H1679" i="4"/>
  <c r="Q1678" i="4"/>
  <c r="P1678" i="4"/>
  <c r="O1678" i="4"/>
  <c r="N1678" i="4"/>
  <c r="M1678" i="4"/>
  <c r="L1678" i="4"/>
  <c r="K1678" i="4"/>
  <c r="J1678" i="4"/>
  <c r="I1678" i="4"/>
  <c r="H1678" i="4"/>
  <c r="Q1677" i="4"/>
  <c r="P1677" i="4"/>
  <c r="O1677" i="4"/>
  <c r="N1677" i="4"/>
  <c r="M1677" i="4"/>
  <c r="L1677" i="4"/>
  <c r="K1677" i="4"/>
  <c r="J1677" i="4"/>
  <c r="I1677" i="4"/>
  <c r="H1677" i="4"/>
  <c r="Q1676" i="4"/>
  <c r="P1676" i="4"/>
  <c r="O1676" i="4"/>
  <c r="N1676" i="4"/>
  <c r="M1676" i="4"/>
  <c r="L1676" i="4"/>
  <c r="K1676" i="4"/>
  <c r="J1676" i="4"/>
  <c r="I1676" i="4"/>
  <c r="H1676" i="4"/>
  <c r="Q1675" i="4"/>
  <c r="P1675" i="4"/>
  <c r="O1675" i="4"/>
  <c r="N1675" i="4"/>
  <c r="M1675" i="4"/>
  <c r="L1675" i="4"/>
  <c r="K1675" i="4"/>
  <c r="J1675" i="4"/>
  <c r="I1675" i="4"/>
  <c r="H1675" i="4"/>
  <c r="Q1674" i="4"/>
  <c r="P1674" i="4"/>
  <c r="O1674" i="4"/>
  <c r="N1674" i="4"/>
  <c r="M1674" i="4"/>
  <c r="L1674" i="4"/>
  <c r="K1674" i="4"/>
  <c r="J1674" i="4"/>
  <c r="I1674" i="4"/>
  <c r="H1674" i="4"/>
  <c r="Q1673" i="4"/>
  <c r="P1673" i="4"/>
  <c r="O1673" i="4"/>
  <c r="N1673" i="4"/>
  <c r="M1673" i="4"/>
  <c r="L1673" i="4"/>
  <c r="K1673" i="4"/>
  <c r="J1673" i="4"/>
  <c r="I1673" i="4"/>
  <c r="H1673" i="4"/>
  <c r="Q1672" i="4"/>
  <c r="P1672" i="4"/>
  <c r="O1672" i="4"/>
  <c r="N1672" i="4"/>
  <c r="M1672" i="4"/>
  <c r="L1672" i="4"/>
  <c r="K1672" i="4"/>
  <c r="J1672" i="4"/>
  <c r="I1672" i="4"/>
  <c r="H1672" i="4"/>
  <c r="Q1671" i="4"/>
  <c r="P1671" i="4"/>
  <c r="O1671" i="4"/>
  <c r="N1671" i="4"/>
  <c r="M1671" i="4"/>
  <c r="L1671" i="4"/>
  <c r="K1671" i="4"/>
  <c r="J1671" i="4"/>
  <c r="I1671" i="4"/>
  <c r="H1671" i="4"/>
  <c r="Q1670" i="4"/>
  <c r="P1670" i="4"/>
  <c r="O1670" i="4"/>
  <c r="N1670" i="4"/>
  <c r="M1670" i="4"/>
  <c r="L1670" i="4"/>
  <c r="K1670" i="4"/>
  <c r="J1670" i="4"/>
  <c r="I1670" i="4"/>
  <c r="H1670" i="4"/>
  <c r="Q1669" i="4"/>
  <c r="P1669" i="4"/>
  <c r="O1669" i="4"/>
  <c r="N1669" i="4"/>
  <c r="M1669" i="4"/>
  <c r="L1669" i="4"/>
  <c r="K1669" i="4"/>
  <c r="J1669" i="4"/>
  <c r="I1669" i="4"/>
  <c r="H1669" i="4"/>
  <c r="Q1668" i="4"/>
  <c r="P1668" i="4"/>
  <c r="O1668" i="4"/>
  <c r="N1668" i="4"/>
  <c r="M1668" i="4"/>
  <c r="L1668" i="4"/>
  <c r="K1668" i="4"/>
  <c r="J1668" i="4"/>
  <c r="I1668" i="4"/>
  <c r="H1668" i="4"/>
  <c r="Q1667" i="4"/>
  <c r="P1667" i="4"/>
  <c r="O1667" i="4"/>
  <c r="N1667" i="4"/>
  <c r="M1667" i="4"/>
  <c r="L1667" i="4"/>
  <c r="K1667" i="4"/>
  <c r="J1667" i="4"/>
  <c r="I1667" i="4"/>
  <c r="H1667" i="4"/>
  <c r="Q1666" i="4"/>
  <c r="P1666" i="4"/>
  <c r="O1666" i="4"/>
  <c r="N1666" i="4"/>
  <c r="M1666" i="4"/>
  <c r="L1666" i="4"/>
  <c r="K1666" i="4"/>
  <c r="J1666" i="4"/>
  <c r="I1666" i="4"/>
  <c r="H1666" i="4"/>
  <c r="Q1665" i="4"/>
  <c r="P1665" i="4"/>
  <c r="O1665" i="4"/>
  <c r="N1665" i="4"/>
  <c r="M1665" i="4"/>
  <c r="L1665" i="4"/>
  <c r="K1665" i="4"/>
  <c r="J1665" i="4"/>
  <c r="I1665" i="4"/>
  <c r="H1665" i="4"/>
  <c r="Q1664" i="4"/>
  <c r="P1664" i="4"/>
  <c r="O1664" i="4"/>
  <c r="N1664" i="4"/>
  <c r="M1664" i="4"/>
  <c r="L1664" i="4"/>
  <c r="K1664" i="4"/>
  <c r="J1664" i="4"/>
  <c r="I1664" i="4"/>
  <c r="H1664" i="4"/>
  <c r="Q1663" i="4"/>
  <c r="P1663" i="4"/>
  <c r="O1663" i="4"/>
  <c r="N1663" i="4"/>
  <c r="M1663" i="4"/>
  <c r="L1663" i="4"/>
  <c r="K1663" i="4"/>
  <c r="J1663" i="4"/>
  <c r="I1663" i="4"/>
  <c r="H1663" i="4"/>
  <c r="Q1662" i="4"/>
  <c r="P1662" i="4"/>
  <c r="O1662" i="4"/>
  <c r="N1662" i="4"/>
  <c r="M1662" i="4"/>
  <c r="L1662" i="4"/>
  <c r="K1662" i="4"/>
  <c r="J1662" i="4"/>
  <c r="I1662" i="4"/>
  <c r="H1662" i="4"/>
  <c r="Q1661" i="4"/>
  <c r="P1661" i="4"/>
  <c r="O1661" i="4"/>
  <c r="N1661" i="4"/>
  <c r="M1661" i="4"/>
  <c r="L1661" i="4"/>
  <c r="K1661" i="4"/>
  <c r="J1661" i="4"/>
  <c r="I1661" i="4"/>
  <c r="H1661" i="4"/>
  <c r="Q1660" i="4"/>
  <c r="P1660" i="4"/>
  <c r="O1660" i="4"/>
  <c r="N1660" i="4"/>
  <c r="M1660" i="4"/>
  <c r="L1660" i="4"/>
  <c r="K1660" i="4"/>
  <c r="J1660" i="4"/>
  <c r="I1660" i="4"/>
  <c r="H1660" i="4"/>
  <c r="Q1659" i="4"/>
  <c r="P1659" i="4"/>
  <c r="O1659" i="4"/>
  <c r="N1659" i="4"/>
  <c r="M1659" i="4"/>
  <c r="L1659" i="4"/>
  <c r="K1659" i="4"/>
  <c r="J1659" i="4"/>
  <c r="I1659" i="4"/>
  <c r="H1659" i="4"/>
  <c r="Q1658" i="4"/>
  <c r="P1658" i="4"/>
  <c r="O1658" i="4"/>
  <c r="N1658" i="4"/>
  <c r="M1658" i="4"/>
  <c r="L1658" i="4"/>
  <c r="K1658" i="4"/>
  <c r="J1658" i="4"/>
  <c r="I1658" i="4"/>
  <c r="H1658" i="4"/>
  <c r="Q1657" i="4"/>
  <c r="P1657" i="4"/>
  <c r="O1657" i="4"/>
  <c r="N1657" i="4"/>
  <c r="M1657" i="4"/>
  <c r="L1657" i="4"/>
  <c r="K1657" i="4"/>
  <c r="J1657" i="4"/>
  <c r="I1657" i="4"/>
  <c r="H1657" i="4"/>
  <c r="Q1656" i="4"/>
  <c r="P1656" i="4"/>
  <c r="O1656" i="4"/>
  <c r="N1656" i="4"/>
  <c r="M1656" i="4"/>
  <c r="L1656" i="4"/>
  <c r="K1656" i="4"/>
  <c r="J1656" i="4"/>
  <c r="I1656" i="4"/>
  <c r="H1656" i="4"/>
  <c r="Q1655" i="4"/>
  <c r="P1655" i="4"/>
  <c r="O1655" i="4"/>
  <c r="N1655" i="4"/>
  <c r="M1655" i="4"/>
  <c r="L1655" i="4"/>
  <c r="K1655" i="4"/>
  <c r="J1655" i="4"/>
  <c r="I1655" i="4"/>
  <c r="H1655" i="4"/>
  <c r="Q1654" i="4"/>
  <c r="P1654" i="4"/>
  <c r="O1654" i="4"/>
  <c r="N1654" i="4"/>
  <c r="M1654" i="4"/>
  <c r="L1654" i="4"/>
  <c r="K1654" i="4"/>
  <c r="J1654" i="4"/>
  <c r="I1654" i="4"/>
  <c r="H1654" i="4"/>
  <c r="Q1653" i="4"/>
  <c r="P1653" i="4"/>
  <c r="O1653" i="4"/>
  <c r="N1653" i="4"/>
  <c r="M1653" i="4"/>
  <c r="L1653" i="4"/>
  <c r="K1653" i="4"/>
  <c r="J1653" i="4"/>
  <c r="I1653" i="4"/>
  <c r="H1653" i="4"/>
  <c r="Q1652" i="4"/>
  <c r="P1652" i="4"/>
  <c r="O1652" i="4"/>
  <c r="N1652" i="4"/>
  <c r="M1652" i="4"/>
  <c r="L1652" i="4"/>
  <c r="K1652" i="4"/>
  <c r="J1652" i="4"/>
  <c r="I1652" i="4"/>
  <c r="H1652" i="4"/>
  <c r="Q1651" i="4"/>
  <c r="P1651" i="4"/>
  <c r="O1651" i="4"/>
  <c r="N1651" i="4"/>
  <c r="M1651" i="4"/>
  <c r="L1651" i="4"/>
  <c r="K1651" i="4"/>
  <c r="J1651" i="4"/>
  <c r="I1651" i="4"/>
  <c r="H1651" i="4"/>
  <c r="Q1650" i="4"/>
  <c r="P1650" i="4"/>
  <c r="O1650" i="4"/>
  <c r="N1650" i="4"/>
  <c r="M1650" i="4"/>
  <c r="L1650" i="4"/>
  <c r="K1650" i="4"/>
  <c r="J1650" i="4"/>
  <c r="I1650" i="4"/>
  <c r="H1650" i="4"/>
  <c r="Q1649" i="4"/>
  <c r="P1649" i="4"/>
  <c r="O1649" i="4"/>
  <c r="N1649" i="4"/>
  <c r="M1649" i="4"/>
  <c r="L1649" i="4"/>
  <c r="K1649" i="4"/>
  <c r="J1649" i="4"/>
  <c r="I1649" i="4"/>
  <c r="H1649" i="4"/>
  <c r="Q1648" i="4"/>
  <c r="P1648" i="4"/>
  <c r="O1648" i="4"/>
  <c r="N1648" i="4"/>
  <c r="M1648" i="4"/>
  <c r="L1648" i="4"/>
  <c r="K1648" i="4"/>
  <c r="J1648" i="4"/>
  <c r="I1648" i="4"/>
  <c r="H1648" i="4"/>
  <c r="Q1647" i="4"/>
  <c r="P1647" i="4"/>
  <c r="O1647" i="4"/>
  <c r="N1647" i="4"/>
  <c r="M1647" i="4"/>
  <c r="L1647" i="4"/>
  <c r="K1647" i="4"/>
  <c r="J1647" i="4"/>
  <c r="I1647" i="4"/>
  <c r="H1647" i="4"/>
  <c r="Q1646" i="4"/>
  <c r="P1646" i="4"/>
  <c r="O1646" i="4"/>
  <c r="N1646" i="4"/>
  <c r="M1646" i="4"/>
  <c r="L1646" i="4"/>
  <c r="K1646" i="4"/>
  <c r="J1646" i="4"/>
  <c r="I1646" i="4"/>
  <c r="H1646" i="4"/>
  <c r="Q1645" i="4"/>
  <c r="P1645" i="4"/>
  <c r="O1645" i="4"/>
  <c r="N1645" i="4"/>
  <c r="M1645" i="4"/>
  <c r="L1645" i="4"/>
  <c r="K1645" i="4"/>
  <c r="J1645" i="4"/>
  <c r="I1645" i="4"/>
  <c r="H1645" i="4"/>
  <c r="Q1644" i="4"/>
  <c r="P1644" i="4"/>
  <c r="O1644" i="4"/>
  <c r="N1644" i="4"/>
  <c r="M1644" i="4"/>
  <c r="L1644" i="4"/>
  <c r="K1644" i="4"/>
  <c r="J1644" i="4"/>
  <c r="I1644" i="4"/>
  <c r="H1644" i="4"/>
  <c r="Q1643" i="4"/>
  <c r="P1643" i="4"/>
  <c r="O1643" i="4"/>
  <c r="N1643" i="4"/>
  <c r="M1643" i="4"/>
  <c r="L1643" i="4"/>
  <c r="K1643" i="4"/>
  <c r="J1643" i="4"/>
  <c r="I1643" i="4"/>
  <c r="H1643" i="4"/>
  <c r="Q1642" i="4"/>
  <c r="P1642" i="4"/>
  <c r="O1642" i="4"/>
  <c r="N1642" i="4"/>
  <c r="M1642" i="4"/>
  <c r="L1642" i="4"/>
  <c r="K1642" i="4"/>
  <c r="J1642" i="4"/>
  <c r="I1642" i="4"/>
  <c r="H1642" i="4"/>
  <c r="Q1641" i="4"/>
  <c r="P1641" i="4"/>
  <c r="O1641" i="4"/>
  <c r="N1641" i="4"/>
  <c r="M1641" i="4"/>
  <c r="L1641" i="4"/>
  <c r="K1641" i="4"/>
  <c r="J1641" i="4"/>
  <c r="I1641" i="4"/>
  <c r="H1641" i="4"/>
  <c r="Q1640" i="4"/>
  <c r="P1640" i="4"/>
  <c r="O1640" i="4"/>
  <c r="N1640" i="4"/>
  <c r="M1640" i="4"/>
  <c r="L1640" i="4"/>
  <c r="K1640" i="4"/>
  <c r="J1640" i="4"/>
  <c r="I1640" i="4"/>
  <c r="H1640" i="4"/>
  <c r="Q1639" i="4"/>
  <c r="P1639" i="4"/>
  <c r="O1639" i="4"/>
  <c r="N1639" i="4"/>
  <c r="M1639" i="4"/>
  <c r="L1639" i="4"/>
  <c r="K1639" i="4"/>
  <c r="J1639" i="4"/>
  <c r="I1639" i="4"/>
  <c r="H1639" i="4"/>
  <c r="Q1638" i="4"/>
  <c r="P1638" i="4"/>
  <c r="O1638" i="4"/>
  <c r="N1638" i="4"/>
  <c r="M1638" i="4"/>
  <c r="L1638" i="4"/>
  <c r="K1638" i="4"/>
  <c r="J1638" i="4"/>
  <c r="I1638" i="4"/>
  <c r="H1638" i="4"/>
  <c r="Q1637" i="4"/>
  <c r="P1637" i="4"/>
  <c r="O1637" i="4"/>
  <c r="N1637" i="4"/>
  <c r="M1637" i="4"/>
  <c r="L1637" i="4"/>
  <c r="K1637" i="4"/>
  <c r="J1637" i="4"/>
  <c r="I1637" i="4"/>
  <c r="H1637" i="4"/>
  <c r="Q1636" i="4"/>
  <c r="P1636" i="4"/>
  <c r="O1636" i="4"/>
  <c r="N1636" i="4"/>
  <c r="M1636" i="4"/>
  <c r="L1636" i="4"/>
  <c r="K1636" i="4"/>
  <c r="J1636" i="4"/>
  <c r="I1636" i="4"/>
  <c r="H1636" i="4"/>
  <c r="Q1635" i="4"/>
  <c r="P1635" i="4"/>
  <c r="O1635" i="4"/>
  <c r="N1635" i="4"/>
  <c r="M1635" i="4"/>
  <c r="L1635" i="4"/>
  <c r="K1635" i="4"/>
  <c r="J1635" i="4"/>
  <c r="I1635" i="4"/>
  <c r="H1635" i="4"/>
  <c r="Q1634" i="4"/>
  <c r="P1634" i="4"/>
  <c r="O1634" i="4"/>
  <c r="N1634" i="4"/>
  <c r="M1634" i="4"/>
  <c r="L1634" i="4"/>
  <c r="K1634" i="4"/>
  <c r="J1634" i="4"/>
  <c r="I1634" i="4"/>
  <c r="H1634" i="4"/>
  <c r="Q1633" i="4"/>
  <c r="P1633" i="4"/>
  <c r="O1633" i="4"/>
  <c r="N1633" i="4"/>
  <c r="M1633" i="4"/>
  <c r="L1633" i="4"/>
  <c r="K1633" i="4"/>
  <c r="J1633" i="4"/>
  <c r="I1633" i="4"/>
  <c r="H1633" i="4"/>
  <c r="Q1632" i="4"/>
  <c r="P1632" i="4"/>
  <c r="O1632" i="4"/>
  <c r="N1632" i="4"/>
  <c r="M1632" i="4"/>
  <c r="L1632" i="4"/>
  <c r="K1632" i="4"/>
  <c r="J1632" i="4"/>
  <c r="I1632" i="4"/>
  <c r="H1632" i="4"/>
  <c r="Q1631" i="4"/>
  <c r="P1631" i="4"/>
  <c r="O1631" i="4"/>
  <c r="N1631" i="4"/>
  <c r="M1631" i="4"/>
  <c r="L1631" i="4"/>
  <c r="K1631" i="4"/>
  <c r="J1631" i="4"/>
  <c r="I1631" i="4"/>
  <c r="H1631" i="4"/>
  <c r="Q1630" i="4"/>
  <c r="P1630" i="4"/>
  <c r="O1630" i="4"/>
  <c r="N1630" i="4"/>
  <c r="M1630" i="4"/>
  <c r="L1630" i="4"/>
  <c r="K1630" i="4"/>
  <c r="J1630" i="4"/>
  <c r="I1630" i="4"/>
  <c r="H1630" i="4"/>
  <c r="Q1629" i="4"/>
  <c r="P1629" i="4"/>
  <c r="O1629" i="4"/>
  <c r="N1629" i="4"/>
  <c r="M1629" i="4"/>
  <c r="L1629" i="4"/>
  <c r="K1629" i="4"/>
  <c r="J1629" i="4"/>
  <c r="I1629" i="4"/>
  <c r="H1629" i="4"/>
  <c r="Q1628" i="4"/>
  <c r="P1628" i="4"/>
  <c r="O1628" i="4"/>
  <c r="N1628" i="4"/>
  <c r="M1628" i="4"/>
  <c r="L1628" i="4"/>
  <c r="K1628" i="4"/>
  <c r="J1628" i="4"/>
  <c r="I1628" i="4"/>
  <c r="H1628" i="4"/>
  <c r="Q1627" i="4"/>
  <c r="P1627" i="4"/>
  <c r="O1627" i="4"/>
  <c r="N1627" i="4"/>
  <c r="M1627" i="4"/>
  <c r="L1627" i="4"/>
  <c r="K1627" i="4"/>
  <c r="J1627" i="4"/>
  <c r="I1627" i="4"/>
  <c r="H1627" i="4"/>
  <c r="Q1626" i="4"/>
  <c r="P1626" i="4"/>
  <c r="O1626" i="4"/>
  <c r="N1626" i="4"/>
  <c r="M1626" i="4"/>
  <c r="L1626" i="4"/>
  <c r="K1626" i="4"/>
  <c r="J1626" i="4"/>
  <c r="I1626" i="4"/>
  <c r="H1626" i="4"/>
  <c r="Q1625" i="4"/>
  <c r="P1625" i="4"/>
  <c r="O1625" i="4"/>
  <c r="N1625" i="4"/>
  <c r="M1625" i="4"/>
  <c r="L1625" i="4"/>
  <c r="K1625" i="4"/>
  <c r="J1625" i="4"/>
  <c r="I1625" i="4"/>
  <c r="H1625" i="4"/>
  <c r="Q1624" i="4"/>
  <c r="P1624" i="4"/>
  <c r="O1624" i="4"/>
  <c r="N1624" i="4"/>
  <c r="M1624" i="4"/>
  <c r="L1624" i="4"/>
  <c r="K1624" i="4"/>
  <c r="J1624" i="4"/>
  <c r="I1624" i="4"/>
  <c r="H1624" i="4"/>
  <c r="Q1623" i="4"/>
  <c r="P1623" i="4"/>
  <c r="O1623" i="4"/>
  <c r="N1623" i="4"/>
  <c r="M1623" i="4"/>
  <c r="L1623" i="4"/>
  <c r="K1623" i="4"/>
  <c r="J1623" i="4"/>
  <c r="I1623" i="4"/>
  <c r="H1623" i="4"/>
  <c r="Q1622" i="4"/>
  <c r="P1622" i="4"/>
  <c r="O1622" i="4"/>
  <c r="N1622" i="4"/>
  <c r="M1622" i="4"/>
  <c r="L1622" i="4"/>
  <c r="K1622" i="4"/>
  <c r="J1622" i="4"/>
  <c r="I1622" i="4"/>
  <c r="H1622" i="4"/>
  <c r="Q1621" i="4"/>
  <c r="P1621" i="4"/>
  <c r="O1621" i="4"/>
  <c r="N1621" i="4"/>
  <c r="M1621" i="4"/>
  <c r="L1621" i="4"/>
  <c r="K1621" i="4"/>
  <c r="J1621" i="4"/>
  <c r="I1621" i="4"/>
  <c r="H1621" i="4"/>
  <c r="Q1620" i="4"/>
  <c r="P1620" i="4"/>
  <c r="O1620" i="4"/>
  <c r="N1620" i="4"/>
  <c r="M1620" i="4"/>
  <c r="L1620" i="4"/>
  <c r="K1620" i="4"/>
  <c r="J1620" i="4"/>
  <c r="I1620" i="4"/>
  <c r="H1620" i="4"/>
  <c r="Q1619" i="4"/>
  <c r="P1619" i="4"/>
  <c r="O1619" i="4"/>
  <c r="N1619" i="4"/>
  <c r="M1619" i="4"/>
  <c r="L1619" i="4"/>
  <c r="K1619" i="4"/>
  <c r="J1619" i="4"/>
  <c r="I1619" i="4"/>
  <c r="H1619" i="4"/>
  <c r="Q1618" i="4"/>
  <c r="P1618" i="4"/>
  <c r="O1618" i="4"/>
  <c r="N1618" i="4"/>
  <c r="M1618" i="4"/>
  <c r="L1618" i="4"/>
  <c r="K1618" i="4"/>
  <c r="J1618" i="4"/>
  <c r="I1618" i="4"/>
  <c r="H1618" i="4"/>
  <c r="Q1617" i="4"/>
  <c r="P1617" i="4"/>
  <c r="O1617" i="4"/>
  <c r="N1617" i="4"/>
  <c r="M1617" i="4"/>
  <c r="L1617" i="4"/>
  <c r="K1617" i="4"/>
  <c r="J1617" i="4"/>
  <c r="I1617" i="4"/>
  <c r="H1617" i="4"/>
  <c r="Q1616" i="4"/>
  <c r="P1616" i="4"/>
  <c r="O1616" i="4"/>
  <c r="N1616" i="4"/>
  <c r="M1616" i="4"/>
  <c r="L1616" i="4"/>
  <c r="K1616" i="4"/>
  <c r="J1616" i="4"/>
  <c r="I1616" i="4"/>
  <c r="H1616" i="4"/>
  <c r="Q1615" i="4"/>
  <c r="P1615" i="4"/>
  <c r="O1615" i="4"/>
  <c r="N1615" i="4"/>
  <c r="M1615" i="4"/>
  <c r="L1615" i="4"/>
  <c r="K1615" i="4"/>
  <c r="J1615" i="4"/>
  <c r="I1615" i="4"/>
  <c r="H1615" i="4"/>
  <c r="Q1614" i="4"/>
  <c r="P1614" i="4"/>
  <c r="O1614" i="4"/>
  <c r="N1614" i="4"/>
  <c r="M1614" i="4"/>
  <c r="L1614" i="4"/>
  <c r="K1614" i="4"/>
  <c r="J1614" i="4"/>
  <c r="I1614" i="4"/>
  <c r="H1614" i="4"/>
  <c r="Q1613" i="4"/>
  <c r="P1613" i="4"/>
  <c r="O1613" i="4"/>
  <c r="N1613" i="4"/>
  <c r="M1613" i="4"/>
  <c r="L1613" i="4"/>
  <c r="K1613" i="4"/>
  <c r="J1613" i="4"/>
  <c r="I1613" i="4"/>
  <c r="H1613" i="4"/>
  <c r="Q1612" i="4"/>
  <c r="P1612" i="4"/>
  <c r="O1612" i="4"/>
  <c r="N1612" i="4"/>
  <c r="M1612" i="4"/>
  <c r="L1612" i="4"/>
  <c r="K1612" i="4"/>
  <c r="J1612" i="4"/>
  <c r="I1612" i="4"/>
  <c r="H1612" i="4"/>
  <c r="Q1611" i="4"/>
  <c r="P1611" i="4"/>
  <c r="O1611" i="4"/>
  <c r="N1611" i="4"/>
  <c r="M1611" i="4"/>
  <c r="L1611" i="4"/>
  <c r="K1611" i="4"/>
  <c r="J1611" i="4"/>
  <c r="I1611" i="4"/>
  <c r="H1611" i="4"/>
  <c r="Q1610" i="4"/>
  <c r="P1610" i="4"/>
  <c r="O1610" i="4"/>
  <c r="N1610" i="4"/>
  <c r="M1610" i="4"/>
  <c r="L1610" i="4"/>
  <c r="K1610" i="4"/>
  <c r="J1610" i="4"/>
  <c r="I1610" i="4"/>
  <c r="H1610" i="4"/>
  <c r="Q1609" i="4"/>
  <c r="P1609" i="4"/>
  <c r="O1609" i="4"/>
  <c r="N1609" i="4"/>
  <c r="M1609" i="4"/>
  <c r="L1609" i="4"/>
  <c r="K1609" i="4"/>
  <c r="J1609" i="4"/>
  <c r="I1609" i="4"/>
  <c r="H1609" i="4"/>
  <c r="Q1608" i="4"/>
  <c r="P1608" i="4"/>
  <c r="O1608" i="4"/>
  <c r="N1608" i="4"/>
  <c r="M1608" i="4"/>
  <c r="L1608" i="4"/>
  <c r="K1608" i="4"/>
  <c r="J1608" i="4"/>
  <c r="I1608" i="4"/>
  <c r="H1608" i="4"/>
  <c r="Q1607" i="4"/>
  <c r="P1607" i="4"/>
  <c r="O1607" i="4"/>
  <c r="N1607" i="4"/>
  <c r="M1607" i="4"/>
  <c r="L1607" i="4"/>
  <c r="K1607" i="4"/>
  <c r="J1607" i="4"/>
  <c r="I1607" i="4"/>
  <c r="H1607" i="4"/>
  <c r="Q1606" i="4"/>
  <c r="P1606" i="4"/>
  <c r="O1606" i="4"/>
  <c r="N1606" i="4"/>
  <c r="M1606" i="4"/>
  <c r="L1606" i="4"/>
  <c r="K1606" i="4"/>
  <c r="J1606" i="4"/>
  <c r="I1606" i="4"/>
  <c r="H1606" i="4"/>
  <c r="Q1605" i="4"/>
  <c r="P1605" i="4"/>
  <c r="O1605" i="4"/>
  <c r="N1605" i="4"/>
  <c r="M1605" i="4"/>
  <c r="L1605" i="4"/>
  <c r="K1605" i="4"/>
  <c r="J1605" i="4"/>
  <c r="I1605" i="4"/>
  <c r="H1605" i="4"/>
  <c r="Q1604" i="4"/>
  <c r="P1604" i="4"/>
  <c r="O1604" i="4"/>
  <c r="N1604" i="4"/>
  <c r="M1604" i="4"/>
  <c r="L1604" i="4"/>
  <c r="K1604" i="4"/>
  <c r="J1604" i="4"/>
  <c r="I1604" i="4"/>
  <c r="H1604" i="4"/>
  <c r="Q1603" i="4"/>
  <c r="P1603" i="4"/>
  <c r="O1603" i="4"/>
  <c r="N1603" i="4"/>
  <c r="M1603" i="4"/>
  <c r="L1603" i="4"/>
  <c r="K1603" i="4"/>
  <c r="J1603" i="4"/>
  <c r="I1603" i="4"/>
  <c r="H1603" i="4"/>
  <c r="Q1602" i="4"/>
  <c r="P1602" i="4"/>
  <c r="O1602" i="4"/>
  <c r="N1602" i="4"/>
  <c r="M1602" i="4"/>
  <c r="L1602" i="4"/>
  <c r="K1602" i="4"/>
  <c r="J1602" i="4"/>
  <c r="I1602" i="4"/>
  <c r="H1602" i="4"/>
  <c r="Q1601" i="4"/>
  <c r="P1601" i="4"/>
  <c r="O1601" i="4"/>
  <c r="N1601" i="4"/>
  <c r="M1601" i="4"/>
  <c r="L1601" i="4"/>
  <c r="K1601" i="4"/>
  <c r="J1601" i="4"/>
  <c r="I1601" i="4"/>
  <c r="H1601" i="4"/>
  <c r="Q1600" i="4"/>
  <c r="P1600" i="4"/>
  <c r="O1600" i="4"/>
  <c r="N1600" i="4"/>
  <c r="M1600" i="4"/>
  <c r="L1600" i="4"/>
  <c r="K1600" i="4"/>
  <c r="J1600" i="4"/>
  <c r="I1600" i="4"/>
  <c r="H1600" i="4"/>
  <c r="Q1599" i="4"/>
  <c r="P1599" i="4"/>
  <c r="O1599" i="4"/>
  <c r="N1599" i="4"/>
  <c r="M1599" i="4"/>
  <c r="L1599" i="4"/>
  <c r="K1599" i="4"/>
  <c r="J1599" i="4"/>
  <c r="I1599" i="4"/>
  <c r="H1599" i="4"/>
  <c r="Q1598" i="4"/>
  <c r="P1598" i="4"/>
  <c r="O1598" i="4"/>
  <c r="N1598" i="4"/>
  <c r="M1598" i="4"/>
  <c r="L1598" i="4"/>
  <c r="K1598" i="4"/>
  <c r="J1598" i="4"/>
  <c r="I1598" i="4"/>
  <c r="H1598" i="4"/>
  <c r="Q1597" i="4"/>
  <c r="P1597" i="4"/>
  <c r="O1597" i="4"/>
  <c r="N1597" i="4"/>
  <c r="M1597" i="4"/>
  <c r="L1597" i="4"/>
  <c r="K1597" i="4"/>
  <c r="J1597" i="4"/>
  <c r="I1597" i="4"/>
  <c r="H1597" i="4"/>
  <c r="Q1596" i="4"/>
  <c r="P1596" i="4"/>
  <c r="O1596" i="4"/>
  <c r="N1596" i="4"/>
  <c r="M1596" i="4"/>
  <c r="L1596" i="4"/>
  <c r="K1596" i="4"/>
  <c r="J1596" i="4"/>
  <c r="I1596" i="4"/>
  <c r="H1596" i="4"/>
  <c r="Q1595" i="4"/>
  <c r="P1595" i="4"/>
  <c r="O1595" i="4"/>
  <c r="N1595" i="4"/>
  <c r="M1595" i="4"/>
  <c r="L1595" i="4"/>
  <c r="K1595" i="4"/>
  <c r="J1595" i="4"/>
  <c r="I1595" i="4"/>
  <c r="H1595" i="4"/>
  <c r="Q1594" i="4"/>
  <c r="P1594" i="4"/>
  <c r="O1594" i="4"/>
  <c r="N1594" i="4"/>
  <c r="M1594" i="4"/>
  <c r="L1594" i="4"/>
  <c r="K1594" i="4"/>
  <c r="J1594" i="4"/>
  <c r="I1594" i="4"/>
  <c r="H1594" i="4"/>
  <c r="Q1593" i="4"/>
  <c r="P1593" i="4"/>
  <c r="O1593" i="4"/>
  <c r="N1593" i="4"/>
  <c r="M1593" i="4"/>
  <c r="L1593" i="4"/>
  <c r="K1593" i="4"/>
  <c r="J1593" i="4"/>
  <c r="I1593" i="4"/>
  <c r="H1593" i="4"/>
  <c r="Q1592" i="4"/>
  <c r="P1592" i="4"/>
  <c r="O1592" i="4"/>
  <c r="N1592" i="4"/>
  <c r="M1592" i="4"/>
  <c r="L1592" i="4"/>
  <c r="K1592" i="4"/>
  <c r="J1592" i="4"/>
  <c r="I1592" i="4"/>
  <c r="H1592" i="4"/>
  <c r="Q1591" i="4"/>
  <c r="P1591" i="4"/>
  <c r="O1591" i="4"/>
  <c r="N1591" i="4"/>
  <c r="M1591" i="4"/>
  <c r="L1591" i="4"/>
  <c r="K1591" i="4"/>
  <c r="J1591" i="4"/>
  <c r="I1591" i="4"/>
  <c r="H1591" i="4"/>
  <c r="Q1590" i="4"/>
  <c r="P1590" i="4"/>
  <c r="O1590" i="4"/>
  <c r="N1590" i="4"/>
  <c r="M1590" i="4"/>
  <c r="L1590" i="4"/>
  <c r="K1590" i="4"/>
  <c r="J1590" i="4"/>
  <c r="I1590" i="4"/>
  <c r="H1590" i="4"/>
  <c r="Q1589" i="4"/>
  <c r="P1589" i="4"/>
  <c r="O1589" i="4"/>
  <c r="N1589" i="4"/>
  <c r="M1589" i="4"/>
  <c r="L1589" i="4"/>
  <c r="K1589" i="4"/>
  <c r="J1589" i="4"/>
  <c r="I1589" i="4"/>
  <c r="H1589" i="4"/>
  <c r="Q1588" i="4"/>
  <c r="P1588" i="4"/>
  <c r="O1588" i="4"/>
  <c r="N1588" i="4"/>
  <c r="M1588" i="4"/>
  <c r="L1588" i="4"/>
  <c r="K1588" i="4"/>
  <c r="J1588" i="4"/>
  <c r="I1588" i="4"/>
  <c r="H1588" i="4"/>
  <c r="Q1587" i="4"/>
  <c r="P1587" i="4"/>
  <c r="O1587" i="4"/>
  <c r="N1587" i="4"/>
  <c r="M1587" i="4"/>
  <c r="L1587" i="4"/>
  <c r="K1587" i="4"/>
  <c r="J1587" i="4"/>
  <c r="I1587" i="4"/>
  <c r="H1587" i="4"/>
  <c r="Q1586" i="4"/>
  <c r="P1586" i="4"/>
  <c r="O1586" i="4"/>
  <c r="N1586" i="4"/>
  <c r="M1586" i="4"/>
  <c r="L1586" i="4"/>
  <c r="K1586" i="4"/>
  <c r="J1586" i="4"/>
  <c r="I1586" i="4"/>
  <c r="H1586" i="4"/>
  <c r="Q1585" i="4"/>
  <c r="P1585" i="4"/>
  <c r="O1585" i="4"/>
  <c r="N1585" i="4"/>
  <c r="M1585" i="4"/>
  <c r="L1585" i="4"/>
  <c r="K1585" i="4"/>
  <c r="J1585" i="4"/>
  <c r="I1585" i="4"/>
  <c r="H1585" i="4"/>
  <c r="Q1584" i="4"/>
  <c r="P1584" i="4"/>
  <c r="O1584" i="4"/>
  <c r="N1584" i="4"/>
  <c r="M1584" i="4"/>
  <c r="L1584" i="4"/>
  <c r="K1584" i="4"/>
  <c r="J1584" i="4"/>
  <c r="I1584" i="4"/>
  <c r="H1584" i="4"/>
  <c r="Q1583" i="4"/>
  <c r="P1583" i="4"/>
  <c r="O1583" i="4"/>
  <c r="N1583" i="4"/>
  <c r="M1583" i="4"/>
  <c r="L1583" i="4"/>
  <c r="K1583" i="4"/>
  <c r="J1583" i="4"/>
  <c r="I1583" i="4"/>
  <c r="H1583" i="4"/>
  <c r="Q1582" i="4"/>
  <c r="P1582" i="4"/>
  <c r="O1582" i="4"/>
  <c r="N1582" i="4"/>
  <c r="M1582" i="4"/>
  <c r="L1582" i="4"/>
  <c r="K1582" i="4"/>
  <c r="J1582" i="4"/>
  <c r="I1582" i="4"/>
  <c r="H1582" i="4"/>
  <c r="Q1581" i="4"/>
  <c r="P1581" i="4"/>
  <c r="O1581" i="4"/>
  <c r="N1581" i="4"/>
  <c r="M1581" i="4"/>
  <c r="L1581" i="4"/>
  <c r="K1581" i="4"/>
  <c r="J1581" i="4"/>
  <c r="I1581" i="4"/>
  <c r="H1581" i="4"/>
  <c r="Q1580" i="4"/>
  <c r="P1580" i="4"/>
  <c r="O1580" i="4"/>
  <c r="N1580" i="4"/>
  <c r="M1580" i="4"/>
  <c r="L1580" i="4"/>
  <c r="K1580" i="4"/>
  <c r="J1580" i="4"/>
  <c r="I1580" i="4"/>
  <c r="H1580" i="4"/>
  <c r="Q1579" i="4"/>
  <c r="P1579" i="4"/>
  <c r="O1579" i="4"/>
  <c r="N1579" i="4"/>
  <c r="M1579" i="4"/>
  <c r="L1579" i="4"/>
  <c r="K1579" i="4"/>
  <c r="J1579" i="4"/>
  <c r="I1579" i="4"/>
  <c r="H1579" i="4"/>
  <c r="Q1578" i="4"/>
  <c r="P1578" i="4"/>
  <c r="O1578" i="4"/>
  <c r="N1578" i="4"/>
  <c r="M1578" i="4"/>
  <c r="L1578" i="4"/>
  <c r="K1578" i="4"/>
  <c r="J1578" i="4"/>
  <c r="I1578" i="4"/>
  <c r="H1578" i="4"/>
  <c r="Q1577" i="4"/>
  <c r="P1577" i="4"/>
  <c r="O1577" i="4"/>
  <c r="N1577" i="4"/>
  <c r="M1577" i="4"/>
  <c r="L1577" i="4"/>
  <c r="K1577" i="4"/>
  <c r="J1577" i="4"/>
  <c r="I1577" i="4"/>
  <c r="H1577" i="4"/>
  <c r="Q1576" i="4"/>
  <c r="P1576" i="4"/>
  <c r="O1576" i="4"/>
  <c r="N1576" i="4"/>
  <c r="M1576" i="4"/>
  <c r="L1576" i="4"/>
  <c r="K1576" i="4"/>
  <c r="J1576" i="4"/>
  <c r="I1576" i="4"/>
  <c r="H1576" i="4"/>
  <c r="Q1575" i="4"/>
  <c r="P1575" i="4"/>
  <c r="O1575" i="4"/>
  <c r="N1575" i="4"/>
  <c r="M1575" i="4"/>
  <c r="L1575" i="4"/>
  <c r="K1575" i="4"/>
  <c r="J1575" i="4"/>
  <c r="I1575" i="4"/>
  <c r="H1575" i="4"/>
  <c r="Q1574" i="4"/>
  <c r="P1574" i="4"/>
  <c r="O1574" i="4"/>
  <c r="N1574" i="4"/>
  <c r="M1574" i="4"/>
  <c r="L1574" i="4"/>
  <c r="K1574" i="4"/>
  <c r="J1574" i="4"/>
  <c r="I1574" i="4"/>
  <c r="H1574" i="4"/>
  <c r="Q1573" i="4"/>
  <c r="P1573" i="4"/>
  <c r="O1573" i="4"/>
  <c r="N1573" i="4"/>
  <c r="M1573" i="4"/>
  <c r="L1573" i="4"/>
  <c r="K1573" i="4"/>
  <c r="J1573" i="4"/>
  <c r="I1573" i="4"/>
  <c r="H1573" i="4"/>
  <c r="Q1572" i="4"/>
  <c r="P1572" i="4"/>
  <c r="O1572" i="4"/>
  <c r="N1572" i="4"/>
  <c r="M1572" i="4"/>
  <c r="L1572" i="4"/>
  <c r="K1572" i="4"/>
  <c r="J1572" i="4"/>
  <c r="I1572" i="4"/>
  <c r="H1572" i="4"/>
  <c r="Q1571" i="4"/>
  <c r="P1571" i="4"/>
  <c r="O1571" i="4"/>
  <c r="N1571" i="4"/>
  <c r="M1571" i="4"/>
  <c r="L1571" i="4"/>
  <c r="K1571" i="4"/>
  <c r="J1571" i="4"/>
  <c r="I1571" i="4"/>
  <c r="H1571" i="4"/>
  <c r="Q1570" i="4"/>
  <c r="P1570" i="4"/>
  <c r="O1570" i="4"/>
  <c r="N1570" i="4"/>
  <c r="M1570" i="4"/>
  <c r="L1570" i="4"/>
  <c r="K1570" i="4"/>
  <c r="J1570" i="4"/>
  <c r="I1570" i="4"/>
  <c r="H1570" i="4"/>
  <c r="Q1569" i="4"/>
  <c r="P1569" i="4"/>
  <c r="O1569" i="4"/>
  <c r="N1569" i="4"/>
  <c r="M1569" i="4"/>
  <c r="L1569" i="4"/>
  <c r="K1569" i="4"/>
  <c r="J1569" i="4"/>
  <c r="I1569" i="4"/>
  <c r="H1569" i="4"/>
  <c r="Q1568" i="4"/>
  <c r="P1568" i="4"/>
  <c r="O1568" i="4"/>
  <c r="N1568" i="4"/>
  <c r="M1568" i="4"/>
  <c r="L1568" i="4"/>
  <c r="K1568" i="4"/>
  <c r="J1568" i="4"/>
  <c r="I1568" i="4"/>
  <c r="H1568" i="4"/>
  <c r="Q1567" i="4"/>
  <c r="P1567" i="4"/>
  <c r="O1567" i="4"/>
  <c r="N1567" i="4"/>
  <c r="M1567" i="4"/>
  <c r="L1567" i="4"/>
  <c r="K1567" i="4"/>
  <c r="J1567" i="4"/>
  <c r="I1567" i="4"/>
  <c r="H1567" i="4"/>
  <c r="Q1566" i="4"/>
  <c r="P1566" i="4"/>
  <c r="O1566" i="4"/>
  <c r="N1566" i="4"/>
  <c r="M1566" i="4"/>
  <c r="L1566" i="4"/>
  <c r="K1566" i="4"/>
  <c r="J1566" i="4"/>
  <c r="I1566" i="4"/>
  <c r="H1566" i="4"/>
  <c r="Q1565" i="4"/>
  <c r="P1565" i="4"/>
  <c r="O1565" i="4"/>
  <c r="N1565" i="4"/>
  <c r="M1565" i="4"/>
  <c r="L1565" i="4"/>
  <c r="K1565" i="4"/>
  <c r="J1565" i="4"/>
  <c r="I1565" i="4"/>
  <c r="H1565" i="4"/>
  <c r="Q1564" i="4"/>
  <c r="P1564" i="4"/>
  <c r="O1564" i="4"/>
  <c r="N1564" i="4"/>
  <c r="M1564" i="4"/>
  <c r="L1564" i="4"/>
  <c r="K1564" i="4"/>
  <c r="J1564" i="4"/>
  <c r="I1564" i="4"/>
  <c r="H1564" i="4"/>
  <c r="Q1563" i="4"/>
  <c r="P1563" i="4"/>
  <c r="O1563" i="4"/>
  <c r="N1563" i="4"/>
  <c r="M1563" i="4"/>
  <c r="L1563" i="4"/>
  <c r="K1563" i="4"/>
  <c r="J1563" i="4"/>
  <c r="I1563" i="4"/>
  <c r="H1563" i="4"/>
  <c r="Q1562" i="4"/>
  <c r="P1562" i="4"/>
  <c r="O1562" i="4"/>
  <c r="N1562" i="4"/>
  <c r="M1562" i="4"/>
  <c r="L1562" i="4"/>
  <c r="K1562" i="4"/>
  <c r="J1562" i="4"/>
  <c r="I1562" i="4"/>
  <c r="H1562" i="4"/>
  <c r="Q1561" i="4"/>
  <c r="P1561" i="4"/>
  <c r="O1561" i="4"/>
  <c r="N1561" i="4"/>
  <c r="M1561" i="4"/>
  <c r="L1561" i="4"/>
  <c r="K1561" i="4"/>
  <c r="J1561" i="4"/>
  <c r="I1561" i="4"/>
  <c r="H1561" i="4"/>
  <c r="Q1560" i="4"/>
  <c r="P1560" i="4"/>
  <c r="O1560" i="4"/>
  <c r="N1560" i="4"/>
  <c r="M1560" i="4"/>
  <c r="L1560" i="4"/>
  <c r="K1560" i="4"/>
  <c r="J1560" i="4"/>
  <c r="I1560" i="4"/>
  <c r="H1560" i="4"/>
  <c r="Q1559" i="4"/>
  <c r="P1559" i="4"/>
  <c r="O1559" i="4"/>
  <c r="N1559" i="4"/>
  <c r="M1559" i="4"/>
  <c r="L1559" i="4"/>
  <c r="K1559" i="4"/>
  <c r="J1559" i="4"/>
  <c r="I1559" i="4"/>
  <c r="H1559" i="4"/>
  <c r="Q1558" i="4"/>
  <c r="P1558" i="4"/>
  <c r="O1558" i="4"/>
  <c r="N1558" i="4"/>
  <c r="M1558" i="4"/>
  <c r="L1558" i="4"/>
  <c r="K1558" i="4"/>
  <c r="J1558" i="4"/>
  <c r="I1558" i="4"/>
  <c r="H1558" i="4"/>
  <c r="Q1557" i="4"/>
  <c r="P1557" i="4"/>
  <c r="O1557" i="4"/>
  <c r="N1557" i="4"/>
  <c r="M1557" i="4"/>
  <c r="L1557" i="4"/>
  <c r="K1557" i="4"/>
  <c r="J1557" i="4"/>
  <c r="I1557" i="4"/>
  <c r="H1557" i="4"/>
  <c r="Q1556" i="4"/>
  <c r="P1556" i="4"/>
  <c r="O1556" i="4"/>
  <c r="N1556" i="4"/>
  <c r="M1556" i="4"/>
  <c r="L1556" i="4"/>
  <c r="K1556" i="4"/>
  <c r="J1556" i="4"/>
  <c r="I1556" i="4"/>
  <c r="H1556" i="4"/>
  <c r="Q1555" i="4"/>
  <c r="P1555" i="4"/>
  <c r="O1555" i="4"/>
  <c r="N1555" i="4"/>
  <c r="M1555" i="4"/>
  <c r="L1555" i="4"/>
  <c r="K1555" i="4"/>
  <c r="J1555" i="4"/>
  <c r="I1555" i="4"/>
  <c r="H1555" i="4"/>
  <c r="Q1554" i="4"/>
  <c r="P1554" i="4"/>
  <c r="O1554" i="4"/>
  <c r="N1554" i="4"/>
  <c r="M1554" i="4"/>
  <c r="L1554" i="4"/>
  <c r="K1554" i="4"/>
  <c r="J1554" i="4"/>
  <c r="I1554" i="4"/>
  <c r="H1554" i="4"/>
  <c r="Q1553" i="4"/>
  <c r="P1553" i="4"/>
  <c r="O1553" i="4"/>
  <c r="N1553" i="4"/>
  <c r="M1553" i="4"/>
  <c r="L1553" i="4"/>
  <c r="K1553" i="4"/>
  <c r="J1553" i="4"/>
  <c r="I1553" i="4"/>
  <c r="H1553" i="4"/>
  <c r="Q1552" i="4"/>
  <c r="P1552" i="4"/>
  <c r="O1552" i="4"/>
  <c r="N1552" i="4"/>
  <c r="M1552" i="4"/>
  <c r="L1552" i="4"/>
  <c r="K1552" i="4"/>
  <c r="J1552" i="4"/>
  <c r="I1552" i="4"/>
  <c r="H1552" i="4"/>
  <c r="Q1551" i="4"/>
  <c r="P1551" i="4"/>
  <c r="O1551" i="4"/>
  <c r="N1551" i="4"/>
  <c r="M1551" i="4"/>
  <c r="L1551" i="4"/>
  <c r="K1551" i="4"/>
  <c r="J1551" i="4"/>
  <c r="I1551" i="4"/>
  <c r="H1551" i="4"/>
  <c r="Q1550" i="4"/>
  <c r="P1550" i="4"/>
  <c r="O1550" i="4"/>
  <c r="N1550" i="4"/>
  <c r="M1550" i="4"/>
  <c r="L1550" i="4"/>
  <c r="K1550" i="4"/>
  <c r="J1550" i="4"/>
  <c r="I1550" i="4"/>
  <c r="H1550" i="4"/>
  <c r="Q1549" i="4"/>
  <c r="P1549" i="4"/>
  <c r="O1549" i="4"/>
  <c r="N1549" i="4"/>
  <c r="M1549" i="4"/>
  <c r="L1549" i="4"/>
  <c r="K1549" i="4"/>
  <c r="J1549" i="4"/>
  <c r="I1549" i="4"/>
  <c r="H1549" i="4"/>
  <c r="Q1548" i="4"/>
  <c r="P1548" i="4"/>
  <c r="O1548" i="4"/>
  <c r="N1548" i="4"/>
  <c r="M1548" i="4"/>
  <c r="L1548" i="4"/>
  <c r="K1548" i="4"/>
  <c r="J1548" i="4"/>
  <c r="I1548" i="4"/>
  <c r="H1548" i="4"/>
  <c r="Q1547" i="4"/>
  <c r="P1547" i="4"/>
  <c r="O1547" i="4"/>
  <c r="N1547" i="4"/>
  <c r="M1547" i="4"/>
  <c r="L1547" i="4"/>
  <c r="K1547" i="4"/>
  <c r="J1547" i="4"/>
  <c r="I1547" i="4"/>
  <c r="H1547" i="4"/>
  <c r="Q1546" i="4"/>
  <c r="P1546" i="4"/>
  <c r="O1546" i="4"/>
  <c r="N1546" i="4"/>
  <c r="M1546" i="4"/>
  <c r="L1546" i="4"/>
  <c r="K1546" i="4"/>
  <c r="J1546" i="4"/>
  <c r="I1546" i="4"/>
  <c r="H1546" i="4"/>
  <c r="Q1545" i="4"/>
  <c r="P1545" i="4"/>
  <c r="O1545" i="4"/>
  <c r="N1545" i="4"/>
  <c r="M1545" i="4"/>
  <c r="L1545" i="4"/>
  <c r="K1545" i="4"/>
  <c r="J1545" i="4"/>
  <c r="I1545" i="4"/>
  <c r="H1545" i="4"/>
  <c r="Q1544" i="4"/>
  <c r="P1544" i="4"/>
  <c r="O1544" i="4"/>
  <c r="N1544" i="4"/>
  <c r="M1544" i="4"/>
  <c r="L1544" i="4"/>
  <c r="K1544" i="4"/>
  <c r="J1544" i="4"/>
  <c r="I1544" i="4"/>
  <c r="H1544" i="4"/>
  <c r="Q1543" i="4"/>
  <c r="P1543" i="4"/>
  <c r="O1543" i="4"/>
  <c r="N1543" i="4"/>
  <c r="M1543" i="4"/>
  <c r="L1543" i="4"/>
  <c r="K1543" i="4"/>
  <c r="J1543" i="4"/>
  <c r="I1543" i="4"/>
  <c r="H1543" i="4"/>
  <c r="Q1542" i="4"/>
  <c r="P1542" i="4"/>
  <c r="O1542" i="4"/>
  <c r="N1542" i="4"/>
  <c r="M1542" i="4"/>
  <c r="L1542" i="4"/>
  <c r="K1542" i="4"/>
  <c r="J1542" i="4"/>
  <c r="I1542" i="4"/>
  <c r="H1542" i="4"/>
  <c r="Q1541" i="4"/>
  <c r="P1541" i="4"/>
  <c r="O1541" i="4"/>
  <c r="N1541" i="4"/>
  <c r="M1541" i="4"/>
  <c r="L1541" i="4"/>
  <c r="K1541" i="4"/>
  <c r="J1541" i="4"/>
  <c r="I1541" i="4"/>
  <c r="H1541" i="4"/>
  <c r="Q1540" i="4"/>
  <c r="P1540" i="4"/>
  <c r="O1540" i="4"/>
  <c r="N1540" i="4"/>
  <c r="M1540" i="4"/>
  <c r="L1540" i="4"/>
  <c r="K1540" i="4"/>
  <c r="J1540" i="4"/>
  <c r="I1540" i="4"/>
  <c r="H1540" i="4"/>
  <c r="Q1539" i="4"/>
  <c r="P1539" i="4"/>
  <c r="O1539" i="4"/>
  <c r="N1539" i="4"/>
  <c r="M1539" i="4"/>
  <c r="L1539" i="4"/>
  <c r="K1539" i="4"/>
  <c r="J1539" i="4"/>
  <c r="I1539" i="4"/>
  <c r="H1539" i="4"/>
  <c r="Q1538" i="4"/>
  <c r="P1538" i="4"/>
  <c r="O1538" i="4"/>
  <c r="N1538" i="4"/>
  <c r="M1538" i="4"/>
  <c r="L1538" i="4"/>
  <c r="K1538" i="4"/>
  <c r="J1538" i="4"/>
  <c r="I1538" i="4"/>
  <c r="H1538" i="4"/>
  <c r="Q1537" i="4"/>
  <c r="P1537" i="4"/>
  <c r="O1537" i="4"/>
  <c r="N1537" i="4"/>
  <c r="M1537" i="4"/>
  <c r="L1537" i="4"/>
  <c r="K1537" i="4"/>
  <c r="J1537" i="4"/>
  <c r="I1537" i="4"/>
  <c r="H1537" i="4"/>
  <c r="Q1536" i="4"/>
  <c r="P1536" i="4"/>
  <c r="O1536" i="4"/>
  <c r="N1536" i="4"/>
  <c r="M1536" i="4"/>
  <c r="L1536" i="4"/>
  <c r="K1536" i="4"/>
  <c r="J1536" i="4"/>
  <c r="I1536" i="4"/>
  <c r="H1536" i="4"/>
  <c r="Q1535" i="4"/>
  <c r="P1535" i="4"/>
  <c r="O1535" i="4"/>
  <c r="N1535" i="4"/>
  <c r="M1535" i="4"/>
  <c r="L1535" i="4"/>
  <c r="K1535" i="4"/>
  <c r="J1535" i="4"/>
  <c r="I1535" i="4"/>
  <c r="H1535" i="4"/>
  <c r="Q1534" i="4"/>
  <c r="P1534" i="4"/>
  <c r="O1534" i="4"/>
  <c r="N1534" i="4"/>
  <c r="M1534" i="4"/>
  <c r="L1534" i="4"/>
  <c r="K1534" i="4"/>
  <c r="J1534" i="4"/>
  <c r="I1534" i="4"/>
  <c r="H1534" i="4"/>
  <c r="Q1533" i="4"/>
  <c r="P1533" i="4"/>
  <c r="O1533" i="4"/>
  <c r="N1533" i="4"/>
  <c r="M1533" i="4"/>
  <c r="L1533" i="4"/>
  <c r="K1533" i="4"/>
  <c r="J1533" i="4"/>
  <c r="I1533" i="4"/>
  <c r="H1533" i="4"/>
  <c r="Q1532" i="4"/>
  <c r="P1532" i="4"/>
  <c r="O1532" i="4"/>
  <c r="N1532" i="4"/>
  <c r="M1532" i="4"/>
  <c r="L1532" i="4"/>
  <c r="K1532" i="4"/>
  <c r="J1532" i="4"/>
  <c r="I1532" i="4"/>
  <c r="H1532" i="4"/>
  <c r="Q1531" i="4"/>
  <c r="P1531" i="4"/>
  <c r="O1531" i="4"/>
  <c r="N1531" i="4"/>
  <c r="M1531" i="4"/>
  <c r="L1531" i="4"/>
  <c r="K1531" i="4"/>
  <c r="J1531" i="4"/>
  <c r="I1531" i="4"/>
  <c r="H1531" i="4"/>
  <c r="Q1530" i="4"/>
  <c r="P1530" i="4"/>
  <c r="O1530" i="4"/>
  <c r="N1530" i="4"/>
  <c r="M1530" i="4"/>
  <c r="L1530" i="4"/>
  <c r="K1530" i="4"/>
  <c r="J1530" i="4"/>
  <c r="I1530" i="4"/>
  <c r="H1530" i="4"/>
  <c r="Q1529" i="4"/>
  <c r="P1529" i="4"/>
  <c r="O1529" i="4"/>
  <c r="N1529" i="4"/>
  <c r="M1529" i="4"/>
  <c r="L1529" i="4"/>
  <c r="K1529" i="4"/>
  <c r="J1529" i="4"/>
  <c r="I1529" i="4"/>
  <c r="H1529" i="4"/>
  <c r="Q1528" i="4"/>
  <c r="P1528" i="4"/>
  <c r="O1528" i="4"/>
  <c r="N1528" i="4"/>
  <c r="M1528" i="4"/>
  <c r="L1528" i="4"/>
  <c r="K1528" i="4"/>
  <c r="J1528" i="4"/>
  <c r="I1528" i="4"/>
  <c r="H1528" i="4"/>
  <c r="Q1527" i="4"/>
  <c r="P1527" i="4"/>
  <c r="O1527" i="4"/>
  <c r="N1527" i="4"/>
  <c r="M1527" i="4"/>
  <c r="L1527" i="4"/>
  <c r="K1527" i="4"/>
  <c r="J1527" i="4"/>
  <c r="I1527" i="4"/>
  <c r="H1527" i="4"/>
  <c r="Q1526" i="4"/>
  <c r="P1526" i="4"/>
  <c r="O1526" i="4"/>
  <c r="N1526" i="4"/>
  <c r="M1526" i="4"/>
  <c r="L1526" i="4"/>
  <c r="K1526" i="4"/>
  <c r="J1526" i="4"/>
  <c r="I1526" i="4"/>
  <c r="H1526" i="4"/>
  <c r="Q1525" i="4"/>
  <c r="P1525" i="4"/>
  <c r="O1525" i="4"/>
  <c r="N1525" i="4"/>
  <c r="M1525" i="4"/>
  <c r="L1525" i="4"/>
  <c r="K1525" i="4"/>
  <c r="J1525" i="4"/>
  <c r="I1525" i="4"/>
  <c r="H1525" i="4"/>
  <c r="Q1524" i="4"/>
  <c r="P1524" i="4"/>
  <c r="O1524" i="4"/>
  <c r="N1524" i="4"/>
  <c r="M1524" i="4"/>
  <c r="L1524" i="4"/>
  <c r="K1524" i="4"/>
  <c r="J1524" i="4"/>
  <c r="I1524" i="4"/>
  <c r="H1524" i="4"/>
  <c r="Q1523" i="4"/>
  <c r="P1523" i="4"/>
  <c r="O1523" i="4"/>
  <c r="N1523" i="4"/>
  <c r="M1523" i="4"/>
  <c r="L1523" i="4"/>
  <c r="K1523" i="4"/>
  <c r="J1523" i="4"/>
  <c r="I1523" i="4"/>
  <c r="H1523" i="4"/>
  <c r="Q1522" i="4"/>
  <c r="P1522" i="4"/>
  <c r="O1522" i="4"/>
  <c r="N1522" i="4"/>
  <c r="M1522" i="4"/>
  <c r="L1522" i="4"/>
  <c r="K1522" i="4"/>
  <c r="J1522" i="4"/>
  <c r="I1522" i="4"/>
  <c r="H1522" i="4"/>
  <c r="Q1521" i="4"/>
  <c r="P1521" i="4"/>
  <c r="O1521" i="4"/>
  <c r="N1521" i="4"/>
  <c r="M1521" i="4"/>
  <c r="L1521" i="4"/>
  <c r="K1521" i="4"/>
  <c r="J1521" i="4"/>
  <c r="I1521" i="4"/>
  <c r="H1521" i="4"/>
  <c r="Q1520" i="4"/>
  <c r="P1520" i="4"/>
  <c r="O1520" i="4"/>
  <c r="N1520" i="4"/>
  <c r="M1520" i="4"/>
  <c r="L1520" i="4"/>
  <c r="K1520" i="4"/>
  <c r="J1520" i="4"/>
  <c r="I1520" i="4"/>
  <c r="H1520" i="4"/>
  <c r="Q1519" i="4"/>
  <c r="P1519" i="4"/>
  <c r="O1519" i="4"/>
  <c r="N1519" i="4"/>
  <c r="M1519" i="4"/>
  <c r="L1519" i="4"/>
  <c r="K1519" i="4"/>
  <c r="J1519" i="4"/>
  <c r="I1519" i="4"/>
  <c r="H1519" i="4"/>
  <c r="Q1518" i="4"/>
  <c r="P1518" i="4"/>
  <c r="O1518" i="4"/>
  <c r="N1518" i="4"/>
  <c r="M1518" i="4"/>
  <c r="L1518" i="4"/>
  <c r="K1518" i="4"/>
  <c r="J1518" i="4"/>
  <c r="I1518" i="4"/>
  <c r="H1518" i="4"/>
  <c r="Q1517" i="4"/>
  <c r="P1517" i="4"/>
  <c r="O1517" i="4"/>
  <c r="N1517" i="4"/>
  <c r="M1517" i="4"/>
  <c r="L1517" i="4"/>
  <c r="K1517" i="4"/>
  <c r="J1517" i="4"/>
  <c r="I1517" i="4"/>
  <c r="H1517" i="4"/>
  <c r="Q1516" i="4"/>
  <c r="P1516" i="4"/>
  <c r="O1516" i="4"/>
  <c r="N1516" i="4"/>
  <c r="M1516" i="4"/>
  <c r="L1516" i="4"/>
  <c r="K1516" i="4"/>
  <c r="J1516" i="4"/>
  <c r="I1516" i="4"/>
  <c r="H1516" i="4"/>
  <c r="Q1515" i="4"/>
  <c r="P1515" i="4"/>
  <c r="O1515" i="4"/>
  <c r="N1515" i="4"/>
  <c r="M1515" i="4"/>
  <c r="L1515" i="4"/>
  <c r="K1515" i="4"/>
  <c r="J1515" i="4"/>
  <c r="I1515" i="4"/>
  <c r="H1515" i="4"/>
  <c r="Q1514" i="4"/>
  <c r="P1514" i="4"/>
  <c r="O1514" i="4"/>
  <c r="N1514" i="4"/>
  <c r="M1514" i="4"/>
  <c r="L1514" i="4"/>
  <c r="K1514" i="4"/>
  <c r="J1514" i="4"/>
  <c r="I1514" i="4"/>
  <c r="H1514" i="4"/>
  <c r="Q1513" i="4"/>
  <c r="P1513" i="4"/>
  <c r="O1513" i="4"/>
  <c r="N1513" i="4"/>
  <c r="M1513" i="4"/>
  <c r="L1513" i="4"/>
  <c r="K1513" i="4"/>
  <c r="J1513" i="4"/>
  <c r="I1513" i="4"/>
  <c r="H1513" i="4"/>
  <c r="Q1512" i="4"/>
  <c r="P1512" i="4"/>
  <c r="O1512" i="4"/>
  <c r="N1512" i="4"/>
  <c r="M1512" i="4"/>
  <c r="L1512" i="4"/>
  <c r="K1512" i="4"/>
  <c r="J1512" i="4"/>
  <c r="I1512" i="4"/>
  <c r="H1512" i="4"/>
  <c r="Q1511" i="4"/>
  <c r="P1511" i="4"/>
  <c r="O1511" i="4"/>
  <c r="N1511" i="4"/>
  <c r="M1511" i="4"/>
  <c r="L1511" i="4"/>
  <c r="K1511" i="4"/>
  <c r="J1511" i="4"/>
  <c r="I1511" i="4"/>
  <c r="H1511" i="4"/>
  <c r="Q1510" i="4"/>
  <c r="P1510" i="4"/>
  <c r="O1510" i="4"/>
  <c r="N1510" i="4"/>
  <c r="M1510" i="4"/>
  <c r="L1510" i="4"/>
  <c r="K1510" i="4"/>
  <c r="J1510" i="4"/>
  <c r="I1510" i="4"/>
  <c r="H1510" i="4"/>
  <c r="Q1509" i="4"/>
  <c r="P1509" i="4"/>
  <c r="O1509" i="4"/>
  <c r="N1509" i="4"/>
  <c r="M1509" i="4"/>
  <c r="L1509" i="4"/>
  <c r="K1509" i="4"/>
  <c r="J1509" i="4"/>
  <c r="I1509" i="4"/>
  <c r="H1509" i="4"/>
  <c r="Q1508" i="4"/>
  <c r="P1508" i="4"/>
  <c r="O1508" i="4"/>
  <c r="N1508" i="4"/>
  <c r="M1508" i="4"/>
  <c r="L1508" i="4"/>
  <c r="K1508" i="4"/>
  <c r="J1508" i="4"/>
  <c r="I1508" i="4"/>
  <c r="H1508" i="4"/>
  <c r="Q1507" i="4"/>
  <c r="P1507" i="4"/>
  <c r="O1507" i="4"/>
  <c r="N1507" i="4"/>
  <c r="M1507" i="4"/>
  <c r="L1507" i="4"/>
  <c r="K1507" i="4"/>
  <c r="J1507" i="4"/>
  <c r="I1507" i="4"/>
  <c r="H1507" i="4"/>
  <c r="Q1506" i="4"/>
  <c r="P1506" i="4"/>
  <c r="O1506" i="4"/>
  <c r="N1506" i="4"/>
  <c r="M1506" i="4"/>
  <c r="L1506" i="4"/>
  <c r="K1506" i="4"/>
  <c r="J1506" i="4"/>
  <c r="I1506" i="4"/>
  <c r="H1506" i="4"/>
  <c r="Q1505" i="4"/>
  <c r="P1505" i="4"/>
  <c r="O1505" i="4"/>
  <c r="N1505" i="4"/>
  <c r="M1505" i="4"/>
  <c r="L1505" i="4"/>
  <c r="K1505" i="4"/>
  <c r="J1505" i="4"/>
  <c r="I1505" i="4"/>
  <c r="H1505" i="4"/>
  <c r="Q1504" i="4"/>
  <c r="P1504" i="4"/>
  <c r="O1504" i="4"/>
  <c r="N1504" i="4"/>
  <c r="M1504" i="4"/>
  <c r="L1504" i="4"/>
  <c r="K1504" i="4"/>
  <c r="J1504" i="4"/>
  <c r="I1504" i="4"/>
  <c r="H1504" i="4"/>
  <c r="Q1503" i="4"/>
  <c r="P1503" i="4"/>
  <c r="O1503" i="4"/>
  <c r="N1503" i="4"/>
  <c r="M1503" i="4"/>
  <c r="L1503" i="4"/>
  <c r="K1503" i="4"/>
  <c r="J1503" i="4"/>
  <c r="I1503" i="4"/>
  <c r="H1503" i="4"/>
  <c r="Q1502" i="4"/>
  <c r="P1502" i="4"/>
  <c r="O1502" i="4"/>
  <c r="N1502" i="4"/>
  <c r="M1502" i="4"/>
  <c r="L1502" i="4"/>
  <c r="K1502" i="4"/>
  <c r="J1502" i="4"/>
  <c r="I1502" i="4"/>
  <c r="H1502" i="4"/>
  <c r="Q1501" i="4"/>
  <c r="P1501" i="4"/>
  <c r="O1501" i="4"/>
  <c r="N1501" i="4"/>
  <c r="M1501" i="4"/>
  <c r="L1501" i="4"/>
  <c r="K1501" i="4"/>
  <c r="J1501" i="4"/>
  <c r="I1501" i="4"/>
  <c r="H1501" i="4"/>
  <c r="Q1500" i="4"/>
  <c r="P1500" i="4"/>
  <c r="O1500" i="4"/>
  <c r="N1500" i="4"/>
  <c r="M1500" i="4"/>
  <c r="L1500" i="4"/>
  <c r="K1500" i="4"/>
  <c r="J1500" i="4"/>
  <c r="I1500" i="4"/>
  <c r="H1500" i="4"/>
  <c r="Q1499" i="4"/>
  <c r="P1499" i="4"/>
  <c r="O1499" i="4"/>
  <c r="N1499" i="4"/>
  <c r="M1499" i="4"/>
  <c r="L1499" i="4"/>
  <c r="K1499" i="4"/>
  <c r="J1499" i="4"/>
  <c r="I1499" i="4"/>
  <c r="H1499" i="4"/>
  <c r="Q1498" i="4"/>
  <c r="P1498" i="4"/>
  <c r="O1498" i="4"/>
  <c r="N1498" i="4"/>
  <c r="M1498" i="4"/>
  <c r="L1498" i="4"/>
  <c r="K1498" i="4"/>
  <c r="J1498" i="4"/>
  <c r="I1498" i="4"/>
  <c r="H1498" i="4"/>
  <c r="Q1497" i="4"/>
  <c r="P1497" i="4"/>
  <c r="O1497" i="4"/>
  <c r="N1497" i="4"/>
  <c r="M1497" i="4"/>
  <c r="L1497" i="4"/>
  <c r="K1497" i="4"/>
  <c r="J1497" i="4"/>
  <c r="I1497" i="4"/>
  <c r="H1497" i="4"/>
  <c r="Q1496" i="4"/>
  <c r="P1496" i="4"/>
  <c r="O1496" i="4"/>
  <c r="N1496" i="4"/>
  <c r="M1496" i="4"/>
  <c r="L1496" i="4"/>
  <c r="K1496" i="4"/>
  <c r="J1496" i="4"/>
  <c r="I1496" i="4"/>
  <c r="H1496" i="4"/>
  <c r="Q1495" i="4"/>
  <c r="P1495" i="4"/>
  <c r="O1495" i="4"/>
  <c r="N1495" i="4"/>
  <c r="M1495" i="4"/>
  <c r="L1495" i="4"/>
  <c r="K1495" i="4"/>
  <c r="J1495" i="4"/>
  <c r="I1495" i="4"/>
  <c r="H1495" i="4"/>
  <c r="Q1494" i="4"/>
  <c r="P1494" i="4"/>
  <c r="O1494" i="4"/>
  <c r="N1494" i="4"/>
  <c r="M1494" i="4"/>
  <c r="L1494" i="4"/>
  <c r="K1494" i="4"/>
  <c r="J1494" i="4"/>
  <c r="I1494" i="4"/>
  <c r="H1494" i="4"/>
  <c r="Q1493" i="4"/>
  <c r="P1493" i="4"/>
  <c r="O1493" i="4"/>
  <c r="N1493" i="4"/>
  <c r="M1493" i="4"/>
  <c r="L1493" i="4"/>
  <c r="K1493" i="4"/>
  <c r="J1493" i="4"/>
  <c r="I1493" i="4"/>
  <c r="H1493" i="4"/>
  <c r="Q1492" i="4"/>
  <c r="P1492" i="4"/>
  <c r="O1492" i="4"/>
  <c r="N1492" i="4"/>
  <c r="M1492" i="4"/>
  <c r="L1492" i="4"/>
  <c r="K1492" i="4"/>
  <c r="J1492" i="4"/>
  <c r="I1492" i="4"/>
  <c r="H1492" i="4"/>
  <c r="Q1491" i="4"/>
  <c r="P1491" i="4"/>
  <c r="O1491" i="4"/>
  <c r="N1491" i="4"/>
  <c r="M1491" i="4"/>
  <c r="L1491" i="4"/>
  <c r="K1491" i="4"/>
  <c r="J1491" i="4"/>
  <c r="I1491" i="4"/>
  <c r="H1491" i="4"/>
  <c r="Q1490" i="4"/>
  <c r="P1490" i="4"/>
  <c r="O1490" i="4"/>
  <c r="N1490" i="4"/>
  <c r="M1490" i="4"/>
  <c r="L1490" i="4"/>
  <c r="K1490" i="4"/>
  <c r="J1490" i="4"/>
  <c r="I1490" i="4"/>
  <c r="H1490" i="4"/>
  <c r="Q1489" i="4"/>
  <c r="P1489" i="4"/>
  <c r="O1489" i="4"/>
  <c r="N1489" i="4"/>
  <c r="M1489" i="4"/>
  <c r="L1489" i="4"/>
  <c r="K1489" i="4"/>
  <c r="J1489" i="4"/>
  <c r="I1489" i="4"/>
  <c r="H1489" i="4"/>
  <c r="Q1488" i="4"/>
  <c r="P1488" i="4"/>
  <c r="O1488" i="4"/>
  <c r="N1488" i="4"/>
  <c r="M1488" i="4"/>
  <c r="L1488" i="4"/>
  <c r="K1488" i="4"/>
  <c r="J1488" i="4"/>
  <c r="I1488" i="4"/>
  <c r="H1488" i="4"/>
  <c r="Q1487" i="4"/>
  <c r="P1487" i="4"/>
  <c r="O1487" i="4"/>
  <c r="N1487" i="4"/>
  <c r="M1487" i="4"/>
  <c r="L1487" i="4"/>
  <c r="K1487" i="4"/>
  <c r="J1487" i="4"/>
  <c r="I1487" i="4"/>
  <c r="H1487" i="4"/>
  <c r="Q1486" i="4"/>
  <c r="P1486" i="4"/>
  <c r="O1486" i="4"/>
  <c r="N1486" i="4"/>
  <c r="M1486" i="4"/>
  <c r="L1486" i="4"/>
  <c r="K1486" i="4"/>
  <c r="J1486" i="4"/>
  <c r="I1486" i="4"/>
  <c r="H1486" i="4"/>
  <c r="Q1485" i="4"/>
  <c r="P1485" i="4"/>
  <c r="O1485" i="4"/>
  <c r="N1485" i="4"/>
  <c r="M1485" i="4"/>
  <c r="L1485" i="4"/>
  <c r="K1485" i="4"/>
  <c r="J1485" i="4"/>
  <c r="I1485" i="4"/>
  <c r="H1485" i="4"/>
  <c r="Q1484" i="4"/>
  <c r="P1484" i="4"/>
  <c r="O1484" i="4"/>
  <c r="N1484" i="4"/>
  <c r="M1484" i="4"/>
  <c r="L1484" i="4"/>
  <c r="K1484" i="4"/>
  <c r="J1484" i="4"/>
  <c r="I1484" i="4"/>
  <c r="H1484" i="4"/>
  <c r="Q1483" i="4"/>
  <c r="P1483" i="4"/>
  <c r="O1483" i="4"/>
  <c r="N1483" i="4"/>
  <c r="M1483" i="4"/>
  <c r="L1483" i="4"/>
  <c r="K1483" i="4"/>
  <c r="J1483" i="4"/>
  <c r="I1483" i="4"/>
  <c r="H1483" i="4"/>
  <c r="Q1482" i="4"/>
  <c r="P1482" i="4"/>
  <c r="O1482" i="4"/>
  <c r="N1482" i="4"/>
  <c r="M1482" i="4"/>
  <c r="L1482" i="4"/>
  <c r="K1482" i="4"/>
  <c r="J1482" i="4"/>
  <c r="I1482" i="4"/>
  <c r="H1482" i="4"/>
  <c r="Q1481" i="4"/>
  <c r="P1481" i="4"/>
  <c r="O1481" i="4"/>
  <c r="N1481" i="4"/>
  <c r="M1481" i="4"/>
  <c r="L1481" i="4"/>
  <c r="K1481" i="4"/>
  <c r="J1481" i="4"/>
  <c r="I1481" i="4"/>
  <c r="H1481" i="4"/>
  <c r="Q1480" i="4"/>
  <c r="P1480" i="4"/>
  <c r="O1480" i="4"/>
  <c r="N1480" i="4"/>
  <c r="M1480" i="4"/>
  <c r="L1480" i="4"/>
  <c r="K1480" i="4"/>
  <c r="J1480" i="4"/>
  <c r="I1480" i="4"/>
  <c r="H1480" i="4"/>
  <c r="Q1479" i="4"/>
  <c r="P1479" i="4"/>
  <c r="O1479" i="4"/>
  <c r="N1479" i="4"/>
  <c r="M1479" i="4"/>
  <c r="L1479" i="4"/>
  <c r="K1479" i="4"/>
  <c r="J1479" i="4"/>
  <c r="I1479" i="4"/>
  <c r="H1479" i="4"/>
  <c r="Q1478" i="4"/>
  <c r="P1478" i="4"/>
  <c r="O1478" i="4"/>
  <c r="N1478" i="4"/>
  <c r="M1478" i="4"/>
  <c r="L1478" i="4"/>
  <c r="K1478" i="4"/>
  <c r="J1478" i="4"/>
  <c r="I1478" i="4"/>
  <c r="H1478" i="4"/>
  <c r="Q1477" i="4"/>
  <c r="P1477" i="4"/>
  <c r="O1477" i="4"/>
  <c r="N1477" i="4"/>
  <c r="M1477" i="4"/>
  <c r="L1477" i="4"/>
  <c r="K1477" i="4"/>
  <c r="J1477" i="4"/>
  <c r="I1477" i="4"/>
  <c r="H1477" i="4"/>
  <c r="Q1476" i="4"/>
  <c r="P1476" i="4"/>
  <c r="O1476" i="4"/>
  <c r="N1476" i="4"/>
  <c r="M1476" i="4"/>
  <c r="L1476" i="4"/>
  <c r="K1476" i="4"/>
  <c r="J1476" i="4"/>
  <c r="I1476" i="4"/>
  <c r="H1476" i="4"/>
  <c r="Q1475" i="4"/>
  <c r="P1475" i="4"/>
  <c r="O1475" i="4"/>
  <c r="N1475" i="4"/>
  <c r="M1475" i="4"/>
  <c r="L1475" i="4"/>
  <c r="K1475" i="4"/>
  <c r="J1475" i="4"/>
  <c r="I1475" i="4"/>
  <c r="H1475" i="4"/>
  <c r="Q1474" i="4"/>
  <c r="P1474" i="4"/>
  <c r="O1474" i="4"/>
  <c r="N1474" i="4"/>
  <c r="M1474" i="4"/>
  <c r="L1474" i="4"/>
  <c r="K1474" i="4"/>
  <c r="J1474" i="4"/>
  <c r="I1474" i="4"/>
  <c r="H1474" i="4"/>
  <c r="Q1473" i="4"/>
  <c r="P1473" i="4"/>
  <c r="O1473" i="4"/>
  <c r="N1473" i="4"/>
  <c r="M1473" i="4"/>
  <c r="L1473" i="4"/>
  <c r="K1473" i="4"/>
  <c r="J1473" i="4"/>
  <c r="I1473" i="4"/>
  <c r="H1473" i="4"/>
  <c r="Q1472" i="4"/>
  <c r="P1472" i="4"/>
  <c r="O1472" i="4"/>
  <c r="N1472" i="4"/>
  <c r="M1472" i="4"/>
  <c r="L1472" i="4"/>
  <c r="K1472" i="4"/>
  <c r="J1472" i="4"/>
  <c r="I1472" i="4"/>
  <c r="H1472" i="4"/>
  <c r="Q1471" i="4"/>
  <c r="P1471" i="4"/>
  <c r="O1471" i="4"/>
  <c r="N1471" i="4"/>
  <c r="M1471" i="4"/>
  <c r="L1471" i="4"/>
  <c r="K1471" i="4"/>
  <c r="J1471" i="4"/>
  <c r="I1471" i="4"/>
  <c r="H1471" i="4"/>
  <c r="Q1470" i="4"/>
  <c r="P1470" i="4"/>
  <c r="O1470" i="4"/>
  <c r="N1470" i="4"/>
  <c r="M1470" i="4"/>
  <c r="L1470" i="4"/>
  <c r="K1470" i="4"/>
  <c r="J1470" i="4"/>
  <c r="I1470" i="4"/>
  <c r="H1470" i="4"/>
  <c r="Q1469" i="4"/>
  <c r="P1469" i="4"/>
  <c r="O1469" i="4"/>
  <c r="N1469" i="4"/>
  <c r="M1469" i="4"/>
  <c r="L1469" i="4"/>
  <c r="K1469" i="4"/>
  <c r="J1469" i="4"/>
  <c r="I1469" i="4"/>
  <c r="H1469" i="4"/>
  <c r="Q1468" i="4"/>
  <c r="P1468" i="4"/>
  <c r="O1468" i="4"/>
  <c r="N1468" i="4"/>
  <c r="M1468" i="4"/>
  <c r="L1468" i="4"/>
  <c r="K1468" i="4"/>
  <c r="J1468" i="4"/>
  <c r="I1468" i="4"/>
  <c r="H1468" i="4"/>
  <c r="Q1467" i="4"/>
  <c r="P1467" i="4"/>
  <c r="O1467" i="4"/>
  <c r="N1467" i="4"/>
  <c r="M1467" i="4"/>
  <c r="L1467" i="4"/>
  <c r="K1467" i="4"/>
  <c r="J1467" i="4"/>
  <c r="I1467" i="4"/>
  <c r="H1467" i="4"/>
  <c r="Q1466" i="4"/>
  <c r="P1466" i="4"/>
  <c r="O1466" i="4"/>
  <c r="N1466" i="4"/>
  <c r="M1466" i="4"/>
  <c r="L1466" i="4"/>
  <c r="K1466" i="4"/>
  <c r="J1466" i="4"/>
  <c r="I1466" i="4"/>
  <c r="H1466" i="4"/>
  <c r="Q1465" i="4"/>
  <c r="P1465" i="4"/>
  <c r="O1465" i="4"/>
  <c r="N1465" i="4"/>
  <c r="M1465" i="4"/>
  <c r="L1465" i="4"/>
  <c r="K1465" i="4"/>
  <c r="J1465" i="4"/>
  <c r="I1465" i="4"/>
  <c r="H1465" i="4"/>
  <c r="Q1464" i="4"/>
  <c r="P1464" i="4"/>
  <c r="O1464" i="4"/>
  <c r="N1464" i="4"/>
  <c r="M1464" i="4"/>
  <c r="L1464" i="4"/>
  <c r="K1464" i="4"/>
  <c r="J1464" i="4"/>
  <c r="I1464" i="4"/>
  <c r="H1464" i="4"/>
  <c r="Q1463" i="4"/>
  <c r="P1463" i="4"/>
  <c r="O1463" i="4"/>
  <c r="N1463" i="4"/>
  <c r="M1463" i="4"/>
  <c r="L1463" i="4"/>
  <c r="K1463" i="4"/>
  <c r="J1463" i="4"/>
  <c r="I1463" i="4"/>
  <c r="H1463" i="4"/>
  <c r="Q1462" i="4"/>
  <c r="P1462" i="4"/>
  <c r="O1462" i="4"/>
  <c r="N1462" i="4"/>
  <c r="M1462" i="4"/>
  <c r="L1462" i="4"/>
  <c r="K1462" i="4"/>
  <c r="J1462" i="4"/>
  <c r="I1462" i="4"/>
  <c r="H1462" i="4"/>
  <c r="Q1461" i="4"/>
  <c r="P1461" i="4"/>
  <c r="O1461" i="4"/>
  <c r="N1461" i="4"/>
  <c r="M1461" i="4"/>
  <c r="L1461" i="4"/>
  <c r="K1461" i="4"/>
  <c r="J1461" i="4"/>
  <c r="I1461" i="4"/>
  <c r="H1461" i="4"/>
  <c r="Q1460" i="4"/>
  <c r="P1460" i="4"/>
  <c r="O1460" i="4"/>
  <c r="N1460" i="4"/>
  <c r="M1460" i="4"/>
  <c r="L1460" i="4"/>
  <c r="K1460" i="4"/>
  <c r="J1460" i="4"/>
  <c r="I1460" i="4"/>
  <c r="H1460" i="4"/>
  <c r="Q1459" i="4"/>
  <c r="P1459" i="4"/>
  <c r="O1459" i="4"/>
  <c r="N1459" i="4"/>
  <c r="M1459" i="4"/>
  <c r="L1459" i="4"/>
  <c r="K1459" i="4"/>
  <c r="J1459" i="4"/>
  <c r="I1459" i="4"/>
  <c r="H1459" i="4"/>
  <c r="Q1458" i="4"/>
  <c r="P1458" i="4"/>
  <c r="O1458" i="4"/>
  <c r="N1458" i="4"/>
  <c r="M1458" i="4"/>
  <c r="L1458" i="4"/>
  <c r="K1458" i="4"/>
  <c r="J1458" i="4"/>
  <c r="I1458" i="4"/>
  <c r="H1458" i="4"/>
  <c r="Q1457" i="4"/>
  <c r="P1457" i="4"/>
  <c r="O1457" i="4"/>
  <c r="N1457" i="4"/>
  <c r="M1457" i="4"/>
  <c r="L1457" i="4"/>
  <c r="K1457" i="4"/>
  <c r="J1457" i="4"/>
  <c r="I1457" i="4"/>
  <c r="H1457" i="4"/>
  <c r="Q1456" i="4"/>
  <c r="P1456" i="4"/>
  <c r="O1456" i="4"/>
  <c r="N1456" i="4"/>
  <c r="M1456" i="4"/>
  <c r="L1456" i="4"/>
  <c r="K1456" i="4"/>
  <c r="J1456" i="4"/>
  <c r="I1456" i="4"/>
  <c r="H1456" i="4"/>
  <c r="Q1455" i="4"/>
  <c r="P1455" i="4"/>
  <c r="O1455" i="4"/>
  <c r="N1455" i="4"/>
  <c r="M1455" i="4"/>
  <c r="L1455" i="4"/>
  <c r="K1455" i="4"/>
  <c r="J1455" i="4"/>
  <c r="I1455" i="4"/>
  <c r="H1455" i="4"/>
  <c r="Q1454" i="4"/>
  <c r="P1454" i="4"/>
  <c r="O1454" i="4"/>
  <c r="N1454" i="4"/>
  <c r="M1454" i="4"/>
  <c r="L1454" i="4"/>
  <c r="K1454" i="4"/>
  <c r="J1454" i="4"/>
  <c r="I1454" i="4"/>
  <c r="H1454" i="4"/>
  <c r="Q1453" i="4"/>
  <c r="P1453" i="4"/>
  <c r="O1453" i="4"/>
  <c r="N1453" i="4"/>
  <c r="M1453" i="4"/>
  <c r="L1453" i="4"/>
  <c r="K1453" i="4"/>
  <c r="J1453" i="4"/>
  <c r="I1453" i="4"/>
  <c r="H1453" i="4"/>
  <c r="Q1452" i="4"/>
  <c r="P1452" i="4"/>
  <c r="O1452" i="4"/>
  <c r="N1452" i="4"/>
  <c r="M1452" i="4"/>
  <c r="L1452" i="4"/>
  <c r="K1452" i="4"/>
  <c r="J1452" i="4"/>
  <c r="I1452" i="4"/>
  <c r="H1452" i="4"/>
  <c r="Q1451" i="4"/>
  <c r="P1451" i="4"/>
  <c r="O1451" i="4"/>
  <c r="N1451" i="4"/>
  <c r="M1451" i="4"/>
  <c r="L1451" i="4"/>
  <c r="K1451" i="4"/>
  <c r="J1451" i="4"/>
  <c r="I1451" i="4"/>
  <c r="H1451" i="4"/>
  <c r="Q1450" i="4"/>
  <c r="P1450" i="4"/>
  <c r="O1450" i="4"/>
  <c r="N1450" i="4"/>
  <c r="M1450" i="4"/>
  <c r="L1450" i="4"/>
  <c r="K1450" i="4"/>
  <c r="J1450" i="4"/>
  <c r="I1450" i="4"/>
  <c r="H1450" i="4"/>
  <c r="Q1449" i="4"/>
  <c r="P1449" i="4"/>
  <c r="O1449" i="4"/>
  <c r="N1449" i="4"/>
  <c r="M1449" i="4"/>
  <c r="L1449" i="4"/>
  <c r="K1449" i="4"/>
  <c r="J1449" i="4"/>
  <c r="I1449" i="4"/>
  <c r="H1449" i="4"/>
  <c r="Q1448" i="4"/>
  <c r="P1448" i="4"/>
  <c r="O1448" i="4"/>
  <c r="N1448" i="4"/>
  <c r="M1448" i="4"/>
  <c r="L1448" i="4"/>
  <c r="K1448" i="4"/>
  <c r="J1448" i="4"/>
  <c r="I1448" i="4"/>
  <c r="H1448" i="4"/>
  <c r="Q1447" i="4"/>
  <c r="P1447" i="4"/>
  <c r="O1447" i="4"/>
  <c r="N1447" i="4"/>
  <c r="M1447" i="4"/>
  <c r="L1447" i="4"/>
  <c r="K1447" i="4"/>
  <c r="J1447" i="4"/>
  <c r="I1447" i="4"/>
  <c r="H1447" i="4"/>
  <c r="Q1446" i="4"/>
  <c r="P1446" i="4"/>
  <c r="O1446" i="4"/>
  <c r="N1446" i="4"/>
  <c r="M1446" i="4"/>
  <c r="L1446" i="4"/>
  <c r="K1446" i="4"/>
  <c r="J1446" i="4"/>
  <c r="I1446" i="4"/>
  <c r="H1446" i="4"/>
  <c r="Q1445" i="4"/>
  <c r="P1445" i="4"/>
  <c r="O1445" i="4"/>
  <c r="N1445" i="4"/>
  <c r="M1445" i="4"/>
  <c r="L1445" i="4"/>
  <c r="K1445" i="4"/>
  <c r="J1445" i="4"/>
  <c r="I1445" i="4"/>
  <c r="H1445" i="4"/>
  <c r="Q1444" i="4"/>
  <c r="P1444" i="4"/>
  <c r="O1444" i="4"/>
  <c r="N1444" i="4"/>
  <c r="M1444" i="4"/>
  <c r="L1444" i="4"/>
  <c r="K1444" i="4"/>
  <c r="J1444" i="4"/>
  <c r="I1444" i="4"/>
  <c r="H1444" i="4"/>
  <c r="Q1443" i="4"/>
  <c r="P1443" i="4"/>
  <c r="O1443" i="4"/>
  <c r="N1443" i="4"/>
  <c r="M1443" i="4"/>
  <c r="L1443" i="4"/>
  <c r="K1443" i="4"/>
  <c r="J1443" i="4"/>
  <c r="I1443" i="4"/>
  <c r="H1443" i="4"/>
  <c r="Q1442" i="4"/>
  <c r="P1442" i="4"/>
  <c r="O1442" i="4"/>
  <c r="N1442" i="4"/>
  <c r="M1442" i="4"/>
  <c r="L1442" i="4"/>
  <c r="K1442" i="4"/>
  <c r="J1442" i="4"/>
  <c r="I1442" i="4"/>
  <c r="H1442" i="4"/>
  <c r="Q1441" i="4"/>
  <c r="P1441" i="4"/>
  <c r="O1441" i="4"/>
  <c r="N1441" i="4"/>
  <c r="M1441" i="4"/>
  <c r="L1441" i="4"/>
  <c r="K1441" i="4"/>
  <c r="J1441" i="4"/>
  <c r="I1441" i="4"/>
  <c r="H1441" i="4"/>
  <c r="Q1440" i="4"/>
  <c r="P1440" i="4"/>
  <c r="O1440" i="4"/>
  <c r="N1440" i="4"/>
  <c r="M1440" i="4"/>
  <c r="L1440" i="4"/>
  <c r="K1440" i="4"/>
  <c r="J1440" i="4"/>
  <c r="I1440" i="4"/>
  <c r="H1440" i="4"/>
  <c r="Q1439" i="4"/>
  <c r="P1439" i="4"/>
  <c r="O1439" i="4"/>
  <c r="N1439" i="4"/>
  <c r="M1439" i="4"/>
  <c r="L1439" i="4"/>
  <c r="K1439" i="4"/>
  <c r="J1439" i="4"/>
  <c r="I1439" i="4"/>
  <c r="H1439" i="4"/>
  <c r="Q1438" i="4"/>
  <c r="P1438" i="4"/>
  <c r="O1438" i="4"/>
  <c r="N1438" i="4"/>
  <c r="M1438" i="4"/>
  <c r="L1438" i="4"/>
  <c r="K1438" i="4"/>
  <c r="J1438" i="4"/>
  <c r="I1438" i="4"/>
  <c r="H1438" i="4"/>
  <c r="Q1437" i="4"/>
  <c r="P1437" i="4"/>
  <c r="O1437" i="4"/>
  <c r="N1437" i="4"/>
  <c r="M1437" i="4"/>
  <c r="L1437" i="4"/>
  <c r="K1437" i="4"/>
  <c r="J1437" i="4"/>
  <c r="I1437" i="4"/>
  <c r="H1437" i="4"/>
  <c r="Q1436" i="4"/>
  <c r="P1436" i="4"/>
  <c r="O1436" i="4"/>
  <c r="N1436" i="4"/>
  <c r="M1436" i="4"/>
  <c r="L1436" i="4"/>
  <c r="K1436" i="4"/>
  <c r="J1436" i="4"/>
  <c r="I1436" i="4"/>
  <c r="H1436" i="4"/>
  <c r="Q1435" i="4"/>
  <c r="P1435" i="4"/>
  <c r="O1435" i="4"/>
  <c r="N1435" i="4"/>
  <c r="M1435" i="4"/>
  <c r="L1435" i="4"/>
  <c r="K1435" i="4"/>
  <c r="J1435" i="4"/>
  <c r="I1435" i="4"/>
  <c r="H1435" i="4"/>
  <c r="Q1434" i="4"/>
  <c r="P1434" i="4"/>
  <c r="O1434" i="4"/>
  <c r="N1434" i="4"/>
  <c r="M1434" i="4"/>
  <c r="L1434" i="4"/>
  <c r="K1434" i="4"/>
  <c r="J1434" i="4"/>
  <c r="I1434" i="4"/>
  <c r="H1434" i="4"/>
  <c r="Q1433" i="4"/>
  <c r="P1433" i="4"/>
  <c r="O1433" i="4"/>
  <c r="N1433" i="4"/>
  <c r="M1433" i="4"/>
  <c r="L1433" i="4"/>
  <c r="K1433" i="4"/>
  <c r="J1433" i="4"/>
  <c r="I1433" i="4"/>
  <c r="H1433" i="4"/>
  <c r="Q1432" i="4"/>
  <c r="P1432" i="4"/>
  <c r="O1432" i="4"/>
  <c r="N1432" i="4"/>
  <c r="M1432" i="4"/>
  <c r="L1432" i="4"/>
  <c r="K1432" i="4"/>
  <c r="J1432" i="4"/>
  <c r="I1432" i="4"/>
  <c r="H1432" i="4"/>
  <c r="Q1431" i="4"/>
  <c r="P1431" i="4"/>
  <c r="O1431" i="4"/>
  <c r="N1431" i="4"/>
  <c r="M1431" i="4"/>
  <c r="L1431" i="4"/>
  <c r="K1431" i="4"/>
  <c r="J1431" i="4"/>
  <c r="I1431" i="4"/>
  <c r="H1431" i="4"/>
  <c r="Q1430" i="4"/>
  <c r="P1430" i="4"/>
  <c r="O1430" i="4"/>
  <c r="N1430" i="4"/>
  <c r="M1430" i="4"/>
  <c r="L1430" i="4"/>
  <c r="K1430" i="4"/>
  <c r="J1430" i="4"/>
  <c r="I1430" i="4"/>
  <c r="H1430" i="4"/>
  <c r="Q1429" i="4"/>
  <c r="P1429" i="4"/>
  <c r="O1429" i="4"/>
  <c r="N1429" i="4"/>
  <c r="M1429" i="4"/>
  <c r="L1429" i="4"/>
  <c r="K1429" i="4"/>
  <c r="J1429" i="4"/>
  <c r="I1429" i="4"/>
  <c r="H1429" i="4"/>
  <c r="Q1428" i="4"/>
  <c r="P1428" i="4"/>
  <c r="O1428" i="4"/>
  <c r="N1428" i="4"/>
  <c r="M1428" i="4"/>
  <c r="L1428" i="4"/>
  <c r="K1428" i="4"/>
  <c r="J1428" i="4"/>
  <c r="I1428" i="4"/>
  <c r="H1428" i="4"/>
  <c r="Q1427" i="4"/>
  <c r="P1427" i="4"/>
  <c r="O1427" i="4"/>
  <c r="N1427" i="4"/>
  <c r="M1427" i="4"/>
  <c r="L1427" i="4"/>
  <c r="K1427" i="4"/>
  <c r="J1427" i="4"/>
  <c r="I1427" i="4"/>
  <c r="H1427" i="4"/>
  <c r="Q1426" i="4"/>
  <c r="P1426" i="4"/>
  <c r="O1426" i="4"/>
  <c r="N1426" i="4"/>
  <c r="M1426" i="4"/>
  <c r="L1426" i="4"/>
  <c r="K1426" i="4"/>
  <c r="J1426" i="4"/>
  <c r="I1426" i="4"/>
  <c r="H1426" i="4"/>
  <c r="Q1425" i="4"/>
  <c r="P1425" i="4"/>
  <c r="O1425" i="4"/>
  <c r="N1425" i="4"/>
  <c r="M1425" i="4"/>
  <c r="L1425" i="4"/>
  <c r="K1425" i="4"/>
  <c r="J1425" i="4"/>
  <c r="I1425" i="4"/>
  <c r="H1425" i="4"/>
  <c r="Q1424" i="4"/>
  <c r="P1424" i="4"/>
  <c r="O1424" i="4"/>
  <c r="N1424" i="4"/>
  <c r="M1424" i="4"/>
  <c r="L1424" i="4"/>
  <c r="K1424" i="4"/>
  <c r="J1424" i="4"/>
  <c r="I1424" i="4"/>
  <c r="H1424" i="4"/>
  <c r="Q1423" i="4"/>
  <c r="P1423" i="4"/>
  <c r="O1423" i="4"/>
  <c r="N1423" i="4"/>
  <c r="M1423" i="4"/>
  <c r="L1423" i="4"/>
  <c r="K1423" i="4"/>
  <c r="J1423" i="4"/>
  <c r="I1423" i="4"/>
  <c r="H1423" i="4"/>
  <c r="Q1422" i="4"/>
  <c r="P1422" i="4"/>
  <c r="O1422" i="4"/>
  <c r="N1422" i="4"/>
  <c r="M1422" i="4"/>
  <c r="L1422" i="4"/>
  <c r="K1422" i="4"/>
  <c r="J1422" i="4"/>
  <c r="I1422" i="4"/>
  <c r="H1422" i="4"/>
  <c r="Q1421" i="4"/>
  <c r="P1421" i="4"/>
  <c r="O1421" i="4"/>
  <c r="N1421" i="4"/>
  <c r="M1421" i="4"/>
  <c r="L1421" i="4"/>
  <c r="K1421" i="4"/>
  <c r="J1421" i="4"/>
  <c r="I1421" i="4"/>
  <c r="H1421" i="4"/>
  <c r="Q1420" i="4"/>
  <c r="P1420" i="4"/>
  <c r="O1420" i="4"/>
  <c r="N1420" i="4"/>
  <c r="M1420" i="4"/>
  <c r="L1420" i="4"/>
  <c r="K1420" i="4"/>
  <c r="J1420" i="4"/>
  <c r="I1420" i="4"/>
  <c r="H1420" i="4"/>
  <c r="Q1419" i="4"/>
  <c r="P1419" i="4"/>
  <c r="O1419" i="4"/>
  <c r="N1419" i="4"/>
  <c r="M1419" i="4"/>
  <c r="L1419" i="4"/>
  <c r="K1419" i="4"/>
  <c r="J1419" i="4"/>
  <c r="I1419" i="4"/>
  <c r="H1419" i="4"/>
  <c r="Q1418" i="4"/>
  <c r="P1418" i="4"/>
  <c r="O1418" i="4"/>
  <c r="N1418" i="4"/>
  <c r="M1418" i="4"/>
  <c r="L1418" i="4"/>
  <c r="K1418" i="4"/>
  <c r="J1418" i="4"/>
  <c r="I1418" i="4"/>
  <c r="H1418" i="4"/>
  <c r="Q1417" i="4"/>
  <c r="P1417" i="4"/>
  <c r="O1417" i="4"/>
  <c r="N1417" i="4"/>
  <c r="M1417" i="4"/>
  <c r="L1417" i="4"/>
  <c r="K1417" i="4"/>
  <c r="J1417" i="4"/>
  <c r="I1417" i="4"/>
  <c r="H1417" i="4"/>
  <c r="Q1416" i="4"/>
  <c r="P1416" i="4"/>
  <c r="O1416" i="4"/>
  <c r="N1416" i="4"/>
  <c r="M1416" i="4"/>
  <c r="L1416" i="4"/>
  <c r="K1416" i="4"/>
  <c r="J1416" i="4"/>
  <c r="I1416" i="4"/>
  <c r="H1416" i="4"/>
  <c r="Q1415" i="4"/>
  <c r="P1415" i="4"/>
  <c r="O1415" i="4"/>
  <c r="N1415" i="4"/>
  <c r="M1415" i="4"/>
  <c r="L1415" i="4"/>
  <c r="K1415" i="4"/>
  <c r="J1415" i="4"/>
  <c r="I1415" i="4"/>
  <c r="H1415" i="4"/>
  <c r="Q1414" i="4"/>
  <c r="P1414" i="4"/>
  <c r="O1414" i="4"/>
  <c r="N1414" i="4"/>
  <c r="M1414" i="4"/>
  <c r="L1414" i="4"/>
  <c r="K1414" i="4"/>
  <c r="J1414" i="4"/>
  <c r="I1414" i="4"/>
  <c r="H1414" i="4"/>
  <c r="Q1413" i="4"/>
  <c r="P1413" i="4"/>
  <c r="O1413" i="4"/>
  <c r="N1413" i="4"/>
  <c r="M1413" i="4"/>
  <c r="L1413" i="4"/>
  <c r="K1413" i="4"/>
  <c r="J1413" i="4"/>
  <c r="I1413" i="4"/>
  <c r="H1413" i="4"/>
  <c r="Q1412" i="4"/>
  <c r="P1412" i="4"/>
  <c r="O1412" i="4"/>
  <c r="N1412" i="4"/>
  <c r="M1412" i="4"/>
  <c r="L1412" i="4"/>
  <c r="K1412" i="4"/>
  <c r="J1412" i="4"/>
  <c r="I1412" i="4"/>
  <c r="H1412" i="4"/>
  <c r="Q1411" i="4"/>
  <c r="P1411" i="4"/>
  <c r="O1411" i="4"/>
  <c r="N1411" i="4"/>
  <c r="M1411" i="4"/>
  <c r="L1411" i="4"/>
  <c r="K1411" i="4"/>
  <c r="J1411" i="4"/>
  <c r="I1411" i="4"/>
  <c r="H1411" i="4"/>
  <c r="Q1410" i="4"/>
  <c r="P1410" i="4"/>
  <c r="O1410" i="4"/>
  <c r="N1410" i="4"/>
  <c r="M1410" i="4"/>
  <c r="L1410" i="4"/>
  <c r="K1410" i="4"/>
  <c r="J1410" i="4"/>
  <c r="I1410" i="4"/>
  <c r="H1410" i="4"/>
  <c r="Q1409" i="4"/>
  <c r="P1409" i="4"/>
  <c r="O1409" i="4"/>
  <c r="N1409" i="4"/>
  <c r="M1409" i="4"/>
  <c r="L1409" i="4"/>
  <c r="K1409" i="4"/>
  <c r="J1409" i="4"/>
  <c r="I1409" i="4"/>
  <c r="H1409" i="4"/>
  <c r="Q1408" i="4"/>
  <c r="P1408" i="4"/>
  <c r="O1408" i="4"/>
  <c r="N1408" i="4"/>
  <c r="M1408" i="4"/>
  <c r="L1408" i="4"/>
  <c r="K1408" i="4"/>
  <c r="J1408" i="4"/>
  <c r="I1408" i="4"/>
  <c r="H1408" i="4"/>
  <c r="Q1407" i="4"/>
  <c r="P1407" i="4"/>
  <c r="O1407" i="4"/>
  <c r="N1407" i="4"/>
  <c r="M1407" i="4"/>
  <c r="L1407" i="4"/>
  <c r="K1407" i="4"/>
  <c r="J1407" i="4"/>
  <c r="I1407" i="4"/>
  <c r="H1407" i="4"/>
  <c r="Q1406" i="4"/>
  <c r="P1406" i="4"/>
  <c r="O1406" i="4"/>
  <c r="N1406" i="4"/>
  <c r="M1406" i="4"/>
  <c r="L1406" i="4"/>
  <c r="K1406" i="4"/>
  <c r="J1406" i="4"/>
  <c r="I1406" i="4"/>
  <c r="H1406" i="4"/>
  <c r="Q1405" i="4"/>
  <c r="P1405" i="4"/>
  <c r="O1405" i="4"/>
  <c r="N1405" i="4"/>
  <c r="M1405" i="4"/>
  <c r="L1405" i="4"/>
  <c r="K1405" i="4"/>
  <c r="J1405" i="4"/>
  <c r="I1405" i="4"/>
  <c r="H1405" i="4"/>
  <c r="Q1404" i="4"/>
  <c r="P1404" i="4"/>
  <c r="O1404" i="4"/>
  <c r="N1404" i="4"/>
  <c r="M1404" i="4"/>
  <c r="L1404" i="4"/>
  <c r="K1404" i="4"/>
  <c r="J1404" i="4"/>
  <c r="I1404" i="4"/>
  <c r="H1404" i="4"/>
  <c r="Q1403" i="4"/>
  <c r="P1403" i="4"/>
  <c r="O1403" i="4"/>
  <c r="N1403" i="4"/>
  <c r="M1403" i="4"/>
  <c r="L1403" i="4"/>
  <c r="K1403" i="4"/>
  <c r="J1403" i="4"/>
  <c r="I1403" i="4"/>
  <c r="H1403" i="4"/>
  <c r="Q1402" i="4"/>
  <c r="P1402" i="4"/>
  <c r="O1402" i="4"/>
  <c r="N1402" i="4"/>
  <c r="M1402" i="4"/>
  <c r="L1402" i="4"/>
  <c r="K1402" i="4"/>
  <c r="J1402" i="4"/>
  <c r="I1402" i="4"/>
  <c r="H1402" i="4"/>
  <c r="Q1401" i="4"/>
  <c r="P1401" i="4"/>
  <c r="O1401" i="4"/>
  <c r="N1401" i="4"/>
  <c r="M1401" i="4"/>
  <c r="L1401" i="4"/>
  <c r="K1401" i="4"/>
  <c r="J1401" i="4"/>
  <c r="I1401" i="4"/>
  <c r="H1401" i="4"/>
  <c r="Q1400" i="4"/>
  <c r="P1400" i="4"/>
  <c r="O1400" i="4"/>
  <c r="N1400" i="4"/>
  <c r="M1400" i="4"/>
  <c r="L1400" i="4"/>
  <c r="K1400" i="4"/>
  <c r="J1400" i="4"/>
  <c r="I1400" i="4"/>
  <c r="H1400" i="4"/>
  <c r="Q1399" i="4"/>
  <c r="P1399" i="4"/>
  <c r="O1399" i="4"/>
  <c r="N1399" i="4"/>
  <c r="M1399" i="4"/>
  <c r="L1399" i="4"/>
  <c r="K1399" i="4"/>
  <c r="J1399" i="4"/>
  <c r="I1399" i="4"/>
  <c r="H1399" i="4"/>
  <c r="Q1398" i="4"/>
  <c r="P1398" i="4"/>
  <c r="O1398" i="4"/>
  <c r="N1398" i="4"/>
  <c r="M1398" i="4"/>
  <c r="L1398" i="4"/>
  <c r="K1398" i="4"/>
  <c r="J1398" i="4"/>
  <c r="I1398" i="4"/>
  <c r="H1398" i="4"/>
  <c r="Q1397" i="4"/>
  <c r="P1397" i="4"/>
  <c r="O1397" i="4"/>
  <c r="N1397" i="4"/>
  <c r="M1397" i="4"/>
  <c r="L1397" i="4"/>
  <c r="K1397" i="4"/>
  <c r="J1397" i="4"/>
  <c r="I1397" i="4"/>
  <c r="H1397" i="4"/>
  <c r="Q1396" i="4"/>
  <c r="P1396" i="4"/>
  <c r="O1396" i="4"/>
  <c r="N1396" i="4"/>
  <c r="M1396" i="4"/>
  <c r="L1396" i="4"/>
  <c r="K1396" i="4"/>
  <c r="J1396" i="4"/>
  <c r="I1396" i="4"/>
  <c r="H1396" i="4"/>
  <c r="Q1395" i="4"/>
  <c r="P1395" i="4"/>
  <c r="O1395" i="4"/>
  <c r="N1395" i="4"/>
  <c r="M1395" i="4"/>
  <c r="L1395" i="4"/>
  <c r="K1395" i="4"/>
  <c r="J1395" i="4"/>
  <c r="I1395" i="4"/>
  <c r="H1395" i="4"/>
  <c r="Q1394" i="4"/>
  <c r="P1394" i="4"/>
  <c r="O1394" i="4"/>
  <c r="N1394" i="4"/>
  <c r="M1394" i="4"/>
  <c r="L1394" i="4"/>
  <c r="K1394" i="4"/>
  <c r="J1394" i="4"/>
  <c r="I1394" i="4"/>
  <c r="H1394" i="4"/>
  <c r="Q1393" i="4"/>
  <c r="P1393" i="4"/>
  <c r="O1393" i="4"/>
  <c r="N1393" i="4"/>
  <c r="M1393" i="4"/>
  <c r="L1393" i="4"/>
  <c r="K1393" i="4"/>
  <c r="J1393" i="4"/>
  <c r="I1393" i="4"/>
  <c r="H1393" i="4"/>
  <c r="Q1392" i="4"/>
  <c r="P1392" i="4"/>
  <c r="O1392" i="4"/>
  <c r="N1392" i="4"/>
  <c r="M1392" i="4"/>
  <c r="L1392" i="4"/>
  <c r="K1392" i="4"/>
  <c r="J1392" i="4"/>
  <c r="I1392" i="4"/>
  <c r="H1392" i="4"/>
  <c r="Q1391" i="4"/>
  <c r="P1391" i="4"/>
  <c r="O1391" i="4"/>
  <c r="N1391" i="4"/>
  <c r="M1391" i="4"/>
  <c r="L1391" i="4"/>
  <c r="K1391" i="4"/>
  <c r="J1391" i="4"/>
  <c r="I1391" i="4"/>
  <c r="H1391" i="4"/>
  <c r="Q1390" i="4"/>
  <c r="P1390" i="4"/>
  <c r="O1390" i="4"/>
  <c r="N1390" i="4"/>
  <c r="M1390" i="4"/>
  <c r="L1390" i="4"/>
  <c r="K1390" i="4"/>
  <c r="J1390" i="4"/>
  <c r="I1390" i="4"/>
  <c r="H1390" i="4"/>
  <c r="Q1389" i="4"/>
  <c r="P1389" i="4"/>
  <c r="O1389" i="4"/>
  <c r="N1389" i="4"/>
  <c r="M1389" i="4"/>
  <c r="L1389" i="4"/>
  <c r="K1389" i="4"/>
  <c r="J1389" i="4"/>
  <c r="I1389" i="4"/>
  <c r="H1389" i="4"/>
  <c r="Q1388" i="4"/>
  <c r="P1388" i="4"/>
  <c r="O1388" i="4"/>
  <c r="N1388" i="4"/>
  <c r="M1388" i="4"/>
  <c r="L1388" i="4"/>
  <c r="K1388" i="4"/>
  <c r="J1388" i="4"/>
  <c r="I1388" i="4"/>
  <c r="H1388" i="4"/>
  <c r="Q1387" i="4"/>
  <c r="P1387" i="4"/>
  <c r="O1387" i="4"/>
  <c r="N1387" i="4"/>
  <c r="M1387" i="4"/>
  <c r="L1387" i="4"/>
  <c r="K1387" i="4"/>
  <c r="J1387" i="4"/>
  <c r="I1387" i="4"/>
  <c r="H1387" i="4"/>
  <c r="Q1386" i="4"/>
  <c r="P1386" i="4"/>
  <c r="O1386" i="4"/>
  <c r="N1386" i="4"/>
  <c r="M1386" i="4"/>
  <c r="L1386" i="4"/>
  <c r="K1386" i="4"/>
  <c r="J1386" i="4"/>
  <c r="I1386" i="4"/>
  <c r="H1386" i="4"/>
  <c r="Q1385" i="4"/>
  <c r="P1385" i="4"/>
  <c r="O1385" i="4"/>
  <c r="N1385" i="4"/>
  <c r="M1385" i="4"/>
  <c r="L1385" i="4"/>
  <c r="K1385" i="4"/>
  <c r="J1385" i="4"/>
  <c r="I1385" i="4"/>
  <c r="H1385" i="4"/>
  <c r="Q1384" i="4"/>
  <c r="P1384" i="4"/>
  <c r="O1384" i="4"/>
  <c r="N1384" i="4"/>
  <c r="M1384" i="4"/>
  <c r="L1384" i="4"/>
  <c r="K1384" i="4"/>
  <c r="J1384" i="4"/>
  <c r="I1384" i="4"/>
  <c r="H1384" i="4"/>
  <c r="Q1383" i="4"/>
  <c r="P1383" i="4"/>
  <c r="O1383" i="4"/>
  <c r="N1383" i="4"/>
  <c r="M1383" i="4"/>
  <c r="L1383" i="4"/>
  <c r="K1383" i="4"/>
  <c r="J1383" i="4"/>
  <c r="I1383" i="4"/>
  <c r="H1383" i="4"/>
  <c r="Q1382" i="4"/>
  <c r="P1382" i="4"/>
  <c r="O1382" i="4"/>
  <c r="N1382" i="4"/>
  <c r="M1382" i="4"/>
  <c r="L1382" i="4"/>
  <c r="K1382" i="4"/>
  <c r="J1382" i="4"/>
  <c r="I1382" i="4"/>
  <c r="H1382" i="4"/>
  <c r="Q1381" i="4"/>
  <c r="P1381" i="4"/>
  <c r="O1381" i="4"/>
  <c r="N1381" i="4"/>
  <c r="M1381" i="4"/>
  <c r="L1381" i="4"/>
  <c r="K1381" i="4"/>
  <c r="J1381" i="4"/>
  <c r="I1381" i="4"/>
  <c r="H1381" i="4"/>
  <c r="Q1380" i="4"/>
  <c r="P1380" i="4"/>
  <c r="O1380" i="4"/>
  <c r="N1380" i="4"/>
  <c r="M1380" i="4"/>
  <c r="L1380" i="4"/>
  <c r="K1380" i="4"/>
  <c r="J1380" i="4"/>
  <c r="I1380" i="4"/>
  <c r="H1380" i="4"/>
  <c r="Q1379" i="4"/>
  <c r="P1379" i="4"/>
  <c r="O1379" i="4"/>
  <c r="N1379" i="4"/>
  <c r="M1379" i="4"/>
  <c r="L1379" i="4"/>
  <c r="K1379" i="4"/>
  <c r="J1379" i="4"/>
  <c r="I1379" i="4"/>
  <c r="H1379" i="4"/>
  <c r="Q1378" i="4"/>
  <c r="P1378" i="4"/>
  <c r="O1378" i="4"/>
  <c r="N1378" i="4"/>
  <c r="M1378" i="4"/>
  <c r="L1378" i="4"/>
  <c r="K1378" i="4"/>
  <c r="J1378" i="4"/>
  <c r="I1378" i="4"/>
  <c r="H1378" i="4"/>
  <c r="Q1377" i="4"/>
  <c r="P1377" i="4"/>
  <c r="O1377" i="4"/>
  <c r="N1377" i="4"/>
  <c r="M1377" i="4"/>
  <c r="L1377" i="4"/>
  <c r="K1377" i="4"/>
  <c r="J1377" i="4"/>
  <c r="I1377" i="4"/>
  <c r="H1377" i="4"/>
  <c r="Q1376" i="4"/>
  <c r="P1376" i="4"/>
  <c r="O1376" i="4"/>
  <c r="N1376" i="4"/>
  <c r="M1376" i="4"/>
  <c r="L1376" i="4"/>
  <c r="K1376" i="4"/>
  <c r="J1376" i="4"/>
  <c r="I1376" i="4"/>
  <c r="H1376" i="4"/>
  <c r="Q1375" i="4"/>
  <c r="P1375" i="4"/>
  <c r="O1375" i="4"/>
  <c r="N1375" i="4"/>
  <c r="M1375" i="4"/>
  <c r="L1375" i="4"/>
  <c r="K1375" i="4"/>
  <c r="J1375" i="4"/>
  <c r="I1375" i="4"/>
  <c r="H1375" i="4"/>
  <c r="Q1374" i="4"/>
  <c r="P1374" i="4"/>
  <c r="O1374" i="4"/>
  <c r="N1374" i="4"/>
  <c r="M1374" i="4"/>
  <c r="L1374" i="4"/>
  <c r="K1374" i="4"/>
  <c r="J1374" i="4"/>
  <c r="I1374" i="4"/>
  <c r="H1374" i="4"/>
  <c r="Q1373" i="4"/>
  <c r="P1373" i="4"/>
  <c r="O1373" i="4"/>
  <c r="N1373" i="4"/>
  <c r="M1373" i="4"/>
  <c r="L1373" i="4"/>
  <c r="K1373" i="4"/>
  <c r="J1373" i="4"/>
  <c r="I1373" i="4"/>
  <c r="H1373" i="4"/>
  <c r="Q1372" i="4"/>
  <c r="P1372" i="4"/>
  <c r="O1372" i="4"/>
  <c r="N1372" i="4"/>
  <c r="M1372" i="4"/>
  <c r="L1372" i="4"/>
  <c r="K1372" i="4"/>
  <c r="J1372" i="4"/>
  <c r="I1372" i="4"/>
  <c r="H1372" i="4"/>
  <c r="Q1371" i="4"/>
  <c r="P1371" i="4"/>
  <c r="O1371" i="4"/>
  <c r="N1371" i="4"/>
  <c r="M1371" i="4"/>
  <c r="L1371" i="4"/>
  <c r="K1371" i="4"/>
  <c r="J1371" i="4"/>
  <c r="I1371" i="4"/>
  <c r="H1371" i="4"/>
  <c r="Q1370" i="4"/>
  <c r="P1370" i="4"/>
  <c r="O1370" i="4"/>
  <c r="N1370" i="4"/>
  <c r="M1370" i="4"/>
  <c r="L1370" i="4"/>
  <c r="K1370" i="4"/>
  <c r="J1370" i="4"/>
  <c r="I1370" i="4"/>
  <c r="H1370" i="4"/>
  <c r="Q1369" i="4"/>
  <c r="P1369" i="4"/>
  <c r="O1369" i="4"/>
  <c r="N1369" i="4"/>
  <c r="M1369" i="4"/>
  <c r="L1369" i="4"/>
  <c r="K1369" i="4"/>
  <c r="J1369" i="4"/>
  <c r="I1369" i="4"/>
  <c r="H1369" i="4"/>
  <c r="Q1368" i="4"/>
  <c r="P1368" i="4"/>
  <c r="O1368" i="4"/>
  <c r="N1368" i="4"/>
  <c r="M1368" i="4"/>
  <c r="L1368" i="4"/>
  <c r="K1368" i="4"/>
  <c r="J1368" i="4"/>
  <c r="I1368" i="4"/>
  <c r="H1368" i="4"/>
  <c r="Q1367" i="4"/>
  <c r="P1367" i="4"/>
  <c r="O1367" i="4"/>
  <c r="N1367" i="4"/>
  <c r="M1367" i="4"/>
  <c r="L1367" i="4"/>
  <c r="K1367" i="4"/>
  <c r="J1367" i="4"/>
  <c r="I1367" i="4"/>
  <c r="H1367" i="4"/>
  <c r="Q1366" i="4"/>
  <c r="P1366" i="4"/>
  <c r="O1366" i="4"/>
  <c r="N1366" i="4"/>
  <c r="M1366" i="4"/>
  <c r="L1366" i="4"/>
  <c r="K1366" i="4"/>
  <c r="J1366" i="4"/>
  <c r="I1366" i="4"/>
  <c r="H1366" i="4"/>
  <c r="Q1365" i="4"/>
  <c r="P1365" i="4"/>
  <c r="O1365" i="4"/>
  <c r="N1365" i="4"/>
  <c r="M1365" i="4"/>
  <c r="L1365" i="4"/>
  <c r="K1365" i="4"/>
  <c r="J1365" i="4"/>
  <c r="I1365" i="4"/>
  <c r="H1365" i="4"/>
  <c r="Q1364" i="4"/>
  <c r="P1364" i="4"/>
  <c r="O1364" i="4"/>
  <c r="N1364" i="4"/>
  <c r="M1364" i="4"/>
  <c r="L1364" i="4"/>
  <c r="K1364" i="4"/>
  <c r="J1364" i="4"/>
  <c r="I1364" i="4"/>
  <c r="H1364" i="4"/>
  <c r="Q1363" i="4"/>
  <c r="P1363" i="4"/>
  <c r="O1363" i="4"/>
  <c r="N1363" i="4"/>
  <c r="M1363" i="4"/>
  <c r="L1363" i="4"/>
  <c r="K1363" i="4"/>
  <c r="J1363" i="4"/>
  <c r="I1363" i="4"/>
  <c r="H1363" i="4"/>
  <c r="Q1362" i="4"/>
  <c r="P1362" i="4"/>
  <c r="O1362" i="4"/>
  <c r="N1362" i="4"/>
  <c r="M1362" i="4"/>
  <c r="L1362" i="4"/>
  <c r="K1362" i="4"/>
  <c r="J1362" i="4"/>
  <c r="I1362" i="4"/>
  <c r="H1362" i="4"/>
  <c r="Q1361" i="4"/>
  <c r="P1361" i="4"/>
  <c r="O1361" i="4"/>
  <c r="N1361" i="4"/>
  <c r="M1361" i="4"/>
  <c r="L1361" i="4"/>
  <c r="K1361" i="4"/>
  <c r="J1361" i="4"/>
  <c r="I1361" i="4"/>
  <c r="H1361" i="4"/>
  <c r="Q1360" i="4"/>
  <c r="P1360" i="4"/>
  <c r="O1360" i="4"/>
  <c r="N1360" i="4"/>
  <c r="M1360" i="4"/>
  <c r="L1360" i="4"/>
  <c r="K1360" i="4"/>
  <c r="J1360" i="4"/>
  <c r="I1360" i="4"/>
  <c r="H1360" i="4"/>
  <c r="Q1359" i="4"/>
  <c r="P1359" i="4"/>
  <c r="O1359" i="4"/>
  <c r="N1359" i="4"/>
  <c r="M1359" i="4"/>
  <c r="L1359" i="4"/>
  <c r="K1359" i="4"/>
  <c r="J1359" i="4"/>
  <c r="I1359" i="4"/>
  <c r="H1359" i="4"/>
  <c r="Q1358" i="4"/>
  <c r="P1358" i="4"/>
  <c r="O1358" i="4"/>
  <c r="N1358" i="4"/>
  <c r="M1358" i="4"/>
  <c r="L1358" i="4"/>
  <c r="K1358" i="4"/>
  <c r="J1358" i="4"/>
  <c r="I1358" i="4"/>
  <c r="H1358" i="4"/>
  <c r="Q1357" i="4"/>
  <c r="P1357" i="4"/>
  <c r="O1357" i="4"/>
  <c r="N1357" i="4"/>
  <c r="M1357" i="4"/>
  <c r="L1357" i="4"/>
  <c r="K1357" i="4"/>
  <c r="J1357" i="4"/>
  <c r="I1357" i="4"/>
  <c r="H1357" i="4"/>
  <c r="Q1356" i="4"/>
  <c r="P1356" i="4"/>
  <c r="O1356" i="4"/>
  <c r="N1356" i="4"/>
  <c r="M1356" i="4"/>
  <c r="L1356" i="4"/>
  <c r="K1356" i="4"/>
  <c r="J1356" i="4"/>
  <c r="I1356" i="4"/>
  <c r="H1356" i="4"/>
  <c r="Q1355" i="4"/>
  <c r="P1355" i="4"/>
  <c r="O1355" i="4"/>
  <c r="N1355" i="4"/>
  <c r="M1355" i="4"/>
  <c r="L1355" i="4"/>
  <c r="K1355" i="4"/>
  <c r="J1355" i="4"/>
  <c r="I1355" i="4"/>
  <c r="H1355" i="4"/>
  <c r="Q1354" i="4"/>
  <c r="P1354" i="4"/>
  <c r="O1354" i="4"/>
  <c r="N1354" i="4"/>
  <c r="M1354" i="4"/>
  <c r="L1354" i="4"/>
  <c r="K1354" i="4"/>
  <c r="J1354" i="4"/>
  <c r="I1354" i="4"/>
  <c r="H1354" i="4"/>
  <c r="Q1353" i="4"/>
  <c r="P1353" i="4"/>
  <c r="O1353" i="4"/>
  <c r="N1353" i="4"/>
  <c r="M1353" i="4"/>
  <c r="L1353" i="4"/>
  <c r="K1353" i="4"/>
  <c r="J1353" i="4"/>
  <c r="I1353" i="4"/>
  <c r="H1353" i="4"/>
  <c r="Q1352" i="4"/>
  <c r="P1352" i="4"/>
  <c r="O1352" i="4"/>
  <c r="N1352" i="4"/>
  <c r="M1352" i="4"/>
  <c r="L1352" i="4"/>
  <c r="K1352" i="4"/>
  <c r="J1352" i="4"/>
  <c r="I1352" i="4"/>
  <c r="H1352" i="4"/>
  <c r="Q1351" i="4"/>
  <c r="P1351" i="4"/>
  <c r="O1351" i="4"/>
  <c r="N1351" i="4"/>
  <c r="M1351" i="4"/>
  <c r="L1351" i="4"/>
  <c r="K1351" i="4"/>
  <c r="J1351" i="4"/>
  <c r="I1351" i="4"/>
  <c r="H1351" i="4"/>
  <c r="Q1350" i="4"/>
  <c r="P1350" i="4"/>
  <c r="O1350" i="4"/>
  <c r="N1350" i="4"/>
  <c r="M1350" i="4"/>
  <c r="L1350" i="4"/>
  <c r="K1350" i="4"/>
  <c r="J1350" i="4"/>
  <c r="I1350" i="4"/>
  <c r="H1350" i="4"/>
  <c r="Q1349" i="4"/>
  <c r="P1349" i="4"/>
  <c r="O1349" i="4"/>
  <c r="N1349" i="4"/>
  <c r="M1349" i="4"/>
  <c r="L1349" i="4"/>
  <c r="K1349" i="4"/>
  <c r="J1349" i="4"/>
  <c r="I1349" i="4"/>
  <c r="H1349" i="4"/>
  <c r="Q1348" i="4"/>
  <c r="P1348" i="4"/>
  <c r="O1348" i="4"/>
  <c r="N1348" i="4"/>
  <c r="M1348" i="4"/>
  <c r="L1348" i="4"/>
  <c r="K1348" i="4"/>
  <c r="J1348" i="4"/>
  <c r="I1348" i="4"/>
  <c r="H1348" i="4"/>
  <c r="Q1347" i="4"/>
  <c r="P1347" i="4"/>
  <c r="O1347" i="4"/>
  <c r="N1347" i="4"/>
  <c r="M1347" i="4"/>
  <c r="L1347" i="4"/>
  <c r="K1347" i="4"/>
  <c r="J1347" i="4"/>
  <c r="I1347" i="4"/>
  <c r="H1347" i="4"/>
  <c r="Q1346" i="4"/>
  <c r="P1346" i="4"/>
  <c r="O1346" i="4"/>
  <c r="N1346" i="4"/>
  <c r="M1346" i="4"/>
  <c r="L1346" i="4"/>
  <c r="K1346" i="4"/>
  <c r="J1346" i="4"/>
  <c r="I1346" i="4"/>
  <c r="H1346" i="4"/>
  <c r="Q1345" i="4"/>
  <c r="P1345" i="4"/>
  <c r="O1345" i="4"/>
  <c r="N1345" i="4"/>
  <c r="M1345" i="4"/>
  <c r="L1345" i="4"/>
  <c r="K1345" i="4"/>
  <c r="J1345" i="4"/>
  <c r="I1345" i="4"/>
  <c r="H1345" i="4"/>
  <c r="Q1344" i="4"/>
  <c r="P1344" i="4"/>
  <c r="O1344" i="4"/>
  <c r="N1344" i="4"/>
  <c r="M1344" i="4"/>
  <c r="L1344" i="4"/>
  <c r="K1344" i="4"/>
  <c r="J1344" i="4"/>
  <c r="I1344" i="4"/>
  <c r="H1344" i="4"/>
  <c r="Q1343" i="4"/>
  <c r="P1343" i="4"/>
  <c r="O1343" i="4"/>
  <c r="N1343" i="4"/>
  <c r="M1343" i="4"/>
  <c r="L1343" i="4"/>
  <c r="K1343" i="4"/>
  <c r="J1343" i="4"/>
  <c r="I1343" i="4"/>
  <c r="H1343" i="4"/>
  <c r="Q1342" i="4"/>
  <c r="P1342" i="4"/>
  <c r="O1342" i="4"/>
  <c r="N1342" i="4"/>
  <c r="M1342" i="4"/>
  <c r="L1342" i="4"/>
  <c r="K1342" i="4"/>
  <c r="J1342" i="4"/>
  <c r="I1342" i="4"/>
  <c r="H1342" i="4"/>
  <c r="Q1341" i="4"/>
  <c r="P1341" i="4"/>
  <c r="O1341" i="4"/>
  <c r="N1341" i="4"/>
  <c r="M1341" i="4"/>
  <c r="L1341" i="4"/>
  <c r="K1341" i="4"/>
  <c r="J1341" i="4"/>
  <c r="I1341" i="4"/>
  <c r="H1341" i="4"/>
  <c r="Q1340" i="4"/>
  <c r="P1340" i="4"/>
  <c r="O1340" i="4"/>
  <c r="N1340" i="4"/>
  <c r="M1340" i="4"/>
  <c r="L1340" i="4"/>
  <c r="K1340" i="4"/>
  <c r="J1340" i="4"/>
  <c r="I1340" i="4"/>
  <c r="H1340" i="4"/>
  <c r="Q1339" i="4"/>
  <c r="P1339" i="4"/>
  <c r="O1339" i="4"/>
  <c r="N1339" i="4"/>
  <c r="M1339" i="4"/>
  <c r="L1339" i="4"/>
  <c r="K1339" i="4"/>
  <c r="J1339" i="4"/>
  <c r="I1339" i="4"/>
  <c r="H1339" i="4"/>
  <c r="Q1338" i="4"/>
  <c r="P1338" i="4"/>
  <c r="O1338" i="4"/>
  <c r="N1338" i="4"/>
  <c r="M1338" i="4"/>
  <c r="L1338" i="4"/>
  <c r="K1338" i="4"/>
  <c r="J1338" i="4"/>
  <c r="I1338" i="4"/>
  <c r="H1338" i="4"/>
  <c r="Q1337" i="4"/>
  <c r="P1337" i="4"/>
  <c r="O1337" i="4"/>
  <c r="N1337" i="4"/>
  <c r="M1337" i="4"/>
  <c r="L1337" i="4"/>
  <c r="K1337" i="4"/>
  <c r="J1337" i="4"/>
  <c r="I1337" i="4"/>
  <c r="H1337" i="4"/>
  <c r="Q1336" i="4"/>
  <c r="P1336" i="4"/>
  <c r="O1336" i="4"/>
  <c r="N1336" i="4"/>
  <c r="M1336" i="4"/>
  <c r="L1336" i="4"/>
  <c r="K1336" i="4"/>
  <c r="J1336" i="4"/>
  <c r="I1336" i="4"/>
  <c r="H1336" i="4"/>
  <c r="Q1335" i="4"/>
  <c r="P1335" i="4"/>
  <c r="O1335" i="4"/>
  <c r="N1335" i="4"/>
  <c r="M1335" i="4"/>
  <c r="L1335" i="4"/>
  <c r="K1335" i="4"/>
  <c r="J1335" i="4"/>
  <c r="I1335" i="4"/>
  <c r="H1335" i="4"/>
  <c r="Q1334" i="4"/>
  <c r="P1334" i="4"/>
  <c r="O1334" i="4"/>
  <c r="N1334" i="4"/>
  <c r="M1334" i="4"/>
  <c r="L1334" i="4"/>
  <c r="K1334" i="4"/>
  <c r="J1334" i="4"/>
  <c r="I1334" i="4"/>
  <c r="H1334" i="4"/>
  <c r="Q1333" i="4"/>
  <c r="P1333" i="4"/>
  <c r="O1333" i="4"/>
  <c r="N1333" i="4"/>
  <c r="M1333" i="4"/>
  <c r="L1333" i="4"/>
  <c r="K1333" i="4"/>
  <c r="J1333" i="4"/>
  <c r="I1333" i="4"/>
  <c r="H1333" i="4"/>
  <c r="Q1332" i="4"/>
  <c r="P1332" i="4"/>
  <c r="O1332" i="4"/>
  <c r="N1332" i="4"/>
  <c r="M1332" i="4"/>
  <c r="L1332" i="4"/>
  <c r="K1332" i="4"/>
  <c r="J1332" i="4"/>
  <c r="I1332" i="4"/>
  <c r="H1332" i="4"/>
  <c r="Q1331" i="4"/>
  <c r="P1331" i="4"/>
  <c r="O1331" i="4"/>
  <c r="N1331" i="4"/>
  <c r="M1331" i="4"/>
  <c r="L1331" i="4"/>
  <c r="K1331" i="4"/>
  <c r="J1331" i="4"/>
  <c r="I1331" i="4"/>
  <c r="H1331" i="4"/>
  <c r="Q1330" i="4"/>
  <c r="P1330" i="4"/>
  <c r="O1330" i="4"/>
  <c r="N1330" i="4"/>
  <c r="M1330" i="4"/>
  <c r="L1330" i="4"/>
  <c r="K1330" i="4"/>
  <c r="J1330" i="4"/>
  <c r="I1330" i="4"/>
  <c r="H1330" i="4"/>
  <c r="Q1329" i="4"/>
  <c r="P1329" i="4"/>
  <c r="O1329" i="4"/>
  <c r="N1329" i="4"/>
  <c r="M1329" i="4"/>
  <c r="L1329" i="4"/>
  <c r="K1329" i="4"/>
  <c r="J1329" i="4"/>
  <c r="I1329" i="4"/>
  <c r="H1329" i="4"/>
  <c r="Q1328" i="4"/>
  <c r="P1328" i="4"/>
  <c r="O1328" i="4"/>
  <c r="N1328" i="4"/>
  <c r="M1328" i="4"/>
  <c r="L1328" i="4"/>
  <c r="K1328" i="4"/>
  <c r="J1328" i="4"/>
  <c r="I1328" i="4"/>
  <c r="H1328" i="4"/>
  <c r="Q1327" i="4"/>
  <c r="P1327" i="4"/>
  <c r="O1327" i="4"/>
  <c r="N1327" i="4"/>
  <c r="M1327" i="4"/>
  <c r="L1327" i="4"/>
  <c r="K1327" i="4"/>
  <c r="J1327" i="4"/>
  <c r="I1327" i="4"/>
  <c r="H1327" i="4"/>
  <c r="Q1326" i="4"/>
  <c r="P1326" i="4"/>
  <c r="O1326" i="4"/>
  <c r="N1326" i="4"/>
  <c r="M1326" i="4"/>
  <c r="L1326" i="4"/>
  <c r="K1326" i="4"/>
  <c r="J1326" i="4"/>
  <c r="I1326" i="4"/>
  <c r="H1326" i="4"/>
  <c r="Q1325" i="4"/>
  <c r="P1325" i="4"/>
  <c r="O1325" i="4"/>
  <c r="N1325" i="4"/>
  <c r="M1325" i="4"/>
  <c r="L1325" i="4"/>
  <c r="K1325" i="4"/>
  <c r="J1325" i="4"/>
  <c r="I1325" i="4"/>
  <c r="H1325" i="4"/>
  <c r="Q1324" i="4"/>
  <c r="P1324" i="4"/>
  <c r="O1324" i="4"/>
  <c r="N1324" i="4"/>
  <c r="M1324" i="4"/>
  <c r="L1324" i="4"/>
  <c r="K1324" i="4"/>
  <c r="J1324" i="4"/>
  <c r="I1324" i="4"/>
  <c r="H1324" i="4"/>
  <c r="Q1323" i="4"/>
  <c r="P1323" i="4"/>
  <c r="O1323" i="4"/>
  <c r="N1323" i="4"/>
  <c r="M1323" i="4"/>
  <c r="L1323" i="4"/>
  <c r="K1323" i="4"/>
  <c r="J1323" i="4"/>
  <c r="I1323" i="4"/>
  <c r="H1323" i="4"/>
  <c r="Q1322" i="4"/>
  <c r="P1322" i="4"/>
  <c r="O1322" i="4"/>
  <c r="N1322" i="4"/>
  <c r="M1322" i="4"/>
  <c r="L1322" i="4"/>
  <c r="K1322" i="4"/>
  <c r="J1322" i="4"/>
  <c r="I1322" i="4"/>
  <c r="H1322" i="4"/>
  <c r="Q1321" i="4"/>
  <c r="P1321" i="4"/>
  <c r="O1321" i="4"/>
  <c r="N1321" i="4"/>
  <c r="M1321" i="4"/>
  <c r="L1321" i="4"/>
  <c r="K1321" i="4"/>
  <c r="J1321" i="4"/>
  <c r="I1321" i="4"/>
  <c r="H1321" i="4"/>
  <c r="Q1320" i="4"/>
  <c r="P1320" i="4"/>
  <c r="O1320" i="4"/>
  <c r="N1320" i="4"/>
  <c r="M1320" i="4"/>
  <c r="L1320" i="4"/>
  <c r="K1320" i="4"/>
  <c r="J1320" i="4"/>
  <c r="I1320" i="4"/>
  <c r="H1320" i="4"/>
  <c r="Q1319" i="4"/>
  <c r="P1319" i="4"/>
  <c r="O1319" i="4"/>
  <c r="N1319" i="4"/>
  <c r="M1319" i="4"/>
  <c r="L1319" i="4"/>
  <c r="K1319" i="4"/>
  <c r="J1319" i="4"/>
  <c r="I1319" i="4"/>
  <c r="H1319" i="4"/>
  <c r="Q1318" i="4"/>
  <c r="P1318" i="4"/>
  <c r="O1318" i="4"/>
  <c r="N1318" i="4"/>
  <c r="M1318" i="4"/>
  <c r="L1318" i="4"/>
  <c r="K1318" i="4"/>
  <c r="J1318" i="4"/>
  <c r="I1318" i="4"/>
  <c r="H1318" i="4"/>
  <c r="Q1317" i="4"/>
  <c r="P1317" i="4"/>
  <c r="O1317" i="4"/>
  <c r="N1317" i="4"/>
  <c r="M1317" i="4"/>
  <c r="L1317" i="4"/>
  <c r="K1317" i="4"/>
  <c r="J1317" i="4"/>
  <c r="I1317" i="4"/>
  <c r="H1317" i="4"/>
  <c r="Q1316" i="4"/>
  <c r="P1316" i="4"/>
  <c r="O1316" i="4"/>
  <c r="N1316" i="4"/>
  <c r="M1316" i="4"/>
  <c r="L1316" i="4"/>
  <c r="K1316" i="4"/>
  <c r="J1316" i="4"/>
  <c r="I1316" i="4"/>
  <c r="H1316" i="4"/>
  <c r="Q1315" i="4"/>
  <c r="P1315" i="4"/>
  <c r="O1315" i="4"/>
  <c r="N1315" i="4"/>
  <c r="M1315" i="4"/>
  <c r="L1315" i="4"/>
  <c r="K1315" i="4"/>
  <c r="J1315" i="4"/>
  <c r="I1315" i="4"/>
  <c r="H1315" i="4"/>
  <c r="Q1314" i="4"/>
  <c r="P1314" i="4"/>
  <c r="O1314" i="4"/>
  <c r="N1314" i="4"/>
  <c r="M1314" i="4"/>
  <c r="L1314" i="4"/>
  <c r="K1314" i="4"/>
  <c r="J1314" i="4"/>
  <c r="I1314" i="4"/>
  <c r="H1314" i="4"/>
  <c r="Q1313" i="4"/>
  <c r="P1313" i="4"/>
  <c r="O1313" i="4"/>
  <c r="N1313" i="4"/>
  <c r="M1313" i="4"/>
  <c r="L1313" i="4"/>
  <c r="K1313" i="4"/>
  <c r="J1313" i="4"/>
  <c r="I1313" i="4"/>
  <c r="H1313" i="4"/>
  <c r="Q1312" i="4"/>
  <c r="P1312" i="4"/>
  <c r="O1312" i="4"/>
  <c r="N1312" i="4"/>
  <c r="M1312" i="4"/>
  <c r="L1312" i="4"/>
  <c r="K1312" i="4"/>
  <c r="J1312" i="4"/>
  <c r="I1312" i="4"/>
  <c r="H1312" i="4"/>
  <c r="Q1311" i="4"/>
  <c r="P1311" i="4"/>
  <c r="O1311" i="4"/>
  <c r="N1311" i="4"/>
  <c r="M1311" i="4"/>
  <c r="L1311" i="4"/>
  <c r="K1311" i="4"/>
  <c r="J1311" i="4"/>
  <c r="I1311" i="4"/>
  <c r="H1311" i="4"/>
  <c r="Q1310" i="4"/>
  <c r="P1310" i="4"/>
  <c r="O1310" i="4"/>
  <c r="N1310" i="4"/>
  <c r="M1310" i="4"/>
  <c r="L1310" i="4"/>
  <c r="K1310" i="4"/>
  <c r="J1310" i="4"/>
  <c r="I1310" i="4"/>
  <c r="H1310" i="4"/>
  <c r="Q1309" i="4"/>
  <c r="P1309" i="4"/>
  <c r="O1309" i="4"/>
  <c r="N1309" i="4"/>
  <c r="M1309" i="4"/>
  <c r="L1309" i="4"/>
  <c r="K1309" i="4"/>
  <c r="J1309" i="4"/>
  <c r="I1309" i="4"/>
  <c r="H1309" i="4"/>
  <c r="Q1308" i="4"/>
  <c r="P1308" i="4"/>
  <c r="O1308" i="4"/>
  <c r="N1308" i="4"/>
  <c r="M1308" i="4"/>
  <c r="L1308" i="4"/>
  <c r="K1308" i="4"/>
  <c r="J1308" i="4"/>
  <c r="I1308" i="4"/>
  <c r="H1308" i="4"/>
  <c r="Q1307" i="4"/>
  <c r="P1307" i="4"/>
  <c r="O1307" i="4"/>
  <c r="N1307" i="4"/>
  <c r="M1307" i="4"/>
  <c r="L1307" i="4"/>
  <c r="K1307" i="4"/>
  <c r="J1307" i="4"/>
  <c r="I1307" i="4"/>
  <c r="H1307" i="4"/>
  <c r="Q1306" i="4"/>
  <c r="P1306" i="4"/>
  <c r="O1306" i="4"/>
  <c r="N1306" i="4"/>
  <c r="M1306" i="4"/>
  <c r="L1306" i="4"/>
  <c r="K1306" i="4"/>
  <c r="J1306" i="4"/>
  <c r="I1306" i="4"/>
  <c r="H1306" i="4"/>
  <c r="Q1305" i="4"/>
  <c r="P1305" i="4"/>
  <c r="O1305" i="4"/>
  <c r="N1305" i="4"/>
  <c r="M1305" i="4"/>
  <c r="L1305" i="4"/>
  <c r="K1305" i="4"/>
  <c r="J1305" i="4"/>
  <c r="I1305" i="4"/>
  <c r="H1305" i="4"/>
  <c r="Q1304" i="4"/>
  <c r="P1304" i="4"/>
  <c r="O1304" i="4"/>
  <c r="N1304" i="4"/>
  <c r="M1304" i="4"/>
  <c r="L1304" i="4"/>
  <c r="K1304" i="4"/>
  <c r="J1304" i="4"/>
  <c r="I1304" i="4"/>
  <c r="H1304" i="4"/>
  <c r="Q1303" i="4"/>
  <c r="P1303" i="4"/>
  <c r="O1303" i="4"/>
  <c r="N1303" i="4"/>
  <c r="M1303" i="4"/>
  <c r="L1303" i="4"/>
  <c r="K1303" i="4"/>
  <c r="J1303" i="4"/>
  <c r="I1303" i="4"/>
  <c r="H1303" i="4"/>
  <c r="Q1302" i="4"/>
  <c r="P1302" i="4"/>
  <c r="O1302" i="4"/>
  <c r="N1302" i="4"/>
  <c r="M1302" i="4"/>
  <c r="L1302" i="4"/>
  <c r="K1302" i="4"/>
  <c r="J1302" i="4"/>
  <c r="I1302" i="4"/>
  <c r="H1302" i="4"/>
  <c r="Q1301" i="4"/>
  <c r="P1301" i="4"/>
  <c r="O1301" i="4"/>
  <c r="N1301" i="4"/>
  <c r="M1301" i="4"/>
  <c r="L1301" i="4"/>
  <c r="K1301" i="4"/>
  <c r="J1301" i="4"/>
  <c r="I1301" i="4"/>
  <c r="H1301" i="4"/>
  <c r="Q1300" i="4"/>
  <c r="P1300" i="4"/>
  <c r="O1300" i="4"/>
  <c r="N1300" i="4"/>
  <c r="M1300" i="4"/>
  <c r="L1300" i="4"/>
  <c r="K1300" i="4"/>
  <c r="J1300" i="4"/>
  <c r="I1300" i="4"/>
  <c r="H1300" i="4"/>
  <c r="Q1299" i="4"/>
  <c r="P1299" i="4"/>
  <c r="O1299" i="4"/>
  <c r="N1299" i="4"/>
  <c r="M1299" i="4"/>
  <c r="L1299" i="4"/>
  <c r="K1299" i="4"/>
  <c r="J1299" i="4"/>
  <c r="I1299" i="4"/>
  <c r="H1299" i="4"/>
  <c r="Q1298" i="4"/>
  <c r="P1298" i="4"/>
  <c r="O1298" i="4"/>
  <c r="N1298" i="4"/>
  <c r="M1298" i="4"/>
  <c r="L1298" i="4"/>
  <c r="K1298" i="4"/>
  <c r="J1298" i="4"/>
  <c r="I1298" i="4"/>
  <c r="H1298" i="4"/>
  <c r="Q1297" i="4"/>
  <c r="P1297" i="4"/>
  <c r="O1297" i="4"/>
  <c r="N1297" i="4"/>
  <c r="M1297" i="4"/>
  <c r="L1297" i="4"/>
  <c r="K1297" i="4"/>
  <c r="J1297" i="4"/>
  <c r="I1297" i="4"/>
  <c r="H1297" i="4"/>
  <c r="Q1296" i="4"/>
  <c r="P1296" i="4"/>
  <c r="O1296" i="4"/>
  <c r="N1296" i="4"/>
  <c r="M1296" i="4"/>
  <c r="L1296" i="4"/>
  <c r="K1296" i="4"/>
  <c r="J1296" i="4"/>
  <c r="I1296" i="4"/>
  <c r="H1296" i="4"/>
  <c r="Q1295" i="4"/>
  <c r="P1295" i="4"/>
  <c r="O1295" i="4"/>
  <c r="N1295" i="4"/>
  <c r="M1295" i="4"/>
  <c r="L1295" i="4"/>
  <c r="K1295" i="4"/>
  <c r="J1295" i="4"/>
  <c r="I1295" i="4"/>
  <c r="H1295" i="4"/>
  <c r="Q1294" i="4"/>
  <c r="P1294" i="4"/>
  <c r="O1294" i="4"/>
  <c r="N1294" i="4"/>
  <c r="M1294" i="4"/>
  <c r="L1294" i="4"/>
  <c r="K1294" i="4"/>
  <c r="J1294" i="4"/>
  <c r="I1294" i="4"/>
  <c r="H1294" i="4"/>
  <c r="Q1293" i="4"/>
  <c r="P1293" i="4"/>
  <c r="O1293" i="4"/>
  <c r="N1293" i="4"/>
  <c r="M1293" i="4"/>
  <c r="L1293" i="4"/>
  <c r="K1293" i="4"/>
  <c r="J1293" i="4"/>
  <c r="I1293" i="4"/>
  <c r="H1293" i="4"/>
  <c r="Q1292" i="4"/>
  <c r="P1292" i="4"/>
  <c r="O1292" i="4"/>
  <c r="N1292" i="4"/>
  <c r="M1292" i="4"/>
  <c r="L1292" i="4"/>
  <c r="K1292" i="4"/>
  <c r="J1292" i="4"/>
  <c r="I1292" i="4"/>
  <c r="H1292" i="4"/>
  <c r="Q1291" i="4"/>
  <c r="P1291" i="4"/>
  <c r="O1291" i="4"/>
  <c r="N1291" i="4"/>
  <c r="M1291" i="4"/>
  <c r="L1291" i="4"/>
  <c r="K1291" i="4"/>
  <c r="J1291" i="4"/>
  <c r="I1291" i="4"/>
  <c r="H1291" i="4"/>
  <c r="Q1290" i="4"/>
  <c r="P1290" i="4"/>
  <c r="O1290" i="4"/>
  <c r="N1290" i="4"/>
  <c r="M1290" i="4"/>
  <c r="L1290" i="4"/>
  <c r="K1290" i="4"/>
  <c r="J1290" i="4"/>
  <c r="I1290" i="4"/>
  <c r="H1290" i="4"/>
  <c r="Q1289" i="4"/>
  <c r="P1289" i="4"/>
  <c r="O1289" i="4"/>
  <c r="N1289" i="4"/>
  <c r="M1289" i="4"/>
  <c r="L1289" i="4"/>
  <c r="K1289" i="4"/>
  <c r="J1289" i="4"/>
  <c r="I1289" i="4"/>
  <c r="H1289" i="4"/>
  <c r="Q1288" i="4"/>
  <c r="P1288" i="4"/>
  <c r="O1288" i="4"/>
  <c r="N1288" i="4"/>
  <c r="M1288" i="4"/>
  <c r="L1288" i="4"/>
  <c r="K1288" i="4"/>
  <c r="J1288" i="4"/>
  <c r="I1288" i="4"/>
  <c r="H1288" i="4"/>
  <c r="Q1287" i="4"/>
  <c r="P1287" i="4"/>
  <c r="O1287" i="4"/>
  <c r="N1287" i="4"/>
  <c r="M1287" i="4"/>
  <c r="L1287" i="4"/>
  <c r="K1287" i="4"/>
  <c r="J1287" i="4"/>
  <c r="I1287" i="4"/>
  <c r="H1287" i="4"/>
  <c r="Q1286" i="4"/>
  <c r="P1286" i="4"/>
  <c r="O1286" i="4"/>
  <c r="N1286" i="4"/>
  <c r="M1286" i="4"/>
  <c r="L1286" i="4"/>
  <c r="K1286" i="4"/>
  <c r="J1286" i="4"/>
  <c r="I1286" i="4"/>
  <c r="H1286" i="4"/>
  <c r="Q1285" i="4"/>
  <c r="P1285" i="4"/>
  <c r="O1285" i="4"/>
  <c r="N1285" i="4"/>
  <c r="M1285" i="4"/>
  <c r="L1285" i="4"/>
  <c r="K1285" i="4"/>
  <c r="J1285" i="4"/>
  <c r="I1285" i="4"/>
  <c r="H1285" i="4"/>
  <c r="Q1284" i="4"/>
  <c r="P1284" i="4"/>
  <c r="O1284" i="4"/>
  <c r="N1284" i="4"/>
  <c r="M1284" i="4"/>
  <c r="L1284" i="4"/>
  <c r="K1284" i="4"/>
  <c r="J1284" i="4"/>
  <c r="I1284" i="4"/>
  <c r="H1284" i="4"/>
  <c r="Q1283" i="4"/>
  <c r="P1283" i="4"/>
  <c r="O1283" i="4"/>
  <c r="N1283" i="4"/>
  <c r="M1283" i="4"/>
  <c r="L1283" i="4"/>
  <c r="K1283" i="4"/>
  <c r="J1283" i="4"/>
  <c r="I1283" i="4"/>
  <c r="H1283" i="4"/>
  <c r="Q1282" i="4"/>
  <c r="P1282" i="4"/>
  <c r="O1282" i="4"/>
  <c r="N1282" i="4"/>
  <c r="M1282" i="4"/>
  <c r="L1282" i="4"/>
  <c r="K1282" i="4"/>
  <c r="J1282" i="4"/>
  <c r="I1282" i="4"/>
  <c r="H1282" i="4"/>
  <c r="Q1281" i="4"/>
  <c r="P1281" i="4"/>
  <c r="O1281" i="4"/>
  <c r="N1281" i="4"/>
  <c r="M1281" i="4"/>
  <c r="L1281" i="4"/>
  <c r="K1281" i="4"/>
  <c r="J1281" i="4"/>
  <c r="I1281" i="4"/>
  <c r="H1281" i="4"/>
  <c r="Q1280" i="4"/>
  <c r="P1280" i="4"/>
  <c r="O1280" i="4"/>
  <c r="N1280" i="4"/>
  <c r="M1280" i="4"/>
  <c r="L1280" i="4"/>
  <c r="K1280" i="4"/>
  <c r="J1280" i="4"/>
  <c r="I1280" i="4"/>
  <c r="H1280" i="4"/>
  <c r="Q1279" i="4"/>
  <c r="P1279" i="4"/>
  <c r="O1279" i="4"/>
  <c r="N1279" i="4"/>
  <c r="M1279" i="4"/>
  <c r="L1279" i="4"/>
  <c r="K1279" i="4"/>
  <c r="J1279" i="4"/>
  <c r="I1279" i="4"/>
  <c r="H1279" i="4"/>
  <c r="Q1278" i="4"/>
  <c r="P1278" i="4"/>
  <c r="O1278" i="4"/>
  <c r="N1278" i="4"/>
  <c r="M1278" i="4"/>
  <c r="L1278" i="4"/>
  <c r="K1278" i="4"/>
  <c r="J1278" i="4"/>
  <c r="I1278" i="4"/>
  <c r="H1278" i="4"/>
  <c r="Q1277" i="4"/>
  <c r="P1277" i="4"/>
  <c r="O1277" i="4"/>
  <c r="N1277" i="4"/>
  <c r="M1277" i="4"/>
  <c r="L1277" i="4"/>
  <c r="K1277" i="4"/>
  <c r="J1277" i="4"/>
  <c r="I1277" i="4"/>
  <c r="H1277" i="4"/>
  <c r="Q1276" i="4"/>
  <c r="P1276" i="4"/>
  <c r="O1276" i="4"/>
  <c r="N1276" i="4"/>
  <c r="M1276" i="4"/>
  <c r="L1276" i="4"/>
  <c r="K1276" i="4"/>
  <c r="J1276" i="4"/>
  <c r="I1276" i="4"/>
  <c r="H1276" i="4"/>
  <c r="Q1275" i="4"/>
  <c r="P1275" i="4"/>
  <c r="O1275" i="4"/>
  <c r="N1275" i="4"/>
  <c r="M1275" i="4"/>
  <c r="L1275" i="4"/>
  <c r="K1275" i="4"/>
  <c r="J1275" i="4"/>
  <c r="I1275" i="4"/>
  <c r="H1275" i="4"/>
  <c r="Q1274" i="4"/>
  <c r="P1274" i="4"/>
  <c r="O1274" i="4"/>
  <c r="N1274" i="4"/>
  <c r="M1274" i="4"/>
  <c r="L1274" i="4"/>
  <c r="K1274" i="4"/>
  <c r="J1274" i="4"/>
  <c r="I1274" i="4"/>
  <c r="H1274" i="4"/>
  <c r="Q1273" i="4"/>
  <c r="P1273" i="4"/>
  <c r="O1273" i="4"/>
  <c r="N1273" i="4"/>
  <c r="M1273" i="4"/>
  <c r="L1273" i="4"/>
  <c r="K1273" i="4"/>
  <c r="J1273" i="4"/>
  <c r="I1273" i="4"/>
  <c r="H1273" i="4"/>
  <c r="Q1272" i="4"/>
  <c r="P1272" i="4"/>
  <c r="O1272" i="4"/>
  <c r="N1272" i="4"/>
  <c r="M1272" i="4"/>
  <c r="L1272" i="4"/>
  <c r="K1272" i="4"/>
  <c r="J1272" i="4"/>
  <c r="I1272" i="4"/>
  <c r="H1272" i="4"/>
  <c r="Q1271" i="4"/>
  <c r="P1271" i="4"/>
  <c r="O1271" i="4"/>
  <c r="N1271" i="4"/>
  <c r="M1271" i="4"/>
  <c r="L1271" i="4"/>
  <c r="K1271" i="4"/>
  <c r="J1271" i="4"/>
  <c r="I1271" i="4"/>
  <c r="H1271" i="4"/>
  <c r="Q1270" i="4"/>
  <c r="P1270" i="4"/>
  <c r="O1270" i="4"/>
  <c r="N1270" i="4"/>
  <c r="M1270" i="4"/>
  <c r="L1270" i="4"/>
  <c r="K1270" i="4"/>
  <c r="J1270" i="4"/>
  <c r="I1270" i="4"/>
  <c r="H1270" i="4"/>
  <c r="Q1269" i="4"/>
  <c r="P1269" i="4"/>
  <c r="O1269" i="4"/>
  <c r="N1269" i="4"/>
  <c r="M1269" i="4"/>
  <c r="L1269" i="4"/>
  <c r="K1269" i="4"/>
  <c r="J1269" i="4"/>
  <c r="I1269" i="4"/>
  <c r="H1269" i="4"/>
  <c r="Q1268" i="4"/>
  <c r="P1268" i="4"/>
  <c r="O1268" i="4"/>
  <c r="N1268" i="4"/>
  <c r="M1268" i="4"/>
  <c r="L1268" i="4"/>
  <c r="K1268" i="4"/>
  <c r="J1268" i="4"/>
  <c r="I1268" i="4"/>
  <c r="H1268" i="4"/>
  <c r="Q1267" i="4"/>
  <c r="P1267" i="4"/>
  <c r="O1267" i="4"/>
  <c r="N1267" i="4"/>
  <c r="M1267" i="4"/>
  <c r="L1267" i="4"/>
  <c r="K1267" i="4"/>
  <c r="J1267" i="4"/>
  <c r="I1267" i="4"/>
  <c r="H1267" i="4"/>
  <c r="Q1266" i="4"/>
  <c r="P1266" i="4"/>
  <c r="O1266" i="4"/>
  <c r="N1266" i="4"/>
  <c r="M1266" i="4"/>
  <c r="L1266" i="4"/>
  <c r="K1266" i="4"/>
  <c r="J1266" i="4"/>
  <c r="I1266" i="4"/>
  <c r="H1266" i="4"/>
  <c r="Q1265" i="4"/>
  <c r="P1265" i="4"/>
  <c r="O1265" i="4"/>
  <c r="N1265" i="4"/>
  <c r="M1265" i="4"/>
  <c r="L1265" i="4"/>
  <c r="K1265" i="4"/>
  <c r="J1265" i="4"/>
  <c r="I1265" i="4"/>
  <c r="H1265" i="4"/>
  <c r="Q1264" i="4"/>
  <c r="P1264" i="4"/>
  <c r="O1264" i="4"/>
  <c r="N1264" i="4"/>
  <c r="M1264" i="4"/>
  <c r="L1264" i="4"/>
  <c r="K1264" i="4"/>
  <c r="J1264" i="4"/>
  <c r="I1264" i="4"/>
  <c r="H1264" i="4"/>
  <c r="Q1263" i="4"/>
  <c r="P1263" i="4"/>
  <c r="O1263" i="4"/>
  <c r="N1263" i="4"/>
  <c r="M1263" i="4"/>
  <c r="L1263" i="4"/>
  <c r="K1263" i="4"/>
  <c r="J1263" i="4"/>
  <c r="I1263" i="4"/>
  <c r="H1263" i="4"/>
  <c r="Q1262" i="4"/>
  <c r="P1262" i="4"/>
  <c r="O1262" i="4"/>
  <c r="N1262" i="4"/>
  <c r="M1262" i="4"/>
  <c r="L1262" i="4"/>
  <c r="K1262" i="4"/>
  <c r="J1262" i="4"/>
  <c r="I1262" i="4"/>
  <c r="H1262" i="4"/>
  <c r="Q1261" i="4"/>
  <c r="P1261" i="4"/>
  <c r="O1261" i="4"/>
  <c r="N1261" i="4"/>
  <c r="M1261" i="4"/>
  <c r="L1261" i="4"/>
  <c r="K1261" i="4"/>
  <c r="J1261" i="4"/>
  <c r="I1261" i="4"/>
  <c r="H1261" i="4"/>
  <c r="Q1260" i="4"/>
  <c r="P1260" i="4"/>
  <c r="O1260" i="4"/>
  <c r="N1260" i="4"/>
  <c r="M1260" i="4"/>
  <c r="L1260" i="4"/>
  <c r="K1260" i="4"/>
  <c r="J1260" i="4"/>
  <c r="I1260" i="4"/>
  <c r="H1260" i="4"/>
  <c r="Q1259" i="4"/>
  <c r="P1259" i="4"/>
  <c r="O1259" i="4"/>
  <c r="N1259" i="4"/>
  <c r="M1259" i="4"/>
  <c r="L1259" i="4"/>
  <c r="K1259" i="4"/>
  <c r="J1259" i="4"/>
  <c r="I1259" i="4"/>
  <c r="H1259" i="4"/>
  <c r="Q1258" i="4"/>
  <c r="P1258" i="4"/>
  <c r="O1258" i="4"/>
  <c r="N1258" i="4"/>
  <c r="M1258" i="4"/>
  <c r="L1258" i="4"/>
  <c r="K1258" i="4"/>
  <c r="J1258" i="4"/>
  <c r="I1258" i="4"/>
  <c r="H1258" i="4"/>
  <c r="Q1257" i="4"/>
  <c r="P1257" i="4"/>
  <c r="O1257" i="4"/>
  <c r="N1257" i="4"/>
  <c r="M1257" i="4"/>
  <c r="L1257" i="4"/>
  <c r="K1257" i="4"/>
  <c r="J1257" i="4"/>
  <c r="I1257" i="4"/>
  <c r="H1257" i="4"/>
  <c r="Q1256" i="4"/>
  <c r="P1256" i="4"/>
  <c r="O1256" i="4"/>
  <c r="N1256" i="4"/>
  <c r="M1256" i="4"/>
  <c r="L1256" i="4"/>
  <c r="K1256" i="4"/>
  <c r="J1256" i="4"/>
  <c r="I1256" i="4"/>
  <c r="H1256" i="4"/>
  <c r="Q1255" i="4"/>
  <c r="P1255" i="4"/>
  <c r="O1255" i="4"/>
  <c r="N1255" i="4"/>
  <c r="M1255" i="4"/>
  <c r="L1255" i="4"/>
  <c r="K1255" i="4"/>
  <c r="J1255" i="4"/>
  <c r="I1255" i="4"/>
  <c r="H1255" i="4"/>
  <c r="Q1254" i="4"/>
  <c r="P1254" i="4"/>
  <c r="O1254" i="4"/>
  <c r="N1254" i="4"/>
  <c r="M1254" i="4"/>
  <c r="L1254" i="4"/>
  <c r="K1254" i="4"/>
  <c r="J1254" i="4"/>
  <c r="I1254" i="4"/>
  <c r="H1254" i="4"/>
  <c r="Q1253" i="4"/>
  <c r="P1253" i="4"/>
  <c r="O1253" i="4"/>
  <c r="N1253" i="4"/>
  <c r="M1253" i="4"/>
  <c r="L1253" i="4"/>
  <c r="K1253" i="4"/>
  <c r="J1253" i="4"/>
  <c r="I1253" i="4"/>
  <c r="H1253" i="4"/>
  <c r="Q1252" i="4"/>
  <c r="P1252" i="4"/>
  <c r="O1252" i="4"/>
  <c r="N1252" i="4"/>
  <c r="M1252" i="4"/>
  <c r="L1252" i="4"/>
  <c r="K1252" i="4"/>
  <c r="J1252" i="4"/>
  <c r="I1252" i="4"/>
  <c r="H1252" i="4"/>
  <c r="Q1251" i="4"/>
  <c r="P1251" i="4"/>
  <c r="O1251" i="4"/>
  <c r="N1251" i="4"/>
  <c r="M1251" i="4"/>
  <c r="L1251" i="4"/>
  <c r="K1251" i="4"/>
  <c r="J1251" i="4"/>
  <c r="I1251" i="4"/>
  <c r="H1251" i="4"/>
  <c r="Q1250" i="4"/>
  <c r="P1250" i="4"/>
  <c r="O1250" i="4"/>
  <c r="N1250" i="4"/>
  <c r="M1250" i="4"/>
  <c r="L1250" i="4"/>
  <c r="K1250" i="4"/>
  <c r="J1250" i="4"/>
  <c r="I1250" i="4"/>
  <c r="H1250" i="4"/>
  <c r="Q1249" i="4"/>
  <c r="P1249" i="4"/>
  <c r="O1249" i="4"/>
  <c r="N1249" i="4"/>
  <c r="M1249" i="4"/>
  <c r="L1249" i="4"/>
  <c r="K1249" i="4"/>
  <c r="J1249" i="4"/>
  <c r="I1249" i="4"/>
  <c r="H1249" i="4"/>
  <c r="Q1248" i="4"/>
  <c r="P1248" i="4"/>
  <c r="O1248" i="4"/>
  <c r="N1248" i="4"/>
  <c r="M1248" i="4"/>
  <c r="L1248" i="4"/>
  <c r="K1248" i="4"/>
  <c r="J1248" i="4"/>
  <c r="I1248" i="4"/>
  <c r="H1248" i="4"/>
  <c r="Q1247" i="4"/>
  <c r="P1247" i="4"/>
  <c r="O1247" i="4"/>
  <c r="N1247" i="4"/>
  <c r="M1247" i="4"/>
  <c r="L1247" i="4"/>
  <c r="K1247" i="4"/>
  <c r="J1247" i="4"/>
  <c r="I1247" i="4"/>
  <c r="H1247" i="4"/>
  <c r="Q1246" i="4"/>
  <c r="P1246" i="4"/>
  <c r="O1246" i="4"/>
  <c r="N1246" i="4"/>
  <c r="M1246" i="4"/>
  <c r="L1246" i="4"/>
  <c r="K1246" i="4"/>
  <c r="J1246" i="4"/>
  <c r="I1246" i="4"/>
  <c r="H1246" i="4"/>
  <c r="Q1245" i="4"/>
  <c r="P1245" i="4"/>
  <c r="O1245" i="4"/>
  <c r="N1245" i="4"/>
  <c r="M1245" i="4"/>
  <c r="L1245" i="4"/>
  <c r="K1245" i="4"/>
  <c r="J1245" i="4"/>
  <c r="I1245" i="4"/>
  <c r="H1245" i="4"/>
  <c r="Q1244" i="4"/>
  <c r="P1244" i="4"/>
  <c r="O1244" i="4"/>
  <c r="N1244" i="4"/>
  <c r="M1244" i="4"/>
  <c r="L1244" i="4"/>
  <c r="K1244" i="4"/>
  <c r="J1244" i="4"/>
  <c r="I1244" i="4"/>
  <c r="H1244" i="4"/>
  <c r="Q1243" i="4"/>
  <c r="P1243" i="4"/>
  <c r="O1243" i="4"/>
  <c r="N1243" i="4"/>
  <c r="M1243" i="4"/>
  <c r="L1243" i="4"/>
  <c r="K1243" i="4"/>
  <c r="J1243" i="4"/>
  <c r="I1243" i="4"/>
  <c r="H1243" i="4"/>
  <c r="Q1242" i="4"/>
  <c r="P1242" i="4"/>
  <c r="O1242" i="4"/>
  <c r="N1242" i="4"/>
  <c r="M1242" i="4"/>
  <c r="L1242" i="4"/>
  <c r="K1242" i="4"/>
  <c r="J1242" i="4"/>
  <c r="I1242" i="4"/>
  <c r="H1242" i="4"/>
  <c r="Q1241" i="4"/>
  <c r="P1241" i="4"/>
  <c r="O1241" i="4"/>
  <c r="N1241" i="4"/>
  <c r="M1241" i="4"/>
  <c r="L1241" i="4"/>
  <c r="K1241" i="4"/>
  <c r="J1241" i="4"/>
  <c r="I1241" i="4"/>
  <c r="H1241" i="4"/>
  <c r="Q1240" i="4"/>
  <c r="P1240" i="4"/>
  <c r="O1240" i="4"/>
  <c r="N1240" i="4"/>
  <c r="M1240" i="4"/>
  <c r="L1240" i="4"/>
  <c r="K1240" i="4"/>
  <c r="J1240" i="4"/>
  <c r="I1240" i="4"/>
  <c r="H1240" i="4"/>
  <c r="Q1239" i="4"/>
  <c r="P1239" i="4"/>
  <c r="O1239" i="4"/>
  <c r="N1239" i="4"/>
  <c r="M1239" i="4"/>
  <c r="L1239" i="4"/>
  <c r="K1239" i="4"/>
  <c r="J1239" i="4"/>
  <c r="I1239" i="4"/>
  <c r="H1239" i="4"/>
  <c r="Q1238" i="4"/>
  <c r="P1238" i="4"/>
  <c r="O1238" i="4"/>
  <c r="N1238" i="4"/>
  <c r="M1238" i="4"/>
  <c r="L1238" i="4"/>
  <c r="K1238" i="4"/>
  <c r="J1238" i="4"/>
  <c r="I1238" i="4"/>
  <c r="H1238" i="4"/>
  <c r="Q1237" i="4"/>
  <c r="P1237" i="4"/>
  <c r="O1237" i="4"/>
  <c r="N1237" i="4"/>
  <c r="M1237" i="4"/>
  <c r="L1237" i="4"/>
  <c r="K1237" i="4"/>
  <c r="J1237" i="4"/>
  <c r="I1237" i="4"/>
  <c r="H1237" i="4"/>
  <c r="Q1236" i="4"/>
  <c r="P1236" i="4"/>
  <c r="O1236" i="4"/>
  <c r="N1236" i="4"/>
  <c r="M1236" i="4"/>
  <c r="L1236" i="4"/>
  <c r="K1236" i="4"/>
  <c r="J1236" i="4"/>
  <c r="I1236" i="4"/>
  <c r="H1236" i="4"/>
  <c r="Q1235" i="4"/>
  <c r="P1235" i="4"/>
  <c r="O1235" i="4"/>
  <c r="N1235" i="4"/>
  <c r="M1235" i="4"/>
  <c r="L1235" i="4"/>
  <c r="K1235" i="4"/>
  <c r="J1235" i="4"/>
  <c r="I1235" i="4"/>
  <c r="H1235" i="4"/>
  <c r="Q1234" i="4"/>
  <c r="P1234" i="4"/>
  <c r="O1234" i="4"/>
  <c r="N1234" i="4"/>
  <c r="M1234" i="4"/>
  <c r="L1234" i="4"/>
  <c r="K1234" i="4"/>
  <c r="J1234" i="4"/>
  <c r="I1234" i="4"/>
  <c r="H1234" i="4"/>
  <c r="Q1233" i="4"/>
  <c r="P1233" i="4"/>
  <c r="O1233" i="4"/>
  <c r="N1233" i="4"/>
  <c r="M1233" i="4"/>
  <c r="L1233" i="4"/>
  <c r="K1233" i="4"/>
  <c r="J1233" i="4"/>
  <c r="I1233" i="4"/>
  <c r="H1233" i="4"/>
  <c r="Q1232" i="4"/>
  <c r="P1232" i="4"/>
  <c r="O1232" i="4"/>
  <c r="N1232" i="4"/>
  <c r="M1232" i="4"/>
  <c r="L1232" i="4"/>
  <c r="K1232" i="4"/>
  <c r="J1232" i="4"/>
  <c r="I1232" i="4"/>
  <c r="H1232" i="4"/>
  <c r="Q1231" i="4"/>
  <c r="P1231" i="4"/>
  <c r="O1231" i="4"/>
  <c r="N1231" i="4"/>
  <c r="M1231" i="4"/>
  <c r="L1231" i="4"/>
  <c r="K1231" i="4"/>
  <c r="J1231" i="4"/>
  <c r="I1231" i="4"/>
  <c r="H1231" i="4"/>
  <c r="Q1230" i="4"/>
  <c r="P1230" i="4"/>
  <c r="O1230" i="4"/>
  <c r="N1230" i="4"/>
  <c r="M1230" i="4"/>
  <c r="L1230" i="4"/>
  <c r="K1230" i="4"/>
  <c r="J1230" i="4"/>
  <c r="I1230" i="4"/>
  <c r="H1230" i="4"/>
  <c r="Q1229" i="4"/>
  <c r="P1229" i="4"/>
  <c r="O1229" i="4"/>
  <c r="N1229" i="4"/>
  <c r="M1229" i="4"/>
  <c r="L1229" i="4"/>
  <c r="K1229" i="4"/>
  <c r="J1229" i="4"/>
  <c r="I1229" i="4"/>
  <c r="H1229" i="4"/>
  <c r="Q1228" i="4"/>
  <c r="P1228" i="4"/>
  <c r="O1228" i="4"/>
  <c r="N1228" i="4"/>
  <c r="M1228" i="4"/>
  <c r="L1228" i="4"/>
  <c r="K1228" i="4"/>
  <c r="J1228" i="4"/>
  <c r="I1228" i="4"/>
  <c r="H1228" i="4"/>
  <c r="Q1227" i="4"/>
  <c r="P1227" i="4"/>
  <c r="O1227" i="4"/>
  <c r="N1227" i="4"/>
  <c r="M1227" i="4"/>
  <c r="L1227" i="4"/>
  <c r="K1227" i="4"/>
  <c r="J1227" i="4"/>
  <c r="I1227" i="4"/>
  <c r="H1227" i="4"/>
  <c r="Q1226" i="4"/>
  <c r="P1226" i="4"/>
  <c r="O1226" i="4"/>
  <c r="N1226" i="4"/>
  <c r="M1226" i="4"/>
  <c r="L1226" i="4"/>
  <c r="K1226" i="4"/>
  <c r="J1226" i="4"/>
  <c r="I1226" i="4"/>
  <c r="H1226" i="4"/>
  <c r="Q1225" i="4"/>
  <c r="P1225" i="4"/>
  <c r="O1225" i="4"/>
  <c r="N1225" i="4"/>
  <c r="M1225" i="4"/>
  <c r="L1225" i="4"/>
  <c r="K1225" i="4"/>
  <c r="J1225" i="4"/>
  <c r="I1225" i="4"/>
  <c r="H1225" i="4"/>
  <c r="Q1224" i="4"/>
  <c r="P1224" i="4"/>
  <c r="O1224" i="4"/>
  <c r="N1224" i="4"/>
  <c r="M1224" i="4"/>
  <c r="L1224" i="4"/>
  <c r="K1224" i="4"/>
  <c r="J1224" i="4"/>
  <c r="I1224" i="4"/>
  <c r="H1224" i="4"/>
  <c r="Q1223" i="4"/>
  <c r="P1223" i="4"/>
  <c r="O1223" i="4"/>
  <c r="N1223" i="4"/>
  <c r="M1223" i="4"/>
  <c r="L1223" i="4"/>
  <c r="K1223" i="4"/>
  <c r="J1223" i="4"/>
  <c r="I1223" i="4"/>
  <c r="H1223" i="4"/>
  <c r="Q1222" i="4"/>
  <c r="P1222" i="4"/>
  <c r="O1222" i="4"/>
  <c r="N1222" i="4"/>
  <c r="M1222" i="4"/>
  <c r="L1222" i="4"/>
  <c r="K1222" i="4"/>
  <c r="J1222" i="4"/>
  <c r="I1222" i="4"/>
  <c r="H1222" i="4"/>
  <c r="Q1221" i="4"/>
  <c r="P1221" i="4"/>
  <c r="O1221" i="4"/>
  <c r="N1221" i="4"/>
  <c r="M1221" i="4"/>
  <c r="L1221" i="4"/>
  <c r="K1221" i="4"/>
  <c r="J1221" i="4"/>
  <c r="I1221" i="4"/>
  <c r="H1221" i="4"/>
  <c r="Q1220" i="4"/>
  <c r="P1220" i="4"/>
  <c r="O1220" i="4"/>
  <c r="N1220" i="4"/>
  <c r="M1220" i="4"/>
  <c r="L1220" i="4"/>
  <c r="K1220" i="4"/>
  <c r="J1220" i="4"/>
  <c r="I1220" i="4"/>
  <c r="H1220" i="4"/>
  <c r="Q1219" i="4"/>
  <c r="P1219" i="4"/>
  <c r="O1219" i="4"/>
  <c r="N1219" i="4"/>
  <c r="M1219" i="4"/>
  <c r="L1219" i="4"/>
  <c r="K1219" i="4"/>
  <c r="J1219" i="4"/>
  <c r="I1219" i="4"/>
  <c r="H1219" i="4"/>
  <c r="Q1218" i="4"/>
  <c r="P1218" i="4"/>
  <c r="O1218" i="4"/>
  <c r="N1218" i="4"/>
  <c r="M1218" i="4"/>
  <c r="L1218" i="4"/>
  <c r="K1218" i="4"/>
  <c r="J1218" i="4"/>
  <c r="I1218" i="4"/>
  <c r="H1218" i="4"/>
  <c r="Q1217" i="4"/>
  <c r="P1217" i="4"/>
  <c r="O1217" i="4"/>
  <c r="N1217" i="4"/>
  <c r="M1217" i="4"/>
  <c r="L1217" i="4"/>
  <c r="K1217" i="4"/>
  <c r="J1217" i="4"/>
  <c r="I1217" i="4"/>
  <c r="H1217" i="4"/>
  <c r="Q1216" i="4"/>
  <c r="P1216" i="4"/>
  <c r="O1216" i="4"/>
  <c r="N1216" i="4"/>
  <c r="M1216" i="4"/>
  <c r="L1216" i="4"/>
  <c r="K1216" i="4"/>
  <c r="J1216" i="4"/>
  <c r="I1216" i="4"/>
  <c r="H1216" i="4"/>
  <c r="Q1215" i="4"/>
  <c r="P1215" i="4"/>
  <c r="O1215" i="4"/>
  <c r="N1215" i="4"/>
  <c r="M1215" i="4"/>
  <c r="L1215" i="4"/>
  <c r="K1215" i="4"/>
  <c r="J1215" i="4"/>
  <c r="I1215" i="4"/>
  <c r="H1215" i="4"/>
  <c r="Q1214" i="4"/>
  <c r="P1214" i="4"/>
  <c r="O1214" i="4"/>
  <c r="N1214" i="4"/>
  <c r="M1214" i="4"/>
  <c r="L1214" i="4"/>
  <c r="K1214" i="4"/>
  <c r="J1214" i="4"/>
  <c r="I1214" i="4"/>
  <c r="H1214" i="4"/>
  <c r="Q1213" i="4"/>
  <c r="P1213" i="4"/>
  <c r="O1213" i="4"/>
  <c r="N1213" i="4"/>
  <c r="M1213" i="4"/>
  <c r="L1213" i="4"/>
  <c r="K1213" i="4"/>
  <c r="J1213" i="4"/>
  <c r="I1213" i="4"/>
  <c r="H1213" i="4"/>
  <c r="Q1212" i="4"/>
  <c r="P1212" i="4"/>
  <c r="O1212" i="4"/>
  <c r="N1212" i="4"/>
  <c r="M1212" i="4"/>
  <c r="L1212" i="4"/>
  <c r="K1212" i="4"/>
  <c r="J1212" i="4"/>
  <c r="I1212" i="4"/>
  <c r="H1212" i="4"/>
  <c r="Q1211" i="4"/>
  <c r="P1211" i="4"/>
  <c r="O1211" i="4"/>
  <c r="N1211" i="4"/>
  <c r="M1211" i="4"/>
  <c r="L1211" i="4"/>
  <c r="K1211" i="4"/>
  <c r="J1211" i="4"/>
  <c r="I1211" i="4"/>
  <c r="H1211" i="4"/>
  <c r="Q1210" i="4"/>
  <c r="P1210" i="4"/>
  <c r="O1210" i="4"/>
  <c r="N1210" i="4"/>
  <c r="M1210" i="4"/>
  <c r="L1210" i="4"/>
  <c r="K1210" i="4"/>
  <c r="J1210" i="4"/>
  <c r="I1210" i="4"/>
  <c r="H1210" i="4"/>
  <c r="Q1209" i="4"/>
  <c r="P1209" i="4"/>
  <c r="O1209" i="4"/>
  <c r="N1209" i="4"/>
  <c r="M1209" i="4"/>
  <c r="L1209" i="4"/>
  <c r="K1209" i="4"/>
  <c r="J1209" i="4"/>
  <c r="I1209" i="4"/>
  <c r="H1209" i="4"/>
  <c r="Q1208" i="4"/>
  <c r="P1208" i="4"/>
  <c r="O1208" i="4"/>
  <c r="N1208" i="4"/>
  <c r="M1208" i="4"/>
  <c r="L1208" i="4"/>
  <c r="K1208" i="4"/>
  <c r="J1208" i="4"/>
  <c r="I1208" i="4"/>
  <c r="H1208" i="4"/>
  <c r="Q1207" i="4"/>
  <c r="P1207" i="4"/>
  <c r="O1207" i="4"/>
  <c r="N1207" i="4"/>
  <c r="M1207" i="4"/>
  <c r="L1207" i="4"/>
  <c r="K1207" i="4"/>
  <c r="J1207" i="4"/>
  <c r="I1207" i="4"/>
  <c r="H1207" i="4"/>
  <c r="Q1206" i="4"/>
  <c r="P1206" i="4"/>
  <c r="O1206" i="4"/>
  <c r="N1206" i="4"/>
  <c r="M1206" i="4"/>
  <c r="L1206" i="4"/>
  <c r="K1206" i="4"/>
  <c r="J1206" i="4"/>
  <c r="I1206" i="4"/>
  <c r="H1206" i="4"/>
  <c r="Q1205" i="4"/>
  <c r="P1205" i="4"/>
  <c r="O1205" i="4"/>
  <c r="N1205" i="4"/>
  <c r="M1205" i="4"/>
  <c r="L1205" i="4"/>
  <c r="K1205" i="4"/>
  <c r="J1205" i="4"/>
  <c r="I1205" i="4"/>
  <c r="H1205" i="4"/>
  <c r="Q1204" i="4"/>
  <c r="P1204" i="4"/>
  <c r="O1204" i="4"/>
  <c r="N1204" i="4"/>
  <c r="M1204" i="4"/>
  <c r="L1204" i="4"/>
  <c r="K1204" i="4"/>
  <c r="J1204" i="4"/>
  <c r="I1204" i="4"/>
  <c r="H1204" i="4"/>
  <c r="Q1203" i="4"/>
  <c r="P1203" i="4"/>
  <c r="O1203" i="4"/>
  <c r="N1203" i="4"/>
  <c r="M1203" i="4"/>
  <c r="L1203" i="4"/>
  <c r="K1203" i="4"/>
  <c r="J1203" i="4"/>
  <c r="I1203" i="4"/>
  <c r="H1203" i="4"/>
  <c r="Q1202" i="4"/>
  <c r="P1202" i="4"/>
  <c r="O1202" i="4"/>
  <c r="N1202" i="4"/>
  <c r="M1202" i="4"/>
  <c r="L1202" i="4"/>
  <c r="K1202" i="4"/>
  <c r="J1202" i="4"/>
  <c r="I1202" i="4"/>
  <c r="H1202" i="4"/>
  <c r="Q1201" i="4"/>
  <c r="P1201" i="4"/>
  <c r="O1201" i="4"/>
  <c r="N1201" i="4"/>
  <c r="M1201" i="4"/>
  <c r="L1201" i="4"/>
  <c r="K1201" i="4"/>
  <c r="J1201" i="4"/>
  <c r="I1201" i="4"/>
  <c r="H1201" i="4"/>
  <c r="Q1200" i="4"/>
  <c r="P1200" i="4"/>
  <c r="O1200" i="4"/>
  <c r="N1200" i="4"/>
  <c r="M1200" i="4"/>
  <c r="L1200" i="4"/>
  <c r="K1200" i="4"/>
  <c r="J1200" i="4"/>
  <c r="I1200" i="4"/>
  <c r="H1200" i="4"/>
  <c r="Q1199" i="4"/>
  <c r="P1199" i="4"/>
  <c r="O1199" i="4"/>
  <c r="N1199" i="4"/>
  <c r="M1199" i="4"/>
  <c r="L1199" i="4"/>
  <c r="K1199" i="4"/>
  <c r="J1199" i="4"/>
  <c r="I1199" i="4"/>
  <c r="H1199" i="4"/>
  <c r="Q1198" i="4"/>
  <c r="P1198" i="4"/>
  <c r="O1198" i="4"/>
  <c r="N1198" i="4"/>
  <c r="M1198" i="4"/>
  <c r="L1198" i="4"/>
  <c r="K1198" i="4"/>
  <c r="J1198" i="4"/>
  <c r="I1198" i="4"/>
  <c r="H1198" i="4"/>
  <c r="Q1197" i="4"/>
  <c r="P1197" i="4"/>
  <c r="O1197" i="4"/>
  <c r="N1197" i="4"/>
  <c r="M1197" i="4"/>
  <c r="L1197" i="4"/>
  <c r="K1197" i="4"/>
  <c r="J1197" i="4"/>
  <c r="I1197" i="4"/>
  <c r="H1197" i="4"/>
  <c r="Q1196" i="4"/>
  <c r="P1196" i="4"/>
  <c r="O1196" i="4"/>
  <c r="N1196" i="4"/>
  <c r="M1196" i="4"/>
  <c r="L1196" i="4"/>
  <c r="K1196" i="4"/>
  <c r="J1196" i="4"/>
  <c r="I1196" i="4"/>
  <c r="H1196" i="4"/>
  <c r="Q1195" i="4"/>
  <c r="P1195" i="4"/>
  <c r="O1195" i="4"/>
  <c r="N1195" i="4"/>
  <c r="M1195" i="4"/>
  <c r="L1195" i="4"/>
  <c r="K1195" i="4"/>
  <c r="J1195" i="4"/>
  <c r="I1195" i="4"/>
  <c r="H1195" i="4"/>
  <c r="Q1194" i="4"/>
  <c r="P1194" i="4"/>
  <c r="O1194" i="4"/>
  <c r="N1194" i="4"/>
  <c r="M1194" i="4"/>
  <c r="L1194" i="4"/>
  <c r="K1194" i="4"/>
  <c r="J1194" i="4"/>
  <c r="I1194" i="4"/>
  <c r="H1194" i="4"/>
  <c r="Q1193" i="4"/>
  <c r="P1193" i="4"/>
  <c r="O1193" i="4"/>
  <c r="N1193" i="4"/>
  <c r="M1193" i="4"/>
  <c r="L1193" i="4"/>
  <c r="K1193" i="4"/>
  <c r="J1193" i="4"/>
  <c r="I1193" i="4"/>
  <c r="H1193" i="4"/>
  <c r="Q1192" i="4"/>
  <c r="P1192" i="4"/>
  <c r="O1192" i="4"/>
  <c r="N1192" i="4"/>
  <c r="M1192" i="4"/>
  <c r="L1192" i="4"/>
  <c r="K1192" i="4"/>
  <c r="J1192" i="4"/>
  <c r="I1192" i="4"/>
  <c r="H1192" i="4"/>
  <c r="Q1191" i="4"/>
  <c r="P1191" i="4"/>
  <c r="O1191" i="4"/>
  <c r="N1191" i="4"/>
  <c r="M1191" i="4"/>
  <c r="L1191" i="4"/>
  <c r="K1191" i="4"/>
  <c r="J1191" i="4"/>
  <c r="I1191" i="4"/>
  <c r="H1191" i="4"/>
  <c r="Q1190" i="4"/>
  <c r="P1190" i="4"/>
  <c r="O1190" i="4"/>
  <c r="N1190" i="4"/>
  <c r="M1190" i="4"/>
  <c r="L1190" i="4"/>
  <c r="K1190" i="4"/>
  <c r="J1190" i="4"/>
  <c r="I1190" i="4"/>
  <c r="H1190" i="4"/>
  <c r="Q1189" i="4"/>
  <c r="P1189" i="4"/>
  <c r="O1189" i="4"/>
  <c r="N1189" i="4"/>
  <c r="M1189" i="4"/>
  <c r="L1189" i="4"/>
  <c r="K1189" i="4"/>
  <c r="J1189" i="4"/>
  <c r="I1189" i="4"/>
  <c r="H1189" i="4"/>
  <c r="Q1188" i="4"/>
  <c r="P1188" i="4"/>
  <c r="O1188" i="4"/>
  <c r="N1188" i="4"/>
  <c r="M1188" i="4"/>
  <c r="L1188" i="4"/>
  <c r="K1188" i="4"/>
  <c r="J1188" i="4"/>
  <c r="I1188" i="4"/>
  <c r="H1188" i="4"/>
  <c r="Q1187" i="4"/>
  <c r="P1187" i="4"/>
  <c r="O1187" i="4"/>
  <c r="N1187" i="4"/>
  <c r="M1187" i="4"/>
  <c r="L1187" i="4"/>
  <c r="K1187" i="4"/>
  <c r="J1187" i="4"/>
  <c r="I1187" i="4"/>
  <c r="H1187" i="4"/>
  <c r="Q1186" i="4"/>
  <c r="P1186" i="4"/>
  <c r="O1186" i="4"/>
  <c r="N1186" i="4"/>
  <c r="M1186" i="4"/>
  <c r="L1186" i="4"/>
  <c r="K1186" i="4"/>
  <c r="J1186" i="4"/>
  <c r="I1186" i="4"/>
  <c r="H1186" i="4"/>
  <c r="Q1185" i="4"/>
  <c r="P1185" i="4"/>
  <c r="O1185" i="4"/>
  <c r="N1185" i="4"/>
  <c r="M1185" i="4"/>
  <c r="L1185" i="4"/>
  <c r="K1185" i="4"/>
  <c r="J1185" i="4"/>
  <c r="I1185" i="4"/>
  <c r="H1185" i="4"/>
  <c r="Q1184" i="4"/>
  <c r="P1184" i="4"/>
  <c r="O1184" i="4"/>
  <c r="N1184" i="4"/>
  <c r="M1184" i="4"/>
  <c r="L1184" i="4"/>
  <c r="K1184" i="4"/>
  <c r="J1184" i="4"/>
  <c r="I1184" i="4"/>
  <c r="H1184" i="4"/>
  <c r="Q1183" i="4"/>
  <c r="P1183" i="4"/>
  <c r="O1183" i="4"/>
  <c r="N1183" i="4"/>
  <c r="M1183" i="4"/>
  <c r="L1183" i="4"/>
  <c r="K1183" i="4"/>
  <c r="J1183" i="4"/>
  <c r="I1183" i="4"/>
  <c r="H1183" i="4"/>
  <c r="Q1182" i="4"/>
  <c r="P1182" i="4"/>
  <c r="O1182" i="4"/>
  <c r="N1182" i="4"/>
  <c r="M1182" i="4"/>
  <c r="L1182" i="4"/>
  <c r="K1182" i="4"/>
  <c r="J1182" i="4"/>
  <c r="I1182" i="4"/>
  <c r="H1182" i="4"/>
  <c r="Q1181" i="4"/>
  <c r="P1181" i="4"/>
  <c r="O1181" i="4"/>
  <c r="N1181" i="4"/>
  <c r="M1181" i="4"/>
  <c r="L1181" i="4"/>
  <c r="K1181" i="4"/>
  <c r="J1181" i="4"/>
  <c r="I1181" i="4"/>
  <c r="H1181" i="4"/>
  <c r="Q1180" i="4"/>
  <c r="P1180" i="4"/>
  <c r="O1180" i="4"/>
  <c r="N1180" i="4"/>
  <c r="M1180" i="4"/>
  <c r="L1180" i="4"/>
  <c r="K1180" i="4"/>
  <c r="J1180" i="4"/>
  <c r="I1180" i="4"/>
  <c r="H1180" i="4"/>
  <c r="Q1179" i="4"/>
  <c r="P1179" i="4"/>
  <c r="O1179" i="4"/>
  <c r="N1179" i="4"/>
  <c r="M1179" i="4"/>
  <c r="L1179" i="4"/>
  <c r="K1179" i="4"/>
  <c r="J1179" i="4"/>
  <c r="I1179" i="4"/>
  <c r="H1179" i="4"/>
  <c r="Q1178" i="4"/>
  <c r="P1178" i="4"/>
  <c r="O1178" i="4"/>
  <c r="N1178" i="4"/>
  <c r="M1178" i="4"/>
  <c r="L1178" i="4"/>
  <c r="K1178" i="4"/>
  <c r="J1178" i="4"/>
  <c r="I1178" i="4"/>
  <c r="H1178" i="4"/>
  <c r="Q1177" i="4"/>
  <c r="P1177" i="4"/>
  <c r="O1177" i="4"/>
  <c r="N1177" i="4"/>
  <c r="M1177" i="4"/>
  <c r="L1177" i="4"/>
  <c r="K1177" i="4"/>
  <c r="J1177" i="4"/>
  <c r="I1177" i="4"/>
  <c r="H1177" i="4"/>
  <c r="Q1176" i="4"/>
  <c r="P1176" i="4"/>
  <c r="O1176" i="4"/>
  <c r="N1176" i="4"/>
  <c r="M1176" i="4"/>
  <c r="L1176" i="4"/>
  <c r="K1176" i="4"/>
  <c r="J1176" i="4"/>
  <c r="I1176" i="4"/>
  <c r="H1176" i="4"/>
  <c r="Q1175" i="4"/>
  <c r="P1175" i="4"/>
  <c r="O1175" i="4"/>
  <c r="N1175" i="4"/>
  <c r="M1175" i="4"/>
  <c r="L1175" i="4"/>
  <c r="K1175" i="4"/>
  <c r="J1175" i="4"/>
  <c r="I1175" i="4"/>
  <c r="H1175" i="4"/>
  <c r="Q1174" i="4"/>
  <c r="P1174" i="4"/>
  <c r="O1174" i="4"/>
  <c r="N1174" i="4"/>
  <c r="M1174" i="4"/>
  <c r="L1174" i="4"/>
  <c r="K1174" i="4"/>
  <c r="J1174" i="4"/>
  <c r="I1174" i="4"/>
  <c r="H1174" i="4"/>
  <c r="Q1173" i="4"/>
  <c r="P1173" i="4"/>
  <c r="O1173" i="4"/>
  <c r="N1173" i="4"/>
  <c r="M1173" i="4"/>
  <c r="L1173" i="4"/>
  <c r="K1173" i="4"/>
  <c r="J1173" i="4"/>
  <c r="I1173" i="4"/>
  <c r="H1173" i="4"/>
  <c r="Q1172" i="4"/>
  <c r="P1172" i="4"/>
  <c r="O1172" i="4"/>
  <c r="N1172" i="4"/>
  <c r="M1172" i="4"/>
  <c r="L1172" i="4"/>
  <c r="K1172" i="4"/>
  <c r="J1172" i="4"/>
  <c r="I1172" i="4"/>
  <c r="H1172" i="4"/>
  <c r="Q1171" i="4"/>
  <c r="P1171" i="4"/>
  <c r="O1171" i="4"/>
  <c r="N1171" i="4"/>
  <c r="M1171" i="4"/>
  <c r="L1171" i="4"/>
  <c r="K1171" i="4"/>
  <c r="J1171" i="4"/>
  <c r="I1171" i="4"/>
  <c r="H1171" i="4"/>
  <c r="Q1170" i="4"/>
  <c r="P1170" i="4"/>
  <c r="O1170" i="4"/>
  <c r="N1170" i="4"/>
  <c r="M1170" i="4"/>
  <c r="L1170" i="4"/>
  <c r="K1170" i="4"/>
  <c r="J1170" i="4"/>
  <c r="I1170" i="4"/>
  <c r="H1170" i="4"/>
  <c r="Q1169" i="4"/>
  <c r="P1169" i="4"/>
  <c r="O1169" i="4"/>
  <c r="N1169" i="4"/>
  <c r="M1169" i="4"/>
  <c r="L1169" i="4"/>
  <c r="K1169" i="4"/>
  <c r="J1169" i="4"/>
  <c r="I1169" i="4"/>
  <c r="H1169" i="4"/>
  <c r="Q1168" i="4"/>
  <c r="P1168" i="4"/>
  <c r="O1168" i="4"/>
  <c r="N1168" i="4"/>
  <c r="M1168" i="4"/>
  <c r="L1168" i="4"/>
  <c r="K1168" i="4"/>
  <c r="J1168" i="4"/>
  <c r="I1168" i="4"/>
  <c r="H1168" i="4"/>
  <c r="Q1167" i="4"/>
  <c r="P1167" i="4"/>
  <c r="O1167" i="4"/>
  <c r="N1167" i="4"/>
  <c r="M1167" i="4"/>
  <c r="L1167" i="4"/>
  <c r="K1167" i="4"/>
  <c r="J1167" i="4"/>
  <c r="I1167" i="4"/>
  <c r="H1167" i="4"/>
  <c r="Q1166" i="4"/>
  <c r="P1166" i="4"/>
  <c r="O1166" i="4"/>
  <c r="N1166" i="4"/>
  <c r="M1166" i="4"/>
  <c r="L1166" i="4"/>
  <c r="K1166" i="4"/>
  <c r="J1166" i="4"/>
  <c r="I1166" i="4"/>
  <c r="H1166" i="4"/>
  <c r="Q1165" i="4"/>
  <c r="P1165" i="4"/>
  <c r="O1165" i="4"/>
  <c r="N1165" i="4"/>
  <c r="M1165" i="4"/>
  <c r="L1165" i="4"/>
  <c r="K1165" i="4"/>
  <c r="J1165" i="4"/>
  <c r="I1165" i="4"/>
  <c r="H1165" i="4"/>
  <c r="Q1164" i="4"/>
  <c r="P1164" i="4"/>
  <c r="O1164" i="4"/>
  <c r="N1164" i="4"/>
  <c r="M1164" i="4"/>
  <c r="L1164" i="4"/>
  <c r="K1164" i="4"/>
  <c r="J1164" i="4"/>
  <c r="I1164" i="4"/>
  <c r="H1164" i="4"/>
  <c r="Q1163" i="4"/>
  <c r="P1163" i="4"/>
  <c r="O1163" i="4"/>
  <c r="N1163" i="4"/>
  <c r="M1163" i="4"/>
  <c r="L1163" i="4"/>
  <c r="K1163" i="4"/>
  <c r="J1163" i="4"/>
  <c r="I1163" i="4"/>
  <c r="H1163" i="4"/>
  <c r="Q1162" i="4"/>
  <c r="P1162" i="4"/>
  <c r="O1162" i="4"/>
  <c r="N1162" i="4"/>
  <c r="M1162" i="4"/>
  <c r="L1162" i="4"/>
  <c r="K1162" i="4"/>
  <c r="J1162" i="4"/>
  <c r="I1162" i="4"/>
  <c r="H1162" i="4"/>
  <c r="Q1161" i="4"/>
  <c r="P1161" i="4"/>
  <c r="O1161" i="4"/>
  <c r="N1161" i="4"/>
  <c r="M1161" i="4"/>
  <c r="L1161" i="4"/>
  <c r="K1161" i="4"/>
  <c r="J1161" i="4"/>
  <c r="I1161" i="4"/>
  <c r="H1161" i="4"/>
  <c r="Q1160" i="4"/>
  <c r="P1160" i="4"/>
  <c r="O1160" i="4"/>
  <c r="N1160" i="4"/>
  <c r="M1160" i="4"/>
  <c r="L1160" i="4"/>
  <c r="K1160" i="4"/>
  <c r="J1160" i="4"/>
  <c r="I1160" i="4"/>
  <c r="H1160" i="4"/>
  <c r="Q1159" i="4"/>
  <c r="P1159" i="4"/>
  <c r="O1159" i="4"/>
  <c r="N1159" i="4"/>
  <c r="M1159" i="4"/>
  <c r="L1159" i="4"/>
  <c r="K1159" i="4"/>
  <c r="J1159" i="4"/>
  <c r="I1159" i="4"/>
  <c r="H1159" i="4"/>
  <c r="Q1158" i="4"/>
  <c r="P1158" i="4"/>
  <c r="O1158" i="4"/>
  <c r="N1158" i="4"/>
  <c r="M1158" i="4"/>
  <c r="L1158" i="4"/>
  <c r="K1158" i="4"/>
  <c r="J1158" i="4"/>
  <c r="I1158" i="4"/>
  <c r="H1158" i="4"/>
  <c r="Q1157" i="4"/>
  <c r="P1157" i="4"/>
  <c r="O1157" i="4"/>
  <c r="N1157" i="4"/>
  <c r="M1157" i="4"/>
  <c r="L1157" i="4"/>
  <c r="K1157" i="4"/>
  <c r="J1157" i="4"/>
  <c r="I1157" i="4"/>
  <c r="H1157" i="4"/>
  <c r="Q1156" i="4"/>
  <c r="P1156" i="4"/>
  <c r="O1156" i="4"/>
  <c r="N1156" i="4"/>
  <c r="M1156" i="4"/>
  <c r="L1156" i="4"/>
  <c r="K1156" i="4"/>
  <c r="J1156" i="4"/>
  <c r="I1156" i="4"/>
  <c r="H1156" i="4"/>
  <c r="Q1155" i="4"/>
  <c r="P1155" i="4"/>
  <c r="O1155" i="4"/>
  <c r="N1155" i="4"/>
  <c r="M1155" i="4"/>
  <c r="L1155" i="4"/>
  <c r="K1155" i="4"/>
  <c r="J1155" i="4"/>
  <c r="I1155" i="4"/>
  <c r="H1155" i="4"/>
  <c r="Q1154" i="4"/>
  <c r="P1154" i="4"/>
  <c r="O1154" i="4"/>
  <c r="N1154" i="4"/>
  <c r="M1154" i="4"/>
  <c r="L1154" i="4"/>
  <c r="K1154" i="4"/>
  <c r="J1154" i="4"/>
  <c r="I1154" i="4"/>
  <c r="H1154" i="4"/>
  <c r="Q1153" i="4"/>
  <c r="P1153" i="4"/>
  <c r="O1153" i="4"/>
  <c r="N1153" i="4"/>
  <c r="M1153" i="4"/>
  <c r="L1153" i="4"/>
  <c r="K1153" i="4"/>
  <c r="J1153" i="4"/>
  <c r="I1153" i="4"/>
  <c r="H1153" i="4"/>
  <c r="Q1152" i="4"/>
  <c r="P1152" i="4"/>
  <c r="O1152" i="4"/>
  <c r="N1152" i="4"/>
  <c r="M1152" i="4"/>
  <c r="L1152" i="4"/>
  <c r="K1152" i="4"/>
  <c r="J1152" i="4"/>
  <c r="I1152" i="4"/>
  <c r="H1152" i="4"/>
  <c r="Q1151" i="4"/>
  <c r="P1151" i="4"/>
  <c r="O1151" i="4"/>
  <c r="N1151" i="4"/>
  <c r="M1151" i="4"/>
  <c r="L1151" i="4"/>
  <c r="K1151" i="4"/>
  <c r="J1151" i="4"/>
  <c r="I1151" i="4"/>
  <c r="H1151" i="4"/>
  <c r="Q1150" i="4"/>
  <c r="P1150" i="4"/>
  <c r="O1150" i="4"/>
  <c r="N1150" i="4"/>
  <c r="M1150" i="4"/>
  <c r="L1150" i="4"/>
  <c r="K1150" i="4"/>
  <c r="J1150" i="4"/>
  <c r="I1150" i="4"/>
  <c r="H1150" i="4"/>
  <c r="Q1149" i="4"/>
  <c r="P1149" i="4"/>
  <c r="O1149" i="4"/>
  <c r="N1149" i="4"/>
  <c r="M1149" i="4"/>
  <c r="L1149" i="4"/>
  <c r="K1149" i="4"/>
  <c r="J1149" i="4"/>
  <c r="I1149" i="4"/>
  <c r="H1149" i="4"/>
  <c r="Q1148" i="4"/>
  <c r="P1148" i="4"/>
  <c r="O1148" i="4"/>
  <c r="N1148" i="4"/>
  <c r="M1148" i="4"/>
  <c r="L1148" i="4"/>
  <c r="K1148" i="4"/>
  <c r="J1148" i="4"/>
  <c r="I1148" i="4"/>
  <c r="H1148" i="4"/>
  <c r="Q1147" i="4"/>
  <c r="P1147" i="4"/>
  <c r="O1147" i="4"/>
  <c r="N1147" i="4"/>
  <c r="M1147" i="4"/>
  <c r="L1147" i="4"/>
  <c r="K1147" i="4"/>
  <c r="J1147" i="4"/>
  <c r="I1147" i="4"/>
  <c r="H1147" i="4"/>
  <c r="Q1146" i="4"/>
  <c r="P1146" i="4"/>
  <c r="O1146" i="4"/>
  <c r="N1146" i="4"/>
  <c r="M1146" i="4"/>
  <c r="L1146" i="4"/>
  <c r="K1146" i="4"/>
  <c r="J1146" i="4"/>
  <c r="I1146" i="4"/>
  <c r="H1146" i="4"/>
  <c r="Q1145" i="4"/>
  <c r="P1145" i="4"/>
  <c r="O1145" i="4"/>
  <c r="N1145" i="4"/>
  <c r="M1145" i="4"/>
  <c r="L1145" i="4"/>
  <c r="K1145" i="4"/>
  <c r="J1145" i="4"/>
  <c r="I1145" i="4"/>
  <c r="H1145" i="4"/>
  <c r="Q1144" i="4"/>
  <c r="P1144" i="4"/>
  <c r="O1144" i="4"/>
  <c r="N1144" i="4"/>
  <c r="M1144" i="4"/>
  <c r="L1144" i="4"/>
  <c r="K1144" i="4"/>
  <c r="J1144" i="4"/>
  <c r="I1144" i="4"/>
  <c r="H1144" i="4"/>
  <c r="Q1143" i="4"/>
  <c r="P1143" i="4"/>
  <c r="O1143" i="4"/>
  <c r="N1143" i="4"/>
  <c r="M1143" i="4"/>
  <c r="L1143" i="4"/>
  <c r="K1143" i="4"/>
  <c r="J1143" i="4"/>
  <c r="I1143" i="4"/>
  <c r="H1143" i="4"/>
  <c r="Q1142" i="4"/>
  <c r="P1142" i="4"/>
  <c r="O1142" i="4"/>
  <c r="N1142" i="4"/>
  <c r="M1142" i="4"/>
  <c r="L1142" i="4"/>
  <c r="K1142" i="4"/>
  <c r="J1142" i="4"/>
  <c r="I1142" i="4"/>
  <c r="H1142" i="4"/>
  <c r="Q1141" i="4"/>
  <c r="P1141" i="4"/>
  <c r="O1141" i="4"/>
  <c r="N1141" i="4"/>
  <c r="M1141" i="4"/>
  <c r="L1141" i="4"/>
  <c r="K1141" i="4"/>
  <c r="J1141" i="4"/>
  <c r="I1141" i="4"/>
  <c r="H1141" i="4"/>
  <c r="Q1140" i="4"/>
  <c r="P1140" i="4"/>
  <c r="O1140" i="4"/>
  <c r="N1140" i="4"/>
  <c r="M1140" i="4"/>
  <c r="L1140" i="4"/>
  <c r="K1140" i="4"/>
  <c r="J1140" i="4"/>
  <c r="I1140" i="4"/>
  <c r="H1140" i="4"/>
  <c r="Q1139" i="4"/>
  <c r="P1139" i="4"/>
  <c r="O1139" i="4"/>
  <c r="N1139" i="4"/>
  <c r="M1139" i="4"/>
  <c r="L1139" i="4"/>
  <c r="K1139" i="4"/>
  <c r="J1139" i="4"/>
  <c r="I1139" i="4"/>
  <c r="H1139" i="4"/>
  <c r="Q1138" i="4"/>
  <c r="P1138" i="4"/>
  <c r="O1138" i="4"/>
  <c r="N1138" i="4"/>
  <c r="M1138" i="4"/>
  <c r="L1138" i="4"/>
  <c r="K1138" i="4"/>
  <c r="J1138" i="4"/>
  <c r="I1138" i="4"/>
  <c r="H1138" i="4"/>
  <c r="Q1137" i="4"/>
  <c r="P1137" i="4"/>
  <c r="O1137" i="4"/>
  <c r="N1137" i="4"/>
  <c r="M1137" i="4"/>
  <c r="L1137" i="4"/>
  <c r="K1137" i="4"/>
  <c r="J1137" i="4"/>
  <c r="I1137" i="4"/>
  <c r="H1137" i="4"/>
  <c r="Q1136" i="4"/>
  <c r="P1136" i="4"/>
  <c r="O1136" i="4"/>
  <c r="N1136" i="4"/>
  <c r="M1136" i="4"/>
  <c r="L1136" i="4"/>
  <c r="K1136" i="4"/>
  <c r="J1136" i="4"/>
  <c r="I1136" i="4"/>
  <c r="H1136" i="4"/>
  <c r="Q1135" i="4"/>
  <c r="P1135" i="4"/>
  <c r="O1135" i="4"/>
  <c r="N1135" i="4"/>
  <c r="M1135" i="4"/>
  <c r="L1135" i="4"/>
  <c r="K1135" i="4"/>
  <c r="J1135" i="4"/>
  <c r="I1135" i="4"/>
  <c r="H1135" i="4"/>
  <c r="Q1134" i="4"/>
  <c r="P1134" i="4"/>
  <c r="O1134" i="4"/>
  <c r="N1134" i="4"/>
  <c r="M1134" i="4"/>
  <c r="L1134" i="4"/>
  <c r="K1134" i="4"/>
  <c r="J1134" i="4"/>
  <c r="I1134" i="4"/>
  <c r="H1134" i="4"/>
  <c r="Q1133" i="4"/>
  <c r="P1133" i="4"/>
  <c r="O1133" i="4"/>
  <c r="N1133" i="4"/>
  <c r="M1133" i="4"/>
  <c r="L1133" i="4"/>
  <c r="K1133" i="4"/>
  <c r="J1133" i="4"/>
  <c r="I1133" i="4"/>
  <c r="H1133" i="4"/>
  <c r="Q1132" i="4"/>
  <c r="P1132" i="4"/>
  <c r="O1132" i="4"/>
  <c r="N1132" i="4"/>
  <c r="M1132" i="4"/>
  <c r="L1132" i="4"/>
  <c r="K1132" i="4"/>
  <c r="J1132" i="4"/>
  <c r="I1132" i="4"/>
  <c r="H1132" i="4"/>
  <c r="Q1131" i="4"/>
  <c r="P1131" i="4"/>
  <c r="O1131" i="4"/>
  <c r="N1131" i="4"/>
  <c r="M1131" i="4"/>
  <c r="L1131" i="4"/>
  <c r="K1131" i="4"/>
  <c r="J1131" i="4"/>
  <c r="I1131" i="4"/>
  <c r="H1131" i="4"/>
  <c r="Q1130" i="4"/>
  <c r="P1130" i="4"/>
  <c r="O1130" i="4"/>
  <c r="N1130" i="4"/>
  <c r="M1130" i="4"/>
  <c r="L1130" i="4"/>
  <c r="K1130" i="4"/>
  <c r="J1130" i="4"/>
  <c r="I1130" i="4"/>
  <c r="H1130" i="4"/>
  <c r="Q1129" i="4"/>
  <c r="P1129" i="4"/>
  <c r="O1129" i="4"/>
  <c r="N1129" i="4"/>
  <c r="M1129" i="4"/>
  <c r="L1129" i="4"/>
  <c r="K1129" i="4"/>
  <c r="J1129" i="4"/>
  <c r="I1129" i="4"/>
  <c r="H1129" i="4"/>
  <c r="Q1128" i="4"/>
  <c r="P1128" i="4"/>
  <c r="O1128" i="4"/>
  <c r="N1128" i="4"/>
  <c r="M1128" i="4"/>
  <c r="L1128" i="4"/>
  <c r="K1128" i="4"/>
  <c r="J1128" i="4"/>
  <c r="I1128" i="4"/>
  <c r="H1128" i="4"/>
  <c r="Q1127" i="4"/>
  <c r="P1127" i="4"/>
  <c r="O1127" i="4"/>
  <c r="N1127" i="4"/>
  <c r="M1127" i="4"/>
  <c r="L1127" i="4"/>
  <c r="K1127" i="4"/>
  <c r="J1127" i="4"/>
  <c r="I1127" i="4"/>
  <c r="H1127" i="4"/>
  <c r="Q1126" i="4"/>
  <c r="P1126" i="4"/>
  <c r="O1126" i="4"/>
  <c r="N1126" i="4"/>
  <c r="M1126" i="4"/>
  <c r="L1126" i="4"/>
  <c r="K1126" i="4"/>
  <c r="J1126" i="4"/>
  <c r="I1126" i="4"/>
  <c r="H1126" i="4"/>
  <c r="Q1125" i="4"/>
  <c r="P1125" i="4"/>
  <c r="O1125" i="4"/>
  <c r="N1125" i="4"/>
  <c r="M1125" i="4"/>
  <c r="L1125" i="4"/>
  <c r="K1125" i="4"/>
  <c r="J1125" i="4"/>
  <c r="I1125" i="4"/>
  <c r="H1125" i="4"/>
  <c r="Q1124" i="4"/>
  <c r="P1124" i="4"/>
  <c r="O1124" i="4"/>
  <c r="N1124" i="4"/>
  <c r="M1124" i="4"/>
  <c r="L1124" i="4"/>
  <c r="K1124" i="4"/>
  <c r="J1124" i="4"/>
  <c r="I1124" i="4"/>
  <c r="H1124" i="4"/>
  <c r="Q1123" i="4"/>
  <c r="P1123" i="4"/>
  <c r="O1123" i="4"/>
  <c r="N1123" i="4"/>
  <c r="M1123" i="4"/>
  <c r="L1123" i="4"/>
  <c r="K1123" i="4"/>
  <c r="J1123" i="4"/>
  <c r="I1123" i="4"/>
  <c r="H1123" i="4"/>
  <c r="Q1122" i="4"/>
  <c r="P1122" i="4"/>
  <c r="O1122" i="4"/>
  <c r="N1122" i="4"/>
  <c r="M1122" i="4"/>
  <c r="L1122" i="4"/>
  <c r="K1122" i="4"/>
  <c r="J1122" i="4"/>
  <c r="I1122" i="4"/>
  <c r="H1122" i="4"/>
  <c r="Q1121" i="4"/>
  <c r="P1121" i="4"/>
  <c r="O1121" i="4"/>
  <c r="N1121" i="4"/>
  <c r="M1121" i="4"/>
  <c r="L1121" i="4"/>
  <c r="K1121" i="4"/>
  <c r="J1121" i="4"/>
  <c r="I1121" i="4"/>
  <c r="H1121" i="4"/>
  <c r="Q1120" i="4"/>
  <c r="P1120" i="4"/>
  <c r="O1120" i="4"/>
  <c r="N1120" i="4"/>
  <c r="M1120" i="4"/>
  <c r="L1120" i="4"/>
  <c r="K1120" i="4"/>
  <c r="J1120" i="4"/>
  <c r="I1120" i="4"/>
  <c r="H1120" i="4"/>
  <c r="Q1119" i="4"/>
  <c r="P1119" i="4"/>
  <c r="O1119" i="4"/>
  <c r="N1119" i="4"/>
  <c r="M1119" i="4"/>
  <c r="L1119" i="4"/>
  <c r="K1119" i="4"/>
  <c r="J1119" i="4"/>
  <c r="I1119" i="4"/>
  <c r="H1119" i="4"/>
  <c r="Q1118" i="4"/>
  <c r="P1118" i="4"/>
  <c r="O1118" i="4"/>
  <c r="N1118" i="4"/>
  <c r="M1118" i="4"/>
  <c r="L1118" i="4"/>
  <c r="K1118" i="4"/>
  <c r="J1118" i="4"/>
  <c r="I1118" i="4"/>
  <c r="H1118" i="4"/>
  <c r="Q1117" i="4"/>
  <c r="P1117" i="4"/>
  <c r="O1117" i="4"/>
  <c r="N1117" i="4"/>
  <c r="M1117" i="4"/>
  <c r="L1117" i="4"/>
  <c r="K1117" i="4"/>
  <c r="J1117" i="4"/>
  <c r="I1117" i="4"/>
  <c r="H1117" i="4"/>
  <c r="Q1116" i="4"/>
  <c r="P1116" i="4"/>
  <c r="O1116" i="4"/>
  <c r="N1116" i="4"/>
  <c r="M1116" i="4"/>
  <c r="L1116" i="4"/>
  <c r="K1116" i="4"/>
  <c r="J1116" i="4"/>
  <c r="I1116" i="4"/>
  <c r="H1116" i="4"/>
  <c r="Q1115" i="4"/>
  <c r="P1115" i="4"/>
  <c r="O1115" i="4"/>
  <c r="N1115" i="4"/>
  <c r="M1115" i="4"/>
  <c r="L1115" i="4"/>
  <c r="K1115" i="4"/>
  <c r="J1115" i="4"/>
  <c r="I1115" i="4"/>
  <c r="H1115" i="4"/>
  <c r="Q1114" i="4"/>
  <c r="P1114" i="4"/>
  <c r="O1114" i="4"/>
  <c r="N1114" i="4"/>
  <c r="M1114" i="4"/>
  <c r="L1114" i="4"/>
  <c r="K1114" i="4"/>
  <c r="J1114" i="4"/>
  <c r="I1114" i="4"/>
  <c r="H1114" i="4"/>
  <c r="Q1113" i="4"/>
  <c r="P1113" i="4"/>
  <c r="O1113" i="4"/>
  <c r="N1113" i="4"/>
  <c r="M1113" i="4"/>
  <c r="L1113" i="4"/>
  <c r="K1113" i="4"/>
  <c r="J1113" i="4"/>
  <c r="I1113" i="4"/>
  <c r="H1113" i="4"/>
  <c r="Q1112" i="4"/>
  <c r="P1112" i="4"/>
  <c r="O1112" i="4"/>
  <c r="N1112" i="4"/>
  <c r="M1112" i="4"/>
  <c r="L1112" i="4"/>
  <c r="K1112" i="4"/>
  <c r="J1112" i="4"/>
  <c r="I1112" i="4"/>
  <c r="H1112" i="4"/>
  <c r="Q1111" i="4"/>
  <c r="P1111" i="4"/>
  <c r="O1111" i="4"/>
  <c r="N1111" i="4"/>
  <c r="M1111" i="4"/>
  <c r="L1111" i="4"/>
  <c r="K1111" i="4"/>
  <c r="J1111" i="4"/>
  <c r="I1111" i="4"/>
  <c r="H1111" i="4"/>
  <c r="Q1110" i="4"/>
  <c r="P1110" i="4"/>
  <c r="O1110" i="4"/>
  <c r="N1110" i="4"/>
  <c r="M1110" i="4"/>
  <c r="L1110" i="4"/>
  <c r="K1110" i="4"/>
  <c r="J1110" i="4"/>
  <c r="I1110" i="4"/>
  <c r="H1110" i="4"/>
  <c r="Q1109" i="4"/>
  <c r="P1109" i="4"/>
  <c r="O1109" i="4"/>
  <c r="N1109" i="4"/>
  <c r="M1109" i="4"/>
  <c r="L1109" i="4"/>
  <c r="K1109" i="4"/>
  <c r="J1109" i="4"/>
  <c r="I1109" i="4"/>
  <c r="H1109" i="4"/>
  <c r="Q1108" i="4"/>
  <c r="P1108" i="4"/>
  <c r="O1108" i="4"/>
  <c r="N1108" i="4"/>
  <c r="M1108" i="4"/>
  <c r="L1108" i="4"/>
  <c r="K1108" i="4"/>
  <c r="J1108" i="4"/>
  <c r="I1108" i="4"/>
  <c r="H1108" i="4"/>
  <c r="Q1107" i="4"/>
  <c r="P1107" i="4"/>
  <c r="O1107" i="4"/>
  <c r="N1107" i="4"/>
  <c r="M1107" i="4"/>
  <c r="L1107" i="4"/>
  <c r="K1107" i="4"/>
  <c r="J1107" i="4"/>
  <c r="I1107" i="4"/>
  <c r="H1107" i="4"/>
  <c r="Q1106" i="4"/>
  <c r="P1106" i="4"/>
  <c r="O1106" i="4"/>
  <c r="N1106" i="4"/>
  <c r="M1106" i="4"/>
  <c r="L1106" i="4"/>
  <c r="K1106" i="4"/>
  <c r="J1106" i="4"/>
  <c r="I1106" i="4"/>
  <c r="H1106" i="4"/>
  <c r="Q1105" i="4"/>
  <c r="P1105" i="4"/>
  <c r="O1105" i="4"/>
  <c r="N1105" i="4"/>
  <c r="M1105" i="4"/>
  <c r="L1105" i="4"/>
  <c r="K1105" i="4"/>
  <c r="J1105" i="4"/>
  <c r="I1105" i="4"/>
  <c r="H1105" i="4"/>
  <c r="Q1104" i="4"/>
  <c r="P1104" i="4"/>
  <c r="O1104" i="4"/>
  <c r="N1104" i="4"/>
  <c r="M1104" i="4"/>
  <c r="L1104" i="4"/>
  <c r="K1104" i="4"/>
  <c r="J1104" i="4"/>
  <c r="I1104" i="4"/>
  <c r="H1104" i="4"/>
  <c r="Q1103" i="4"/>
  <c r="P1103" i="4"/>
  <c r="O1103" i="4"/>
  <c r="N1103" i="4"/>
  <c r="M1103" i="4"/>
  <c r="L1103" i="4"/>
  <c r="K1103" i="4"/>
  <c r="J1103" i="4"/>
  <c r="I1103" i="4"/>
  <c r="H1103" i="4"/>
  <c r="Q1102" i="4"/>
  <c r="P1102" i="4"/>
  <c r="O1102" i="4"/>
  <c r="N1102" i="4"/>
  <c r="M1102" i="4"/>
  <c r="L1102" i="4"/>
  <c r="K1102" i="4"/>
  <c r="J1102" i="4"/>
  <c r="I1102" i="4"/>
  <c r="H1102" i="4"/>
  <c r="Q1101" i="4"/>
  <c r="P1101" i="4"/>
  <c r="O1101" i="4"/>
  <c r="N1101" i="4"/>
  <c r="M1101" i="4"/>
  <c r="L1101" i="4"/>
  <c r="K1101" i="4"/>
  <c r="J1101" i="4"/>
  <c r="I1101" i="4"/>
  <c r="H1101" i="4"/>
  <c r="Q1100" i="4"/>
  <c r="P1100" i="4"/>
  <c r="O1100" i="4"/>
  <c r="N1100" i="4"/>
  <c r="M1100" i="4"/>
  <c r="L1100" i="4"/>
  <c r="K1100" i="4"/>
  <c r="J1100" i="4"/>
  <c r="I1100" i="4"/>
  <c r="H1100" i="4"/>
  <c r="Q1099" i="4"/>
  <c r="P1099" i="4"/>
  <c r="O1099" i="4"/>
  <c r="N1099" i="4"/>
  <c r="M1099" i="4"/>
  <c r="L1099" i="4"/>
  <c r="K1099" i="4"/>
  <c r="J1099" i="4"/>
  <c r="I1099" i="4"/>
  <c r="H1099" i="4"/>
  <c r="Q1098" i="4"/>
  <c r="P1098" i="4"/>
  <c r="O1098" i="4"/>
  <c r="N1098" i="4"/>
  <c r="M1098" i="4"/>
  <c r="L1098" i="4"/>
  <c r="K1098" i="4"/>
  <c r="J1098" i="4"/>
  <c r="I1098" i="4"/>
  <c r="H1098" i="4"/>
  <c r="Q1097" i="4"/>
  <c r="P1097" i="4"/>
  <c r="O1097" i="4"/>
  <c r="N1097" i="4"/>
  <c r="M1097" i="4"/>
  <c r="L1097" i="4"/>
  <c r="K1097" i="4"/>
  <c r="J1097" i="4"/>
  <c r="I1097" i="4"/>
  <c r="H1097" i="4"/>
  <c r="Q1096" i="4"/>
  <c r="P1096" i="4"/>
  <c r="O1096" i="4"/>
  <c r="N1096" i="4"/>
  <c r="M1096" i="4"/>
  <c r="L1096" i="4"/>
  <c r="K1096" i="4"/>
  <c r="J1096" i="4"/>
  <c r="I1096" i="4"/>
  <c r="H1096" i="4"/>
  <c r="Q1095" i="4"/>
  <c r="P1095" i="4"/>
  <c r="O1095" i="4"/>
  <c r="N1095" i="4"/>
  <c r="M1095" i="4"/>
  <c r="L1095" i="4"/>
  <c r="K1095" i="4"/>
  <c r="J1095" i="4"/>
  <c r="I1095" i="4"/>
  <c r="H1095" i="4"/>
  <c r="Q1094" i="4"/>
  <c r="P1094" i="4"/>
  <c r="O1094" i="4"/>
  <c r="N1094" i="4"/>
  <c r="M1094" i="4"/>
  <c r="L1094" i="4"/>
  <c r="K1094" i="4"/>
  <c r="J1094" i="4"/>
  <c r="I1094" i="4"/>
  <c r="H1094" i="4"/>
  <c r="Q1093" i="4"/>
  <c r="P1093" i="4"/>
  <c r="O1093" i="4"/>
  <c r="N1093" i="4"/>
  <c r="M1093" i="4"/>
  <c r="L1093" i="4"/>
  <c r="K1093" i="4"/>
  <c r="J1093" i="4"/>
  <c r="I1093" i="4"/>
  <c r="H1093" i="4"/>
  <c r="Q1092" i="4"/>
  <c r="P1092" i="4"/>
  <c r="O1092" i="4"/>
  <c r="N1092" i="4"/>
  <c r="M1092" i="4"/>
  <c r="L1092" i="4"/>
  <c r="K1092" i="4"/>
  <c r="J1092" i="4"/>
  <c r="I1092" i="4"/>
  <c r="H1092" i="4"/>
  <c r="Q1091" i="4"/>
  <c r="P1091" i="4"/>
  <c r="O1091" i="4"/>
  <c r="N1091" i="4"/>
  <c r="M1091" i="4"/>
  <c r="L1091" i="4"/>
  <c r="K1091" i="4"/>
  <c r="J1091" i="4"/>
  <c r="I1091" i="4"/>
  <c r="H1091" i="4"/>
  <c r="Q1090" i="4"/>
  <c r="P1090" i="4"/>
  <c r="O1090" i="4"/>
  <c r="N1090" i="4"/>
  <c r="M1090" i="4"/>
  <c r="L1090" i="4"/>
  <c r="K1090" i="4"/>
  <c r="J1090" i="4"/>
  <c r="I1090" i="4"/>
  <c r="H1090" i="4"/>
  <c r="Q1089" i="4"/>
  <c r="P1089" i="4"/>
  <c r="O1089" i="4"/>
  <c r="N1089" i="4"/>
  <c r="M1089" i="4"/>
  <c r="L1089" i="4"/>
  <c r="K1089" i="4"/>
  <c r="J1089" i="4"/>
  <c r="I1089" i="4"/>
  <c r="H1089" i="4"/>
  <c r="Q1088" i="4"/>
  <c r="P1088" i="4"/>
  <c r="O1088" i="4"/>
  <c r="N1088" i="4"/>
  <c r="M1088" i="4"/>
  <c r="L1088" i="4"/>
  <c r="K1088" i="4"/>
  <c r="J1088" i="4"/>
  <c r="I1088" i="4"/>
  <c r="H1088" i="4"/>
  <c r="Q1087" i="4"/>
  <c r="P1087" i="4"/>
  <c r="O1087" i="4"/>
  <c r="N1087" i="4"/>
  <c r="M1087" i="4"/>
  <c r="L1087" i="4"/>
  <c r="K1087" i="4"/>
  <c r="J1087" i="4"/>
  <c r="I1087" i="4"/>
  <c r="H1087" i="4"/>
  <c r="Q1086" i="4"/>
  <c r="P1086" i="4"/>
  <c r="O1086" i="4"/>
  <c r="N1086" i="4"/>
  <c r="M1086" i="4"/>
  <c r="L1086" i="4"/>
  <c r="K1086" i="4"/>
  <c r="J1086" i="4"/>
  <c r="I1086" i="4"/>
  <c r="H1086" i="4"/>
  <c r="Q1085" i="4"/>
  <c r="P1085" i="4"/>
  <c r="O1085" i="4"/>
  <c r="N1085" i="4"/>
  <c r="M1085" i="4"/>
  <c r="L1085" i="4"/>
  <c r="K1085" i="4"/>
  <c r="J1085" i="4"/>
  <c r="I1085" i="4"/>
  <c r="H1085" i="4"/>
  <c r="Q1084" i="4"/>
  <c r="P1084" i="4"/>
  <c r="O1084" i="4"/>
  <c r="N1084" i="4"/>
  <c r="M1084" i="4"/>
  <c r="L1084" i="4"/>
  <c r="K1084" i="4"/>
  <c r="J1084" i="4"/>
  <c r="I1084" i="4"/>
  <c r="H1084" i="4"/>
  <c r="Q1083" i="4"/>
  <c r="P1083" i="4"/>
  <c r="O1083" i="4"/>
  <c r="N1083" i="4"/>
  <c r="M1083" i="4"/>
  <c r="L1083" i="4"/>
  <c r="K1083" i="4"/>
  <c r="J1083" i="4"/>
  <c r="I1083" i="4"/>
  <c r="H1083" i="4"/>
  <c r="Q1082" i="4"/>
  <c r="P1082" i="4"/>
  <c r="O1082" i="4"/>
  <c r="N1082" i="4"/>
  <c r="M1082" i="4"/>
  <c r="L1082" i="4"/>
  <c r="K1082" i="4"/>
  <c r="J1082" i="4"/>
  <c r="I1082" i="4"/>
  <c r="H1082" i="4"/>
  <c r="Q1081" i="4"/>
  <c r="P1081" i="4"/>
  <c r="O1081" i="4"/>
  <c r="N1081" i="4"/>
  <c r="M1081" i="4"/>
  <c r="L1081" i="4"/>
  <c r="K1081" i="4"/>
  <c r="J1081" i="4"/>
  <c r="I1081" i="4"/>
  <c r="H1081" i="4"/>
  <c r="Q1080" i="4"/>
  <c r="P1080" i="4"/>
  <c r="O1080" i="4"/>
  <c r="N1080" i="4"/>
  <c r="M1080" i="4"/>
  <c r="L1080" i="4"/>
  <c r="K1080" i="4"/>
  <c r="J1080" i="4"/>
  <c r="I1080" i="4"/>
  <c r="H1080" i="4"/>
  <c r="Q1079" i="4"/>
  <c r="P1079" i="4"/>
  <c r="O1079" i="4"/>
  <c r="N1079" i="4"/>
  <c r="M1079" i="4"/>
  <c r="L1079" i="4"/>
  <c r="K1079" i="4"/>
  <c r="J1079" i="4"/>
  <c r="I1079" i="4"/>
  <c r="H1079" i="4"/>
  <c r="Q1078" i="4"/>
  <c r="P1078" i="4"/>
  <c r="O1078" i="4"/>
  <c r="N1078" i="4"/>
  <c r="M1078" i="4"/>
  <c r="L1078" i="4"/>
  <c r="K1078" i="4"/>
  <c r="J1078" i="4"/>
  <c r="I1078" i="4"/>
  <c r="H1078" i="4"/>
  <c r="Q1077" i="4"/>
  <c r="P1077" i="4"/>
  <c r="O1077" i="4"/>
  <c r="N1077" i="4"/>
  <c r="M1077" i="4"/>
  <c r="L1077" i="4"/>
  <c r="K1077" i="4"/>
  <c r="J1077" i="4"/>
  <c r="I1077" i="4"/>
  <c r="H1077" i="4"/>
  <c r="Q1076" i="4"/>
  <c r="P1076" i="4"/>
  <c r="O1076" i="4"/>
  <c r="N1076" i="4"/>
  <c r="M1076" i="4"/>
  <c r="L1076" i="4"/>
  <c r="K1076" i="4"/>
  <c r="J1076" i="4"/>
  <c r="I1076" i="4"/>
  <c r="H1076" i="4"/>
  <c r="Q1075" i="4"/>
  <c r="P1075" i="4"/>
  <c r="O1075" i="4"/>
  <c r="N1075" i="4"/>
  <c r="M1075" i="4"/>
  <c r="L1075" i="4"/>
  <c r="K1075" i="4"/>
  <c r="J1075" i="4"/>
  <c r="I1075" i="4"/>
  <c r="H1075" i="4"/>
  <c r="Q1074" i="4"/>
  <c r="P1074" i="4"/>
  <c r="O1074" i="4"/>
  <c r="N1074" i="4"/>
  <c r="M1074" i="4"/>
  <c r="L1074" i="4"/>
  <c r="K1074" i="4"/>
  <c r="J1074" i="4"/>
  <c r="I1074" i="4"/>
  <c r="H1074" i="4"/>
  <c r="Q1073" i="4"/>
  <c r="P1073" i="4"/>
  <c r="O1073" i="4"/>
  <c r="N1073" i="4"/>
  <c r="M1073" i="4"/>
  <c r="L1073" i="4"/>
  <c r="K1073" i="4"/>
  <c r="J1073" i="4"/>
  <c r="I1073" i="4"/>
  <c r="H1073" i="4"/>
  <c r="Q1072" i="4"/>
  <c r="P1072" i="4"/>
  <c r="O1072" i="4"/>
  <c r="N1072" i="4"/>
  <c r="M1072" i="4"/>
  <c r="L1072" i="4"/>
  <c r="K1072" i="4"/>
  <c r="J1072" i="4"/>
  <c r="I1072" i="4"/>
  <c r="H1072" i="4"/>
  <c r="Q1071" i="4"/>
  <c r="P1071" i="4"/>
  <c r="O1071" i="4"/>
  <c r="N1071" i="4"/>
  <c r="M1071" i="4"/>
  <c r="L1071" i="4"/>
  <c r="K1071" i="4"/>
  <c r="J1071" i="4"/>
  <c r="I1071" i="4"/>
  <c r="H1071" i="4"/>
  <c r="Q1070" i="4"/>
  <c r="P1070" i="4"/>
  <c r="O1070" i="4"/>
  <c r="N1070" i="4"/>
  <c r="M1070" i="4"/>
  <c r="L1070" i="4"/>
  <c r="K1070" i="4"/>
  <c r="J1070" i="4"/>
  <c r="I1070" i="4"/>
  <c r="H1070" i="4"/>
  <c r="Q1069" i="4"/>
  <c r="P1069" i="4"/>
  <c r="O1069" i="4"/>
  <c r="N1069" i="4"/>
  <c r="M1069" i="4"/>
  <c r="L1069" i="4"/>
  <c r="K1069" i="4"/>
  <c r="J1069" i="4"/>
  <c r="I1069" i="4"/>
  <c r="H1069" i="4"/>
  <c r="Q1068" i="4"/>
  <c r="P1068" i="4"/>
  <c r="O1068" i="4"/>
  <c r="N1068" i="4"/>
  <c r="M1068" i="4"/>
  <c r="L1068" i="4"/>
  <c r="K1068" i="4"/>
  <c r="J1068" i="4"/>
  <c r="I1068" i="4"/>
  <c r="H1068" i="4"/>
  <c r="Q1067" i="4"/>
  <c r="P1067" i="4"/>
  <c r="O1067" i="4"/>
  <c r="N1067" i="4"/>
  <c r="M1067" i="4"/>
  <c r="L1067" i="4"/>
  <c r="K1067" i="4"/>
  <c r="J1067" i="4"/>
  <c r="I1067" i="4"/>
  <c r="H1067" i="4"/>
  <c r="Q1066" i="4"/>
  <c r="P1066" i="4"/>
  <c r="O1066" i="4"/>
  <c r="N1066" i="4"/>
  <c r="M1066" i="4"/>
  <c r="L1066" i="4"/>
  <c r="K1066" i="4"/>
  <c r="J1066" i="4"/>
  <c r="I1066" i="4"/>
  <c r="H1066" i="4"/>
  <c r="Q1065" i="4"/>
  <c r="P1065" i="4"/>
  <c r="O1065" i="4"/>
  <c r="N1065" i="4"/>
  <c r="M1065" i="4"/>
  <c r="L1065" i="4"/>
  <c r="K1065" i="4"/>
  <c r="J1065" i="4"/>
  <c r="I1065" i="4"/>
  <c r="H1065" i="4"/>
  <c r="Q1064" i="4"/>
  <c r="P1064" i="4"/>
  <c r="O1064" i="4"/>
  <c r="N1064" i="4"/>
  <c r="M1064" i="4"/>
  <c r="L1064" i="4"/>
  <c r="K1064" i="4"/>
  <c r="J1064" i="4"/>
  <c r="I1064" i="4"/>
  <c r="H1064" i="4"/>
  <c r="Q1063" i="4"/>
  <c r="P1063" i="4"/>
  <c r="O1063" i="4"/>
  <c r="N1063" i="4"/>
  <c r="M1063" i="4"/>
  <c r="L1063" i="4"/>
  <c r="K1063" i="4"/>
  <c r="J1063" i="4"/>
  <c r="I1063" i="4"/>
  <c r="H1063" i="4"/>
  <c r="Q1062" i="4"/>
  <c r="P1062" i="4"/>
  <c r="O1062" i="4"/>
  <c r="N1062" i="4"/>
  <c r="M1062" i="4"/>
  <c r="L1062" i="4"/>
  <c r="K1062" i="4"/>
  <c r="J1062" i="4"/>
  <c r="I1062" i="4"/>
  <c r="H1062" i="4"/>
  <c r="Q1061" i="4"/>
  <c r="P1061" i="4"/>
  <c r="O1061" i="4"/>
  <c r="N1061" i="4"/>
  <c r="M1061" i="4"/>
  <c r="L1061" i="4"/>
  <c r="K1061" i="4"/>
  <c r="J1061" i="4"/>
  <c r="I1061" i="4"/>
  <c r="H1061" i="4"/>
  <c r="Q1060" i="4"/>
  <c r="P1060" i="4"/>
  <c r="O1060" i="4"/>
  <c r="N1060" i="4"/>
  <c r="M1060" i="4"/>
  <c r="L1060" i="4"/>
  <c r="K1060" i="4"/>
  <c r="J1060" i="4"/>
  <c r="I1060" i="4"/>
  <c r="H1060" i="4"/>
  <c r="Q1059" i="4"/>
  <c r="P1059" i="4"/>
  <c r="O1059" i="4"/>
  <c r="N1059" i="4"/>
  <c r="M1059" i="4"/>
  <c r="L1059" i="4"/>
  <c r="K1059" i="4"/>
  <c r="J1059" i="4"/>
  <c r="I1059" i="4"/>
  <c r="H1059" i="4"/>
  <c r="Q1058" i="4"/>
  <c r="P1058" i="4"/>
  <c r="O1058" i="4"/>
  <c r="N1058" i="4"/>
  <c r="M1058" i="4"/>
  <c r="L1058" i="4"/>
  <c r="K1058" i="4"/>
  <c r="J1058" i="4"/>
  <c r="I1058" i="4"/>
  <c r="H1058" i="4"/>
  <c r="Q1057" i="4"/>
  <c r="P1057" i="4"/>
  <c r="O1057" i="4"/>
  <c r="N1057" i="4"/>
  <c r="M1057" i="4"/>
  <c r="L1057" i="4"/>
  <c r="K1057" i="4"/>
  <c r="J1057" i="4"/>
  <c r="I1057" i="4"/>
  <c r="H1057" i="4"/>
  <c r="Q1056" i="4"/>
  <c r="P1056" i="4"/>
  <c r="O1056" i="4"/>
  <c r="N1056" i="4"/>
  <c r="M1056" i="4"/>
  <c r="L1056" i="4"/>
  <c r="K1056" i="4"/>
  <c r="J1056" i="4"/>
  <c r="I1056" i="4"/>
  <c r="H1056" i="4"/>
  <c r="Q1055" i="4"/>
  <c r="P1055" i="4"/>
  <c r="O1055" i="4"/>
  <c r="N1055" i="4"/>
  <c r="M1055" i="4"/>
  <c r="L1055" i="4"/>
  <c r="K1055" i="4"/>
  <c r="J1055" i="4"/>
  <c r="I1055" i="4"/>
  <c r="H1055" i="4"/>
  <c r="Q1054" i="4"/>
  <c r="P1054" i="4"/>
  <c r="O1054" i="4"/>
  <c r="N1054" i="4"/>
  <c r="M1054" i="4"/>
  <c r="L1054" i="4"/>
  <c r="K1054" i="4"/>
  <c r="J1054" i="4"/>
  <c r="I1054" i="4"/>
  <c r="H1054" i="4"/>
  <c r="Q1053" i="4"/>
  <c r="P1053" i="4"/>
  <c r="O1053" i="4"/>
  <c r="N1053" i="4"/>
  <c r="M1053" i="4"/>
  <c r="L1053" i="4"/>
  <c r="K1053" i="4"/>
  <c r="J1053" i="4"/>
  <c r="I1053" i="4"/>
  <c r="H1053" i="4"/>
  <c r="Q1052" i="4"/>
  <c r="P1052" i="4"/>
  <c r="O1052" i="4"/>
  <c r="N1052" i="4"/>
  <c r="M1052" i="4"/>
  <c r="L1052" i="4"/>
  <c r="K1052" i="4"/>
  <c r="J1052" i="4"/>
  <c r="I1052" i="4"/>
  <c r="H1052" i="4"/>
  <c r="Q1051" i="4"/>
  <c r="P1051" i="4"/>
  <c r="O1051" i="4"/>
  <c r="N1051" i="4"/>
  <c r="M1051" i="4"/>
  <c r="L1051" i="4"/>
  <c r="K1051" i="4"/>
  <c r="J1051" i="4"/>
  <c r="I1051" i="4"/>
  <c r="H1051" i="4"/>
  <c r="Q1050" i="4"/>
  <c r="P1050" i="4"/>
  <c r="O1050" i="4"/>
  <c r="N1050" i="4"/>
  <c r="M1050" i="4"/>
  <c r="L1050" i="4"/>
  <c r="K1050" i="4"/>
  <c r="J1050" i="4"/>
  <c r="I1050" i="4"/>
  <c r="H1050" i="4"/>
  <c r="Q1049" i="4"/>
  <c r="P1049" i="4"/>
  <c r="O1049" i="4"/>
  <c r="N1049" i="4"/>
  <c r="M1049" i="4"/>
  <c r="L1049" i="4"/>
  <c r="K1049" i="4"/>
  <c r="J1049" i="4"/>
  <c r="I1049" i="4"/>
  <c r="H1049" i="4"/>
  <c r="Q1048" i="4"/>
  <c r="P1048" i="4"/>
  <c r="O1048" i="4"/>
  <c r="N1048" i="4"/>
  <c r="M1048" i="4"/>
  <c r="L1048" i="4"/>
  <c r="K1048" i="4"/>
  <c r="J1048" i="4"/>
  <c r="I1048" i="4"/>
  <c r="H1048" i="4"/>
  <c r="Q1047" i="4"/>
  <c r="P1047" i="4"/>
  <c r="O1047" i="4"/>
  <c r="N1047" i="4"/>
  <c r="M1047" i="4"/>
  <c r="L1047" i="4"/>
  <c r="K1047" i="4"/>
  <c r="J1047" i="4"/>
  <c r="I1047" i="4"/>
  <c r="H1047" i="4"/>
  <c r="Q1046" i="4"/>
  <c r="P1046" i="4"/>
  <c r="O1046" i="4"/>
  <c r="N1046" i="4"/>
  <c r="M1046" i="4"/>
  <c r="L1046" i="4"/>
  <c r="K1046" i="4"/>
  <c r="J1046" i="4"/>
  <c r="I1046" i="4"/>
  <c r="H1046" i="4"/>
  <c r="Q1045" i="4"/>
  <c r="P1045" i="4"/>
  <c r="O1045" i="4"/>
  <c r="N1045" i="4"/>
  <c r="M1045" i="4"/>
  <c r="L1045" i="4"/>
  <c r="K1045" i="4"/>
  <c r="J1045" i="4"/>
  <c r="I1045" i="4"/>
  <c r="H1045" i="4"/>
  <c r="Q1044" i="4"/>
  <c r="P1044" i="4"/>
  <c r="O1044" i="4"/>
  <c r="N1044" i="4"/>
  <c r="M1044" i="4"/>
  <c r="L1044" i="4"/>
  <c r="K1044" i="4"/>
  <c r="J1044" i="4"/>
  <c r="I1044" i="4"/>
  <c r="H1044" i="4"/>
  <c r="Q1043" i="4"/>
  <c r="P1043" i="4"/>
  <c r="O1043" i="4"/>
  <c r="N1043" i="4"/>
  <c r="M1043" i="4"/>
  <c r="L1043" i="4"/>
  <c r="K1043" i="4"/>
  <c r="J1043" i="4"/>
  <c r="I1043" i="4"/>
  <c r="H1043" i="4"/>
  <c r="Q1042" i="4"/>
  <c r="P1042" i="4"/>
  <c r="O1042" i="4"/>
  <c r="N1042" i="4"/>
  <c r="M1042" i="4"/>
  <c r="L1042" i="4"/>
  <c r="K1042" i="4"/>
  <c r="J1042" i="4"/>
  <c r="I1042" i="4"/>
  <c r="H1042" i="4"/>
  <c r="Q1041" i="4"/>
  <c r="P1041" i="4"/>
  <c r="O1041" i="4"/>
  <c r="N1041" i="4"/>
  <c r="M1041" i="4"/>
  <c r="L1041" i="4"/>
  <c r="K1041" i="4"/>
  <c r="J1041" i="4"/>
  <c r="I1041" i="4"/>
  <c r="H1041" i="4"/>
  <c r="Q1040" i="4"/>
  <c r="P1040" i="4"/>
  <c r="O1040" i="4"/>
  <c r="N1040" i="4"/>
  <c r="M1040" i="4"/>
  <c r="L1040" i="4"/>
  <c r="K1040" i="4"/>
  <c r="J1040" i="4"/>
  <c r="I1040" i="4"/>
  <c r="H1040" i="4"/>
  <c r="Q1039" i="4"/>
  <c r="P1039" i="4"/>
  <c r="O1039" i="4"/>
  <c r="N1039" i="4"/>
  <c r="M1039" i="4"/>
  <c r="L1039" i="4"/>
  <c r="K1039" i="4"/>
  <c r="J1039" i="4"/>
  <c r="I1039" i="4"/>
  <c r="H1039" i="4"/>
  <c r="Q1038" i="4"/>
  <c r="P1038" i="4"/>
  <c r="O1038" i="4"/>
  <c r="N1038" i="4"/>
  <c r="M1038" i="4"/>
  <c r="L1038" i="4"/>
  <c r="K1038" i="4"/>
  <c r="J1038" i="4"/>
  <c r="I1038" i="4"/>
  <c r="H1038" i="4"/>
  <c r="Q1037" i="4"/>
  <c r="P1037" i="4"/>
  <c r="O1037" i="4"/>
  <c r="N1037" i="4"/>
  <c r="M1037" i="4"/>
  <c r="L1037" i="4"/>
  <c r="K1037" i="4"/>
  <c r="J1037" i="4"/>
  <c r="I1037" i="4"/>
  <c r="H1037" i="4"/>
  <c r="Q1036" i="4"/>
  <c r="P1036" i="4"/>
  <c r="O1036" i="4"/>
  <c r="N1036" i="4"/>
  <c r="M1036" i="4"/>
  <c r="L1036" i="4"/>
  <c r="K1036" i="4"/>
  <c r="J1036" i="4"/>
  <c r="I1036" i="4"/>
  <c r="H1036" i="4"/>
  <c r="Q1035" i="4"/>
  <c r="P1035" i="4"/>
  <c r="O1035" i="4"/>
  <c r="N1035" i="4"/>
  <c r="M1035" i="4"/>
  <c r="L1035" i="4"/>
  <c r="K1035" i="4"/>
  <c r="J1035" i="4"/>
  <c r="I1035" i="4"/>
  <c r="H1035" i="4"/>
  <c r="Q1034" i="4"/>
  <c r="P1034" i="4"/>
  <c r="O1034" i="4"/>
  <c r="N1034" i="4"/>
  <c r="M1034" i="4"/>
  <c r="L1034" i="4"/>
  <c r="K1034" i="4"/>
  <c r="J1034" i="4"/>
  <c r="I1034" i="4"/>
  <c r="H1034" i="4"/>
  <c r="Q1033" i="4"/>
  <c r="P1033" i="4"/>
  <c r="O1033" i="4"/>
  <c r="N1033" i="4"/>
  <c r="M1033" i="4"/>
  <c r="L1033" i="4"/>
  <c r="K1033" i="4"/>
  <c r="J1033" i="4"/>
  <c r="I1033" i="4"/>
  <c r="H1033" i="4"/>
  <c r="Q1032" i="4"/>
  <c r="P1032" i="4"/>
  <c r="O1032" i="4"/>
  <c r="N1032" i="4"/>
  <c r="M1032" i="4"/>
  <c r="L1032" i="4"/>
  <c r="K1032" i="4"/>
  <c r="J1032" i="4"/>
  <c r="I1032" i="4"/>
  <c r="H1032" i="4"/>
  <c r="Q1031" i="4"/>
  <c r="P1031" i="4"/>
  <c r="O1031" i="4"/>
  <c r="N1031" i="4"/>
  <c r="M1031" i="4"/>
  <c r="L1031" i="4"/>
  <c r="K1031" i="4"/>
  <c r="J1031" i="4"/>
  <c r="I1031" i="4"/>
  <c r="H1031" i="4"/>
  <c r="Q1030" i="4"/>
  <c r="P1030" i="4"/>
  <c r="O1030" i="4"/>
  <c r="N1030" i="4"/>
  <c r="M1030" i="4"/>
  <c r="L1030" i="4"/>
  <c r="K1030" i="4"/>
  <c r="J1030" i="4"/>
  <c r="I1030" i="4"/>
  <c r="H1030" i="4"/>
  <c r="Q1029" i="4"/>
  <c r="P1029" i="4"/>
  <c r="O1029" i="4"/>
  <c r="N1029" i="4"/>
  <c r="M1029" i="4"/>
  <c r="L1029" i="4"/>
  <c r="K1029" i="4"/>
  <c r="J1029" i="4"/>
  <c r="I1029" i="4"/>
  <c r="H1029" i="4"/>
  <c r="Q1028" i="4"/>
  <c r="P1028" i="4"/>
  <c r="O1028" i="4"/>
  <c r="N1028" i="4"/>
  <c r="M1028" i="4"/>
  <c r="L1028" i="4"/>
  <c r="K1028" i="4"/>
  <c r="J1028" i="4"/>
  <c r="I1028" i="4"/>
  <c r="H1028" i="4"/>
  <c r="Q1027" i="4"/>
  <c r="P1027" i="4"/>
  <c r="O1027" i="4"/>
  <c r="N1027" i="4"/>
  <c r="M1027" i="4"/>
  <c r="L1027" i="4"/>
  <c r="K1027" i="4"/>
  <c r="J1027" i="4"/>
  <c r="I1027" i="4"/>
  <c r="H1027" i="4"/>
  <c r="Q1026" i="4"/>
  <c r="P1026" i="4"/>
  <c r="O1026" i="4"/>
  <c r="N1026" i="4"/>
  <c r="M1026" i="4"/>
  <c r="L1026" i="4"/>
  <c r="K1026" i="4"/>
  <c r="J1026" i="4"/>
  <c r="I1026" i="4"/>
  <c r="H1026" i="4"/>
  <c r="Q1025" i="4"/>
  <c r="P1025" i="4"/>
  <c r="O1025" i="4"/>
  <c r="N1025" i="4"/>
  <c r="M1025" i="4"/>
  <c r="L1025" i="4"/>
  <c r="K1025" i="4"/>
  <c r="J1025" i="4"/>
  <c r="I1025" i="4"/>
  <c r="H1025" i="4"/>
  <c r="Q1024" i="4"/>
  <c r="P1024" i="4"/>
  <c r="O1024" i="4"/>
  <c r="N1024" i="4"/>
  <c r="M1024" i="4"/>
  <c r="L1024" i="4"/>
  <c r="K1024" i="4"/>
  <c r="J1024" i="4"/>
  <c r="I1024" i="4"/>
  <c r="H1024" i="4"/>
  <c r="Q1023" i="4"/>
  <c r="P1023" i="4"/>
  <c r="O1023" i="4"/>
  <c r="N1023" i="4"/>
  <c r="M1023" i="4"/>
  <c r="L1023" i="4"/>
  <c r="K1023" i="4"/>
  <c r="J1023" i="4"/>
  <c r="I1023" i="4"/>
  <c r="H1023" i="4"/>
  <c r="Q1022" i="4"/>
  <c r="P1022" i="4"/>
  <c r="O1022" i="4"/>
  <c r="N1022" i="4"/>
  <c r="M1022" i="4"/>
  <c r="L1022" i="4"/>
  <c r="K1022" i="4"/>
  <c r="J1022" i="4"/>
  <c r="I1022" i="4"/>
  <c r="H1022" i="4"/>
  <c r="Q1021" i="4"/>
  <c r="P1021" i="4"/>
  <c r="O1021" i="4"/>
  <c r="N1021" i="4"/>
  <c r="M1021" i="4"/>
  <c r="L1021" i="4"/>
  <c r="K1021" i="4"/>
  <c r="J1021" i="4"/>
  <c r="I1021" i="4"/>
  <c r="H1021" i="4"/>
  <c r="Q1020" i="4"/>
  <c r="P1020" i="4"/>
  <c r="O1020" i="4"/>
  <c r="N1020" i="4"/>
  <c r="M1020" i="4"/>
  <c r="L1020" i="4"/>
  <c r="K1020" i="4"/>
  <c r="J1020" i="4"/>
  <c r="I1020" i="4"/>
  <c r="H1020" i="4"/>
  <c r="Q1019" i="4"/>
  <c r="P1019" i="4"/>
  <c r="O1019" i="4"/>
  <c r="N1019" i="4"/>
  <c r="M1019" i="4"/>
  <c r="L1019" i="4"/>
  <c r="K1019" i="4"/>
  <c r="J1019" i="4"/>
  <c r="I1019" i="4"/>
  <c r="H1019" i="4"/>
  <c r="Q1018" i="4"/>
  <c r="P1018" i="4"/>
  <c r="O1018" i="4"/>
  <c r="N1018" i="4"/>
  <c r="M1018" i="4"/>
  <c r="L1018" i="4"/>
  <c r="K1018" i="4"/>
  <c r="J1018" i="4"/>
  <c r="I1018" i="4"/>
  <c r="H1018" i="4"/>
  <c r="Q1017" i="4"/>
  <c r="P1017" i="4"/>
  <c r="O1017" i="4"/>
  <c r="N1017" i="4"/>
  <c r="M1017" i="4"/>
  <c r="L1017" i="4"/>
  <c r="K1017" i="4"/>
  <c r="J1017" i="4"/>
  <c r="I1017" i="4"/>
  <c r="H1017" i="4"/>
  <c r="Q1016" i="4"/>
  <c r="P1016" i="4"/>
  <c r="O1016" i="4"/>
  <c r="N1016" i="4"/>
  <c r="M1016" i="4"/>
  <c r="L1016" i="4"/>
  <c r="K1016" i="4"/>
  <c r="J1016" i="4"/>
  <c r="I1016" i="4"/>
  <c r="H1016" i="4"/>
  <c r="Q1015" i="4"/>
  <c r="P1015" i="4"/>
  <c r="O1015" i="4"/>
  <c r="N1015" i="4"/>
  <c r="M1015" i="4"/>
  <c r="L1015" i="4"/>
  <c r="K1015" i="4"/>
  <c r="J1015" i="4"/>
  <c r="I1015" i="4"/>
  <c r="H1015" i="4"/>
  <c r="Q1014" i="4"/>
  <c r="P1014" i="4"/>
  <c r="O1014" i="4"/>
  <c r="N1014" i="4"/>
  <c r="M1014" i="4"/>
  <c r="L1014" i="4"/>
  <c r="K1014" i="4"/>
  <c r="J1014" i="4"/>
  <c r="I1014" i="4"/>
  <c r="H1014" i="4"/>
  <c r="Q1013" i="4"/>
  <c r="P1013" i="4"/>
  <c r="O1013" i="4"/>
  <c r="N1013" i="4"/>
  <c r="M1013" i="4"/>
  <c r="L1013" i="4"/>
  <c r="K1013" i="4"/>
  <c r="J1013" i="4"/>
  <c r="I1013" i="4"/>
  <c r="H1013" i="4"/>
  <c r="Q1012" i="4"/>
  <c r="P1012" i="4"/>
  <c r="O1012" i="4"/>
  <c r="N1012" i="4"/>
  <c r="M1012" i="4"/>
  <c r="L1012" i="4"/>
  <c r="K1012" i="4"/>
  <c r="J1012" i="4"/>
  <c r="I1012" i="4"/>
  <c r="H1012" i="4"/>
  <c r="Q1011" i="4"/>
  <c r="P1011" i="4"/>
  <c r="O1011" i="4"/>
  <c r="N1011" i="4"/>
  <c r="M1011" i="4"/>
  <c r="L1011" i="4"/>
  <c r="K1011" i="4"/>
  <c r="J1011" i="4"/>
  <c r="I1011" i="4"/>
  <c r="H1011" i="4"/>
  <c r="Q1010" i="4"/>
  <c r="P1010" i="4"/>
  <c r="O1010" i="4"/>
  <c r="N1010" i="4"/>
  <c r="M1010" i="4"/>
  <c r="L1010" i="4"/>
  <c r="K1010" i="4"/>
  <c r="J1010" i="4"/>
  <c r="I1010" i="4"/>
  <c r="H1010" i="4"/>
  <c r="Q1009" i="4"/>
  <c r="P1009" i="4"/>
  <c r="O1009" i="4"/>
  <c r="N1009" i="4"/>
  <c r="M1009" i="4"/>
  <c r="L1009" i="4"/>
  <c r="K1009" i="4"/>
  <c r="J1009" i="4"/>
  <c r="I1009" i="4"/>
  <c r="H1009" i="4"/>
  <c r="Q1008" i="4"/>
  <c r="P1008" i="4"/>
  <c r="O1008" i="4"/>
  <c r="N1008" i="4"/>
  <c r="M1008" i="4"/>
  <c r="L1008" i="4"/>
  <c r="K1008" i="4"/>
  <c r="J1008" i="4"/>
  <c r="I1008" i="4"/>
  <c r="H1008" i="4"/>
  <c r="Q1007" i="4"/>
  <c r="P1007" i="4"/>
  <c r="O1007" i="4"/>
  <c r="N1007" i="4"/>
  <c r="M1007" i="4"/>
  <c r="L1007" i="4"/>
  <c r="K1007" i="4"/>
  <c r="J1007" i="4"/>
  <c r="I1007" i="4"/>
  <c r="H1007" i="4"/>
  <c r="Q1006" i="4"/>
  <c r="P1006" i="4"/>
  <c r="O1006" i="4"/>
  <c r="N1006" i="4"/>
  <c r="M1006" i="4"/>
  <c r="L1006" i="4"/>
  <c r="K1006" i="4"/>
  <c r="J1006" i="4"/>
  <c r="I1006" i="4"/>
  <c r="H1006" i="4"/>
  <c r="Q1005" i="4"/>
  <c r="P1005" i="4"/>
  <c r="O1005" i="4"/>
  <c r="N1005" i="4"/>
  <c r="M1005" i="4"/>
  <c r="L1005" i="4"/>
  <c r="K1005" i="4"/>
  <c r="J1005" i="4"/>
  <c r="I1005" i="4"/>
  <c r="H1005" i="4"/>
  <c r="Q1004" i="4"/>
  <c r="P1004" i="4"/>
  <c r="O1004" i="4"/>
  <c r="N1004" i="4"/>
  <c r="M1004" i="4"/>
  <c r="L1004" i="4"/>
  <c r="K1004" i="4"/>
  <c r="J1004" i="4"/>
  <c r="I1004" i="4"/>
  <c r="H1004" i="4"/>
  <c r="Q1003" i="4"/>
  <c r="P1003" i="4"/>
  <c r="O1003" i="4"/>
  <c r="N1003" i="4"/>
  <c r="M1003" i="4"/>
  <c r="L1003" i="4"/>
  <c r="K1003" i="4"/>
  <c r="J1003" i="4"/>
  <c r="I1003" i="4"/>
  <c r="H1003" i="4"/>
  <c r="Q1002" i="4"/>
  <c r="P1002" i="4"/>
  <c r="O1002" i="4"/>
  <c r="N1002" i="4"/>
  <c r="M1002" i="4"/>
  <c r="L1002" i="4"/>
  <c r="K1002" i="4"/>
  <c r="J1002" i="4"/>
  <c r="I1002" i="4"/>
  <c r="H1002" i="4"/>
  <c r="Q1001" i="4"/>
  <c r="P1001" i="4"/>
  <c r="O1001" i="4"/>
  <c r="N1001" i="4"/>
  <c r="M1001" i="4"/>
  <c r="L1001" i="4"/>
  <c r="K1001" i="4"/>
  <c r="J1001" i="4"/>
  <c r="I1001" i="4"/>
  <c r="H1001" i="4"/>
  <c r="Q1000" i="4"/>
  <c r="P1000" i="4"/>
  <c r="O1000" i="4"/>
  <c r="N1000" i="4"/>
  <c r="M1000" i="4"/>
  <c r="L1000" i="4"/>
  <c r="K1000" i="4"/>
  <c r="J1000" i="4"/>
  <c r="I1000" i="4"/>
  <c r="H1000" i="4"/>
  <c r="Q999" i="4"/>
  <c r="P999" i="4"/>
  <c r="O999" i="4"/>
  <c r="N999" i="4"/>
  <c r="M999" i="4"/>
  <c r="L999" i="4"/>
  <c r="K999" i="4"/>
  <c r="J999" i="4"/>
  <c r="I999" i="4"/>
  <c r="H999" i="4"/>
  <c r="Q998" i="4"/>
  <c r="P998" i="4"/>
  <c r="O998" i="4"/>
  <c r="N998" i="4"/>
  <c r="M998" i="4"/>
  <c r="L998" i="4"/>
  <c r="K998" i="4"/>
  <c r="J998" i="4"/>
  <c r="I998" i="4"/>
  <c r="H998" i="4"/>
  <c r="Q997" i="4"/>
  <c r="P997" i="4"/>
  <c r="O997" i="4"/>
  <c r="N997" i="4"/>
  <c r="M997" i="4"/>
  <c r="L997" i="4"/>
  <c r="K997" i="4"/>
  <c r="J997" i="4"/>
  <c r="I997" i="4"/>
  <c r="H997" i="4"/>
  <c r="Q996" i="4"/>
  <c r="P996" i="4"/>
  <c r="O996" i="4"/>
  <c r="N996" i="4"/>
  <c r="M996" i="4"/>
  <c r="L996" i="4"/>
  <c r="K996" i="4"/>
  <c r="J996" i="4"/>
  <c r="I996" i="4"/>
  <c r="H996" i="4"/>
  <c r="Q995" i="4"/>
  <c r="P995" i="4"/>
  <c r="O995" i="4"/>
  <c r="N995" i="4"/>
  <c r="M995" i="4"/>
  <c r="L995" i="4"/>
  <c r="K995" i="4"/>
  <c r="J995" i="4"/>
  <c r="I995" i="4"/>
  <c r="H995" i="4"/>
  <c r="Q994" i="4"/>
  <c r="P994" i="4"/>
  <c r="O994" i="4"/>
  <c r="N994" i="4"/>
  <c r="M994" i="4"/>
  <c r="L994" i="4"/>
  <c r="K994" i="4"/>
  <c r="J994" i="4"/>
  <c r="I994" i="4"/>
  <c r="H994" i="4"/>
  <c r="Q993" i="4"/>
  <c r="P993" i="4"/>
  <c r="O993" i="4"/>
  <c r="N993" i="4"/>
  <c r="M993" i="4"/>
  <c r="L993" i="4"/>
  <c r="K993" i="4"/>
  <c r="J993" i="4"/>
  <c r="I993" i="4"/>
  <c r="H993" i="4"/>
  <c r="Q992" i="4"/>
  <c r="P992" i="4"/>
  <c r="O992" i="4"/>
  <c r="N992" i="4"/>
  <c r="M992" i="4"/>
  <c r="L992" i="4"/>
  <c r="K992" i="4"/>
  <c r="J992" i="4"/>
  <c r="I992" i="4"/>
  <c r="H992" i="4"/>
  <c r="Q991" i="4"/>
  <c r="P991" i="4"/>
  <c r="O991" i="4"/>
  <c r="N991" i="4"/>
  <c r="M991" i="4"/>
  <c r="L991" i="4"/>
  <c r="K991" i="4"/>
  <c r="J991" i="4"/>
  <c r="I991" i="4"/>
  <c r="H991" i="4"/>
  <c r="Q990" i="4"/>
  <c r="P990" i="4"/>
  <c r="O990" i="4"/>
  <c r="N990" i="4"/>
  <c r="M990" i="4"/>
  <c r="L990" i="4"/>
  <c r="K990" i="4"/>
  <c r="J990" i="4"/>
  <c r="I990" i="4"/>
  <c r="H990" i="4"/>
  <c r="Q989" i="4"/>
  <c r="P989" i="4"/>
  <c r="O989" i="4"/>
  <c r="N989" i="4"/>
  <c r="M989" i="4"/>
  <c r="L989" i="4"/>
  <c r="K989" i="4"/>
  <c r="J989" i="4"/>
  <c r="I989" i="4"/>
  <c r="H989" i="4"/>
  <c r="Q988" i="4"/>
  <c r="P988" i="4"/>
  <c r="O988" i="4"/>
  <c r="N988" i="4"/>
  <c r="M988" i="4"/>
  <c r="L988" i="4"/>
  <c r="K988" i="4"/>
  <c r="J988" i="4"/>
  <c r="I988" i="4"/>
  <c r="H988" i="4"/>
  <c r="Q987" i="4"/>
  <c r="P987" i="4"/>
  <c r="O987" i="4"/>
  <c r="N987" i="4"/>
  <c r="M987" i="4"/>
  <c r="L987" i="4"/>
  <c r="K987" i="4"/>
  <c r="J987" i="4"/>
  <c r="I987" i="4"/>
  <c r="H987" i="4"/>
  <c r="Q986" i="4"/>
  <c r="P986" i="4"/>
  <c r="O986" i="4"/>
  <c r="N986" i="4"/>
  <c r="M986" i="4"/>
  <c r="L986" i="4"/>
  <c r="K986" i="4"/>
  <c r="J986" i="4"/>
  <c r="I986" i="4"/>
  <c r="H986" i="4"/>
  <c r="Q985" i="4"/>
  <c r="P985" i="4"/>
  <c r="O985" i="4"/>
  <c r="N985" i="4"/>
  <c r="M985" i="4"/>
  <c r="L985" i="4"/>
  <c r="K985" i="4"/>
  <c r="J985" i="4"/>
  <c r="I985" i="4"/>
  <c r="H985" i="4"/>
  <c r="Q984" i="4"/>
  <c r="P984" i="4"/>
  <c r="O984" i="4"/>
  <c r="N984" i="4"/>
  <c r="M984" i="4"/>
  <c r="L984" i="4"/>
  <c r="K984" i="4"/>
  <c r="J984" i="4"/>
  <c r="I984" i="4"/>
  <c r="H984" i="4"/>
  <c r="Q983" i="4"/>
  <c r="P983" i="4"/>
  <c r="O983" i="4"/>
  <c r="N983" i="4"/>
  <c r="M983" i="4"/>
  <c r="L983" i="4"/>
  <c r="K983" i="4"/>
  <c r="J983" i="4"/>
  <c r="I983" i="4"/>
  <c r="H983" i="4"/>
  <c r="Q982" i="4"/>
  <c r="P982" i="4"/>
  <c r="O982" i="4"/>
  <c r="N982" i="4"/>
  <c r="M982" i="4"/>
  <c r="L982" i="4"/>
  <c r="K982" i="4"/>
  <c r="J982" i="4"/>
  <c r="I982" i="4"/>
  <c r="H982" i="4"/>
  <c r="Q981" i="4"/>
  <c r="P981" i="4"/>
  <c r="O981" i="4"/>
  <c r="N981" i="4"/>
  <c r="M981" i="4"/>
  <c r="L981" i="4"/>
  <c r="K981" i="4"/>
  <c r="J981" i="4"/>
  <c r="I981" i="4"/>
  <c r="H981" i="4"/>
  <c r="Q980" i="4"/>
  <c r="P980" i="4"/>
  <c r="O980" i="4"/>
  <c r="N980" i="4"/>
  <c r="M980" i="4"/>
  <c r="L980" i="4"/>
  <c r="K980" i="4"/>
  <c r="J980" i="4"/>
  <c r="I980" i="4"/>
  <c r="H980" i="4"/>
  <c r="Q979" i="4"/>
  <c r="P979" i="4"/>
  <c r="O979" i="4"/>
  <c r="N979" i="4"/>
  <c r="M979" i="4"/>
  <c r="L979" i="4"/>
  <c r="K979" i="4"/>
  <c r="J979" i="4"/>
  <c r="I979" i="4"/>
  <c r="H979" i="4"/>
  <c r="Q978" i="4"/>
  <c r="P978" i="4"/>
  <c r="O978" i="4"/>
  <c r="N978" i="4"/>
  <c r="M978" i="4"/>
  <c r="L978" i="4"/>
  <c r="K978" i="4"/>
  <c r="J978" i="4"/>
  <c r="I978" i="4"/>
  <c r="H978" i="4"/>
  <c r="Q977" i="4"/>
  <c r="P977" i="4"/>
  <c r="O977" i="4"/>
  <c r="N977" i="4"/>
  <c r="M977" i="4"/>
  <c r="L977" i="4"/>
  <c r="K977" i="4"/>
  <c r="J977" i="4"/>
  <c r="I977" i="4"/>
  <c r="H977" i="4"/>
  <c r="Q976" i="4"/>
  <c r="P976" i="4"/>
  <c r="O976" i="4"/>
  <c r="N976" i="4"/>
  <c r="M976" i="4"/>
  <c r="L976" i="4"/>
  <c r="K976" i="4"/>
  <c r="J976" i="4"/>
  <c r="I976" i="4"/>
  <c r="H976" i="4"/>
  <c r="Q975" i="4"/>
  <c r="P975" i="4"/>
  <c r="O975" i="4"/>
  <c r="N975" i="4"/>
  <c r="M975" i="4"/>
  <c r="L975" i="4"/>
  <c r="K975" i="4"/>
  <c r="J975" i="4"/>
  <c r="I975" i="4"/>
  <c r="H975" i="4"/>
  <c r="Q974" i="4"/>
  <c r="P974" i="4"/>
  <c r="O974" i="4"/>
  <c r="N974" i="4"/>
  <c r="M974" i="4"/>
  <c r="L974" i="4"/>
  <c r="K974" i="4"/>
  <c r="J974" i="4"/>
  <c r="I974" i="4"/>
  <c r="H974" i="4"/>
  <c r="Q973" i="4"/>
  <c r="P973" i="4"/>
  <c r="O973" i="4"/>
  <c r="N973" i="4"/>
  <c r="M973" i="4"/>
  <c r="L973" i="4"/>
  <c r="K973" i="4"/>
  <c r="J973" i="4"/>
  <c r="I973" i="4"/>
  <c r="H973" i="4"/>
  <c r="Q972" i="4"/>
  <c r="P972" i="4"/>
  <c r="O972" i="4"/>
  <c r="N972" i="4"/>
  <c r="M972" i="4"/>
  <c r="L972" i="4"/>
  <c r="K972" i="4"/>
  <c r="J972" i="4"/>
  <c r="I972" i="4"/>
  <c r="H972" i="4"/>
  <c r="Q971" i="4"/>
  <c r="P971" i="4"/>
  <c r="O971" i="4"/>
  <c r="N971" i="4"/>
  <c r="M971" i="4"/>
  <c r="L971" i="4"/>
  <c r="K971" i="4"/>
  <c r="J971" i="4"/>
  <c r="I971" i="4"/>
  <c r="H971" i="4"/>
  <c r="Q970" i="4"/>
  <c r="P970" i="4"/>
  <c r="O970" i="4"/>
  <c r="N970" i="4"/>
  <c r="M970" i="4"/>
  <c r="L970" i="4"/>
  <c r="K970" i="4"/>
  <c r="J970" i="4"/>
  <c r="I970" i="4"/>
  <c r="H970" i="4"/>
  <c r="Q969" i="4"/>
  <c r="P969" i="4"/>
  <c r="O969" i="4"/>
  <c r="N969" i="4"/>
  <c r="M969" i="4"/>
  <c r="L969" i="4"/>
  <c r="K969" i="4"/>
  <c r="J969" i="4"/>
  <c r="I969" i="4"/>
  <c r="H969" i="4"/>
  <c r="Q968" i="4"/>
  <c r="P968" i="4"/>
  <c r="O968" i="4"/>
  <c r="N968" i="4"/>
  <c r="M968" i="4"/>
  <c r="L968" i="4"/>
  <c r="K968" i="4"/>
  <c r="J968" i="4"/>
  <c r="I968" i="4"/>
  <c r="H968" i="4"/>
  <c r="Q967" i="4"/>
  <c r="P967" i="4"/>
  <c r="O967" i="4"/>
  <c r="N967" i="4"/>
  <c r="M967" i="4"/>
  <c r="L967" i="4"/>
  <c r="K967" i="4"/>
  <c r="J967" i="4"/>
  <c r="I967" i="4"/>
  <c r="H967" i="4"/>
  <c r="Q966" i="4"/>
  <c r="P966" i="4"/>
  <c r="O966" i="4"/>
  <c r="N966" i="4"/>
  <c r="M966" i="4"/>
  <c r="L966" i="4"/>
  <c r="K966" i="4"/>
  <c r="J966" i="4"/>
  <c r="I966" i="4"/>
  <c r="H966" i="4"/>
  <c r="Q965" i="4"/>
  <c r="P965" i="4"/>
  <c r="O965" i="4"/>
  <c r="N965" i="4"/>
  <c r="M965" i="4"/>
  <c r="L965" i="4"/>
  <c r="K965" i="4"/>
  <c r="J965" i="4"/>
  <c r="I965" i="4"/>
  <c r="H965" i="4"/>
  <c r="Q964" i="4"/>
  <c r="P964" i="4"/>
  <c r="O964" i="4"/>
  <c r="N964" i="4"/>
  <c r="M964" i="4"/>
  <c r="L964" i="4"/>
  <c r="K964" i="4"/>
  <c r="J964" i="4"/>
  <c r="I964" i="4"/>
  <c r="H964" i="4"/>
  <c r="Q963" i="4"/>
  <c r="P963" i="4"/>
  <c r="O963" i="4"/>
  <c r="N963" i="4"/>
  <c r="M963" i="4"/>
  <c r="L963" i="4"/>
  <c r="K963" i="4"/>
  <c r="J963" i="4"/>
  <c r="I963" i="4"/>
  <c r="H963" i="4"/>
  <c r="Q962" i="4"/>
  <c r="P962" i="4"/>
  <c r="O962" i="4"/>
  <c r="N962" i="4"/>
  <c r="M962" i="4"/>
  <c r="L962" i="4"/>
  <c r="K962" i="4"/>
  <c r="J962" i="4"/>
  <c r="I962" i="4"/>
  <c r="H962" i="4"/>
  <c r="Q961" i="4"/>
  <c r="P961" i="4"/>
  <c r="O961" i="4"/>
  <c r="N961" i="4"/>
  <c r="M961" i="4"/>
  <c r="L961" i="4"/>
  <c r="K961" i="4"/>
  <c r="J961" i="4"/>
  <c r="I961" i="4"/>
  <c r="H961" i="4"/>
  <c r="Q960" i="4"/>
  <c r="P960" i="4"/>
  <c r="O960" i="4"/>
  <c r="N960" i="4"/>
  <c r="M960" i="4"/>
  <c r="L960" i="4"/>
  <c r="K960" i="4"/>
  <c r="J960" i="4"/>
  <c r="I960" i="4"/>
  <c r="H960" i="4"/>
  <c r="Q959" i="4"/>
  <c r="P959" i="4"/>
  <c r="O959" i="4"/>
  <c r="N959" i="4"/>
  <c r="M959" i="4"/>
  <c r="L959" i="4"/>
  <c r="K959" i="4"/>
  <c r="J959" i="4"/>
  <c r="I959" i="4"/>
  <c r="H959" i="4"/>
  <c r="Q958" i="4"/>
  <c r="P958" i="4"/>
  <c r="O958" i="4"/>
  <c r="N958" i="4"/>
  <c r="M958" i="4"/>
  <c r="L958" i="4"/>
  <c r="K958" i="4"/>
  <c r="J958" i="4"/>
  <c r="I958" i="4"/>
  <c r="H958" i="4"/>
  <c r="Q957" i="4"/>
  <c r="P957" i="4"/>
  <c r="O957" i="4"/>
  <c r="N957" i="4"/>
  <c r="M957" i="4"/>
  <c r="L957" i="4"/>
  <c r="K957" i="4"/>
  <c r="J957" i="4"/>
  <c r="I957" i="4"/>
  <c r="H957" i="4"/>
  <c r="Q956" i="4"/>
  <c r="P956" i="4"/>
  <c r="O956" i="4"/>
  <c r="N956" i="4"/>
  <c r="M956" i="4"/>
  <c r="L956" i="4"/>
  <c r="K956" i="4"/>
  <c r="J956" i="4"/>
  <c r="I956" i="4"/>
  <c r="H956" i="4"/>
  <c r="Q955" i="4"/>
  <c r="P955" i="4"/>
  <c r="O955" i="4"/>
  <c r="N955" i="4"/>
  <c r="M955" i="4"/>
  <c r="L955" i="4"/>
  <c r="K955" i="4"/>
  <c r="J955" i="4"/>
  <c r="I955" i="4"/>
  <c r="H955" i="4"/>
  <c r="Q954" i="4"/>
  <c r="P954" i="4"/>
  <c r="O954" i="4"/>
  <c r="N954" i="4"/>
  <c r="M954" i="4"/>
  <c r="L954" i="4"/>
  <c r="K954" i="4"/>
  <c r="J954" i="4"/>
  <c r="I954" i="4"/>
  <c r="H954" i="4"/>
  <c r="Q953" i="4"/>
  <c r="P953" i="4"/>
  <c r="O953" i="4"/>
  <c r="N953" i="4"/>
  <c r="M953" i="4"/>
  <c r="L953" i="4"/>
  <c r="K953" i="4"/>
  <c r="J953" i="4"/>
  <c r="I953" i="4"/>
  <c r="H953" i="4"/>
  <c r="Q952" i="4"/>
  <c r="P952" i="4"/>
  <c r="O952" i="4"/>
  <c r="N952" i="4"/>
  <c r="M952" i="4"/>
  <c r="L952" i="4"/>
  <c r="K952" i="4"/>
  <c r="J952" i="4"/>
  <c r="I952" i="4"/>
  <c r="H952" i="4"/>
  <c r="Q951" i="4"/>
  <c r="P951" i="4"/>
  <c r="O951" i="4"/>
  <c r="N951" i="4"/>
  <c r="M951" i="4"/>
  <c r="L951" i="4"/>
  <c r="K951" i="4"/>
  <c r="J951" i="4"/>
  <c r="I951" i="4"/>
  <c r="H951" i="4"/>
  <c r="Q950" i="4"/>
  <c r="P950" i="4"/>
  <c r="O950" i="4"/>
  <c r="N950" i="4"/>
  <c r="M950" i="4"/>
  <c r="L950" i="4"/>
  <c r="K950" i="4"/>
  <c r="J950" i="4"/>
  <c r="I950" i="4"/>
  <c r="H950" i="4"/>
  <c r="Q949" i="4"/>
  <c r="P949" i="4"/>
  <c r="O949" i="4"/>
  <c r="N949" i="4"/>
  <c r="M949" i="4"/>
  <c r="L949" i="4"/>
  <c r="K949" i="4"/>
  <c r="J949" i="4"/>
  <c r="I949" i="4"/>
  <c r="H949" i="4"/>
  <c r="Q948" i="4"/>
  <c r="P948" i="4"/>
  <c r="O948" i="4"/>
  <c r="N948" i="4"/>
  <c r="M948" i="4"/>
  <c r="L948" i="4"/>
  <c r="K948" i="4"/>
  <c r="J948" i="4"/>
  <c r="I948" i="4"/>
  <c r="H948" i="4"/>
  <c r="Q947" i="4"/>
  <c r="P947" i="4"/>
  <c r="O947" i="4"/>
  <c r="N947" i="4"/>
  <c r="M947" i="4"/>
  <c r="L947" i="4"/>
  <c r="K947" i="4"/>
  <c r="J947" i="4"/>
  <c r="I947" i="4"/>
  <c r="H947" i="4"/>
  <c r="Q946" i="4"/>
  <c r="P946" i="4"/>
  <c r="O946" i="4"/>
  <c r="N946" i="4"/>
  <c r="M946" i="4"/>
  <c r="L946" i="4"/>
  <c r="K946" i="4"/>
  <c r="J946" i="4"/>
  <c r="I946" i="4"/>
  <c r="H946" i="4"/>
  <c r="Q945" i="4"/>
  <c r="P945" i="4"/>
  <c r="O945" i="4"/>
  <c r="N945" i="4"/>
  <c r="M945" i="4"/>
  <c r="L945" i="4"/>
  <c r="K945" i="4"/>
  <c r="J945" i="4"/>
  <c r="I945" i="4"/>
  <c r="H945" i="4"/>
  <c r="Q944" i="4"/>
  <c r="P944" i="4"/>
  <c r="O944" i="4"/>
  <c r="N944" i="4"/>
  <c r="M944" i="4"/>
  <c r="L944" i="4"/>
  <c r="K944" i="4"/>
  <c r="J944" i="4"/>
  <c r="I944" i="4"/>
  <c r="H944" i="4"/>
  <c r="Q943" i="4"/>
  <c r="P943" i="4"/>
  <c r="O943" i="4"/>
  <c r="N943" i="4"/>
  <c r="M943" i="4"/>
  <c r="L943" i="4"/>
  <c r="K943" i="4"/>
  <c r="J943" i="4"/>
  <c r="I943" i="4"/>
  <c r="H943" i="4"/>
  <c r="Q942" i="4"/>
  <c r="P942" i="4"/>
  <c r="O942" i="4"/>
  <c r="N942" i="4"/>
  <c r="M942" i="4"/>
  <c r="L942" i="4"/>
  <c r="K942" i="4"/>
  <c r="J942" i="4"/>
  <c r="I942" i="4"/>
  <c r="H942" i="4"/>
  <c r="Q941" i="4"/>
  <c r="P941" i="4"/>
  <c r="O941" i="4"/>
  <c r="N941" i="4"/>
  <c r="M941" i="4"/>
  <c r="L941" i="4"/>
  <c r="K941" i="4"/>
  <c r="J941" i="4"/>
  <c r="I941" i="4"/>
  <c r="H941" i="4"/>
  <c r="Q940" i="4"/>
  <c r="P940" i="4"/>
  <c r="O940" i="4"/>
  <c r="N940" i="4"/>
  <c r="M940" i="4"/>
  <c r="L940" i="4"/>
  <c r="K940" i="4"/>
  <c r="J940" i="4"/>
  <c r="I940" i="4"/>
  <c r="H940" i="4"/>
  <c r="Q939" i="4"/>
  <c r="P939" i="4"/>
  <c r="O939" i="4"/>
  <c r="N939" i="4"/>
  <c r="M939" i="4"/>
  <c r="L939" i="4"/>
  <c r="K939" i="4"/>
  <c r="J939" i="4"/>
  <c r="I939" i="4"/>
  <c r="H939" i="4"/>
  <c r="Q938" i="4"/>
  <c r="P938" i="4"/>
  <c r="O938" i="4"/>
  <c r="N938" i="4"/>
  <c r="M938" i="4"/>
  <c r="L938" i="4"/>
  <c r="K938" i="4"/>
  <c r="J938" i="4"/>
  <c r="I938" i="4"/>
  <c r="H938" i="4"/>
  <c r="Q937" i="4"/>
  <c r="P937" i="4"/>
  <c r="O937" i="4"/>
  <c r="N937" i="4"/>
  <c r="M937" i="4"/>
  <c r="L937" i="4"/>
  <c r="K937" i="4"/>
  <c r="J937" i="4"/>
  <c r="I937" i="4"/>
  <c r="H937" i="4"/>
  <c r="Q936" i="4"/>
  <c r="P936" i="4"/>
  <c r="O936" i="4"/>
  <c r="N936" i="4"/>
  <c r="M936" i="4"/>
  <c r="L936" i="4"/>
  <c r="K936" i="4"/>
  <c r="J936" i="4"/>
  <c r="I936" i="4"/>
  <c r="H936" i="4"/>
  <c r="Q935" i="4"/>
  <c r="P935" i="4"/>
  <c r="O935" i="4"/>
  <c r="N935" i="4"/>
  <c r="M935" i="4"/>
  <c r="L935" i="4"/>
  <c r="K935" i="4"/>
  <c r="J935" i="4"/>
  <c r="I935" i="4"/>
  <c r="H935" i="4"/>
  <c r="Q934" i="4"/>
  <c r="P934" i="4"/>
  <c r="O934" i="4"/>
  <c r="N934" i="4"/>
  <c r="M934" i="4"/>
  <c r="L934" i="4"/>
  <c r="K934" i="4"/>
  <c r="J934" i="4"/>
  <c r="I934" i="4"/>
  <c r="H934" i="4"/>
  <c r="Q933" i="4"/>
  <c r="P933" i="4"/>
  <c r="O933" i="4"/>
  <c r="N933" i="4"/>
  <c r="M933" i="4"/>
  <c r="L933" i="4"/>
  <c r="K933" i="4"/>
  <c r="J933" i="4"/>
  <c r="I933" i="4"/>
  <c r="H933" i="4"/>
  <c r="Q932" i="4"/>
  <c r="P932" i="4"/>
  <c r="O932" i="4"/>
  <c r="N932" i="4"/>
  <c r="M932" i="4"/>
  <c r="L932" i="4"/>
  <c r="K932" i="4"/>
  <c r="J932" i="4"/>
  <c r="I932" i="4"/>
  <c r="H932" i="4"/>
  <c r="Q931" i="4"/>
  <c r="P931" i="4"/>
  <c r="O931" i="4"/>
  <c r="N931" i="4"/>
  <c r="M931" i="4"/>
  <c r="L931" i="4"/>
  <c r="K931" i="4"/>
  <c r="J931" i="4"/>
  <c r="I931" i="4"/>
  <c r="H931" i="4"/>
  <c r="Q930" i="4"/>
  <c r="P930" i="4"/>
  <c r="O930" i="4"/>
  <c r="N930" i="4"/>
  <c r="M930" i="4"/>
  <c r="L930" i="4"/>
  <c r="K930" i="4"/>
  <c r="J930" i="4"/>
  <c r="I930" i="4"/>
  <c r="H930" i="4"/>
  <c r="Q929" i="4"/>
  <c r="P929" i="4"/>
  <c r="O929" i="4"/>
  <c r="N929" i="4"/>
  <c r="M929" i="4"/>
  <c r="L929" i="4"/>
  <c r="K929" i="4"/>
  <c r="J929" i="4"/>
  <c r="I929" i="4"/>
  <c r="H929" i="4"/>
  <c r="Q928" i="4"/>
  <c r="P928" i="4"/>
  <c r="O928" i="4"/>
  <c r="N928" i="4"/>
  <c r="M928" i="4"/>
  <c r="L928" i="4"/>
  <c r="K928" i="4"/>
  <c r="J928" i="4"/>
  <c r="I928" i="4"/>
  <c r="H928" i="4"/>
  <c r="Q927" i="4"/>
  <c r="P927" i="4"/>
  <c r="O927" i="4"/>
  <c r="N927" i="4"/>
  <c r="M927" i="4"/>
  <c r="L927" i="4"/>
  <c r="K927" i="4"/>
  <c r="J927" i="4"/>
  <c r="I927" i="4"/>
  <c r="H927" i="4"/>
  <c r="Q926" i="4"/>
  <c r="P926" i="4"/>
  <c r="O926" i="4"/>
  <c r="N926" i="4"/>
  <c r="M926" i="4"/>
  <c r="L926" i="4"/>
  <c r="K926" i="4"/>
  <c r="J926" i="4"/>
  <c r="I926" i="4"/>
  <c r="H926" i="4"/>
  <c r="Q925" i="4"/>
  <c r="P925" i="4"/>
  <c r="O925" i="4"/>
  <c r="N925" i="4"/>
  <c r="M925" i="4"/>
  <c r="L925" i="4"/>
  <c r="K925" i="4"/>
  <c r="J925" i="4"/>
  <c r="I925" i="4"/>
  <c r="H925" i="4"/>
  <c r="Q924" i="4"/>
  <c r="P924" i="4"/>
  <c r="O924" i="4"/>
  <c r="N924" i="4"/>
  <c r="M924" i="4"/>
  <c r="L924" i="4"/>
  <c r="K924" i="4"/>
  <c r="J924" i="4"/>
  <c r="I924" i="4"/>
  <c r="H924" i="4"/>
  <c r="Q923" i="4"/>
  <c r="P923" i="4"/>
  <c r="O923" i="4"/>
  <c r="N923" i="4"/>
  <c r="M923" i="4"/>
  <c r="L923" i="4"/>
  <c r="K923" i="4"/>
  <c r="J923" i="4"/>
  <c r="I923" i="4"/>
  <c r="H923" i="4"/>
  <c r="Q922" i="4"/>
  <c r="P922" i="4"/>
  <c r="O922" i="4"/>
  <c r="N922" i="4"/>
  <c r="M922" i="4"/>
  <c r="L922" i="4"/>
  <c r="K922" i="4"/>
  <c r="J922" i="4"/>
  <c r="I922" i="4"/>
  <c r="H922" i="4"/>
  <c r="Q921" i="4"/>
  <c r="P921" i="4"/>
  <c r="O921" i="4"/>
  <c r="N921" i="4"/>
  <c r="M921" i="4"/>
  <c r="L921" i="4"/>
  <c r="K921" i="4"/>
  <c r="J921" i="4"/>
  <c r="I921" i="4"/>
  <c r="H921" i="4"/>
  <c r="Q920" i="4"/>
  <c r="P920" i="4"/>
  <c r="O920" i="4"/>
  <c r="N920" i="4"/>
  <c r="M920" i="4"/>
  <c r="L920" i="4"/>
  <c r="K920" i="4"/>
  <c r="J920" i="4"/>
  <c r="I920" i="4"/>
  <c r="H920" i="4"/>
  <c r="Q919" i="4"/>
  <c r="P919" i="4"/>
  <c r="O919" i="4"/>
  <c r="N919" i="4"/>
  <c r="M919" i="4"/>
  <c r="L919" i="4"/>
  <c r="K919" i="4"/>
  <c r="J919" i="4"/>
  <c r="I919" i="4"/>
  <c r="H919" i="4"/>
  <c r="Q918" i="4"/>
  <c r="P918" i="4"/>
  <c r="O918" i="4"/>
  <c r="N918" i="4"/>
  <c r="M918" i="4"/>
  <c r="L918" i="4"/>
  <c r="K918" i="4"/>
  <c r="J918" i="4"/>
  <c r="I918" i="4"/>
  <c r="H918" i="4"/>
  <c r="Q917" i="4"/>
  <c r="P917" i="4"/>
  <c r="O917" i="4"/>
  <c r="N917" i="4"/>
  <c r="M917" i="4"/>
  <c r="L917" i="4"/>
  <c r="K917" i="4"/>
  <c r="J917" i="4"/>
  <c r="I917" i="4"/>
  <c r="H917" i="4"/>
  <c r="Q916" i="4"/>
  <c r="P916" i="4"/>
  <c r="O916" i="4"/>
  <c r="N916" i="4"/>
  <c r="M916" i="4"/>
  <c r="L916" i="4"/>
  <c r="K916" i="4"/>
  <c r="J916" i="4"/>
  <c r="I916" i="4"/>
  <c r="H916" i="4"/>
  <c r="Q915" i="4"/>
  <c r="P915" i="4"/>
  <c r="O915" i="4"/>
  <c r="N915" i="4"/>
  <c r="M915" i="4"/>
  <c r="L915" i="4"/>
  <c r="K915" i="4"/>
  <c r="J915" i="4"/>
  <c r="I915" i="4"/>
  <c r="H915" i="4"/>
  <c r="Q914" i="4"/>
  <c r="P914" i="4"/>
  <c r="O914" i="4"/>
  <c r="N914" i="4"/>
  <c r="M914" i="4"/>
  <c r="L914" i="4"/>
  <c r="K914" i="4"/>
  <c r="J914" i="4"/>
  <c r="I914" i="4"/>
  <c r="H914" i="4"/>
  <c r="Q913" i="4"/>
  <c r="P913" i="4"/>
  <c r="O913" i="4"/>
  <c r="N913" i="4"/>
  <c r="M913" i="4"/>
  <c r="L913" i="4"/>
  <c r="K913" i="4"/>
  <c r="J913" i="4"/>
  <c r="I913" i="4"/>
  <c r="H913" i="4"/>
  <c r="Q912" i="4"/>
  <c r="P912" i="4"/>
  <c r="O912" i="4"/>
  <c r="N912" i="4"/>
  <c r="M912" i="4"/>
  <c r="L912" i="4"/>
  <c r="K912" i="4"/>
  <c r="J912" i="4"/>
  <c r="I912" i="4"/>
  <c r="H912" i="4"/>
  <c r="Q911" i="4"/>
  <c r="P911" i="4"/>
  <c r="O911" i="4"/>
  <c r="N911" i="4"/>
  <c r="M911" i="4"/>
  <c r="L911" i="4"/>
  <c r="K911" i="4"/>
  <c r="J911" i="4"/>
  <c r="I911" i="4"/>
  <c r="H911" i="4"/>
  <c r="Q910" i="4"/>
  <c r="P910" i="4"/>
  <c r="O910" i="4"/>
  <c r="N910" i="4"/>
  <c r="M910" i="4"/>
  <c r="L910" i="4"/>
  <c r="K910" i="4"/>
  <c r="J910" i="4"/>
  <c r="I910" i="4"/>
  <c r="H910" i="4"/>
  <c r="Q909" i="4"/>
  <c r="P909" i="4"/>
  <c r="O909" i="4"/>
  <c r="N909" i="4"/>
  <c r="M909" i="4"/>
  <c r="L909" i="4"/>
  <c r="K909" i="4"/>
  <c r="J909" i="4"/>
  <c r="I909" i="4"/>
  <c r="H909" i="4"/>
  <c r="Q908" i="4"/>
  <c r="P908" i="4"/>
  <c r="O908" i="4"/>
  <c r="N908" i="4"/>
  <c r="M908" i="4"/>
  <c r="L908" i="4"/>
  <c r="K908" i="4"/>
  <c r="J908" i="4"/>
  <c r="I908" i="4"/>
  <c r="H908" i="4"/>
  <c r="Q907" i="4"/>
  <c r="P907" i="4"/>
  <c r="O907" i="4"/>
  <c r="N907" i="4"/>
  <c r="M907" i="4"/>
  <c r="L907" i="4"/>
  <c r="K907" i="4"/>
  <c r="J907" i="4"/>
  <c r="I907" i="4"/>
  <c r="H907" i="4"/>
  <c r="Q906" i="4"/>
  <c r="P906" i="4"/>
  <c r="O906" i="4"/>
  <c r="N906" i="4"/>
  <c r="M906" i="4"/>
  <c r="L906" i="4"/>
  <c r="K906" i="4"/>
  <c r="J906" i="4"/>
  <c r="I906" i="4"/>
  <c r="H906" i="4"/>
  <c r="Q905" i="4"/>
  <c r="P905" i="4"/>
  <c r="O905" i="4"/>
  <c r="N905" i="4"/>
  <c r="M905" i="4"/>
  <c r="L905" i="4"/>
  <c r="K905" i="4"/>
  <c r="J905" i="4"/>
  <c r="I905" i="4"/>
  <c r="H905" i="4"/>
  <c r="Q904" i="4"/>
  <c r="P904" i="4"/>
  <c r="O904" i="4"/>
  <c r="N904" i="4"/>
  <c r="M904" i="4"/>
  <c r="L904" i="4"/>
  <c r="K904" i="4"/>
  <c r="J904" i="4"/>
  <c r="I904" i="4"/>
  <c r="H904" i="4"/>
  <c r="Q903" i="4"/>
  <c r="P903" i="4"/>
  <c r="O903" i="4"/>
  <c r="N903" i="4"/>
  <c r="M903" i="4"/>
  <c r="L903" i="4"/>
  <c r="K903" i="4"/>
  <c r="J903" i="4"/>
  <c r="I903" i="4"/>
  <c r="H903" i="4"/>
  <c r="Q902" i="4"/>
  <c r="P902" i="4"/>
  <c r="O902" i="4"/>
  <c r="N902" i="4"/>
  <c r="M902" i="4"/>
  <c r="L902" i="4"/>
  <c r="K902" i="4"/>
  <c r="J902" i="4"/>
  <c r="I902" i="4"/>
  <c r="H902" i="4"/>
  <c r="Q901" i="4"/>
  <c r="P901" i="4"/>
  <c r="O901" i="4"/>
  <c r="N901" i="4"/>
  <c r="M901" i="4"/>
  <c r="L901" i="4"/>
  <c r="K901" i="4"/>
  <c r="J901" i="4"/>
  <c r="I901" i="4"/>
  <c r="H901" i="4"/>
  <c r="Q900" i="4"/>
  <c r="P900" i="4"/>
  <c r="O900" i="4"/>
  <c r="N900" i="4"/>
  <c r="M900" i="4"/>
  <c r="L900" i="4"/>
  <c r="K900" i="4"/>
  <c r="J900" i="4"/>
  <c r="I900" i="4"/>
  <c r="H900" i="4"/>
  <c r="Q899" i="4"/>
  <c r="P899" i="4"/>
  <c r="O899" i="4"/>
  <c r="N899" i="4"/>
  <c r="M899" i="4"/>
  <c r="L899" i="4"/>
  <c r="K899" i="4"/>
  <c r="J899" i="4"/>
  <c r="I899" i="4"/>
  <c r="H899" i="4"/>
  <c r="Q898" i="4"/>
  <c r="P898" i="4"/>
  <c r="O898" i="4"/>
  <c r="N898" i="4"/>
  <c r="M898" i="4"/>
  <c r="L898" i="4"/>
  <c r="K898" i="4"/>
  <c r="J898" i="4"/>
  <c r="I898" i="4"/>
  <c r="H898" i="4"/>
  <c r="Q897" i="4"/>
  <c r="P897" i="4"/>
  <c r="O897" i="4"/>
  <c r="N897" i="4"/>
  <c r="M897" i="4"/>
  <c r="L897" i="4"/>
  <c r="K897" i="4"/>
  <c r="J897" i="4"/>
  <c r="I897" i="4"/>
  <c r="H897" i="4"/>
  <c r="Q896" i="4"/>
  <c r="P896" i="4"/>
  <c r="O896" i="4"/>
  <c r="N896" i="4"/>
  <c r="M896" i="4"/>
  <c r="L896" i="4"/>
  <c r="K896" i="4"/>
  <c r="J896" i="4"/>
  <c r="I896" i="4"/>
  <c r="H896" i="4"/>
  <c r="Q895" i="4"/>
  <c r="P895" i="4"/>
  <c r="O895" i="4"/>
  <c r="N895" i="4"/>
  <c r="M895" i="4"/>
  <c r="L895" i="4"/>
  <c r="K895" i="4"/>
  <c r="J895" i="4"/>
  <c r="I895" i="4"/>
  <c r="H895" i="4"/>
  <c r="Q894" i="4"/>
  <c r="P894" i="4"/>
  <c r="O894" i="4"/>
  <c r="N894" i="4"/>
  <c r="M894" i="4"/>
  <c r="L894" i="4"/>
  <c r="K894" i="4"/>
  <c r="J894" i="4"/>
  <c r="I894" i="4"/>
  <c r="H894" i="4"/>
  <c r="Q893" i="4"/>
  <c r="P893" i="4"/>
  <c r="O893" i="4"/>
  <c r="N893" i="4"/>
  <c r="M893" i="4"/>
  <c r="L893" i="4"/>
  <c r="K893" i="4"/>
  <c r="J893" i="4"/>
  <c r="I893" i="4"/>
  <c r="H893" i="4"/>
  <c r="Q892" i="4"/>
  <c r="P892" i="4"/>
  <c r="O892" i="4"/>
  <c r="N892" i="4"/>
  <c r="M892" i="4"/>
  <c r="L892" i="4"/>
  <c r="K892" i="4"/>
  <c r="J892" i="4"/>
  <c r="I892" i="4"/>
  <c r="H892" i="4"/>
  <c r="Q891" i="4"/>
  <c r="P891" i="4"/>
  <c r="O891" i="4"/>
  <c r="N891" i="4"/>
  <c r="M891" i="4"/>
  <c r="L891" i="4"/>
  <c r="K891" i="4"/>
  <c r="J891" i="4"/>
  <c r="I891" i="4"/>
  <c r="H891" i="4"/>
  <c r="Q890" i="4"/>
  <c r="P890" i="4"/>
  <c r="O890" i="4"/>
  <c r="N890" i="4"/>
  <c r="M890" i="4"/>
  <c r="L890" i="4"/>
  <c r="K890" i="4"/>
  <c r="J890" i="4"/>
  <c r="I890" i="4"/>
  <c r="H890" i="4"/>
  <c r="Q889" i="4"/>
  <c r="P889" i="4"/>
  <c r="O889" i="4"/>
  <c r="N889" i="4"/>
  <c r="M889" i="4"/>
  <c r="L889" i="4"/>
  <c r="K889" i="4"/>
  <c r="J889" i="4"/>
  <c r="I889" i="4"/>
  <c r="H889" i="4"/>
  <c r="Q888" i="4"/>
  <c r="P888" i="4"/>
  <c r="O888" i="4"/>
  <c r="N888" i="4"/>
  <c r="M888" i="4"/>
  <c r="L888" i="4"/>
  <c r="K888" i="4"/>
  <c r="J888" i="4"/>
  <c r="I888" i="4"/>
  <c r="H888" i="4"/>
  <c r="Q887" i="4"/>
  <c r="P887" i="4"/>
  <c r="O887" i="4"/>
  <c r="N887" i="4"/>
  <c r="M887" i="4"/>
  <c r="L887" i="4"/>
  <c r="K887" i="4"/>
  <c r="J887" i="4"/>
  <c r="I887" i="4"/>
  <c r="H887" i="4"/>
  <c r="Q886" i="4"/>
  <c r="P886" i="4"/>
  <c r="O886" i="4"/>
  <c r="N886" i="4"/>
  <c r="M886" i="4"/>
  <c r="L886" i="4"/>
  <c r="K886" i="4"/>
  <c r="J886" i="4"/>
  <c r="I886" i="4"/>
  <c r="H886" i="4"/>
  <c r="Q885" i="4"/>
  <c r="P885" i="4"/>
  <c r="O885" i="4"/>
  <c r="N885" i="4"/>
  <c r="M885" i="4"/>
  <c r="L885" i="4"/>
  <c r="K885" i="4"/>
  <c r="J885" i="4"/>
  <c r="I885" i="4"/>
  <c r="H885" i="4"/>
  <c r="Q884" i="4"/>
  <c r="P884" i="4"/>
  <c r="O884" i="4"/>
  <c r="N884" i="4"/>
  <c r="M884" i="4"/>
  <c r="L884" i="4"/>
  <c r="K884" i="4"/>
  <c r="J884" i="4"/>
  <c r="I884" i="4"/>
  <c r="H884" i="4"/>
  <c r="Q883" i="4"/>
  <c r="P883" i="4"/>
  <c r="O883" i="4"/>
  <c r="N883" i="4"/>
  <c r="M883" i="4"/>
  <c r="L883" i="4"/>
  <c r="K883" i="4"/>
  <c r="J883" i="4"/>
  <c r="I883" i="4"/>
  <c r="H883" i="4"/>
  <c r="Q882" i="4"/>
  <c r="P882" i="4"/>
  <c r="O882" i="4"/>
  <c r="N882" i="4"/>
  <c r="M882" i="4"/>
  <c r="L882" i="4"/>
  <c r="K882" i="4"/>
  <c r="J882" i="4"/>
  <c r="I882" i="4"/>
  <c r="H882" i="4"/>
  <c r="Q881" i="4"/>
  <c r="P881" i="4"/>
  <c r="O881" i="4"/>
  <c r="N881" i="4"/>
  <c r="M881" i="4"/>
  <c r="L881" i="4"/>
  <c r="K881" i="4"/>
  <c r="J881" i="4"/>
  <c r="I881" i="4"/>
  <c r="H881" i="4"/>
  <c r="Q880" i="4"/>
  <c r="P880" i="4"/>
  <c r="O880" i="4"/>
  <c r="N880" i="4"/>
  <c r="M880" i="4"/>
  <c r="L880" i="4"/>
  <c r="K880" i="4"/>
  <c r="J880" i="4"/>
  <c r="I880" i="4"/>
  <c r="H880" i="4"/>
  <c r="Q879" i="4"/>
  <c r="P879" i="4"/>
  <c r="O879" i="4"/>
  <c r="N879" i="4"/>
  <c r="M879" i="4"/>
  <c r="L879" i="4"/>
  <c r="K879" i="4"/>
  <c r="J879" i="4"/>
  <c r="I879" i="4"/>
  <c r="H879" i="4"/>
  <c r="Q878" i="4"/>
  <c r="P878" i="4"/>
  <c r="O878" i="4"/>
  <c r="N878" i="4"/>
  <c r="M878" i="4"/>
  <c r="L878" i="4"/>
  <c r="K878" i="4"/>
  <c r="J878" i="4"/>
  <c r="I878" i="4"/>
  <c r="H878" i="4"/>
  <c r="Q877" i="4"/>
  <c r="P877" i="4"/>
  <c r="O877" i="4"/>
  <c r="N877" i="4"/>
  <c r="M877" i="4"/>
  <c r="L877" i="4"/>
  <c r="K877" i="4"/>
  <c r="J877" i="4"/>
  <c r="I877" i="4"/>
  <c r="H877" i="4"/>
  <c r="Q876" i="4"/>
  <c r="P876" i="4"/>
  <c r="O876" i="4"/>
  <c r="N876" i="4"/>
  <c r="M876" i="4"/>
  <c r="L876" i="4"/>
  <c r="K876" i="4"/>
  <c r="J876" i="4"/>
  <c r="I876" i="4"/>
  <c r="H876" i="4"/>
  <c r="Q875" i="4"/>
  <c r="P875" i="4"/>
  <c r="O875" i="4"/>
  <c r="N875" i="4"/>
  <c r="M875" i="4"/>
  <c r="L875" i="4"/>
  <c r="K875" i="4"/>
  <c r="J875" i="4"/>
  <c r="I875" i="4"/>
  <c r="H875" i="4"/>
  <c r="Q874" i="4"/>
  <c r="P874" i="4"/>
  <c r="O874" i="4"/>
  <c r="N874" i="4"/>
  <c r="M874" i="4"/>
  <c r="L874" i="4"/>
  <c r="K874" i="4"/>
  <c r="J874" i="4"/>
  <c r="I874" i="4"/>
  <c r="H874" i="4"/>
  <c r="Q873" i="4"/>
  <c r="P873" i="4"/>
  <c r="O873" i="4"/>
  <c r="N873" i="4"/>
  <c r="M873" i="4"/>
  <c r="L873" i="4"/>
  <c r="K873" i="4"/>
  <c r="J873" i="4"/>
  <c r="I873" i="4"/>
  <c r="H873" i="4"/>
  <c r="Q872" i="4"/>
  <c r="P872" i="4"/>
  <c r="O872" i="4"/>
  <c r="N872" i="4"/>
  <c r="M872" i="4"/>
  <c r="L872" i="4"/>
  <c r="K872" i="4"/>
  <c r="J872" i="4"/>
  <c r="I872" i="4"/>
  <c r="H872" i="4"/>
  <c r="Q871" i="4"/>
  <c r="P871" i="4"/>
  <c r="O871" i="4"/>
  <c r="N871" i="4"/>
  <c r="M871" i="4"/>
  <c r="L871" i="4"/>
  <c r="K871" i="4"/>
  <c r="J871" i="4"/>
  <c r="I871" i="4"/>
  <c r="H871" i="4"/>
  <c r="Q870" i="4"/>
  <c r="P870" i="4"/>
  <c r="O870" i="4"/>
  <c r="N870" i="4"/>
  <c r="M870" i="4"/>
  <c r="L870" i="4"/>
  <c r="K870" i="4"/>
  <c r="J870" i="4"/>
  <c r="I870" i="4"/>
  <c r="H870" i="4"/>
  <c r="Q869" i="4"/>
  <c r="P869" i="4"/>
  <c r="O869" i="4"/>
  <c r="N869" i="4"/>
  <c r="M869" i="4"/>
  <c r="L869" i="4"/>
  <c r="K869" i="4"/>
  <c r="J869" i="4"/>
  <c r="I869" i="4"/>
  <c r="H869" i="4"/>
  <c r="Q868" i="4"/>
  <c r="P868" i="4"/>
  <c r="O868" i="4"/>
  <c r="N868" i="4"/>
  <c r="M868" i="4"/>
  <c r="L868" i="4"/>
  <c r="K868" i="4"/>
  <c r="J868" i="4"/>
  <c r="I868" i="4"/>
  <c r="H868" i="4"/>
  <c r="Q867" i="4"/>
  <c r="P867" i="4"/>
  <c r="O867" i="4"/>
  <c r="N867" i="4"/>
  <c r="M867" i="4"/>
  <c r="L867" i="4"/>
  <c r="K867" i="4"/>
  <c r="J867" i="4"/>
  <c r="I867" i="4"/>
  <c r="H867" i="4"/>
  <c r="Q866" i="4"/>
  <c r="P866" i="4"/>
  <c r="O866" i="4"/>
  <c r="N866" i="4"/>
  <c r="M866" i="4"/>
  <c r="L866" i="4"/>
  <c r="K866" i="4"/>
  <c r="J866" i="4"/>
  <c r="I866" i="4"/>
  <c r="H866" i="4"/>
  <c r="Q865" i="4"/>
  <c r="P865" i="4"/>
  <c r="O865" i="4"/>
  <c r="N865" i="4"/>
  <c r="M865" i="4"/>
  <c r="L865" i="4"/>
  <c r="K865" i="4"/>
  <c r="J865" i="4"/>
  <c r="I865" i="4"/>
  <c r="H865" i="4"/>
  <c r="Q864" i="4"/>
  <c r="P864" i="4"/>
  <c r="O864" i="4"/>
  <c r="N864" i="4"/>
  <c r="M864" i="4"/>
  <c r="L864" i="4"/>
  <c r="K864" i="4"/>
  <c r="J864" i="4"/>
  <c r="I864" i="4"/>
  <c r="H864" i="4"/>
  <c r="Q863" i="4"/>
  <c r="P863" i="4"/>
  <c r="O863" i="4"/>
  <c r="N863" i="4"/>
  <c r="M863" i="4"/>
  <c r="L863" i="4"/>
  <c r="K863" i="4"/>
  <c r="J863" i="4"/>
  <c r="I863" i="4"/>
  <c r="H863" i="4"/>
  <c r="Q862" i="4"/>
  <c r="P862" i="4"/>
  <c r="O862" i="4"/>
  <c r="N862" i="4"/>
  <c r="M862" i="4"/>
  <c r="L862" i="4"/>
  <c r="K862" i="4"/>
  <c r="J862" i="4"/>
  <c r="I862" i="4"/>
  <c r="H862" i="4"/>
  <c r="Q861" i="4"/>
  <c r="P861" i="4"/>
  <c r="O861" i="4"/>
  <c r="N861" i="4"/>
  <c r="M861" i="4"/>
  <c r="L861" i="4"/>
  <c r="K861" i="4"/>
  <c r="J861" i="4"/>
  <c r="I861" i="4"/>
  <c r="H861" i="4"/>
  <c r="Q860" i="4"/>
  <c r="P860" i="4"/>
  <c r="O860" i="4"/>
  <c r="N860" i="4"/>
  <c r="M860" i="4"/>
  <c r="L860" i="4"/>
  <c r="K860" i="4"/>
  <c r="J860" i="4"/>
  <c r="I860" i="4"/>
  <c r="H860" i="4"/>
  <c r="Q859" i="4"/>
  <c r="P859" i="4"/>
  <c r="O859" i="4"/>
  <c r="N859" i="4"/>
  <c r="M859" i="4"/>
  <c r="L859" i="4"/>
  <c r="K859" i="4"/>
  <c r="J859" i="4"/>
  <c r="I859" i="4"/>
  <c r="H859" i="4"/>
  <c r="Q858" i="4"/>
  <c r="P858" i="4"/>
  <c r="O858" i="4"/>
  <c r="N858" i="4"/>
  <c r="M858" i="4"/>
  <c r="L858" i="4"/>
  <c r="K858" i="4"/>
  <c r="J858" i="4"/>
  <c r="I858" i="4"/>
  <c r="H858" i="4"/>
  <c r="Q857" i="4"/>
  <c r="P857" i="4"/>
  <c r="O857" i="4"/>
  <c r="N857" i="4"/>
  <c r="M857" i="4"/>
  <c r="L857" i="4"/>
  <c r="K857" i="4"/>
  <c r="J857" i="4"/>
  <c r="I857" i="4"/>
  <c r="H857" i="4"/>
  <c r="Q856" i="4"/>
  <c r="P856" i="4"/>
  <c r="O856" i="4"/>
  <c r="N856" i="4"/>
  <c r="M856" i="4"/>
  <c r="L856" i="4"/>
  <c r="K856" i="4"/>
  <c r="J856" i="4"/>
  <c r="I856" i="4"/>
  <c r="H856" i="4"/>
  <c r="Q855" i="4"/>
  <c r="P855" i="4"/>
  <c r="O855" i="4"/>
  <c r="N855" i="4"/>
  <c r="M855" i="4"/>
  <c r="L855" i="4"/>
  <c r="K855" i="4"/>
  <c r="J855" i="4"/>
  <c r="I855" i="4"/>
  <c r="H855" i="4"/>
  <c r="Q854" i="4"/>
  <c r="P854" i="4"/>
  <c r="O854" i="4"/>
  <c r="N854" i="4"/>
  <c r="M854" i="4"/>
  <c r="L854" i="4"/>
  <c r="K854" i="4"/>
  <c r="J854" i="4"/>
  <c r="I854" i="4"/>
  <c r="H854" i="4"/>
  <c r="Q853" i="4"/>
  <c r="P853" i="4"/>
  <c r="O853" i="4"/>
  <c r="N853" i="4"/>
  <c r="M853" i="4"/>
  <c r="L853" i="4"/>
  <c r="K853" i="4"/>
  <c r="J853" i="4"/>
  <c r="I853" i="4"/>
  <c r="H853" i="4"/>
  <c r="Q852" i="4"/>
  <c r="P852" i="4"/>
  <c r="O852" i="4"/>
  <c r="N852" i="4"/>
  <c r="M852" i="4"/>
  <c r="L852" i="4"/>
  <c r="K852" i="4"/>
  <c r="J852" i="4"/>
  <c r="I852" i="4"/>
  <c r="H852" i="4"/>
  <c r="Q851" i="4"/>
  <c r="P851" i="4"/>
  <c r="O851" i="4"/>
  <c r="N851" i="4"/>
  <c r="M851" i="4"/>
  <c r="L851" i="4"/>
  <c r="K851" i="4"/>
  <c r="J851" i="4"/>
  <c r="I851" i="4"/>
  <c r="H851" i="4"/>
  <c r="Q850" i="4"/>
  <c r="P850" i="4"/>
  <c r="O850" i="4"/>
  <c r="N850" i="4"/>
  <c r="M850" i="4"/>
  <c r="L850" i="4"/>
  <c r="K850" i="4"/>
  <c r="J850" i="4"/>
  <c r="I850" i="4"/>
  <c r="H850" i="4"/>
  <c r="Q849" i="4"/>
  <c r="P849" i="4"/>
  <c r="O849" i="4"/>
  <c r="N849" i="4"/>
  <c r="M849" i="4"/>
  <c r="L849" i="4"/>
  <c r="K849" i="4"/>
  <c r="J849" i="4"/>
  <c r="I849" i="4"/>
  <c r="H849" i="4"/>
  <c r="Q848" i="4"/>
  <c r="P848" i="4"/>
  <c r="O848" i="4"/>
  <c r="N848" i="4"/>
  <c r="M848" i="4"/>
  <c r="L848" i="4"/>
  <c r="K848" i="4"/>
  <c r="J848" i="4"/>
  <c r="I848" i="4"/>
  <c r="H848" i="4"/>
  <c r="Q847" i="4"/>
  <c r="P847" i="4"/>
  <c r="O847" i="4"/>
  <c r="N847" i="4"/>
  <c r="M847" i="4"/>
  <c r="L847" i="4"/>
  <c r="K847" i="4"/>
  <c r="J847" i="4"/>
  <c r="I847" i="4"/>
  <c r="H847" i="4"/>
  <c r="Q846" i="4"/>
  <c r="P846" i="4"/>
  <c r="O846" i="4"/>
  <c r="N846" i="4"/>
  <c r="M846" i="4"/>
  <c r="L846" i="4"/>
  <c r="K846" i="4"/>
  <c r="J846" i="4"/>
  <c r="I846" i="4"/>
  <c r="H846" i="4"/>
  <c r="Q845" i="4"/>
  <c r="P845" i="4"/>
  <c r="O845" i="4"/>
  <c r="N845" i="4"/>
  <c r="M845" i="4"/>
  <c r="L845" i="4"/>
  <c r="K845" i="4"/>
  <c r="J845" i="4"/>
  <c r="I845" i="4"/>
  <c r="H845" i="4"/>
  <c r="Q844" i="4"/>
  <c r="P844" i="4"/>
  <c r="O844" i="4"/>
  <c r="N844" i="4"/>
  <c r="M844" i="4"/>
  <c r="L844" i="4"/>
  <c r="K844" i="4"/>
  <c r="J844" i="4"/>
  <c r="I844" i="4"/>
  <c r="H844" i="4"/>
  <c r="Q843" i="4"/>
  <c r="P843" i="4"/>
  <c r="O843" i="4"/>
  <c r="N843" i="4"/>
  <c r="M843" i="4"/>
  <c r="L843" i="4"/>
  <c r="K843" i="4"/>
  <c r="J843" i="4"/>
  <c r="I843" i="4"/>
  <c r="H843" i="4"/>
  <c r="Q842" i="4"/>
  <c r="P842" i="4"/>
  <c r="O842" i="4"/>
  <c r="N842" i="4"/>
  <c r="M842" i="4"/>
  <c r="L842" i="4"/>
  <c r="K842" i="4"/>
  <c r="J842" i="4"/>
  <c r="I842" i="4"/>
  <c r="H842" i="4"/>
  <c r="Q841" i="4"/>
  <c r="P841" i="4"/>
  <c r="O841" i="4"/>
  <c r="N841" i="4"/>
  <c r="M841" i="4"/>
  <c r="L841" i="4"/>
  <c r="K841" i="4"/>
  <c r="J841" i="4"/>
  <c r="I841" i="4"/>
  <c r="H841" i="4"/>
  <c r="Q840" i="4"/>
  <c r="P840" i="4"/>
  <c r="O840" i="4"/>
  <c r="N840" i="4"/>
  <c r="M840" i="4"/>
  <c r="L840" i="4"/>
  <c r="K840" i="4"/>
  <c r="J840" i="4"/>
  <c r="I840" i="4"/>
  <c r="H840" i="4"/>
  <c r="Q839" i="4"/>
  <c r="P839" i="4"/>
  <c r="O839" i="4"/>
  <c r="N839" i="4"/>
  <c r="M839" i="4"/>
  <c r="L839" i="4"/>
  <c r="K839" i="4"/>
  <c r="J839" i="4"/>
  <c r="I839" i="4"/>
  <c r="H839" i="4"/>
  <c r="Q838" i="4"/>
  <c r="P838" i="4"/>
  <c r="O838" i="4"/>
  <c r="N838" i="4"/>
  <c r="M838" i="4"/>
  <c r="L838" i="4"/>
  <c r="K838" i="4"/>
  <c r="J838" i="4"/>
  <c r="I838" i="4"/>
  <c r="H838" i="4"/>
  <c r="Q837" i="4"/>
  <c r="P837" i="4"/>
  <c r="O837" i="4"/>
  <c r="N837" i="4"/>
  <c r="M837" i="4"/>
  <c r="L837" i="4"/>
  <c r="K837" i="4"/>
  <c r="J837" i="4"/>
  <c r="I837" i="4"/>
  <c r="H837" i="4"/>
  <c r="Q836" i="4"/>
  <c r="P836" i="4"/>
  <c r="O836" i="4"/>
  <c r="N836" i="4"/>
  <c r="M836" i="4"/>
  <c r="L836" i="4"/>
  <c r="K836" i="4"/>
  <c r="J836" i="4"/>
  <c r="I836" i="4"/>
  <c r="H836" i="4"/>
  <c r="Q835" i="4"/>
  <c r="P835" i="4"/>
  <c r="O835" i="4"/>
  <c r="N835" i="4"/>
  <c r="M835" i="4"/>
  <c r="L835" i="4"/>
  <c r="K835" i="4"/>
  <c r="J835" i="4"/>
  <c r="I835" i="4"/>
  <c r="H835" i="4"/>
  <c r="Q834" i="4"/>
  <c r="P834" i="4"/>
  <c r="O834" i="4"/>
  <c r="N834" i="4"/>
  <c r="M834" i="4"/>
  <c r="L834" i="4"/>
  <c r="K834" i="4"/>
  <c r="J834" i="4"/>
  <c r="I834" i="4"/>
  <c r="H834" i="4"/>
  <c r="Q833" i="4"/>
  <c r="P833" i="4"/>
  <c r="O833" i="4"/>
  <c r="N833" i="4"/>
  <c r="M833" i="4"/>
  <c r="L833" i="4"/>
  <c r="K833" i="4"/>
  <c r="J833" i="4"/>
  <c r="I833" i="4"/>
  <c r="H833" i="4"/>
  <c r="Q832" i="4"/>
  <c r="P832" i="4"/>
  <c r="O832" i="4"/>
  <c r="N832" i="4"/>
  <c r="M832" i="4"/>
  <c r="L832" i="4"/>
  <c r="K832" i="4"/>
  <c r="J832" i="4"/>
  <c r="I832" i="4"/>
  <c r="H832" i="4"/>
  <c r="Q831" i="4"/>
  <c r="P831" i="4"/>
  <c r="O831" i="4"/>
  <c r="N831" i="4"/>
  <c r="M831" i="4"/>
  <c r="L831" i="4"/>
  <c r="K831" i="4"/>
  <c r="J831" i="4"/>
  <c r="I831" i="4"/>
  <c r="H831" i="4"/>
  <c r="Q830" i="4"/>
  <c r="P830" i="4"/>
  <c r="O830" i="4"/>
  <c r="N830" i="4"/>
  <c r="M830" i="4"/>
  <c r="L830" i="4"/>
  <c r="K830" i="4"/>
  <c r="J830" i="4"/>
  <c r="I830" i="4"/>
  <c r="H830" i="4"/>
  <c r="Q829" i="4"/>
  <c r="P829" i="4"/>
  <c r="O829" i="4"/>
  <c r="N829" i="4"/>
  <c r="M829" i="4"/>
  <c r="L829" i="4"/>
  <c r="K829" i="4"/>
  <c r="J829" i="4"/>
  <c r="I829" i="4"/>
  <c r="H829" i="4"/>
  <c r="Q828" i="4"/>
  <c r="P828" i="4"/>
  <c r="O828" i="4"/>
  <c r="N828" i="4"/>
  <c r="M828" i="4"/>
  <c r="L828" i="4"/>
  <c r="K828" i="4"/>
  <c r="J828" i="4"/>
  <c r="I828" i="4"/>
  <c r="H828" i="4"/>
  <c r="Q827" i="4"/>
  <c r="P827" i="4"/>
  <c r="O827" i="4"/>
  <c r="N827" i="4"/>
  <c r="M827" i="4"/>
  <c r="L827" i="4"/>
  <c r="K827" i="4"/>
  <c r="J827" i="4"/>
  <c r="I827" i="4"/>
  <c r="H827" i="4"/>
  <c r="Q826" i="4"/>
  <c r="P826" i="4"/>
  <c r="O826" i="4"/>
  <c r="N826" i="4"/>
  <c r="M826" i="4"/>
  <c r="L826" i="4"/>
  <c r="K826" i="4"/>
  <c r="J826" i="4"/>
  <c r="I826" i="4"/>
  <c r="H826" i="4"/>
  <c r="Q825" i="4"/>
  <c r="P825" i="4"/>
  <c r="O825" i="4"/>
  <c r="N825" i="4"/>
  <c r="M825" i="4"/>
  <c r="L825" i="4"/>
  <c r="K825" i="4"/>
  <c r="J825" i="4"/>
  <c r="I825" i="4"/>
  <c r="H825" i="4"/>
  <c r="Q824" i="4"/>
  <c r="P824" i="4"/>
  <c r="O824" i="4"/>
  <c r="N824" i="4"/>
  <c r="M824" i="4"/>
  <c r="L824" i="4"/>
  <c r="K824" i="4"/>
  <c r="J824" i="4"/>
  <c r="I824" i="4"/>
  <c r="H824" i="4"/>
  <c r="Q823" i="4"/>
  <c r="P823" i="4"/>
  <c r="O823" i="4"/>
  <c r="N823" i="4"/>
  <c r="M823" i="4"/>
  <c r="L823" i="4"/>
  <c r="K823" i="4"/>
  <c r="J823" i="4"/>
  <c r="I823" i="4"/>
  <c r="H823" i="4"/>
  <c r="Q822" i="4"/>
  <c r="P822" i="4"/>
  <c r="O822" i="4"/>
  <c r="N822" i="4"/>
  <c r="M822" i="4"/>
  <c r="L822" i="4"/>
  <c r="K822" i="4"/>
  <c r="J822" i="4"/>
  <c r="I822" i="4"/>
  <c r="H822" i="4"/>
  <c r="Q821" i="4"/>
  <c r="P821" i="4"/>
  <c r="O821" i="4"/>
  <c r="N821" i="4"/>
  <c r="M821" i="4"/>
  <c r="L821" i="4"/>
  <c r="K821" i="4"/>
  <c r="J821" i="4"/>
  <c r="I821" i="4"/>
  <c r="H821" i="4"/>
  <c r="Q820" i="4"/>
  <c r="P820" i="4"/>
  <c r="O820" i="4"/>
  <c r="N820" i="4"/>
  <c r="M820" i="4"/>
  <c r="L820" i="4"/>
  <c r="K820" i="4"/>
  <c r="J820" i="4"/>
  <c r="I820" i="4"/>
  <c r="H820" i="4"/>
  <c r="Q819" i="4"/>
  <c r="P819" i="4"/>
  <c r="O819" i="4"/>
  <c r="N819" i="4"/>
  <c r="M819" i="4"/>
  <c r="L819" i="4"/>
  <c r="K819" i="4"/>
  <c r="J819" i="4"/>
  <c r="I819" i="4"/>
  <c r="H819" i="4"/>
  <c r="Q818" i="4"/>
  <c r="P818" i="4"/>
  <c r="O818" i="4"/>
  <c r="N818" i="4"/>
  <c r="M818" i="4"/>
  <c r="L818" i="4"/>
  <c r="K818" i="4"/>
  <c r="J818" i="4"/>
  <c r="I818" i="4"/>
  <c r="H818" i="4"/>
  <c r="Q817" i="4"/>
  <c r="P817" i="4"/>
  <c r="O817" i="4"/>
  <c r="N817" i="4"/>
  <c r="M817" i="4"/>
  <c r="L817" i="4"/>
  <c r="K817" i="4"/>
  <c r="J817" i="4"/>
  <c r="I817" i="4"/>
  <c r="H817" i="4"/>
  <c r="Q816" i="4"/>
  <c r="P816" i="4"/>
  <c r="O816" i="4"/>
  <c r="N816" i="4"/>
  <c r="M816" i="4"/>
  <c r="L816" i="4"/>
  <c r="K816" i="4"/>
  <c r="J816" i="4"/>
  <c r="I816" i="4"/>
  <c r="H816" i="4"/>
  <c r="Q815" i="4"/>
  <c r="P815" i="4"/>
  <c r="O815" i="4"/>
  <c r="N815" i="4"/>
  <c r="M815" i="4"/>
  <c r="L815" i="4"/>
  <c r="K815" i="4"/>
  <c r="J815" i="4"/>
  <c r="I815" i="4"/>
  <c r="H815" i="4"/>
  <c r="Q814" i="4"/>
  <c r="P814" i="4"/>
  <c r="O814" i="4"/>
  <c r="N814" i="4"/>
  <c r="M814" i="4"/>
  <c r="L814" i="4"/>
  <c r="K814" i="4"/>
  <c r="J814" i="4"/>
  <c r="I814" i="4"/>
  <c r="H814" i="4"/>
  <c r="Q813" i="4"/>
  <c r="P813" i="4"/>
  <c r="O813" i="4"/>
  <c r="N813" i="4"/>
  <c r="M813" i="4"/>
  <c r="L813" i="4"/>
  <c r="K813" i="4"/>
  <c r="J813" i="4"/>
  <c r="I813" i="4"/>
  <c r="H813" i="4"/>
  <c r="Q812" i="4"/>
  <c r="P812" i="4"/>
  <c r="O812" i="4"/>
  <c r="N812" i="4"/>
  <c r="M812" i="4"/>
  <c r="L812" i="4"/>
  <c r="K812" i="4"/>
  <c r="J812" i="4"/>
  <c r="I812" i="4"/>
  <c r="H812" i="4"/>
  <c r="Q811" i="4"/>
  <c r="P811" i="4"/>
  <c r="O811" i="4"/>
  <c r="N811" i="4"/>
  <c r="M811" i="4"/>
  <c r="L811" i="4"/>
  <c r="K811" i="4"/>
  <c r="J811" i="4"/>
  <c r="I811" i="4"/>
  <c r="H811" i="4"/>
  <c r="Q810" i="4"/>
  <c r="P810" i="4"/>
  <c r="O810" i="4"/>
  <c r="N810" i="4"/>
  <c r="M810" i="4"/>
  <c r="L810" i="4"/>
  <c r="K810" i="4"/>
  <c r="J810" i="4"/>
  <c r="I810" i="4"/>
  <c r="H810" i="4"/>
  <c r="Q809" i="4"/>
  <c r="P809" i="4"/>
  <c r="O809" i="4"/>
  <c r="N809" i="4"/>
  <c r="M809" i="4"/>
  <c r="L809" i="4"/>
  <c r="K809" i="4"/>
  <c r="J809" i="4"/>
  <c r="I809" i="4"/>
  <c r="H809" i="4"/>
  <c r="Q808" i="4"/>
  <c r="P808" i="4"/>
  <c r="O808" i="4"/>
  <c r="N808" i="4"/>
  <c r="M808" i="4"/>
  <c r="L808" i="4"/>
  <c r="K808" i="4"/>
  <c r="J808" i="4"/>
  <c r="I808" i="4"/>
  <c r="H808" i="4"/>
  <c r="Q807" i="4"/>
  <c r="P807" i="4"/>
  <c r="O807" i="4"/>
  <c r="N807" i="4"/>
  <c r="M807" i="4"/>
  <c r="L807" i="4"/>
  <c r="K807" i="4"/>
  <c r="J807" i="4"/>
  <c r="I807" i="4"/>
  <c r="H807" i="4"/>
  <c r="Q806" i="4"/>
  <c r="P806" i="4"/>
  <c r="O806" i="4"/>
  <c r="N806" i="4"/>
  <c r="M806" i="4"/>
  <c r="L806" i="4"/>
  <c r="K806" i="4"/>
  <c r="J806" i="4"/>
  <c r="I806" i="4"/>
  <c r="H806" i="4"/>
  <c r="Q805" i="4"/>
  <c r="P805" i="4"/>
  <c r="O805" i="4"/>
  <c r="N805" i="4"/>
  <c r="M805" i="4"/>
  <c r="L805" i="4"/>
  <c r="K805" i="4"/>
  <c r="J805" i="4"/>
  <c r="I805" i="4"/>
  <c r="H805" i="4"/>
  <c r="Q804" i="4"/>
  <c r="P804" i="4"/>
  <c r="O804" i="4"/>
  <c r="N804" i="4"/>
  <c r="M804" i="4"/>
  <c r="L804" i="4"/>
  <c r="K804" i="4"/>
  <c r="J804" i="4"/>
  <c r="I804" i="4"/>
  <c r="H804" i="4"/>
  <c r="Q803" i="4"/>
  <c r="P803" i="4"/>
  <c r="O803" i="4"/>
  <c r="N803" i="4"/>
  <c r="M803" i="4"/>
  <c r="L803" i="4"/>
  <c r="K803" i="4"/>
  <c r="J803" i="4"/>
  <c r="I803" i="4"/>
  <c r="H803" i="4"/>
  <c r="Q802" i="4"/>
  <c r="P802" i="4"/>
  <c r="O802" i="4"/>
  <c r="N802" i="4"/>
  <c r="M802" i="4"/>
  <c r="L802" i="4"/>
  <c r="K802" i="4"/>
  <c r="J802" i="4"/>
  <c r="I802" i="4"/>
  <c r="H802" i="4"/>
  <c r="Q801" i="4"/>
  <c r="P801" i="4"/>
  <c r="O801" i="4"/>
  <c r="N801" i="4"/>
  <c r="M801" i="4"/>
  <c r="L801" i="4"/>
  <c r="K801" i="4"/>
  <c r="J801" i="4"/>
  <c r="I801" i="4"/>
  <c r="H801" i="4"/>
  <c r="Q800" i="4"/>
  <c r="P800" i="4"/>
  <c r="O800" i="4"/>
  <c r="N800" i="4"/>
  <c r="M800" i="4"/>
  <c r="L800" i="4"/>
  <c r="K800" i="4"/>
  <c r="J800" i="4"/>
  <c r="I800" i="4"/>
  <c r="H800" i="4"/>
  <c r="Q799" i="4"/>
  <c r="P799" i="4"/>
  <c r="O799" i="4"/>
  <c r="N799" i="4"/>
  <c r="M799" i="4"/>
  <c r="L799" i="4"/>
  <c r="K799" i="4"/>
  <c r="J799" i="4"/>
  <c r="I799" i="4"/>
  <c r="H799" i="4"/>
  <c r="Q798" i="4"/>
  <c r="P798" i="4"/>
  <c r="O798" i="4"/>
  <c r="N798" i="4"/>
  <c r="M798" i="4"/>
  <c r="L798" i="4"/>
  <c r="K798" i="4"/>
  <c r="J798" i="4"/>
  <c r="I798" i="4"/>
  <c r="H798" i="4"/>
  <c r="Q797" i="4"/>
  <c r="P797" i="4"/>
  <c r="O797" i="4"/>
  <c r="N797" i="4"/>
  <c r="M797" i="4"/>
  <c r="L797" i="4"/>
  <c r="K797" i="4"/>
  <c r="J797" i="4"/>
  <c r="I797" i="4"/>
  <c r="H797" i="4"/>
  <c r="Q796" i="4"/>
  <c r="P796" i="4"/>
  <c r="O796" i="4"/>
  <c r="N796" i="4"/>
  <c r="M796" i="4"/>
  <c r="L796" i="4"/>
  <c r="K796" i="4"/>
  <c r="J796" i="4"/>
  <c r="I796" i="4"/>
  <c r="H796" i="4"/>
  <c r="Q795" i="4"/>
  <c r="P795" i="4"/>
  <c r="O795" i="4"/>
  <c r="N795" i="4"/>
  <c r="M795" i="4"/>
  <c r="L795" i="4"/>
  <c r="K795" i="4"/>
  <c r="J795" i="4"/>
  <c r="I795" i="4"/>
  <c r="H795" i="4"/>
  <c r="Q794" i="4"/>
  <c r="P794" i="4"/>
  <c r="O794" i="4"/>
  <c r="N794" i="4"/>
  <c r="M794" i="4"/>
  <c r="L794" i="4"/>
  <c r="K794" i="4"/>
  <c r="J794" i="4"/>
  <c r="I794" i="4"/>
  <c r="H794" i="4"/>
  <c r="Q793" i="4"/>
  <c r="P793" i="4"/>
  <c r="O793" i="4"/>
  <c r="N793" i="4"/>
  <c r="M793" i="4"/>
  <c r="L793" i="4"/>
  <c r="K793" i="4"/>
  <c r="J793" i="4"/>
  <c r="I793" i="4"/>
  <c r="H793" i="4"/>
  <c r="Q792" i="4"/>
  <c r="P792" i="4"/>
  <c r="O792" i="4"/>
  <c r="N792" i="4"/>
  <c r="M792" i="4"/>
  <c r="L792" i="4"/>
  <c r="K792" i="4"/>
  <c r="J792" i="4"/>
  <c r="I792" i="4"/>
  <c r="H792" i="4"/>
  <c r="Q791" i="4"/>
  <c r="P791" i="4"/>
  <c r="O791" i="4"/>
  <c r="N791" i="4"/>
  <c r="M791" i="4"/>
  <c r="L791" i="4"/>
  <c r="K791" i="4"/>
  <c r="J791" i="4"/>
  <c r="I791" i="4"/>
  <c r="H791" i="4"/>
  <c r="Q790" i="4"/>
  <c r="P790" i="4"/>
  <c r="O790" i="4"/>
  <c r="N790" i="4"/>
  <c r="M790" i="4"/>
  <c r="L790" i="4"/>
  <c r="K790" i="4"/>
  <c r="J790" i="4"/>
  <c r="I790" i="4"/>
  <c r="H790" i="4"/>
  <c r="Q789" i="4"/>
  <c r="P789" i="4"/>
  <c r="O789" i="4"/>
  <c r="N789" i="4"/>
  <c r="M789" i="4"/>
  <c r="L789" i="4"/>
  <c r="K789" i="4"/>
  <c r="J789" i="4"/>
  <c r="I789" i="4"/>
  <c r="H789" i="4"/>
  <c r="Q788" i="4"/>
  <c r="P788" i="4"/>
  <c r="O788" i="4"/>
  <c r="N788" i="4"/>
  <c r="M788" i="4"/>
  <c r="L788" i="4"/>
  <c r="K788" i="4"/>
  <c r="J788" i="4"/>
  <c r="I788" i="4"/>
  <c r="H788" i="4"/>
  <c r="Q787" i="4"/>
  <c r="P787" i="4"/>
  <c r="O787" i="4"/>
  <c r="N787" i="4"/>
  <c r="M787" i="4"/>
  <c r="L787" i="4"/>
  <c r="K787" i="4"/>
  <c r="J787" i="4"/>
  <c r="I787" i="4"/>
  <c r="H787" i="4"/>
  <c r="Q786" i="4"/>
  <c r="P786" i="4"/>
  <c r="O786" i="4"/>
  <c r="N786" i="4"/>
  <c r="M786" i="4"/>
  <c r="L786" i="4"/>
  <c r="K786" i="4"/>
  <c r="J786" i="4"/>
  <c r="I786" i="4"/>
  <c r="H786" i="4"/>
  <c r="Q785" i="4"/>
  <c r="P785" i="4"/>
  <c r="O785" i="4"/>
  <c r="N785" i="4"/>
  <c r="M785" i="4"/>
  <c r="L785" i="4"/>
  <c r="K785" i="4"/>
  <c r="J785" i="4"/>
  <c r="I785" i="4"/>
  <c r="H785" i="4"/>
  <c r="Q784" i="4"/>
  <c r="P784" i="4"/>
  <c r="O784" i="4"/>
  <c r="N784" i="4"/>
  <c r="M784" i="4"/>
  <c r="L784" i="4"/>
  <c r="K784" i="4"/>
  <c r="J784" i="4"/>
  <c r="I784" i="4"/>
  <c r="H784" i="4"/>
  <c r="Q783" i="4"/>
  <c r="P783" i="4"/>
  <c r="O783" i="4"/>
  <c r="N783" i="4"/>
  <c r="M783" i="4"/>
  <c r="L783" i="4"/>
  <c r="K783" i="4"/>
  <c r="J783" i="4"/>
  <c r="I783" i="4"/>
  <c r="H783" i="4"/>
  <c r="Q782" i="4"/>
  <c r="P782" i="4"/>
  <c r="O782" i="4"/>
  <c r="N782" i="4"/>
  <c r="M782" i="4"/>
  <c r="L782" i="4"/>
  <c r="K782" i="4"/>
  <c r="J782" i="4"/>
  <c r="I782" i="4"/>
  <c r="H782" i="4"/>
  <c r="Q781" i="4"/>
  <c r="P781" i="4"/>
  <c r="O781" i="4"/>
  <c r="N781" i="4"/>
  <c r="M781" i="4"/>
  <c r="L781" i="4"/>
  <c r="K781" i="4"/>
  <c r="J781" i="4"/>
  <c r="I781" i="4"/>
  <c r="H781" i="4"/>
  <c r="Q780" i="4"/>
  <c r="P780" i="4"/>
  <c r="O780" i="4"/>
  <c r="N780" i="4"/>
  <c r="M780" i="4"/>
  <c r="L780" i="4"/>
  <c r="K780" i="4"/>
  <c r="J780" i="4"/>
  <c r="I780" i="4"/>
  <c r="H780" i="4"/>
  <c r="Q779" i="4"/>
  <c r="P779" i="4"/>
  <c r="O779" i="4"/>
  <c r="N779" i="4"/>
  <c r="M779" i="4"/>
  <c r="L779" i="4"/>
  <c r="K779" i="4"/>
  <c r="J779" i="4"/>
  <c r="I779" i="4"/>
  <c r="H779" i="4"/>
  <c r="Q778" i="4"/>
  <c r="P778" i="4"/>
  <c r="O778" i="4"/>
  <c r="N778" i="4"/>
  <c r="M778" i="4"/>
  <c r="L778" i="4"/>
  <c r="K778" i="4"/>
  <c r="J778" i="4"/>
  <c r="I778" i="4"/>
  <c r="H778" i="4"/>
  <c r="Q777" i="4"/>
  <c r="P777" i="4"/>
  <c r="O777" i="4"/>
  <c r="N777" i="4"/>
  <c r="M777" i="4"/>
  <c r="L777" i="4"/>
  <c r="K777" i="4"/>
  <c r="J777" i="4"/>
  <c r="I777" i="4"/>
  <c r="H777" i="4"/>
  <c r="Q776" i="4"/>
  <c r="P776" i="4"/>
  <c r="O776" i="4"/>
  <c r="N776" i="4"/>
  <c r="M776" i="4"/>
  <c r="L776" i="4"/>
  <c r="K776" i="4"/>
  <c r="J776" i="4"/>
  <c r="I776" i="4"/>
  <c r="H776" i="4"/>
  <c r="Q775" i="4"/>
  <c r="P775" i="4"/>
  <c r="O775" i="4"/>
  <c r="N775" i="4"/>
  <c r="M775" i="4"/>
  <c r="L775" i="4"/>
  <c r="K775" i="4"/>
  <c r="J775" i="4"/>
  <c r="I775" i="4"/>
  <c r="H775" i="4"/>
  <c r="Q774" i="4"/>
  <c r="P774" i="4"/>
  <c r="O774" i="4"/>
  <c r="N774" i="4"/>
  <c r="M774" i="4"/>
  <c r="L774" i="4"/>
  <c r="K774" i="4"/>
  <c r="J774" i="4"/>
  <c r="I774" i="4"/>
  <c r="H774" i="4"/>
  <c r="Q773" i="4"/>
  <c r="P773" i="4"/>
  <c r="O773" i="4"/>
  <c r="N773" i="4"/>
  <c r="M773" i="4"/>
  <c r="L773" i="4"/>
  <c r="K773" i="4"/>
  <c r="J773" i="4"/>
  <c r="I773" i="4"/>
  <c r="H773" i="4"/>
  <c r="Q772" i="4"/>
  <c r="P772" i="4"/>
  <c r="O772" i="4"/>
  <c r="N772" i="4"/>
  <c r="M772" i="4"/>
  <c r="L772" i="4"/>
  <c r="K772" i="4"/>
  <c r="J772" i="4"/>
  <c r="I772" i="4"/>
  <c r="H772" i="4"/>
  <c r="Q771" i="4"/>
  <c r="P771" i="4"/>
  <c r="O771" i="4"/>
  <c r="N771" i="4"/>
  <c r="M771" i="4"/>
  <c r="L771" i="4"/>
  <c r="K771" i="4"/>
  <c r="J771" i="4"/>
  <c r="I771" i="4"/>
  <c r="H771" i="4"/>
  <c r="Q770" i="4"/>
  <c r="P770" i="4"/>
  <c r="O770" i="4"/>
  <c r="N770" i="4"/>
  <c r="M770" i="4"/>
  <c r="L770" i="4"/>
  <c r="K770" i="4"/>
  <c r="J770" i="4"/>
  <c r="I770" i="4"/>
  <c r="H770" i="4"/>
  <c r="Q769" i="4"/>
  <c r="P769" i="4"/>
  <c r="O769" i="4"/>
  <c r="N769" i="4"/>
  <c r="M769" i="4"/>
  <c r="L769" i="4"/>
  <c r="K769" i="4"/>
  <c r="J769" i="4"/>
  <c r="I769" i="4"/>
  <c r="H769" i="4"/>
  <c r="Q768" i="4"/>
  <c r="P768" i="4"/>
  <c r="O768" i="4"/>
  <c r="N768" i="4"/>
  <c r="M768" i="4"/>
  <c r="L768" i="4"/>
  <c r="K768" i="4"/>
  <c r="J768" i="4"/>
  <c r="I768" i="4"/>
  <c r="H768" i="4"/>
  <c r="Q767" i="4"/>
  <c r="P767" i="4"/>
  <c r="O767" i="4"/>
  <c r="N767" i="4"/>
  <c r="M767" i="4"/>
  <c r="L767" i="4"/>
  <c r="K767" i="4"/>
  <c r="J767" i="4"/>
  <c r="I767" i="4"/>
  <c r="H767" i="4"/>
  <c r="Q766" i="4"/>
  <c r="P766" i="4"/>
  <c r="O766" i="4"/>
  <c r="N766" i="4"/>
  <c r="M766" i="4"/>
  <c r="L766" i="4"/>
  <c r="K766" i="4"/>
  <c r="J766" i="4"/>
  <c r="I766" i="4"/>
  <c r="H766" i="4"/>
  <c r="Q765" i="4"/>
  <c r="P765" i="4"/>
  <c r="O765" i="4"/>
  <c r="N765" i="4"/>
  <c r="M765" i="4"/>
  <c r="L765" i="4"/>
  <c r="K765" i="4"/>
  <c r="J765" i="4"/>
  <c r="I765" i="4"/>
  <c r="H765" i="4"/>
  <c r="Q764" i="4"/>
  <c r="P764" i="4"/>
  <c r="O764" i="4"/>
  <c r="N764" i="4"/>
  <c r="M764" i="4"/>
  <c r="L764" i="4"/>
  <c r="K764" i="4"/>
  <c r="J764" i="4"/>
  <c r="I764" i="4"/>
  <c r="H764" i="4"/>
  <c r="Q763" i="4"/>
  <c r="P763" i="4"/>
  <c r="O763" i="4"/>
  <c r="N763" i="4"/>
  <c r="M763" i="4"/>
  <c r="L763" i="4"/>
  <c r="K763" i="4"/>
  <c r="J763" i="4"/>
  <c r="I763" i="4"/>
  <c r="H763" i="4"/>
  <c r="Q762" i="4"/>
  <c r="P762" i="4"/>
  <c r="O762" i="4"/>
  <c r="N762" i="4"/>
  <c r="M762" i="4"/>
  <c r="L762" i="4"/>
  <c r="K762" i="4"/>
  <c r="J762" i="4"/>
  <c r="I762" i="4"/>
  <c r="H762" i="4"/>
  <c r="Q761" i="4"/>
  <c r="P761" i="4"/>
  <c r="O761" i="4"/>
  <c r="N761" i="4"/>
  <c r="M761" i="4"/>
  <c r="L761" i="4"/>
  <c r="K761" i="4"/>
  <c r="J761" i="4"/>
  <c r="I761" i="4"/>
  <c r="H761" i="4"/>
  <c r="Q760" i="4"/>
  <c r="P760" i="4"/>
  <c r="O760" i="4"/>
  <c r="N760" i="4"/>
  <c r="M760" i="4"/>
  <c r="L760" i="4"/>
  <c r="K760" i="4"/>
  <c r="J760" i="4"/>
  <c r="I760" i="4"/>
  <c r="H760" i="4"/>
  <c r="Q759" i="4"/>
  <c r="P759" i="4"/>
  <c r="O759" i="4"/>
  <c r="N759" i="4"/>
  <c r="M759" i="4"/>
  <c r="L759" i="4"/>
  <c r="K759" i="4"/>
  <c r="J759" i="4"/>
  <c r="I759" i="4"/>
  <c r="H759" i="4"/>
  <c r="Q758" i="4"/>
  <c r="P758" i="4"/>
  <c r="O758" i="4"/>
  <c r="N758" i="4"/>
  <c r="M758" i="4"/>
  <c r="L758" i="4"/>
  <c r="K758" i="4"/>
  <c r="J758" i="4"/>
  <c r="I758" i="4"/>
  <c r="H758" i="4"/>
  <c r="Q757" i="4"/>
  <c r="P757" i="4"/>
  <c r="O757" i="4"/>
  <c r="N757" i="4"/>
  <c r="M757" i="4"/>
  <c r="L757" i="4"/>
  <c r="K757" i="4"/>
  <c r="J757" i="4"/>
  <c r="I757" i="4"/>
  <c r="H757" i="4"/>
  <c r="Q756" i="4"/>
  <c r="P756" i="4"/>
  <c r="O756" i="4"/>
  <c r="N756" i="4"/>
  <c r="M756" i="4"/>
  <c r="L756" i="4"/>
  <c r="K756" i="4"/>
  <c r="J756" i="4"/>
  <c r="I756" i="4"/>
  <c r="H756" i="4"/>
  <c r="Q755" i="4"/>
  <c r="P755" i="4"/>
  <c r="O755" i="4"/>
  <c r="N755" i="4"/>
  <c r="M755" i="4"/>
  <c r="L755" i="4"/>
  <c r="K755" i="4"/>
  <c r="J755" i="4"/>
  <c r="I755" i="4"/>
  <c r="H755" i="4"/>
  <c r="Q754" i="4"/>
  <c r="P754" i="4"/>
  <c r="O754" i="4"/>
  <c r="N754" i="4"/>
  <c r="M754" i="4"/>
  <c r="L754" i="4"/>
  <c r="K754" i="4"/>
  <c r="J754" i="4"/>
  <c r="I754" i="4"/>
  <c r="H754" i="4"/>
  <c r="Q753" i="4"/>
  <c r="P753" i="4"/>
  <c r="O753" i="4"/>
  <c r="N753" i="4"/>
  <c r="M753" i="4"/>
  <c r="L753" i="4"/>
  <c r="K753" i="4"/>
  <c r="J753" i="4"/>
  <c r="I753" i="4"/>
  <c r="H753" i="4"/>
  <c r="Q752" i="4"/>
  <c r="P752" i="4"/>
  <c r="O752" i="4"/>
  <c r="N752" i="4"/>
  <c r="M752" i="4"/>
  <c r="L752" i="4"/>
  <c r="K752" i="4"/>
  <c r="J752" i="4"/>
  <c r="I752" i="4"/>
  <c r="H752" i="4"/>
  <c r="Q751" i="4"/>
  <c r="P751" i="4"/>
  <c r="O751" i="4"/>
  <c r="N751" i="4"/>
  <c r="M751" i="4"/>
  <c r="L751" i="4"/>
  <c r="K751" i="4"/>
  <c r="J751" i="4"/>
  <c r="I751" i="4"/>
  <c r="H751" i="4"/>
  <c r="Q750" i="4"/>
  <c r="P750" i="4"/>
  <c r="O750" i="4"/>
  <c r="N750" i="4"/>
  <c r="M750" i="4"/>
  <c r="L750" i="4"/>
  <c r="K750" i="4"/>
  <c r="J750" i="4"/>
  <c r="I750" i="4"/>
  <c r="H750" i="4"/>
  <c r="Q749" i="4"/>
  <c r="P749" i="4"/>
  <c r="O749" i="4"/>
  <c r="N749" i="4"/>
  <c r="M749" i="4"/>
  <c r="L749" i="4"/>
  <c r="K749" i="4"/>
  <c r="J749" i="4"/>
  <c r="I749" i="4"/>
  <c r="H749" i="4"/>
  <c r="Q748" i="4"/>
  <c r="P748" i="4"/>
  <c r="O748" i="4"/>
  <c r="N748" i="4"/>
  <c r="M748" i="4"/>
  <c r="L748" i="4"/>
  <c r="K748" i="4"/>
  <c r="J748" i="4"/>
  <c r="I748" i="4"/>
  <c r="H748" i="4"/>
  <c r="Q747" i="4"/>
  <c r="P747" i="4"/>
  <c r="O747" i="4"/>
  <c r="N747" i="4"/>
  <c r="M747" i="4"/>
  <c r="L747" i="4"/>
  <c r="K747" i="4"/>
  <c r="J747" i="4"/>
  <c r="I747" i="4"/>
  <c r="H747" i="4"/>
  <c r="Q746" i="4"/>
  <c r="P746" i="4"/>
  <c r="O746" i="4"/>
  <c r="N746" i="4"/>
  <c r="M746" i="4"/>
  <c r="L746" i="4"/>
  <c r="K746" i="4"/>
  <c r="J746" i="4"/>
  <c r="I746" i="4"/>
  <c r="H746" i="4"/>
  <c r="Q745" i="4"/>
  <c r="P745" i="4"/>
  <c r="O745" i="4"/>
  <c r="N745" i="4"/>
  <c r="M745" i="4"/>
  <c r="L745" i="4"/>
  <c r="K745" i="4"/>
  <c r="J745" i="4"/>
  <c r="I745" i="4"/>
  <c r="H745" i="4"/>
  <c r="Q744" i="4"/>
  <c r="P744" i="4"/>
  <c r="O744" i="4"/>
  <c r="N744" i="4"/>
  <c r="M744" i="4"/>
  <c r="L744" i="4"/>
  <c r="K744" i="4"/>
  <c r="J744" i="4"/>
  <c r="I744" i="4"/>
  <c r="H744" i="4"/>
  <c r="Q743" i="4"/>
  <c r="P743" i="4"/>
  <c r="O743" i="4"/>
  <c r="N743" i="4"/>
  <c r="M743" i="4"/>
  <c r="L743" i="4"/>
  <c r="K743" i="4"/>
  <c r="J743" i="4"/>
  <c r="I743" i="4"/>
  <c r="H743" i="4"/>
  <c r="Q742" i="4"/>
  <c r="P742" i="4"/>
  <c r="O742" i="4"/>
  <c r="N742" i="4"/>
  <c r="M742" i="4"/>
  <c r="L742" i="4"/>
  <c r="K742" i="4"/>
  <c r="J742" i="4"/>
  <c r="I742" i="4"/>
  <c r="H742" i="4"/>
  <c r="Q741" i="4"/>
  <c r="P741" i="4"/>
  <c r="O741" i="4"/>
  <c r="N741" i="4"/>
  <c r="M741" i="4"/>
  <c r="L741" i="4"/>
  <c r="K741" i="4"/>
  <c r="J741" i="4"/>
  <c r="I741" i="4"/>
  <c r="H741" i="4"/>
  <c r="Q740" i="4"/>
  <c r="P740" i="4"/>
  <c r="O740" i="4"/>
  <c r="N740" i="4"/>
  <c r="M740" i="4"/>
  <c r="L740" i="4"/>
  <c r="K740" i="4"/>
  <c r="J740" i="4"/>
  <c r="I740" i="4"/>
  <c r="H740" i="4"/>
  <c r="Q739" i="4"/>
  <c r="P739" i="4"/>
  <c r="O739" i="4"/>
  <c r="N739" i="4"/>
  <c r="M739" i="4"/>
  <c r="L739" i="4"/>
  <c r="K739" i="4"/>
  <c r="J739" i="4"/>
  <c r="I739" i="4"/>
  <c r="H739" i="4"/>
  <c r="Q738" i="4"/>
  <c r="P738" i="4"/>
  <c r="O738" i="4"/>
  <c r="N738" i="4"/>
  <c r="M738" i="4"/>
  <c r="L738" i="4"/>
  <c r="K738" i="4"/>
  <c r="J738" i="4"/>
  <c r="I738" i="4"/>
  <c r="H738" i="4"/>
  <c r="Q737" i="4"/>
  <c r="P737" i="4"/>
  <c r="O737" i="4"/>
  <c r="N737" i="4"/>
  <c r="M737" i="4"/>
  <c r="L737" i="4"/>
  <c r="K737" i="4"/>
  <c r="J737" i="4"/>
  <c r="I737" i="4"/>
  <c r="H737" i="4"/>
  <c r="Q736" i="4"/>
  <c r="P736" i="4"/>
  <c r="O736" i="4"/>
  <c r="N736" i="4"/>
  <c r="M736" i="4"/>
  <c r="L736" i="4"/>
  <c r="K736" i="4"/>
  <c r="J736" i="4"/>
  <c r="I736" i="4"/>
  <c r="H736" i="4"/>
  <c r="Q735" i="4"/>
  <c r="P735" i="4"/>
  <c r="O735" i="4"/>
  <c r="N735" i="4"/>
  <c r="M735" i="4"/>
  <c r="L735" i="4"/>
  <c r="K735" i="4"/>
  <c r="J735" i="4"/>
  <c r="I735" i="4"/>
  <c r="H735" i="4"/>
  <c r="Q734" i="4"/>
  <c r="P734" i="4"/>
  <c r="O734" i="4"/>
  <c r="N734" i="4"/>
  <c r="M734" i="4"/>
  <c r="L734" i="4"/>
  <c r="K734" i="4"/>
  <c r="J734" i="4"/>
  <c r="I734" i="4"/>
  <c r="H734" i="4"/>
  <c r="Q733" i="4"/>
  <c r="P733" i="4"/>
  <c r="O733" i="4"/>
  <c r="N733" i="4"/>
  <c r="M733" i="4"/>
  <c r="L733" i="4"/>
  <c r="K733" i="4"/>
  <c r="J733" i="4"/>
  <c r="I733" i="4"/>
  <c r="H733" i="4"/>
  <c r="Q732" i="4"/>
  <c r="P732" i="4"/>
  <c r="O732" i="4"/>
  <c r="N732" i="4"/>
  <c r="M732" i="4"/>
  <c r="L732" i="4"/>
  <c r="K732" i="4"/>
  <c r="J732" i="4"/>
  <c r="I732" i="4"/>
  <c r="H732" i="4"/>
  <c r="Q731" i="4"/>
  <c r="P731" i="4"/>
  <c r="O731" i="4"/>
  <c r="N731" i="4"/>
  <c r="M731" i="4"/>
  <c r="L731" i="4"/>
  <c r="K731" i="4"/>
  <c r="J731" i="4"/>
  <c r="I731" i="4"/>
  <c r="H731" i="4"/>
  <c r="Q730" i="4"/>
  <c r="P730" i="4"/>
  <c r="O730" i="4"/>
  <c r="N730" i="4"/>
  <c r="M730" i="4"/>
  <c r="L730" i="4"/>
  <c r="K730" i="4"/>
  <c r="J730" i="4"/>
  <c r="I730" i="4"/>
  <c r="H730" i="4"/>
  <c r="Q729" i="4"/>
  <c r="P729" i="4"/>
  <c r="O729" i="4"/>
  <c r="N729" i="4"/>
  <c r="M729" i="4"/>
  <c r="L729" i="4"/>
  <c r="K729" i="4"/>
  <c r="J729" i="4"/>
  <c r="I729" i="4"/>
  <c r="H729" i="4"/>
  <c r="Q728" i="4"/>
  <c r="P728" i="4"/>
  <c r="O728" i="4"/>
  <c r="N728" i="4"/>
  <c r="M728" i="4"/>
  <c r="L728" i="4"/>
  <c r="K728" i="4"/>
  <c r="J728" i="4"/>
  <c r="I728" i="4"/>
  <c r="H728" i="4"/>
  <c r="Q727" i="4"/>
  <c r="P727" i="4"/>
  <c r="O727" i="4"/>
  <c r="N727" i="4"/>
  <c r="M727" i="4"/>
  <c r="L727" i="4"/>
  <c r="K727" i="4"/>
  <c r="J727" i="4"/>
  <c r="I727" i="4"/>
  <c r="H727" i="4"/>
  <c r="Q726" i="4"/>
  <c r="P726" i="4"/>
  <c r="O726" i="4"/>
  <c r="N726" i="4"/>
  <c r="M726" i="4"/>
  <c r="L726" i="4"/>
  <c r="K726" i="4"/>
  <c r="J726" i="4"/>
  <c r="I726" i="4"/>
  <c r="H726" i="4"/>
  <c r="Q725" i="4"/>
  <c r="P725" i="4"/>
  <c r="O725" i="4"/>
  <c r="N725" i="4"/>
  <c r="M725" i="4"/>
  <c r="L725" i="4"/>
  <c r="K725" i="4"/>
  <c r="J725" i="4"/>
  <c r="I725" i="4"/>
  <c r="H725" i="4"/>
  <c r="Q724" i="4"/>
  <c r="P724" i="4"/>
  <c r="O724" i="4"/>
  <c r="N724" i="4"/>
  <c r="M724" i="4"/>
  <c r="L724" i="4"/>
  <c r="K724" i="4"/>
  <c r="J724" i="4"/>
  <c r="I724" i="4"/>
  <c r="H724" i="4"/>
  <c r="Q723" i="4"/>
  <c r="P723" i="4"/>
  <c r="O723" i="4"/>
  <c r="N723" i="4"/>
  <c r="M723" i="4"/>
  <c r="L723" i="4"/>
  <c r="K723" i="4"/>
  <c r="J723" i="4"/>
  <c r="I723" i="4"/>
  <c r="H723" i="4"/>
  <c r="Q722" i="4"/>
  <c r="P722" i="4"/>
  <c r="O722" i="4"/>
  <c r="N722" i="4"/>
  <c r="M722" i="4"/>
  <c r="L722" i="4"/>
  <c r="K722" i="4"/>
  <c r="J722" i="4"/>
  <c r="I722" i="4"/>
  <c r="H722" i="4"/>
  <c r="Q721" i="4"/>
  <c r="P721" i="4"/>
  <c r="O721" i="4"/>
  <c r="N721" i="4"/>
  <c r="M721" i="4"/>
  <c r="L721" i="4"/>
  <c r="K721" i="4"/>
  <c r="J721" i="4"/>
  <c r="I721" i="4"/>
  <c r="H721" i="4"/>
  <c r="Q720" i="4"/>
  <c r="P720" i="4"/>
  <c r="O720" i="4"/>
  <c r="N720" i="4"/>
  <c r="M720" i="4"/>
  <c r="L720" i="4"/>
  <c r="K720" i="4"/>
  <c r="J720" i="4"/>
  <c r="I720" i="4"/>
  <c r="H720" i="4"/>
  <c r="Q719" i="4"/>
  <c r="P719" i="4"/>
  <c r="O719" i="4"/>
  <c r="N719" i="4"/>
  <c r="M719" i="4"/>
  <c r="L719" i="4"/>
  <c r="K719" i="4"/>
  <c r="J719" i="4"/>
  <c r="I719" i="4"/>
  <c r="H719" i="4"/>
  <c r="Q718" i="4"/>
  <c r="P718" i="4"/>
  <c r="O718" i="4"/>
  <c r="N718" i="4"/>
  <c r="M718" i="4"/>
  <c r="L718" i="4"/>
  <c r="K718" i="4"/>
  <c r="J718" i="4"/>
  <c r="I718" i="4"/>
  <c r="H718" i="4"/>
  <c r="Q717" i="4"/>
  <c r="P717" i="4"/>
  <c r="O717" i="4"/>
  <c r="N717" i="4"/>
  <c r="M717" i="4"/>
  <c r="L717" i="4"/>
  <c r="K717" i="4"/>
  <c r="J717" i="4"/>
  <c r="I717" i="4"/>
  <c r="H717" i="4"/>
  <c r="Q716" i="4"/>
  <c r="P716" i="4"/>
  <c r="O716" i="4"/>
  <c r="N716" i="4"/>
  <c r="M716" i="4"/>
  <c r="L716" i="4"/>
  <c r="K716" i="4"/>
  <c r="J716" i="4"/>
  <c r="I716" i="4"/>
  <c r="H716" i="4"/>
  <c r="Q715" i="4"/>
  <c r="P715" i="4"/>
  <c r="O715" i="4"/>
  <c r="N715" i="4"/>
  <c r="M715" i="4"/>
  <c r="L715" i="4"/>
  <c r="K715" i="4"/>
  <c r="J715" i="4"/>
  <c r="I715" i="4"/>
  <c r="H715" i="4"/>
  <c r="Q714" i="4"/>
  <c r="P714" i="4"/>
  <c r="O714" i="4"/>
  <c r="N714" i="4"/>
  <c r="M714" i="4"/>
  <c r="L714" i="4"/>
  <c r="K714" i="4"/>
  <c r="J714" i="4"/>
  <c r="I714" i="4"/>
  <c r="H714" i="4"/>
  <c r="Q713" i="4"/>
  <c r="P713" i="4"/>
  <c r="O713" i="4"/>
  <c r="N713" i="4"/>
  <c r="M713" i="4"/>
  <c r="L713" i="4"/>
  <c r="K713" i="4"/>
  <c r="J713" i="4"/>
  <c r="I713" i="4"/>
  <c r="H713" i="4"/>
  <c r="Q712" i="4"/>
  <c r="P712" i="4"/>
  <c r="O712" i="4"/>
  <c r="N712" i="4"/>
  <c r="M712" i="4"/>
  <c r="L712" i="4"/>
  <c r="K712" i="4"/>
  <c r="J712" i="4"/>
  <c r="I712" i="4"/>
  <c r="H712" i="4"/>
  <c r="Q711" i="4"/>
  <c r="P711" i="4"/>
  <c r="O711" i="4"/>
  <c r="N711" i="4"/>
  <c r="M711" i="4"/>
  <c r="L711" i="4"/>
  <c r="K711" i="4"/>
  <c r="J711" i="4"/>
  <c r="I711" i="4"/>
  <c r="H711" i="4"/>
  <c r="Q710" i="4"/>
  <c r="P710" i="4"/>
  <c r="O710" i="4"/>
  <c r="N710" i="4"/>
  <c r="M710" i="4"/>
  <c r="L710" i="4"/>
  <c r="K710" i="4"/>
  <c r="J710" i="4"/>
  <c r="I710" i="4"/>
  <c r="H710" i="4"/>
  <c r="Q709" i="4"/>
  <c r="P709" i="4"/>
  <c r="O709" i="4"/>
  <c r="N709" i="4"/>
  <c r="M709" i="4"/>
  <c r="L709" i="4"/>
  <c r="K709" i="4"/>
  <c r="J709" i="4"/>
  <c r="I709" i="4"/>
  <c r="H709" i="4"/>
  <c r="Q708" i="4"/>
  <c r="P708" i="4"/>
  <c r="O708" i="4"/>
  <c r="N708" i="4"/>
  <c r="M708" i="4"/>
  <c r="L708" i="4"/>
  <c r="K708" i="4"/>
  <c r="J708" i="4"/>
  <c r="I708" i="4"/>
  <c r="H708" i="4"/>
  <c r="Q707" i="4"/>
  <c r="P707" i="4"/>
  <c r="O707" i="4"/>
  <c r="N707" i="4"/>
  <c r="M707" i="4"/>
  <c r="L707" i="4"/>
  <c r="K707" i="4"/>
  <c r="J707" i="4"/>
  <c r="I707" i="4"/>
  <c r="H707" i="4"/>
  <c r="Q706" i="4"/>
  <c r="P706" i="4"/>
  <c r="O706" i="4"/>
  <c r="N706" i="4"/>
  <c r="M706" i="4"/>
  <c r="L706" i="4"/>
  <c r="K706" i="4"/>
  <c r="J706" i="4"/>
  <c r="I706" i="4"/>
  <c r="H706" i="4"/>
  <c r="Q705" i="4"/>
  <c r="P705" i="4"/>
  <c r="O705" i="4"/>
  <c r="N705" i="4"/>
  <c r="M705" i="4"/>
  <c r="L705" i="4"/>
  <c r="K705" i="4"/>
  <c r="J705" i="4"/>
  <c r="I705" i="4"/>
  <c r="H705" i="4"/>
  <c r="Q704" i="4"/>
  <c r="P704" i="4"/>
  <c r="O704" i="4"/>
  <c r="N704" i="4"/>
  <c r="M704" i="4"/>
  <c r="L704" i="4"/>
  <c r="K704" i="4"/>
  <c r="J704" i="4"/>
  <c r="I704" i="4"/>
  <c r="H704" i="4"/>
  <c r="Q703" i="4"/>
  <c r="P703" i="4"/>
  <c r="O703" i="4"/>
  <c r="N703" i="4"/>
  <c r="M703" i="4"/>
  <c r="L703" i="4"/>
  <c r="K703" i="4"/>
  <c r="J703" i="4"/>
  <c r="I703" i="4"/>
  <c r="H703" i="4"/>
  <c r="Q702" i="4"/>
  <c r="P702" i="4"/>
  <c r="O702" i="4"/>
  <c r="N702" i="4"/>
  <c r="M702" i="4"/>
  <c r="L702" i="4"/>
  <c r="K702" i="4"/>
  <c r="J702" i="4"/>
  <c r="I702" i="4"/>
  <c r="H702" i="4"/>
  <c r="Q701" i="4"/>
  <c r="P701" i="4"/>
  <c r="O701" i="4"/>
  <c r="N701" i="4"/>
  <c r="M701" i="4"/>
  <c r="L701" i="4"/>
  <c r="K701" i="4"/>
  <c r="J701" i="4"/>
  <c r="I701" i="4"/>
  <c r="H701" i="4"/>
  <c r="Q700" i="4"/>
  <c r="P700" i="4"/>
  <c r="O700" i="4"/>
  <c r="N700" i="4"/>
  <c r="M700" i="4"/>
  <c r="L700" i="4"/>
  <c r="K700" i="4"/>
  <c r="J700" i="4"/>
  <c r="I700" i="4"/>
  <c r="H700" i="4"/>
  <c r="Q699" i="4"/>
  <c r="P699" i="4"/>
  <c r="O699" i="4"/>
  <c r="N699" i="4"/>
  <c r="M699" i="4"/>
  <c r="L699" i="4"/>
  <c r="K699" i="4"/>
  <c r="J699" i="4"/>
  <c r="I699" i="4"/>
  <c r="H699" i="4"/>
  <c r="Q698" i="4"/>
  <c r="P698" i="4"/>
  <c r="O698" i="4"/>
  <c r="N698" i="4"/>
  <c r="M698" i="4"/>
  <c r="L698" i="4"/>
  <c r="K698" i="4"/>
  <c r="J698" i="4"/>
  <c r="I698" i="4"/>
  <c r="H698" i="4"/>
  <c r="Q697" i="4"/>
  <c r="P697" i="4"/>
  <c r="O697" i="4"/>
  <c r="N697" i="4"/>
  <c r="M697" i="4"/>
  <c r="L697" i="4"/>
  <c r="K697" i="4"/>
  <c r="J697" i="4"/>
  <c r="I697" i="4"/>
  <c r="H697" i="4"/>
  <c r="Q696" i="4"/>
  <c r="P696" i="4"/>
  <c r="O696" i="4"/>
  <c r="N696" i="4"/>
  <c r="M696" i="4"/>
  <c r="L696" i="4"/>
  <c r="K696" i="4"/>
  <c r="J696" i="4"/>
  <c r="I696" i="4"/>
  <c r="H696" i="4"/>
  <c r="Q695" i="4"/>
  <c r="P695" i="4"/>
  <c r="O695" i="4"/>
  <c r="N695" i="4"/>
  <c r="M695" i="4"/>
  <c r="L695" i="4"/>
  <c r="K695" i="4"/>
  <c r="J695" i="4"/>
  <c r="I695" i="4"/>
  <c r="H695" i="4"/>
  <c r="Q694" i="4"/>
  <c r="P694" i="4"/>
  <c r="O694" i="4"/>
  <c r="N694" i="4"/>
  <c r="M694" i="4"/>
  <c r="L694" i="4"/>
  <c r="K694" i="4"/>
  <c r="J694" i="4"/>
  <c r="I694" i="4"/>
  <c r="H694" i="4"/>
  <c r="Q693" i="4"/>
  <c r="P693" i="4"/>
  <c r="O693" i="4"/>
  <c r="N693" i="4"/>
  <c r="M693" i="4"/>
  <c r="L693" i="4"/>
  <c r="K693" i="4"/>
  <c r="J693" i="4"/>
  <c r="I693" i="4"/>
  <c r="H693" i="4"/>
  <c r="Q692" i="4"/>
  <c r="P692" i="4"/>
  <c r="O692" i="4"/>
  <c r="N692" i="4"/>
  <c r="M692" i="4"/>
  <c r="L692" i="4"/>
  <c r="K692" i="4"/>
  <c r="J692" i="4"/>
  <c r="I692" i="4"/>
  <c r="H692" i="4"/>
  <c r="Q691" i="4"/>
  <c r="P691" i="4"/>
  <c r="O691" i="4"/>
  <c r="N691" i="4"/>
  <c r="M691" i="4"/>
  <c r="L691" i="4"/>
  <c r="K691" i="4"/>
  <c r="J691" i="4"/>
  <c r="I691" i="4"/>
  <c r="H691" i="4"/>
  <c r="Q690" i="4"/>
  <c r="P690" i="4"/>
  <c r="O690" i="4"/>
  <c r="N690" i="4"/>
  <c r="M690" i="4"/>
  <c r="L690" i="4"/>
  <c r="K690" i="4"/>
  <c r="J690" i="4"/>
  <c r="I690" i="4"/>
  <c r="H690" i="4"/>
  <c r="Q689" i="4"/>
  <c r="P689" i="4"/>
  <c r="O689" i="4"/>
  <c r="N689" i="4"/>
  <c r="M689" i="4"/>
  <c r="L689" i="4"/>
  <c r="K689" i="4"/>
  <c r="J689" i="4"/>
  <c r="I689" i="4"/>
  <c r="H689" i="4"/>
  <c r="Q688" i="4"/>
  <c r="P688" i="4"/>
  <c r="O688" i="4"/>
  <c r="N688" i="4"/>
  <c r="M688" i="4"/>
  <c r="L688" i="4"/>
  <c r="K688" i="4"/>
  <c r="J688" i="4"/>
  <c r="I688" i="4"/>
  <c r="H688" i="4"/>
  <c r="Q687" i="4"/>
  <c r="P687" i="4"/>
  <c r="O687" i="4"/>
  <c r="N687" i="4"/>
  <c r="M687" i="4"/>
  <c r="L687" i="4"/>
  <c r="K687" i="4"/>
  <c r="J687" i="4"/>
  <c r="I687" i="4"/>
  <c r="H687" i="4"/>
  <c r="Q686" i="4"/>
  <c r="P686" i="4"/>
  <c r="O686" i="4"/>
  <c r="N686" i="4"/>
  <c r="M686" i="4"/>
  <c r="L686" i="4"/>
  <c r="K686" i="4"/>
  <c r="J686" i="4"/>
  <c r="I686" i="4"/>
  <c r="H686" i="4"/>
  <c r="Q685" i="4"/>
  <c r="P685" i="4"/>
  <c r="O685" i="4"/>
  <c r="N685" i="4"/>
  <c r="M685" i="4"/>
  <c r="L685" i="4"/>
  <c r="K685" i="4"/>
  <c r="J685" i="4"/>
  <c r="I685" i="4"/>
  <c r="H685" i="4"/>
  <c r="Q684" i="4"/>
  <c r="P684" i="4"/>
  <c r="O684" i="4"/>
  <c r="N684" i="4"/>
  <c r="M684" i="4"/>
  <c r="L684" i="4"/>
  <c r="K684" i="4"/>
  <c r="J684" i="4"/>
  <c r="I684" i="4"/>
  <c r="H684" i="4"/>
  <c r="Q683" i="4"/>
  <c r="P683" i="4"/>
  <c r="O683" i="4"/>
  <c r="N683" i="4"/>
  <c r="M683" i="4"/>
  <c r="L683" i="4"/>
  <c r="K683" i="4"/>
  <c r="J683" i="4"/>
  <c r="I683" i="4"/>
  <c r="H683" i="4"/>
  <c r="Q682" i="4"/>
  <c r="P682" i="4"/>
  <c r="O682" i="4"/>
  <c r="N682" i="4"/>
  <c r="M682" i="4"/>
  <c r="L682" i="4"/>
  <c r="K682" i="4"/>
  <c r="J682" i="4"/>
  <c r="I682" i="4"/>
  <c r="H682" i="4"/>
  <c r="Q681" i="4"/>
  <c r="P681" i="4"/>
  <c r="O681" i="4"/>
  <c r="N681" i="4"/>
  <c r="M681" i="4"/>
  <c r="L681" i="4"/>
  <c r="K681" i="4"/>
  <c r="J681" i="4"/>
  <c r="I681" i="4"/>
  <c r="H681" i="4"/>
  <c r="Q680" i="4"/>
  <c r="P680" i="4"/>
  <c r="O680" i="4"/>
  <c r="N680" i="4"/>
  <c r="M680" i="4"/>
  <c r="L680" i="4"/>
  <c r="K680" i="4"/>
  <c r="J680" i="4"/>
  <c r="I680" i="4"/>
  <c r="H680" i="4"/>
  <c r="Q679" i="4"/>
  <c r="P679" i="4"/>
  <c r="O679" i="4"/>
  <c r="N679" i="4"/>
  <c r="M679" i="4"/>
  <c r="L679" i="4"/>
  <c r="K679" i="4"/>
  <c r="J679" i="4"/>
  <c r="I679" i="4"/>
  <c r="H679" i="4"/>
  <c r="Q678" i="4"/>
  <c r="P678" i="4"/>
  <c r="O678" i="4"/>
  <c r="N678" i="4"/>
  <c r="M678" i="4"/>
  <c r="L678" i="4"/>
  <c r="K678" i="4"/>
  <c r="J678" i="4"/>
  <c r="I678" i="4"/>
  <c r="H678" i="4"/>
  <c r="Q677" i="4"/>
  <c r="P677" i="4"/>
  <c r="O677" i="4"/>
  <c r="N677" i="4"/>
  <c r="M677" i="4"/>
  <c r="L677" i="4"/>
  <c r="K677" i="4"/>
  <c r="J677" i="4"/>
  <c r="I677" i="4"/>
  <c r="H677" i="4"/>
  <c r="Q676" i="4"/>
  <c r="P676" i="4"/>
  <c r="O676" i="4"/>
  <c r="N676" i="4"/>
  <c r="M676" i="4"/>
  <c r="L676" i="4"/>
  <c r="K676" i="4"/>
  <c r="J676" i="4"/>
  <c r="I676" i="4"/>
  <c r="H676" i="4"/>
  <c r="Q675" i="4"/>
  <c r="P675" i="4"/>
  <c r="O675" i="4"/>
  <c r="N675" i="4"/>
  <c r="M675" i="4"/>
  <c r="L675" i="4"/>
  <c r="K675" i="4"/>
  <c r="J675" i="4"/>
  <c r="I675" i="4"/>
  <c r="H675" i="4"/>
  <c r="Q674" i="4"/>
  <c r="P674" i="4"/>
  <c r="O674" i="4"/>
  <c r="N674" i="4"/>
  <c r="M674" i="4"/>
  <c r="L674" i="4"/>
  <c r="K674" i="4"/>
  <c r="J674" i="4"/>
  <c r="I674" i="4"/>
  <c r="H674" i="4"/>
  <c r="Q673" i="4"/>
  <c r="P673" i="4"/>
  <c r="O673" i="4"/>
  <c r="N673" i="4"/>
  <c r="M673" i="4"/>
  <c r="L673" i="4"/>
  <c r="K673" i="4"/>
  <c r="J673" i="4"/>
  <c r="I673" i="4"/>
  <c r="H673" i="4"/>
  <c r="Q672" i="4"/>
  <c r="P672" i="4"/>
  <c r="O672" i="4"/>
  <c r="N672" i="4"/>
  <c r="M672" i="4"/>
  <c r="L672" i="4"/>
  <c r="K672" i="4"/>
  <c r="J672" i="4"/>
  <c r="I672" i="4"/>
  <c r="H672" i="4"/>
  <c r="Q671" i="4"/>
  <c r="P671" i="4"/>
  <c r="O671" i="4"/>
  <c r="N671" i="4"/>
  <c r="M671" i="4"/>
  <c r="L671" i="4"/>
  <c r="K671" i="4"/>
  <c r="J671" i="4"/>
  <c r="I671" i="4"/>
  <c r="H671" i="4"/>
  <c r="Q670" i="4"/>
  <c r="P670" i="4"/>
  <c r="O670" i="4"/>
  <c r="N670" i="4"/>
  <c r="M670" i="4"/>
  <c r="L670" i="4"/>
  <c r="K670" i="4"/>
  <c r="J670" i="4"/>
  <c r="I670" i="4"/>
  <c r="H670" i="4"/>
  <c r="Q669" i="4"/>
  <c r="P669" i="4"/>
  <c r="O669" i="4"/>
  <c r="N669" i="4"/>
  <c r="M669" i="4"/>
  <c r="L669" i="4"/>
  <c r="K669" i="4"/>
  <c r="J669" i="4"/>
  <c r="I669" i="4"/>
  <c r="H669" i="4"/>
  <c r="Q668" i="4"/>
  <c r="P668" i="4"/>
  <c r="O668" i="4"/>
  <c r="N668" i="4"/>
  <c r="M668" i="4"/>
  <c r="L668" i="4"/>
  <c r="K668" i="4"/>
  <c r="J668" i="4"/>
  <c r="I668" i="4"/>
  <c r="H668" i="4"/>
  <c r="Q667" i="4"/>
  <c r="P667" i="4"/>
  <c r="O667" i="4"/>
  <c r="N667" i="4"/>
  <c r="M667" i="4"/>
  <c r="L667" i="4"/>
  <c r="K667" i="4"/>
  <c r="J667" i="4"/>
  <c r="I667" i="4"/>
  <c r="H667" i="4"/>
  <c r="Q666" i="4"/>
  <c r="P666" i="4"/>
  <c r="O666" i="4"/>
  <c r="N666" i="4"/>
  <c r="M666" i="4"/>
  <c r="L666" i="4"/>
  <c r="K666" i="4"/>
  <c r="J666" i="4"/>
  <c r="I666" i="4"/>
  <c r="H666" i="4"/>
  <c r="Q665" i="4"/>
  <c r="P665" i="4"/>
  <c r="O665" i="4"/>
  <c r="N665" i="4"/>
  <c r="M665" i="4"/>
  <c r="L665" i="4"/>
  <c r="K665" i="4"/>
  <c r="J665" i="4"/>
  <c r="I665" i="4"/>
  <c r="H665" i="4"/>
  <c r="Q664" i="4"/>
  <c r="P664" i="4"/>
  <c r="O664" i="4"/>
  <c r="N664" i="4"/>
  <c r="M664" i="4"/>
  <c r="L664" i="4"/>
  <c r="K664" i="4"/>
  <c r="J664" i="4"/>
  <c r="I664" i="4"/>
  <c r="H664" i="4"/>
  <c r="Q663" i="4"/>
  <c r="P663" i="4"/>
  <c r="O663" i="4"/>
  <c r="N663" i="4"/>
  <c r="M663" i="4"/>
  <c r="L663" i="4"/>
  <c r="K663" i="4"/>
  <c r="J663" i="4"/>
  <c r="I663" i="4"/>
  <c r="H663" i="4"/>
  <c r="Q662" i="4"/>
  <c r="P662" i="4"/>
  <c r="O662" i="4"/>
  <c r="N662" i="4"/>
  <c r="M662" i="4"/>
  <c r="L662" i="4"/>
  <c r="K662" i="4"/>
  <c r="J662" i="4"/>
  <c r="I662" i="4"/>
  <c r="H662" i="4"/>
  <c r="Q661" i="4"/>
  <c r="P661" i="4"/>
  <c r="O661" i="4"/>
  <c r="N661" i="4"/>
  <c r="M661" i="4"/>
  <c r="L661" i="4"/>
  <c r="K661" i="4"/>
  <c r="J661" i="4"/>
  <c r="I661" i="4"/>
  <c r="H661" i="4"/>
  <c r="Q660" i="4"/>
  <c r="P660" i="4"/>
  <c r="O660" i="4"/>
  <c r="N660" i="4"/>
  <c r="M660" i="4"/>
  <c r="L660" i="4"/>
  <c r="K660" i="4"/>
  <c r="J660" i="4"/>
  <c r="I660" i="4"/>
  <c r="H660" i="4"/>
  <c r="Q659" i="4"/>
  <c r="P659" i="4"/>
  <c r="O659" i="4"/>
  <c r="N659" i="4"/>
  <c r="M659" i="4"/>
  <c r="L659" i="4"/>
  <c r="K659" i="4"/>
  <c r="J659" i="4"/>
  <c r="I659" i="4"/>
  <c r="H659" i="4"/>
  <c r="Q658" i="4"/>
  <c r="P658" i="4"/>
  <c r="O658" i="4"/>
  <c r="N658" i="4"/>
  <c r="M658" i="4"/>
  <c r="L658" i="4"/>
  <c r="K658" i="4"/>
  <c r="J658" i="4"/>
  <c r="I658" i="4"/>
  <c r="H658" i="4"/>
  <c r="Q657" i="4"/>
  <c r="P657" i="4"/>
  <c r="O657" i="4"/>
  <c r="N657" i="4"/>
  <c r="M657" i="4"/>
  <c r="L657" i="4"/>
  <c r="K657" i="4"/>
  <c r="J657" i="4"/>
  <c r="I657" i="4"/>
  <c r="H657" i="4"/>
  <c r="Q656" i="4"/>
  <c r="P656" i="4"/>
  <c r="O656" i="4"/>
  <c r="N656" i="4"/>
  <c r="M656" i="4"/>
  <c r="L656" i="4"/>
  <c r="K656" i="4"/>
  <c r="J656" i="4"/>
  <c r="I656" i="4"/>
  <c r="H656" i="4"/>
  <c r="Q655" i="4"/>
  <c r="P655" i="4"/>
  <c r="O655" i="4"/>
  <c r="N655" i="4"/>
  <c r="M655" i="4"/>
  <c r="L655" i="4"/>
  <c r="K655" i="4"/>
  <c r="J655" i="4"/>
  <c r="I655" i="4"/>
  <c r="H655" i="4"/>
  <c r="Q654" i="4"/>
  <c r="P654" i="4"/>
  <c r="O654" i="4"/>
  <c r="N654" i="4"/>
  <c r="M654" i="4"/>
  <c r="L654" i="4"/>
  <c r="K654" i="4"/>
  <c r="J654" i="4"/>
  <c r="I654" i="4"/>
  <c r="H654" i="4"/>
  <c r="Q653" i="4"/>
  <c r="P653" i="4"/>
  <c r="O653" i="4"/>
  <c r="N653" i="4"/>
  <c r="M653" i="4"/>
  <c r="L653" i="4"/>
  <c r="K653" i="4"/>
  <c r="J653" i="4"/>
  <c r="I653" i="4"/>
  <c r="H653" i="4"/>
  <c r="Q652" i="4"/>
  <c r="P652" i="4"/>
  <c r="O652" i="4"/>
  <c r="N652" i="4"/>
  <c r="M652" i="4"/>
  <c r="L652" i="4"/>
  <c r="K652" i="4"/>
  <c r="J652" i="4"/>
  <c r="I652" i="4"/>
  <c r="H652" i="4"/>
  <c r="Q651" i="4"/>
  <c r="P651" i="4"/>
  <c r="O651" i="4"/>
  <c r="N651" i="4"/>
  <c r="M651" i="4"/>
  <c r="L651" i="4"/>
  <c r="K651" i="4"/>
  <c r="J651" i="4"/>
  <c r="I651" i="4"/>
  <c r="H651" i="4"/>
  <c r="Q650" i="4"/>
  <c r="P650" i="4"/>
  <c r="O650" i="4"/>
  <c r="N650" i="4"/>
  <c r="M650" i="4"/>
  <c r="L650" i="4"/>
  <c r="K650" i="4"/>
  <c r="J650" i="4"/>
  <c r="I650" i="4"/>
  <c r="H650" i="4"/>
  <c r="Q649" i="4"/>
  <c r="P649" i="4"/>
  <c r="O649" i="4"/>
  <c r="N649" i="4"/>
  <c r="M649" i="4"/>
  <c r="L649" i="4"/>
  <c r="K649" i="4"/>
  <c r="J649" i="4"/>
  <c r="I649" i="4"/>
  <c r="H649" i="4"/>
  <c r="Q648" i="4"/>
  <c r="P648" i="4"/>
  <c r="O648" i="4"/>
  <c r="N648" i="4"/>
  <c r="M648" i="4"/>
  <c r="L648" i="4"/>
  <c r="K648" i="4"/>
  <c r="J648" i="4"/>
  <c r="I648" i="4"/>
  <c r="H648" i="4"/>
  <c r="Q647" i="4"/>
  <c r="P647" i="4"/>
  <c r="O647" i="4"/>
  <c r="N647" i="4"/>
  <c r="M647" i="4"/>
  <c r="L647" i="4"/>
  <c r="K647" i="4"/>
  <c r="J647" i="4"/>
  <c r="I647" i="4"/>
  <c r="H647" i="4"/>
  <c r="Q646" i="4"/>
  <c r="P646" i="4"/>
  <c r="O646" i="4"/>
  <c r="N646" i="4"/>
  <c r="M646" i="4"/>
  <c r="L646" i="4"/>
  <c r="K646" i="4"/>
  <c r="J646" i="4"/>
  <c r="I646" i="4"/>
  <c r="H646" i="4"/>
  <c r="Q645" i="4"/>
  <c r="P645" i="4"/>
  <c r="O645" i="4"/>
  <c r="N645" i="4"/>
  <c r="M645" i="4"/>
  <c r="L645" i="4"/>
  <c r="K645" i="4"/>
  <c r="J645" i="4"/>
  <c r="I645" i="4"/>
  <c r="H645" i="4"/>
  <c r="Q644" i="4"/>
  <c r="P644" i="4"/>
  <c r="O644" i="4"/>
  <c r="N644" i="4"/>
  <c r="M644" i="4"/>
  <c r="L644" i="4"/>
  <c r="K644" i="4"/>
  <c r="J644" i="4"/>
  <c r="I644" i="4"/>
  <c r="H644" i="4"/>
  <c r="Q643" i="4"/>
  <c r="P643" i="4"/>
  <c r="O643" i="4"/>
  <c r="N643" i="4"/>
  <c r="M643" i="4"/>
  <c r="L643" i="4"/>
  <c r="K643" i="4"/>
  <c r="J643" i="4"/>
  <c r="I643" i="4"/>
  <c r="H643" i="4"/>
  <c r="Q642" i="4"/>
  <c r="P642" i="4"/>
  <c r="O642" i="4"/>
  <c r="N642" i="4"/>
  <c r="M642" i="4"/>
  <c r="L642" i="4"/>
  <c r="K642" i="4"/>
  <c r="J642" i="4"/>
  <c r="I642" i="4"/>
  <c r="H642" i="4"/>
  <c r="Q641" i="4"/>
  <c r="P641" i="4"/>
  <c r="O641" i="4"/>
  <c r="N641" i="4"/>
  <c r="M641" i="4"/>
  <c r="L641" i="4"/>
  <c r="K641" i="4"/>
  <c r="J641" i="4"/>
  <c r="I641" i="4"/>
  <c r="H641" i="4"/>
  <c r="Q640" i="4"/>
  <c r="P640" i="4"/>
  <c r="O640" i="4"/>
  <c r="N640" i="4"/>
  <c r="M640" i="4"/>
  <c r="L640" i="4"/>
  <c r="K640" i="4"/>
  <c r="J640" i="4"/>
  <c r="I640" i="4"/>
  <c r="H640" i="4"/>
  <c r="Q639" i="4"/>
  <c r="P639" i="4"/>
  <c r="O639" i="4"/>
  <c r="N639" i="4"/>
  <c r="M639" i="4"/>
  <c r="L639" i="4"/>
  <c r="K639" i="4"/>
  <c r="J639" i="4"/>
  <c r="I639" i="4"/>
  <c r="H639" i="4"/>
  <c r="Q638" i="4"/>
  <c r="P638" i="4"/>
  <c r="O638" i="4"/>
  <c r="N638" i="4"/>
  <c r="M638" i="4"/>
  <c r="L638" i="4"/>
  <c r="K638" i="4"/>
  <c r="J638" i="4"/>
  <c r="I638" i="4"/>
  <c r="H638" i="4"/>
  <c r="Q637" i="4"/>
  <c r="P637" i="4"/>
  <c r="O637" i="4"/>
  <c r="N637" i="4"/>
  <c r="M637" i="4"/>
  <c r="L637" i="4"/>
  <c r="K637" i="4"/>
  <c r="J637" i="4"/>
  <c r="I637" i="4"/>
  <c r="H637" i="4"/>
  <c r="Q636" i="4"/>
  <c r="P636" i="4"/>
  <c r="O636" i="4"/>
  <c r="N636" i="4"/>
  <c r="M636" i="4"/>
  <c r="L636" i="4"/>
  <c r="K636" i="4"/>
  <c r="J636" i="4"/>
  <c r="I636" i="4"/>
  <c r="H636" i="4"/>
  <c r="Q635" i="4"/>
  <c r="P635" i="4"/>
  <c r="O635" i="4"/>
  <c r="N635" i="4"/>
  <c r="M635" i="4"/>
  <c r="L635" i="4"/>
  <c r="K635" i="4"/>
  <c r="J635" i="4"/>
  <c r="I635" i="4"/>
  <c r="H635" i="4"/>
  <c r="Q634" i="4"/>
  <c r="P634" i="4"/>
  <c r="O634" i="4"/>
  <c r="N634" i="4"/>
  <c r="M634" i="4"/>
  <c r="L634" i="4"/>
  <c r="K634" i="4"/>
  <c r="J634" i="4"/>
  <c r="I634" i="4"/>
  <c r="H634" i="4"/>
  <c r="Q633" i="4"/>
  <c r="P633" i="4"/>
  <c r="O633" i="4"/>
  <c r="N633" i="4"/>
  <c r="M633" i="4"/>
  <c r="L633" i="4"/>
  <c r="K633" i="4"/>
  <c r="J633" i="4"/>
  <c r="I633" i="4"/>
  <c r="H633" i="4"/>
  <c r="Q632" i="4"/>
  <c r="P632" i="4"/>
  <c r="O632" i="4"/>
  <c r="N632" i="4"/>
  <c r="M632" i="4"/>
  <c r="L632" i="4"/>
  <c r="K632" i="4"/>
  <c r="J632" i="4"/>
  <c r="I632" i="4"/>
  <c r="H632" i="4"/>
  <c r="Q631" i="4"/>
  <c r="P631" i="4"/>
  <c r="O631" i="4"/>
  <c r="N631" i="4"/>
  <c r="M631" i="4"/>
  <c r="L631" i="4"/>
  <c r="K631" i="4"/>
  <c r="J631" i="4"/>
  <c r="I631" i="4"/>
  <c r="H631" i="4"/>
  <c r="Q630" i="4"/>
  <c r="P630" i="4"/>
  <c r="O630" i="4"/>
  <c r="N630" i="4"/>
  <c r="M630" i="4"/>
  <c r="L630" i="4"/>
  <c r="K630" i="4"/>
  <c r="J630" i="4"/>
  <c r="I630" i="4"/>
  <c r="H630" i="4"/>
  <c r="Q629" i="4"/>
  <c r="P629" i="4"/>
  <c r="O629" i="4"/>
  <c r="N629" i="4"/>
  <c r="M629" i="4"/>
  <c r="L629" i="4"/>
  <c r="K629" i="4"/>
  <c r="J629" i="4"/>
  <c r="I629" i="4"/>
  <c r="H629" i="4"/>
  <c r="Q628" i="4"/>
  <c r="P628" i="4"/>
  <c r="O628" i="4"/>
  <c r="N628" i="4"/>
  <c r="M628" i="4"/>
  <c r="L628" i="4"/>
  <c r="K628" i="4"/>
  <c r="J628" i="4"/>
  <c r="I628" i="4"/>
  <c r="H628" i="4"/>
  <c r="Q627" i="4"/>
  <c r="P627" i="4"/>
  <c r="O627" i="4"/>
  <c r="N627" i="4"/>
  <c r="M627" i="4"/>
  <c r="L627" i="4"/>
  <c r="K627" i="4"/>
  <c r="J627" i="4"/>
  <c r="I627" i="4"/>
  <c r="H627" i="4"/>
  <c r="Q626" i="4"/>
  <c r="P626" i="4"/>
  <c r="O626" i="4"/>
  <c r="N626" i="4"/>
  <c r="M626" i="4"/>
  <c r="L626" i="4"/>
  <c r="K626" i="4"/>
  <c r="J626" i="4"/>
  <c r="I626" i="4"/>
  <c r="H626" i="4"/>
  <c r="Q625" i="4"/>
  <c r="P625" i="4"/>
  <c r="O625" i="4"/>
  <c r="N625" i="4"/>
  <c r="M625" i="4"/>
  <c r="L625" i="4"/>
  <c r="K625" i="4"/>
  <c r="J625" i="4"/>
  <c r="I625" i="4"/>
  <c r="H625" i="4"/>
  <c r="Q624" i="4"/>
  <c r="P624" i="4"/>
  <c r="O624" i="4"/>
  <c r="N624" i="4"/>
  <c r="M624" i="4"/>
  <c r="L624" i="4"/>
  <c r="K624" i="4"/>
  <c r="J624" i="4"/>
  <c r="I624" i="4"/>
  <c r="H624" i="4"/>
  <c r="Q623" i="4"/>
  <c r="P623" i="4"/>
  <c r="O623" i="4"/>
  <c r="N623" i="4"/>
  <c r="M623" i="4"/>
  <c r="L623" i="4"/>
  <c r="K623" i="4"/>
  <c r="J623" i="4"/>
  <c r="I623" i="4"/>
  <c r="H623" i="4"/>
  <c r="Q622" i="4"/>
  <c r="P622" i="4"/>
  <c r="O622" i="4"/>
  <c r="N622" i="4"/>
  <c r="M622" i="4"/>
  <c r="L622" i="4"/>
  <c r="K622" i="4"/>
  <c r="J622" i="4"/>
  <c r="I622" i="4"/>
  <c r="H622" i="4"/>
  <c r="Q621" i="4"/>
  <c r="P621" i="4"/>
  <c r="O621" i="4"/>
  <c r="N621" i="4"/>
  <c r="M621" i="4"/>
  <c r="L621" i="4"/>
  <c r="K621" i="4"/>
  <c r="J621" i="4"/>
  <c r="I621" i="4"/>
  <c r="H621" i="4"/>
  <c r="Q620" i="4"/>
  <c r="P620" i="4"/>
  <c r="O620" i="4"/>
  <c r="N620" i="4"/>
  <c r="M620" i="4"/>
  <c r="L620" i="4"/>
  <c r="K620" i="4"/>
  <c r="J620" i="4"/>
  <c r="I620" i="4"/>
  <c r="H620" i="4"/>
  <c r="Q619" i="4"/>
  <c r="P619" i="4"/>
  <c r="O619" i="4"/>
  <c r="N619" i="4"/>
  <c r="M619" i="4"/>
  <c r="L619" i="4"/>
  <c r="K619" i="4"/>
  <c r="J619" i="4"/>
  <c r="I619" i="4"/>
  <c r="H619" i="4"/>
  <c r="Q618" i="4"/>
  <c r="P618" i="4"/>
  <c r="O618" i="4"/>
  <c r="N618" i="4"/>
  <c r="M618" i="4"/>
  <c r="L618" i="4"/>
  <c r="K618" i="4"/>
  <c r="J618" i="4"/>
  <c r="I618" i="4"/>
  <c r="H618" i="4"/>
  <c r="Q617" i="4"/>
  <c r="P617" i="4"/>
  <c r="O617" i="4"/>
  <c r="N617" i="4"/>
  <c r="M617" i="4"/>
  <c r="L617" i="4"/>
  <c r="K617" i="4"/>
  <c r="J617" i="4"/>
  <c r="I617" i="4"/>
  <c r="H617" i="4"/>
  <c r="Q616" i="4"/>
  <c r="P616" i="4"/>
  <c r="O616" i="4"/>
  <c r="N616" i="4"/>
  <c r="M616" i="4"/>
  <c r="L616" i="4"/>
  <c r="K616" i="4"/>
  <c r="J616" i="4"/>
  <c r="I616" i="4"/>
  <c r="H616" i="4"/>
  <c r="Q615" i="4"/>
  <c r="P615" i="4"/>
  <c r="O615" i="4"/>
  <c r="N615" i="4"/>
  <c r="M615" i="4"/>
  <c r="L615" i="4"/>
  <c r="K615" i="4"/>
  <c r="J615" i="4"/>
  <c r="I615" i="4"/>
  <c r="H615" i="4"/>
  <c r="Q614" i="4"/>
  <c r="P614" i="4"/>
  <c r="O614" i="4"/>
  <c r="N614" i="4"/>
  <c r="M614" i="4"/>
  <c r="L614" i="4"/>
  <c r="K614" i="4"/>
  <c r="J614" i="4"/>
  <c r="I614" i="4"/>
  <c r="H614" i="4"/>
  <c r="Q613" i="4"/>
  <c r="P613" i="4"/>
  <c r="O613" i="4"/>
  <c r="N613" i="4"/>
  <c r="M613" i="4"/>
  <c r="L613" i="4"/>
  <c r="K613" i="4"/>
  <c r="J613" i="4"/>
  <c r="I613" i="4"/>
  <c r="H613" i="4"/>
  <c r="Q612" i="4"/>
  <c r="P612" i="4"/>
  <c r="O612" i="4"/>
  <c r="N612" i="4"/>
  <c r="M612" i="4"/>
  <c r="L612" i="4"/>
  <c r="K612" i="4"/>
  <c r="J612" i="4"/>
  <c r="I612" i="4"/>
  <c r="H612" i="4"/>
  <c r="Q611" i="4"/>
  <c r="P611" i="4"/>
  <c r="O611" i="4"/>
  <c r="N611" i="4"/>
  <c r="M611" i="4"/>
  <c r="L611" i="4"/>
  <c r="K611" i="4"/>
  <c r="J611" i="4"/>
  <c r="I611" i="4"/>
  <c r="H611" i="4"/>
  <c r="Q610" i="4"/>
  <c r="P610" i="4"/>
  <c r="O610" i="4"/>
  <c r="N610" i="4"/>
  <c r="M610" i="4"/>
  <c r="L610" i="4"/>
  <c r="K610" i="4"/>
  <c r="J610" i="4"/>
  <c r="I610" i="4"/>
  <c r="H610" i="4"/>
  <c r="Q609" i="4"/>
  <c r="P609" i="4"/>
  <c r="O609" i="4"/>
  <c r="N609" i="4"/>
  <c r="M609" i="4"/>
  <c r="L609" i="4"/>
  <c r="K609" i="4"/>
  <c r="J609" i="4"/>
  <c r="I609" i="4"/>
  <c r="H609" i="4"/>
  <c r="Q608" i="4"/>
  <c r="P608" i="4"/>
  <c r="O608" i="4"/>
  <c r="N608" i="4"/>
  <c r="M608" i="4"/>
  <c r="L608" i="4"/>
  <c r="K608" i="4"/>
  <c r="J608" i="4"/>
  <c r="I608" i="4"/>
  <c r="H608" i="4"/>
  <c r="Q607" i="4"/>
  <c r="P607" i="4"/>
  <c r="O607" i="4"/>
  <c r="N607" i="4"/>
  <c r="M607" i="4"/>
  <c r="L607" i="4"/>
  <c r="K607" i="4"/>
  <c r="J607" i="4"/>
  <c r="I607" i="4"/>
  <c r="H607" i="4"/>
  <c r="Q606" i="4"/>
  <c r="P606" i="4"/>
  <c r="O606" i="4"/>
  <c r="N606" i="4"/>
  <c r="M606" i="4"/>
  <c r="L606" i="4"/>
  <c r="K606" i="4"/>
  <c r="J606" i="4"/>
  <c r="I606" i="4"/>
  <c r="H606" i="4"/>
  <c r="Q605" i="4"/>
  <c r="P605" i="4"/>
  <c r="O605" i="4"/>
  <c r="N605" i="4"/>
  <c r="M605" i="4"/>
  <c r="L605" i="4"/>
  <c r="K605" i="4"/>
  <c r="J605" i="4"/>
  <c r="I605" i="4"/>
  <c r="H605" i="4"/>
  <c r="Q604" i="4"/>
  <c r="P604" i="4"/>
  <c r="O604" i="4"/>
  <c r="N604" i="4"/>
  <c r="M604" i="4"/>
  <c r="L604" i="4"/>
  <c r="K604" i="4"/>
  <c r="J604" i="4"/>
  <c r="I604" i="4"/>
  <c r="H604" i="4"/>
  <c r="Q603" i="4"/>
  <c r="P603" i="4"/>
  <c r="O603" i="4"/>
  <c r="N603" i="4"/>
  <c r="M603" i="4"/>
  <c r="L603" i="4"/>
  <c r="K603" i="4"/>
  <c r="J603" i="4"/>
  <c r="I603" i="4"/>
  <c r="H603" i="4"/>
  <c r="Q602" i="4"/>
  <c r="P602" i="4"/>
  <c r="O602" i="4"/>
  <c r="N602" i="4"/>
  <c r="M602" i="4"/>
  <c r="L602" i="4"/>
  <c r="K602" i="4"/>
  <c r="J602" i="4"/>
  <c r="I602" i="4"/>
  <c r="H602" i="4"/>
  <c r="Q601" i="4"/>
  <c r="P601" i="4"/>
  <c r="O601" i="4"/>
  <c r="N601" i="4"/>
  <c r="M601" i="4"/>
  <c r="L601" i="4"/>
  <c r="K601" i="4"/>
  <c r="J601" i="4"/>
  <c r="I601" i="4"/>
  <c r="H601" i="4"/>
  <c r="Q600" i="4"/>
  <c r="P600" i="4"/>
  <c r="O600" i="4"/>
  <c r="N600" i="4"/>
  <c r="M600" i="4"/>
  <c r="L600" i="4"/>
  <c r="K600" i="4"/>
  <c r="J600" i="4"/>
  <c r="I600" i="4"/>
  <c r="H600" i="4"/>
  <c r="Q599" i="4"/>
  <c r="P599" i="4"/>
  <c r="O599" i="4"/>
  <c r="N599" i="4"/>
  <c r="M599" i="4"/>
  <c r="L599" i="4"/>
  <c r="K599" i="4"/>
  <c r="J599" i="4"/>
  <c r="I599" i="4"/>
  <c r="H599" i="4"/>
  <c r="Q598" i="4"/>
  <c r="P598" i="4"/>
  <c r="O598" i="4"/>
  <c r="N598" i="4"/>
  <c r="M598" i="4"/>
  <c r="L598" i="4"/>
  <c r="K598" i="4"/>
  <c r="J598" i="4"/>
  <c r="I598" i="4"/>
  <c r="H598" i="4"/>
  <c r="Q597" i="4"/>
  <c r="P597" i="4"/>
  <c r="O597" i="4"/>
  <c r="N597" i="4"/>
  <c r="M597" i="4"/>
  <c r="L597" i="4"/>
  <c r="K597" i="4"/>
  <c r="J597" i="4"/>
  <c r="I597" i="4"/>
  <c r="H597" i="4"/>
  <c r="Q596" i="4"/>
  <c r="P596" i="4"/>
  <c r="O596" i="4"/>
  <c r="N596" i="4"/>
  <c r="M596" i="4"/>
  <c r="L596" i="4"/>
  <c r="K596" i="4"/>
  <c r="J596" i="4"/>
  <c r="I596" i="4"/>
  <c r="H596" i="4"/>
  <c r="Q595" i="4"/>
  <c r="P595" i="4"/>
  <c r="O595" i="4"/>
  <c r="N595" i="4"/>
  <c r="M595" i="4"/>
  <c r="L595" i="4"/>
  <c r="K595" i="4"/>
  <c r="J595" i="4"/>
  <c r="I595" i="4"/>
  <c r="H595" i="4"/>
  <c r="Q594" i="4"/>
  <c r="P594" i="4"/>
  <c r="O594" i="4"/>
  <c r="N594" i="4"/>
  <c r="M594" i="4"/>
  <c r="L594" i="4"/>
  <c r="K594" i="4"/>
  <c r="J594" i="4"/>
  <c r="I594" i="4"/>
  <c r="H594" i="4"/>
  <c r="Q593" i="4"/>
  <c r="P593" i="4"/>
  <c r="O593" i="4"/>
  <c r="N593" i="4"/>
  <c r="M593" i="4"/>
  <c r="L593" i="4"/>
  <c r="K593" i="4"/>
  <c r="J593" i="4"/>
  <c r="I593" i="4"/>
  <c r="H593" i="4"/>
  <c r="Q592" i="4"/>
  <c r="P592" i="4"/>
  <c r="O592" i="4"/>
  <c r="N592" i="4"/>
  <c r="M592" i="4"/>
  <c r="L592" i="4"/>
  <c r="K592" i="4"/>
  <c r="J592" i="4"/>
  <c r="I592" i="4"/>
  <c r="H592" i="4"/>
  <c r="Q591" i="4"/>
  <c r="P591" i="4"/>
  <c r="O591" i="4"/>
  <c r="N591" i="4"/>
  <c r="M591" i="4"/>
  <c r="L591" i="4"/>
  <c r="K591" i="4"/>
  <c r="J591" i="4"/>
  <c r="I591" i="4"/>
  <c r="H591" i="4"/>
  <c r="Q590" i="4"/>
  <c r="P590" i="4"/>
  <c r="O590" i="4"/>
  <c r="N590" i="4"/>
  <c r="M590" i="4"/>
  <c r="L590" i="4"/>
  <c r="K590" i="4"/>
  <c r="J590" i="4"/>
  <c r="I590" i="4"/>
  <c r="H590" i="4"/>
  <c r="Q589" i="4"/>
  <c r="P589" i="4"/>
  <c r="O589" i="4"/>
  <c r="N589" i="4"/>
  <c r="M589" i="4"/>
  <c r="L589" i="4"/>
  <c r="K589" i="4"/>
  <c r="J589" i="4"/>
  <c r="I589" i="4"/>
  <c r="H589" i="4"/>
  <c r="Q588" i="4"/>
  <c r="P588" i="4"/>
  <c r="O588" i="4"/>
  <c r="N588" i="4"/>
  <c r="M588" i="4"/>
  <c r="L588" i="4"/>
  <c r="K588" i="4"/>
  <c r="J588" i="4"/>
  <c r="I588" i="4"/>
  <c r="H588" i="4"/>
  <c r="Q587" i="4"/>
  <c r="P587" i="4"/>
  <c r="O587" i="4"/>
  <c r="N587" i="4"/>
  <c r="M587" i="4"/>
  <c r="L587" i="4"/>
  <c r="K587" i="4"/>
  <c r="J587" i="4"/>
  <c r="I587" i="4"/>
  <c r="H587" i="4"/>
  <c r="Q586" i="4"/>
  <c r="P586" i="4"/>
  <c r="O586" i="4"/>
  <c r="N586" i="4"/>
  <c r="M586" i="4"/>
  <c r="L586" i="4"/>
  <c r="K586" i="4"/>
  <c r="J586" i="4"/>
  <c r="I586" i="4"/>
  <c r="H586" i="4"/>
  <c r="Q585" i="4"/>
  <c r="P585" i="4"/>
  <c r="O585" i="4"/>
  <c r="N585" i="4"/>
  <c r="M585" i="4"/>
  <c r="L585" i="4"/>
  <c r="K585" i="4"/>
  <c r="J585" i="4"/>
  <c r="I585" i="4"/>
  <c r="H585" i="4"/>
  <c r="Q584" i="4"/>
  <c r="P584" i="4"/>
  <c r="O584" i="4"/>
  <c r="N584" i="4"/>
  <c r="M584" i="4"/>
  <c r="L584" i="4"/>
  <c r="K584" i="4"/>
  <c r="J584" i="4"/>
  <c r="I584" i="4"/>
  <c r="H584" i="4"/>
  <c r="Q583" i="4"/>
  <c r="P583" i="4"/>
  <c r="O583" i="4"/>
  <c r="N583" i="4"/>
  <c r="M583" i="4"/>
  <c r="L583" i="4"/>
  <c r="K583" i="4"/>
  <c r="J583" i="4"/>
  <c r="I583" i="4"/>
  <c r="H583" i="4"/>
  <c r="Q582" i="4"/>
  <c r="P582" i="4"/>
  <c r="O582" i="4"/>
  <c r="N582" i="4"/>
  <c r="M582" i="4"/>
  <c r="L582" i="4"/>
  <c r="K582" i="4"/>
  <c r="J582" i="4"/>
  <c r="I582" i="4"/>
  <c r="H582" i="4"/>
  <c r="Q581" i="4"/>
  <c r="P581" i="4"/>
  <c r="O581" i="4"/>
  <c r="N581" i="4"/>
  <c r="M581" i="4"/>
  <c r="L581" i="4"/>
  <c r="K581" i="4"/>
  <c r="J581" i="4"/>
  <c r="I581" i="4"/>
  <c r="H581" i="4"/>
  <c r="Q580" i="4"/>
  <c r="P580" i="4"/>
  <c r="O580" i="4"/>
  <c r="N580" i="4"/>
  <c r="M580" i="4"/>
  <c r="L580" i="4"/>
  <c r="K580" i="4"/>
  <c r="J580" i="4"/>
  <c r="I580" i="4"/>
  <c r="H580" i="4"/>
  <c r="Q579" i="4"/>
  <c r="P579" i="4"/>
  <c r="O579" i="4"/>
  <c r="N579" i="4"/>
  <c r="M579" i="4"/>
  <c r="L579" i="4"/>
  <c r="K579" i="4"/>
  <c r="J579" i="4"/>
  <c r="I579" i="4"/>
  <c r="H579" i="4"/>
  <c r="Q578" i="4"/>
  <c r="P578" i="4"/>
  <c r="O578" i="4"/>
  <c r="N578" i="4"/>
  <c r="M578" i="4"/>
  <c r="L578" i="4"/>
  <c r="K578" i="4"/>
  <c r="J578" i="4"/>
  <c r="I578" i="4"/>
  <c r="H578" i="4"/>
  <c r="Q577" i="4"/>
  <c r="P577" i="4"/>
  <c r="O577" i="4"/>
  <c r="N577" i="4"/>
  <c r="M577" i="4"/>
  <c r="L577" i="4"/>
  <c r="K577" i="4"/>
  <c r="J577" i="4"/>
  <c r="I577" i="4"/>
  <c r="H577" i="4"/>
  <c r="Q576" i="4"/>
  <c r="P576" i="4"/>
  <c r="O576" i="4"/>
  <c r="N576" i="4"/>
  <c r="M576" i="4"/>
  <c r="L576" i="4"/>
  <c r="K576" i="4"/>
  <c r="J576" i="4"/>
  <c r="I576" i="4"/>
  <c r="H576" i="4"/>
  <c r="Q575" i="4"/>
  <c r="P575" i="4"/>
  <c r="O575" i="4"/>
  <c r="N575" i="4"/>
  <c r="M575" i="4"/>
  <c r="L575" i="4"/>
  <c r="K575" i="4"/>
  <c r="J575" i="4"/>
  <c r="I575" i="4"/>
  <c r="H575" i="4"/>
  <c r="Q574" i="4"/>
  <c r="P574" i="4"/>
  <c r="O574" i="4"/>
  <c r="N574" i="4"/>
  <c r="M574" i="4"/>
  <c r="L574" i="4"/>
  <c r="K574" i="4"/>
  <c r="J574" i="4"/>
  <c r="I574" i="4"/>
  <c r="H574" i="4"/>
  <c r="Q573" i="4"/>
  <c r="P573" i="4"/>
  <c r="O573" i="4"/>
  <c r="N573" i="4"/>
  <c r="M573" i="4"/>
  <c r="L573" i="4"/>
  <c r="K573" i="4"/>
  <c r="J573" i="4"/>
  <c r="I573" i="4"/>
  <c r="H573" i="4"/>
  <c r="Q572" i="4"/>
  <c r="P572" i="4"/>
  <c r="O572" i="4"/>
  <c r="N572" i="4"/>
  <c r="M572" i="4"/>
  <c r="L572" i="4"/>
  <c r="K572" i="4"/>
  <c r="J572" i="4"/>
  <c r="I572" i="4"/>
  <c r="H572" i="4"/>
  <c r="Q571" i="4"/>
  <c r="P571" i="4"/>
  <c r="O571" i="4"/>
  <c r="N571" i="4"/>
  <c r="M571" i="4"/>
  <c r="L571" i="4"/>
  <c r="K571" i="4"/>
  <c r="J571" i="4"/>
  <c r="I571" i="4"/>
  <c r="H571" i="4"/>
  <c r="Q570" i="4"/>
  <c r="P570" i="4"/>
  <c r="O570" i="4"/>
  <c r="N570" i="4"/>
  <c r="M570" i="4"/>
  <c r="L570" i="4"/>
  <c r="K570" i="4"/>
  <c r="J570" i="4"/>
  <c r="I570" i="4"/>
  <c r="H570" i="4"/>
  <c r="Q569" i="4"/>
  <c r="P569" i="4"/>
  <c r="O569" i="4"/>
  <c r="N569" i="4"/>
  <c r="M569" i="4"/>
  <c r="L569" i="4"/>
  <c r="K569" i="4"/>
  <c r="J569" i="4"/>
  <c r="I569" i="4"/>
  <c r="H569" i="4"/>
  <c r="Q568" i="4"/>
  <c r="P568" i="4"/>
  <c r="O568" i="4"/>
  <c r="N568" i="4"/>
  <c r="M568" i="4"/>
  <c r="L568" i="4"/>
  <c r="K568" i="4"/>
  <c r="J568" i="4"/>
  <c r="I568" i="4"/>
  <c r="H568" i="4"/>
  <c r="Q567" i="4"/>
  <c r="P567" i="4"/>
  <c r="O567" i="4"/>
  <c r="N567" i="4"/>
  <c r="M567" i="4"/>
  <c r="L567" i="4"/>
  <c r="K567" i="4"/>
  <c r="J567" i="4"/>
  <c r="I567" i="4"/>
  <c r="H567" i="4"/>
  <c r="Q566" i="4"/>
  <c r="P566" i="4"/>
  <c r="O566" i="4"/>
  <c r="N566" i="4"/>
  <c r="M566" i="4"/>
  <c r="L566" i="4"/>
  <c r="K566" i="4"/>
  <c r="J566" i="4"/>
  <c r="I566" i="4"/>
  <c r="H566" i="4"/>
  <c r="Q565" i="4"/>
  <c r="P565" i="4"/>
  <c r="O565" i="4"/>
  <c r="N565" i="4"/>
  <c r="M565" i="4"/>
  <c r="L565" i="4"/>
  <c r="K565" i="4"/>
  <c r="J565" i="4"/>
  <c r="I565" i="4"/>
  <c r="H565" i="4"/>
  <c r="Q564" i="4"/>
  <c r="P564" i="4"/>
  <c r="O564" i="4"/>
  <c r="N564" i="4"/>
  <c r="M564" i="4"/>
  <c r="L564" i="4"/>
  <c r="K564" i="4"/>
  <c r="J564" i="4"/>
  <c r="I564" i="4"/>
  <c r="H564" i="4"/>
  <c r="Q563" i="4"/>
  <c r="P563" i="4"/>
  <c r="O563" i="4"/>
  <c r="N563" i="4"/>
  <c r="M563" i="4"/>
  <c r="L563" i="4"/>
  <c r="K563" i="4"/>
  <c r="J563" i="4"/>
  <c r="I563" i="4"/>
  <c r="H563" i="4"/>
  <c r="Q562" i="4"/>
  <c r="P562" i="4"/>
  <c r="O562" i="4"/>
  <c r="N562" i="4"/>
  <c r="M562" i="4"/>
  <c r="L562" i="4"/>
  <c r="K562" i="4"/>
  <c r="J562" i="4"/>
  <c r="I562" i="4"/>
  <c r="H562" i="4"/>
  <c r="Q561" i="4"/>
  <c r="P561" i="4"/>
  <c r="O561" i="4"/>
  <c r="N561" i="4"/>
  <c r="M561" i="4"/>
  <c r="L561" i="4"/>
  <c r="K561" i="4"/>
  <c r="J561" i="4"/>
  <c r="I561" i="4"/>
  <c r="H561" i="4"/>
  <c r="Q560" i="4"/>
  <c r="P560" i="4"/>
  <c r="O560" i="4"/>
  <c r="N560" i="4"/>
  <c r="M560" i="4"/>
  <c r="L560" i="4"/>
  <c r="K560" i="4"/>
  <c r="J560" i="4"/>
  <c r="I560" i="4"/>
  <c r="H560" i="4"/>
  <c r="Q559" i="4"/>
  <c r="P559" i="4"/>
  <c r="O559" i="4"/>
  <c r="N559" i="4"/>
  <c r="M559" i="4"/>
  <c r="L559" i="4"/>
  <c r="K559" i="4"/>
  <c r="J559" i="4"/>
  <c r="I559" i="4"/>
  <c r="H559" i="4"/>
  <c r="Q558" i="4"/>
  <c r="P558" i="4"/>
  <c r="O558" i="4"/>
  <c r="N558" i="4"/>
  <c r="M558" i="4"/>
  <c r="L558" i="4"/>
  <c r="K558" i="4"/>
  <c r="J558" i="4"/>
  <c r="I558" i="4"/>
  <c r="H558" i="4"/>
  <c r="Q557" i="4"/>
  <c r="P557" i="4"/>
  <c r="O557" i="4"/>
  <c r="N557" i="4"/>
  <c r="M557" i="4"/>
  <c r="L557" i="4"/>
  <c r="K557" i="4"/>
  <c r="J557" i="4"/>
  <c r="I557" i="4"/>
  <c r="H557" i="4"/>
  <c r="Q556" i="4"/>
  <c r="P556" i="4"/>
  <c r="O556" i="4"/>
  <c r="N556" i="4"/>
  <c r="M556" i="4"/>
  <c r="L556" i="4"/>
  <c r="K556" i="4"/>
  <c r="J556" i="4"/>
  <c r="I556" i="4"/>
  <c r="H556" i="4"/>
  <c r="Q555" i="4"/>
  <c r="P555" i="4"/>
  <c r="O555" i="4"/>
  <c r="N555" i="4"/>
  <c r="M555" i="4"/>
  <c r="L555" i="4"/>
  <c r="K555" i="4"/>
  <c r="J555" i="4"/>
  <c r="I555" i="4"/>
  <c r="H555" i="4"/>
  <c r="Q554" i="4"/>
  <c r="P554" i="4"/>
  <c r="O554" i="4"/>
  <c r="N554" i="4"/>
  <c r="M554" i="4"/>
  <c r="L554" i="4"/>
  <c r="K554" i="4"/>
  <c r="J554" i="4"/>
  <c r="I554" i="4"/>
  <c r="H554" i="4"/>
  <c r="Q553" i="4"/>
  <c r="P553" i="4"/>
  <c r="O553" i="4"/>
  <c r="N553" i="4"/>
  <c r="M553" i="4"/>
  <c r="L553" i="4"/>
  <c r="K553" i="4"/>
  <c r="J553" i="4"/>
  <c r="I553" i="4"/>
  <c r="H553" i="4"/>
  <c r="Q552" i="4"/>
  <c r="P552" i="4"/>
  <c r="O552" i="4"/>
  <c r="N552" i="4"/>
  <c r="M552" i="4"/>
  <c r="L552" i="4"/>
  <c r="K552" i="4"/>
  <c r="J552" i="4"/>
  <c r="I552" i="4"/>
  <c r="H552" i="4"/>
  <c r="Q551" i="4"/>
  <c r="P551" i="4"/>
  <c r="O551" i="4"/>
  <c r="N551" i="4"/>
  <c r="M551" i="4"/>
  <c r="L551" i="4"/>
  <c r="K551" i="4"/>
  <c r="J551" i="4"/>
  <c r="I551" i="4"/>
  <c r="H551" i="4"/>
  <c r="Q550" i="4"/>
  <c r="P550" i="4"/>
  <c r="O550" i="4"/>
  <c r="N550" i="4"/>
  <c r="M550" i="4"/>
  <c r="L550" i="4"/>
  <c r="K550" i="4"/>
  <c r="J550" i="4"/>
  <c r="I550" i="4"/>
  <c r="H550" i="4"/>
  <c r="Q549" i="4"/>
  <c r="P549" i="4"/>
  <c r="O549" i="4"/>
  <c r="N549" i="4"/>
  <c r="M549" i="4"/>
  <c r="L549" i="4"/>
  <c r="K549" i="4"/>
  <c r="J549" i="4"/>
  <c r="I549" i="4"/>
  <c r="H549" i="4"/>
  <c r="Q548" i="4"/>
  <c r="P548" i="4"/>
  <c r="O548" i="4"/>
  <c r="N548" i="4"/>
  <c r="M548" i="4"/>
  <c r="L548" i="4"/>
  <c r="K548" i="4"/>
  <c r="J548" i="4"/>
  <c r="I548" i="4"/>
  <c r="H548" i="4"/>
  <c r="Q547" i="4"/>
  <c r="P547" i="4"/>
  <c r="O547" i="4"/>
  <c r="N547" i="4"/>
  <c r="M547" i="4"/>
  <c r="L547" i="4"/>
  <c r="K547" i="4"/>
  <c r="J547" i="4"/>
  <c r="I547" i="4"/>
  <c r="H547" i="4"/>
  <c r="Q546" i="4"/>
  <c r="P546" i="4"/>
  <c r="O546" i="4"/>
  <c r="N546" i="4"/>
  <c r="M546" i="4"/>
  <c r="L546" i="4"/>
  <c r="K546" i="4"/>
  <c r="J546" i="4"/>
  <c r="I546" i="4"/>
  <c r="H546" i="4"/>
  <c r="Q545" i="4"/>
  <c r="P545" i="4"/>
  <c r="O545" i="4"/>
  <c r="N545" i="4"/>
  <c r="M545" i="4"/>
  <c r="L545" i="4"/>
  <c r="K545" i="4"/>
  <c r="J545" i="4"/>
  <c r="I545" i="4"/>
  <c r="H545" i="4"/>
  <c r="Q544" i="4"/>
  <c r="P544" i="4"/>
  <c r="O544" i="4"/>
  <c r="N544" i="4"/>
  <c r="M544" i="4"/>
  <c r="L544" i="4"/>
  <c r="K544" i="4"/>
  <c r="J544" i="4"/>
  <c r="I544" i="4"/>
  <c r="H544" i="4"/>
  <c r="Q543" i="4"/>
  <c r="P543" i="4"/>
  <c r="O543" i="4"/>
  <c r="N543" i="4"/>
  <c r="M543" i="4"/>
  <c r="L543" i="4"/>
  <c r="K543" i="4"/>
  <c r="J543" i="4"/>
  <c r="I543" i="4"/>
  <c r="H543" i="4"/>
  <c r="Q542" i="4"/>
  <c r="P542" i="4"/>
  <c r="O542" i="4"/>
  <c r="N542" i="4"/>
  <c r="M542" i="4"/>
  <c r="L542" i="4"/>
  <c r="K542" i="4"/>
  <c r="J542" i="4"/>
  <c r="I542" i="4"/>
  <c r="H542" i="4"/>
  <c r="Q541" i="4"/>
  <c r="P541" i="4"/>
  <c r="O541" i="4"/>
  <c r="N541" i="4"/>
  <c r="M541" i="4"/>
  <c r="L541" i="4"/>
  <c r="K541" i="4"/>
  <c r="J541" i="4"/>
  <c r="I541" i="4"/>
  <c r="H541" i="4"/>
  <c r="Q540" i="4"/>
  <c r="P540" i="4"/>
  <c r="O540" i="4"/>
  <c r="N540" i="4"/>
  <c r="M540" i="4"/>
  <c r="L540" i="4"/>
  <c r="K540" i="4"/>
  <c r="J540" i="4"/>
  <c r="I540" i="4"/>
  <c r="H540" i="4"/>
  <c r="Q539" i="4"/>
  <c r="P539" i="4"/>
  <c r="O539" i="4"/>
  <c r="N539" i="4"/>
  <c r="M539" i="4"/>
  <c r="L539" i="4"/>
  <c r="K539" i="4"/>
  <c r="J539" i="4"/>
  <c r="I539" i="4"/>
  <c r="H539" i="4"/>
  <c r="Q538" i="4"/>
  <c r="P538" i="4"/>
  <c r="O538" i="4"/>
  <c r="N538" i="4"/>
  <c r="M538" i="4"/>
  <c r="L538" i="4"/>
  <c r="K538" i="4"/>
  <c r="J538" i="4"/>
  <c r="I538" i="4"/>
  <c r="H538" i="4"/>
  <c r="Q537" i="4"/>
  <c r="P537" i="4"/>
  <c r="O537" i="4"/>
  <c r="N537" i="4"/>
  <c r="M537" i="4"/>
  <c r="L537" i="4"/>
  <c r="K537" i="4"/>
  <c r="J537" i="4"/>
  <c r="I537" i="4"/>
  <c r="H537" i="4"/>
  <c r="Q536" i="4"/>
  <c r="P536" i="4"/>
  <c r="O536" i="4"/>
  <c r="N536" i="4"/>
  <c r="M536" i="4"/>
  <c r="L536" i="4"/>
  <c r="K536" i="4"/>
  <c r="J536" i="4"/>
  <c r="I536" i="4"/>
  <c r="H536" i="4"/>
  <c r="Q535" i="4"/>
  <c r="P535" i="4"/>
  <c r="O535" i="4"/>
  <c r="N535" i="4"/>
  <c r="M535" i="4"/>
  <c r="L535" i="4"/>
  <c r="K535" i="4"/>
  <c r="J535" i="4"/>
  <c r="I535" i="4"/>
  <c r="H535" i="4"/>
  <c r="Q534" i="4"/>
  <c r="P534" i="4"/>
  <c r="O534" i="4"/>
  <c r="N534" i="4"/>
  <c r="M534" i="4"/>
  <c r="L534" i="4"/>
  <c r="K534" i="4"/>
  <c r="J534" i="4"/>
  <c r="I534" i="4"/>
  <c r="H534" i="4"/>
  <c r="Q533" i="4"/>
  <c r="P533" i="4"/>
  <c r="O533" i="4"/>
  <c r="N533" i="4"/>
  <c r="M533" i="4"/>
  <c r="L533" i="4"/>
  <c r="K533" i="4"/>
  <c r="J533" i="4"/>
  <c r="I533" i="4"/>
  <c r="H533" i="4"/>
  <c r="Q532" i="4"/>
  <c r="P532" i="4"/>
  <c r="O532" i="4"/>
  <c r="N532" i="4"/>
  <c r="M532" i="4"/>
  <c r="L532" i="4"/>
  <c r="K532" i="4"/>
  <c r="J532" i="4"/>
  <c r="I532" i="4"/>
  <c r="H532" i="4"/>
  <c r="Q531" i="4"/>
  <c r="P531" i="4"/>
  <c r="O531" i="4"/>
  <c r="N531" i="4"/>
  <c r="M531" i="4"/>
  <c r="L531" i="4"/>
  <c r="K531" i="4"/>
  <c r="J531" i="4"/>
  <c r="I531" i="4"/>
  <c r="H531" i="4"/>
  <c r="Q530" i="4"/>
  <c r="P530" i="4"/>
  <c r="O530" i="4"/>
  <c r="N530" i="4"/>
  <c r="M530" i="4"/>
  <c r="L530" i="4"/>
  <c r="K530" i="4"/>
  <c r="J530" i="4"/>
  <c r="I530" i="4"/>
  <c r="H530" i="4"/>
  <c r="Q529" i="4"/>
  <c r="P529" i="4"/>
  <c r="O529" i="4"/>
  <c r="N529" i="4"/>
  <c r="M529" i="4"/>
  <c r="L529" i="4"/>
  <c r="K529" i="4"/>
  <c r="J529" i="4"/>
  <c r="I529" i="4"/>
  <c r="H529" i="4"/>
  <c r="Q528" i="4"/>
  <c r="P528" i="4"/>
  <c r="O528" i="4"/>
  <c r="N528" i="4"/>
  <c r="M528" i="4"/>
  <c r="L528" i="4"/>
  <c r="K528" i="4"/>
  <c r="J528" i="4"/>
  <c r="I528" i="4"/>
  <c r="H528" i="4"/>
  <c r="Q527" i="4"/>
  <c r="P527" i="4"/>
  <c r="O527" i="4"/>
  <c r="N527" i="4"/>
  <c r="M527" i="4"/>
  <c r="L527" i="4"/>
  <c r="K527" i="4"/>
  <c r="J527" i="4"/>
  <c r="I527" i="4"/>
  <c r="H527" i="4"/>
  <c r="Q526" i="4"/>
  <c r="P526" i="4"/>
  <c r="O526" i="4"/>
  <c r="N526" i="4"/>
  <c r="M526" i="4"/>
  <c r="L526" i="4"/>
  <c r="K526" i="4"/>
  <c r="J526" i="4"/>
  <c r="I526" i="4"/>
  <c r="H526" i="4"/>
  <c r="Q525" i="4"/>
  <c r="P525" i="4"/>
  <c r="O525" i="4"/>
  <c r="N525" i="4"/>
  <c r="M525" i="4"/>
  <c r="L525" i="4"/>
  <c r="K525" i="4"/>
  <c r="J525" i="4"/>
  <c r="I525" i="4"/>
  <c r="H525" i="4"/>
  <c r="Q524" i="4"/>
  <c r="P524" i="4"/>
  <c r="O524" i="4"/>
  <c r="N524" i="4"/>
  <c r="M524" i="4"/>
  <c r="L524" i="4"/>
  <c r="K524" i="4"/>
  <c r="J524" i="4"/>
  <c r="I524" i="4"/>
  <c r="H524" i="4"/>
  <c r="Q523" i="4"/>
  <c r="P523" i="4"/>
  <c r="O523" i="4"/>
  <c r="N523" i="4"/>
  <c r="M523" i="4"/>
  <c r="L523" i="4"/>
  <c r="K523" i="4"/>
  <c r="J523" i="4"/>
  <c r="I523" i="4"/>
  <c r="H523" i="4"/>
  <c r="Q522" i="4"/>
  <c r="P522" i="4"/>
  <c r="O522" i="4"/>
  <c r="N522" i="4"/>
  <c r="M522" i="4"/>
  <c r="L522" i="4"/>
  <c r="K522" i="4"/>
  <c r="J522" i="4"/>
  <c r="I522" i="4"/>
  <c r="H522" i="4"/>
  <c r="Q521" i="4"/>
  <c r="P521" i="4"/>
  <c r="O521" i="4"/>
  <c r="N521" i="4"/>
  <c r="M521" i="4"/>
  <c r="L521" i="4"/>
  <c r="K521" i="4"/>
  <c r="J521" i="4"/>
  <c r="I521" i="4"/>
  <c r="H521" i="4"/>
  <c r="Q520" i="4"/>
  <c r="P520" i="4"/>
  <c r="O520" i="4"/>
  <c r="N520" i="4"/>
  <c r="M520" i="4"/>
  <c r="L520" i="4"/>
  <c r="K520" i="4"/>
  <c r="J520" i="4"/>
  <c r="I520" i="4"/>
  <c r="H520" i="4"/>
  <c r="Q519" i="4"/>
  <c r="P519" i="4"/>
  <c r="O519" i="4"/>
  <c r="N519" i="4"/>
  <c r="M519" i="4"/>
  <c r="L519" i="4"/>
  <c r="K519" i="4"/>
  <c r="J519" i="4"/>
  <c r="I519" i="4"/>
  <c r="H519" i="4"/>
  <c r="Q518" i="4"/>
  <c r="P518" i="4"/>
  <c r="O518" i="4"/>
  <c r="N518" i="4"/>
  <c r="M518" i="4"/>
  <c r="L518" i="4"/>
  <c r="K518" i="4"/>
  <c r="J518" i="4"/>
  <c r="I518" i="4"/>
  <c r="H518" i="4"/>
  <c r="Q517" i="4"/>
  <c r="P517" i="4"/>
  <c r="O517" i="4"/>
  <c r="N517" i="4"/>
  <c r="M517" i="4"/>
  <c r="L517" i="4"/>
  <c r="K517" i="4"/>
  <c r="J517" i="4"/>
  <c r="I517" i="4"/>
  <c r="H517" i="4"/>
  <c r="Q516" i="4"/>
  <c r="P516" i="4"/>
  <c r="O516" i="4"/>
  <c r="N516" i="4"/>
  <c r="M516" i="4"/>
  <c r="L516" i="4"/>
  <c r="K516" i="4"/>
  <c r="J516" i="4"/>
  <c r="I516" i="4"/>
  <c r="H516" i="4"/>
  <c r="Q515" i="4"/>
  <c r="P515" i="4"/>
  <c r="O515" i="4"/>
  <c r="N515" i="4"/>
  <c r="M515" i="4"/>
  <c r="L515" i="4"/>
  <c r="K515" i="4"/>
  <c r="J515" i="4"/>
  <c r="I515" i="4"/>
  <c r="H515" i="4"/>
  <c r="Q514" i="4"/>
  <c r="P514" i="4"/>
  <c r="O514" i="4"/>
  <c r="N514" i="4"/>
  <c r="M514" i="4"/>
  <c r="L514" i="4"/>
  <c r="K514" i="4"/>
  <c r="J514" i="4"/>
  <c r="I514" i="4"/>
  <c r="H514" i="4"/>
  <c r="Q513" i="4"/>
  <c r="P513" i="4"/>
  <c r="O513" i="4"/>
  <c r="N513" i="4"/>
  <c r="M513" i="4"/>
  <c r="L513" i="4"/>
  <c r="K513" i="4"/>
  <c r="J513" i="4"/>
  <c r="I513" i="4"/>
  <c r="H513" i="4"/>
  <c r="Q512" i="4"/>
  <c r="P512" i="4"/>
  <c r="O512" i="4"/>
  <c r="N512" i="4"/>
  <c r="M512" i="4"/>
  <c r="L512" i="4"/>
  <c r="K512" i="4"/>
  <c r="J512" i="4"/>
  <c r="I512" i="4"/>
  <c r="H512" i="4"/>
  <c r="Q511" i="4"/>
  <c r="P511" i="4"/>
  <c r="O511" i="4"/>
  <c r="N511" i="4"/>
  <c r="M511" i="4"/>
  <c r="L511" i="4"/>
  <c r="K511" i="4"/>
  <c r="J511" i="4"/>
  <c r="I511" i="4"/>
  <c r="H511" i="4"/>
  <c r="Q510" i="4"/>
  <c r="P510" i="4"/>
  <c r="O510" i="4"/>
  <c r="N510" i="4"/>
  <c r="M510" i="4"/>
  <c r="L510" i="4"/>
  <c r="K510" i="4"/>
  <c r="J510" i="4"/>
  <c r="I510" i="4"/>
  <c r="H510" i="4"/>
  <c r="Q509" i="4"/>
  <c r="P509" i="4"/>
  <c r="O509" i="4"/>
  <c r="N509" i="4"/>
  <c r="M509" i="4"/>
  <c r="L509" i="4"/>
  <c r="K509" i="4"/>
  <c r="J509" i="4"/>
  <c r="I509" i="4"/>
  <c r="H509" i="4"/>
  <c r="Q508" i="4"/>
  <c r="P508" i="4"/>
  <c r="O508" i="4"/>
  <c r="N508" i="4"/>
  <c r="M508" i="4"/>
  <c r="L508" i="4"/>
  <c r="K508" i="4"/>
  <c r="J508" i="4"/>
  <c r="I508" i="4"/>
  <c r="H508" i="4"/>
  <c r="Q507" i="4"/>
  <c r="P507" i="4"/>
  <c r="O507" i="4"/>
  <c r="N507" i="4"/>
  <c r="M507" i="4"/>
  <c r="L507" i="4"/>
  <c r="K507" i="4"/>
  <c r="J507" i="4"/>
  <c r="I507" i="4"/>
  <c r="H507" i="4"/>
  <c r="Q506" i="4"/>
  <c r="P506" i="4"/>
  <c r="O506" i="4"/>
  <c r="N506" i="4"/>
  <c r="M506" i="4"/>
  <c r="L506" i="4"/>
  <c r="K506" i="4"/>
  <c r="J506" i="4"/>
  <c r="I506" i="4"/>
  <c r="H506" i="4"/>
  <c r="Q505" i="4"/>
  <c r="P505" i="4"/>
  <c r="O505" i="4"/>
  <c r="N505" i="4"/>
  <c r="M505" i="4"/>
  <c r="L505" i="4"/>
  <c r="K505" i="4"/>
  <c r="J505" i="4"/>
  <c r="I505" i="4"/>
  <c r="H505" i="4"/>
  <c r="Q504" i="4"/>
  <c r="P504" i="4"/>
  <c r="O504" i="4"/>
  <c r="N504" i="4"/>
  <c r="M504" i="4"/>
  <c r="L504" i="4"/>
  <c r="K504" i="4"/>
  <c r="J504" i="4"/>
  <c r="I504" i="4"/>
  <c r="H504" i="4"/>
  <c r="Q503" i="4"/>
  <c r="P503" i="4"/>
  <c r="O503" i="4"/>
  <c r="N503" i="4"/>
  <c r="M503" i="4"/>
  <c r="L503" i="4"/>
  <c r="K503" i="4"/>
  <c r="J503" i="4"/>
  <c r="I503" i="4"/>
  <c r="H503" i="4"/>
  <c r="Q502" i="4"/>
  <c r="P502" i="4"/>
  <c r="O502" i="4"/>
  <c r="N502" i="4"/>
  <c r="M502" i="4"/>
  <c r="L502" i="4"/>
  <c r="K502" i="4"/>
  <c r="J502" i="4"/>
  <c r="I502" i="4"/>
  <c r="H502" i="4"/>
  <c r="Q501" i="4"/>
  <c r="P501" i="4"/>
  <c r="O501" i="4"/>
  <c r="N501" i="4"/>
  <c r="M501" i="4"/>
  <c r="L501" i="4"/>
  <c r="K501" i="4"/>
  <c r="J501" i="4"/>
  <c r="I501" i="4"/>
  <c r="H501" i="4"/>
  <c r="Q500" i="4"/>
  <c r="P500" i="4"/>
  <c r="O500" i="4"/>
  <c r="N500" i="4"/>
  <c r="M500" i="4"/>
  <c r="L500" i="4"/>
  <c r="K500" i="4"/>
  <c r="J500" i="4"/>
  <c r="I500" i="4"/>
  <c r="H500" i="4"/>
  <c r="Q499" i="4"/>
  <c r="P499" i="4"/>
  <c r="O499" i="4"/>
  <c r="N499" i="4"/>
  <c r="M499" i="4"/>
  <c r="L499" i="4"/>
  <c r="K499" i="4"/>
  <c r="J499" i="4"/>
  <c r="I499" i="4"/>
  <c r="H499" i="4"/>
  <c r="Q498" i="4"/>
  <c r="P498" i="4"/>
  <c r="O498" i="4"/>
  <c r="N498" i="4"/>
  <c r="M498" i="4"/>
  <c r="L498" i="4"/>
  <c r="K498" i="4"/>
  <c r="J498" i="4"/>
  <c r="I498" i="4"/>
  <c r="H498" i="4"/>
  <c r="Q497" i="4"/>
  <c r="P497" i="4"/>
  <c r="O497" i="4"/>
  <c r="N497" i="4"/>
  <c r="M497" i="4"/>
  <c r="L497" i="4"/>
  <c r="K497" i="4"/>
  <c r="J497" i="4"/>
  <c r="I497" i="4"/>
  <c r="H497" i="4"/>
  <c r="Q496" i="4"/>
  <c r="P496" i="4"/>
  <c r="O496" i="4"/>
  <c r="N496" i="4"/>
  <c r="M496" i="4"/>
  <c r="L496" i="4"/>
  <c r="K496" i="4"/>
  <c r="J496" i="4"/>
  <c r="I496" i="4"/>
  <c r="H496" i="4"/>
  <c r="Q495" i="4"/>
  <c r="P495" i="4"/>
  <c r="O495" i="4"/>
  <c r="N495" i="4"/>
  <c r="M495" i="4"/>
  <c r="L495" i="4"/>
  <c r="K495" i="4"/>
  <c r="J495" i="4"/>
  <c r="I495" i="4"/>
  <c r="H495" i="4"/>
  <c r="Q494" i="4"/>
  <c r="P494" i="4"/>
  <c r="O494" i="4"/>
  <c r="N494" i="4"/>
  <c r="M494" i="4"/>
  <c r="L494" i="4"/>
  <c r="K494" i="4"/>
  <c r="J494" i="4"/>
  <c r="I494" i="4"/>
  <c r="H494" i="4"/>
  <c r="Q493" i="4"/>
  <c r="P493" i="4"/>
  <c r="O493" i="4"/>
  <c r="N493" i="4"/>
  <c r="M493" i="4"/>
  <c r="L493" i="4"/>
  <c r="K493" i="4"/>
  <c r="J493" i="4"/>
  <c r="I493" i="4"/>
  <c r="H493" i="4"/>
  <c r="Q492" i="4"/>
  <c r="P492" i="4"/>
  <c r="O492" i="4"/>
  <c r="N492" i="4"/>
  <c r="M492" i="4"/>
  <c r="L492" i="4"/>
  <c r="K492" i="4"/>
  <c r="J492" i="4"/>
  <c r="I492" i="4"/>
  <c r="H492" i="4"/>
  <c r="Q491" i="4"/>
  <c r="P491" i="4"/>
  <c r="O491" i="4"/>
  <c r="N491" i="4"/>
  <c r="M491" i="4"/>
  <c r="L491" i="4"/>
  <c r="K491" i="4"/>
  <c r="J491" i="4"/>
  <c r="I491" i="4"/>
  <c r="H491" i="4"/>
  <c r="Q490" i="4"/>
  <c r="P490" i="4"/>
  <c r="O490" i="4"/>
  <c r="N490" i="4"/>
  <c r="M490" i="4"/>
  <c r="L490" i="4"/>
  <c r="K490" i="4"/>
  <c r="J490" i="4"/>
  <c r="I490" i="4"/>
  <c r="H490" i="4"/>
  <c r="Q489" i="4"/>
  <c r="P489" i="4"/>
  <c r="O489" i="4"/>
  <c r="N489" i="4"/>
  <c r="M489" i="4"/>
  <c r="L489" i="4"/>
  <c r="K489" i="4"/>
  <c r="J489" i="4"/>
  <c r="I489" i="4"/>
  <c r="H489" i="4"/>
  <c r="Q488" i="4"/>
  <c r="P488" i="4"/>
  <c r="O488" i="4"/>
  <c r="N488" i="4"/>
  <c r="M488" i="4"/>
  <c r="L488" i="4"/>
  <c r="K488" i="4"/>
  <c r="J488" i="4"/>
  <c r="I488" i="4"/>
  <c r="H488" i="4"/>
  <c r="Q487" i="4"/>
  <c r="P487" i="4"/>
  <c r="O487" i="4"/>
  <c r="N487" i="4"/>
  <c r="M487" i="4"/>
  <c r="L487" i="4"/>
  <c r="K487" i="4"/>
  <c r="J487" i="4"/>
  <c r="I487" i="4"/>
  <c r="H487" i="4"/>
  <c r="Q486" i="4"/>
  <c r="P486" i="4"/>
  <c r="O486" i="4"/>
  <c r="N486" i="4"/>
  <c r="M486" i="4"/>
  <c r="L486" i="4"/>
  <c r="K486" i="4"/>
  <c r="J486" i="4"/>
  <c r="I486" i="4"/>
  <c r="H486" i="4"/>
  <c r="Q485" i="4"/>
  <c r="P485" i="4"/>
  <c r="O485" i="4"/>
  <c r="N485" i="4"/>
  <c r="M485" i="4"/>
  <c r="L485" i="4"/>
  <c r="K485" i="4"/>
  <c r="J485" i="4"/>
  <c r="I485" i="4"/>
  <c r="H485" i="4"/>
  <c r="Q484" i="4"/>
  <c r="P484" i="4"/>
  <c r="O484" i="4"/>
  <c r="N484" i="4"/>
  <c r="M484" i="4"/>
  <c r="L484" i="4"/>
  <c r="K484" i="4"/>
  <c r="J484" i="4"/>
  <c r="I484" i="4"/>
  <c r="H484" i="4"/>
  <c r="Q483" i="4"/>
  <c r="P483" i="4"/>
  <c r="O483" i="4"/>
  <c r="N483" i="4"/>
  <c r="M483" i="4"/>
  <c r="L483" i="4"/>
  <c r="K483" i="4"/>
  <c r="J483" i="4"/>
  <c r="I483" i="4"/>
  <c r="H483" i="4"/>
  <c r="Q482" i="4"/>
  <c r="P482" i="4"/>
  <c r="O482" i="4"/>
  <c r="N482" i="4"/>
  <c r="M482" i="4"/>
  <c r="L482" i="4"/>
  <c r="K482" i="4"/>
  <c r="J482" i="4"/>
  <c r="I482" i="4"/>
  <c r="H482" i="4"/>
  <c r="Q481" i="4"/>
  <c r="P481" i="4"/>
  <c r="O481" i="4"/>
  <c r="N481" i="4"/>
  <c r="M481" i="4"/>
  <c r="L481" i="4"/>
  <c r="K481" i="4"/>
  <c r="J481" i="4"/>
  <c r="I481" i="4"/>
  <c r="H481" i="4"/>
  <c r="Q480" i="4"/>
  <c r="P480" i="4"/>
  <c r="O480" i="4"/>
  <c r="N480" i="4"/>
  <c r="M480" i="4"/>
  <c r="L480" i="4"/>
  <c r="K480" i="4"/>
  <c r="J480" i="4"/>
  <c r="I480" i="4"/>
  <c r="H480" i="4"/>
  <c r="Q479" i="4"/>
  <c r="P479" i="4"/>
  <c r="O479" i="4"/>
  <c r="N479" i="4"/>
  <c r="M479" i="4"/>
  <c r="L479" i="4"/>
  <c r="K479" i="4"/>
  <c r="J479" i="4"/>
  <c r="I479" i="4"/>
  <c r="H479" i="4"/>
  <c r="Q478" i="4"/>
  <c r="P478" i="4"/>
  <c r="O478" i="4"/>
  <c r="N478" i="4"/>
  <c r="M478" i="4"/>
  <c r="L478" i="4"/>
  <c r="K478" i="4"/>
  <c r="J478" i="4"/>
  <c r="I478" i="4"/>
  <c r="H478" i="4"/>
  <c r="Q477" i="4"/>
  <c r="P477" i="4"/>
  <c r="O477" i="4"/>
  <c r="N477" i="4"/>
  <c r="M477" i="4"/>
  <c r="L477" i="4"/>
  <c r="K477" i="4"/>
  <c r="J477" i="4"/>
  <c r="I477" i="4"/>
  <c r="H477" i="4"/>
  <c r="Q476" i="4"/>
  <c r="P476" i="4"/>
  <c r="O476" i="4"/>
  <c r="N476" i="4"/>
  <c r="M476" i="4"/>
  <c r="L476" i="4"/>
  <c r="K476" i="4"/>
  <c r="J476" i="4"/>
  <c r="I476" i="4"/>
  <c r="H476" i="4"/>
  <c r="Q475" i="4"/>
  <c r="P475" i="4"/>
  <c r="O475" i="4"/>
  <c r="N475" i="4"/>
  <c r="M475" i="4"/>
  <c r="L475" i="4"/>
  <c r="K475" i="4"/>
  <c r="J475" i="4"/>
  <c r="I475" i="4"/>
  <c r="H475" i="4"/>
  <c r="Q474" i="4"/>
  <c r="P474" i="4"/>
  <c r="O474" i="4"/>
  <c r="N474" i="4"/>
  <c r="M474" i="4"/>
  <c r="L474" i="4"/>
  <c r="K474" i="4"/>
  <c r="J474" i="4"/>
  <c r="I474" i="4"/>
  <c r="H474" i="4"/>
  <c r="Q473" i="4"/>
  <c r="P473" i="4"/>
  <c r="O473" i="4"/>
  <c r="N473" i="4"/>
  <c r="M473" i="4"/>
  <c r="L473" i="4"/>
  <c r="K473" i="4"/>
  <c r="J473" i="4"/>
  <c r="I473" i="4"/>
  <c r="H473" i="4"/>
  <c r="Q472" i="4"/>
  <c r="P472" i="4"/>
  <c r="O472" i="4"/>
  <c r="N472" i="4"/>
  <c r="M472" i="4"/>
  <c r="L472" i="4"/>
  <c r="K472" i="4"/>
  <c r="J472" i="4"/>
  <c r="I472" i="4"/>
  <c r="H472" i="4"/>
  <c r="Q471" i="4"/>
  <c r="P471" i="4"/>
  <c r="O471" i="4"/>
  <c r="N471" i="4"/>
  <c r="M471" i="4"/>
  <c r="L471" i="4"/>
  <c r="K471" i="4"/>
  <c r="J471" i="4"/>
  <c r="I471" i="4"/>
  <c r="H471" i="4"/>
  <c r="Q470" i="4"/>
  <c r="P470" i="4"/>
  <c r="O470" i="4"/>
  <c r="N470" i="4"/>
  <c r="M470" i="4"/>
  <c r="L470" i="4"/>
  <c r="K470" i="4"/>
  <c r="J470" i="4"/>
  <c r="I470" i="4"/>
  <c r="H470" i="4"/>
  <c r="Q469" i="4"/>
  <c r="P469" i="4"/>
  <c r="O469" i="4"/>
  <c r="N469" i="4"/>
  <c r="M469" i="4"/>
  <c r="L469" i="4"/>
  <c r="K469" i="4"/>
  <c r="J469" i="4"/>
  <c r="I469" i="4"/>
  <c r="H469" i="4"/>
  <c r="Q468" i="4"/>
  <c r="P468" i="4"/>
  <c r="O468" i="4"/>
  <c r="N468" i="4"/>
  <c r="M468" i="4"/>
  <c r="L468" i="4"/>
  <c r="K468" i="4"/>
  <c r="J468" i="4"/>
  <c r="I468" i="4"/>
  <c r="H468" i="4"/>
  <c r="Q467" i="4"/>
  <c r="P467" i="4"/>
  <c r="O467" i="4"/>
  <c r="N467" i="4"/>
  <c r="M467" i="4"/>
  <c r="L467" i="4"/>
  <c r="K467" i="4"/>
  <c r="J467" i="4"/>
  <c r="I467" i="4"/>
  <c r="H467" i="4"/>
  <c r="Q466" i="4"/>
  <c r="P466" i="4"/>
  <c r="O466" i="4"/>
  <c r="N466" i="4"/>
  <c r="M466" i="4"/>
  <c r="L466" i="4"/>
  <c r="K466" i="4"/>
  <c r="J466" i="4"/>
  <c r="I466" i="4"/>
  <c r="H466" i="4"/>
  <c r="Q465" i="4"/>
  <c r="P465" i="4"/>
  <c r="O465" i="4"/>
  <c r="N465" i="4"/>
  <c r="M465" i="4"/>
  <c r="L465" i="4"/>
  <c r="K465" i="4"/>
  <c r="J465" i="4"/>
  <c r="I465" i="4"/>
  <c r="H465" i="4"/>
  <c r="Q464" i="4"/>
  <c r="P464" i="4"/>
  <c r="O464" i="4"/>
  <c r="N464" i="4"/>
  <c r="M464" i="4"/>
  <c r="L464" i="4"/>
  <c r="K464" i="4"/>
  <c r="J464" i="4"/>
  <c r="I464" i="4"/>
  <c r="H464" i="4"/>
  <c r="Q463" i="4"/>
  <c r="P463" i="4"/>
  <c r="O463" i="4"/>
  <c r="N463" i="4"/>
  <c r="M463" i="4"/>
  <c r="L463" i="4"/>
  <c r="K463" i="4"/>
  <c r="J463" i="4"/>
  <c r="I463" i="4"/>
  <c r="H463" i="4"/>
  <c r="Q462" i="4"/>
  <c r="P462" i="4"/>
  <c r="O462" i="4"/>
  <c r="N462" i="4"/>
  <c r="M462" i="4"/>
  <c r="L462" i="4"/>
  <c r="K462" i="4"/>
  <c r="J462" i="4"/>
  <c r="I462" i="4"/>
  <c r="H462" i="4"/>
  <c r="Q461" i="4"/>
  <c r="P461" i="4"/>
  <c r="O461" i="4"/>
  <c r="N461" i="4"/>
  <c r="M461" i="4"/>
  <c r="L461" i="4"/>
  <c r="K461" i="4"/>
  <c r="J461" i="4"/>
  <c r="I461" i="4"/>
  <c r="H461" i="4"/>
  <c r="Q460" i="4"/>
  <c r="P460" i="4"/>
  <c r="O460" i="4"/>
  <c r="N460" i="4"/>
  <c r="M460" i="4"/>
  <c r="L460" i="4"/>
  <c r="K460" i="4"/>
  <c r="J460" i="4"/>
  <c r="I460" i="4"/>
  <c r="H460" i="4"/>
  <c r="Q459" i="4"/>
  <c r="P459" i="4"/>
  <c r="O459" i="4"/>
  <c r="N459" i="4"/>
  <c r="M459" i="4"/>
  <c r="L459" i="4"/>
  <c r="K459" i="4"/>
  <c r="J459" i="4"/>
  <c r="I459" i="4"/>
  <c r="H459" i="4"/>
  <c r="Q458" i="4"/>
  <c r="P458" i="4"/>
  <c r="O458" i="4"/>
  <c r="N458" i="4"/>
  <c r="M458" i="4"/>
  <c r="L458" i="4"/>
  <c r="K458" i="4"/>
  <c r="J458" i="4"/>
  <c r="I458" i="4"/>
  <c r="H458" i="4"/>
  <c r="Q457" i="4"/>
  <c r="P457" i="4"/>
  <c r="O457" i="4"/>
  <c r="N457" i="4"/>
  <c r="M457" i="4"/>
  <c r="L457" i="4"/>
  <c r="K457" i="4"/>
  <c r="J457" i="4"/>
  <c r="I457" i="4"/>
  <c r="H457" i="4"/>
  <c r="Q456" i="4"/>
  <c r="P456" i="4"/>
  <c r="O456" i="4"/>
  <c r="N456" i="4"/>
  <c r="M456" i="4"/>
  <c r="L456" i="4"/>
  <c r="K456" i="4"/>
  <c r="J456" i="4"/>
  <c r="I456" i="4"/>
  <c r="H456" i="4"/>
  <c r="Q455" i="4"/>
  <c r="P455" i="4"/>
  <c r="O455" i="4"/>
  <c r="N455" i="4"/>
  <c r="M455" i="4"/>
  <c r="L455" i="4"/>
  <c r="K455" i="4"/>
  <c r="J455" i="4"/>
  <c r="I455" i="4"/>
  <c r="H455" i="4"/>
  <c r="Q454" i="4"/>
  <c r="P454" i="4"/>
  <c r="O454" i="4"/>
  <c r="N454" i="4"/>
  <c r="M454" i="4"/>
  <c r="L454" i="4"/>
  <c r="K454" i="4"/>
  <c r="J454" i="4"/>
  <c r="I454" i="4"/>
  <c r="H454" i="4"/>
  <c r="Q453" i="4"/>
  <c r="P453" i="4"/>
  <c r="O453" i="4"/>
  <c r="N453" i="4"/>
  <c r="M453" i="4"/>
  <c r="L453" i="4"/>
  <c r="K453" i="4"/>
  <c r="J453" i="4"/>
  <c r="I453" i="4"/>
  <c r="H453" i="4"/>
  <c r="Q452" i="4"/>
  <c r="P452" i="4"/>
  <c r="O452" i="4"/>
  <c r="N452" i="4"/>
  <c r="M452" i="4"/>
  <c r="L452" i="4"/>
  <c r="K452" i="4"/>
  <c r="J452" i="4"/>
  <c r="I452" i="4"/>
  <c r="H452" i="4"/>
  <c r="Q451" i="4"/>
  <c r="P451" i="4"/>
  <c r="O451" i="4"/>
  <c r="N451" i="4"/>
  <c r="M451" i="4"/>
  <c r="L451" i="4"/>
  <c r="K451" i="4"/>
  <c r="J451" i="4"/>
  <c r="I451" i="4"/>
  <c r="H451" i="4"/>
  <c r="Q450" i="4"/>
  <c r="P450" i="4"/>
  <c r="O450" i="4"/>
  <c r="N450" i="4"/>
  <c r="M450" i="4"/>
  <c r="L450" i="4"/>
  <c r="K450" i="4"/>
  <c r="J450" i="4"/>
  <c r="I450" i="4"/>
  <c r="H450" i="4"/>
  <c r="Q449" i="4"/>
  <c r="P449" i="4"/>
  <c r="O449" i="4"/>
  <c r="N449" i="4"/>
  <c r="M449" i="4"/>
  <c r="L449" i="4"/>
  <c r="K449" i="4"/>
  <c r="J449" i="4"/>
  <c r="I449" i="4"/>
  <c r="H449" i="4"/>
  <c r="Q448" i="4"/>
  <c r="P448" i="4"/>
  <c r="O448" i="4"/>
  <c r="N448" i="4"/>
  <c r="M448" i="4"/>
  <c r="L448" i="4"/>
  <c r="K448" i="4"/>
  <c r="J448" i="4"/>
  <c r="I448" i="4"/>
  <c r="H448" i="4"/>
  <c r="Q447" i="4"/>
  <c r="P447" i="4"/>
  <c r="O447" i="4"/>
  <c r="N447" i="4"/>
  <c r="M447" i="4"/>
  <c r="L447" i="4"/>
  <c r="K447" i="4"/>
  <c r="J447" i="4"/>
  <c r="I447" i="4"/>
  <c r="H447" i="4"/>
  <c r="Q446" i="4"/>
  <c r="P446" i="4"/>
  <c r="O446" i="4"/>
  <c r="N446" i="4"/>
  <c r="M446" i="4"/>
  <c r="L446" i="4"/>
  <c r="K446" i="4"/>
  <c r="J446" i="4"/>
  <c r="I446" i="4"/>
  <c r="H446" i="4"/>
  <c r="Q445" i="4"/>
  <c r="P445" i="4"/>
  <c r="O445" i="4"/>
  <c r="N445" i="4"/>
  <c r="M445" i="4"/>
  <c r="L445" i="4"/>
  <c r="K445" i="4"/>
  <c r="J445" i="4"/>
  <c r="I445" i="4"/>
  <c r="H445" i="4"/>
  <c r="Q444" i="4"/>
  <c r="P444" i="4"/>
  <c r="O444" i="4"/>
  <c r="N444" i="4"/>
  <c r="M444" i="4"/>
  <c r="L444" i="4"/>
  <c r="K444" i="4"/>
  <c r="J444" i="4"/>
  <c r="I444" i="4"/>
  <c r="H444" i="4"/>
  <c r="Q443" i="4"/>
  <c r="P443" i="4"/>
  <c r="O443" i="4"/>
  <c r="N443" i="4"/>
  <c r="M443" i="4"/>
  <c r="L443" i="4"/>
  <c r="K443" i="4"/>
  <c r="J443" i="4"/>
  <c r="I443" i="4"/>
  <c r="H443" i="4"/>
  <c r="Q442" i="4"/>
  <c r="P442" i="4"/>
  <c r="O442" i="4"/>
  <c r="N442" i="4"/>
  <c r="M442" i="4"/>
  <c r="L442" i="4"/>
  <c r="K442" i="4"/>
  <c r="J442" i="4"/>
  <c r="I442" i="4"/>
  <c r="H442" i="4"/>
  <c r="Q441" i="4"/>
  <c r="P441" i="4"/>
  <c r="O441" i="4"/>
  <c r="N441" i="4"/>
  <c r="M441" i="4"/>
  <c r="L441" i="4"/>
  <c r="K441" i="4"/>
  <c r="J441" i="4"/>
  <c r="I441" i="4"/>
  <c r="H441" i="4"/>
  <c r="Q440" i="4"/>
  <c r="P440" i="4"/>
  <c r="O440" i="4"/>
  <c r="N440" i="4"/>
  <c r="M440" i="4"/>
  <c r="L440" i="4"/>
  <c r="K440" i="4"/>
  <c r="J440" i="4"/>
  <c r="I440" i="4"/>
  <c r="H440" i="4"/>
  <c r="Q439" i="4"/>
  <c r="P439" i="4"/>
  <c r="O439" i="4"/>
  <c r="N439" i="4"/>
  <c r="M439" i="4"/>
  <c r="L439" i="4"/>
  <c r="K439" i="4"/>
  <c r="J439" i="4"/>
  <c r="I439" i="4"/>
  <c r="H439" i="4"/>
  <c r="Q438" i="4"/>
  <c r="P438" i="4"/>
  <c r="O438" i="4"/>
  <c r="N438" i="4"/>
  <c r="M438" i="4"/>
  <c r="L438" i="4"/>
  <c r="K438" i="4"/>
  <c r="J438" i="4"/>
  <c r="I438" i="4"/>
  <c r="H438" i="4"/>
  <c r="Q437" i="4"/>
  <c r="P437" i="4"/>
  <c r="O437" i="4"/>
  <c r="N437" i="4"/>
  <c r="M437" i="4"/>
  <c r="L437" i="4"/>
  <c r="K437" i="4"/>
  <c r="J437" i="4"/>
  <c r="I437" i="4"/>
  <c r="H437" i="4"/>
  <c r="Q436" i="4"/>
  <c r="P436" i="4"/>
  <c r="O436" i="4"/>
  <c r="N436" i="4"/>
  <c r="M436" i="4"/>
  <c r="L436" i="4"/>
  <c r="K436" i="4"/>
  <c r="J436" i="4"/>
  <c r="I436" i="4"/>
  <c r="H436" i="4"/>
  <c r="Q435" i="4"/>
  <c r="P435" i="4"/>
  <c r="O435" i="4"/>
  <c r="N435" i="4"/>
  <c r="M435" i="4"/>
  <c r="L435" i="4"/>
  <c r="K435" i="4"/>
  <c r="J435" i="4"/>
  <c r="I435" i="4"/>
  <c r="H435" i="4"/>
  <c r="Q434" i="4"/>
  <c r="P434" i="4"/>
  <c r="O434" i="4"/>
  <c r="N434" i="4"/>
  <c r="M434" i="4"/>
  <c r="L434" i="4"/>
  <c r="K434" i="4"/>
  <c r="J434" i="4"/>
  <c r="I434" i="4"/>
  <c r="H434" i="4"/>
  <c r="Q433" i="4"/>
  <c r="P433" i="4"/>
  <c r="O433" i="4"/>
  <c r="N433" i="4"/>
  <c r="M433" i="4"/>
  <c r="L433" i="4"/>
  <c r="K433" i="4"/>
  <c r="J433" i="4"/>
  <c r="I433" i="4"/>
  <c r="H433" i="4"/>
  <c r="Q432" i="4"/>
  <c r="P432" i="4"/>
  <c r="O432" i="4"/>
  <c r="N432" i="4"/>
  <c r="M432" i="4"/>
  <c r="L432" i="4"/>
  <c r="K432" i="4"/>
  <c r="J432" i="4"/>
  <c r="I432" i="4"/>
  <c r="H432" i="4"/>
  <c r="Q431" i="4"/>
  <c r="P431" i="4"/>
  <c r="O431" i="4"/>
  <c r="N431" i="4"/>
  <c r="M431" i="4"/>
  <c r="L431" i="4"/>
  <c r="K431" i="4"/>
  <c r="J431" i="4"/>
  <c r="I431" i="4"/>
  <c r="H431" i="4"/>
  <c r="Q430" i="4"/>
  <c r="P430" i="4"/>
  <c r="O430" i="4"/>
  <c r="N430" i="4"/>
  <c r="M430" i="4"/>
  <c r="L430" i="4"/>
  <c r="K430" i="4"/>
  <c r="J430" i="4"/>
  <c r="I430" i="4"/>
  <c r="H430" i="4"/>
  <c r="Q429" i="4"/>
  <c r="P429" i="4"/>
  <c r="O429" i="4"/>
  <c r="N429" i="4"/>
  <c r="M429" i="4"/>
  <c r="L429" i="4"/>
  <c r="K429" i="4"/>
  <c r="J429" i="4"/>
  <c r="I429" i="4"/>
  <c r="H429" i="4"/>
  <c r="Q428" i="4"/>
  <c r="P428" i="4"/>
  <c r="O428" i="4"/>
  <c r="N428" i="4"/>
  <c r="M428" i="4"/>
  <c r="L428" i="4"/>
  <c r="K428" i="4"/>
  <c r="J428" i="4"/>
  <c r="I428" i="4"/>
  <c r="H428" i="4"/>
  <c r="Q427" i="4"/>
  <c r="P427" i="4"/>
  <c r="O427" i="4"/>
  <c r="N427" i="4"/>
  <c r="M427" i="4"/>
  <c r="L427" i="4"/>
  <c r="K427" i="4"/>
  <c r="J427" i="4"/>
  <c r="I427" i="4"/>
  <c r="H427" i="4"/>
  <c r="Q426" i="4"/>
  <c r="P426" i="4"/>
  <c r="O426" i="4"/>
  <c r="N426" i="4"/>
  <c r="M426" i="4"/>
  <c r="L426" i="4"/>
  <c r="K426" i="4"/>
  <c r="J426" i="4"/>
  <c r="I426" i="4"/>
  <c r="H426" i="4"/>
  <c r="Q425" i="4"/>
  <c r="P425" i="4"/>
  <c r="O425" i="4"/>
  <c r="N425" i="4"/>
  <c r="M425" i="4"/>
  <c r="L425" i="4"/>
  <c r="K425" i="4"/>
  <c r="J425" i="4"/>
  <c r="I425" i="4"/>
  <c r="H425" i="4"/>
  <c r="Q424" i="4"/>
  <c r="P424" i="4"/>
  <c r="O424" i="4"/>
  <c r="N424" i="4"/>
  <c r="M424" i="4"/>
  <c r="L424" i="4"/>
  <c r="K424" i="4"/>
  <c r="J424" i="4"/>
  <c r="I424" i="4"/>
  <c r="H424" i="4"/>
  <c r="Q423" i="4"/>
  <c r="P423" i="4"/>
  <c r="O423" i="4"/>
  <c r="N423" i="4"/>
  <c r="M423" i="4"/>
  <c r="L423" i="4"/>
  <c r="K423" i="4"/>
  <c r="J423" i="4"/>
  <c r="I423" i="4"/>
  <c r="H423" i="4"/>
  <c r="Q422" i="4"/>
  <c r="P422" i="4"/>
  <c r="O422" i="4"/>
  <c r="N422" i="4"/>
  <c r="M422" i="4"/>
  <c r="L422" i="4"/>
  <c r="K422" i="4"/>
  <c r="J422" i="4"/>
  <c r="I422" i="4"/>
  <c r="H422" i="4"/>
  <c r="Q421" i="4"/>
  <c r="P421" i="4"/>
  <c r="O421" i="4"/>
  <c r="N421" i="4"/>
  <c r="M421" i="4"/>
  <c r="L421" i="4"/>
  <c r="K421" i="4"/>
  <c r="J421" i="4"/>
  <c r="I421" i="4"/>
  <c r="H421" i="4"/>
  <c r="Q420" i="4"/>
  <c r="P420" i="4"/>
  <c r="O420" i="4"/>
  <c r="N420" i="4"/>
  <c r="M420" i="4"/>
  <c r="L420" i="4"/>
  <c r="K420" i="4"/>
  <c r="J420" i="4"/>
  <c r="I420" i="4"/>
  <c r="H420" i="4"/>
  <c r="Q419" i="4"/>
  <c r="P419" i="4"/>
  <c r="O419" i="4"/>
  <c r="N419" i="4"/>
  <c r="M419" i="4"/>
  <c r="L419" i="4"/>
  <c r="K419" i="4"/>
  <c r="J419" i="4"/>
  <c r="I419" i="4"/>
  <c r="H419" i="4"/>
  <c r="Q418" i="4"/>
  <c r="P418" i="4"/>
  <c r="O418" i="4"/>
  <c r="N418" i="4"/>
  <c r="M418" i="4"/>
  <c r="L418" i="4"/>
  <c r="K418" i="4"/>
  <c r="J418" i="4"/>
  <c r="I418" i="4"/>
  <c r="H418" i="4"/>
  <c r="Q417" i="4"/>
  <c r="P417" i="4"/>
  <c r="O417" i="4"/>
  <c r="N417" i="4"/>
  <c r="M417" i="4"/>
  <c r="L417" i="4"/>
  <c r="K417" i="4"/>
  <c r="J417" i="4"/>
  <c r="I417" i="4"/>
  <c r="H417" i="4"/>
  <c r="Q416" i="4"/>
  <c r="P416" i="4"/>
  <c r="O416" i="4"/>
  <c r="N416" i="4"/>
  <c r="M416" i="4"/>
  <c r="L416" i="4"/>
  <c r="K416" i="4"/>
  <c r="J416" i="4"/>
  <c r="I416" i="4"/>
  <c r="H416" i="4"/>
  <c r="Q415" i="4"/>
  <c r="P415" i="4"/>
  <c r="O415" i="4"/>
  <c r="N415" i="4"/>
  <c r="M415" i="4"/>
  <c r="L415" i="4"/>
  <c r="K415" i="4"/>
  <c r="J415" i="4"/>
  <c r="I415" i="4"/>
  <c r="H415" i="4"/>
  <c r="Q414" i="4"/>
  <c r="P414" i="4"/>
  <c r="O414" i="4"/>
  <c r="N414" i="4"/>
  <c r="M414" i="4"/>
  <c r="L414" i="4"/>
  <c r="K414" i="4"/>
  <c r="J414" i="4"/>
  <c r="I414" i="4"/>
  <c r="H414" i="4"/>
  <c r="Q413" i="4"/>
  <c r="P413" i="4"/>
  <c r="O413" i="4"/>
  <c r="N413" i="4"/>
  <c r="M413" i="4"/>
  <c r="L413" i="4"/>
  <c r="K413" i="4"/>
  <c r="J413" i="4"/>
  <c r="I413" i="4"/>
  <c r="H413" i="4"/>
  <c r="Q412" i="4"/>
  <c r="P412" i="4"/>
  <c r="O412" i="4"/>
  <c r="N412" i="4"/>
  <c r="M412" i="4"/>
  <c r="L412" i="4"/>
  <c r="K412" i="4"/>
  <c r="J412" i="4"/>
  <c r="I412" i="4"/>
  <c r="H412" i="4"/>
  <c r="Q411" i="4"/>
  <c r="P411" i="4"/>
  <c r="O411" i="4"/>
  <c r="N411" i="4"/>
  <c r="M411" i="4"/>
  <c r="L411" i="4"/>
  <c r="K411" i="4"/>
  <c r="J411" i="4"/>
  <c r="I411" i="4"/>
  <c r="H411" i="4"/>
  <c r="Q410" i="4"/>
  <c r="P410" i="4"/>
  <c r="O410" i="4"/>
  <c r="N410" i="4"/>
  <c r="M410" i="4"/>
  <c r="L410" i="4"/>
  <c r="K410" i="4"/>
  <c r="J410" i="4"/>
  <c r="I410" i="4"/>
  <c r="H410" i="4"/>
  <c r="Q409" i="4"/>
  <c r="P409" i="4"/>
  <c r="O409" i="4"/>
  <c r="N409" i="4"/>
  <c r="M409" i="4"/>
  <c r="L409" i="4"/>
  <c r="K409" i="4"/>
  <c r="J409" i="4"/>
  <c r="I409" i="4"/>
  <c r="H409" i="4"/>
  <c r="Q408" i="4"/>
  <c r="P408" i="4"/>
  <c r="O408" i="4"/>
  <c r="N408" i="4"/>
  <c r="M408" i="4"/>
  <c r="L408" i="4"/>
  <c r="K408" i="4"/>
  <c r="J408" i="4"/>
  <c r="I408" i="4"/>
  <c r="H408" i="4"/>
  <c r="Q407" i="4"/>
  <c r="P407" i="4"/>
  <c r="O407" i="4"/>
  <c r="N407" i="4"/>
  <c r="M407" i="4"/>
  <c r="L407" i="4"/>
  <c r="K407" i="4"/>
  <c r="J407" i="4"/>
  <c r="I407" i="4"/>
  <c r="H407" i="4"/>
  <c r="Q406" i="4"/>
  <c r="P406" i="4"/>
  <c r="O406" i="4"/>
  <c r="N406" i="4"/>
  <c r="M406" i="4"/>
  <c r="L406" i="4"/>
  <c r="K406" i="4"/>
  <c r="J406" i="4"/>
  <c r="I406" i="4"/>
  <c r="H406" i="4"/>
  <c r="Q405" i="4"/>
  <c r="P405" i="4"/>
  <c r="O405" i="4"/>
  <c r="N405" i="4"/>
  <c r="M405" i="4"/>
  <c r="L405" i="4"/>
  <c r="K405" i="4"/>
  <c r="J405" i="4"/>
  <c r="I405" i="4"/>
  <c r="H405" i="4"/>
  <c r="Q404" i="4"/>
  <c r="P404" i="4"/>
  <c r="O404" i="4"/>
  <c r="N404" i="4"/>
  <c r="M404" i="4"/>
  <c r="L404" i="4"/>
  <c r="K404" i="4"/>
  <c r="J404" i="4"/>
  <c r="I404" i="4"/>
  <c r="H404" i="4"/>
  <c r="Q403" i="4"/>
  <c r="P403" i="4"/>
  <c r="O403" i="4"/>
  <c r="N403" i="4"/>
  <c r="M403" i="4"/>
  <c r="L403" i="4"/>
  <c r="K403" i="4"/>
  <c r="J403" i="4"/>
  <c r="I403" i="4"/>
  <c r="H403" i="4"/>
  <c r="Q402" i="4"/>
  <c r="P402" i="4"/>
  <c r="O402" i="4"/>
  <c r="N402" i="4"/>
  <c r="M402" i="4"/>
  <c r="L402" i="4"/>
  <c r="K402" i="4"/>
  <c r="J402" i="4"/>
  <c r="I402" i="4"/>
  <c r="H402" i="4"/>
  <c r="Q401" i="4"/>
  <c r="P401" i="4"/>
  <c r="O401" i="4"/>
  <c r="N401" i="4"/>
  <c r="M401" i="4"/>
  <c r="L401" i="4"/>
  <c r="K401" i="4"/>
  <c r="J401" i="4"/>
  <c r="I401" i="4"/>
  <c r="H401" i="4"/>
  <c r="Q400" i="4"/>
  <c r="P400" i="4"/>
  <c r="O400" i="4"/>
  <c r="N400" i="4"/>
  <c r="M400" i="4"/>
  <c r="L400" i="4"/>
  <c r="K400" i="4"/>
  <c r="J400" i="4"/>
  <c r="I400" i="4"/>
  <c r="H400" i="4"/>
  <c r="Q399" i="4"/>
  <c r="P399" i="4"/>
  <c r="O399" i="4"/>
  <c r="N399" i="4"/>
  <c r="M399" i="4"/>
  <c r="L399" i="4"/>
  <c r="K399" i="4"/>
  <c r="J399" i="4"/>
  <c r="I399" i="4"/>
  <c r="H399" i="4"/>
  <c r="Q398" i="4"/>
  <c r="P398" i="4"/>
  <c r="O398" i="4"/>
  <c r="N398" i="4"/>
  <c r="M398" i="4"/>
  <c r="L398" i="4"/>
  <c r="K398" i="4"/>
  <c r="J398" i="4"/>
  <c r="I398" i="4"/>
  <c r="H398" i="4"/>
  <c r="Q397" i="4"/>
  <c r="P397" i="4"/>
  <c r="O397" i="4"/>
  <c r="N397" i="4"/>
  <c r="M397" i="4"/>
  <c r="L397" i="4"/>
  <c r="K397" i="4"/>
  <c r="J397" i="4"/>
  <c r="I397" i="4"/>
  <c r="H397" i="4"/>
  <c r="Q396" i="4"/>
  <c r="P396" i="4"/>
  <c r="O396" i="4"/>
  <c r="N396" i="4"/>
  <c r="M396" i="4"/>
  <c r="L396" i="4"/>
  <c r="K396" i="4"/>
  <c r="J396" i="4"/>
  <c r="I396" i="4"/>
  <c r="H396" i="4"/>
  <c r="Q395" i="4"/>
  <c r="P395" i="4"/>
  <c r="O395" i="4"/>
  <c r="N395" i="4"/>
  <c r="M395" i="4"/>
  <c r="L395" i="4"/>
  <c r="K395" i="4"/>
  <c r="J395" i="4"/>
  <c r="I395" i="4"/>
  <c r="H395" i="4"/>
  <c r="Q394" i="4"/>
  <c r="P394" i="4"/>
  <c r="O394" i="4"/>
  <c r="N394" i="4"/>
  <c r="M394" i="4"/>
  <c r="L394" i="4"/>
  <c r="K394" i="4"/>
  <c r="J394" i="4"/>
  <c r="I394" i="4"/>
  <c r="H394" i="4"/>
  <c r="Q393" i="4"/>
  <c r="P393" i="4"/>
  <c r="O393" i="4"/>
  <c r="N393" i="4"/>
  <c r="M393" i="4"/>
  <c r="L393" i="4"/>
  <c r="K393" i="4"/>
  <c r="J393" i="4"/>
  <c r="I393" i="4"/>
  <c r="H393" i="4"/>
  <c r="Q392" i="4"/>
  <c r="P392" i="4"/>
  <c r="O392" i="4"/>
  <c r="N392" i="4"/>
  <c r="M392" i="4"/>
  <c r="L392" i="4"/>
  <c r="K392" i="4"/>
  <c r="J392" i="4"/>
  <c r="I392" i="4"/>
  <c r="H392" i="4"/>
  <c r="Q391" i="4"/>
  <c r="P391" i="4"/>
  <c r="O391" i="4"/>
  <c r="N391" i="4"/>
  <c r="M391" i="4"/>
  <c r="L391" i="4"/>
  <c r="K391" i="4"/>
  <c r="J391" i="4"/>
  <c r="I391" i="4"/>
  <c r="H391" i="4"/>
  <c r="Q390" i="4"/>
  <c r="P390" i="4"/>
  <c r="O390" i="4"/>
  <c r="N390" i="4"/>
  <c r="M390" i="4"/>
  <c r="L390" i="4"/>
  <c r="K390" i="4"/>
  <c r="J390" i="4"/>
  <c r="I390" i="4"/>
  <c r="H390" i="4"/>
  <c r="Q389" i="4"/>
  <c r="P389" i="4"/>
  <c r="O389" i="4"/>
  <c r="N389" i="4"/>
  <c r="M389" i="4"/>
  <c r="L389" i="4"/>
  <c r="K389" i="4"/>
  <c r="J389" i="4"/>
  <c r="I389" i="4"/>
  <c r="H389" i="4"/>
  <c r="Q388" i="4"/>
  <c r="P388" i="4"/>
  <c r="O388" i="4"/>
  <c r="N388" i="4"/>
  <c r="M388" i="4"/>
  <c r="L388" i="4"/>
  <c r="K388" i="4"/>
  <c r="J388" i="4"/>
  <c r="I388" i="4"/>
  <c r="H388" i="4"/>
  <c r="Q387" i="4"/>
  <c r="P387" i="4"/>
  <c r="O387" i="4"/>
  <c r="N387" i="4"/>
  <c r="M387" i="4"/>
  <c r="L387" i="4"/>
  <c r="K387" i="4"/>
  <c r="J387" i="4"/>
  <c r="I387" i="4"/>
  <c r="H387" i="4"/>
  <c r="Q386" i="4"/>
  <c r="P386" i="4"/>
  <c r="O386" i="4"/>
  <c r="N386" i="4"/>
  <c r="M386" i="4"/>
  <c r="L386" i="4"/>
  <c r="K386" i="4"/>
  <c r="J386" i="4"/>
  <c r="I386" i="4"/>
  <c r="H386" i="4"/>
  <c r="Q385" i="4"/>
  <c r="P385" i="4"/>
  <c r="O385" i="4"/>
  <c r="N385" i="4"/>
  <c r="M385" i="4"/>
  <c r="L385" i="4"/>
  <c r="K385" i="4"/>
  <c r="J385" i="4"/>
  <c r="I385" i="4"/>
  <c r="H385" i="4"/>
  <c r="Q384" i="4"/>
  <c r="P384" i="4"/>
  <c r="O384" i="4"/>
  <c r="N384" i="4"/>
  <c r="M384" i="4"/>
  <c r="L384" i="4"/>
  <c r="K384" i="4"/>
  <c r="J384" i="4"/>
  <c r="I384" i="4"/>
  <c r="H384" i="4"/>
  <c r="Q383" i="4"/>
  <c r="P383" i="4"/>
  <c r="O383" i="4"/>
  <c r="N383" i="4"/>
  <c r="M383" i="4"/>
  <c r="L383" i="4"/>
  <c r="K383" i="4"/>
  <c r="J383" i="4"/>
  <c r="I383" i="4"/>
  <c r="H383" i="4"/>
  <c r="Q382" i="4"/>
  <c r="P382" i="4"/>
  <c r="O382" i="4"/>
  <c r="N382" i="4"/>
  <c r="M382" i="4"/>
  <c r="L382" i="4"/>
  <c r="K382" i="4"/>
  <c r="J382" i="4"/>
  <c r="I382" i="4"/>
  <c r="H382" i="4"/>
  <c r="Q381" i="4"/>
  <c r="P381" i="4"/>
  <c r="O381" i="4"/>
  <c r="N381" i="4"/>
  <c r="M381" i="4"/>
  <c r="L381" i="4"/>
  <c r="K381" i="4"/>
  <c r="J381" i="4"/>
  <c r="I381" i="4"/>
  <c r="H381" i="4"/>
  <c r="Q380" i="4"/>
  <c r="P380" i="4"/>
  <c r="O380" i="4"/>
  <c r="N380" i="4"/>
  <c r="M380" i="4"/>
  <c r="L380" i="4"/>
  <c r="K380" i="4"/>
  <c r="J380" i="4"/>
  <c r="I380" i="4"/>
  <c r="H380" i="4"/>
  <c r="Q379" i="4"/>
  <c r="P379" i="4"/>
  <c r="O379" i="4"/>
  <c r="N379" i="4"/>
  <c r="M379" i="4"/>
  <c r="L379" i="4"/>
  <c r="K379" i="4"/>
  <c r="J379" i="4"/>
  <c r="I379" i="4"/>
  <c r="H379" i="4"/>
  <c r="Q378" i="4"/>
  <c r="P378" i="4"/>
  <c r="O378" i="4"/>
  <c r="N378" i="4"/>
  <c r="M378" i="4"/>
  <c r="L378" i="4"/>
  <c r="K378" i="4"/>
  <c r="J378" i="4"/>
  <c r="I378" i="4"/>
  <c r="H378" i="4"/>
  <c r="Q377" i="4"/>
  <c r="P377" i="4"/>
  <c r="O377" i="4"/>
  <c r="N377" i="4"/>
  <c r="M377" i="4"/>
  <c r="L377" i="4"/>
  <c r="K377" i="4"/>
  <c r="J377" i="4"/>
  <c r="I377" i="4"/>
  <c r="H377" i="4"/>
  <c r="Q376" i="4"/>
  <c r="P376" i="4"/>
  <c r="O376" i="4"/>
  <c r="N376" i="4"/>
  <c r="M376" i="4"/>
  <c r="L376" i="4"/>
  <c r="K376" i="4"/>
  <c r="J376" i="4"/>
  <c r="I376" i="4"/>
  <c r="H376" i="4"/>
  <c r="Q375" i="4"/>
  <c r="P375" i="4"/>
  <c r="O375" i="4"/>
  <c r="N375" i="4"/>
  <c r="M375" i="4"/>
  <c r="L375" i="4"/>
  <c r="K375" i="4"/>
  <c r="J375" i="4"/>
  <c r="I375" i="4"/>
  <c r="H375" i="4"/>
  <c r="Q374" i="4"/>
  <c r="P374" i="4"/>
  <c r="O374" i="4"/>
  <c r="N374" i="4"/>
  <c r="M374" i="4"/>
  <c r="L374" i="4"/>
  <c r="K374" i="4"/>
  <c r="J374" i="4"/>
  <c r="I374" i="4"/>
  <c r="H374" i="4"/>
  <c r="Q373" i="4"/>
  <c r="P373" i="4"/>
  <c r="O373" i="4"/>
  <c r="N373" i="4"/>
  <c r="M373" i="4"/>
  <c r="L373" i="4"/>
  <c r="K373" i="4"/>
  <c r="J373" i="4"/>
  <c r="I373" i="4"/>
  <c r="H373" i="4"/>
  <c r="Q372" i="4"/>
  <c r="P372" i="4"/>
  <c r="O372" i="4"/>
  <c r="N372" i="4"/>
  <c r="M372" i="4"/>
  <c r="L372" i="4"/>
  <c r="K372" i="4"/>
  <c r="J372" i="4"/>
  <c r="I372" i="4"/>
  <c r="H372" i="4"/>
  <c r="Q371" i="4"/>
  <c r="P371" i="4"/>
  <c r="O371" i="4"/>
  <c r="N371" i="4"/>
  <c r="M371" i="4"/>
  <c r="L371" i="4"/>
  <c r="K371" i="4"/>
  <c r="J371" i="4"/>
  <c r="I371" i="4"/>
  <c r="H371" i="4"/>
  <c r="Q370" i="4"/>
  <c r="P370" i="4"/>
  <c r="O370" i="4"/>
  <c r="N370" i="4"/>
  <c r="M370" i="4"/>
  <c r="L370" i="4"/>
  <c r="K370" i="4"/>
  <c r="J370" i="4"/>
  <c r="I370" i="4"/>
  <c r="H370" i="4"/>
  <c r="Q369" i="4"/>
  <c r="P369" i="4"/>
  <c r="O369" i="4"/>
  <c r="N369" i="4"/>
  <c r="M369" i="4"/>
  <c r="L369" i="4"/>
  <c r="K369" i="4"/>
  <c r="J369" i="4"/>
  <c r="I369" i="4"/>
  <c r="H369" i="4"/>
  <c r="Q368" i="4"/>
  <c r="P368" i="4"/>
  <c r="O368" i="4"/>
  <c r="N368" i="4"/>
  <c r="M368" i="4"/>
  <c r="L368" i="4"/>
  <c r="K368" i="4"/>
  <c r="J368" i="4"/>
  <c r="I368" i="4"/>
  <c r="H368" i="4"/>
  <c r="Q367" i="4"/>
  <c r="P367" i="4"/>
  <c r="O367" i="4"/>
  <c r="N367" i="4"/>
  <c r="M367" i="4"/>
  <c r="L367" i="4"/>
  <c r="K367" i="4"/>
  <c r="J367" i="4"/>
  <c r="I367" i="4"/>
  <c r="H367" i="4"/>
  <c r="Q366" i="4"/>
  <c r="P366" i="4"/>
  <c r="O366" i="4"/>
  <c r="N366" i="4"/>
  <c r="M366" i="4"/>
  <c r="L366" i="4"/>
  <c r="K366" i="4"/>
  <c r="J366" i="4"/>
  <c r="I366" i="4"/>
  <c r="H366" i="4"/>
  <c r="Q365" i="4"/>
  <c r="P365" i="4"/>
  <c r="O365" i="4"/>
  <c r="N365" i="4"/>
  <c r="M365" i="4"/>
  <c r="L365" i="4"/>
  <c r="K365" i="4"/>
  <c r="J365" i="4"/>
  <c r="I365" i="4"/>
  <c r="H365" i="4"/>
  <c r="Q364" i="4"/>
  <c r="P364" i="4"/>
  <c r="O364" i="4"/>
  <c r="N364" i="4"/>
  <c r="M364" i="4"/>
  <c r="L364" i="4"/>
  <c r="K364" i="4"/>
  <c r="J364" i="4"/>
  <c r="I364" i="4"/>
  <c r="H364" i="4"/>
  <c r="Q363" i="4"/>
  <c r="P363" i="4"/>
  <c r="O363" i="4"/>
  <c r="N363" i="4"/>
  <c r="M363" i="4"/>
  <c r="L363" i="4"/>
  <c r="K363" i="4"/>
  <c r="J363" i="4"/>
  <c r="I363" i="4"/>
  <c r="H363" i="4"/>
  <c r="Q362" i="4"/>
  <c r="P362" i="4"/>
  <c r="O362" i="4"/>
  <c r="N362" i="4"/>
  <c r="M362" i="4"/>
  <c r="L362" i="4"/>
  <c r="K362" i="4"/>
  <c r="J362" i="4"/>
  <c r="I362" i="4"/>
  <c r="H362" i="4"/>
  <c r="Q361" i="4"/>
  <c r="P361" i="4"/>
  <c r="O361" i="4"/>
  <c r="N361" i="4"/>
  <c r="M361" i="4"/>
  <c r="L361" i="4"/>
  <c r="K361" i="4"/>
  <c r="J361" i="4"/>
  <c r="I361" i="4"/>
  <c r="H361" i="4"/>
  <c r="Q360" i="4"/>
  <c r="P360" i="4"/>
  <c r="O360" i="4"/>
  <c r="N360" i="4"/>
  <c r="M360" i="4"/>
  <c r="L360" i="4"/>
  <c r="K360" i="4"/>
  <c r="J360" i="4"/>
  <c r="I360" i="4"/>
  <c r="H360" i="4"/>
  <c r="Q359" i="4"/>
  <c r="P359" i="4"/>
  <c r="O359" i="4"/>
  <c r="N359" i="4"/>
  <c r="M359" i="4"/>
  <c r="L359" i="4"/>
  <c r="K359" i="4"/>
  <c r="J359" i="4"/>
  <c r="I359" i="4"/>
  <c r="H359" i="4"/>
  <c r="Q358" i="4"/>
  <c r="P358" i="4"/>
  <c r="O358" i="4"/>
  <c r="N358" i="4"/>
  <c r="M358" i="4"/>
  <c r="L358" i="4"/>
  <c r="K358" i="4"/>
  <c r="J358" i="4"/>
  <c r="I358" i="4"/>
  <c r="H358" i="4"/>
  <c r="Q357" i="4"/>
  <c r="P357" i="4"/>
  <c r="O357" i="4"/>
  <c r="N357" i="4"/>
  <c r="M357" i="4"/>
  <c r="L357" i="4"/>
  <c r="K357" i="4"/>
  <c r="J357" i="4"/>
  <c r="I357" i="4"/>
  <c r="H357" i="4"/>
  <c r="Q356" i="4"/>
  <c r="P356" i="4"/>
  <c r="O356" i="4"/>
  <c r="N356" i="4"/>
  <c r="M356" i="4"/>
  <c r="L356" i="4"/>
  <c r="K356" i="4"/>
  <c r="J356" i="4"/>
  <c r="I356" i="4"/>
  <c r="H356" i="4"/>
  <c r="Q355" i="4"/>
  <c r="P355" i="4"/>
  <c r="O355" i="4"/>
  <c r="N355" i="4"/>
  <c r="M355" i="4"/>
  <c r="L355" i="4"/>
  <c r="K355" i="4"/>
  <c r="J355" i="4"/>
  <c r="I355" i="4"/>
  <c r="H355" i="4"/>
  <c r="Q354" i="4"/>
  <c r="P354" i="4"/>
  <c r="O354" i="4"/>
  <c r="N354" i="4"/>
  <c r="M354" i="4"/>
  <c r="L354" i="4"/>
  <c r="K354" i="4"/>
  <c r="J354" i="4"/>
  <c r="I354" i="4"/>
  <c r="H354" i="4"/>
  <c r="Q353" i="4"/>
  <c r="P353" i="4"/>
  <c r="O353" i="4"/>
  <c r="N353" i="4"/>
  <c r="M353" i="4"/>
  <c r="L353" i="4"/>
  <c r="K353" i="4"/>
  <c r="J353" i="4"/>
  <c r="I353" i="4"/>
  <c r="H353" i="4"/>
  <c r="Q352" i="4"/>
  <c r="P352" i="4"/>
  <c r="O352" i="4"/>
  <c r="N352" i="4"/>
  <c r="M352" i="4"/>
  <c r="L352" i="4"/>
  <c r="K352" i="4"/>
  <c r="J352" i="4"/>
  <c r="I352" i="4"/>
  <c r="H352" i="4"/>
  <c r="Q351" i="4"/>
  <c r="P351" i="4"/>
  <c r="O351" i="4"/>
  <c r="N351" i="4"/>
  <c r="M351" i="4"/>
  <c r="L351" i="4"/>
  <c r="K351" i="4"/>
  <c r="J351" i="4"/>
  <c r="I351" i="4"/>
  <c r="H351" i="4"/>
  <c r="Q350" i="4"/>
  <c r="P350" i="4"/>
  <c r="O350" i="4"/>
  <c r="N350" i="4"/>
  <c r="M350" i="4"/>
  <c r="L350" i="4"/>
  <c r="K350" i="4"/>
  <c r="J350" i="4"/>
  <c r="I350" i="4"/>
  <c r="H350" i="4"/>
  <c r="Q349" i="4"/>
  <c r="P349" i="4"/>
  <c r="O349" i="4"/>
  <c r="N349" i="4"/>
  <c r="M349" i="4"/>
  <c r="L349" i="4"/>
  <c r="K349" i="4"/>
  <c r="J349" i="4"/>
  <c r="I349" i="4"/>
  <c r="H349" i="4"/>
  <c r="Q348" i="4"/>
  <c r="P348" i="4"/>
  <c r="O348" i="4"/>
  <c r="N348" i="4"/>
  <c r="M348" i="4"/>
  <c r="L348" i="4"/>
  <c r="K348" i="4"/>
  <c r="J348" i="4"/>
  <c r="I348" i="4"/>
  <c r="H348" i="4"/>
  <c r="Q347" i="4"/>
  <c r="P347" i="4"/>
  <c r="O347" i="4"/>
  <c r="N347" i="4"/>
  <c r="M347" i="4"/>
  <c r="L347" i="4"/>
  <c r="K347" i="4"/>
  <c r="J347" i="4"/>
  <c r="I347" i="4"/>
  <c r="H347" i="4"/>
  <c r="Q346" i="4"/>
  <c r="P346" i="4"/>
  <c r="O346" i="4"/>
  <c r="N346" i="4"/>
  <c r="M346" i="4"/>
  <c r="L346" i="4"/>
  <c r="K346" i="4"/>
  <c r="J346" i="4"/>
  <c r="I346" i="4"/>
  <c r="H346" i="4"/>
  <c r="Q345" i="4"/>
  <c r="P345" i="4"/>
  <c r="O345" i="4"/>
  <c r="N345" i="4"/>
  <c r="M345" i="4"/>
  <c r="L345" i="4"/>
  <c r="K345" i="4"/>
  <c r="J345" i="4"/>
  <c r="I345" i="4"/>
  <c r="H345" i="4"/>
  <c r="Q344" i="4"/>
  <c r="P344" i="4"/>
  <c r="O344" i="4"/>
  <c r="N344" i="4"/>
  <c r="M344" i="4"/>
  <c r="L344" i="4"/>
  <c r="K344" i="4"/>
  <c r="J344" i="4"/>
  <c r="I344" i="4"/>
  <c r="H344" i="4"/>
  <c r="Q343" i="4"/>
  <c r="P343" i="4"/>
  <c r="O343" i="4"/>
  <c r="N343" i="4"/>
  <c r="M343" i="4"/>
  <c r="L343" i="4"/>
  <c r="K343" i="4"/>
  <c r="J343" i="4"/>
  <c r="I343" i="4"/>
  <c r="H343" i="4"/>
  <c r="Q342" i="4"/>
  <c r="P342" i="4"/>
  <c r="O342" i="4"/>
  <c r="N342" i="4"/>
  <c r="M342" i="4"/>
  <c r="L342" i="4"/>
  <c r="K342" i="4"/>
  <c r="J342" i="4"/>
  <c r="I342" i="4"/>
  <c r="H342" i="4"/>
  <c r="Q341" i="4"/>
  <c r="P341" i="4"/>
  <c r="O341" i="4"/>
  <c r="N341" i="4"/>
  <c r="M341" i="4"/>
  <c r="L341" i="4"/>
  <c r="K341" i="4"/>
  <c r="J341" i="4"/>
  <c r="I341" i="4"/>
  <c r="H341" i="4"/>
  <c r="Q340" i="4"/>
  <c r="P340" i="4"/>
  <c r="O340" i="4"/>
  <c r="N340" i="4"/>
  <c r="M340" i="4"/>
  <c r="L340" i="4"/>
  <c r="K340" i="4"/>
  <c r="J340" i="4"/>
  <c r="I340" i="4"/>
  <c r="H340" i="4"/>
  <c r="Q339" i="4"/>
  <c r="P339" i="4"/>
  <c r="O339" i="4"/>
  <c r="N339" i="4"/>
  <c r="M339" i="4"/>
  <c r="L339" i="4"/>
  <c r="K339" i="4"/>
  <c r="J339" i="4"/>
  <c r="I339" i="4"/>
  <c r="H339" i="4"/>
  <c r="Q338" i="4"/>
  <c r="P338" i="4"/>
  <c r="O338" i="4"/>
  <c r="N338" i="4"/>
  <c r="M338" i="4"/>
  <c r="L338" i="4"/>
  <c r="K338" i="4"/>
  <c r="J338" i="4"/>
  <c r="I338" i="4"/>
  <c r="H338" i="4"/>
  <c r="Q337" i="4"/>
  <c r="P337" i="4"/>
  <c r="O337" i="4"/>
  <c r="N337" i="4"/>
  <c r="M337" i="4"/>
  <c r="L337" i="4"/>
  <c r="K337" i="4"/>
  <c r="J337" i="4"/>
  <c r="I337" i="4"/>
  <c r="H337" i="4"/>
  <c r="Q336" i="4"/>
  <c r="P336" i="4"/>
  <c r="O336" i="4"/>
  <c r="N336" i="4"/>
  <c r="M336" i="4"/>
  <c r="L336" i="4"/>
  <c r="K336" i="4"/>
  <c r="J336" i="4"/>
  <c r="I336" i="4"/>
  <c r="H336" i="4"/>
  <c r="Q335" i="4"/>
  <c r="P335" i="4"/>
  <c r="O335" i="4"/>
  <c r="N335" i="4"/>
  <c r="M335" i="4"/>
  <c r="L335" i="4"/>
  <c r="K335" i="4"/>
  <c r="J335" i="4"/>
  <c r="I335" i="4"/>
  <c r="H335" i="4"/>
  <c r="Q334" i="4"/>
  <c r="P334" i="4"/>
  <c r="O334" i="4"/>
  <c r="N334" i="4"/>
  <c r="M334" i="4"/>
  <c r="L334" i="4"/>
  <c r="K334" i="4"/>
  <c r="J334" i="4"/>
  <c r="I334" i="4"/>
  <c r="H334" i="4"/>
  <c r="Q333" i="4"/>
  <c r="P333" i="4"/>
  <c r="O333" i="4"/>
  <c r="N333" i="4"/>
  <c r="M333" i="4"/>
  <c r="L333" i="4"/>
  <c r="K333" i="4"/>
  <c r="J333" i="4"/>
  <c r="I333" i="4"/>
  <c r="H333" i="4"/>
  <c r="Q332" i="4"/>
  <c r="P332" i="4"/>
  <c r="O332" i="4"/>
  <c r="N332" i="4"/>
  <c r="M332" i="4"/>
  <c r="L332" i="4"/>
  <c r="K332" i="4"/>
  <c r="J332" i="4"/>
  <c r="I332" i="4"/>
  <c r="H332" i="4"/>
  <c r="Q331" i="4"/>
  <c r="P331" i="4"/>
  <c r="O331" i="4"/>
  <c r="N331" i="4"/>
  <c r="M331" i="4"/>
  <c r="L331" i="4"/>
  <c r="K331" i="4"/>
  <c r="J331" i="4"/>
  <c r="I331" i="4"/>
  <c r="H331" i="4"/>
  <c r="Q330" i="4"/>
  <c r="P330" i="4"/>
  <c r="O330" i="4"/>
  <c r="N330" i="4"/>
  <c r="M330" i="4"/>
  <c r="L330" i="4"/>
  <c r="K330" i="4"/>
  <c r="J330" i="4"/>
  <c r="I330" i="4"/>
  <c r="H330" i="4"/>
  <c r="Q329" i="4"/>
  <c r="P329" i="4"/>
  <c r="O329" i="4"/>
  <c r="N329" i="4"/>
  <c r="M329" i="4"/>
  <c r="L329" i="4"/>
  <c r="K329" i="4"/>
  <c r="J329" i="4"/>
  <c r="I329" i="4"/>
  <c r="H329" i="4"/>
  <c r="Q328" i="4"/>
  <c r="P328" i="4"/>
  <c r="O328" i="4"/>
  <c r="N328" i="4"/>
  <c r="M328" i="4"/>
  <c r="L328" i="4"/>
  <c r="K328" i="4"/>
  <c r="J328" i="4"/>
  <c r="I328" i="4"/>
  <c r="H328" i="4"/>
  <c r="Q327" i="4"/>
  <c r="P327" i="4"/>
  <c r="O327" i="4"/>
  <c r="N327" i="4"/>
  <c r="M327" i="4"/>
  <c r="L327" i="4"/>
  <c r="K327" i="4"/>
  <c r="J327" i="4"/>
  <c r="I327" i="4"/>
  <c r="H327" i="4"/>
  <c r="Q326" i="4"/>
  <c r="P326" i="4"/>
  <c r="O326" i="4"/>
  <c r="N326" i="4"/>
  <c r="M326" i="4"/>
  <c r="L326" i="4"/>
  <c r="K326" i="4"/>
  <c r="J326" i="4"/>
  <c r="I326" i="4"/>
  <c r="H326" i="4"/>
  <c r="Q325" i="4"/>
  <c r="P325" i="4"/>
  <c r="O325" i="4"/>
  <c r="N325" i="4"/>
  <c r="M325" i="4"/>
  <c r="L325" i="4"/>
  <c r="K325" i="4"/>
  <c r="J325" i="4"/>
  <c r="I325" i="4"/>
  <c r="H325" i="4"/>
  <c r="Q324" i="4"/>
  <c r="P324" i="4"/>
  <c r="O324" i="4"/>
  <c r="N324" i="4"/>
  <c r="M324" i="4"/>
  <c r="L324" i="4"/>
  <c r="K324" i="4"/>
  <c r="J324" i="4"/>
  <c r="I324" i="4"/>
  <c r="H324" i="4"/>
  <c r="Q323" i="4"/>
  <c r="P323" i="4"/>
  <c r="O323" i="4"/>
  <c r="N323" i="4"/>
  <c r="M323" i="4"/>
  <c r="L323" i="4"/>
  <c r="K323" i="4"/>
  <c r="J323" i="4"/>
  <c r="I323" i="4"/>
  <c r="H323" i="4"/>
  <c r="Q322" i="4"/>
  <c r="P322" i="4"/>
  <c r="O322" i="4"/>
  <c r="N322" i="4"/>
  <c r="M322" i="4"/>
  <c r="L322" i="4"/>
  <c r="K322" i="4"/>
  <c r="J322" i="4"/>
  <c r="I322" i="4"/>
  <c r="H322" i="4"/>
  <c r="Q321" i="4"/>
  <c r="P321" i="4"/>
  <c r="O321" i="4"/>
  <c r="N321" i="4"/>
  <c r="M321" i="4"/>
  <c r="L321" i="4"/>
  <c r="K321" i="4"/>
  <c r="J321" i="4"/>
  <c r="I321" i="4"/>
  <c r="H321" i="4"/>
  <c r="Q320" i="4"/>
  <c r="P320" i="4"/>
  <c r="O320" i="4"/>
  <c r="N320" i="4"/>
  <c r="M320" i="4"/>
  <c r="L320" i="4"/>
  <c r="K320" i="4"/>
  <c r="J320" i="4"/>
  <c r="I320" i="4"/>
  <c r="H320" i="4"/>
  <c r="Q319" i="4"/>
  <c r="P319" i="4"/>
  <c r="O319" i="4"/>
  <c r="N319" i="4"/>
  <c r="M319" i="4"/>
  <c r="L319" i="4"/>
  <c r="K319" i="4"/>
  <c r="J319" i="4"/>
  <c r="I319" i="4"/>
  <c r="H319" i="4"/>
  <c r="Q318" i="4"/>
  <c r="P318" i="4"/>
  <c r="O318" i="4"/>
  <c r="N318" i="4"/>
  <c r="M318" i="4"/>
  <c r="L318" i="4"/>
  <c r="K318" i="4"/>
  <c r="J318" i="4"/>
  <c r="I318" i="4"/>
  <c r="H318" i="4"/>
  <c r="Q317" i="4"/>
  <c r="P317" i="4"/>
  <c r="O317" i="4"/>
  <c r="N317" i="4"/>
  <c r="M317" i="4"/>
  <c r="L317" i="4"/>
  <c r="K317" i="4"/>
  <c r="J317" i="4"/>
  <c r="I317" i="4"/>
  <c r="H317" i="4"/>
  <c r="Q316" i="4"/>
  <c r="P316" i="4"/>
  <c r="O316" i="4"/>
  <c r="N316" i="4"/>
  <c r="M316" i="4"/>
  <c r="L316" i="4"/>
  <c r="K316" i="4"/>
  <c r="J316" i="4"/>
  <c r="I316" i="4"/>
  <c r="H316" i="4"/>
  <c r="Q315" i="4"/>
  <c r="P315" i="4"/>
  <c r="O315" i="4"/>
  <c r="N315" i="4"/>
  <c r="M315" i="4"/>
  <c r="L315" i="4"/>
  <c r="K315" i="4"/>
  <c r="J315" i="4"/>
  <c r="I315" i="4"/>
  <c r="H315" i="4"/>
  <c r="Q314" i="4"/>
  <c r="P314" i="4"/>
  <c r="O314" i="4"/>
  <c r="N314" i="4"/>
  <c r="M314" i="4"/>
  <c r="L314" i="4"/>
  <c r="K314" i="4"/>
  <c r="J314" i="4"/>
  <c r="I314" i="4"/>
  <c r="H314" i="4"/>
  <c r="Q313" i="4"/>
  <c r="P313" i="4"/>
  <c r="O313" i="4"/>
  <c r="N313" i="4"/>
  <c r="M313" i="4"/>
  <c r="L313" i="4"/>
  <c r="K313" i="4"/>
  <c r="J313" i="4"/>
  <c r="I313" i="4"/>
  <c r="H313" i="4"/>
  <c r="Q312" i="4"/>
  <c r="P312" i="4"/>
  <c r="O312" i="4"/>
  <c r="N312" i="4"/>
  <c r="M312" i="4"/>
  <c r="L312" i="4"/>
  <c r="K312" i="4"/>
  <c r="J312" i="4"/>
  <c r="I312" i="4"/>
  <c r="H312" i="4"/>
  <c r="Q311" i="4"/>
  <c r="P311" i="4"/>
  <c r="O311" i="4"/>
  <c r="N311" i="4"/>
  <c r="M311" i="4"/>
  <c r="L311" i="4"/>
  <c r="K311" i="4"/>
  <c r="J311" i="4"/>
  <c r="I311" i="4"/>
  <c r="H311" i="4"/>
  <c r="Q310" i="4"/>
  <c r="P310" i="4"/>
  <c r="O310" i="4"/>
  <c r="N310" i="4"/>
  <c r="M310" i="4"/>
  <c r="L310" i="4"/>
  <c r="K310" i="4"/>
  <c r="J310" i="4"/>
  <c r="I310" i="4"/>
  <c r="H310" i="4"/>
  <c r="Q309" i="4"/>
  <c r="P309" i="4"/>
  <c r="O309" i="4"/>
  <c r="N309" i="4"/>
  <c r="M309" i="4"/>
  <c r="L309" i="4"/>
  <c r="K309" i="4"/>
  <c r="J309" i="4"/>
  <c r="I309" i="4"/>
  <c r="H309" i="4"/>
  <c r="Q308" i="4"/>
  <c r="P308" i="4"/>
  <c r="O308" i="4"/>
  <c r="N308" i="4"/>
  <c r="M308" i="4"/>
  <c r="L308" i="4"/>
  <c r="K308" i="4"/>
  <c r="J308" i="4"/>
  <c r="I308" i="4"/>
  <c r="H308" i="4"/>
  <c r="Q307" i="4"/>
  <c r="P307" i="4"/>
  <c r="O307" i="4"/>
  <c r="N307" i="4"/>
  <c r="M307" i="4"/>
  <c r="L307" i="4"/>
  <c r="K307" i="4"/>
  <c r="J307" i="4"/>
  <c r="I307" i="4"/>
  <c r="H307" i="4"/>
  <c r="Q306" i="4"/>
  <c r="P306" i="4"/>
  <c r="O306" i="4"/>
  <c r="N306" i="4"/>
  <c r="M306" i="4"/>
  <c r="L306" i="4"/>
  <c r="K306" i="4"/>
  <c r="J306" i="4"/>
  <c r="I306" i="4"/>
  <c r="H306" i="4"/>
  <c r="Q305" i="4"/>
  <c r="P305" i="4"/>
  <c r="O305" i="4"/>
  <c r="N305" i="4"/>
  <c r="M305" i="4"/>
  <c r="L305" i="4"/>
  <c r="K305" i="4"/>
  <c r="J305" i="4"/>
  <c r="I305" i="4"/>
  <c r="H305" i="4"/>
  <c r="Q304" i="4"/>
  <c r="P304" i="4"/>
  <c r="O304" i="4"/>
  <c r="N304" i="4"/>
  <c r="M304" i="4"/>
  <c r="L304" i="4"/>
  <c r="K304" i="4"/>
  <c r="J304" i="4"/>
  <c r="I304" i="4"/>
  <c r="H304" i="4"/>
  <c r="Q303" i="4"/>
  <c r="P303" i="4"/>
  <c r="O303" i="4"/>
  <c r="N303" i="4"/>
  <c r="M303" i="4"/>
  <c r="L303" i="4"/>
  <c r="K303" i="4"/>
  <c r="J303" i="4"/>
  <c r="I303" i="4"/>
  <c r="H303" i="4"/>
  <c r="Q302" i="4"/>
  <c r="P302" i="4"/>
  <c r="O302" i="4"/>
  <c r="N302" i="4"/>
  <c r="M302" i="4"/>
  <c r="L302" i="4"/>
  <c r="K302" i="4"/>
  <c r="J302" i="4"/>
  <c r="I302" i="4"/>
  <c r="H302" i="4"/>
  <c r="Q301" i="4"/>
  <c r="P301" i="4"/>
  <c r="O301" i="4"/>
  <c r="N301" i="4"/>
  <c r="M301" i="4"/>
  <c r="L301" i="4"/>
  <c r="K301" i="4"/>
  <c r="J301" i="4"/>
  <c r="I301" i="4"/>
  <c r="H301" i="4"/>
  <c r="Q300" i="4"/>
  <c r="P300" i="4"/>
  <c r="O300" i="4"/>
  <c r="N300" i="4"/>
  <c r="M300" i="4"/>
  <c r="L300" i="4"/>
  <c r="K300" i="4"/>
  <c r="J300" i="4"/>
  <c r="I300" i="4"/>
  <c r="H300" i="4"/>
  <c r="Q299" i="4"/>
  <c r="P299" i="4"/>
  <c r="O299" i="4"/>
  <c r="N299" i="4"/>
  <c r="M299" i="4"/>
  <c r="L299" i="4"/>
  <c r="K299" i="4"/>
  <c r="J299" i="4"/>
  <c r="I299" i="4"/>
  <c r="H299" i="4"/>
  <c r="Q298" i="4"/>
  <c r="P298" i="4"/>
  <c r="O298" i="4"/>
  <c r="N298" i="4"/>
  <c r="M298" i="4"/>
  <c r="L298" i="4"/>
  <c r="K298" i="4"/>
  <c r="J298" i="4"/>
  <c r="I298" i="4"/>
  <c r="H298" i="4"/>
  <c r="Q297" i="4"/>
  <c r="P297" i="4"/>
  <c r="O297" i="4"/>
  <c r="N297" i="4"/>
  <c r="M297" i="4"/>
  <c r="L297" i="4"/>
  <c r="K297" i="4"/>
  <c r="J297" i="4"/>
  <c r="I297" i="4"/>
  <c r="H297" i="4"/>
  <c r="Q296" i="4"/>
  <c r="P296" i="4"/>
  <c r="O296" i="4"/>
  <c r="N296" i="4"/>
  <c r="M296" i="4"/>
  <c r="L296" i="4"/>
  <c r="K296" i="4"/>
  <c r="J296" i="4"/>
  <c r="I296" i="4"/>
  <c r="H296" i="4"/>
  <c r="Q295" i="4"/>
  <c r="P295" i="4"/>
  <c r="O295" i="4"/>
  <c r="N295" i="4"/>
  <c r="M295" i="4"/>
  <c r="L295" i="4"/>
  <c r="K295" i="4"/>
  <c r="J295" i="4"/>
  <c r="I295" i="4"/>
  <c r="H295" i="4"/>
  <c r="Q294" i="4"/>
  <c r="P294" i="4"/>
  <c r="O294" i="4"/>
  <c r="N294" i="4"/>
  <c r="M294" i="4"/>
  <c r="L294" i="4"/>
  <c r="K294" i="4"/>
  <c r="J294" i="4"/>
  <c r="I294" i="4"/>
  <c r="H294" i="4"/>
  <c r="Q293" i="4"/>
  <c r="P293" i="4"/>
  <c r="O293" i="4"/>
  <c r="N293" i="4"/>
  <c r="M293" i="4"/>
  <c r="L293" i="4"/>
  <c r="K293" i="4"/>
  <c r="J293" i="4"/>
  <c r="I293" i="4"/>
  <c r="H293" i="4"/>
  <c r="Q292" i="4"/>
  <c r="P292" i="4"/>
  <c r="O292" i="4"/>
  <c r="N292" i="4"/>
  <c r="M292" i="4"/>
  <c r="L292" i="4"/>
  <c r="K292" i="4"/>
  <c r="J292" i="4"/>
  <c r="I292" i="4"/>
  <c r="H292" i="4"/>
  <c r="Q291" i="4"/>
  <c r="P291" i="4"/>
  <c r="O291" i="4"/>
  <c r="N291" i="4"/>
  <c r="M291" i="4"/>
  <c r="L291" i="4"/>
  <c r="K291" i="4"/>
  <c r="J291" i="4"/>
  <c r="I291" i="4"/>
  <c r="H291" i="4"/>
  <c r="Q290" i="4"/>
  <c r="P290" i="4"/>
  <c r="O290" i="4"/>
  <c r="N290" i="4"/>
  <c r="M290" i="4"/>
  <c r="L290" i="4"/>
  <c r="K290" i="4"/>
  <c r="J290" i="4"/>
  <c r="I290" i="4"/>
  <c r="H290" i="4"/>
  <c r="Q289" i="4"/>
  <c r="P289" i="4"/>
  <c r="O289" i="4"/>
  <c r="N289" i="4"/>
  <c r="M289" i="4"/>
  <c r="L289" i="4"/>
  <c r="K289" i="4"/>
  <c r="J289" i="4"/>
  <c r="I289" i="4"/>
  <c r="H289" i="4"/>
  <c r="Q288" i="4"/>
  <c r="P288" i="4"/>
  <c r="O288" i="4"/>
  <c r="N288" i="4"/>
  <c r="M288" i="4"/>
  <c r="L288" i="4"/>
  <c r="K288" i="4"/>
  <c r="J288" i="4"/>
  <c r="I288" i="4"/>
  <c r="H288" i="4"/>
  <c r="Q287" i="4"/>
  <c r="P287" i="4"/>
  <c r="O287" i="4"/>
  <c r="N287" i="4"/>
  <c r="M287" i="4"/>
  <c r="L287" i="4"/>
  <c r="K287" i="4"/>
  <c r="J287" i="4"/>
  <c r="I287" i="4"/>
  <c r="H287" i="4"/>
  <c r="Q286" i="4"/>
  <c r="P286" i="4"/>
  <c r="O286" i="4"/>
  <c r="N286" i="4"/>
  <c r="M286" i="4"/>
  <c r="L286" i="4"/>
  <c r="K286" i="4"/>
  <c r="J286" i="4"/>
  <c r="I286" i="4"/>
  <c r="H286" i="4"/>
  <c r="Q285" i="4"/>
  <c r="P285" i="4"/>
  <c r="O285" i="4"/>
  <c r="N285" i="4"/>
  <c r="M285" i="4"/>
  <c r="L285" i="4"/>
  <c r="K285" i="4"/>
  <c r="J285" i="4"/>
  <c r="I285" i="4"/>
  <c r="H285" i="4"/>
  <c r="Q284" i="4"/>
  <c r="P284" i="4"/>
  <c r="O284" i="4"/>
  <c r="N284" i="4"/>
  <c r="M284" i="4"/>
  <c r="L284" i="4"/>
  <c r="K284" i="4"/>
  <c r="J284" i="4"/>
  <c r="I284" i="4"/>
  <c r="H284" i="4"/>
  <c r="Q283" i="4"/>
  <c r="P283" i="4"/>
  <c r="O283" i="4"/>
  <c r="N283" i="4"/>
  <c r="M283" i="4"/>
  <c r="L283" i="4"/>
  <c r="K283" i="4"/>
  <c r="J283" i="4"/>
  <c r="I283" i="4"/>
  <c r="H283" i="4"/>
  <c r="Q282" i="4"/>
  <c r="M282" i="4"/>
  <c r="K282" i="4"/>
  <c r="I282" i="4"/>
  <c r="H282" i="4"/>
  <c r="J282" i="4" s="1"/>
  <c r="Q281" i="4"/>
  <c r="M281" i="4"/>
  <c r="I281" i="4"/>
  <c r="H281" i="4"/>
  <c r="J281" i="4" s="1"/>
  <c r="K281" i="4" s="1"/>
  <c r="Q280" i="4"/>
  <c r="I280" i="4"/>
  <c r="H280" i="4"/>
  <c r="Q279" i="4"/>
  <c r="M279" i="4"/>
  <c r="J279" i="4"/>
  <c r="I279" i="4"/>
  <c r="H279" i="4"/>
  <c r="Q278" i="4"/>
  <c r="K278" i="4"/>
  <c r="I278" i="4"/>
  <c r="H278" i="4"/>
  <c r="J278" i="4" s="1"/>
  <c r="Q277" i="4"/>
  <c r="I277" i="4"/>
  <c r="H277" i="4"/>
  <c r="Q276" i="4"/>
  <c r="I276" i="4"/>
  <c r="H276" i="4"/>
  <c r="Q275" i="4"/>
  <c r="M275" i="4"/>
  <c r="J275" i="4"/>
  <c r="I275" i="4"/>
  <c r="H275" i="4"/>
  <c r="Q274" i="4"/>
  <c r="M274" i="4"/>
  <c r="L274" i="4"/>
  <c r="N274" i="4" s="1"/>
  <c r="K274" i="4"/>
  <c r="I274" i="4"/>
  <c r="H274" i="4"/>
  <c r="J274" i="4" s="1"/>
  <c r="Q273" i="4"/>
  <c r="I273" i="4"/>
  <c r="H273" i="4"/>
  <c r="Q272" i="4"/>
  <c r="M272" i="4"/>
  <c r="I272" i="4"/>
  <c r="K272" i="4" s="1"/>
  <c r="H272" i="4"/>
  <c r="J272" i="4" s="1"/>
  <c r="Q271" i="4"/>
  <c r="M271" i="4"/>
  <c r="J271" i="4"/>
  <c r="I271" i="4"/>
  <c r="K271" i="4" s="1"/>
  <c r="H271" i="4"/>
  <c r="Q270" i="4"/>
  <c r="K270" i="4"/>
  <c r="I270" i="4"/>
  <c r="H270" i="4"/>
  <c r="J270" i="4" s="1"/>
  <c r="Q269" i="4"/>
  <c r="I269" i="4"/>
  <c r="H269" i="4"/>
  <c r="Q268" i="4"/>
  <c r="M268" i="4"/>
  <c r="I268" i="4"/>
  <c r="K268" i="4" s="1"/>
  <c r="H268" i="4"/>
  <c r="J268" i="4" s="1"/>
  <c r="Q267" i="4"/>
  <c r="M267" i="4"/>
  <c r="J267" i="4"/>
  <c r="I267" i="4"/>
  <c r="K267" i="4" s="1"/>
  <c r="H267" i="4"/>
  <c r="Q266" i="4"/>
  <c r="M266" i="4"/>
  <c r="K266" i="4"/>
  <c r="I266" i="4"/>
  <c r="H266" i="4"/>
  <c r="J266" i="4" s="1"/>
  <c r="Q265" i="4"/>
  <c r="M265" i="4"/>
  <c r="K265" i="4"/>
  <c r="I265" i="4"/>
  <c r="H265" i="4"/>
  <c r="J265" i="4" s="1"/>
  <c r="Q264" i="4"/>
  <c r="M264" i="4"/>
  <c r="I264" i="4"/>
  <c r="H264" i="4"/>
  <c r="J264" i="4" s="1"/>
  <c r="Q263" i="4"/>
  <c r="M263" i="4"/>
  <c r="J263" i="4"/>
  <c r="I263" i="4"/>
  <c r="K263" i="4" s="1"/>
  <c r="H263" i="4"/>
  <c r="Q262" i="4"/>
  <c r="K262" i="4"/>
  <c r="I262" i="4"/>
  <c r="H262" i="4"/>
  <c r="J262" i="4" s="1"/>
  <c r="Q261" i="4"/>
  <c r="M261" i="4"/>
  <c r="K261" i="4"/>
  <c r="I261" i="4"/>
  <c r="H261" i="4"/>
  <c r="J261" i="4" s="1"/>
  <c r="Q260" i="4"/>
  <c r="M260" i="4"/>
  <c r="I260" i="4"/>
  <c r="H260" i="4"/>
  <c r="J260" i="4" s="1"/>
  <c r="Q259" i="4"/>
  <c r="M259" i="4"/>
  <c r="J259" i="4"/>
  <c r="I259" i="4"/>
  <c r="K259" i="4" s="1"/>
  <c r="H259" i="4"/>
  <c r="Q258" i="4"/>
  <c r="M258" i="4"/>
  <c r="K258" i="4"/>
  <c r="I258" i="4"/>
  <c r="H258" i="4"/>
  <c r="J258" i="4" s="1"/>
  <c r="Q257" i="4"/>
  <c r="M257" i="4"/>
  <c r="K257" i="4"/>
  <c r="I257" i="4"/>
  <c r="H257" i="4"/>
  <c r="J257" i="4" s="1"/>
  <c r="Q256" i="4"/>
  <c r="I256" i="4"/>
  <c r="H256" i="4"/>
  <c r="Q255" i="4"/>
  <c r="M255" i="4"/>
  <c r="J255" i="4"/>
  <c r="I255" i="4"/>
  <c r="K255" i="4" s="1"/>
  <c r="H255" i="4"/>
  <c r="Q254" i="4"/>
  <c r="K254" i="4"/>
  <c r="I254" i="4"/>
  <c r="H254" i="4"/>
  <c r="J254" i="4" s="1"/>
  <c r="Q253" i="4"/>
  <c r="M253" i="4"/>
  <c r="K253" i="4"/>
  <c r="I253" i="4"/>
  <c r="H253" i="4"/>
  <c r="J253" i="4" s="1"/>
  <c r="Q252" i="4"/>
  <c r="I252" i="4"/>
  <c r="H252" i="4"/>
  <c r="Q251" i="4"/>
  <c r="M251" i="4"/>
  <c r="J251" i="4"/>
  <c r="I251" i="4"/>
  <c r="H251" i="4"/>
  <c r="Q250" i="4"/>
  <c r="M250" i="4"/>
  <c r="K250" i="4"/>
  <c r="I250" i="4"/>
  <c r="H250" i="4"/>
  <c r="J250" i="4" s="1"/>
  <c r="Q249" i="4"/>
  <c r="M249" i="4"/>
  <c r="I249" i="4"/>
  <c r="H249" i="4"/>
  <c r="J249" i="4" s="1"/>
  <c r="K249" i="4" s="1"/>
  <c r="Q248" i="4"/>
  <c r="I248" i="4"/>
  <c r="H248" i="4"/>
  <c r="Q247" i="4"/>
  <c r="M247" i="4"/>
  <c r="J247" i="4"/>
  <c r="I247" i="4"/>
  <c r="H247" i="4"/>
  <c r="Q246" i="4"/>
  <c r="K246" i="4"/>
  <c r="I246" i="4"/>
  <c r="H246" i="4"/>
  <c r="J246" i="4" s="1"/>
  <c r="Q245" i="4"/>
  <c r="I245" i="4"/>
  <c r="H245" i="4"/>
  <c r="Q244" i="4"/>
  <c r="I244" i="4"/>
  <c r="H244" i="4"/>
  <c r="Q243" i="4"/>
  <c r="M243" i="4"/>
  <c r="J243" i="4"/>
  <c r="I243" i="4"/>
  <c r="H243" i="4"/>
  <c r="Q242" i="4"/>
  <c r="M242" i="4"/>
  <c r="K242" i="4"/>
  <c r="I242" i="4"/>
  <c r="H242" i="4"/>
  <c r="J242" i="4" s="1"/>
  <c r="Q241" i="4"/>
  <c r="I241" i="4"/>
  <c r="H241" i="4"/>
  <c r="Q240" i="4"/>
  <c r="M240" i="4"/>
  <c r="I240" i="4"/>
  <c r="K240" i="4" s="1"/>
  <c r="H240" i="4"/>
  <c r="J240" i="4" s="1"/>
  <c r="Q239" i="4"/>
  <c r="M239" i="4"/>
  <c r="J239" i="4"/>
  <c r="I239" i="4"/>
  <c r="K239" i="4" s="1"/>
  <c r="H239" i="4"/>
  <c r="Q238" i="4"/>
  <c r="K238" i="4"/>
  <c r="I238" i="4"/>
  <c r="H238" i="4"/>
  <c r="J238" i="4" s="1"/>
  <c r="Q237" i="4"/>
  <c r="I237" i="4"/>
  <c r="H237" i="4"/>
  <c r="Q236" i="4"/>
  <c r="M236" i="4"/>
  <c r="I236" i="4"/>
  <c r="K236" i="4" s="1"/>
  <c r="H236" i="4"/>
  <c r="J236" i="4" s="1"/>
  <c r="Q235" i="4"/>
  <c r="M235" i="4"/>
  <c r="J235" i="4"/>
  <c r="I235" i="4"/>
  <c r="K235" i="4" s="1"/>
  <c r="H235" i="4"/>
  <c r="Q234" i="4"/>
  <c r="M234" i="4"/>
  <c r="K234" i="4"/>
  <c r="I234" i="4"/>
  <c r="H234" i="4"/>
  <c r="J234" i="4" s="1"/>
  <c r="Q233" i="4"/>
  <c r="M233" i="4"/>
  <c r="K233" i="4"/>
  <c r="I233" i="4"/>
  <c r="H233" i="4"/>
  <c r="J233" i="4" s="1"/>
  <c r="Q232" i="4"/>
  <c r="M232" i="4"/>
  <c r="J232" i="4"/>
  <c r="I232" i="4"/>
  <c r="K232" i="4" s="1"/>
  <c r="H232" i="4"/>
  <c r="Q231" i="4"/>
  <c r="I231" i="4"/>
  <c r="H231" i="4"/>
  <c r="Q230" i="4"/>
  <c r="M230" i="4"/>
  <c r="J230" i="4"/>
  <c r="I230" i="4"/>
  <c r="K230" i="4" s="1"/>
  <c r="H230" i="4"/>
  <c r="Q229" i="4"/>
  <c r="I229" i="4"/>
  <c r="H229" i="4"/>
  <c r="Q228" i="4"/>
  <c r="M228" i="4"/>
  <c r="J228" i="4"/>
  <c r="I228" i="4"/>
  <c r="H228" i="4"/>
  <c r="Q227" i="4"/>
  <c r="I227" i="4"/>
  <c r="H227" i="4"/>
  <c r="Q226" i="4"/>
  <c r="M226" i="4"/>
  <c r="J226" i="4"/>
  <c r="I226" i="4"/>
  <c r="H226" i="4"/>
  <c r="Q225" i="4"/>
  <c r="I225" i="4"/>
  <c r="H225" i="4"/>
  <c r="Q224" i="4"/>
  <c r="M224" i="4"/>
  <c r="J224" i="4"/>
  <c r="I224" i="4"/>
  <c r="H224" i="4"/>
  <c r="Q223" i="4"/>
  <c r="J223" i="4"/>
  <c r="K223" i="4" s="1"/>
  <c r="I223" i="4"/>
  <c r="H223" i="4"/>
  <c r="M223" i="4" s="1"/>
  <c r="Q222" i="4"/>
  <c r="M222" i="4"/>
  <c r="J222" i="4"/>
  <c r="I222" i="4"/>
  <c r="K222" i="4" s="1"/>
  <c r="H222" i="4"/>
  <c r="Q221" i="4"/>
  <c r="I221" i="4"/>
  <c r="H221" i="4"/>
  <c r="Q220" i="4"/>
  <c r="I220" i="4"/>
  <c r="H220" i="4"/>
  <c r="Q219" i="4"/>
  <c r="I219" i="4"/>
  <c r="H219" i="4"/>
  <c r="Q218" i="4"/>
  <c r="M218" i="4"/>
  <c r="J218" i="4"/>
  <c r="I218" i="4"/>
  <c r="H218" i="4"/>
  <c r="Q217" i="4"/>
  <c r="I217" i="4"/>
  <c r="H217" i="4"/>
  <c r="Q216" i="4"/>
  <c r="J216" i="4"/>
  <c r="I216" i="4"/>
  <c r="H216" i="4"/>
  <c r="M216" i="4" s="1"/>
  <c r="Q215" i="4"/>
  <c r="J215" i="4"/>
  <c r="K215" i="4" s="1"/>
  <c r="I215" i="4"/>
  <c r="H215" i="4"/>
  <c r="M215" i="4" s="1"/>
  <c r="Q214" i="4"/>
  <c r="M214" i="4"/>
  <c r="J214" i="4"/>
  <c r="I214" i="4"/>
  <c r="K214" i="4" s="1"/>
  <c r="H214" i="4"/>
  <c r="Q213" i="4"/>
  <c r="I213" i="4"/>
  <c r="H213" i="4"/>
  <c r="Q212" i="4"/>
  <c r="I212" i="4"/>
  <c r="H212" i="4"/>
  <c r="Q211" i="4"/>
  <c r="I211" i="4"/>
  <c r="H211" i="4"/>
  <c r="Q210" i="4"/>
  <c r="M210" i="4"/>
  <c r="K210" i="4"/>
  <c r="J210" i="4"/>
  <c r="I210" i="4"/>
  <c r="H210" i="4"/>
  <c r="Q209" i="4"/>
  <c r="I209" i="4"/>
  <c r="H209" i="4"/>
  <c r="Q208" i="4"/>
  <c r="I208" i="4"/>
  <c r="H208" i="4"/>
  <c r="Q207" i="4"/>
  <c r="I207" i="4"/>
  <c r="H207" i="4"/>
  <c r="Q206" i="4"/>
  <c r="M206" i="4"/>
  <c r="J206" i="4"/>
  <c r="I206" i="4"/>
  <c r="K206" i="4" s="1"/>
  <c r="H206" i="4"/>
  <c r="Q205" i="4"/>
  <c r="M205" i="4"/>
  <c r="K205" i="4"/>
  <c r="I205" i="4"/>
  <c r="H205" i="4"/>
  <c r="J205" i="4" s="1"/>
  <c r="Q204" i="4"/>
  <c r="M204" i="4"/>
  <c r="J204" i="4"/>
  <c r="I204" i="4"/>
  <c r="H204" i="4"/>
  <c r="Q203" i="4"/>
  <c r="J203" i="4"/>
  <c r="I203" i="4"/>
  <c r="H203" i="4"/>
  <c r="M203" i="4" s="1"/>
  <c r="Q202" i="4"/>
  <c r="M202" i="4"/>
  <c r="J202" i="4"/>
  <c r="I202" i="4"/>
  <c r="H202" i="4"/>
  <c r="Q201" i="4"/>
  <c r="K201" i="4"/>
  <c r="I201" i="4"/>
  <c r="H201" i="4"/>
  <c r="J201" i="4" s="1"/>
  <c r="Q200" i="4"/>
  <c r="M200" i="4"/>
  <c r="J200" i="4"/>
  <c r="I200" i="4"/>
  <c r="H200" i="4"/>
  <c r="Q199" i="4"/>
  <c r="K199" i="4"/>
  <c r="J199" i="4"/>
  <c r="I199" i="4"/>
  <c r="H199" i="4"/>
  <c r="M199" i="4" s="1"/>
  <c r="Q198" i="4"/>
  <c r="M198" i="4"/>
  <c r="J198" i="4"/>
  <c r="K198" i="4" s="1"/>
  <c r="I198" i="4"/>
  <c r="H198" i="4"/>
  <c r="Q197" i="4"/>
  <c r="M197" i="4"/>
  <c r="I197" i="4"/>
  <c r="H197" i="4"/>
  <c r="J197" i="4" s="1"/>
  <c r="K197" i="4" s="1"/>
  <c r="Q196" i="4"/>
  <c r="I196" i="4"/>
  <c r="H196" i="4"/>
  <c r="Q195" i="4"/>
  <c r="I195" i="4"/>
  <c r="H195" i="4"/>
  <c r="Q194" i="4"/>
  <c r="M194" i="4"/>
  <c r="J194" i="4"/>
  <c r="I194" i="4"/>
  <c r="H194" i="4"/>
  <c r="Q193" i="4"/>
  <c r="I193" i="4"/>
  <c r="H193" i="4"/>
  <c r="Q192" i="4"/>
  <c r="M192" i="4"/>
  <c r="I192" i="4"/>
  <c r="K192" i="4" s="1"/>
  <c r="H192" i="4"/>
  <c r="J192" i="4" s="1"/>
  <c r="Q191" i="4"/>
  <c r="J191" i="4"/>
  <c r="I191" i="4"/>
  <c r="H191" i="4"/>
  <c r="M191" i="4" s="1"/>
  <c r="Q190" i="4"/>
  <c r="M190" i="4"/>
  <c r="J190" i="4"/>
  <c r="K190" i="4" s="1"/>
  <c r="I190" i="4"/>
  <c r="H190" i="4"/>
  <c r="Q189" i="4"/>
  <c r="M189" i="4"/>
  <c r="I189" i="4"/>
  <c r="H189" i="4"/>
  <c r="J189" i="4" s="1"/>
  <c r="K189" i="4" s="1"/>
  <c r="Q188" i="4"/>
  <c r="J188" i="4"/>
  <c r="I188" i="4"/>
  <c r="K188" i="4" s="1"/>
  <c r="H188" i="4"/>
  <c r="M188" i="4" s="1"/>
  <c r="Q187" i="4"/>
  <c r="J187" i="4"/>
  <c r="I187" i="4"/>
  <c r="K187" i="4" s="1"/>
  <c r="H187" i="4"/>
  <c r="M187" i="4" s="1"/>
  <c r="Q186" i="4"/>
  <c r="I186" i="4"/>
  <c r="H186" i="4"/>
  <c r="Q185" i="4"/>
  <c r="M185" i="4"/>
  <c r="J185" i="4"/>
  <c r="K185" i="4" s="1"/>
  <c r="I185" i="4"/>
  <c r="H185" i="4"/>
  <c r="Q184" i="4"/>
  <c r="J184" i="4"/>
  <c r="I184" i="4"/>
  <c r="H184" i="4"/>
  <c r="M184" i="4" s="1"/>
  <c r="Q183" i="4"/>
  <c r="I183" i="4"/>
  <c r="H183" i="4"/>
  <c r="Q182" i="4"/>
  <c r="M182" i="4"/>
  <c r="I182" i="4"/>
  <c r="K182" i="4" s="1"/>
  <c r="H182" i="4"/>
  <c r="J182" i="4" s="1"/>
  <c r="Q181" i="4"/>
  <c r="J181" i="4"/>
  <c r="K181" i="4" s="1"/>
  <c r="I181" i="4"/>
  <c r="H181" i="4"/>
  <c r="M181" i="4" s="1"/>
  <c r="Q180" i="4"/>
  <c r="J180" i="4"/>
  <c r="I180" i="4"/>
  <c r="H180" i="4"/>
  <c r="M180" i="4" s="1"/>
  <c r="Q179" i="4"/>
  <c r="I179" i="4"/>
  <c r="H179" i="4"/>
  <c r="Q178" i="4"/>
  <c r="M178" i="4"/>
  <c r="J178" i="4"/>
  <c r="I178" i="4"/>
  <c r="H178" i="4"/>
  <c r="Q177" i="4"/>
  <c r="I177" i="4"/>
  <c r="H177" i="4"/>
  <c r="Q176" i="4"/>
  <c r="M176" i="4"/>
  <c r="I176" i="4"/>
  <c r="H176" i="4"/>
  <c r="J176" i="4" s="1"/>
  <c r="Q175" i="4"/>
  <c r="I175" i="4"/>
  <c r="H175" i="4"/>
  <c r="Q174" i="4"/>
  <c r="M174" i="4"/>
  <c r="J174" i="4"/>
  <c r="K174" i="4" s="1"/>
  <c r="I174" i="4"/>
  <c r="H174" i="4"/>
  <c r="Q173" i="4"/>
  <c r="I173" i="4"/>
  <c r="H173" i="4"/>
  <c r="Q172" i="4"/>
  <c r="M172" i="4"/>
  <c r="J172" i="4"/>
  <c r="I172" i="4"/>
  <c r="H172" i="4"/>
  <c r="Q171" i="4"/>
  <c r="I171" i="4"/>
  <c r="H171" i="4"/>
  <c r="Q170" i="4"/>
  <c r="I170" i="4"/>
  <c r="H170" i="4"/>
  <c r="Q169" i="4"/>
  <c r="J169" i="4"/>
  <c r="K169" i="4" s="1"/>
  <c r="I169" i="4"/>
  <c r="H169" i="4"/>
  <c r="M169" i="4" s="1"/>
  <c r="Q168" i="4"/>
  <c r="M168" i="4"/>
  <c r="J168" i="4"/>
  <c r="I168" i="4"/>
  <c r="H168" i="4"/>
  <c r="Q167" i="4"/>
  <c r="J167" i="4"/>
  <c r="K167" i="4" s="1"/>
  <c r="I167" i="4"/>
  <c r="H167" i="4"/>
  <c r="M167" i="4" s="1"/>
  <c r="Q166" i="4"/>
  <c r="M166" i="4"/>
  <c r="I166" i="4"/>
  <c r="K166" i="4" s="1"/>
  <c r="H166" i="4"/>
  <c r="J166" i="4" s="1"/>
  <c r="Q165" i="4"/>
  <c r="J165" i="4"/>
  <c r="K165" i="4" s="1"/>
  <c r="I165" i="4"/>
  <c r="H165" i="4"/>
  <c r="M165" i="4" s="1"/>
  <c r="Q164" i="4"/>
  <c r="I164" i="4"/>
  <c r="H47" i="3" s="1"/>
  <c r="H164" i="4"/>
  <c r="Q163" i="4"/>
  <c r="I163" i="4"/>
  <c r="H163" i="4"/>
  <c r="Q162" i="4"/>
  <c r="M162" i="4"/>
  <c r="J162" i="4"/>
  <c r="K162" i="4" s="1"/>
  <c r="I162" i="4"/>
  <c r="H162" i="4"/>
  <c r="Q161" i="4"/>
  <c r="I161" i="4"/>
  <c r="H161" i="4"/>
  <c r="Q160" i="4"/>
  <c r="M160" i="4"/>
  <c r="I160" i="4"/>
  <c r="K160" i="4" s="1"/>
  <c r="H160" i="4"/>
  <c r="J160" i="4" s="1"/>
  <c r="Q159" i="4"/>
  <c r="J159" i="4"/>
  <c r="I159" i="4"/>
  <c r="H159" i="4"/>
  <c r="M159" i="4" s="1"/>
  <c r="Q158" i="4"/>
  <c r="M158" i="4"/>
  <c r="J158" i="4"/>
  <c r="K158" i="4" s="1"/>
  <c r="I158" i="4"/>
  <c r="H158" i="4"/>
  <c r="Q157" i="4"/>
  <c r="M157" i="4"/>
  <c r="J157" i="4"/>
  <c r="K157" i="4" s="1"/>
  <c r="I157" i="4"/>
  <c r="H157" i="4"/>
  <c r="Q156" i="4"/>
  <c r="J156" i="4"/>
  <c r="I156" i="4"/>
  <c r="K156" i="4" s="1"/>
  <c r="H156" i="4"/>
  <c r="M156" i="4" s="1"/>
  <c r="Q155" i="4"/>
  <c r="J155" i="4"/>
  <c r="I155" i="4"/>
  <c r="K155" i="4" s="1"/>
  <c r="H155" i="4"/>
  <c r="M155" i="4" s="1"/>
  <c r="Q154" i="4"/>
  <c r="M154" i="4"/>
  <c r="K154" i="4"/>
  <c r="J154" i="4"/>
  <c r="I154" i="4"/>
  <c r="H154" i="4"/>
  <c r="Q153" i="4"/>
  <c r="M153" i="4"/>
  <c r="L153" i="4"/>
  <c r="N153" i="4" s="1"/>
  <c r="J153" i="4"/>
  <c r="K153" i="4" s="1"/>
  <c r="I153" i="4"/>
  <c r="H153" i="4"/>
  <c r="Q152" i="4"/>
  <c r="J152" i="4"/>
  <c r="I152" i="4"/>
  <c r="H152" i="4"/>
  <c r="M152" i="4" s="1"/>
  <c r="Q151" i="4"/>
  <c r="I151" i="4"/>
  <c r="H151" i="4"/>
  <c r="Q150" i="4"/>
  <c r="M150" i="4"/>
  <c r="I150" i="4"/>
  <c r="K150" i="4" s="1"/>
  <c r="H150" i="4"/>
  <c r="J150" i="4" s="1"/>
  <c r="Q149" i="4"/>
  <c r="K149" i="4"/>
  <c r="J149" i="4"/>
  <c r="I149" i="4"/>
  <c r="H149" i="4"/>
  <c r="M149" i="4" s="1"/>
  <c r="Q148" i="4"/>
  <c r="I148" i="4"/>
  <c r="H148" i="4"/>
  <c r="Q147" i="4"/>
  <c r="I147" i="4"/>
  <c r="H147" i="4"/>
  <c r="Q146" i="4"/>
  <c r="M146" i="4"/>
  <c r="J146" i="4"/>
  <c r="I146" i="4"/>
  <c r="H146" i="4"/>
  <c r="Q145" i="4"/>
  <c r="I145" i="4"/>
  <c r="H145" i="4"/>
  <c r="Q144" i="4"/>
  <c r="J144" i="4"/>
  <c r="I144" i="4"/>
  <c r="K144" i="4" s="1"/>
  <c r="H144" i="4"/>
  <c r="M144" i="4" s="1"/>
  <c r="Q143" i="4"/>
  <c r="I143" i="4"/>
  <c r="H143" i="4"/>
  <c r="Q142" i="4"/>
  <c r="J142" i="4"/>
  <c r="I142" i="4"/>
  <c r="K142" i="4" s="1"/>
  <c r="H142" i="4"/>
  <c r="M142" i="4" s="1"/>
  <c r="Q141" i="4"/>
  <c r="M141" i="4"/>
  <c r="I141" i="4"/>
  <c r="H141" i="4"/>
  <c r="J141" i="4" s="1"/>
  <c r="K141" i="4" s="1"/>
  <c r="Q140" i="4"/>
  <c r="M140" i="4"/>
  <c r="J140" i="4"/>
  <c r="I140" i="4"/>
  <c r="K140" i="4" s="1"/>
  <c r="H140" i="4"/>
  <c r="Q139" i="4"/>
  <c r="I139" i="4"/>
  <c r="H139" i="4"/>
  <c r="Q138" i="4"/>
  <c r="M138" i="4"/>
  <c r="I138" i="4"/>
  <c r="K138" i="4" s="1"/>
  <c r="H138" i="4"/>
  <c r="J138" i="4" s="1"/>
  <c r="Q137" i="4"/>
  <c r="J137" i="4"/>
  <c r="K137" i="4" s="1"/>
  <c r="I137" i="4"/>
  <c r="H137" i="4"/>
  <c r="M137" i="4" s="1"/>
  <c r="Q136" i="4"/>
  <c r="J136" i="4"/>
  <c r="I136" i="4"/>
  <c r="H136" i="4"/>
  <c r="M136" i="4" s="1"/>
  <c r="Q135" i="4"/>
  <c r="J135" i="4"/>
  <c r="I135" i="4"/>
  <c r="K135" i="4" s="1"/>
  <c r="H135" i="4"/>
  <c r="M135" i="4" s="1"/>
  <c r="Q134" i="4"/>
  <c r="M134" i="4"/>
  <c r="J134" i="4"/>
  <c r="I134" i="4"/>
  <c r="H134" i="4"/>
  <c r="Q133" i="4"/>
  <c r="I133" i="4"/>
  <c r="H133" i="4"/>
  <c r="Q132" i="4"/>
  <c r="M132" i="4"/>
  <c r="I132" i="4"/>
  <c r="H132" i="4"/>
  <c r="J132" i="4" s="1"/>
  <c r="Q131" i="4"/>
  <c r="J131" i="4"/>
  <c r="K131" i="4" s="1"/>
  <c r="I131" i="4"/>
  <c r="H131" i="4"/>
  <c r="M131" i="4" s="1"/>
  <c r="Q130" i="4"/>
  <c r="M130" i="4"/>
  <c r="K130" i="4"/>
  <c r="J130" i="4"/>
  <c r="I130" i="4"/>
  <c r="H130" i="4"/>
  <c r="Q129" i="4"/>
  <c r="M129" i="4"/>
  <c r="I129" i="4"/>
  <c r="H129" i="4"/>
  <c r="J129" i="4" s="1"/>
  <c r="K129" i="4" s="1"/>
  <c r="Q128" i="4"/>
  <c r="J128" i="4"/>
  <c r="I128" i="4"/>
  <c r="K128" i="4" s="1"/>
  <c r="H128" i="4"/>
  <c r="M128" i="4" s="1"/>
  <c r="Q127" i="4"/>
  <c r="I127" i="4"/>
  <c r="H127" i="4"/>
  <c r="Q126" i="4"/>
  <c r="I126" i="4"/>
  <c r="H126" i="4"/>
  <c r="Q125" i="4"/>
  <c r="M125" i="4"/>
  <c r="J125" i="4"/>
  <c r="K125" i="4" s="1"/>
  <c r="I125" i="4"/>
  <c r="H125" i="4"/>
  <c r="Q124" i="4"/>
  <c r="M124" i="4"/>
  <c r="J124" i="4"/>
  <c r="I124" i="4"/>
  <c r="H124" i="4"/>
  <c r="Q123" i="4"/>
  <c r="I123" i="4"/>
  <c r="H123" i="4"/>
  <c r="Q122" i="4"/>
  <c r="M122" i="4"/>
  <c r="I122" i="4"/>
  <c r="H122" i="4"/>
  <c r="J122" i="4" s="1"/>
  <c r="Q121" i="4"/>
  <c r="J121" i="4"/>
  <c r="K121" i="4" s="1"/>
  <c r="I121" i="4"/>
  <c r="H121" i="4"/>
  <c r="M121" i="4" s="1"/>
  <c r="Q120" i="4"/>
  <c r="I120" i="4"/>
  <c r="H120" i="4"/>
  <c r="Q119" i="4"/>
  <c r="J119" i="4"/>
  <c r="I119" i="4"/>
  <c r="H119" i="4"/>
  <c r="M119" i="4" s="1"/>
  <c r="Q118" i="4"/>
  <c r="M118" i="4"/>
  <c r="J118" i="4"/>
  <c r="I118" i="4"/>
  <c r="K118" i="4" s="1"/>
  <c r="H118" i="4"/>
  <c r="Q117" i="4"/>
  <c r="M117" i="4"/>
  <c r="K117" i="4"/>
  <c r="I117" i="4"/>
  <c r="H117" i="4"/>
  <c r="J117" i="4" s="1"/>
  <c r="Q116" i="4"/>
  <c r="I116" i="4"/>
  <c r="H116" i="4"/>
  <c r="J116" i="4" s="1"/>
  <c r="Q115" i="4"/>
  <c r="J115" i="4"/>
  <c r="I115" i="4"/>
  <c r="H115" i="4"/>
  <c r="M115" i="4" s="1"/>
  <c r="Q114" i="4"/>
  <c r="J114" i="4"/>
  <c r="K114" i="4" s="1"/>
  <c r="I114" i="4"/>
  <c r="H114" i="4"/>
  <c r="M114" i="4" s="1"/>
  <c r="Q113" i="4"/>
  <c r="I113" i="4"/>
  <c r="H113" i="4"/>
  <c r="J113" i="4" s="1"/>
  <c r="K113" i="4" s="1"/>
  <c r="Q112" i="4"/>
  <c r="M112" i="4"/>
  <c r="J112" i="4"/>
  <c r="I112" i="4"/>
  <c r="K112" i="4" s="1"/>
  <c r="H112" i="4"/>
  <c r="Q111" i="4"/>
  <c r="J111" i="4"/>
  <c r="K111" i="4" s="1"/>
  <c r="I111" i="4"/>
  <c r="H111" i="4"/>
  <c r="M111" i="4" s="1"/>
  <c r="Q110" i="4"/>
  <c r="I110" i="4"/>
  <c r="H110" i="4"/>
  <c r="Q109" i="4"/>
  <c r="M109" i="4"/>
  <c r="J109" i="4"/>
  <c r="K109" i="4" s="1"/>
  <c r="I109" i="4"/>
  <c r="H109" i="4"/>
  <c r="Q108" i="4"/>
  <c r="J108" i="4"/>
  <c r="I108" i="4"/>
  <c r="H108" i="4"/>
  <c r="M108" i="4" s="1"/>
  <c r="Q107" i="4"/>
  <c r="I107" i="4"/>
  <c r="H107" i="4"/>
  <c r="Q106" i="4"/>
  <c r="J106" i="4"/>
  <c r="I106" i="4"/>
  <c r="H106" i="4"/>
  <c r="M106" i="4" s="1"/>
  <c r="Q105" i="4"/>
  <c r="M105" i="4"/>
  <c r="J105" i="4"/>
  <c r="K105" i="4" s="1"/>
  <c r="I105" i="4"/>
  <c r="H105" i="4"/>
  <c r="Q104" i="4"/>
  <c r="I104" i="4"/>
  <c r="H104" i="4"/>
  <c r="J104" i="4" s="1"/>
  <c r="Q103" i="4"/>
  <c r="I103" i="4"/>
  <c r="H103" i="4"/>
  <c r="Q102" i="4"/>
  <c r="M102" i="4"/>
  <c r="J102" i="4"/>
  <c r="I102" i="4"/>
  <c r="H102" i="4"/>
  <c r="Q101" i="4"/>
  <c r="I101" i="4"/>
  <c r="H101" i="4"/>
  <c r="Q100" i="4"/>
  <c r="M100" i="4"/>
  <c r="J100" i="4"/>
  <c r="I100" i="4"/>
  <c r="H100" i="4"/>
  <c r="Q99" i="4"/>
  <c r="J99" i="4"/>
  <c r="K99" i="4" s="1"/>
  <c r="I99" i="4"/>
  <c r="H99" i="4"/>
  <c r="M99" i="4" s="1"/>
  <c r="Q98" i="4"/>
  <c r="M98" i="4"/>
  <c r="K98" i="4"/>
  <c r="J98" i="4"/>
  <c r="I98" i="4"/>
  <c r="H98" i="4"/>
  <c r="Q97" i="4"/>
  <c r="M97" i="4"/>
  <c r="I97" i="4"/>
  <c r="H97" i="4"/>
  <c r="J97" i="4" s="1"/>
  <c r="K97" i="4" s="1"/>
  <c r="Q96" i="4"/>
  <c r="I96" i="4"/>
  <c r="H96" i="4"/>
  <c r="Q95" i="4"/>
  <c r="I95" i="4"/>
  <c r="H95" i="4"/>
  <c r="Q94" i="4"/>
  <c r="I94" i="4"/>
  <c r="H94" i="4"/>
  <c r="Q93" i="4"/>
  <c r="M93" i="4"/>
  <c r="J93" i="4"/>
  <c r="K93" i="4" s="1"/>
  <c r="I93" i="4"/>
  <c r="H93" i="4"/>
  <c r="Q92" i="4"/>
  <c r="M92" i="4"/>
  <c r="J92" i="4"/>
  <c r="I92" i="4"/>
  <c r="H92" i="4"/>
  <c r="Q91" i="4"/>
  <c r="I91" i="4"/>
  <c r="H91" i="4"/>
  <c r="M91" i="4" s="1"/>
  <c r="Q90" i="4"/>
  <c r="M90" i="4"/>
  <c r="I90" i="4"/>
  <c r="K90" i="4" s="1"/>
  <c r="H90" i="4"/>
  <c r="J90" i="4" s="1"/>
  <c r="Q89" i="4"/>
  <c r="M89" i="4"/>
  <c r="I89" i="4"/>
  <c r="H89" i="4"/>
  <c r="J89" i="4" s="1"/>
  <c r="K89" i="4" s="1"/>
  <c r="Q88" i="4"/>
  <c r="M88" i="4"/>
  <c r="I88" i="4"/>
  <c r="H88" i="4"/>
  <c r="J88" i="4" s="1"/>
  <c r="Q87" i="4"/>
  <c r="I87" i="4"/>
  <c r="H87" i="4"/>
  <c r="Q86" i="4"/>
  <c r="I86" i="4"/>
  <c r="K86" i="4" s="1"/>
  <c r="H86" i="4"/>
  <c r="J86" i="4" s="1"/>
  <c r="Q85" i="4"/>
  <c r="M85" i="4"/>
  <c r="J85" i="4"/>
  <c r="K85" i="4" s="1"/>
  <c r="I85" i="4"/>
  <c r="H85" i="4"/>
  <c r="Q84" i="4"/>
  <c r="M84" i="4"/>
  <c r="I84" i="4"/>
  <c r="K84" i="4" s="1"/>
  <c r="H84" i="4"/>
  <c r="J84" i="4" s="1"/>
  <c r="Q83" i="4"/>
  <c r="J83" i="4"/>
  <c r="I83" i="4"/>
  <c r="H83" i="4"/>
  <c r="M83" i="4" s="1"/>
  <c r="Q82" i="4"/>
  <c r="M82" i="4"/>
  <c r="J82" i="4"/>
  <c r="K82" i="4" s="1"/>
  <c r="I82" i="4"/>
  <c r="H82" i="4"/>
  <c r="Q81" i="4"/>
  <c r="I81" i="4"/>
  <c r="H81" i="4"/>
  <c r="Q80" i="4"/>
  <c r="I80" i="4"/>
  <c r="H80" i="4"/>
  <c r="Q79" i="4"/>
  <c r="J79" i="4"/>
  <c r="I79" i="4"/>
  <c r="K79" i="4" s="1"/>
  <c r="H79" i="4"/>
  <c r="M79" i="4" s="1"/>
  <c r="Q78" i="4"/>
  <c r="M78" i="4"/>
  <c r="J78" i="4"/>
  <c r="K78" i="4" s="1"/>
  <c r="I78" i="4"/>
  <c r="H78" i="4"/>
  <c r="Q77" i="4"/>
  <c r="J77" i="4"/>
  <c r="K77" i="4" s="1"/>
  <c r="I77" i="4"/>
  <c r="H77" i="4"/>
  <c r="M77" i="4" s="1"/>
  <c r="Q76" i="4"/>
  <c r="J76" i="4"/>
  <c r="I76" i="4"/>
  <c r="H76" i="4"/>
  <c r="M76" i="4" s="1"/>
  <c r="Q75" i="4"/>
  <c r="K75" i="4"/>
  <c r="J75" i="4"/>
  <c r="I75" i="4"/>
  <c r="H75" i="4"/>
  <c r="M75" i="4" s="1"/>
  <c r="Q74" i="4"/>
  <c r="K74" i="4"/>
  <c r="J74" i="4"/>
  <c r="I74" i="4"/>
  <c r="H74" i="4"/>
  <c r="M74" i="4" s="1"/>
  <c r="Q73" i="4"/>
  <c r="M73" i="4"/>
  <c r="K73" i="4"/>
  <c r="J73" i="4"/>
  <c r="I73" i="4"/>
  <c r="H73" i="4"/>
  <c r="Q72" i="4"/>
  <c r="I72" i="4"/>
  <c r="H72" i="4"/>
  <c r="J72" i="4" s="1"/>
  <c r="Q71" i="4"/>
  <c r="J71" i="4"/>
  <c r="I71" i="4"/>
  <c r="K71" i="4" s="1"/>
  <c r="H71" i="4"/>
  <c r="M71" i="4" s="1"/>
  <c r="Q70" i="4"/>
  <c r="M70" i="4"/>
  <c r="J70" i="4"/>
  <c r="K70" i="4" s="1"/>
  <c r="I70" i="4"/>
  <c r="H70" i="4"/>
  <c r="Q69" i="4"/>
  <c r="I69" i="4"/>
  <c r="H69" i="4"/>
  <c r="Q68" i="4"/>
  <c r="J68" i="4"/>
  <c r="I68" i="4"/>
  <c r="K68" i="4" s="1"/>
  <c r="H68" i="4"/>
  <c r="M68" i="4" s="1"/>
  <c r="Q67" i="4"/>
  <c r="K67" i="4"/>
  <c r="J67" i="4"/>
  <c r="I67" i="4"/>
  <c r="H67" i="4"/>
  <c r="M67" i="4" s="1"/>
  <c r="Q66" i="4"/>
  <c r="K66" i="4"/>
  <c r="I66" i="4"/>
  <c r="H66" i="4"/>
  <c r="J66" i="4" s="1"/>
  <c r="Q65" i="4"/>
  <c r="M65" i="4"/>
  <c r="J65" i="4"/>
  <c r="K65" i="4" s="1"/>
  <c r="I65" i="4"/>
  <c r="H65" i="4"/>
  <c r="Q64" i="4"/>
  <c r="M64" i="4"/>
  <c r="J64" i="4"/>
  <c r="I64" i="4"/>
  <c r="H64" i="4"/>
  <c r="Q63" i="4"/>
  <c r="I63" i="4"/>
  <c r="H63" i="4"/>
  <c r="Q62" i="4"/>
  <c r="I62" i="4"/>
  <c r="H62" i="4"/>
  <c r="Q61" i="4"/>
  <c r="K61" i="4"/>
  <c r="J61" i="4"/>
  <c r="I61" i="4"/>
  <c r="H61" i="4"/>
  <c r="M61" i="4" s="1"/>
  <c r="Q60" i="4"/>
  <c r="M60" i="4"/>
  <c r="I60" i="4"/>
  <c r="H60" i="4"/>
  <c r="J60" i="4" s="1"/>
  <c r="Q59" i="4"/>
  <c r="I59" i="4"/>
  <c r="H59" i="4"/>
  <c r="Q58" i="4"/>
  <c r="M58" i="4"/>
  <c r="J58" i="4"/>
  <c r="K58" i="4" s="1"/>
  <c r="I58" i="4"/>
  <c r="H58" i="4"/>
  <c r="Q57" i="4"/>
  <c r="I57" i="4"/>
  <c r="H57" i="4"/>
  <c r="Q56" i="4"/>
  <c r="J56" i="4"/>
  <c r="K56" i="4" s="1"/>
  <c r="I56" i="4"/>
  <c r="H56" i="4"/>
  <c r="M56" i="4" s="1"/>
  <c r="Q55" i="4"/>
  <c r="M55" i="4"/>
  <c r="I55" i="4"/>
  <c r="H55" i="4"/>
  <c r="J55" i="4" s="1"/>
  <c r="Q54" i="4"/>
  <c r="M54" i="4"/>
  <c r="J54" i="4"/>
  <c r="K54" i="4" s="1"/>
  <c r="I54" i="4"/>
  <c r="H54" i="4"/>
  <c r="Q53" i="4"/>
  <c r="I53" i="4"/>
  <c r="H53" i="4"/>
  <c r="Q52" i="4"/>
  <c r="J52" i="4"/>
  <c r="K52" i="4" s="1"/>
  <c r="I52" i="4"/>
  <c r="H52" i="4"/>
  <c r="M52" i="4" s="1"/>
  <c r="Q51" i="4"/>
  <c r="M51" i="4"/>
  <c r="I51" i="4"/>
  <c r="H51" i="4"/>
  <c r="J51" i="4" s="1"/>
  <c r="Q50" i="4"/>
  <c r="M50" i="4"/>
  <c r="J50" i="4"/>
  <c r="K50" i="4" s="1"/>
  <c r="I50" i="4"/>
  <c r="H50" i="4"/>
  <c r="Q49" i="4"/>
  <c r="I49" i="4"/>
  <c r="H49" i="4"/>
  <c r="Q48" i="4"/>
  <c r="J48" i="4"/>
  <c r="K48" i="4" s="1"/>
  <c r="I48" i="4"/>
  <c r="H48" i="4"/>
  <c r="M48" i="4" s="1"/>
  <c r="Q47" i="4"/>
  <c r="M47" i="4"/>
  <c r="I47" i="4"/>
  <c r="H47" i="4"/>
  <c r="J47" i="4" s="1"/>
  <c r="Q46" i="4"/>
  <c r="M46" i="4"/>
  <c r="J46" i="4"/>
  <c r="K46" i="4" s="1"/>
  <c r="I46" i="4"/>
  <c r="H46" i="4"/>
  <c r="Q45" i="4"/>
  <c r="I45" i="4"/>
  <c r="H45" i="4"/>
  <c r="Q44" i="4"/>
  <c r="J44" i="4"/>
  <c r="K44" i="4" s="1"/>
  <c r="I44" i="4"/>
  <c r="H44" i="4"/>
  <c r="M44" i="4" s="1"/>
  <c r="Q43" i="4"/>
  <c r="M43" i="4"/>
  <c r="I43" i="4"/>
  <c r="H43" i="4"/>
  <c r="J43" i="4" s="1"/>
  <c r="Q42" i="4"/>
  <c r="M42" i="4"/>
  <c r="J42" i="4"/>
  <c r="K42" i="4" s="1"/>
  <c r="I42" i="4"/>
  <c r="H42" i="4"/>
  <c r="Q41" i="4"/>
  <c r="I41" i="4"/>
  <c r="H41" i="4"/>
  <c r="Q40" i="4"/>
  <c r="J40" i="4"/>
  <c r="K40" i="4" s="1"/>
  <c r="I40" i="4"/>
  <c r="H40" i="4"/>
  <c r="M40" i="4" s="1"/>
  <c r="Q39" i="4"/>
  <c r="M39" i="4"/>
  <c r="I39" i="4"/>
  <c r="H39" i="4"/>
  <c r="J39" i="4" s="1"/>
  <c r="Q38" i="4"/>
  <c r="M38" i="4"/>
  <c r="J38" i="4"/>
  <c r="K38" i="4" s="1"/>
  <c r="I38" i="4"/>
  <c r="H38" i="4"/>
  <c r="Q37" i="4"/>
  <c r="I37" i="4"/>
  <c r="H37" i="4"/>
  <c r="Q36" i="4"/>
  <c r="J36" i="4"/>
  <c r="K36" i="4" s="1"/>
  <c r="I36" i="4"/>
  <c r="H36" i="4"/>
  <c r="M36" i="4" s="1"/>
  <c r="Q35" i="4"/>
  <c r="M35" i="4"/>
  <c r="I35" i="4"/>
  <c r="H35" i="4"/>
  <c r="J35" i="4" s="1"/>
  <c r="Q34" i="4"/>
  <c r="M34" i="4"/>
  <c r="J34" i="4"/>
  <c r="K34" i="4" s="1"/>
  <c r="I34" i="4"/>
  <c r="H34" i="4"/>
  <c r="Q33" i="4"/>
  <c r="I33" i="4"/>
  <c r="H33" i="4"/>
  <c r="Q32" i="4"/>
  <c r="J32" i="4"/>
  <c r="K32" i="4" s="1"/>
  <c r="I32" i="4"/>
  <c r="H32" i="4"/>
  <c r="M32" i="4" s="1"/>
  <c r="Q31" i="4"/>
  <c r="I31" i="4"/>
  <c r="H31" i="4"/>
  <c r="J31" i="4" s="1"/>
  <c r="Q30" i="4"/>
  <c r="M30" i="4"/>
  <c r="J30" i="4"/>
  <c r="K30" i="4" s="1"/>
  <c r="I30" i="4"/>
  <c r="H30" i="4"/>
  <c r="Q29" i="4"/>
  <c r="M29" i="4"/>
  <c r="I29" i="4"/>
  <c r="H29" i="4"/>
  <c r="J29" i="4" s="1"/>
  <c r="Q28" i="4"/>
  <c r="J28" i="4"/>
  <c r="K28" i="4" s="1"/>
  <c r="I28" i="4"/>
  <c r="H28" i="4"/>
  <c r="M28" i="4" s="1"/>
  <c r="Q27" i="4"/>
  <c r="I27" i="4"/>
  <c r="H27" i="4"/>
  <c r="Q26" i="4"/>
  <c r="M26" i="4"/>
  <c r="K26" i="4"/>
  <c r="J26" i="4"/>
  <c r="I26" i="4"/>
  <c r="H26" i="4"/>
  <c r="Q25" i="4"/>
  <c r="I25" i="4"/>
  <c r="K25" i="4" s="1"/>
  <c r="H25" i="4"/>
  <c r="J25" i="4" s="1"/>
  <c r="Q24" i="4"/>
  <c r="J24" i="4"/>
  <c r="K24" i="4" s="1"/>
  <c r="I24" i="4"/>
  <c r="H24" i="4"/>
  <c r="M24" i="4" s="1"/>
  <c r="Q23" i="4"/>
  <c r="M23" i="4"/>
  <c r="I23" i="4"/>
  <c r="H23" i="4"/>
  <c r="J23" i="4" s="1"/>
  <c r="Q22" i="4"/>
  <c r="M22" i="4"/>
  <c r="K22" i="4"/>
  <c r="J22" i="4"/>
  <c r="I22" i="4"/>
  <c r="H22" i="4"/>
  <c r="Q21" i="4"/>
  <c r="I21" i="4"/>
  <c r="K21" i="4" s="1"/>
  <c r="H21" i="4"/>
  <c r="J21" i="4" s="1"/>
  <c r="Q20" i="4"/>
  <c r="K20" i="4"/>
  <c r="J20" i="4"/>
  <c r="I20" i="4"/>
  <c r="H20" i="4"/>
  <c r="M20" i="4" s="1"/>
  <c r="Q19" i="4"/>
  <c r="I19" i="4"/>
  <c r="K19" i="4" s="1"/>
  <c r="H19" i="4"/>
  <c r="J19" i="4" s="1"/>
  <c r="Q18" i="4"/>
  <c r="M18" i="4"/>
  <c r="K18" i="4"/>
  <c r="J18" i="4"/>
  <c r="I18" i="4"/>
  <c r="H18" i="4"/>
  <c r="Q17" i="4"/>
  <c r="M17" i="4"/>
  <c r="I17" i="4"/>
  <c r="K17" i="4" s="1"/>
  <c r="H17" i="4"/>
  <c r="J17" i="4" s="1"/>
  <c r="Q16" i="4"/>
  <c r="K16" i="4"/>
  <c r="J16" i="4"/>
  <c r="I16" i="4"/>
  <c r="H16" i="4"/>
  <c r="M16" i="4" s="1"/>
  <c r="Q15" i="4"/>
  <c r="I15" i="4"/>
  <c r="K15" i="4" s="1"/>
  <c r="H15" i="4"/>
  <c r="J15" i="4" s="1"/>
  <c r="Q14" i="4"/>
  <c r="M14" i="4"/>
  <c r="J14" i="4"/>
  <c r="K14" i="4" s="1"/>
  <c r="I14" i="4"/>
  <c r="H14" i="4"/>
  <c r="Q13" i="4"/>
  <c r="I13" i="4"/>
  <c r="H13" i="4"/>
  <c r="J13" i="4" s="1"/>
  <c r="Q12" i="4"/>
  <c r="K12" i="4"/>
  <c r="J12" i="4"/>
  <c r="I12" i="4"/>
  <c r="H12" i="4"/>
  <c r="M12" i="4" s="1"/>
  <c r="Q11" i="4"/>
  <c r="M11" i="4"/>
  <c r="I11" i="4"/>
  <c r="K11" i="4" s="1"/>
  <c r="H11" i="4"/>
  <c r="J11" i="4" s="1"/>
  <c r="Q10" i="4"/>
  <c r="M10" i="4"/>
  <c r="K10" i="4"/>
  <c r="J10" i="4"/>
  <c r="I10" i="4"/>
  <c r="H10" i="4"/>
  <c r="Q9" i="4"/>
  <c r="M9" i="4"/>
  <c r="I9" i="4"/>
  <c r="K9" i="4" s="1"/>
  <c r="H9" i="4"/>
  <c r="J9" i="4" s="1"/>
  <c r="Q8" i="4"/>
  <c r="J8" i="4"/>
  <c r="K8" i="4" s="1"/>
  <c r="I8" i="4"/>
  <c r="H8" i="4"/>
  <c r="M8" i="4" s="1"/>
  <c r="Q7" i="4"/>
  <c r="I7" i="4"/>
  <c r="H7" i="4"/>
  <c r="J7" i="4" s="1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R484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R373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O83" i="3"/>
  <c r="K83" i="3"/>
  <c r="I83" i="3"/>
  <c r="H83" i="3"/>
  <c r="J83" i="3" s="1"/>
  <c r="F83" i="3"/>
  <c r="E83" i="3"/>
  <c r="G83" i="3" s="1"/>
  <c r="P83" i="3" s="1"/>
  <c r="D83" i="3"/>
  <c r="O82" i="3"/>
  <c r="K82" i="3"/>
  <c r="P82" i="3" s="1"/>
  <c r="H82" i="3"/>
  <c r="J82" i="3" s="1"/>
  <c r="G82" i="3"/>
  <c r="I82" i="3" s="1"/>
  <c r="F82" i="3"/>
  <c r="E82" i="3"/>
  <c r="D82" i="3"/>
  <c r="O81" i="3"/>
  <c r="K81" i="3"/>
  <c r="J81" i="3"/>
  <c r="H81" i="3"/>
  <c r="G81" i="3"/>
  <c r="I81" i="3" s="1"/>
  <c r="F81" i="3"/>
  <c r="E81" i="3"/>
  <c r="D81" i="3"/>
  <c r="O80" i="3"/>
  <c r="N80" i="3"/>
  <c r="K80" i="3"/>
  <c r="H80" i="3"/>
  <c r="F80" i="3"/>
  <c r="E80" i="3"/>
  <c r="D80" i="3"/>
  <c r="O79" i="3"/>
  <c r="K79" i="3"/>
  <c r="I79" i="3"/>
  <c r="H79" i="3"/>
  <c r="F79" i="3"/>
  <c r="E79" i="3"/>
  <c r="G79" i="3" s="1"/>
  <c r="P79" i="3" s="1"/>
  <c r="D79" i="3"/>
  <c r="O78" i="3"/>
  <c r="L78" i="3"/>
  <c r="K78" i="3"/>
  <c r="P78" i="3" s="1"/>
  <c r="H78" i="3"/>
  <c r="J78" i="3" s="1"/>
  <c r="G78" i="3"/>
  <c r="I78" i="3" s="1"/>
  <c r="F78" i="3"/>
  <c r="E78" i="3"/>
  <c r="D78" i="3"/>
  <c r="O77" i="3"/>
  <c r="N77" i="3"/>
  <c r="K77" i="3"/>
  <c r="H77" i="3"/>
  <c r="G77" i="3"/>
  <c r="I77" i="3" s="1"/>
  <c r="J77" i="3" s="1"/>
  <c r="F77" i="3"/>
  <c r="E77" i="3"/>
  <c r="D77" i="3"/>
  <c r="O76" i="3"/>
  <c r="N76" i="3"/>
  <c r="K76" i="3"/>
  <c r="H76" i="3"/>
  <c r="F76" i="3"/>
  <c r="E76" i="3"/>
  <c r="D76" i="3"/>
  <c r="O75" i="3"/>
  <c r="K75" i="3"/>
  <c r="P75" i="3" s="1"/>
  <c r="H75" i="3"/>
  <c r="F75" i="3"/>
  <c r="E75" i="3"/>
  <c r="G75" i="3" s="1"/>
  <c r="I75" i="3" s="1"/>
  <c r="D75" i="3"/>
  <c r="P74" i="3"/>
  <c r="O74" i="3"/>
  <c r="K74" i="3"/>
  <c r="H74" i="3"/>
  <c r="G74" i="3"/>
  <c r="I74" i="3" s="1"/>
  <c r="F74" i="3"/>
  <c r="E74" i="3"/>
  <c r="D74" i="3"/>
  <c r="O73" i="3"/>
  <c r="K73" i="3"/>
  <c r="P73" i="3" s="1"/>
  <c r="F73" i="3"/>
  <c r="G73" i="3" s="1"/>
  <c r="I73" i="3" s="1"/>
  <c r="E73" i="3"/>
  <c r="D73" i="3"/>
  <c r="O72" i="3"/>
  <c r="K72" i="3"/>
  <c r="N72" i="3" s="1"/>
  <c r="H72" i="3"/>
  <c r="F72" i="3"/>
  <c r="E72" i="3"/>
  <c r="D72" i="3"/>
  <c r="O71" i="3"/>
  <c r="K71" i="3"/>
  <c r="H71" i="3"/>
  <c r="F71" i="3"/>
  <c r="E71" i="3"/>
  <c r="G71" i="3" s="1"/>
  <c r="D71" i="3"/>
  <c r="O70" i="3"/>
  <c r="K70" i="3"/>
  <c r="P70" i="3" s="1"/>
  <c r="I70" i="3"/>
  <c r="H70" i="3"/>
  <c r="G70" i="3"/>
  <c r="F70" i="3"/>
  <c r="E70" i="3"/>
  <c r="D70" i="3"/>
  <c r="P69" i="3"/>
  <c r="O69" i="3"/>
  <c r="N69" i="3"/>
  <c r="K69" i="3"/>
  <c r="H69" i="3"/>
  <c r="F69" i="3"/>
  <c r="E69" i="3"/>
  <c r="G69" i="3" s="1"/>
  <c r="I69" i="3" s="1"/>
  <c r="J69" i="3" s="1"/>
  <c r="D69" i="3"/>
  <c r="O68" i="3"/>
  <c r="K68" i="3"/>
  <c r="H68" i="3"/>
  <c r="G68" i="3"/>
  <c r="P68" i="3" s="1"/>
  <c r="F68" i="3"/>
  <c r="E68" i="3"/>
  <c r="D68" i="3"/>
  <c r="O67" i="3"/>
  <c r="K67" i="3"/>
  <c r="H67" i="3"/>
  <c r="F67" i="3"/>
  <c r="E67" i="3"/>
  <c r="D67" i="3"/>
  <c r="O66" i="3"/>
  <c r="M66" i="3"/>
  <c r="L66" i="3"/>
  <c r="K66" i="3"/>
  <c r="P66" i="3" s="1"/>
  <c r="H66" i="3"/>
  <c r="G66" i="3"/>
  <c r="I66" i="3" s="1"/>
  <c r="J66" i="3" s="1"/>
  <c r="F66" i="3"/>
  <c r="E66" i="3"/>
  <c r="D66" i="3"/>
  <c r="O65" i="3"/>
  <c r="K65" i="3"/>
  <c r="P65" i="3" s="1"/>
  <c r="I65" i="3"/>
  <c r="G65" i="3"/>
  <c r="F65" i="3"/>
  <c r="E65" i="3"/>
  <c r="D65" i="3"/>
  <c r="O64" i="3"/>
  <c r="K64" i="3"/>
  <c r="N64" i="3" s="1"/>
  <c r="H64" i="3"/>
  <c r="F64" i="3"/>
  <c r="E64" i="3"/>
  <c r="D64" i="3"/>
  <c r="O63" i="3"/>
  <c r="K63" i="3"/>
  <c r="P63" i="3" s="1"/>
  <c r="H63" i="3"/>
  <c r="J63" i="3" s="1"/>
  <c r="F63" i="3"/>
  <c r="E63" i="3"/>
  <c r="G63" i="3" s="1"/>
  <c r="I63" i="3" s="1"/>
  <c r="D63" i="3"/>
  <c r="O62" i="3"/>
  <c r="K62" i="3"/>
  <c r="P62" i="3" s="1"/>
  <c r="H62" i="3"/>
  <c r="F62" i="3"/>
  <c r="G62" i="3" s="1"/>
  <c r="I62" i="3" s="1"/>
  <c r="J62" i="3" s="1"/>
  <c r="E62" i="3"/>
  <c r="D62" i="3"/>
  <c r="O61" i="3"/>
  <c r="K61" i="3"/>
  <c r="N61" i="3" s="1"/>
  <c r="I61" i="3"/>
  <c r="H61" i="3"/>
  <c r="G61" i="3"/>
  <c r="P61" i="3" s="1"/>
  <c r="F61" i="3"/>
  <c r="E61" i="3"/>
  <c r="D61" i="3"/>
  <c r="P60" i="3"/>
  <c r="O60" i="3"/>
  <c r="N60" i="3"/>
  <c r="K60" i="3"/>
  <c r="H60" i="3"/>
  <c r="J60" i="3" s="1"/>
  <c r="G60" i="3"/>
  <c r="I60" i="3" s="1"/>
  <c r="F60" i="3"/>
  <c r="E60" i="3"/>
  <c r="D60" i="3"/>
  <c r="O59" i="3"/>
  <c r="N59" i="3"/>
  <c r="K59" i="3"/>
  <c r="H59" i="3"/>
  <c r="F59" i="3"/>
  <c r="G59" i="3" s="1"/>
  <c r="E59" i="3"/>
  <c r="D59" i="3"/>
  <c r="O58" i="3"/>
  <c r="N58" i="3"/>
  <c r="K58" i="3"/>
  <c r="H58" i="3"/>
  <c r="F58" i="3"/>
  <c r="E58" i="3"/>
  <c r="D58" i="3"/>
  <c r="O57" i="3"/>
  <c r="K57" i="3"/>
  <c r="H57" i="3"/>
  <c r="F57" i="3"/>
  <c r="E57" i="3"/>
  <c r="G57" i="3" s="1"/>
  <c r="I57" i="3" s="1"/>
  <c r="D57" i="3"/>
  <c r="O56" i="3"/>
  <c r="L56" i="3"/>
  <c r="K56" i="3"/>
  <c r="P56" i="3" s="1"/>
  <c r="H56" i="3"/>
  <c r="G56" i="3"/>
  <c r="I56" i="3" s="1"/>
  <c r="J56" i="3" s="1"/>
  <c r="F56" i="3"/>
  <c r="E56" i="3"/>
  <c r="D56" i="3"/>
  <c r="O55" i="3"/>
  <c r="K55" i="3"/>
  <c r="H55" i="3"/>
  <c r="F55" i="3"/>
  <c r="E55" i="3"/>
  <c r="G55" i="3" s="1"/>
  <c r="I55" i="3" s="1"/>
  <c r="J55" i="3" s="1"/>
  <c r="D55" i="3"/>
  <c r="O54" i="3"/>
  <c r="K54" i="3"/>
  <c r="I54" i="3"/>
  <c r="J54" i="3" s="1"/>
  <c r="H54" i="3"/>
  <c r="F54" i="3"/>
  <c r="E54" i="3"/>
  <c r="G54" i="3" s="1"/>
  <c r="P54" i="3" s="1"/>
  <c r="D54" i="3"/>
  <c r="P53" i="3"/>
  <c r="O53" i="3"/>
  <c r="K53" i="3"/>
  <c r="I53" i="3"/>
  <c r="H53" i="3"/>
  <c r="G53" i="3"/>
  <c r="F53" i="3"/>
  <c r="E53" i="3"/>
  <c r="D53" i="3"/>
  <c r="P52" i="3"/>
  <c r="O52" i="3"/>
  <c r="K52" i="3"/>
  <c r="N52" i="3" s="1"/>
  <c r="H52" i="3"/>
  <c r="J52" i="3" s="1"/>
  <c r="G52" i="3"/>
  <c r="I52" i="3" s="1"/>
  <c r="F52" i="3"/>
  <c r="E52" i="3"/>
  <c r="D52" i="3"/>
  <c r="O51" i="3"/>
  <c r="N51" i="3"/>
  <c r="K51" i="3"/>
  <c r="H51" i="3"/>
  <c r="F51" i="3"/>
  <c r="G51" i="3" s="1"/>
  <c r="E51" i="3"/>
  <c r="D51" i="3"/>
  <c r="O50" i="3"/>
  <c r="N50" i="3"/>
  <c r="K50" i="3"/>
  <c r="H50" i="3"/>
  <c r="F50" i="3"/>
  <c r="E50" i="3"/>
  <c r="D50" i="3"/>
  <c r="O49" i="3"/>
  <c r="K49" i="3"/>
  <c r="H49" i="3"/>
  <c r="F49" i="3"/>
  <c r="E49" i="3"/>
  <c r="G49" i="3" s="1"/>
  <c r="D49" i="3"/>
  <c r="O48" i="3"/>
  <c r="L48" i="3"/>
  <c r="K48" i="3"/>
  <c r="P48" i="3" s="1"/>
  <c r="H48" i="3"/>
  <c r="G48" i="3"/>
  <c r="I48" i="3" s="1"/>
  <c r="J48" i="3" s="1"/>
  <c r="F48" i="3"/>
  <c r="E48" i="3"/>
  <c r="D48" i="3"/>
  <c r="O47" i="3"/>
  <c r="N47" i="3"/>
  <c r="K47" i="3"/>
  <c r="F47" i="3"/>
  <c r="E47" i="3"/>
  <c r="D47" i="3"/>
  <c r="O46" i="3"/>
  <c r="K46" i="3"/>
  <c r="H46" i="3"/>
  <c r="F46" i="3"/>
  <c r="E46" i="3"/>
  <c r="G46" i="3" s="1"/>
  <c r="D46" i="3"/>
  <c r="O45" i="3"/>
  <c r="K45" i="3"/>
  <c r="H45" i="3"/>
  <c r="G45" i="3"/>
  <c r="P45" i="3" s="1"/>
  <c r="F45" i="3"/>
  <c r="E45" i="3"/>
  <c r="D45" i="3"/>
  <c r="O44" i="3"/>
  <c r="K44" i="3"/>
  <c r="H44" i="3"/>
  <c r="J44" i="3" s="1"/>
  <c r="G44" i="3"/>
  <c r="I44" i="3" s="1"/>
  <c r="F44" i="3"/>
  <c r="E44" i="3"/>
  <c r="D44" i="3"/>
  <c r="O43" i="3"/>
  <c r="N43" i="3"/>
  <c r="K43" i="3"/>
  <c r="H43" i="3"/>
  <c r="G43" i="3"/>
  <c r="F43" i="3"/>
  <c r="E43" i="3"/>
  <c r="D43" i="3"/>
  <c r="O42" i="3"/>
  <c r="K42" i="3"/>
  <c r="H42" i="3"/>
  <c r="F42" i="3"/>
  <c r="E42" i="3"/>
  <c r="D42" i="3"/>
  <c r="O41" i="3"/>
  <c r="L41" i="3"/>
  <c r="K41" i="3"/>
  <c r="P41" i="3" s="1"/>
  <c r="J41" i="3"/>
  <c r="H41" i="3"/>
  <c r="G41" i="3"/>
  <c r="I41" i="3" s="1"/>
  <c r="F41" i="3"/>
  <c r="E41" i="3"/>
  <c r="D41" i="3"/>
  <c r="O40" i="3"/>
  <c r="K40" i="3"/>
  <c r="H40" i="3"/>
  <c r="G40" i="3"/>
  <c r="I40" i="3" s="1"/>
  <c r="J40" i="3" s="1"/>
  <c r="F40" i="3"/>
  <c r="E40" i="3"/>
  <c r="D40" i="3"/>
  <c r="O39" i="3"/>
  <c r="N39" i="3"/>
  <c r="K39" i="3"/>
  <c r="H39" i="3"/>
  <c r="F39" i="3"/>
  <c r="E39" i="3"/>
  <c r="D39" i="3"/>
  <c r="O38" i="3"/>
  <c r="K38" i="3"/>
  <c r="P38" i="3" s="1"/>
  <c r="H38" i="3"/>
  <c r="J38" i="3" s="1"/>
  <c r="G38" i="3"/>
  <c r="I38" i="3" s="1"/>
  <c r="F38" i="3"/>
  <c r="E38" i="3"/>
  <c r="D38" i="3"/>
  <c r="O37" i="3"/>
  <c r="N37" i="3"/>
  <c r="K37" i="3"/>
  <c r="L128" i="4" s="1"/>
  <c r="N128" i="4" s="1"/>
  <c r="H37" i="3"/>
  <c r="F37" i="3"/>
  <c r="G37" i="3" s="1"/>
  <c r="I37" i="3" s="1"/>
  <c r="J37" i="3" s="1"/>
  <c r="E37" i="3"/>
  <c r="D37" i="3"/>
  <c r="O36" i="3"/>
  <c r="K36" i="3"/>
  <c r="N36" i="3" s="1"/>
  <c r="H36" i="3"/>
  <c r="G36" i="3"/>
  <c r="I36" i="3" s="1"/>
  <c r="F36" i="3"/>
  <c r="E36" i="3"/>
  <c r="D36" i="3"/>
  <c r="O35" i="3"/>
  <c r="N35" i="3"/>
  <c r="K35" i="3"/>
  <c r="H35" i="3"/>
  <c r="G35" i="3"/>
  <c r="F35" i="3"/>
  <c r="E35" i="3"/>
  <c r="D35" i="3"/>
  <c r="O34" i="3"/>
  <c r="K34" i="3"/>
  <c r="P34" i="3" s="1"/>
  <c r="H34" i="3"/>
  <c r="G34" i="3"/>
  <c r="I34" i="3" s="1"/>
  <c r="F34" i="3"/>
  <c r="E34" i="3"/>
  <c r="D34" i="3"/>
  <c r="O33" i="3"/>
  <c r="N33" i="3"/>
  <c r="K33" i="3"/>
  <c r="J33" i="3"/>
  <c r="H33" i="3"/>
  <c r="G33" i="3"/>
  <c r="I33" i="3" s="1"/>
  <c r="F33" i="3"/>
  <c r="E33" i="3"/>
  <c r="D33" i="3"/>
  <c r="L118" i="4" s="1"/>
  <c r="N118" i="4" s="1"/>
  <c r="O32" i="3"/>
  <c r="N32" i="3"/>
  <c r="K32" i="3"/>
  <c r="H32" i="3"/>
  <c r="F32" i="3"/>
  <c r="G32" i="3" s="1"/>
  <c r="I32" i="3" s="1"/>
  <c r="J32" i="3" s="1"/>
  <c r="E32" i="3"/>
  <c r="D32" i="3"/>
  <c r="O31" i="3"/>
  <c r="N31" i="3"/>
  <c r="K31" i="3"/>
  <c r="H31" i="3"/>
  <c r="F31" i="3"/>
  <c r="E31" i="3"/>
  <c r="G31" i="3" s="1"/>
  <c r="I31" i="3" s="1"/>
  <c r="J31" i="3" s="1"/>
  <c r="D31" i="3"/>
  <c r="O30" i="3"/>
  <c r="K30" i="3"/>
  <c r="P30" i="3" s="1"/>
  <c r="H30" i="3"/>
  <c r="G30" i="3"/>
  <c r="I30" i="3" s="1"/>
  <c r="J30" i="3" s="1"/>
  <c r="F30" i="3"/>
  <c r="E30" i="3"/>
  <c r="D30" i="3"/>
  <c r="Q29" i="3"/>
  <c r="O29" i="3"/>
  <c r="K29" i="3"/>
  <c r="I29" i="3"/>
  <c r="H29" i="3"/>
  <c r="J29" i="3" s="1"/>
  <c r="G29" i="3"/>
  <c r="P29" i="3" s="1"/>
  <c r="F29" i="3"/>
  <c r="E29" i="3"/>
  <c r="D29" i="3"/>
  <c r="O28" i="3"/>
  <c r="K28" i="3"/>
  <c r="N28" i="3" s="1"/>
  <c r="H28" i="3"/>
  <c r="F28" i="3"/>
  <c r="G28" i="3" s="1"/>
  <c r="E28" i="3"/>
  <c r="D28" i="3"/>
  <c r="O27" i="3"/>
  <c r="N27" i="3"/>
  <c r="K27" i="3"/>
  <c r="H27" i="3"/>
  <c r="F27" i="3"/>
  <c r="E27" i="3"/>
  <c r="D27" i="3"/>
  <c r="O26" i="3"/>
  <c r="K26" i="3"/>
  <c r="P26" i="3" s="1"/>
  <c r="H26" i="3"/>
  <c r="F26" i="3"/>
  <c r="E26" i="3"/>
  <c r="G26" i="3" s="1"/>
  <c r="I26" i="3" s="1"/>
  <c r="D26" i="3"/>
  <c r="O25" i="3"/>
  <c r="K25" i="3"/>
  <c r="P25" i="3" s="1"/>
  <c r="H25" i="3"/>
  <c r="J25" i="3" s="1"/>
  <c r="G25" i="3"/>
  <c r="I25" i="3" s="1"/>
  <c r="F25" i="3"/>
  <c r="E25" i="3"/>
  <c r="D25" i="3"/>
  <c r="O24" i="3"/>
  <c r="K24" i="3"/>
  <c r="J24" i="3"/>
  <c r="H24" i="3"/>
  <c r="G24" i="3"/>
  <c r="I24" i="3" s="1"/>
  <c r="F24" i="3"/>
  <c r="E24" i="3"/>
  <c r="D24" i="3"/>
  <c r="O23" i="3"/>
  <c r="N23" i="3"/>
  <c r="K23" i="3"/>
  <c r="I23" i="3"/>
  <c r="J23" i="3" s="1"/>
  <c r="H23" i="3"/>
  <c r="F23" i="3"/>
  <c r="E23" i="3"/>
  <c r="G23" i="3" s="1"/>
  <c r="P23" i="3" s="1"/>
  <c r="D23" i="3"/>
  <c r="O22" i="3"/>
  <c r="K22" i="3"/>
  <c r="H22" i="3"/>
  <c r="F22" i="3"/>
  <c r="E22" i="3"/>
  <c r="G22" i="3" s="1"/>
  <c r="P22" i="3" s="1"/>
  <c r="D22" i="3"/>
  <c r="P21" i="3"/>
  <c r="O21" i="3"/>
  <c r="K21" i="3"/>
  <c r="H21" i="3"/>
  <c r="G21" i="3"/>
  <c r="I21" i="3" s="1"/>
  <c r="F21" i="3"/>
  <c r="E21" i="3"/>
  <c r="D21" i="3"/>
  <c r="L69" i="4" s="1"/>
  <c r="O20" i="3"/>
  <c r="K20" i="3"/>
  <c r="H20" i="3"/>
  <c r="F20" i="3"/>
  <c r="G20" i="3" s="1"/>
  <c r="I20" i="3" s="1"/>
  <c r="J20" i="3" s="1"/>
  <c r="E20" i="3"/>
  <c r="D20" i="3"/>
  <c r="O19" i="3"/>
  <c r="N19" i="3"/>
  <c r="K19" i="3"/>
  <c r="J19" i="3"/>
  <c r="H19" i="3"/>
  <c r="F19" i="3"/>
  <c r="E19" i="3"/>
  <c r="G19" i="3" s="1"/>
  <c r="I19" i="3" s="1"/>
  <c r="D19" i="3"/>
  <c r="O18" i="3"/>
  <c r="K18" i="3"/>
  <c r="H18" i="3"/>
  <c r="F18" i="3"/>
  <c r="E18" i="3"/>
  <c r="G18" i="3" s="1"/>
  <c r="D18" i="3"/>
  <c r="O17" i="3"/>
  <c r="L17" i="3"/>
  <c r="K17" i="3"/>
  <c r="P17" i="3" s="1"/>
  <c r="H17" i="3"/>
  <c r="J17" i="3" s="1"/>
  <c r="G17" i="3"/>
  <c r="I17" i="3" s="1"/>
  <c r="F17" i="3"/>
  <c r="E17" i="3"/>
  <c r="D17" i="3"/>
  <c r="O16" i="3"/>
  <c r="K16" i="3"/>
  <c r="H16" i="3"/>
  <c r="G16" i="3"/>
  <c r="I16" i="3" s="1"/>
  <c r="J16" i="3" s="1"/>
  <c r="F16" i="3"/>
  <c r="E16" i="3"/>
  <c r="D16" i="3"/>
  <c r="O15" i="3"/>
  <c r="N15" i="3"/>
  <c r="K15" i="3"/>
  <c r="H15" i="3"/>
  <c r="F15" i="3"/>
  <c r="E15" i="3"/>
  <c r="D15" i="3"/>
  <c r="O14" i="3"/>
  <c r="K14" i="3"/>
  <c r="I14" i="3"/>
  <c r="H14" i="3"/>
  <c r="F14" i="3"/>
  <c r="E14" i="3"/>
  <c r="G14" i="3" s="1"/>
  <c r="P14" i="3" s="1"/>
  <c r="D14" i="3"/>
  <c r="O13" i="3"/>
  <c r="K13" i="3"/>
  <c r="H13" i="3"/>
  <c r="G13" i="3"/>
  <c r="I13" i="3" s="1"/>
  <c r="F13" i="3"/>
  <c r="E13" i="3"/>
  <c r="D13" i="3"/>
  <c r="O12" i="3"/>
  <c r="K12" i="3"/>
  <c r="H12" i="3"/>
  <c r="G12" i="3"/>
  <c r="I12" i="3" s="1"/>
  <c r="J12" i="3" s="1"/>
  <c r="F12" i="3"/>
  <c r="E12" i="3"/>
  <c r="D12" i="3"/>
  <c r="O11" i="3"/>
  <c r="K11" i="3"/>
  <c r="H11" i="3"/>
  <c r="F11" i="3"/>
  <c r="E11" i="3"/>
  <c r="D11" i="3"/>
  <c r="O10" i="3"/>
  <c r="K10" i="3"/>
  <c r="H10" i="3"/>
  <c r="F10" i="3"/>
  <c r="E10" i="3"/>
  <c r="G10" i="3" s="1"/>
  <c r="P10" i="3" s="1"/>
  <c r="D10" i="3"/>
  <c r="P9" i="3"/>
  <c r="O9" i="3"/>
  <c r="K9" i="3"/>
  <c r="H9" i="3"/>
  <c r="J9" i="3" s="1"/>
  <c r="G9" i="3"/>
  <c r="I9" i="3" s="1"/>
  <c r="F9" i="3"/>
  <c r="E9" i="3"/>
  <c r="D9" i="3"/>
  <c r="O8" i="3"/>
  <c r="K8" i="3"/>
  <c r="H8" i="3"/>
  <c r="F8" i="3"/>
  <c r="G8" i="3" s="1"/>
  <c r="I8" i="3" s="1"/>
  <c r="J8" i="3" s="1"/>
  <c r="E8" i="3"/>
  <c r="D8" i="3"/>
  <c r="O7" i="3"/>
  <c r="N7" i="3"/>
  <c r="K7" i="3"/>
  <c r="H7" i="3"/>
  <c r="F7" i="3"/>
  <c r="E7" i="3"/>
  <c r="D7" i="3"/>
  <c r="O6" i="3"/>
  <c r="K6" i="3"/>
  <c r="H6" i="3"/>
  <c r="G6" i="3"/>
  <c r="I6" i="3" s="1"/>
  <c r="F6" i="3"/>
  <c r="E6" i="3"/>
  <c r="D6" i="3"/>
  <c r="O5" i="3"/>
  <c r="K5" i="3"/>
  <c r="H5" i="3"/>
  <c r="F5" i="3"/>
  <c r="E5" i="3"/>
  <c r="D5" i="3"/>
  <c r="J54" i="2"/>
  <c r="F54" i="2"/>
  <c r="B54" i="2"/>
  <c r="K54" i="2" s="1"/>
  <c r="D53" i="2"/>
  <c r="B53" i="2"/>
  <c r="E52" i="2"/>
  <c r="D52" i="2"/>
  <c r="B52" i="2"/>
  <c r="B51" i="2"/>
  <c r="K50" i="2"/>
  <c r="J50" i="2"/>
  <c r="G50" i="2"/>
  <c r="F50" i="2"/>
  <c r="E50" i="2"/>
  <c r="C50" i="2"/>
  <c r="B50" i="2"/>
  <c r="C49" i="2"/>
  <c r="B49" i="2"/>
  <c r="K48" i="2"/>
  <c r="I48" i="2"/>
  <c r="H48" i="2"/>
  <c r="F48" i="2"/>
  <c r="E48" i="2"/>
  <c r="D48" i="2"/>
  <c r="C48" i="2"/>
  <c r="B48" i="2"/>
  <c r="J48" i="2" s="1"/>
  <c r="E47" i="2"/>
  <c r="D47" i="2"/>
  <c r="C47" i="2"/>
  <c r="B47" i="2"/>
  <c r="D46" i="2"/>
  <c r="B46" i="2"/>
  <c r="E45" i="2"/>
  <c r="B45" i="2"/>
  <c r="I44" i="2"/>
  <c r="E44" i="2"/>
  <c r="B44" i="2"/>
  <c r="J44" i="2" s="1"/>
  <c r="E43" i="2"/>
  <c r="B43" i="2"/>
  <c r="B42" i="2"/>
  <c r="B41" i="2"/>
  <c r="E40" i="2"/>
  <c r="D40" i="2"/>
  <c r="C40" i="2"/>
  <c r="B40" i="2"/>
  <c r="F39" i="2"/>
  <c r="E39" i="2"/>
  <c r="D39" i="2"/>
  <c r="C39" i="2"/>
  <c r="B39" i="2"/>
  <c r="I38" i="2"/>
  <c r="G38" i="2"/>
  <c r="F38" i="2"/>
  <c r="D38" i="2"/>
  <c r="C38" i="2"/>
  <c r="B38" i="2"/>
  <c r="L37" i="2"/>
  <c r="J37" i="2"/>
  <c r="I37" i="2"/>
  <c r="G37" i="2"/>
  <c r="F37" i="2"/>
  <c r="E37" i="2"/>
  <c r="D37" i="2"/>
  <c r="B37" i="2"/>
  <c r="E36" i="2"/>
  <c r="D36" i="2"/>
  <c r="B36" i="2"/>
  <c r="E35" i="2"/>
  <c r="B35" i="2"/>
  <c r="F34" i="2"/>
  <c r="B34" i="2"/>
  <c r="K34" i="2" s="1"/>
  <c r="F33" i="2"/>
  <c r="B33" i="2"/>
  <c r="K33" i="2" s="1"/>
  <c r="K32" i="2"/>
  <c r="I32" i="2"/>
  <c r="H32" i="2"/>
  <c r="F32" i="2"/>
  <c r="E32" i="2"/>
  <c r="D32" i="2"/>
  <c r="C32" i="2"/>
  <c r="B32" i="2"/>
  <c r="J32" i="2" s="1"/>
  <c r="L31" i="2"/>
  <c r="K31" i="2"/>
  <c r="I31" i="2"/>
  <c r="H31" i="2"/>
  <c r="G31" i="2"/>
  <c r="F31" i="2"/>
  <c r="E31" i="2"/>
  <c r="D31" i="2"/>
  <c r="C31" i="2"/>
  <c r="B31" i="2"/>
  <c r="J31" i="2" s="1"/>
  <c r="G30" i="2"/>
  <c r="F30" i="2"/>
  <c r="D30" i="2"/>
  <c r="C30" i="2"/>
  <c r="B30" i="2"/>
  <c r="I30" i="2" s="1"/>
  <c r="L29" i="2"/>
  <c r="J29" i="2"/>
  <c r="G29" i="2"/>
  <c r="F29" i="2"/>
  <c r="E29" i="2"/>
  <c r="D29" i="2"/>
  <c r="B29" i="2"/>
  <c r="I29" i="2" s="1"/>
  <c r="E28" i="2"/>
  <c r="D28" i="2"/>
  <c r="B28" i="2"/>
  <c r="B27" i="2"/>
  <c r="B26" i="2"/>
  <c r="B25" i="2"/>
  <c r="K24" i="2"/>
  <c r="I24" i="2"/>
  <c r="H24" i="2"/>
  <c r="F24" i="2"/>
  <c r="E24" i="2"/>
  <c r="D24" i="2"/>
  <c r="C24" i="2"/>
  <c r="B24" i="2"/>
  <c r="J24" i="2" s="1"/>
  <c r="E23" i="2"/>
  <c r="D23" i="2"/>
  <c r="C23" i="2"/>
  <c r="B23" i="2"/>
  <c r="J22" i="2"/>
  <c r="H22" i="2"/>
  <c r="D22" i="2"/>
  <c r="B22" i="2"/>
  <c r="E22" i="2" s="1"/>
  <c r="E21" i="2"/>
  <c r="D21" i="2"/>
  <c r="C21" i="2"/>
  <c r="B21" i="2"/>
  <c r="B20" i="2"/>
  <c r="J19" i="2"/>
  <c r="I19" i="2"/>
  <c r="H19" i="2"/>
  <c r="G19" i="2"/>
  <c r="L19" i="2" s="1"/>
  <c r="E19" i="2"/>
  <c r="D19" i="2"/>
  <c r="C19" i="2"/>
  <c r="B19" i="2"/>
  <c r="F19" i="2" s="1"/>
  <c r="F18" i="2"/>
  <c r="C18" i="2"/>
  <c r="B18" i="2"/>
  <c r="I18" i="2" s="1"/>
  <c r="J17" i="2"/>
  <c r="H17" i="2"/>
  <c r="E17" i="2"/>
  <c r="B17" i="2"/>
  <c r="I17" i="2" s="1"/>
  <c r="F16" i="2"/>
  <c r="E16" i="2"/>
  <c r="D16" i="2"/>
  <c r="C16" i="2"/>
  <c r="B16" i="2"/>
  <c r="E15" i="2"/>
  <c r="D15" i="2"/>
  <c r="C15" i="2"/>
  <c r="B15" i="2"/>
  <c r="F14" i="2"/>
  <c r="B14" i="2"/>
  <c r="E14" i="2" s="1"/>
  <c r="D13" i="2"/>
  <c r="B13" i="2"/>
  <c r="I12" i="2"/>
  <c r="F12" i="2"/>
  <c r="B12" i="2"/>
  <c r="J12" i="2" s="1"/>
  <c r="B11" i="2"/>
  <c r="G10" i="2"/>
  <c r="F10" i="2"/>
  <c r="E10" i="2"/>
  <c r="D10" i="2"/>
  <c r="C10" i="2"/>
  <c r="B10" i="2"/>
  <c r="F9" i="2"/>
  <c r="B9" i="2"/>
  <c r="C9" i="2" s="1"/>
  <c r="D8" i="2"/>
  <c r="B8" i="2"/>
  <c r="E7" i="2"/>
  <c r="D7" i="2"/>
  <c r="C7" i="2"/>
  <c r="B7" i="2"/>
  <c r="L6" i="2"/>
  <c r="I6" i="2"/>
  <c r="H6" i="2"/>
  <c r="G6" i="2"/>
  <c r="F6" i="2"/>
  <c r="C6" i="2"/>
  <c r="B6" i="2"/>
  <c r="E6" i="2" s="1"/>
  <c r="E5" i="2"/>
  <c r="B5" i="2"/>
  <c r="D69" i="1"/>
  <c r="G69" i="1" s="1"/>
  <c r="B69" i="1"/>
  <c r="C69" i="1" s="1"/>
  <c r="C68" i="1"/>
  <c r="B68" i="1"/>
  <c r="B67" i="1"/>
  <c r="B66" i="1"/>
  <c r="F65" i="1"/>
  <c r="E65" i="1"/>
  <c r="D65" i="1"/>
  <c r="G65" i="1" s="1"/>
  <c r="B65" i="1"/>
  <c r="C65" i="1" s="1"/>
  <c r="B64" i="1"/>
  <c r="B63" i="1"/>
  <c r="C62" i="1"/>
  <c r="B62" i="1"/>
  <c r="B61" i="1"/>
  <c r="C61" i="1" s="1"/>
  <c r="B60" i="1"/>
  <c r="F59" i="1"/>
  <c r="E59" i="1"/>
  <c r="D59" i="1"/>
  <c r="C59" i="1"/>
  <c r="B59" i="1"/>
  <c r="B58" i="1"/>
  <c r="B57" i="1"/>
  <c r="C57" i="1" s="1"/>
  <c r="C56" i="1"/>
  <c r="B56" i="1"/>
  <c r="B55" i="1"/>
  <c r="B54" i="1"/>
  <c r="B53" i="1"/>
  <c r="E52" i="1"/>
  <c r="D52" i="1"/>
  <c r="B52" i="1"/>
  <c r="C52" i="1" s="1"/>
  <c r="B51" i="1"/>
  <c r="B50" i="1"/>
  <c r="E49" i="1"/>
  <c r="D49" i="1"/>
  <c r="B49" i="1"/>
  <c r="C49" i="1" s="1"/>
  <c r="F48" i="1"/>
  <c r="E48" i="1"/>
  <c r="B48" i="1"/>
  <c r="F47" i="1"/>
  <c r="C47" i="1"/>
  <c r="B47" i="1"/>
  <c r="D46" i="1"/>
  <c r="C46" i="1"/>
  <c r="B46" i="1"/>
  <c r="E46" i="1" s="1"/>
  <c r="D45" i="1"/>
  <c r="B45" i="1"/>
  <c r="C45" i="1" s="1"/>
  <c r="C44" i="1"/>
  <c r="B44" i="1"/>
  <c r="C43" i="1"/>
  <c r="B43" i="1"/>
  <c r="C42" i="1"/>
  <c r="B42" i="1"/>
  <c r="B41" i="1"/>
  <c r="C40" i="1"/>
  <c r="B40" i="1"/>
  <c r="F39" i="1"/>
  <c r="E39" i="1"/>
  <c r="D39" i="1"/>
  <c r="C39" i="1"/>
  <c r="B39" i="1"/>
  <c r="B38" i="1"/>
  <c r="D37" i="1"/>
  <c r="B37" i="1"/>
  <c r="E36" i="1"/>
  <c r="D36" i="1"/>
  <c r="C36" i="1"/>
  <c r="B36" i="1"/>
  <c r="E35" i="1"/>
  <c r="B35" i="1"/>
  <c r="B34" i="1"/>
  <c r="B33" i="1"/>
  <c r="C33" i="1" s="1"/>
  <c r="F32" i="1"/>
  <c r="E32" i="1"/>
  <c r="B32" i="1"/>
  <c r="C31" i="1"/>
  <c r="B31" i="1"/>
  <c r="C30" i="1"/>
  <c r="B30" i="1"/>
  <c r="F29" i="1"/>
  <c r="E29" i="1"/>
  <c r="B29" i="1"/>
  <c r="C29" i="1" s="1"/>
  <c r="C28" i="1"/>
  <c r="B28" i="1"/>
  <c r="F27" i="1"/>
  <c r="E27" i="1"/>
  <c r="D27" i="1"/>
  <c r="C27" i="1"/>
  <c r="B27" i="1"/>
  <c r="B26" i="1"/>
  <c r="B25" i="1"/>
  <c r="F24" i="1"/>
  <c r="E24" i="1"/>
  <c r="D24" i="1"/>
  <c r="G24" i="1" s="1"/>
  <c r="C24" i="1"/>
  <c r="B24" i="1"/>
  <c r="B23" i="1"/>
  <c r="B22" i="1"/>
  <c r="D21" i="1"/>
  <c r="B21" i="1"/>
  <c r="D20" i="1"/>
  <c r="B20" i="1"/>
  <c r="C20" i="1" s="1"/>
  <c r="E12" i="1"/>
  <c r="D12" i="1"/>
  <c r="B12" i="1"/>
  <c r="I490" i="5" l="1"/>
  <c r="M8" i="3"/>
  <c r="L8" i="3"/>
  <c r="C60" i="1"/>
  <c r="L89" i="4"/>
  <c r="N89" i="4" s="1"/>
  <c r="L88" i="4"/>
  <c r="N88" i="4" s="1"/>
  <c r="L87" i="4"/>
  <c r="N26" i="3"/>
  <c r="C53" i="1"/>
  <c r="D53" i="1"/>
  <c r="E63" i="1"/>
  <c r="D63" i="1"/>
  <c r="G63" i="1" s="1"/>
  <c r="C63" i="1"/>
  <c r="E11" i="2"/>
  <c r="D11" i="2"/>
  <c r="C11" i="2"/>
  <c r="P20" i="3"/>
  <c r="N20" i="3"/>
  <c r="L82" i="4"/>
  <c r="N82" i="4" s="1"/>
  <c r="L85" i="4"/>
  <c r="N85" i="4" s="1"/>
  <c r="O85" i="4" s="1"/>
  <c r="L83" i="4"/>
  <c r="N83" i="4" s="1"/>
  <c r="L81" i="4"/>
  <c r="L84" i="4"/>
  <c r="N84" i="4" s="1"/>
  <c r="O84" i="4" s="1"/>
  <c r="P84" i="4" s="1"/>
  <c r="L86" i="4"/>
  <c r="L80" i="4"/>
  <c r="N25" i="3"/>
  <c r="C38" i="1"/>
  <c r="E34" i="1"/>
  <c r="F34" i="1"/>
  <c r="D34" i="1"/>
  <c r="G34" i="1" s="1"/>
  <c r="C34" i="1"/>
  <c r="C25" i="1"/>
  <c r="D25" i="1"/>
  <c r="D32" i="1"/>
  <c r="G32" i="1" s="1"/>
  <c r="C32" i="1"/>
  <c r="C41" i="1"/>
  <c r="M16" i="3"/>
  <c r="L16" i="3"/>
  <c r="L37" i="3"/>
  <c r="M37" i="3" s="1"/>
  <c r="C22" i="1"/>
  <c r="C21" i="1"/>
  <c r="F21" i="1"/>
  <c r="E21" i="1"/>
  <c r="D35" i="1"/>
  <c r="C35" i="1"/>
  <c r="C37" i="1"/>
  <c r="F37" i="1"/>
  <c r="E37" i="1"/>
  <c r="E44" i="1"/>
  <c r="D44" i="1"/>
  <c r="G44" i="1" s="1"/>
  <c r="B6" i="10"/>
  <c r="E6" i="10" s="1"/>
  <c r="B5" i="10"/>
  <c r="L12" i="3"/>
  <c r="Q12" i="3"/>
  <c r="R12" i="3" s="1"/>
  <c r="M12" i="3"/>
  <c r="M32" i="3"/>
  <c r="L32" i="3"/>
  <c r="D25" i="2"/>
  <c r="E25" i="2"/>
  <c r="C25" i="2"/>
  <c r="G21" i="1"/>
  <c r="G37" i="1"/>
  <c r="F44" i="1"/>
  <c r="E47" i="1"/>
  <c r="D47" i="1"/>
  <c r="G47" i="1" s="1"/>
  <c r="C20" i="2"/>
  <c r="E20" i="2"/>
  <c r="D20" i="2"/>
  <c r="D26" i="2"/>
  <c r="E26" i="2"/>
  <c r="C26" i="2"/>
  <c r="P13" i="3"/>
  <c r="M23" i="3"/>
  <c r="L23" i="3"/>
  <c r="Q23" i="3"/>
  <c r="R23" i="3" s="1"/>
  <c r="P12" i="3"/>
  <c r="N12" i="3"/>
  <c r="C66" i="1"/>
  <c r="E27" i="2"/>
  <c r="D27" i="2"/>
  <c r="C27" i="2"/>
  <c r="C50" i="1"/>
  <c r="F63" i="1"/>
  <c r="L10" i="4"/>
  <c r="D505" i="3"/>
  <c r="L8" i="4"/>
  <c r="L7" i="4"/>
  <c r="L9" i="4"/>
  <c r="N9" i="4" s="1"/>
  <c r="N5" i="3"/>
  <c r="Q9" i="3"/>
  <c r="R9" i="3" s="1"/>
  <c r="M9" i="3"/>
  <c r="L9" i="3"/>
  <c r="P18" i="3"/>
  <c r="I18" i="3"/>
  <c r="L20" i="3"/>
  <c r="M20" i="3" s="1"/>
  <c r="Q20" i="3"/>
  <c r="R20" i="3" s="1"/>
  <c r="I28" i="3"/>
  <c r="J28" i="3" s="1"/>
  <c r="P28" i="3"/>
  <c r="Q30" i="3"/>
  <c r="R30" i="3" s="1"/>
  <c r="L30" i="3"/>
  <c r="M30" i="3" s="1"/>
  <c r="C8" i="2"/>
  <c r="J9" i="2"/>
  <c r="E12" i="2"/>
  <c r="C13" i="2"/>
  <c r="J14" i="2"/>
  <c r="C17" i="2"/>
  <c r="C22" i="2"/>
  <c r="E41" i="2"/>
  <c r="E42" i="2"/>
  <c r="D43" i="2"/>
  <c r="D44" i="2"/>
  <c r="D45" i="2"/>
  <c r="C46" i="2"/>
  <c r="C53" i="2"/>
  <c r="C54" i="2"/>
  <c r="P6" i="3"/>
  <c r="M24" i="3"/>
  <c r="L24" i="3"/>
  <c r="Q25" i="3"/>
  <c r="R25" i="3" s="1"/>
  <c r="M29" i="3"/>
  <c r="L29" i="3"/>
  <c r="L121" i="4"/>
  <c r="N121" i="4" s="1"/>
  <c r="L119" i="4"/>
  <c r="N119" i="4" s="1"/>
  <c r="L120" i="4"/>
  <c r="N34" i="3"/>
  <c r="P36" i="3"/>
  <c r="Q38" i="3"/>
  <c r="R38" i="3" s="1"/>
  <c r="P44" i="3"/>
  <c r="N44" i="3"/>
  <c r="K14" i="2"/>
  <c r="G33" i="2"/>
  <c r="L33" i="2"/>
  <c r="D33" i="2"/>
  <c r="D34" i="2"/>
  <c r="I34" i="2"/>
  <c r="I51" i="2"/>
  <c r="F51" i="2"/>
  <c r="E51" i="2"/>
  <c r="K505" i="3"/>
  <c r="J10" i="3"/>
  <c r="L38" i="4"/>
  <c r="N38" i="4" s="1"/>
  <c r="L34" i="4"/>
  <c r="L36" i="4"/>
  <c r="N36" i="4" s="1"/>
  <c r="L39" i="4"/>
  <c r="N39" i="4" s="1"/>
  <c r="L35" i="4"/>
  <c r="L37" i="4"/>
  <c r="L33" i="4"/>
  <c r="L46" i="4"/>
  <c r="N46" i="4" s="1"/>
  <c r="L48" i="4"/>
  <c r="N48" i="4" s="1"/>
  <c r="L44" i="4"/>
  <c r="N44" i="4" s="1"/>
  <c r="L47" i="4"/>
  <c r="N47" i="4" s="1"/>
  <c r="L45" i="4"/>
  <c r="N13" i="3"/>
  <c r="L19" i="3"/>
  <c r="P24" i="3"/>
  <c r="Q24" i="3" s="1"/>
  <c r="N24" i="3"/>
  <c r="G39" i="1"/>
  <c r="F46" i="1"/>
  <c r="C48" i="1"/>
  <c r="F49" i="1"/>
  <c r="C51" i="1"/>
  <c r="F52" i="1"/>
  <c r="C54" i="1"/>
  <c r="E69" i="1"/>
  <c r="C5" i="2"/>
  <c r="J6" i="2"/>
  <c r="E8" i="2"/>
  <c r="E55" i="2" s="1"/>
  <c r="G12" i="2"/>
  <c r="E13" i="2"/>
  <c r="C14" i="2"/>
  <c r="F17" i="2"/>
  <c r="D18" i="2"/>
  <c r="K19" i="2"/>
  <c r="F22" i="2"/>
  <c r="C33" i="2"/>
  <c r="C34" i="2"/>
  <c r="C35" i="2"/>
  <c r="F36" i="2"/>
  <c r="C36" i="2"/>
  <c r="K37" i="2"/>
  <c r="C37" i="2"/>
  <c r="H37" i="2"/>
  <c r="E38" i="2"/>
  <c r="G44" i="2"/>
  <c r="L44" i="2" s="1"/>
  <c r="L50" i="2"/>
  <c r="D50" i="2"/>
  <c r="I50" i="2"/>
  <c r="H50" i="2"/>
  <c r="C51" i="2"/>
  <c r="E53" i="2"/>
  <c r="G54" i="2"/>
  <c r="L54" i="2" s="1"/>
  <c r="J6" i="3"/>
  <c r="I10" i="3"/>
  <c r="G11" i="3"/>
  <c r="I11" i="3" s="1"/>
  <c r="J11" i="3" s="1"/>
  <c r="N11" i="3"/>
  <c r="L50" i="4"/>
  <c r="N50" i="4" s="1"/>
  <c r="L49" i="4"/>
  <c r="N14" i="3"/>
  <c r="L58" i="4"/>
  <c r="N58" i="4" s="1"/>
  <c r="L56" i="4"/>
  <c r="N56" i="4" s="1"/>
  <c r="L59" i="4"/>
  <c r="L60" i="4"/>
  <c r="N60" i="4" s="1"/>
  <c r="L57" i="4"/>
  <c r="N17" i="3"/>
  <c r="P19" i="3"/>
  <c r="Q19" i="3" s="1"/>
  <c r="J22" i="3"/>
  <c r="L25" i="3"/>
  <c r="M25" i="3" s="1"/>
  <c r="P31" i="3"/>
  <c r="L38" i="3"/>
  <c r="M38" i="3" s="1"/>
  <c r="P46" i="3"/>
  <c r="I46" i="3"/>
  <c r="J46" i="3" s="1"/>
  <c r="L55" i="3"/>
  <c r="M55" i="3" s="1"/>
  <c r="D9" i="2"/>
  <c r="K9" i="2"/>
  <c r="G27" i="1"/>
  <c r="G46" i="1"/>
  <c r="D48" i="1"/>
  <c r="G48" i="1" s="1"/>
  <c r="G49" i="1"/>
  <c r="G52" i="1"/>
  <c r="G59" i="1"/>
  <c r="F69" i="1"/>
  <c r="D5" i="2"/>
  <c r="K6" i="2"/>
  <c r="E9" i="2"/>
  <c r="H12" i="2"/>
  <c r="D14" i="2"/>
  <c r="G17" i="2"/>
  <c r="E18" i="2"/>
  <c r="G22" i="2"/>
  <c r="L22" i="2" s="1"/>
  <c r="E33" i="2"/>
  <c r="E34" i="2"/>
  <c r="D35" i="2"/>
  <c r="H44" i="2"/>
  <c r="D49" i="2"/>
  <c r="D51" i="2"/>
  <c r="I54" i="2"/>
  <c r="G7" i="3"/>
  <c r="L26" i="4"/>
  <c r="N26" i="4" s="1"/>
  <c r="L28" i="4"/>
  <c r="N28" i="4" s="1"/>
  <c r="E20" i="1" s="1"/>
  <c r="L29" i="4"/>
  <c r="N29" i="4" s="1"/>
  <c r="L25" i="4"/>
  <c r="L27" i="4"/>
  <c r="N9" i="3"/>
  <c r="L64" i="4"/>
  <c r="N64" i="4" s="1"/>
  <c r="L63" i="4"/>
  <c r="L61" i="4"/>
  <c r="N61" i="4" s="1"/>
  <c r="L62" i="4"/>
  <c r="H41" i="2" s="1"/>
  <c r="N18" i="3"/>
  <c r="M19" i="3"/>
  <c r="J21" i="3"/>
  <c r="I22" i="3"/>
  <c r="L33" i="3"/>
  <c r="M33" i="3" s="1"/>
  <c r="I35" i="3"/>
  <c r="J35" i="3" s="1"/>
  <c r="P35" i="3"/>
  <c r="L134" i="4"/>
  <c r="N134" i="4" s="1"/>
  <c r="L132" i="4"/>
  <c r="N132" i="4" s="1"/>
  <c r="L133" i="4"/>
  <c r="N38" i="3"/>
  <c r="I51" i="3"/>
  <c r="J51" i="3" s="1"/>
  <c r="P51" i="3"/>
  <c r="F5" i="2"/>
  <c r="D6" i="2"/>
  <c r="G9" i="2"/>
  <c r="L9" i="2" s="1"/>
  <c r="G14" i="2"/>
  <c r="L14" i="2" s="1"/>
  <c r="I22" i="2"/>
  <c r="C28" i="2"/>
  <c r="K29" i="2"/>
  <c r="C29" i="2"/>
  <c r="H29" i="2"/>
  <c r="E30" i="2"/>
  <c r="H33" i="2"/>
  <c r="G34" i="2"/>
  <c r="L34" i="2" s="1"/>
  <c r="E49" i="2"/>
  <c r="J13" i="3"/>
  <c r="J14" i="3"/>
  <c r="G27" i="3"/>
  <c r="R29" i="3"/>
  <c r="J36" i="3"/>
  <c r="G39" i="3"/>
  <c r="I39" i="3" s="1"/>
  <c r="J39" i="3" s="1"/>
  <c r="C64" i="1"/>
  <c r="C67" i="1"/>
  <c r="G5" i="2"/>
  <c r="H9" i="2"/>
  <c r="K12" i="2"/>
  <c r="C12" i="2"/>
  <c r="L12" i="2"/>
  <c r="H14" i="2"/>
  <c r="I33" i="2"/>
  <c r="H34" i="2"/>
  <c r="D41" i="2"/>
  <c r="D42" i="2"/>
  <c r="F43" i="2"/>
  <c r="F505" i="3"/>
  <c r="L14" i="4"/>
  <c r="N14" i="4" s="1"/>
  <c r="E66" i="1" s="1"/>
  <c r="L12" i="4"/>
  <c r="L11" i="4"/>
  <c r="N11" i="4" s="1"/>
  <c r="L13" i="4"/>
  <c r="N6" i="3"/>
  <c r="P8" i="3"/>
  <c r="Q8" i="3" s="1"/>
  <c r="L30" i="4"/>
  <c r="N30" i="4" s="1"/>
  <c r="L32" i="4"/>
  <c r="N32" i="4" s="1"/>
  <c r="L31" i="4"/>
  <c r="N10" i="3"/>
  <c r="G15" i="3"/>
  <c r="Q17" i="3"/>
  <c r="R17" i="3" s="1"/>
  <c r="M17" i="3"/>
  <c r="J18" i="3"/>
  <c r="L113" i="4"/>
  <c r="L112" i="4"/>
  <c r="N112" i="4" s="1"/>
  <c r="L111" i="4"/>
  <c r="N111" i="4" s="1"/>
  <c r="M40" i="3"/>
  <c r="L40" i="3"/>
  <c r="L54" i="3"/>
  <c r="M54" i="3" s="1"/>
  <c r="Q54" i="3"/>
  <c r="R54" i="3" s="1"/>
  <c r="I59" i="3"/>
  <c r="J59" i="3" s="1"/>
  <c r="P59" i="3"/>
  <c r="Q62" i="3"/>
  <c r="R62" i="3" s="1"/>
  <c r="L62" i="3"/>
  <c r="M62" i="3" s="1"/>
  <c r="C23" i="1"/>
  <c r="C26" i="1"/>
  <c r="D29" i="1"/>
  <c r="G29" i="1" s="1"/>
  <c r="C55" i="1"/>
  <c r="C58" i="1"/>
  <c r="I5" i="2"/>
  <c r="I9" i="2"/>
  <c r="D12" i="2"/>
  <c r="I14" i="2"/>
  <c r="L17" i="2"/>
  <c r="D17" i="2"/>
  <c r="K17" i="2"/>
  <c r="K22" i="2"/>
  <c r="J33" i="2"/>
  <c r="J34" i="2"/>
  <c r="C41" i="2"/>
  <c r="C42" i="2"/>
  <c r="C43" i="2"/>
  <c r="F44" i="2"/>
  <c r="K44" i="2"/>
  <c r="C44" i="2"/>
  <c r="C45" i="2"/>
  <c r="E46" i="2"/>
  <c r="H54" i="2"/>
  <c r="E54" i="2"/>
  <c r="D54" i="2"/>
  <c r="G5" i="3"/>
  <c r="B7" i="10" s="1"/>
  <c r="C6" i="10"/>
  <c r="C5" i="10"/>
  <c r="N8" i="3"/>
  <c r="P11" i="3"/>
  <c r="P16" i="3"/>
  <c r="Q16" i="3" s="1"/>
  <c r="R16" i="3" s="1"/>
  <c r="N16" i="3"/>
  <c r="J26" i="3"/>
  <c r="L31" i="3"/>
  <c r="M31" i="3" s="1"/>
  <c r="Q31" i="3"/>
  <c r="L220" i="4"/>
  <c r="L219" i="4"/>
  <c r="N63" i="3"/>
  <c r="L228" i="4"/>
  <c r="N228" i="4" s="1"/>
  <c r="L227" i="4"/>
  <c r="N66" i="3"/>
  <c r="L229" i="4"/>
  <c r="L22" i="4"/>
  <c r="N22" i="4" s="1"/>
  <c r="O22" i="4" s="1"/>
  <c r="P22" i="4" s="1"/>
  <c r="L24" i="4"/>
  <c r="N24" i="4" s="1"/>
  <c r="O24" i="4" s="1"/>
  <c r="P24" i="4" s="1"/>
  <c r="L20" i="4"/>
  <c r="N20" i="4" s="1"/>
  <c r="L23" i="4"/>
  <c r="N23" i="4" s="1"/>
  <c r="L21" i="4"/>
  <c r="L54" i="4"/>
  <c r="N54" i="4" s="1"/>
  <c r="L55" i="4"/>
  <c r="N55" i="4" s="1"/>
  <c r="L78" i="4"/>
  <c r="N78" i="4" s="1"/>
  <c r="L79" i="4"/>
  <c r="N79" i="4" s="1"/>
  <c r="L77" i="4"/>
  <c r="N77" i="4" s="1"/>
  <c r="O77" i="4" s="1"/>
  <c r="P77" i="4" s="1"/>
  <c r="L109" i="4"/>
  <c r="N109" i="4" s="1"/>
  <c r="L108" i="4"/>
  <c r="N108" i="4" s="1"/>
  <c r="L107" i="4"/>
  <c r="N30" i="3"/>
  <c r="L110" i="4"/>
  <c r="L144" i="4"/>
  <c r="N144" i="4" s="1"/>
  <c r="L143" i="4"/>
  <c r="L146" i="4"/>
  <c r="N146" i="4" s="1"/>
  <c r="L147" i="4"/>
  <c r="L148" i="4"/>
  <c r="L142" i="4"/>
  <c r="N142" i="4" s="1"/>
  <c r="L145" i="4"/>
  <c r="N41" i="3"/>
  <c r="M41" i="3"/>
  <c r="I45" i="3"/>
  <c r="J45" i="3" s="1"/>
  <c r="R56" i="3"/>
  <c r="Q56" i="3"/>
  <c r="M56" i="3"/>
  <c r="J57" i="3"/>
  <c r="L233" i="4"/>
  <c r="N233" i="4" s="1"/>
  <c r="O233" i="4" s="1"/>
  <c r="P233" i="4" s="1"/>
  <c r="L234" i="4"/>
  <c r="N234" i="4" s="1"/>
  <c r="O234" i="4" s="1"/>
  <c r="P234" i="4" s="1"/>
  <c r="N68" i="3"/>
  <c r="G24" i="2"/>
  <c r="L24" i="2" s="1"/>
  <c r="G32" i="2"/>
  <c r="L32" i="2" s="1"/>
  <c r="G48" i="2"/>
  <c r="L48" i="2" s="1"/>
  <c r="C52" i="2"/>
  <c r="L18" i="4"/>
  <c r="L16" i="4"/>
  <c r="L17" i="4"/>
  <c r="N17" i="4" s="1"/>
  <c r="L19" i="4"/>
  <c r="L15" i="4"/>
  <c r="H46" i="2" s="1"/>
  <c r="L52" i="4"/>
  <c r="N52" i="4" s="1"/>
  <c r="L51" i="4"/>
  <c r="N51" i="4" s="1"/>
  <c r="L53" i="4"/>
  <c r="L75" i="4"/>
  <c r="N75" i="4" s="1"/>
  <c r="L74" i="4"/>
  <c r="N74" i="4" s="1"/>
  <c r="L76" i="4"/>
  <c r="L131" i="4"/>
  <c r="N131" i="4" s="1"/>
  <c r="L129" i="4"/>
  <c r="N129" i="4" s="1"/>
  <c r="L130" i="4"/>
  <c r="N130" i="4" s="1"/>
  <c r="J38" i="2" s="1"/>
  <c r="L167" i="4"/>
  <c r="N167" i="4" s="1"/>
  <c r="L166" i="4"/>
  <c r="N166" i="4" s="1"/>
  <c r="L168" i="4"/>
  <c r="N168" i="4" s="1"/>
  <c r="N48" i="3"/>
  <c r="L171" i="4"/>
  <c r="L169" i="4"/>
  <c r="N169" i="4" s="1"/>
  <c r="L170" i="4"/>
  <c r="N49" i="3"/>
  <c r="P57" i="3"/>
  <c r="M60" i="3"/>
  <c r="L60" i="3"/>
  <c r="Q60" i="3"/>
  <c r="R60" i="3" s="1"/>
  <c r="Q69" i="3"/>
  <c r="R69" i="3" s="1"/>
  <c r="L69" i="3"/>
  <c r="M69" i="3" s="1"/>
  <c r="I71" i="3"/>
  <c r="P71" i="3"/>
  <c r="Q83" i="3"/>
  <c r="R83" i="3" s="1"/>
  <c r="M83" i="3"/>
  <c r="L83" i="3"/>
  <c r="O28" i="4"/>
  <c r="K5" i="2" s="1"/>
  <c r="O30" i="4"/>
  <c r="P30" i="4" s="1"/>
  <c r="O38" i="4"/>
  <c r="P38" i="4" s="1"/>
  <c r="O46" i="4"/>
  <c r="P46" i="4" s="1"/>
  <c r="O50" i="4"/>
  <c r="P50" i="4" s="1"/>
  <c r="O54" i="4"/>
  <c r="P54" i="4" s="1"/>
  <c r="O58" i="4"/>
  <c r="P58" i="4" s="1"/>
  <c r="O156" i="4"/>
  <c r="P156" i="4" s="1"/>
  <c r="L72" i="4"/>
  <c r="L71" i="4"/>
  <c r="N71" i="4" s="1"/>
  <c r="L70" i="4"/>
  <c r="N70" i="4" s="1"/>
  <c r="L102" i="4"/>
  <c r="N102" i="4" s="1"/>
  <c r="L101" i="4"/>
  <c r="L100" i="4"/>
  <c r="N100" i="4" s="1"/>
  <c r="L103" i="4"/>
  <c r="L106" i="4"/>
  <c r="N106" i="4" s="1"/>
  <c r="L105" i="4"/>
  <c r="N105" i="4" s="1"/>
  <c r="L104" i="4"/>
  <c r="P40" i="3"/>
  <c r="Q40" i="3" s="1"/>
  <c r="R40" i="3" s="1"/>
  <c r="I43" i="3"/>
  <c r="J43" i="3" s="1"/>
  <c r="P43" i="3"/>
  <c r="G47" i="3"/>
  <c r="I47" i="3" s="1"/>
  <c r="J47" i="3" s="1"/>
  <c r="I49" i="3"/>
  <c r="P49" i="3"/>
  <c r="G50" i="3"/>
  <c r="I50" i="3" s="1"/>
  <c r="P55" i="3"/>
  <c r="Q55" i="3" s="1"/>
  <c r="N55" i="3"/>
  <c r="J61" i="3"/>
  <c r="Q63" i="3"/>
  <c r="R63" i="3" s="1"/>
  <c r="Q66" i="3"/>
  <c r="R66" i="3" s="1"/>
  <c r="J74" i="3"/>
  <c r="O14" i="4"/>
  <c r="O32" i="4"/>
  <c r="P32" i="4" s="1"/>
  <c r="O36" i="4"/>
  <c r="P36" i="4" s="1"/>
  <c r="O44" i="4"/>
  <c r="P44" i="4" s="1"/>
  <c r="O48" i="4"/>
  <c r="P48" i="4" s="1"/>
  <c r="O56" i="4"/>
  <c r="P56" i="4" s="1"/>
  <c r="O105" i="4"/>
  <c r="P105" i="4" s="1"/>
  <c r="M127" i="4"/>
  <c r="J127" i="4"/>
  <c r="K127" i="4" s="1"/>
  <c r="N29" i="3"/>
  <c r="P32" i="3"/>
  <c r="Q32" i="3" s="1"/>
  <c r="J34" i="3"/>
  <c r="L140" i="4"/>
  <c r="N140" i="4" s="1"/>
  <c r="O140" i="4" s="1"/>
  <c r="P140" i="4" s="1"/>
  <c r="L139" i="4"/>
  <c r="N139" i="4" s="1"/>
  <c r="L141" i="4"/>
  <c r="N141" i="4" s="1"/>
  <c r="L158" i="4"/>
  <c r="N158" i="4" s="1"/>
  <c r="L156" i="4"/>
  <c r="N156" i="4" s="1"/>
  <c r="L159" i="4"/>
  <c r="N159" i="4" s="1"/>
  <c r="L157" i="4"/>
  <c r="N157" i="4" s="1"/>
  <c r="N45" i="3"/>
  <c r="J71" i="3"/>
  <c r="M77" i="3"/>
  <c r="L77" i="3"/>
  <c r="Q82" i="3"/>
  <c r="R82" i="3" s="1"/>
  <c r="L82" i="3"/>
  <c r="M82" i="3" s="1"/>
  <c r="K224" i="4"/>
  <c r="H65" i="3"/>
  <c r="J65" i="3" s="1"/>
  <c r="E505" i="3"/>
  <c r="L42" i="4"/>
  <c r="N42" i="4" s="1"/>
  <c r="O42" i="4" s="1"/>
  <c r="P42" i="4" s="1"/>
  <c r="L40" i="4"/>
  <c r="N40" i="4" s="1"/>
  <c r="O40" i="4" s="1"/>
  <c r="P40" i="4" s="1"/>
  <c r="L43" i="4"/>
  <c r="N43" i="4" s="1"/>
  <c r="L41" i="4"/>
  <c r="L68" i="4"/>
  <c r="N68" i="4" s="1"/>
  <c r="N22" i="3"/>
  <c r="L116" i="4"/>
  <c r="L115" i="4"/>
  <c r="L114" i="4"/>
  <c r="N114" i="4" s="1"/>
  <c r="L117" i="4"/>
  <c r="N117" i="4" s="1"/>
  <c r="O117" i="4" s="1"/>
  <c r="P117" i="4" s="1"/>
  <c r="L123" i="4"/>
  <c r="L122" i="4"/>
  <c r="P37" i="3"/>
  <c r="Q37" i="3" s="1"/>
  <c r="N40" i="3"/>
  <c r="L151" i="4"/>
  <c r="L150" i="4"/>
  <c r="N150" i="4" s="1"/>
  <c r="L149" i="4"/>
  <c r="N149" i="4" s="1"/>
  <c r="L152" i="4"/>
  <c r="N152" i="4" s="1"/>
  <c r="N42" i="3"/>
  <c r="Q48" i="3"/>
  <c r="R48" i="3" s="1"/>
  <c r="M48" i="3"/>
  <c r="J49" i="3"/>
  <c r="J50" i="3"/>
  <c r="L63" i="3"/>
  <c r="M63" i="3" s="1"/>
  <c r="J27" i="4"/>
  <c r="F7" i="2" s="1"/>
  <c r="M27" i="4"/>
  <c r="J33" i="4"/>
  <c r="F26" i="2" s="1"/>
  <c r="M33" i="4"/>
  <c r="I26" i="2" s="1"/>
  <c r="L73" i="4"/>
  <c r="N73" i="4" s="1"/>
  <c r="O73" i="4" s="1"/>
  <c r="P73" i="4" s="1"/>
  <c r="O121" i="4"/>
  <c r="P121" i="4" s="1"/>
  <c r="L65" i="4"/>
  <c r="N65" i="4" s="1"/>
  <c r="O65" i="4" s="1"/>
  <c r="P65" i="4" s="1"/>
  <c r="L67" i="4"/>
  <c r="N67" i="4" s="1"/>
  <c r="L66" i="4"/>
  <c r="N21" i="3"/>
  <c r="L96" i="4"/>
  <c r="L95" i="4"/>
  <c r="L97" i="4"/>
  <c r="N97" i="4" s="1"/>
  <c r="L93" i="4"/>
  <c r="N93" i="4" s="1"/>
  <c r="L90" i="4"/>
  <c r="N90" i="4" s="1"/>
  <c r="L94" i="4"/>
  <c r="L91" i="4"/>
  <c r="N91" i="4" s="1"/>
  <c r="L92" i="4"/>
  <c r="N92" i="4" s="1"/>
  <c r="P33" i="3"/>
  <c r="Q33" i="3" s="1"/>
  <c r="R33" i="3" s="1"/>
  <c r="L137" i="4"/>
  <c r="N137" i="4" s="1"/>
  <c r="O137" i="4" s="1"/>
  <c r="P137" i="4" s="1"/>
  <c r="L138" i="4"/>
  <c r="N138" i="4" s="1"/>
  <c r="L135" i="4"/>
  <c r="N135" i="4" s="1"/>
  <c r="L136" i="4"/>
  <c r="N136" i="4" s="1"/>
  <c r="Q41" i="3"/>
  <c r="R41" i="3" s="1"/>
  <c r="G42" i="3"/>
  <c r="I42" i="3" s="1"/>
  <c r="J42" i="3" s="1"/>
  <c r="P47" i="3"/>
  <c r="P50" i="3"/>
  <c r="M52" i="3"/>
  <c r="L52" i="3"/>
  <c r="Q52" i="3"/>
  <c r="R52" i="3" s="1"/>
  <c r="J53" i="3"/>
  <c r="L194" i="4"/>
  <c r="N194" i="4" s="1"/>
  <c r="L193" i="4"/>
  <c r="N56" i="3"/>
  <c r="L200" i="4"/>
  <c r="N200" i="4" s="1"/>
  <c r="L196" i="4"/>
  <c r="L199" i="4"/>
  <c r="N199" i="4" s="1"/>
  <c r="L198" i="4"/>
  <c r="N198" i="4" s="1"/>
  <c r="L201" i="4"/>
  <c r="L197" i="4"/>
  <c r="N197" i="4" s="1"/>
  <c r="L195" i="4"/>
  <c r="N57" i="3"/>
  <c r="P81" i="3"/>
  <c r="N81" i="3"/>
  <c r="O131" i="4"/>
  <c r="P131" i="4" s="1"/>
  <c r="J173" i="4"/>
  <c r="K173" i="4" s="1"/>
  <c r="M173" i="4"/>
  <c r="M44" i="3"/>
  <c r="L44" i="3"/>
  <c r="Q44" i="3"/>
  <c r="R44" i="3" s="1"/>
  <c r="G58" i="3"/>
  <c r="I58" i="3" s="1"/>
  <c r="J58" i="3" s="1"/>
  <c r="J161" i="4"/>
  <c r="K161" i="4" s="1"/>
  <c r="M161" i="4"/>
  <c r="J248" i="4"/>
  <c r="K248" i="4" s="1"/>
  <c r="M248" i="4"/>
  <c r="I20" i="2" s="1"/>
  <c r="L165" i="4"/>
  <c r="N165" i="4" s="1"/>
  <c r="O165" i="4" s="1"/>
  <c r="P165" i="4" s="1"/>
  <c r="L164" i="4"/>
  <c r="L192" i="4"/>
  <c r="N192" i="4" s="1"/>
  <c r="L191" i="4"/>
  <c r="N191" i="4" s="1"/>
  <c r="L190" i="4"/>
  <c r="N190" i="4" s="1"/>
  <c r="L188" i="4"/>
  <c r="N188" i="4" s="1"/>
  <c r="L189" i="4"/>
  <c r="N189" i="4" s="1"/>
  <c r="L216" i="4"/>
  <c r="N216" i="4" s="1"/>
  <c r="L217" i="4"/>
  <c r="L218" i="4"/>
  <c r="N218" i="4" s="1"/>
  <c r="L247" i="4"/>
  <c r="N247" i="4" s="1"/>
  <c r="L246" i="4"/>
  <c r="L248" i="4"/>
  <c r="N73" i="3"/>
  <c r="L257" i="4"/>
  <c r="N257" i="4" s="1"/>
  <c r="L253" i="4"/>
  <c r="N253" i="4" s="1"/>
  <c r="L255" i="4"/>
  <c r="N255" i="4" s="1"/>
  <c r="L258" i="4"/>
  <c r="N258" i="4" s="1"/>
  <c r="O258" i="4" s="1"/>
  <c r="P258" i="4" s="1"/>
  <c r="L254" i="4"/>
  <c r="L256" i="4"/>
  <c r="N75" i="3"/>
  <c r="K27" i="4"/>
  <c r="D22" i="1" s="1"/>
  <c r="M37" i="4"/>
  <c r="J37" i="4"/>
  <c r="M41" i="4"/>
  <c r="J41" i="4"/>
  <c r="F46" i="2" s="1"/>
  <c r="M45" i="4"/>
  <c r="J45" i="4"/>
  <c r="M49" i="4"/>
  <c r="I11" i="2" s="1"/>
  <c r="J49" i="4"/>
  <c r="F11" i="2" s="1"/>
  <c r="M53" i="4"/>
  <c r="I49" i="2" s="1"/>
  <c r="J53" i="4"/>
  <c r="K53" i="4" s="1"/>
  <c r="M57" i="4"/>
  <c r="J57" i="4"/>
  <c r="K57" i="4" s="1"/>
  <c r="O68" i="4"/>
  <c r="P68" i="4" s="1"/>
  <c r="M72" i="4"/>
  <c r="O82" i="4"/>
  <c r="P82" i="4" s="1"/>
  <c r="J110" i="4"/>
  <c r="K110" i="4" s="1"/>
  <c r="M110" i="4"/>
  <c r="M113" i="4"/>
  <c r="I42" i="2" s="1"/>
  <c r="O130" i="4"/>
  <c r="K38" i="2" s="1"/>
  <c r="L38" i="2" s="1"/>
  <c r="M143" i="4"/>
  <c r="I15" i="2" s="1"/>
  <c r="J143" i="4"/>
  <c r="F15" i="2" s="1"/>
  <c r="O150" i="4"/>
  <c r="P150" i="4" s="1"/>
  <c r="O166" i="4"/>
  <c r="P166" i="4" s="1"/>
  <c r="M175" i="4"/>
  <c r="J175" i="4"/>
  <c r="J213" i="4"/>
  <c r="M213" i="4"/>
  <c r="H73" i="3"/>
  <c r="J73" i="3" s="1"/>
  <c r="O255" i="4"/>
  <c r="P255" i="4" s="1"/>
  <c r="J280" i="4"/>
  <c r="K280" i="4" s="1"/>
  <c r="M280" i="4"/>
  <c r="L162" i="4"/>
  <c r="N162" i="4" s="1"/>
  <c r="L161" i="4"/>
  <c r="L163" i="4"/>
  <c r="L187" i="4"/>
  <c r="N187" i="4" s="1"/>
  <c r="O187" i="4" s="1"/>
  <c r="P187" i="4" s="1"/>
  <c r="L186" i="4"/>
  <c r="N62" i="3"/>
  <c r="L237" i="4"/>
  <c r="L238" i="4"/>
  <c r="N238" i="4" s="1"/>
  <c r="O238" i="4" s="1"/>
  <c r="P238" i="4" s="1"/>
  <c r="N70" i="3"/>
  <c r="L265" i="4"/>
  <c r="N265" i="4" s="1"/>
  <c r="L263" i="4"/>
  <c r="N263" i="4" s="1"/>
  <c r="L267" i="4"/>
  <c r="N267" i="4" s="1"/>
  <c r="L268" i="4"/>
  <c r="N268" i="4" s="1"/>
  <c r="O268" i="4" s="1"/>
  <c r="P268" i="4" s="1"/>
  <c r="L266" i="4"/>
  <c r="N266" i="4" s="1"/>
  <c r="O266" i="4" s="1"/>
  <c r="N78" i="3"/>
  <c r="K7" i="4"/>
  <c r="K13" i="4"/>
  <c r="M15" i="4"/>
  <c r="M21" i="4"/>
  <c r="I43" i="2" s="1"/>
  <c r="K37" i="4"/>
  <c r="K41" i="4"/>
  <c r="K45" i="4"/>
  <c r="K49" i="4"/>
  <c r="M63" i="4"/>
  <c r="J63" i="4"/>
  <c r="K63" i="4" s="1"/>
  <c r="O79" i="4"/>
  <c r="P79" i="4" s="1"/>
  <c r="M81" i="4"/>
  <c r="J81" i="4"/>
  <c r="K81" i="4" s="1"/>
  <c r="P85" i="4"/>
  <c r="M86" i="4"/>
  <c r="I10" i="2" s="1"/>
  <c r="M94" i="4"/>
  <c r="J94" i="4"/>
  <c r="F25" i="2" s="1"/>
  <c r="M96" i="4"/>
  <c r="J96" i="4"/>
  <c r="O118" i="4"/>
  <c r="P118" i="4" s="1"/>
  <c r="M123" i="4"/>
  <c r="J123" i="4"/>
  <c r="K123" i="4" s="1"/>
  <c r="O135" i="4"/>
  <c r="P135" i="4" s="1"/>
  <c r="O138" i="4"/>
  <c r="P138" i="4" s="1"/>
  <c r="M163" i="4"/>
  <c r="J163" i="4"/>
  <c r="J241" i="4"/>
  <c r="K241" i="4" s="1"/>
  <c r="M241" i="4"/>
  <c r="J252" i="4"/>
  <c r="M252" i="4"/>
  <c r="L183" i="4"/>
  <c r="L184" i="4"/>
  <c r="N184" i="4" s="1"/>
  <c r="L224" i="4"/>
  <c r="N224" i="4" s="1"/>
  <c r="L226" i="4"/>
  <c r="N226" i="4" s="1"/>
  <c r="L225" i="4"/>
  <c r="L269" i="4"/>
  <c r="L271" i="4"/>
  <c r="N271" i="4" s="1"/>
  <c r="L270" i="4"/>
  <c r="N79" i="3"/>
  <c r="O61" i="4"/>
  <c r="O112" i="4"/>
  <c r="P112" i="4" s="1"/>
  <c r="J120" i="4"/>
  <c r="M120" i="4"/>
  <c r="O158" i="4"/>
  <c r="P158" i="4" s="1"/>
  <c r="M179" i="4"/>
  <c r="J179" i="4"/>
  <c r="K179" i="4" s="1"/>
  <c r="M211" i="4"/>
  <c r="J211" i="4"/>
  <c r="K211" i="4" s="1"/>
  <c r="M219" i="4"/>
  <c r="J219" i="4"/>
  <c r="K219" i="4" s="1"/>
  <c r="L99" i="4"/>
  <c r="N99" i="4" s="1"/>
  <c r="L98" i="4"/>
  <c r="N98" i="4" s="1"/>
  <c r="L127" i="4"/>
  <c r="N127" i="4" s="1"/>
  <c r="L125" i="4"/>
  <c r="N125" i="4" s="1"/>
  <c r="O125" i="4" s="1"/>
  <c r="P125" i="4" s="1"/>
  <c r="L124" i="4"/>
  <c r="N124" i="4" s="1"/>
  <c r="L126" i="4"/>
  <c r="L155" i="4"/>
  <c r="N155" i="4" s="1"/>
  <c r="O155" i="4" s="1"/>
  <c r="P155" i="4" s="1"/>
  <c r="L154" i="4"/>
  <c r="N154" i="4" s="1"/>
  <c r="N46" i="3"/>
  <c r="L181" i="4"/>
  <c r="N181" i="4" s="1"/>
  <c r="L180" i="4"/>
  <c r="N180" i="4" s="1"/>
  <c r="L182" i="4"/>
  <c r="N182" i="4" s="1"/>
  <c r="O182" i="4" s="1"/>
  <c r="P182" i="4" s="1"/>
  <c r="L179" i="4"/>
  <c r="N54" i="3"/>
  <c r="L212" i="4"/>
  <c r="N212" i="4" s="1"/>
  <c r="L211" i="4"/>
  <c r="N211" i="4" s="1"/>
  <c r="L210" i="4"/>
  <c r="N210" i="4" s="1"/>
  <c r="N65" i="3"/>
  <c r="L232" i="4"/>
  <c r="N232" i="4" s="1"/>
  <c r="L230" i="4"/>
  <c r="N230" i="4" s="1"/>
  <c r="L231" i="4"/>
  <c r="N67" i="3"/>
  <c r="J75" i="3"/>
  <c r="L279" i="4"/>
  <c r="N279" i="4" s="1"/>
  <c r="N82" i="3"/>
  <c r="M7" i="4"/>
  <c r="I39" i="2" s="1"/>
  <c r="M13" i="4"/>
  <c r="K31" i="4"/>
  <c r="O70" i="4"/>
  <c r="P70" i="4" s="1"/>
  <c r="M87" i="4"/>
  <c r="J87" i="4"/>
  <c r="O90" i="4"/>
  <c r="P90" i="4" s="1"/>
  <c r="O99" i="4"/>
  <c r="P99" i="4" s="1"/>
  <c r="M151" i="4"/>
  <c r="J151" i="4"/>
  <c r="O188" i="4"/>
  <c r="P188" i="4" s="1"/>
  <c r="L176" i="4"/>
  <c r="N176" i="4" s="1"/>
  <c r="L175" i="4"/>
  <c r="N175" i="4" s="1"/>
  <c r="L174" i="4"/>
  <c r="N174" i="4" s="1"/>
  <c r="O174" i="4" s="1"/>
  <c r="P174" i="4" s="1"/>
  <c r="L177" i="4"/>
  <c r="L178" i="4"/>
  <c r="N53" i="3"/>
  <c r="L208" i="4"/>
  <c r="N208" i="4" s="1"/>
  <c r="L209" i="4"/>
  <c r="L205" i="4"/>
  <c r="N205" i="4" s="1"/>
  <c r="O205" i="4" s="1"/>
  <c r="L206" i="4"/>
  <c r="N206" i="4" s="1"/>
  <c r="L207" i="4"/>
  <c r="N207" i="4" s="1"/>
  <c r="L223" i="4"/>
  <c r="N223" i="4" s="1"/>
  <c r="O223" i="4" s="1"/>
  <c r="P223" i="4" s="1"/>
  <c r="L222" i="4"/>
  <c r="N222" i="4" s="1"/>
  <c r="L221" i="4"/>
  <c r="G67" i="3"/>
  <c r="I67" i="3" s="1"/>
  <c r="J67" i="3" s="1"/>
  <c r="I68" i="3"/>
  <c r="J68" i="3" s="1"/>
  <c r="G72" i="3"/>
  <c r="L249" i="4"/>
  <c r="N249" i="4" s="1"/>
  <c r="O249" i="4" s="1"/>
  <c r="P249" i="4" s="1"/>
  <c r="L251" i="4"/>
  <c r="N251" i="4" s="1"/>
  <c r="L250" i="4"/>
  <c r="N250" i="4" s="1"/>
  <c r="O250" i="4" s="1"/>
  <c r="P250" i="4" s="1"/>
  <c r="L252" i="4"/>
  <c r="N74" i="3"/>
  <c r="G76" i="3"/>
  <c r="I76" i="3" s="1"/>
  <c r="J76" i="3" s="1"/>
  <c r="L281" i="4"/>
  <c r="N281" i="4" s="1"/>
  <c r="L280" i="4"/>
  <c r="L282" i="4"/>
  <c r="N282" i="4" s="1"/>
  <c r="O282" i="4" s="1"/>
  <c r="P282" i="4" s="1"/>
  <c r="N83" i="3"/>
  <c r="O11" i="4"/>
  <c r="O17" i="4"/>
  <c r="M19" i="4"/>
  <c r="O20" i="4"/>
  <c r="P20" i="4" s="1"/>
  <c r="M25" i="4"/>
  <c r="M59" i="4"/>
  <c r="J59" i="4"/>
  <c r="K59" i="4" s="1"/>
  <c r="M69" i="4"/>
  <c r="I8" i="2" s="1"/>
  <c r="J69" i="4"/>
  <c r="K69" i="4" s="1"/>
  <c r="G8" i="2" s="1"/>
  <c r="O71" i="4"/>
  <c r="P71" i="4" s="1"/>
  <c r="O75" i="4"/>
  <c r="K87" i="4"/>
  <c r="O98" i="4"/>
  <c r="P98" i="4" s="1"/>
  <c r="O114" i="4"/>
  <c r="P114" i="4" s="1"/>
  <c r="O128" i="4"/>
  <c r="P128" i="4" s="1"/>
  <c r="M139" i="4"/>
  <c r="J139" i="4"/>
  <c r="K139" i="4" s="1"/>
  <c r="O149" i="4"/>
  <c r="P149" i="4" s="1"/>
  <c r="K151" i="4"/>
  <c r="L160" i="4"/>
  <c r="N160" i="4" s="1"/>
  <c r="O160" i="4" s="1"/>
  <c r="P160" i="4" s="1"/>
  <c r="K170" i="4"/>
  <c r="O181" i="4"/>
  <c r="P181" i="4" s="1"/>
  <c r="J256" i="4"/>
  <c r="F13" i="2" s="1"/>
  <c r="M256" i="4"/>
  <c r="I13" i="2" s="1"/>
  <c r="L264" i="4"/>
  <c r="N264" i="4" s="1"/>
  <c r="L172" i="4"/>
  <c r="N172" i="4" s="1"/>
  <c r="L173" i="4"/>
  <c r="N173" i="4" s="1"/>
  <c r="L204" i="4"/>
  <c r="N204" i="4" s="1"/>
  <c r="L203" i="4"/>
  <c r="N203" i="4" s="1"/>
  <c r="L202" i="4"/>
  <c r="N202" i="4" s="1"/>
  <c r="G64" i="3"/>
  <c r="J70" i="3"/>
  <c r="L239" i="4"/>
  <c r="N239" i="4" s="1"/>
  <c r="L240" i="4"/>
  <c r="N240" i="4" s="1"/>
  <c r="N71" i="3"/>
  <c r="P77" i="3"/>
  <c r="Q77" i="3" s="1"/>
  <c r="R77" i="3" s="1"/>
  <c r="Q78" i="3"/>
  <c r="R78" i="3" s="1"/>
  <c r="M78" i="3"/>
  <c r="J79" i="3"/>
  <c r="K23" i="4"/>
  <c r="O26" i="4"/>
  <c r="P26" i="4" s="1"/>
  <c r="K29" i="4"/>
  <c r="M31" i="4"/>
  <c r="K35" i="4"/>
  <c r="K39" i="4"/>
  <c r="K43" i="4"/>
  <c r="K47" i="4"/>
  <c r="K51" i="4"/>
  <c r="K55" i="4"/>
  <c r="M62" i="4"/>
  <c r="I41" i="2" s="1"/>
  <c r="J62" i="4"/>
  <c r="F41" i="2" s="1"/>
  <c r="O67" i="4"/>
  <c r="P67" i="4" s="1"/>
  <c r="P75" i="4"/>
  <c r="O78" i="4"/>
  <c r="P78" i="4" s="1"/>
  <c r="M80" i="4"/>
  <c r="J80" i="4"/>
  <c r="K80" i="4" s="1"/>
  <c r="O89" i="4"/>
  <c r="P89" i="4" s="1"/>
  <c r="M95" i="4"/>
  <c r="I27" i="2" s="1"/>
  <c r="J95" i="4"/>
  <c r="O97" i="4"/>
  <c r="P97" i="4" s="1"/>
  <c r="M103" i="4"/>
  <c r="J103" i="4"/>
  <c r="O109" i="4"/>
  <c r="P109" i="4" s="1"/>
  <c r="O154" i="4"/>
  <c r="P154" i="4" s="1"/>
  <c r="L185" i="4"/>
  <c r="N185" i="4" s="1"/>
  <c r="O199" i="4"/>
  <c r="P199" i="4" s="1"/>
  <c r="O206" i="4"/>
  <c r="P206" i="4" s="1"/>
  <c r="K251" i="4"/>
  <c r="O263" i="4"/>
  <c r="P263" i="4" s="1"/>
  <c r="G80" i="3"/>
  <c r="I80" i="3" s="1"/>
  <c r="J80" i="3" s="1"/>
  <c r="L81" i="3"/>
  <c r="M81" i="3" s="1"/>
  <c r="Q81" i="3"/>
  <c r="R81" i="3" s="1"/>
  <c r="O9" i="4"/>
  <c r="O74" i="4"/>
  <c r="P74" i="4" s="1"/>
  <c r="O93" i="4"/>
  <c r="P93" i="4"/>
  <c r="K106" i="4"/>
  <c r="O111" i="4"/>
  <c r="P111" i="4" s="1"/>
  <c r="J148" i="4"/>
  <c r="K148" i="4" s="1"/>
  <c r="M148" i="4"/>
  <c r="O153" i="4"/>
  <c r="O162" i="4"/>
  <c r="P162" i="4" s="1"/>
  <c r="M171" i="4"/>
  <c r="J171" i="4"/>
  <c r="K171" i="4" s="1"/>
  <c r="O189" i="4"/>
  <c r="P189" i="4" s="1"/>
  <c r="L215" i="4"/>
  <c r="N215" i="4" s="1"/>
  <c r="O215" i="4" s="1"/>
  <c r="P215" i="4" s="1"/>
  <c r="L214" i="4"/>
  <c r="N214" i="4" s="1"/>
  <c r="L213" i="4"/>
  <c r="N213" i="4" s="1"/>
  <c r="L235" i="4"/>
  <c r="N235" i="4" s="1"/>
  <c r="O235" i="4" s="1"/>
  <c r="P235" i="4" s="1"/>
  <c r="L236" i="4"/>
  <c r="N236" i="4" s="1"/>
  <c r="O236" i="4" s="1"/>
  <c r="P236" i="4" s="1"/>
  <c r="L261" i="4"/>
  <c r="N261" i="4" s="1"/>
  <c r="O261" i="4" s="1"/>
  <c r="P261" i="4" s="1"/>
  <c r="L262" i="4"/>
  <c r="M66" i="4"/>
  <c r="M101" i="4"/>
  <c r="I40" i="2" s="1"/>
  <c r="J101" i="4"/>
  <c r="K101" i="4" s="1"/>
  <c r="K103" i="4"/>
  <c r="M104" i="4"/>
  <c r="I36" i="2" s="1"/>
  <c r="M126" i="4"/>
  <c r="I28" i="2" s="1"/>
  <c r="J126" i="4"/>
  <c r="K126" i="4" s="1"/>
  <c r="O144" i="4"/>
  <c r="P144" i="4" s="1"/>
  <c r="O167" i="4"/>
  <c r="P167" i="4" s="1"/>
  <c r="J196" i="4"/>
  <c r="M196" i="4"/>
  <c r="K216" i="4"/>
  <c r="J245" i="4"/>
  <c r="K245" i="4" s="1"/>
  <c r="M245" i="4"/>
  <c r="L259" i="4"/>
  <c r="N259" i="4" s="1"/>
  <c r="L260" i="4"/>
  <c r="N260" i="4" s="1"/>
  <c r="K64" i="4"/>
  <c r="K83" i="4"/>
  <c r="K100" i="4"/>
  <c r="K102" i="4"/>
  <c r="D31" i="1" s="1"/>
  <c r="K119" i="4"/>
  <c r="M133" i="4"/>
  <c r="J133" i="4"/>
  <c r="K133" i="4" s="1"/>
  <c r="K134" i="4"/>
  <c r="M147" i="4"/>
  <c r="I35" i="2" s="1"/>
  <c r="J147" i="4"/>
  <c r="O157" i="4"/>
  <c r="P157" i="4" s="1"/>
  <c r="O185" i="4"/>
  <c r="P185" i="4" s="1"/>
  <c r="K191" i="4"/>
  <c r="K208" i="4"/>
  <c r="J220" i="4"/>
  <c r="K220" i="4" s="1"/>
  <c r="M220" i="4"/>
  <c r="J277" i="4"/>
  <c r="K277" i="4" s="1"/>
  <c r="M277" i="4"/>
  <c r="K72" i="4"/>
  <c r="K88" i="4"/>
  <c r="M107" i="4"/>
  <c r="J107" i="4"/>
  <c r="K107" i="4" s="1"/>
  <c r="K143" i="4"/>
  <c r="O198" i="4"/>
  <c r="P198" i="4" s="1"/>
  <c r="M207" i="4"/>
  <c r="J207" i="4"/>
  <c r="K207" i="4" s="1"/>
  <c r="O210" i="4"/>
  <c r="P210" i="4" s="1"/>
  <c r="J212" i="4"/>
  <c r="M212" i="4"/>
  <c r="O222" i="4"/>
  <c r="P222" i="4" s="1"/>
  <c r="O230" i="4"/>
  <c r="P230" i="4" s="1"/>
  <c r="O257" i="4"/>
  <c r="P257" i="4" s="1"/>
  <c r="L277" i="4"/>
  <c r="N277" i="4" s="1"/>
  <c r="L276" i="4"/>
  <c r="L278" i="4"/>
  <c r="N278" i="4" s="1"/>
  <c r="O278" i="4" s="1"/>
  <c r="P278" i="4" s="1"/>
  <c r="K60" i="4"/>
  <c r="K116" i="4"/>
  <c r="O129" i="4"/>
  <c r="P129" i="4" s="1"/>
  <c r="K132" i="4"/>
  <c r="O142" i="4"/>
  <c r="P142" i="4" s="1"/>
  <c r="M145" i="4"/>
  <c r="J145" i="4"/>
  <c r="K145" i="4" s="1"/>
  <c r="O190" i="4"/>
  <c r="P190" i="4" s="1"/>
  <c r="M195" i="4"/>
  <c r="J195" i="4"/>
  <c r="K195" i="4" s="1"/>
  <c r="O197" i="4"/>
  <c r="P197" i="4" s="1"/>
  <c r="M227" i="4"/>
  <c r="J227" i="4"/>
  <c r="K227" i="4" s="1"/>
  <c r="O242" i="4"/>
  <c r="P242" i="4" s="1"/>
  <c r="L245" i="4"/>
  <c r="L241" i="4"/>
  <c r="N241" i="4" s="1"/>
  <c r="L243" i="4"/>
  <c r="N243" i="4" s="1"/>
  <c r="L244" i="4"/>
  <c r="N244" i="4" s="1"/>
  <c r="L273" i="4"/>
  <c r="N273" i="4" s="1"/>
  <c r="L275" i="4"/>
  <c r="N275" i="4" s="1"/>
  <c r="L272" i="4"/>
  <c r="N272" i="4" s="1"/>
  <c r="O272" i="4" s="1"/>
  <c r="P272" i="4" s="1"/>
  <c r="K76" i="4"/>
  <c r="J91" i="4"/>
  <c r="K92" i="4"/>
  <c r="K115" i="4"/>
  <c r="M116" i="4"/>
  <c r="K122" i="4"/>
  <c r="K136" i="4"/>
  <c r="O141" i="4"/>
  <c r="P141" i="4" s="1"/>
  <c r="P153" i="4"/>
  <c r="J164" i="4"/>
  <c r="K164" i="4" s="1"/>
  <c r="M164" i="4"/>
  <c r="K168" i="4"/>
  <c r="O169" i="4"/>
  <c r="P169" i="4" s="1"/>
  <c r="K176" i="4"/>
  <c r="M186" i="4"/>
  <c r="J186" i="4"/>
  <c r="K186" i="4" s="1"/>
  <c r="K203" i="4"/>
  <c r="J209" i="4"/>
  <c r="K209" i="4" s="1"/>
  <c r="M209" i="4"/>
  <c r="O214" i="4"/>
  <c r="P214" i="4" s="1"/>
  <c r="J229" i="4"/>
  <c r="K229" i="4" s="1"/>
  <c r="M229" i="4"/>
  <c r="L242" i="4"/>
  <c r="N242" i="4" s="1"/>
  <c r="J244" i="4"/>
  <c r="M244" i="4"/>
  <c r="O259" i="4"/>
  <c r="P259" i="4" s="1"/>
  <c r="J269" i="4"/>
  <c r="K269" i="4" s="1"/>
  <c r="M269" i="4"/>
  <c r="O274" i="4"/>
  <c r="P274" i="4" s="1"/>
  <c r="K108" i="4"/>
  <c r="K146" i="4"/>
  <c r="M170" i="4"/>
  <c r="J170" i="4"/>
  <c r="K172" i="4"/>
  <c r="K175" i="4"/>
  <c r="J193" i="4"/>
  <c r="K193" i="4" s="1"/>
  <c r="M193" i="4"/>
  <c r="K194" i="4"/>
  <c r="K202" i="4"/>
  <c r="K244" i="4"/>
  <c r="P266" i="4"/>
  <c r="O281" i="4"/>
  <c r="P281" i="4" s="1"/>
  <c r="K104" i="4"/>
  <c r="K163" i="4"/>
  <c r="M177" i="4"/>
  <c r="J177" i="4"/>
  <c r="K177" i="4" s="1"/>
  <c r="J221" i="4"/>
  <c r="K221" i="4" s="1"/>
  <c r="M221" i="4"/>
  <c r="K228" i="4"/>
  <c r="J237" i="4"/>
  <c r="M237" i="4"/>
  <c r="I23" i="2" s="1"/>
  <c r="O240" i="4"/>
  <c r="P240" i="4" s="1"/>
  <c r="O253" i="4"/>
  <c r="P253" i="4" s="1"/>
  <c r="O265" i="4"/>
  <c r="P265" i="4" s="1"/>
  <c r="J273" i="4"/>
  <c r="K273" i="4" s="1"/>
  <c r="M273" i="4"/>
  <c r="J276" i="4"/>
  <c r="M276" i="4"/>
  <c r="K124" i="4"/>
  <c r="K159" i="4"/>
  <c r="K178" i="4"/>
  <c r="M183" i="4"/>
  <c r="J183" i="4"/>
  <c r="O192" i="4"/>
  <c r="P192" i="4" s="1"/>
  <c r="K204" i="4"/>
  <c r="P205" i="4"/>
  <c r="M208" i="4"/>
  <c r="J208" i="4"/>
  <c r="K276" i="4"/>
  <c r="K196" i="4"/>
  <c r="J217" i="4"/>
  <c r="K217" i="4" s="1"/>
  <c r="M217" i="4"/>
  <c r="O239" i="4"/>
  <c r="P239" i="4" s="1"/>
  <c r="K252" i="4"/>
  <c r="K256" i="4"/>
  <c r="K152" i="4"/>
  <c r="K184" i="4"/>
  <c r="K200" i="4"/>
  <c r="K218" i="4"/>
  <c r="K243" i="4"/>
  <c r="K247" i="4"/>
  <c r="K260" i="4"/>
  <c r="K264" i="4"/>
  <c r="K180" i="4"/>
  <c r="M201" i="4"/>
  <c r="I16" i="2" s="1"/>
  <c r="K212" i="4"/>
  <c r="J225" i="4"/>
  <c r="K225" i="4" s="1"/>
  <c r="M225" i="4"/>
  <c r="M231" i="4"/>
  <c r="J231" i="4"/>
  <c r="K231" i="4" s="1"/>
  <c r="O232" i="4"/>
  <c r="P232" i="4" s="1"/>
  <c r="O267" i="4"/>
  <c r="P267" i="4" s="1"/>
  <c r="O271" i="4"/>
  <c r="P271" i="4" s="1"/>
  <c r="K226" i="4"/>
  <c r="K275" i="4"/>
  <c r="K279" i="4"/>
  <c r="M238" i="4"/>
  <c r="M246" i="4"/>
  <c r="M254" i="4"/>
  <c r="M262" i="4"/>
  <c r="M270" i="4"/>
  <c r="M278" i="4"/>
  <c r="P130" i="4" l="1"/>
  <c r="F7" i="11"/>
  <c r="D16" i="1"/>
  <c r="O204" i="4"/>
  <c r="P204" i="4" s="1"/>
  <c r="O152" i="4"/>
  <c r="P152" i="4" s="1"/>
  <c r="O119" i="4"/>
  <c r="P119" i="4" s="1"/>
  <c r="M67" i="3"/>
  <c r="L67" i="3"/>
  <c r="O264" i="4"/>
  <c r="P264" i="4" s="1"/>
  <c r="O124" i="4"/>
  <c r="P124" i="4" s="1"/>
  <c r="O207" i="4"/>
  <c r="P207" i="4" s="1"/>
  <c r="F45" i="2"/>
  <c r="O260" i="4"/>
  <c r="P260" i="4" s="1"/>
  <c r="K147" i="4"/>
  <c r="F35" i="2"/>
  <c r="O23" i="4"/>
  <c r="P23" i="4" s="1"/>
  <c r="G46" i="2"/>
  <c r="D61" i="1"/>
  <c r="F53" i="2"/>
  <c r="H35" i="2"/>
  <c r="O47" i="4"/>
  <c r="P47" i="4" s="1"/>
  <c r="G49" i="2"/>
  <c r="D64" i="1"/>
  <c r="D67" i="1"/>
  <c r="E9" i="11"/>
  <c r="R55" i="3"/>
  <c r="I25" i="2"/>
  <c r="G20" i="2"/>
  <c r="L42" i="3"/>
  <c r="M42" i="3" s="1"/>
  <c r="M45" i="3"/>
  <c r="Q45" i="3"/>
  <c r="G8" i="11" s="1"/>
  <c r="L45" i="3"/>
  <c r="R19" i="3"/>
  <c r="G6" i="11"/>
  <c r="O226" i="4"/>
  <c r="P226" i="4" s="1"/>
  <c r="G7" i="11"/>
  <c r="R32" i="3"/>
  <c r="H5" i="11"/>
  <c r="R8" i="3"/>
  <c r="R24" i="3"/>
  <c r="C7" i="11"/>
  <c r="O194" i="4"/>
  <c r="P194" i="4" s="1"/>
  <c r="F27" i="2"/>
  <c r="K95" i="4"/>
  <c r="L58" i="3"/>
  <c r="M58" i="3" s="1"/>
  <c r="O275" i="4"/>
  <c r="P275" i="4" s="1"/>
  <c r="O202" i="4"/>
  <c r="P202" i="4" s="1"/>
  <c r="O146" i="4"/>
  <c r="P146" i="4"/>
  <c r="G13" i="2"/>
  <c r="D28" i="1"/>
  <c r="C8" i="11"/>
  <c r="R37" i="3"/>
  <c r="O60" i="4"/>
  <c r="P60" i="4" s="1"/>
  <c r="O216" i="4"/>
  <c r="P216" i="4" s="1"/>
  <c r="O39" i="4"/>
  <c r="P39" i="4" s="1"/>
  <c r="K237" i="4"/>
  <c r="F23" i="2"/>
  <c r="O212" i="4"/>
  <c r="P212" i="4"/>
  <c r="O218" i="4"/>
  <c r="P218" i="4" s="1"/>
  <c r="O200" i="4"/>
  <c r="P200" i="4" s="1"/>
  <c r="O178" i="4"/>
  <c r="P178" i="4" s="1"/>
  <c r="O273" i="4"/>
  <c r="P273" i="4" s="1"/>
  <c r="O172" i="4"/>
  <c r="P172" i="4" s="1"/>
  <c r="O180" i="4"/>
  <c r="P180" i="4" s="1"/>
  <c r="O184" i="4"/>
  <c r="P184" i="4" s="1"/>
  <c r="O244" i="4"/>
  <c r="P244" i="4" s="1"/>
  <c r="O203" i="4"/>
  <c r="P203" i="4" s="1"/>
  <c r="O168" i="4"/>
  <c r="P168" i="4" s="1"/>
  <c r="N245" i="4"/>
  <c r="G15" i="2"/>
  <c r="D30" i="1"/>
  <c r="O277" i="4"/>
  <c r="P277" i="4" s="1"/>
  <c r="O106" i="4"/>
  <c r="O55" i="4"/>
  <c r="P55" i="4" s="1"/>
  <c r="D33" i="1"/>
  <c r="P17" i="4"/>
  <c r="N221" i="4"/>
  <c r="O221" i="4" s="1"/>
  <c r="P221" i="4" s="1"/>
  <c r="K96" i="4"/>
  <c r="O241" i="4"/>
  <c r="P241" i="4"/>
  <c r="D68" i="1"/>
  <c r="P76" i="3"/>
  <c r="N161" i="4"/>
  <c r="I21" i="2"/>
  <c r="K33" i="4"/>
  <c r="N254" i="4"/>
  <c r="O254" i="4" s="1"/>
  <c r="P254" i="4" s="1"/>
  <c r="N196" i="4"/>
  <c r="I7" i="2"/>
  <c r="O127" i="4"/>
  <c r="P127" i="4" s="1"/>
  <c r="N72" i="4"/>
  <c r="P28" i="4"/>
  <c r="P58" i="3"/>
  <c r="Q58" i="3" s="1"/>
  <c r="N18" i="4"/>
  <c r="H49" i="2"/>
  <c r="Q57" i="3"/>
  <c r="F9" i="11" s="1"/>
  <c r="M57" i="3"/>
  <c r="L57" i="3"/>
  <c r="N145" i="4"/>
  <c r="N69" i="4"/>
  <c r="F8" i="2"/>
  <c r="F55" i="2" s="1"/>
  <c r="N57" i="4"/>
  <c r="O57" i="4" s="1"/>
  <c r="P57" i="4" s="1"/>
  <c r="N37" i="4"/>
  <c r="F52" i="2"/>
  <c r="H5" i="2"/>
  <c r="N7" i="4"/>
  <c r="H39" i="2"/>
  <c r="J5" i="2"/>
  <c r="K91" i="4"/>
  <c r="F40" i="2"/>
  <c r="O243" i="4"/>
  <c r="P243" i="4" s="1"/>
  <c r="G36" i="2"/>
  <c r="O279" i="4"/>
  <c r="P279" i="4" s="1"/>
  <c r="O159" i="4"/>
  <c r="P159" i="4" s="1"/>
  <c r="G23" i="2"/>
  <c r="O132" i="4"/>
  <c r="P132" i="4" s="1"/>
  <c r="N262" i="4"/>
  <c r="O262" i="4" s="1"/>
  <c r="P262" i="4" s="1"/>
  <c r="O251" i="4"/>
  <c r="P251" i="4" s="1"/>
  <c r="O51" i="4"/>
  <c r="P51" i="4" s="1"/>
  <c r="N252" i="4"/>
  <c r="O252" i="4" s="1"/>
  <c r="P252" i="4" s="1"/>
  <c r="N178" i="4"/>
  <c r="H47" i="2"/>
  <c r="K94" i="4"/>
  <c r="O81" i="4"/>
  <c r="P81" i="4" s="1"/>
  <c r="G39" i="2"/>
  <c r="K213" i="4"/>
  <c r="F21" i="2"/>
  <c r="G7" i="2"/>
  <c r="N164" i="4"/>
  <c r="O164" i="4" s="1"/>
  <c r="P164" i="4" s="1"/>
  <c r="P67" i="3"/>
  <c r="Q67" i="3" s="1"/>
  <c r="R67" i="3" s="1"/>
  <c r="N122" i="4"/>
  <c r="H28" i="2"/>
  <c r="N41" i="4"/>
  <c r="P9" i="4"/>
  <c r="N53" i="4"/>
  <c r="O53" i="4" s="1"/>
  <c r="P53" i="4" s="1"/>
  <c r="N107" i="4"/>
  <c r="O107" i="4" s="1"/>
  <c r="P107" i="4" s="1"/>
  <c r="N21" i="4"/>
  <c r="N219" i="4"/>
  <c r="M59" i="3"/>
  <c r="L59" i="3"/>
  <c r="Q59" i="3"/>
  <c r="H9" i="11" s="1"/>
  <c r="M39" i="3"/>
  <c r="L39" i="3"/>
  <c r="H51" i="2"/>
  <c r="H30" i="2"/>
  <c r="L21" i="3"/>
  <c r="M21" i="3" s="1"/>
  <c r="Q21" i="3"/>
  <c r="R21" i="3" s="1"/>
  <c r="N27" i="4"/>
  <c r="O27" i="4" s="1"/>
  <c r="P27" i="4" s="1"/>
  <c r="H43" i="2"/>
  <c r="D51" i="1"/>
  <c r="M11" i="3"/>
  <c r="L11" i="3"/>
  <c r="Q11" i="3"/>
  <c r="C6" i="11" s="1"/>
  <c r="L5" i="2"/>
  <c r="N35" i="4"/>
  <c r="H40" i="2"/>
  <c r="L28" i="3"/>
  <c r="M28" i="3"/>
  <c r="Q28" i="3"/>
  <c r="R28" i="3" s="1"/>
  <c r="N8" i="4"/>
  <c r="H8" i="2"/>
  <c r="H25" i="2"/>
  <c r="N80" i="4"/>
  <c r="O80" i="4" s="1"/>
  <c r="P80" i="4" s="1"/>
  <c r="P11" i="4"/>
  <c r="N177" i="4"/>
  <c r="O177" i="4" s="1"/>
  <c r="P177" i="4" s="1"/>
  <c r="P80" i="3"/>
  <c r="O219" i="4"/>
  <c r="P219" i="4" s="1"/>
  <c r="N183" i="4"/>
  <c r="O49" i="4"/>
  <c r="P49" i="4" s="1"/>
  <c r="D26" i="1"/>
  <c r="N217" i="4"/>
  <c r="J21" i="2" s="1"/>
  <c r="N123" i="4"/>
  <c r="N103" i="4"/>
  <c r="O103" i="4" s="1"/>
  <c r="P103" i="4" s="1"/>
  <c r="P42" i="3"/>
  <c r="Q42" i="3" s="1"/>
  <c r="N148" i="4"/>
  <c r="O148" i="4" s="1"/>
  <c r="P148" i="4" s="1"/>
  <c r="N220" i="4"/>
  <c r="O220" i="4" s="1"/>
  <c r="P220" i="4" s="1"/>
  <c r="N13" i="4"/>
  <c r="L36" i="3"/>
  <c r="M36" i="3"/>
  <c r="Q36" i="3"/>
  <c r="R36" i="3" s="1"/>
  <c r="H21" i="2"/>
  <c r="L35" i="3"/>
  <c r="M35" i="3" s="1"/>
  <c r="Q35" i="3"/>
  <c r="R35" i="3" s="1"/>
  <c r="N25" i="4"/>
  <c r="O25" i="4" s="1"/>
  <c r="P25" i="4" s="1"/>
  <c r="H42" i="2"/>
  <c r="D55" i="2"/>
  <c r="N59" i="4"/>
  <c r="O59" i="4" s="1"/>
  <c r="C55" i="2"/>
  <c r="F20" i="1"/>
  <c r="N45" i="4"/>
  <c r="N505" i="3"/>
  <c r="D6" i="10"/>
  <c r="B16" i="1"/>
  <c r="N86" i="4"/>
  <c r="O86" i="4" s="1"/>
  <c r="P86" i="4" s="1"/>
  <c r="N87" i="4"/>
  <c r="O87" i="4" s="1"/>
  <c r="P87" i="4" s="1"/>
  <c r="O116" i="4"/>
  <c r="P116" i="4" s="1"/>
  <c r="Q75" i="3"/>
  <c r="R75" i="3" s="1"/>
  <c r="M75" i="3"/>
  <c r="L75" i="3"/>
  <c r="F42" i="2"/>
  <c r="P61" i="4"/>
  <c r="N270" i="4"/>
  <c r="O270" i="4" s="1"/>
  <c r="P270" i="4" s="1"/>
  <c r="O45" i="4"/>
  <c r="P45" i="4" s="1"/>
  <c r="N237" i="4"/>
  <c r="O173" i="4"/>
  <c r="P173" i="4" s="1"/>
  <c r="N195" i="4"/>
  <c r="O195" i="4" s="1"/>
  <c r="P195" i="4" s="1"/>
  <c r="N193" i="4"/>
  <c r="O193" i="4" s="1"/>
  <c r="P193" i="4" s="1"/>
  <c r="N95" i="4"/>
  <c r="L71" i="3"/>
  <c r="M71" i="3" s="1"/>
  <c r="Q71" i="3"/>
  <c r="R71" i="3" s="1"/>
  <c r="Q47" i="3"/>
  <c r="R47" i="3" s="1"/>
  <c r="M47" i="3"/>
  <c r="L47" i="3"/>
  <c r="N170" i="4"/>
  <c r="O170" i="4" s="1"/>
  <c r="P170" i="4" s="1"/>
  <c r="N147" i="4"/>
  <c r="G505" i="3"/>
  <c r="I5" i="3"/>
  <c r="C12" i="1"/>
  <c r="P15" i="3"/>
  <c r="I15" i="3"/>
  <c r="J15" i="3" s="1"/>
  <c r="J43" i="2"/>
  <c r="G18" i="2"/>
  <c r="M6" i="3"/>
  <c r="L6" i="3"/>
  <c r="Q6" i="3"/>
  <c r="R6" i="3" s="1"/>
  <c r="H38" i="2"/>
  <c r="H505" i="3"/>
  <c r="N10" i="4"/>
  <c r="H52" i="2"/>
  <c r="G11" i="2"/>
  <c r="O134" i="4"/>
  <c r="P134" i="4" s="1"/>
  <c r="O100" i="4"/>
  <c r="P100" i="4" s="1"/>
  <c r="O31" i="4"/>
  <c r="P31" i="4" s="1"/>
  <c r="D58" i="1"/>
  <c r="N126" i="4"/>
  <c r="O126" i="4" s="1"/>
  <c r="P126" i="4" s="1"/>
  <c r="O211" i="4"/>
  <c r="P211" i="4" s="1"/>
  <c r="I45" i="2"/>
  <c r="O41" i="4"/>
  <c r="P41" i="4" s="1"/>
  <c r="N96" i="4"/>
  <c r="L50" i="3"/>
  <c r="Q50" i="3"/>
  <c r="R50" i="3" s="1"/>
  <c r="M50" i="3"/>
  <c r="N101" i="4"/>
  <c r="N15" i="4"/>
  <c r="N229" i="4"/>
  <c r="O229" i="4" s="1"/>
  <c r="P229" i="4" s="1"/>
  <c r="H45" i="2"/>
  <c r="N113" i="4"/>
  <c r="N12" i="4"/>
  <c r="H10" i="2"/>
  <c r="I27" i="3"/>
  <c r="J27" i="3" s="1"/>
  <c r="C8" i="10" s="1"/>
  <c r="P27" i="3"/>
  <c r="C9" i="10" s="1"/>
  <c r="C12" i="10" s="1"/>
  <c r="L51" i="3"/>
  <c r="M51" i="3" s="1"/>
  <c r="Q51" i="3"/>
  <c r="R51" i="3" s="1"/>
  <c r="N62" i="4"/>
  <c r="N34" i="4"/>
  <c r="H18" i="2"/>
  <c r="H27" i="2"/>
  <c r="F20" i="2"/>
  <c r="N81" i="4"/>
  <c r="O43" i="4"/>
  <c r="G51" i="2"/>
  <c r="O72" i="4"/>
  <c r="P72" i="4" s="1"/>
  <c r="O208" i="4"/>
  <c r="P208" i="4" s="1"/>
  <c r="O83" i="4"/>
  <c r="P83" i="4" s="1"/>
  <c r="O101" i="4"/>
  <c r="P101" i="4" s="1"/>
  <c r="N280" i="4"/>
  <c r="O280" i="4" s="1"/>
  <c r="P280" i="4" s="1"/>
  <c r="P72" i="3"/>
  <c r="I72" i="3"/>
  <c r="J72" i="3" s="1"/>
  <c r="K120" i="4"/>
  <c r="N231" i="4"/>
  <c r="O231" i="4" s="1"/>
  <c r="P231" i="4" s="1"/>
  <c r="N179" i="4"/>
  <c r="O179" i="4" s="1"/>
  <c r="P179" i="4" s="1"/>
  <c r="N269" i="4"/>
  <c r="O269" i="4" s="1"/>
  <c r="P269" i="4" s="1"/>
  <c r="O37" i="4"/>
  <c r="P37" i="4" s="1"/>
  <c r="N186" i="4"/>
  <c r="O186" i="4" s="1"/>
  <c r="P186" i="4" s="1"/>
  <c r="I52" i="2"/>
  <c r="N201" i="4"/>
  <c r="O201" i="4" s="1"/>
  <c r="P201" i="4" s="1"/>
  <c r="M53" i="3"/>
  <c r="L53" i="3"/>
  <c r="Q53" i="3"/>
  <c r="D9" i="11" s="1"/>
  <c r="Q49" i="3"/>
  <c r="B9" i="11" s="1"/>
  <c r="L49" i="3"/>
  <c r="M49" i="3"/>
  <c r="N115" i="4"/>
  <c r="O115" i="4" s="1"/>
  <c r="H23" i="2"/>
  <c r="Q34" i="3"/>
  <c r="H7" i="11" s="1"/>
  <c r="L34" i="3"/>
  <c r="M34" i="3" s="1"/>
  <c r="P14" i="4"/>
  <c r="L61" i="3"/>
  <c r="M61" i="3"/>
  <c r="Q61" i="3"/>
  <c r="R61" i="3" s="1"/>
  <c r="L43" i="3"/>
  <c r="M43" i="3" s="1"/>
  <c r="Q43" i="3"/>
  <c r="R43" i="3" s="1"/>
  <c r="J16" i="2"/>
  <c r="F45" i="1"/>
  <c r="G45" i="1" s="1"/>
  <c r="K30" i="2"/>
  <c r="L30" i="2" s="1"/>
  <c r="N171" i="4"/>
  <c r="E26" i="1" s="1"/>
  <c r="N19" i="4"/>
  <c r="O19" i="4" s="1"/>
  <c r="P19" i="4" s="1"/>
  <c r="N143" i="4"/>
  <c r="O143" i="4" s="1"/>
  <c r="H15" i="2"/>
  <c r="R31" i="3"/>
  <c r="N31" i="4"/>
  <c r="M14" i="3"/>
  <c r="L14" i="3"/>
  <c r="Q14" i="3"/>
  <c r="G16" i="2"/>
  <c r="M22" i="3"/>
  <c r="L22" i="3"/>
  <c r="Q22" i="3"/>
  <c r="B7" i="11" s="1"/>
  <c r="N120" i="4"/>
  <c r="G53" i="2"/>
  <c r="D66" i="1"/>
  <c r="H26" i="2"/>
  <c r="C70" i="1"/>
  <c r="H11" i="2"/>
  <c r="E53" i="1"/>
  <c r="O92" i="4"/>
  <c r="P92" i="4" s="1"/>
  <c r="O247" i="4"/>
  <c r="P247" i="4" s="1"/>
  <c r="O196" i="4"/>
  <c r="P196" i="4" s="1"/>
  <c r="O276" i="4"/>
  <c r="P276" i="4" s="1"/>
  <c r="K183" i="4"/>
  <c r="D62" i="1" s="1"/>
  <c r="F47" i="2"/>
  <c r="O175" i="4"/>
  <c r="P175" i="4" s="1"/>
  <c r="O108" i="4"/>
  <c r="P108" i="4" s="1"/>
  <c r="O176" i="4"/>
  <c r="P176" i="4" s="1"/>
  <c r="O136" i="4"/>
  <c r="P136" i="4" s="1"/>
  <c r="O145" i="4"/>
  <c r="P145" i="4" s="1"/>
  <c r="O191" i="4"/>
  <c r="O64" i="4"/>
  <c r="P64" i="4" s="1"/>
  <c r="K62" i="4"/>
  <c r="Q79" i="3"/>
  <c r="R79" i="3" s="1"/>
  <c r="L79" i="3"/>
  <c r="M79" i="3" s="1"/>
  <c r="M70" i="3"/>
  <c r="Q70" i="3"/>
  <c r="R70" i="3" s="1"/>
  <c r="L70" i="3"/>
  <c r="Q68" i="3"/>
  <c r="R68" i="3" s="1"/>
  <c r="L68" i="3"/>
  <c r="M68" i="3" s="1"/>
  <c r="N209" i="4"/>
  <c r="O209" i="4" s="1"/>
  <c r="P209" i="4" s="1"/>
  <c r="I53" i="2"/>
  <c r="N225" i="4"/>
  <c r="O225" i="4" s="1"/>
  <c r="P225" i="4" s="1"/>
  <c r="Q73" i="3"/>
  <c r="R73" i="3" s="1"/>
  <c r="L73" i="3"/>
  <c r="M73" i="3" s="1"/>
  <c r="G52" i="2"/>
  <c r="F49" i="2"/>
  <c r="N248" i="4"/>
  <c r="J20" i="2" s="1"/>
  <c r="O161" i="4"/>
  <c r="P161" i="4" s="1"/>
  <c r="N66" i="4"/>
  <c r="O66" i="4" s="1"/>
  <c r="P66" i="4" s="1"/>
  <c r="N151" i="4"/>
  <c r="O151" i="4" s="1"/>
  <c r="P151" i="4" s="1"/>
  <c r="N116" i="4"/>
  <c r="Q65" i="3"/>
  <c r="R65" i="3" s="1"/>
  <c r="L65" i="3"/>
  <c r="M65" i="3" s="1"/>
  <c r="O52" i="4"/>
  <c r="Q74" i="3"/>
  <c r="R74" i="3" s="1"/>
  <c r="L74" i="3"/>
  <c r="M74" i="3" s="1"/>
  <c r="N76" i="4"/>
  <c r="O76" i="4" s="1"/>
  <c r="H36" i="2"/>
  <c r="N227" i="4"/>
  <c r="O227" i="4" s="1"/>
  <c r="P227" i="4" s="1"/>
  <c r="C7" i="10"/>
  <c r="D7" i="10" s="1"/>
  <c r="H13" i="2"/>
  <c r="L18" i="3"/>
  <c r="M18" i="3" s="1"/>
  <c r="Q18" i="3"/>
  <c r="R18" i="3" s="1"/>
  <c r="M13" i="3"/>
  <c r="Q13" i="3"/>
  <c r="R13" i="3" s="1"/>
  <c r="L13" i="3"/>
  <c r="N133" i="4"/>
  <c r="O133" i="4" s="1"/>
  <c r="P133" i="4" s="1"/>
  <c r="N63" i="4"/>
  <c r="O63" i="4" s="1"/>
  <c r="P63" i="4" s="1"/>
  <c r="I7" i="3"/>
  <c r="J7" i="3" s="1"/>
  <c r="P7" i="3"/>
  <c r="E57" i="1"/>
  <c r="N49" i="4"/>
  <c r="G43" i="2"/>
  <c r="D57" i="1"/>
  <c r="M10" i="3"/>
  <c r="Q10" i="3"/>
  <c r="R10" i="3" s="1"/>
  <c r="L10" i="3"/>
  <c r="H53" i="2"/>
  <c r="H6" i="11"/>
  <c r="E28" i="1"/>
  <c r="D38" i="1"/>
  <c r="F53" i="1"/>
  <c r="G53" i="1" s="1"/>
  <c r="H16" i="2"/>
  <c r="O88" i="4"/>
  <c r="P88" i="4" s="1"/>
  <c r="O102" i="4"/>
  <c r="P102" i="4" s="1"/>
  <c r="O245" i="4"/>
  <c r="P245" i="4" s="1"/>
  <c r="O171" i="4"/>
  <c r="P171" i="4" s="1"/>
  <c r="L80" i="3"/>
  <c r="M80" i="3" s="1"/>
  <c r="Q80" i="3"/>
  <c r="R80" i="3" s="1"/>
  <c r="O35" i="4"/>
  <c r="P35" i="4" s="1"/>
  <c r="D55" i="1"/>
  <c r="I47" i="2"/>
  <c r="I55" i="2" s="1"/>
  <c r="O228" i="4"/>
  <c r="P228" i="4" s="1"/>
  <c r="N276" i="4"/>
  <c r="O122" i="4"/>
  <c r="P122" i="4" s="1"/>
  <c r="D43" i="1"/>
  <c r="G28" i="2"/>
  <c r="O29" i="4"/>
  <c r="P29" i="4"/>
  <c r="I64" i="3"/>
  <c r="J64" i="3" s="1"/>
  <c r="P64" i="3"/>
  <c r="O139" i="4"/>
  <c r="P139" i="4" s="1"/>
  <c r="O69" i="4"/>
  <c r="P69" i="4" s="1"/>
  <c r="D23" i="1"/>
  <c r="L76" i="3"/>
  <c r="Q76" i="3"/>
  <c r="M76" i="3"/>
  <c r="R76" i="3"/>
  <c r="O123" i="4"/>
  <c r="P123" i="4" s="1"/>
  <c r="I46" i="2"/>
  <c r="N163" i="4"/>
  <c r="O163" i="4" s="1"/>
  <c r="P163" i="4" s="1"/>
  <c r="N256" i="4"/>
  <c r="O256" i="4" s="1"/>
  <c r="P256" i="4" s="1"/>
  <c r="N246" i="4"/>
  <c r="O246" i="4" s="1"/>
  <c r="P246" i="4" s="1"/>
  <c r="N94" i="4"/>
  <c r="O224" i="4"/>
  <c r="P224" i="4" s="1"/>
  <c r="N104" i="4"/>
  <c r="O104" i="4" s="1"/>
  <c r="P104" i="4" s="1"/>
  <c r="N16" i="4"/>
  <c r="H7" i="2"/>
  <c r="N110" i="4"/>
  <c r="O110" i="4" s="1"/>
  <c r="P110" i="4" s="1"/>
  <c r="Q26" i="3"/>
  <c r="R26" i="3" s="1"/>
  <c r="L26" i="3"/>
  <c r="M26" i="3" s="1"/>
  <c r="J30" i="2"/>
  <c r="E45" i="1"/>
  <c r="J51" i="2"/>
  <c r="P5" i="3"/>
  <c r="F28" i="2"/>
  <c r="D54" i="1"/>
  <c r="L46" i="3"/>
  <c r="M46" i="3" s="1"/>
  <c r="Q46" i="3"/>
  <c r="R46" i="3" s="1"/>
  <c r="G42" i="2"/>
  <c r="N33" i="4"/>
  <c r="P39" i="3"/>
  <c r="Q39" i="3" s="1"/>
  <c r="E31" i="1"/>
  <c r="H20" i="2"/>
  <c r="D5" i="10"/>
  <c r="E5" i="10"/>
  <c r="E7" i="10" l="1"/>
  <c r="B8" i="11"/>
  <c r="P43" i="4"/>
  <c r="R57" i="3"/>
  <c r="D6" i="11"/>
  <c r="R11" i="3"/>
  <c r="H8" i="11"/>
  <c r="E7" i="11"/>
  <c r="C9" i="11"/>
  <c r="R59" i="3"/>
  <c r="K13" i="2"/>
  <c r="R39" i="3"/>
  <c r="D8" i="11"/>
  <c r="F30" i="1"/>
  <c r="G30" i="1" s="1"/>
  <c r="K15" i="2"/>
  <c r="P143" i="4"/>
  <c r="P115" i="4"/>
  <c r="E8" i="11"/>
  <c r="R42" i="3"/>
  <c r="F51" i="1"/>
  <c r="K36" i="2"/>
  <c r="L36" i="2" s="1"/>
  <c r="P76" i="4"/>
  <c r="K11" i="2"/>
  <c r="L11" i="2" s="1"/>
  <c r="P59" i="4"/>
  <c r="R58" i="3"/>
  <c r="G9" i="11"/>
  <c r="O21" i="4"/>
  <c r="J39" i="2"/>
  <c r="E54" i="1"/>
  <c r="G47" i="2"/>
  <c r="P52" i="4"/>
  <c r="R49" i="3"/>
  <c r="E60" i="1"/>
  <c r="J45" i="2"/>
  <c r="J35" i="2"/>
  <c r="E50" i="1"/>
  <c r="O7" i="4"/>
  <c r="H55" i="2"/>
  <c r="O33" i="4"/>
  <c r="P33" i="4" s="1"/>
  <c r="D41" i="1"/>
  <c r="G26" i="2"/>
  <c r="O217" i="4"/>
  <c r="P217" i="4" s="1"/>
  <c r="R45" i="3"/>
  <c r="O147" i="4"/>
  <c r="G35" i="2"/>
  <c r="D50" i="1"/>
  <c r="L7" i="3"/>
  <c r="Q7" i="3"/>
  <c r="G5" i="11" s="1"/>
  <c r="M7" i="3"/>
  <c r="E61" i="1"/>
  <c r="J46" i="2"/>
  <c r="O15" i="4"/>
  <c r="E67" i="1"/>
  <c r="J52" i="2"/>
  <c r="O10" i="4"/>
  <c r="O96" i="4"/>
  <c r="G45" i="2"/>
  <c r="D60" i="1"/>
  <c r="P106" i="4"/>
  <c r="O237" i="4"/>
  <c r="K23" i="2" s="1"/>
  <c r="L23" i="2" s="1"/>
  <c r="B6" i="11"/>
  <c r="O248" i="4"/>
  <c r="E40" i="1"/>
  <c r="E30" i="1"/>
  <c r="J15" i="2"/>
  <c r="O183" i="4"/>
  <c r="K47" i="2" s="1"/>
  <c r="F8" i="11"/>
  <c r="P191" i="4"/>
  <c r="G51" i="1"/>
  <c r="O91" i="4"/>
  <c r="K40" i="2" s="1"/>
  <c r="J13" i="2"/>
  <c r="F6" i="11"/>
  <c r="E42" i="1"/>
  <c r="R22" i="3"/>
  <c r="R14" i="3"/>
  <c r="R34" i="3"/>
  <c r="R53" i="3"/>
  <c r="L64" i="3"/>
  <c r="M64" i="3" s="1"/>
  <c r="Q64" i="3"/>
  <c r="R64" i="3" s="1"/>
  <c r="F43" i="1"/>
  <c r="G43" i="1" s="1"/>
  <c r="K28" i="2"/>
  <c r="L28" i="2" s="1"/>
  <c r="J36" i="2"/>
  <c r="E51" i="1"/>
  <c r="E58" i="1"/>
  <c r="F28" i="1"/>
  <c r="G28" i="1" s="1"/>
  <c r="E55" i="1"/>
  <c r="J40" i="2"/>
  <c r="F26" i="1"/>
  <c r="G26" i="1" s="1"/>
  <c r="O95" i="4"/>
  <c r="P95" i="4" s="1"/>
  <c r="D42" i="1"/>
  <c r="G27" i="2"/>
  <c r="E41" i="1"/>
  <c r="J26" i="2"/>
  <c r="E38" i="1"/>
  <c r="J23" i="2"/>
  <c r="G40" i="2"/>
  <c r="J18" i="2"/>
  <c r="E33" i="1"/>
  <c r="O34" i="4"/>
  <c r="L27" i="3"/>
  <c r="M27" i="3" s="1"/>
  <c r="Q27" i="3"/>
  <c r="R27" i="3" s="1"/>
  <c r="L15" i="3"/>
  <c r="M15" i="3" s="1"/>
  <c r="Q15" i="3"/>
  <c r="R15" i="3" s="1"/>
  <c r="P505" i="3"/>
  <c r="C10" i="1"/>
  <c r="B9" i="10"/>
  <c r="E9" i="10" s="1"/>
  <c r="E56" i="1"/>
  <c r="J41" i="2"/>
  <c r="J55" i="2" s="1"/>
  <c r="J8" i="2"/>
  <c r="E23" i="1"/>
  <c r="O8" i="4"/>
  <c r="O94" i="4"/>
  <c r="P94" i="4" s="1"/>
  <c r="D40" i="1"/>
  <c r="G25" i="2"/>
  <c r="J27" i="2"/>
  <c r="O120" i="4"/>
  <c r="P120" i="4" s="1"/>
  <c r="O12" i="4"/>
  <c r="J10" i="2"/>
  <c r="E25" i="1"/>
  <c r="G20" i="1"/>
  <c r="J28" i="2"/>
  <c r="E43" i="1"/>
  <c r="O213" i="4"/>
  <c r="G21" i="2"/>
  <c r="K51" i="2"/>
  <c r="L51" i="2" s="1"/>
  <c r="F66" i="1"/>
  <c r="G66" i="1" s="1"/>
  <c r="E22" i="1"/>
  <c r="O16" i="4"/>
  <c r="J7" i="2"/>
  <c r="F31" i="1"/>
  <c r="G31" i="1" s="1"/>
  <c r="K16" i="2"/>
  <c r="O62" i="4"/>
  <c r="D56" i="1"/>
  <c r="G41" i="2"/>
  <c r="L16" i="2"/>
  <c r="L72" i="3"/>
  <c r="M72" i="3"/>
  <c r="Q72" i="3"/>
  <c r="R72" i="3" s="1"/>
  <c r="O113" i="4"/>
  <c r="P113" i="4" s="1"/>
  <c r="J25" i="2"/>
  <c r="I505" i="3"/>
  <c r="J5" i="3"/>
  <c r="E68" i="1"/>
  <c r="J53" i="2"/>
  <c r="J42" i="2"/>
  <c r="E62" i="1"/>
  <c r="J47" i="2"/>
  <c r="O18" i="4"/>
  <c r="J49" i="2"/>
  <c r="E64" i="1"/>
  <c r="O13" i="4"/>
  <c r="L15" i="2"/>
  <c r="L13" i="2"/>
  <c r="J11" i="2"/>
  <c r="E6" i="11" l="1"/>
  <c r="F38" i="1"/>
  <c r="G38" i="1" s="1"/>
  <c r="P91" i="4"/>
  <c r="D7" i="11"/>
  <c r="K21" i="2"/>
  <c r="L21" i="2" s="1"/>
  <c r="F36" i="1"/>
  <c r="G36" i="1" s="1"/>
  <c r="K42" i="2"/>
  <c r="L42" i="2" s="1"/>
  <c r="F35" i="1"/>
  <c r="G35" i="1" s="1"/>
  <c r="R7" i="3"/>
  <c r="P21" i="4"/>
  <c r="K43" i="2"/>
  <c r="L43" i="2" s="1"/>
  <c r="F58" i="1"/>
  <c r="G58" i="1" s="1"/>
  <c r="F56" i="1"/>
  <c r="K41" i="2"/>
  <c r="L41" i="2" s="1"/>
  <c r="F25" i="1"/>
  <c r="G25" i="1" s="1"/>
  <c r="K10" i="2"/>
  <c r="L10" i="2" s="1"/>
  <c r="P12" i="4"/>
  <c r="C10" i="10"/>
  <c r="C11" i="10" s="1"/>
  <c r="L40" i="2"/>
  <c r="F62" i="1"/>
  <c r="G62" i="1" s="1"/>
  <c r="K35" i="2"/>
  <c r="L35" i="2" s="1"/>
  <c r="F50" i="1"/>
  <c r="G50" i="1" s="1"/>
  <c r="F33" i="1"/>
  <c r="G33" i="1" s="1"/>
  <c r="P34" i="4"/>
  <c r="K18" i="2"/>
  <c r="L18" i="2" s="1"/>
  <c r="P18" i="4"/>
  <c r="K49" i="2"/>
  <c r="L49" i="2" s="1"/>
  <c r="F64" i="1"/>
  <c r="G64" i="1" s="1"/>
  <c r="E70" i="1"/>
  <c r="P10" i="4"/>
  <c r="F67" i="1"/>
  <c r="G67" i="1" s="1"/>
  <c r="K52" i="2"/>
  <c r="L52" i="2" s="1"/>
  <c r="J505" i="3"/>
  <c r="Q5" i="3"/>
  <c r="F5" i="11" s="1"/>
  <c r="L5" i="3"/>
  <c r="B10" i="1"/>
  <c r="B8" i="10"/>
  <c r="E8" i="10" s="1"/>
  <c r="P147" i="4"/>
  <c r="K27" i="2"/>
  <c r="L27" i="2" s="1"/>
  <c r="K25" i="2"/>
  <c r="L25" i="2" s="1"/>
  <c r="F40" i="1"/>
  <c r="G40" i="1" s="1"/>
  <c r="P183" i="4"/>
  <c r="K20" i="2"/>
  <c r="L20" i="2" s="1"/>
  <c r="P248" i="4"/>
  <c r="F42" i="1"/>
  <c r="G42" i="1" s="1"/>
  <c r="L47" i="2"/>
  <c r="F57" i="1"/>
  <c r="G57" i="1" s="1"/>
  <c r="F60" i="1"/>
  <c r="G60" i="1" s="1"/>
  <c r="K45" i="2"/>
  <c r="L45" i="2" s="1"/>
  <c r="K46" i="2"/>
  <c r="L46" i="2" s="1"/>
  <c r="F61" i="1"/>
  <c r="G61" i="1" s="1"/>
  <c r="P15" i="4"/>
  <c r="P96" i="4"/>
  <c r="K26" i="2"/>
  <c r="L26" i="2" s="1"/>
  <c r="F41" i="1"/>
  <c r="G41" i="1" s="1"/>
  <c r="F55" i="1"/>
  <c r="G55" i="1" s="1"/>
  <c r="F68" i="1"/>
  <c r="G68" i="1" s="1"/>
  <c r="K53" i="2"/>
  <c r="L53" i="2" s="1"/>
  <c r="P13" i="4"/>
  <c r="P8" i="4"/>
  <c r="F23" i="1"/>
  <c r="G23" i="1" s="1"/>
  <c r="K8" i="2"/>
  <c r="L8" i="2" s="1"/>
  <c r="G56" i="1"/>
  <c r="P213" i="4"/>
  <c r="D9" i="10"/>
  <c r="B12" i="10"/>
  <c r="E12" i="10" s="1"/>
  <c r="P62" i="4"/>
  <c r="P237" i="4"/>
  <c r="D70" i="1"/>
  <c r="K7" i="2"/>
  <c r="P16" i="4"/>
  <c r="F22" i="1"/>
  <c r="K39" i="2"/>
  <c r="L39" i="2" s="1"/>
  <c r="F54" i="1"/>
  <c r="G54" i="1" s="1"/>
  <c r="P7" i="4"/>
  <c r="G55" i="2"/>
  <c r="D8" i="10" l="1"/>
  <c r="D12" i="10"/>
  <c r="L505" i="3"/>
  <c r="D10" i="1"/>
  <c r="E10" i="1" s="1"/>
  <c r="Q505" i="3"/>
  <c r="R505" i="3" s="1"/>
  <c r="G10" i="1"/>
  <c r="B10" i="10"/>
  <c r="E10" i="10" s="1"/>
  <c r="R5" i="3"/>
  <c r="K55" i="2"/>
  <c r="L55" i="2" s="1"/>
  <c r="L7" i="2"/>
  <c r="G22" i="1"/>
  <c r="F16" i="1"/>
  <c r="F70" i="1"/>
  <c r="G70" i="1" s="1"/>
  <c r="M5" i="3"/>
  <c r="M505" i="3"/>
  <c r="D10" i="10" l="1"/>
  <c r="B11" i="10"/>
  <c r="E11" i="10" s="1"/>
  <c r="D11" i="10" l="1"/>
</calcChain>
</file>

<file path=xl/sharedStrings.xml><?xml version="1.0" encoding="utf-8"?>
<sst xmlns="http://schemas.openxmlformats.org/spreadsheetml/2006/main" count="2106" uniqueCount="311">
  <si>
    <t>📊 DASHBOARD EJECUTIVO DE RENTABILIDAD INDUSTRIAL (CBC)</t>
  </si>
  <si>
    <t>Panel de Control para Toma de Decisiones | Actualizado: 18/06/2026</t>
  </si>
  <si>
    <t>🔧 CONTROLES DE FILTRO</t>
  </si>
  <si>
    <t>Mes Selector:</t>
  </si>
  <si>
    <t>⬇️ Usa las listas desplegables</t>
  </si>
  <si>
    <t>Turno Selector:</t>
  </si>
  <si>
    <t>TODOS</t>
  </si>
  <si>
    <t>💰 INDICADORES CLAVE DE RENTABILIDAD</t>
  </si>
  <si>
    <t>💵 INGRESOS TOTALES</t>
  </si>
  <si>
    <t>💸 COSTO TOTAL OPERATIVO</t>
  </si>
  <si>
    <t>💰 UTILIDAD PRODUCIDA</t>
  </si>
  <si>
    <t>📈 MARGEN PRODUCCIÓN %</t>
  </si>
  <si>
    <t>💎 UTILIDAD NETA</t>
  </si>
  <si>
    <t>📊 MARGEN NETO %</t>
  </si>
  <si>
    <t>📦 UNIDADES PRODUCIDAS</t>
  </si>
  <si>
    <t>🏷️ ETIQUETAS PROCESADAS</t>
  </si>
  <si>
    <t>🔄 REPOSICIÓN PALETIZANTE</t>
  </si>
  <si>
    <t>⏰ INGRESOS H.EXTRAS</t>
  </si>
  <si>
    <t>📢 DETECCIONES AUTOMÁTICAS DEL MIX (PARA EL PERÍODO SELECCIONADO)</t>
  </si>
  <si>
    <t>🏆 Producto con Mayor Volumen</t>
  </si>
  <si>
    <t>📉 Producto con Menor Volumen</t>
  </si>
  <si>
    <t>⚠️ Producto con Menor Margen</t>
  </si>
  <si>
    <t>📋 DETALLE DE DESEMPEÑO POR PRODUCTO Y MARGEN NETO</t>
  </si>
  <si>
    <t>Producto</t>
  </si>
  <si>
    <t>Unidades Producidas (Packs)</t>
  </si>
  <si>
    <t>Ingreso Total (C$)</t>
  </si>
  <si>
    <t>Costo Total Asignado (C$)</t>
  </si>
  <si>
    <t>Utilidad Neta Real (C$)</t>
  </si>
  <si>
    <t>Margen Neto %</t>
  </si>
  <si>
    <t>TOTAL FILTRADO</t>
  </si>
  <si>
    <t>📖 GUÍA RÁPIDA DE USO</t>
  </si>
  <si>
    <t>1️⃣  Ingresa los datos de producción en la hoja "📈 Datos Completos" (columnas B a G)</t>
  </si>
  <si>
    <t>2️⃣  Registra la asistencia en "👥 Asistencia" (fecha, ID, nombre, entrada, salida, horas extras)</t>
  </si>
  <si>
    <t>3️⃣  Completa recursos y tarimas en "📋 Detalle Diario" (fecha, turno, tarimas, paletizante)</t>
  </si>
  <si>
    <t>4️⃣  Ajusta precios en "📦 Precios Proforma" y supuestos de costo en "⚙️ Supuestos"</t>
  </si>
  <si>
    <t>5️⃣  El Dashboard Ejecutivo se actualiza automáticamente con filtros por Mes y Turno</t>
  </si>
  <si>
    <t>6️⃣  Usa los colores de alerta: 🔴 Rojo = Pérdida | 🟡 Amarillo = Margen bajo | 🟢 Verde = Rentable</t>
  </si>
  <si>
    <t>📦 RENTABILIDAD DETALLADA POR PRODUCTO (COSTEO POR ABSORCIÓN PROPORCIONAL)</t>
  </si>
  <si>
    <t>Análisis de costos desagregado: Ingresos, Costos Laborales, Materiales y Rentabilidad por SKU</t>
  </si>
  <si>
    <t>Unidades
Producidas (Packs)</t>
  </si>
  <si>
    <t>Total
Etiquetas</t>
  </si>
  <si>
    <t>Ingreso
Empaque (C$)</t>
  </si>
  <si>
    <t>Ingreso
Etiquetas (C$)</t>
  </si>
  <si>
    <t>Ingreso
Total (C$)</t>
  </si>
  <si>
    <t>Costo Laboral
Asignado (C$)</t>
  </si>
  <si>
    <t>Costo Material
Etiquetas (C$)</t>
  </si>
  <si>
    <t>Costo Total
Asignado (C$)</t>
  </si>
  <si>
    <t>Ganancia
Neta (C$)</t>
  </si>
  <si>
    <t>Margen
Neto %</t>
  </si>
  <si>
    <t>TOTAL GENERAL</t>
  </si>
  <si>
    <t>📅 RESUMEN DIARIO — COSTO vs INGRESO vs GANANCIA (CON ETIQUETADO)</t>
  </si>
  <si>
    <t>Seguimiento diario por turno: Producción, Costos, Ingresos y Rentabilidad Real</t>
  </si>
  <si>
    <t>Fecha</t>
  </si>
  <si>
    <t>Turno</t>
  </si>
  <si>
    <t>Unidades</t>
  </si>
  <si>
    <t>Etiquetas R23</t>
  </si>
  <si>
    <t>Etiquetas R39</t>
  </si>
  <si>
    <t>Total Etiquetas</t>
  </si>
  <si>
    <t>Ingreso Empaque</t>
  </si>
  <si>
    <t>Ingreso Etiquetas</t>
  </si>
  <si>
    <t>Ingreso Total</t>
  </si>
  <si>
    <t>Costo Turno</t>
  </si>
  <si>
    <t>Ganancia</t>
  </si>
  <si>
    <t>Margen %</t>
  </si>
  <si>
    <t>Costo por Unidad</t>
  </si>
  <si>
    <t>Mes</t>
  </si>
  <si>
    <t>Costo Total Operativo</t>
  </si>
  <si>
    <t>Ganancia Neta Real</t>
  </si>
  <si>
    <t>Margen Neto Real %</t>
  </si>
  <si>
    <t>Meses para Filtro</t>
  </si>
  <si>
    <t>Turnos para Filtro</t>
  </si>
  <si>
    <t>2026-05-01</t>
  </si>
  <si>
    <t>DIA</t>
  </si>
  <si>
    <t>NOCHE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</si>
  <si>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</si>
  <si>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</si>
  <si>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</si>
  <si>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</si>
  <si>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</si>
  <si>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</si>
  <si>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</si>
  <si>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</si>
  <si>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</si>
  <si>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</si>
  <si>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</si>
  <si>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</si>
  <si>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</si>
  <si>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</si>
  <si>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</si>
  <si>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</si>
  <si>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</si>
  <si>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</si>
  <si>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</si>
  <si>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</si>
  <si>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</si>
  <si>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</si>
  <si>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</si>
  <si>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</si>
  <si>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</si>
  <si>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</si>
  <si>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</si>
  <si>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</si>
  <si>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</si>
  <si>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</si>
  <si>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</si>
  <si>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</si>
  <si>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</si>
  <si>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</si>
  <si>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</si>
  <si>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</si>
  <si>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</si>
  <si>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</si>
  <si>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</si>
  <si>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</si>
  <si>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</si>
  <si>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</si>
  <si>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</si>
  <si>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TOTALES</t>
  </si>
  <si>
    <t>📈 DETALLE COMPLETO DE PRODUCCIÓN — EMPAQUES + ETIQUETADO</t>
  </si>
  <si>
    <t>📝 INGRESA AQUÍ los datos diarios reportados por los supervisores</t>
  </si>
  <si>
    <t>💡 Instrucciones: Completa las columnas B a G (datos base). Las columnas H en adelante se calculan automáticamente.</t>
  </si>
  <si>
    <t>Descripción</t>
  </si>
  <si>
    <t>Unidades Pack</t>
  </si>
  <si>
    <t>Costo Laboral Asignado</t>
  </si>
  <si>
    <t>Costo Material Etiquetas</t>
  </si>
  <si>
    <t>Costo Total Asignado</t>
  </si>
  <si>
    <t>Ganancia Neta</t>
  </si>
  <si>
    <t>👉 EJEMPLO: 2026-05-01 | 2 Pack Pepsi + Roja 3 Litro | DIA | 945 | 945 | 1890 | (automático) | (automático) | (automático) | (automático) | (automático) | (automático) | (automático) | (automático) | (automático) | (automático)</t>
  </si>
  <si>
    <t>3 Pack Pepsi + Rojita + Ensa Toronja 3 Lts</t>
  </si>
  <si>
    <t>12 Pack California Surtido 400 ML</t>
  </si>
  <si>
    <t>2 Pack Pepsi + Rojita 3 Lts</t>
  </si>
  <si>
    <t>TRASIEGO PRICESMART</t>
  </si>
  <si>
    <t>4 Pack Pepsi + Rojita + Toronja 3 lts</t>
  </si>
  <si>
    <t>12 Pack Ensa Soda 500ml Pet</t>
  </si>
  <si>
    <t>TRASIEGO WM</t>
  </si>
  <si>
    <t>TRASIEGO MANTICA</t>
  </si>
  <si>
    <t>8 Pack Pepsi Black 355Ml Lata</t>
  </si>
  <si>
    <t>12 PACK AMP 600 ML</t>
  </si>
  <si>
    <t>12 Pack Jugazzo Lata Surtido</t>
  </si>
  <si>
    <t>GRANEL</t>
  </si>
  <si>
    <t>12 pack 12 oz pepsi +sabores</t>
  </si>
  <si>
    <t>24 Pack Gatorade Surtido 600 ML</t>
  </si>
  <si>
    <t>18 Pack 500 ml (pepsi,rojita)</t>
  </si>
  <si>
    <t>4 Pack Gatorade Surtido 500 ML</t>
  </si>
  <si>
    <t>2 PACK PEPSI + TORONJA 3 LITRO</t>
  </si>
  <si>
    <t>2 Pack Pepsi + Roja 3 Litro</t>
  </si>
  <si>
    <t>4 Pack Pepsi + Roja</t>
  </si>
  <si>
    <t>3 Pack Pepsi + Roja + Campestre 3 Litro</t>
  </si>
  <si>
    <t>2 PACK PEPSI + ROJA 3 LITRO</t>
  </si>
  <si>
    <t>4 PACK GATORADE SURTIDO 500 ML</t>
  </si>
  <si>
    <t>4 PACK PEPSI + ROJA + TORONJA</t>
  </si>
  <si>
    <t>8 PACK PEPSI BLACK</t>
  </si>
  <si>
    <t>12 Pack Soda Ensa 500 ML</t>
  </si>
  <si>
    <t>12 PACK PEPSI + SABORES 12 ONZA</t>
  </si>
  <si>
    <t>12 pack california surtido 400 ml</t>
  </si>
  <si>
    <t>2 PACK PEPSI + MIRINDA 3 LITRO</t>
  </si>
  <si>
    <t>24 pack gatorade surtido</t>
  </si>
  <si>
    <t>3 Pack Pepsi + Rojita + Toronja 3 Lts</t>
  </si>
  <si>
    <t>2 Pack Pepsi + Toronja 3 Litro</t>
  </si>
  <si>
    <t>12 PACK PEPSI 500 ML</t>
  </si>
  <si>
    <t>3 PACK PEPSI + ROJA + CAMPESTRE</t>
  </si>
  <si>
    <t>12 PACK SODA ENSA 500 ML</t>
  </si>
  <si>
    <t>3 Pack Pepsi + Roja + Campestre</t>
  </si>
  <si>
    <t>AMP 600 ML</t>
  </si>
  <si>
    <t>18 PACK PEPSI + ROJA 500 ML</t>
  </si>
  <si>
    <t>18 PACK BE LIGHT SURTIDO</t>
  </si>
  <si>
    <t>📋 DETALLE DIARIO — RECURSOS, HORAS EXTRAS Y TARIMAS</t>
  </si>
  <si>
    <t>📝 INGRESA AQUÍ los datos de recursos, horas extras y tarimas por día y turno</t>
  </si>
  <si>
    <t>Recursos</t>
  </si>
  <si>
    <t>H.Extras</t>
  </si>
  <si>
    <t>Tarimas</t>
  </si>
  <si>
    <t>Paletizante</t>
  </si>
  <si>
    <t>Año-Mes</t>
  </si>
  <si>
    <t>Reposición Paletizante</t>
  </si>
  <si>
    <t>👥 REGISTRO DE ASISTENCIA Y HORAS EXTRAS</t>
  </si>
  <si>
    <t>📝 INGRESA AQUÍ la asistencia diaria de cada operario</t>
  </si>
  <si>
    <t>ID</t>
  </si>
  <si>
    <t>Nombre</t>
  </si>
  <si>
    <t>Entrada</t>
  </si>
  <si>
    <t>Salida</t>
  </si>
  <si>
    <t>Horas</t>
  </si>
  <si>
    <t>Horas Extras</t>
  </si>
  <si>
    <t>ALEXANDER ANTONIO ARAUZ GARCIA</t>
  </si>
  <si>
    <t>20:00</t>
  </si>
  <si>
    <t>04:00</t>
  </si>
  <si>
    <t>ALEXANDER RENE ESPINOZA MARTINEZ</t>
  </si>
  <si>
    <t>ANDY JOEL BELLO</t>
  </si>
  <si>
    <t>08:00</t>
  </si>
  <si>
    <t>17:00</t>
  </si>
  <si>
    <t>GREYNER LENIN TELLEZ AGUILAR</t>
  </si>
  <si>
    <t>ISAAC ALBERTO RAMIREZ BONILLA</t>
  </si>
  <si>
    <t>JAFHER ANTONHY GAITAN URBINA</t>
  </si>
  <si>
    <t>JARED STANLEY CARRION MALTEZ</t>
  </si>
  <si>
    <t>JHEFERSON STEVEN WILSON URBINA</t>
  </si>
  <si>
    <t>JOEL GABRIEL AGUILAR FEDRICKS</t>
  </si>
  <si>
    <t>JUAN CRUZ MENDOZA GARCIA</t>
  </si>
  <si>
    <t>MARCOS ANTONIO WILSON URBINA</t>
  </si>
  <si>
    <t>MARIO ALBERTO CASTRO MARTINEZ</t>
  </si>
  <si>
    <t>NORWIN MAURIEL MONGE MALDONADO</t>
  </si>
  <si>
    <t>YAMIR NOEL AGUILAR</t>
  </si>
  <si>
    <t>05:00</t>
  </si>
  <si>
    <t>CRISTHOPHER ANTONIO MALIAÑO</t>
  </si>
  <si>
    <t>JOSE ADAN MARTINEZ NORORI</t>
  </si>
  <si>
    <t>22:00</t>
  </si>
  <si>
    <t>07:00</t>
  </si>
  <si>
    <t>21:00</t>
  </si>
  <si>
    <t>⚙️ SUPUESTOS DE COSTO — BUSSERSA</t>
  </si>
  <si>
    <t>💡 Modifica solo las celdas con fondo AMARILLO. Todos los demás valores se recalculan automáticamente.</t>
  </si>
  <si>
    <t>Concepto</t>
  </si>
  <si>
    <t>Valor</t>
  </si>
  <si>
    <t>Tipo</t>
  </si>
  <si>
    <t>Días laborales por mes (L-S)</t>
  </si>
  <si>
    <t>Lunes a sábado</t>
  </si>
  <si>
    <t>EDITABLE</t>
  </si>
  <si>
    <t>Operarios turno DÍA</t>
  </si>
  <si>
    <t>Personal operativo día</t>
  </si>
  <si>
    <t>Salario mínimo operario (C$)</t>
  </si>
  <si>
    <t>Salario base mensual</t>
  </si>
  <si>
    <t>Factor prestaciones operario</t>
  </si>
  <si>
    <t>Incluye INSS, vacaciones, aguinaldo, etc.</t>
  </si>
  <si>
    <t>Salario coordinador DÍA (C$)</t>
  </si>
  <si>
    <t>Coordinador turno día</t>
  </si>
  <si>
    <t>Factor prestaciones coordinador</t>
  </si>
  <si>
    <t>Bono comida por persona/día (C$)</t>
  </si>
  <si>
    <t>Aplica ambos turnos</t>
  </si>
  <si>
    <t>Operarios turno NOCHE</t>
  </si>
  <si>
    <t>Personal operativo noche</t>
  </si>
  <si>
    <t>Salario mínimo operario noche (C$)</t>
  </si>
  <si>
    <t>Mismo salario base</t>
  </si>
  <si>
    <t>Factor prestaciones operario noche</t>
  </si>
  <si>
    <t>Salario supervisor NOCHE (C$)</t>
  </si>
  <si>
    <t>Supervisor turno noche</t>
  </si>
  <si>
    <t>Factor prestaciones supervisor</t>
  </si>
  <si>
    <t>🔧 CÁLCULOS AUTOMÁTICOS — TURNO DÍA</t>
  </si>
  <si>
    <t>Costo mensual OPERARIOS DÍA (C$)</t>
  </si>
  <si>
    <t>Operarios × salario × factor</t>
  </si>
  <si>
    <t>FÓRMULA</t>
  </si>
  <si>
    <t>Costo mensual COORDINADOR DÍA (C$)</t>
  </si>
  <si>
    <t>Coordinador × factor</t>
  </si>
  <si>
    <t>Costo mensual BONO COMIDA DÍA (C$)</t>
  </si>
  <si>
    <t>(Operarios+1) × bono × días</t>
  </si>
  <si>
    <t>Costo diario COORDINADOR DÍA (C$)</t>
  </si>
  <si>
    <t>Costo operario Diario</t>
  </si>
  <si>
    <t>COSTO MENSUAL TOTAL TURNO DÍA (C$)</t>
  </si>
  <si>
    <t>COSTO DIARIO TURNO DIA (C$)</t>
  </si>
  <si>
    <t>🔧 CÁLCULOS AUTOMÁTICOS — TURNO NOCHE</t>
  </si>
  <si>
    <t>Costo mensual OPERARIOS NOCHE (C$)</t>
  </si>
  <si>
    <t>Costo mensual SUPERVISOR NOCHE (C$)</t>
  </si>
  <si>
    <t>Costo mensual BONO COMIDA NOCHE (C$)</t>
  </si>
  <si>
    <t>Costo diario COORDINADOR Noche (C$)</t>
  </si>
  <si>
    <t>COSTO MENSUAL TOTAL TURNO NOCHE (C$)</t>
  </si>
  <si>
    <t>COSTO DIARIO TURNO NOCHE (C$)</t>
  </si>
  <si>
    <t>← usado en cálculos del dashboard</t>
  </si>
  <si>
    <t>📦 TABLA DE PRECIOS — PROFORMA BUSSERSA</t>
  </si>
  <si>
    <t>💡 Modifica las celdas con fondo AZUL CLARO para ajustar precios. El resto se calcula automáticamente.</t>
  </si>
  <si>
    <t>Descripción del Pack/Empaque</t>
  </si>
  <si>
    <t>Precio DÍA (C$)</t>
  </si>
  <si>
    <t>Precio NOCHE (C$)</t>
  </si>
  <si>
    <t>12 Pack Adrenalina Rush 16 Onz</t>
  </si>
  <si>
    <t>12 Pack CSD 500 ML PET</t>
  </si>
  <si>
    <t>12 Pack LIPTON TE 500 ML</t>
  </si>
  <si>
    <t>12 Pack pepsi + sabores 12 onza</t>
  </si>
  <si>
    <t>12 Pack pepsi 1.5 ltr</t>
  </si>
  <si>
    <t>12 Pack Pepsi 500 ML</t>
  </si>
  <si>
    <t>16 Pack Adrenaline 12 oz</t>
  </si>
  <si>
    <t>18 PACK 500 ML PET SURTIDO</t>
  </si>
  <si>
    <t>18 Pack Be Light Surtido</t>
  </si>
  <si>
    <t>18 Pack Pepsi + Roja 500 ML</t>
  </si>
  <si>
    <t>2 Pack Pepsi + Ensa Toronja 3 Lts</t>
  </si>
  <si>
    <t>2 Pack Pepsi + Mirinda 3 Litro</t>
  </si>
  <si>
    <t>2 Pack Pepsi + Mirinda 3 lts</t>
  </si>
  <si>
    <t>24 Pack Gatorade Surtido</t>
  </si>
  <si>
    <t>24 PACK GATORADE SURTIDO 500ML</t>
  </si>
  <si>
    <t>24 PACK PEPSI BLACK + SABORES 355ML LATA</t>
  </si>
  <si>
    <t>24 Pack pepsi Black lata</t>
  </si>
  <si>
    <t>24 Pack Soda Ensa Lata</t>
  </si>
  <si>
    <t>3 Pack Pepsi + Ensa Toronja 3 Lts</t>
  </si>
  <si>
    <t>3 Pack Pepsi + Roja  3 Litro</t>
  </si>
  <si>
    <t>4 Pack Pepsi + Roja + Toronja</t>
  </si>
  <si>
    <t>6 Pack Lipton 250ml Tetra</t>
  </si>
  <si>
    <t>8 Pack Pepsi Black</t>
  </si>
  <si>
    <t>Armado de Polines Walmart</t>
  </si>
  <si>
    <t>PRECIO BASE (sin coincidencia)</t>
  </si>
  <si>
    <t>Costo Total</t>
  </si>
  <si>
    <t>🌞🌙  ANALISIS COMPARATIVO POR TURNO</t>
  </si>
  <si>
    <t>📊 METRICAS COMPARATIVAS TURNO DIA vs NOCHE</t>
  </si>
  <si>
    <t>Metrica</t>
  </si>
  <si>
    <t>Turno DIA</t>
  </si>
  <si>
    <t>Turno NOCHE</t>
  </si>
  <si>
    <t>Diferencia</t>
  </si>
  <si>
    <t>Mejor Turno</t>
  </si>
  <si>
    <t>Dias Operados</t>
  </si>
  <si>
    <t>Unidades Producidas</t>
  </si>
  <si>
    <t>Etiquetas Procesadas</t>
  </si>
  <si>
    <t>🗓️  MAPA DE CALOR - RENTABILIDAD DIARIA POR TURNO</t>
  </si>
  <si>
    <t>Semana</t>
  </si>
  <si>
    <t>Lunes</t>
  </si>
  <si>
    <t>Martes</t>
  </si>
  <si>
    <t>Miercoles</t>
  </si>
  <si>
    <t>Jueves</t>
  </si>
  <si>
    <t>Viernes</t>
  </si>
  <si>
    <t>Sabado</t>
  </si>
  <si>
    <t>Domingo</t>
  </si>
  <si>
    <t>S18</t>
  </si>
  <si>
    <t>S19</t>
  </si>
  <si>
    <t>S20</t>
  </si>
  <si>
    <t>S21</t>
  </si>
  <si>
    <t>S22</t>
  </si>
  <si>
    <t>S23</t>
  </si>
  <si>
    <t>S24</t>
  </si>
  <si>
    <t>LEYENDA:  Excelente (&gt;50%)  |  Bueno (25-50%)  |  Regular (0-25%)  |  Perdida (&lt;0%)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</si>
</sst>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C$&quot;#,##0.00"/>
    <numFmt numFmtId="165" formatCode="[Color10]&quot;C$&quot;#,##0.00;[Red]\-&quot;C$&quot;#,##0.00;&quot;C$&quot;0.00"/>
    <numFmt numFmtId="166" formatCode="[Color10]0.00%;[Red]\-0.00%;0.00%"/>
    <numFmt numFmtId="167" formatCode="yyyy\-mm\-dd"/>
    <numFmt numFmtId="168" formatCode="#,##0.0"/>
    <numFmt numFmtId="169" formatCode="\C\$\ #,##0.00"/>
  </numFmts>
  <fonts count="39" x14ac:knownFonts="1">
    <font>
      <sz val="11"/>
      <color theme="1"/>
      <name val="Calibri"/>
      <family val="2"/>
      <scheme val="minor"/>
    </font>
    <font>
      <b/>
      <sz val="20"/>
      <color rgb="FF1E3A5F"/>
      <name val="Calibri"/>
    </font>
    <font>
      <i/>
      <sz val="11"/>
      <color rgb="FF616161"/>
      <name val="Calibri"/>
    </font>
    <font>
      <b/>
      <sz val="13"/>
      <color rgb="FF1E3A5F"/>
      <name val="Calibri"/>
    </font>
    <font>
      <b/>
      <sz val="10"/>
      <color rgb="FF212121"/>
      <name val="Calibri"/>
    </font>
    <font>
      <b/>
      <sz val="10"/>
      <color rgb="FF004B93"/>
      <name val="Calibri"/>
    </font>
    <font>
      <i/>
      <sz val="9"/>
      <color rgb="FF616161"/>
      <name val="Calibri"/>
    </font>
    <font>
      <b/>
      <sz val="9"/>
      <color rgb="FFFFFFFF"/>
      <name val="Calibri"/>
    </font>
    <font>
      <b/>
      <sz val="14"/>
      <color rgb="FF1E3A5F"/>
      <name val="Calibri"/>
    </font>
    <font>
      <b/>
      <sz val="12"/>
      <color rgb="FF212121"/>
      <name val="Calibri"/>
    </font>
    <font>
      <b/>
      <sz val="11"/>
      <color rgb="FF2E7D32"/>
      <name val="Calibri"/>
    </font>
    <font>
      <b/>
      <sz val="11"/>
      <color rgb="FFF9A825"/>
      <name val="Calibri"/>
    </font>
    <font>
      <b/>
      <sz val="11"/>
      <color rgb="FFC62828"/>
      <name val="Calibri"/>
    </font>
    <font>
      <b/>
      <sz val="11"/>
      <color rgb="FFFFFFFF"/>
      <name val="Calibri"/>
    </font>
    <font>
      <sz val="10"/>
      <color rgb="FF212121"/>
      <name val="Calibri"/>
    </font>
    <font>
      <b/>
      <sz val="18"/>
      <color rgb="FF1E3A5F"/>
      <name val="Calibri"/>
    </font>
    <font>
      <b/>
      <sz val="12"/>
      <color rgb="FF004B93"/>
      <name val="Calibri"/>
    </font>
    <font>
      <b/>
      <sz val="12"/>
      <color rgb="FFC62828"/>
      <name val="Calibri"/>
    </font>
    <font>
      <i/>
      <sz val="10"/>
      <color rgb="FF616161"/>
      <name val="Calibri"/>
    </font>
    <font>
      <b/>
      <sz val="11"/>
      <color rgb="FF1E3A5F"/>
      <name val="Calibri"/>
    </font>
    <font>
      <sz val="10"/>
      <color rgb="FF424242"/>
      <name val="Calibri"/>
    </font>
    <font>
      <b/>
      <sz val="9"/>
      <color rgb="FFF9A825"/>
      <name val="Calibri"/>
    </font>
    <font>
      <b/>
      <sz val="10"/>
      <color rgb="FFFFFFFF"/>
      <name val="Calibri"/>
    </font>
    <font>
      <b/>
      <sz val="9"/>
      <color rgb="FF616161"/>
      <name val="Calibri"/>
    </font>
    <font>
      <b/>
      <sz val="18"/>
      <color rgb="FF1A237E"/>
      <name val="Calibri"/>
    </font>
    <font>
      <b/>
      <sz val="10"/>
      <color rgb="FF1F4E78"/>
      <name val="Calibri"/>
    </font>
    <font>
      <b/>
      <sz val="10"/>
      <name val="Calibri"/>
    </font>
    <font>
      <b/>
      <sz val="11"/>
      <name val="Calibri"/>
    </font>
    <font>
      <b/>
      <sz val="13"/>
      <color rgb="FF1A237E"/>
      <name val="Calibri"/>
    </font>
    <font>
      <b/>
      <sz val="11"/>
      <color rgb="FF1A237E"/>
      <name val="Calibri"/>
    </font>
    <font>
      <b/>
      <sz val="11"/>
      <color rgb="FF1565C0"/>
      <name val="Calibri"/>
    </font>
    <font>
      <b/>
      <sz val="10"/>
      <color rgb="FFEF6C00"/>
      <name val="Calibri"/>
    </font>
    <font>
      <b/>
      <sz val="10"/>
      <color rgb="FF2E7D32"/>
      <name val="Calibri"/>
    </font>
    <font>
      <b/>
      <sz val="10"/>
      <color rgb="FFB71C1C"/>
      <name val="Calibri"/>
    </font>
    <font>
      <b/>
      <sz val="10"/>
      <color rgb="FF558B2F"/>
      <name val="Calibri"/>
    </font>
    <font>
      <b/>
      <sz val="10"/>
      <color rgb="FFC62828"/>
      <name val="Calibri"/>
    </font>
    <font>
      <sz val="11"/>
      <color theme="1"/>
      <name val="Calibri"/>
      <family val="2"/>
      <scheme val="minor"/>
    </font>
    <font>
      <i/>
      <sz val="9"/>
      <color rgb="FF212121"/>
      <name val="Calibri"/>
      <family val="2"/>
    </font>
    <font>
      <i/>
      <sz val="10"/>
      <color rgb="FF21212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4B93"/>
        <bgColor rgb="FF004B93"/>
      </patternFill>
    </fill>
    <fill>
      <patternFill patternType="solid">
        <fgColor rgb="FFFFF9C4"/>
        <bgColor rgb="FFFFF9C4"/>
      </patternFill>
    </fill>
    <fill>
      <patternFill patternType="solid">
        <fgColor rgb="FFE0E0E0"/>
        <bgColor rgb="FFE0E0E0"/>
      </patternFill>
    </fill>
    <fill>
      <patternFill patternType="solid">
        <fgColor rgb="FF1E3A5F"/>
        <bgColor rgb="FF1E3A5F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  <fill>
      <patternFill patternType="solid">
        <fgColor rgb="FFE8F1FA"/>
        <bgColor rgb="FFE8F1FA"/>
      </patternFill>
    </fill>
    <fill>
      <patternFill patternType="solid">
        <fgColor rgb="FFFAFAFA"/>
        <bgColor rgb="FFFAFAFA"/>
      </patternFill>
    </fill>
    <fill>
      <patternFill patternType="solid">
        <fgColor rgb="FFECEFF1"/>
        <bgColor rgb="FFECEFF1"/>
      </patternFill>
    </fill>
    <fill>
      <patternFill patternType="solid">
        <fgColor rgb="FFE8EAF6"/>
        <bgColor rgb="FFE8EAF6"/>
      </patternFill>
    </fill>
    <fill>
      <patternFill patternType="solid">
        <fgColor rgb="FFEAF1F5"/>
      </patternFill>
    </fill>
    <fill>
      <patternFill patternType="solid">
        <fgColor rgb="FF1565C0"/>
        <bgColor rgb="FF1565C0"/>
      </patternFill>
    </fill>
    <fill>
      <patternFill patternType="solid">
        <fgColor rgb="FFF5F5F5"/>
        <bgColor rgb="FFF5F5F5"/>
      </patternFill>
    </fill>
    <fill>
      <patternFill patternType="solid">
        <fgColor rgb="FF1A237E"/>
        <bgColor rgb="FF1A237E"/>
      </patternFill>
    </fill>
  </fills>
  <borders count="4">
    <border>
      <left/>
      <right/>
      <top/>
      <bottom/>
      <diagonal/>
    </border>
    <border>
      <left style="medium">
        <color rgb="FF004B93"/>
      </left>
      <right style="medium">
        <color rgb="FF004B93"/>
      </right>
      <top style="medium">
        <color rgb="FF004B93"/>
      </top>
      <bottom style="medium">
        <color rgb="FF004B9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A6B9C7"/>
      </left>
      <right style="thin">
        <color rgb="FFA6B9C7"/>
      </right>
      <top style="thin">
        <color rgb="FFA6B9C7"/>
      </top>
      <bottom style="thin">
        <color rgb="FFA6B9C7"/>
      </bottom>
      <diagonal/>
    </border>
  </borders>
  <cellStyleXfs count="2">
    <xf numFmtId="0" fontId="0" fillId="0" borderId="0"/>
    <xf numFmtId="9" fontId="36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4" borderId="0" xfId="0" applyFill="1"/>
    <xf numFmtId="0" fontId="7" fillId="5" borderId="2" xfId="0" applyFont="1" applyFill="1" applyBorder="1" applyAlignment="1">
      <alignment horizontal="center" vertical="center" wrapText="1"/>
    </xf>
    <xf numFmtId="164" fontId="8" fillId="6" borderId="2" xfId="0" applyNumberFormat="1" applyFont="1" applyFill="1" applyBorder="1" applyAlignment="1">
      <alignment horizontal="center" vertical="center" wrapText="1"/>
    </xf>
    <xf numFmtId="164" fontId="8" fillId="7" borderId="2" xfId="0" applyNumberFormat="1" applyFont="1" applyFill="1" applyBorder="1" applyAlignment="1">
      <alignment horizontal="center" vertical="center" wrapText="1"/>
    </xf>
    <xf numFmtId="165" fontId="8" fillId="8" borderId="2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3" fontId="14" fillId="0" borderId="2" xfId="0" applyNumberFormat="1" applyFont="1" applyBorder="1" applyAlignment="1">
      <alignment horizontal="right" vertical="center"/>
    </xf>
    <xf numFmtId="165" fontId="14" fillId="0" borderId="2" xfId="0" applyNumberFormat="1" applyFont="1" applyBorder="1" applyAlignment="1">
      <alignment horizontal="right" vertical="center"/>
    </xf>
    <xf numFmtId="166" fontId="14" fillId="0" borderId="2" xfId="0" applyNumberFormat="1" applyFont="1" applyBorder="1" applyAlignment="1">
      <alignment horizontal="right" vertical="center"/>
    </xf>
    <xf numFmtId="0" fontId="13" fillId="5" borderId="2" xfId="0" applyFont="1" applyFill="1" applyBorder="1" applyAlignment="1">
      <alignment horizontal="left" vertical="center" wrapText="1"/>
    </xf>
    <xf numFmtId="165" fontId="13" fillId="5" borderId="2" xfId="0" applyNumberFormat="1" applyFont="1" applyFill="1" applyBorder="1" applyAlignment="1">
      <alignment horizontal="right" vertical="center"/>
    </xf>
    <xf numFmtId="166" fontId="13" fillId="5" borderId="2" xfId="0" applyNumberFormat="1" applyFont="1" applyFill="1" applyBorder="1" applyAlignment="1">
      <alignment horizontal="right" vertical="center"/>
    </xf>
    <xf numFmtId="167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7" fontId="14" fillId="12" borderId="2" xfId="0" applyNumberFormat="1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3" fontId="14" fillId="12" borderId="2" xfId="0" applyNumberFormat="1" applyFont="1" applyFill="1" applyBorder="1" applyAlignment="1">
      <alignment horizontal="right" vertical="center"/>
    </xf>
    <xf numFmtId="3" fontId="6" fillId="12" borderId="2" xfId="0" applyNumberFormat="1" applyFont="1" applyFill="1" applyBorder="1" applyAlignment="1">
      <alignment horizontal="right" vertical="center"/>
    </xf>
    <xf numFmtId="165" fontId="6" fillId="13" borderId="2" xfId="0" applyNumberFormat="1" applyFont="1" applyFill="1" applyBorder="1" applyAlignment="1">
      <alignment horizontal="right" vertical="center"/>
    </xf>
    <xf numFmtId="166" fontId="6" fillId="13" borderId="2" xfId="0" applyNumberFormat="1" applyFont="1" applyFill="1" applyBorder="1" applyAlignment="1">
      <alignment horizontal="right" vertical="center"/>
    </xf>
    <xf numFmtId="0" fontId="6" fillId="12" borderId="2" xfId="0" applyFont="1" applyFill="1" applyBorder="1" applyAlignment="1">
      <alignment horizontal="center" vertical="center" wrapText="1"/>
    </xf>
    <xf numFmtId="168" fontId="6" fillId="12" borderId="2" xfId="0" applyNumberFormat="1" applyFont="1" applyFill="1" applyBorder="1" applyAlignment="1">
      <alignment horizontal="right" vertical="center"/>
    </xf>
    <xf numFmtId="3" fontId="13" fillId="5" borderId="2" xfId="0" applyNumberFormat="1" applyFont="1" applyFill="1" applyBorder="1" applyAlignment="1">
      <alignment horizontal="right" vertical="center"/>
    </xf>
    <xf numFmtId="20" fontId="14" fillId="3" borderId="2" xfId="0" applyNumberFormat="1" applyFont="1" applyFill="1" applyBorder="1" applyAlignment="1">
      <alignment horizontal="center" vertical="center" wrapText="1"/>
    </xf>
    <xf numFmtId="168" fontId="14" fillId="3" borderId="2" xfId="0" applyNumberFormat="1" applyFont="1" applyFill="1" applyBorder="1" applyAlignment="1">
      <alignment horizontal="right" vertical="center"/>
    </xf>
    <xf numFmtId="20" fontId="14" fillId="12" borderId="2" xfId="0" applyNumberFormat="1" applyFont="1" applyFill="1" applyBorder="1" applyAlignment="1">
      <alignment horizontal="center" vertical="center" wrapText="1"/>
    </xf>
    <xf numFmtId="168" fontId="14" fillId="12" borderId="2" xfId="0" applyNumberFormat="1" applyFont="1" applyFill="1" applyBorder="1" applyAlignment="1">
      <alignment horizontal="right" vertical="center"/>
    </xf>
    <xf numFmtId="4" fontId="19" fillId="3" borderId="2" xfId="0" applyNumberFormat="1" applyFont="1" applyFill="1" applyBorder="1" applyAlignment="1">
      <alignment horizontal="right" vertical="center"/>
    </xf>
    <xf numFmtId="0" fontId="20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4" fontId="19" fillId="12" borderId="2" xfId="0" applyNumberFormat="1" applyFont="1" applyFill="1" applyBorder="1" applyAlignment="1">
      <alignment horizontal="right" vertical="center"/>
    </xf>
    <xf numFmtId="0" fontId="20" fillId="12" borderId="2" xfId="0" applyFont="1" applyFill="1" applyBorder="1" applyAlignment="1">
      <alignment horizontal="left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4" fontId="19" fillId="6" borderId="2" xfId="0" applyNumberFormat="1" applyFont="1" applyFill="1" applyBorder="1" applyAlignment="1">
      <alignment horizontal="right" vertical="center"/>
    </xf>
    <xf numFmtId="4" fontId="14" fillId="6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6" fillId="15" borderId="3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69" fontId="10" fillId="0" borderId="2" xfId="0" applyNumberFormat="1" applyFont="1" applyBorder="1" applyAlignment="1">
      <alignment horizontal="center" vertical="center"/>
    </xf>
    <xf numFmtId="169" fontId="12" fillId="0" borderId="2" xfId="0" applyNumberFormat="1" applyFon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12" fillId="0" borderId="2" xfId="0" applyNumberFormat="1" applyFont="1" applyBorder="1" applyAlignment="1">
      <alignment horizontal="center" vertical="center"/>
    </xf>
    <xf numFmtId="10" fontId="31" fillId="0" borderId="2" xfId="0" applyNumberFormat="1" applyFont="1" applyBorder="1" applyAlignment="1">
      <alignment horizontal="center" vertical="center"/>
    </xf>
    <xf numFmtId="10" fontId="32" fillId="0" borderId="2" xfId="0" applyNumberFormat="1" applyFont="1" applyBorder="1" applyAlignment="1">
      <alignment horizontal="center" vertical="center"/>
    </xf>
    <xf numFmtId="10" fontId="33" fillId="0" borderId="2" xfId="0" applyNumberFormat="1" applyFont="1" applyBorder="1" applyAlignment="1">
      <alignment horizontal="center" vertical="center"/>
    </xf>
    <xf numFmtId="10" fontId="34" fillId="0" borderId="2" xfId="0" applyNumberFormat="1" applyFont="1" applyBorder="1" applyAlignment="1">
      <alignment horizontal="center" vertical="center"/>
    </xf>
    <xf numFmtId="10" fontId="35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 wrapText="1"/>
    </xf>
    <xf numFmtId="0" fontId="24" fillId="14" borderId="0" xfId="0" applyFont="1" applyFill="1" applyAlignment="1">
      <alignment horizontal="center" vertical="center"/>
    </xf>
    <xf numFmtId="0" fontId="28" fillId="6" borderId="0" xfId="0" applyFont="1" applyFill="1"/>
    <xf numFmtId="0" fontId="22" fillId="18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3" fontId="37" fillId="0" borderId="2" xfId="0" applyNumberFormat="1" applyFont="1" applyBorder="1" applyAlignment="1">
      <alignment horizontal="right" vertical="center"/>
    </xf>
    <xf numFmtId="3" fontId="37" fillId="12" borderId="2" xfId="0" applyNumberFormat="1" applyFont="1" applyFill="1" applyBorder="1" applyAlignment="1">
      <alignment horizontal="right" vertical="center"/>
    </xf>
    <xf numFmtId="3" fontId="38" fillId="12" borderId="2" xfId="0" applyNumberFormat="1" applyFont="1" applyFill="1" applyBorder="1" applyAlignment="1">
      <alignment horizontal="right" vertical="center"/>
    </xf>
    <xf numFmtId="3" fontId="38" fillId="0" borderId="2" xfId="0" applyNumberFormat="1" applyFont="1" applyBorder="1" applyAlignment="1">
      <alignment horizontal="right" vertical="center"/>
    </xf>
    <xf numFmtId="9" fontId="13" fillId="5" borderId="2" xfId="1" applyFont="1" applyFill="1" applyBorder="1" applyAlignment="1">
      <alignment horizontal="right" vertical="center" wrapText="1"/>
    </xf>
    <xf numFmtId="169" fontId="13" fillId="5" borderId="2" xfId="0" applyNumberFormat="1" applyFont="1" applyFill="1" applyBorder="1" applyAlignment="1">
      <alignment horizontal="right" vertical="center" wrapText="1"/>
    </xf>
    <xf numFmtId="9" fontId="13" fillId="5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20">
    <dxf>
      <font>
        <color rgb="FF1B5E20"/>
      </font>
      <fill>
        <patternFill patternType="solid">
          <fgColor rgb="FFC8E6C9"/>
          <bgColor rgb="FFC8E6C9"/>
        </patternFill>
      </fill>
    </dxf>
    <dxf>
      <font>
        <color rgb="FF2E7D32"/>
      </font>
      <fill>
        <patternFill patternType="solid">
          <fgColor rgb="FFDCEDC8"/>
          <bgColor rgb="FFDCEDC8"/>
        </patternFill>
      </fill>
    </dxf>
    <dxf>
      <font>
        <color rgb="FF9C6500"/>
      </font>
      <fill>
        <patternFill patternType="solid">
          <fgColor rgb="FFFFE0B2"/>
          <bgColor rgb="FFFFE0B2"/>
        </patternFill>
      </fill>
    </dxf>
    <dxf>
      <font>
        <color rgb="FF9C0006"/>
      </font>
      <fill>
        <patternFill patternType="solid">
          <fgColor rgb="FFEF9A9A"/>
          <bgColor rgb="FFEF9A9A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FFCDD2"/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533;&#65533;%20Detalle%20Diario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533;&#65533;%20Resumen%20Diari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�� Detalle Diari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�� Resumen Diari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78"/>
  <sheetViews>
    <sheetView tabSelected="1" workbookViewId="0">
      <selection activeCell="J10" sqref="J10"/>
    </sheetView>
  </sheetViews>
  <sheetFormatPr baseColWidth="10" defaultColWidth="8.88671875" defaultRowHeight="14.4" customHeight="1" x14ac:dyDescent="0.3"/>
  <cols>
    <col min="1" max="1" width="4" customWidth="1"/>
    <col min="2" max="2" width="28" customWidth="1"/>
    <col min="3" max="3" width="20" customWidth="1"/>
    <col min="4" max="4" width="28" customWidth="1"/>
    <col min="5" max="5" width="20" customWidth="1"/>
    <col min="6" max="6" width="28" customWidth="1"/>
    <col min="7" max="7" width="20" customWidth="1"/>
    <col min="8" max="8" width="4" customWidth="1"/>
  </cols>
  <sheetData>
    <row r="1" spans="2:7" ht="34.950000000000003" customHeight="1" x14ac:dyDescent="0.3">
      <c r="B1" s="71" t="s">
        <v>0</v>
      </c>
      <c r="C1" s="72"/>
      <c r="D1" s="72"/>
      <c r="E1" s="72"/>
      <c r="F1" s="72"/>
      <c r="G1" s="72"/>
    </row>
    <row r="2" spans="2:7" ht="22.05" customHeight="1" x14ac:dyDescent="0.25">
      <c r="B2" s="73" t="s">
        <v>1</v>
      </c>
      <c r="C2" s="72"/>
      <c r="D2" s="72"/>
      <c r="E2" s="72"/>
      <c r="F2" s="72"/>
      <c r="G2" s="72"/>
    </row>
    <row r="3" spans="2:7" ht="4.05" customHeight="1" x14ac:dyDescent="0.25">
      <c r="B3" s="1"/>
      <c r="C3" s="1"/>
      <c r="D3" s="1"/>
      <c r="E3" s="1"/>
      <c r="F3" s="1"/>
      <c r="G3" s="1"/>
    </row>
    <row r="5" spans="2:7" ht="25.05" customHeight="1" x14ac:dyDescent="0.3">
      <c r="B5" s="74" t="s">
        <v>2</v>
      </c>
      <c r="C5" s="72"/>
    </row>
    <row r="6" spans="2:7" ht="28.05" customHeight="1" x14ac:dyDescent="0.3">
      <c r="B6" s="2" t="s">
        <v>3</v>
      </c>
      <c r="C6" s="3" t="s">
        <v>6</v>
      </c>
      <c r="D6" s="4" t="s">
        <v>4</v>
      </c>
      <c r="E6" s="2" t="s">
        <v>5</v>
      </c>
      <c r="F6" s="3" t="s">
        <v>6</v>
      </c>
    </row>
    <row r="7" spans="2:7" ht="1.95" customHeight="1" x14ac:dyDescent="0.25">
      <c r="B7" s="5"/>
      <c r="C7" s="5"/>
      <c r="D7" s="5"/>
      <c r="E7" s="5"/>
      <c r="F7" s="5"/>
      <c r="G7" s="5"/>
    </row>
    <row r="8" spans="2:7" ht="25.05" customHeight="1" x14ac:dyDescent="0.3">
      <c r="B8" s="74" t="s">
        <v>7</v>
      </c>
      <c r="C8" s="72"/>
      <c r="D8" s="72"/>
      <c r="E8" s="72"/>
      <c r="F8" s="72"/>
      <c r="G8" s="72"/>
    </row>
    <row r="9" spans="2:7" ht="28.05" customHeight="1" x14ac:dyDescent="0.3"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</row>
    <row r="10" spans="2:7" ht="37.950000000000003" customHeight="1" x14ac:dyDescent="0.3">
      <c r="B10" s="7">
        <f>SUMIFS('📅 Resumen Diario'!$J$5:$J$504,'📅 Resumen Diario'!$O$5:$O$504,IF($C$6="TODOS","*",$C$6),'📅 Resumen Diario'!$C$5:$C$504,IF($F$6="TODOS","*",$F$6))</f>
        <v>647038.09</v>
      </c>
      <c r="C10" s="8">
        <f>SUMIFS('📅 Resumen Diario'!$P$5:$P$504,'📅 Resumen Diario'!$O$5:$O$504,IF($C$6="TODOS","*",$C$6),'📅 Resumen Diario'!$C$5:$C$504,IF($F$6="TODOS","*",$F$6))</f>
        <v>435903.17799999984</v>
      </c>
      <c r="D10" s="9">
        <f>SUMIFS('📅 Resumen Diario'!$L$5:$L$504,'📅 Resumen Diario'!$O$5:$O$504,IF($C$6="TODOS","*",$C$6),'📅 Resumen Diario'!$C$5:$C$504,IF($F$6="TODOS","*",$F$6))</f>
        <v>228707.86199999996</v>
      </c>
      <c r="E10" s="10">
        <f>IF(B10=0,0,D10/B10)</f>
        <v>0.35346893101764687</v>
      </c>
      <c r="F10" s="9">
        <f>D10+D12+E12</f>
        <v>241127.86199999996</v>
      </c>
      <c r="G10" s="10">
        <f>IF(B10=0,0,F10/B10)</f>
        <v>0.37266409153748581</v>
      </c>
    </row>
    <row r="11" spans="2:7" ht="24" customHeight="1" x14ac:dyDescent="0.3">
      <c r="B11" s="11" t="s">
        <v>14</v>
      </c>
      <c r="C11" s="11" t="s">
        <v>15</v>
      </c>
      <c r="D11" s="11" t="s">
        <v>16</v>
      </c>
      <c r="E11" s="11" t="s">
        <v>17</v>
      </c>
    </row>
    <row r="12" spans="2:7" ht="31.95" customHeight="1" x14ac:dyDescent="0.25">
      <c r="B12" s="12">
        <f>SUMIFS('📅 Resumen Diario'!$D$5:$D$504,'📅 Resumen Diario'!$O$5:$O$504,IF($C$6="TODOS","*",$C$6),'📅 Resumen Diario'!$C$5:$C$504,IF($F$6="TODOS","*",$F$6))</f>
        <v>53232.30000000001</v>
      </c>
      <c r="C12" s="12">
        <f>SUMIFS('📅 Resumen Diario'!$G$5:$G$504,'📅 Resumen Diario'!$O$5:$O$504,IF($C$6="TODOS","*",$C$6),'📅 Resumen Diario'!$C$5:$C$504,IF($F$6="TODOS","*",$F$6))</f>
        <v>195255</v>
      </c>
      <c r="D12" s="12">
        <f>SUMIFS('📋 Detalle Diario'!$I$5:$I$489,'📋 Detalle Diario'!$H$5:$H$489,IF($C$6="TODOS","*",$C$6),'📋 Detalle Diario'!$C$5:$C$489,IF($F$6="TODOS","*",$F$6))*200</f>
        <v>0</v>
      </c>
      <c r="E12" s="12">
        <f>SUMIFS('📋 Detalle Diario'!$E$5:$E$489,'📋 Detalle Diario'!$H$5:$H$489,IF($C$6="TODOS","*",$C$6),'📋 Detalle Diario'!$C$5:$C$489,IF($F$6="TODOS","*",$F$6))*135</f>
        <v>12420</v>
      </c>
    </row>
    <row r="13" spans="2:7" ht="1.95" customHeight="1" x14ac:dyDescent="0.25">
      <c r="B13" s="5"/>
      <c r="C13" s="5"/>
      <c r="D13" s="5"/>
      <c r="E13" s="5"/>
      <c r="F13" s="5"/>
      <c r="G13" s="5"/>
    </row>
    <row r="14" spans="2:7" ht="25.05" customHeight="1" x14ac:dyDescent="0.3">
      <c r="B14" s="74" t="s">
        <v>18</v>
      </c>
      <c r="C14" s="72"/>
      <c r="D14" s="72"/>
      <c r="E14" s="72"/>
      <c r="F14" s="72"/>
      <c r="G14" s="72"/>
    </row>
    <row r="15" spans="2:7" ht="24" customHeight="1" x14ac:dyDescent="0.3">
      <c r="B15" s="11" t="s">
        <v>19</v>
      </c>
      <c r="D15" s="11" t="s">
        <v>20</v>
      </c>
      <c r="F15" s="11" t="s">
        <v>21</v>
      </c>
    </row>
    <row r="16" spans="2:7" ht="28.05" customHeight="1" x14ac:dyDescent="0.25">
      <c r="B16" s="13" t="str">
        <f>IFERROR(INDEX(B20:B69, MATCH(MAX(C20:C69), C20:C69, 0)), "N/A")</f>
        <v>2 Pack Pepsi + Roja 3 Litro</v>
      </c>
      <c r="D16" s="14" t="str">
        <f>IFERROR(INDEX(B20:B69, MATCH(SMALL(C20:C69, COUNTIF(C20:C69, 0) + 1), C20:C69, 0)), "N/A")</f>
        <v>TRASIEGO MANTICA</v>
      </c>
      <c r="F16" s="15" t="str">
        <f>IFERROR(INDEX(B20:B69, MATCH(MIN(F20:F69), F20:F69, 0)), "N/A")</f>
        <v>18 Pack Pepsi + Roja 500 ML</v>
      </c>
    </row>
    <row r="17" spans="2:7" ht="1.95" customHeight="1" x14ac:dyDescent="0.25">
      <c r="B17" s="5"/>
      <c r="C17" s="5"/>
      <c r="D17" s="5"/>
      <c r="E17" s="5"/>
      <c r="F17" s="5"/>
      <c r="G17" s="5"/>
    </row>
    <row r="18" spans="2:7" ht="25.05" customHeight="1" x14ac:dyDescent="0.3">
      <c r="B18" s="74" t="s">
        <v>22</v>
      </c>
      <c r="C18" s="72"/>
      <c r="D18" s="72"/>
      <c r="E18" s="72"/>
      <c r="F18" s="72"/>
      <c r="G18" s="72"/>
    </row>
    <row r="19" spans="2:7" ht="28.05" customHeight="1" x14ac:dyDescent="0.25">
      <c r="B19" s="16" t="s">
        <v>23</v>
      </c>
      <c r="C19" s="16" t="s">
        <v>24</v>
      </c>
      <c r="D19" s="16" t="s">
        <v>25</v>
      </c>
      <c r="E19" s="16" t="s">
        <v>26</v>
      </c>
      <c r="F19" s="16" t="s">
        <v>27</v>
      </c>
      <c r="G19" s="16" t="s">
        <v>28</v>
      </c>
    </row>
    <row r="20" spans="2:7" ht="19.95" customHeight="1" x14ac:dyDescent="0.25">
      <c r="B20" s="17" t="str">
        <f>IFERROR(INDEX('📦 Precios Proforma'!$B$5:$B$104, 1), "")</f>
        <v>12 pack 12 oz pepsi +sabores</v>
      </c>
      <c r="C20" s="18">
        <f>IF(B20="","",SUMIFS('📈 Datos Completos'!$E$7:$E$5000, '📈 Datos Completos'!$C$7:$C$5000, B20, '📈 Datos Completos'!$Q$7:$Q$5000, IF($C$6="TODOS","*",$C$6), '📈 Datos Completos'!$D$7:$D$5000, IF($F$6="TODOS","*",$F$6)))</f>
        <v>252</v>
      </c>
      <c r="D20" s="19">
        <f>IF(B20="","",SUMIFS('📈 Datos Completos'!$K$7:$K$5000, '📈 Datos Completos'!$C$7:$C$5000, B20, '📈 Datos Completos'!$Q$7:$Q$5000, IF($C$6="TODOS","*",$C$6), '📈 Datos Completos'!$D$7:$D$5000, IF($F$6="TODOS","*",$F$6)))</f>
        <v>1348.2</v>
      </c>
      <c r="E20" s="19">
        <f>IF(B20="","",SUMIFS('📈 Datos Completos'!$N$7:$N$5000, '📈 Datos Completos'!$C$7:$C$5000, B20, '📈 Datos Completos'!$Q$7:$Q$5000, IF($C$6="TODOS","*",$C$6), '📈 Datos Completos'!$D$7:$D$5000, IF($F$6="TODOS","*",$F$6)))</f>
        <v>1348.8083997496349</v>
      </c>
      <c r="F20" s="19">
        <f>IF(B20="","",SUMIFS('📈 Datos Completos'!$O$7:$O$5000, '📈 Datos Completos'!$C$7:$C$5000, B20, '📈 Datos Completos'!$Q$7:$Q$5000, IF($C$6="TODOS","*",$C$6), '📈 Datos Completos'!$D$7:$D$5000, IF($F$6="TODOS","*",$F$6)))</f>
        <v>-0.60839974963482746</v>
      </c>
      <c r="G20" s="20">
        <f t="shared" ref="G20:G51" si="0">IF(B20="","",IF(D20=0,0,F20/D20))</f>
        <v>-4.5126817210712613E-4</v>
      </c>
    </row>
    <row r="21" spans="2:7" ht="19.95" customHeight="1" x14ac:dyDescent="0.3">
      <c r="B21" s="17" t="str">
        <f>IFERROR(INDEX('📦 Precios Proforma'!$B$5:$B$104, 2), "")</f>
        <v>12 Pack Adrenalina Rush 16 Onz</v>
      </c>
      <c r="C21" s="18">
        <f>IF(B21="","",SUMIFS('📈 Datos Completos'!$E$7:$E$5000, '📈 Datos Completos'!$C$7:$C$5000, B21, '📈 Datos Completos'!$Q$7:$Q$5000, IF($C$6="TODOS","*",$C$6), '📈 Datos Completos'!$D$7:$D$5000, IF($F$6="TODOS","*",$F$6)))</f>
        <v>0</v>
      </c>
      <c r="D21" s="19">
        <f>IF(B21="","",SUMIFS('📈 Datos Completos'!$K$7:$K$5000, '📈 Datos Completos'!$C$7:$C$5000, B21, '📈 Datos Completos'!$Q$7:$Q$5000, IF($C$6="TODOS","*",$C$6), '📈 Datos Completos'!$D$7:$D$5000, IF($F$6="TODOS","*",$F$6)))</f>
        <v>0</v>
      </c>
      <c r="E21" s="19">
        <f>IF(B21="","",SUMIFS('📈 Datos Completos'!$N$7:$N$5000, '📈 Datos Completos'!$C$7:$C$5000, B21, '📈 Datos Completos'!$Q$7:$Q$5000, IF($C$6="TODOS","*",$C$6), '📈 Datos Completos'!$D$7:$D$5000, IF($F$6="TODOS","*",$F$6)))</f>
        <v>0</v>
      </c>
      <c r="F21" s="19">
        <f>IF(B21="","",SUMIFS('📈 Datos Completos'!$O$7:$O$5000, '📈 Datos Completos'!$C$7:$C$5000, B21, '📈 Datos Completos'!$Q$7:$Q$5000, IF($C$6="TODOS","*",$C$6), '📈 Datos Completos'!$D$7:$D$5000, IF($F$6="TODOS","*",$F$6)))</f>
        <v>0</v>
      </c>
      <c r="G21" s="20">
        <f t="shared" si="0"/>
        <v>0</v>
      </c>
    </row>
    <row r="22" spans="2:7" ht="19.95" customHeight="1" x14ac:dyDescent="0.3">
      <c r="B22" s="17" t="str">
        <f>IFERROR(INDEX('📦 Precios Proforma'!$B$5:$B$104, 3), "")</f>
        <v>12 PACK AMP 600 ML</v>
      </c>
      <c r="C22" s="18">
        <f>IF(B22="","",SUMIFS('📈 Datos Completos'!$E$7:$E$5000, '📈 Datos Completos'!$C$7:$C$5000, B22, '📈 Datos Completos'!$Q$7:$Q$5000, IF($C$6="TODOS","*",$C$6), '📈 Datos Completos'!$D$7:$D$5000, IF($F$6="TODOS","*",$F$6)))</f>
        <v>974</v>
      </c>
      <c r="D22" s="19">
        <f>IF(B22="","",SUMIFS('📈 Datos Completos'!$K$7:$K$5000, '📈 Datos Completos'!$C$7:$C$5000, B22, '📈 Datos Completos'!$Q$7:$Q$5000, IF($C$6="TODOS","*",$C$6), '📈 Datos Completos'!$D$7:$D$5000, IF($F$6="TODOS","*",$F$6)))</f>
        <v>19113.099999999999</v>
      </c>
      <c r="E22" s="19">
        <f>IF(B22="","",SUMIFS('📈 Datos Completos'!$N$7:$N$5000, '📈 Datos Completos'!$C$7:$C$5000, B22, '📈 Datos Completos'!$Q$7:$Q$5000, IF($C$6="TODOS","*",$C$6), '📈 Datos Completos'!$D$7:$D$5000, IF($F$6="TODOS","*",$F$6)))</f>
        <v>12177.374463436281</v>
      </c>
      <c r="F22" s="19">
        <f>IF(B22="","",SUMIFS('📈 Datos Completos'!$O$7:$O$5000, '📈 Datos Completos'!$C$7:$C$5000, B22, '📈 Datos Completos'!$Q$7:$Q$5000, IF($C$6="TODOS","*",$C$6), '📈 Datos Completos'!$D$7:$D$5000, IF($F$6="TODOS","*",$F$6)))</f>
        <v>6935.7255365637184</v>
      </c>
      <c r="G22" s="20">
        <f t="shared" si="0"/>
        <v>0.36287810645911545</v>
      </c>
    </row>
    <row r="23" spans="2:7" ht="19.95" customHeight="1" x14ac:dyDescent="0.3">
      <c r="B23" s="17" t="str">
        <f>IFERROR(INDEX('📦 Precios Proforma'!$B$5:$B$104, 4), "")</f>
        <v>12 Pack California Surtido 400 ML</v>
      </c>
      <c r="C23" s="18">
        <f>IF(B23="","",SUMIFS('📈 Datos Completos'!$E$7:$E$5000, '📈 Datos Completos'!$C$7:$C$5000, B23, '📈 Datos Completos'!$Q$7:$Q$5000, IF($C$6="TODOS","*",$C$6), '📈 Datos Completos'!$D$7:$D$5000, IF($F$6="TODOS","*",$F$6)))</f>
        <v>1192</v>
      </c>
      <c r="D23" s="19">
        <f>IF(B23="","",SUMIFS('📈 Datos Completos'!$K$7:$K$5000, '📈 Datos Completos'!$C$7:$C$5000, B23, '📈 Datos Completos'!$Q$7:$Q$5000, IF($C$6="TODOS","*",$C$6), '📈 Datos Completos'!$D$7:$D$5000, IF($F$6="TODOS","*",$F$6)))</f>
        <v>7672.2</v>
      </c>
      <c r="E23" s="19">
        <f>IF(B23="","",SUMIFS('📈 Datos Completos'!$N$7:$N$5000, '📈 Datos Completos'!$C$7:$C$5000, B23, '📈 Datos Completos'!$Q$7:$Q$5000, IF($C$6="TODOS","*",$C$6), '📈 Datos Completos'!$D$7:$D$5000, IF($F$6="TODOS","*",$F$6)))</f>
        <v>9839.4712264924165</v>
      </c>
      <c r="F23" s="19">
        <f>IF(B23="","",SUMIFS('📈 Datos Completos'!$O$7:$O$5000, '📈 Datos Completos'!$C$7:$C$5000, B23, '📈 Datos Completos'!$Q$7:$Q$5000, IF($C$6="TODOS","*",$C$6), '📈 Datos Completos'!$D$7:$D$5000, IF($F$6="TODOS","*",$F$6)))</f>
        <v>-2167.2712264924171</v>
      </c>
      <c r="G23" s="20">
        <f t="shared" si="0"/>
        <v>-0.28248367176200012</v>
      </c>
    </row>
    <row r="24" spans="2:7" ht="19.95" customHeight="1" x14ac:dyDescent="0.3">
      <c r="B24" s="17" t="str">
        <f>IFERROR(INDEX('📦 Precios Proforma'!$B$5:$B$104, 5), "")</f>
        <v>12 Pack CSD 500 ML PET</v>
      </c>
      <c r="C24" s="18">
        <f>IF(B24="","",SUMIFS('📈 Datos Completos'!$E$7:$E$5000, '📈 Datos Completos'!$C$7:$C$5000, B24, '📈 Datos Completos'!$Q$7:$Q$5000, IF($C$6="TODOS","*",$C$6), '📈 Datos Completos'!$D$7:$D$5000, IF($F$6="TODOS","*",$F$6)))</f>
        <v>0</v>
      </c>
      <c r="D24" s="19">
        <f>IF(B24="","",SUMIFS('📈 Datos Completos'!$K$7:$K$5000, '📈 Datos Completos'!$C$7:$C$5000, B24, '📈 Datos Completos'!$Q$7:$Q$5000, IF($C$6="TODOS","*",$C$6), '📈 Datos Completos'!$D$7:$D$5000, IF($F$6="TODOS","*",$F$6)))</f>
        <v>0</v>
      </c>
      <c r="E24" s="19">
        <f>IF(B24="","",SUMIFS('📈 Datos Completos'!$N$7:$N$5000, '📈 Datos Completos'!$C$7:$C$5000, B24, '📈 Datos Completos'!$Q$7:$Q$5000, IF($C$6="TODOS","*",$C$6), '📈 Datos Completos'!$D$7:$D$5000, IF($F$6="TODOS","*",$F$6)))</f>
        <v>0</v>
      </c>
      <c r="F24" s="19">
        <f>IF(B24="","",SUMIFS('📈 Datos Completos'!$O$7:$O$5000, '📈 Datos Completos'!$C$7:$C$5000, B24, '📈 Datos Completos'!$Q$7:$Q$5000, IF($C$6="TODOS","*",$C$6), '📈 Datos Completos'!$D$7:$D$5000, IF($F$6="TODOS","*",$F$6)))</f>
        <v>0</v>
      </c>
      <c r="G24" s="20">
        <f t="shared" si="0"/>
        <v>0</v>
      </c>
    </row>
    <row r="25" spans="2:7" ht="19.95" customHeight="1" x14ac:dyDescent="0.3">
      <c r="B25" s="17" t="str">
        <f>IFERROR(INDEX('📦 Precios Proforma'!$B$5:$B$104, 6), "")</f>
        <v>12 Pack Ensa Soda 500ml Pet</v>
      </c>
      <c r="C25" s="18">
        <f>IF(B25="","",SUMIFS('📈 Datos Completos'!$E$7:$E$5000, '📈 Datos Completos'!$C$7:$C$5000, B25, '📈 Datos Completos'!$Q$7:$Q$5000, IF($C$6="TODOS","*",$C$6), '📈 Datos Completos'!$D$7:$D$5000, IF($F$6="TODOS","*",$F$6)))</f>
        <v>438</v>
      </c>
      <c r="D25" s="19">
        <f>IF(B25="","",SUMIFS('📈 Datos Completos'!$K$7:$K$5000, '📈 Datos Completos'!$C$7:$C$5000, B25, '📈 Datos Completos'!$Q$7:$Q$5000, IF($C$6="TODOS","*",$C$6), '📈 Datos Completos'!$D$7:$D$5000, IF($F$6="TODOS","*",$F$6)))</f>
        <v>10328.040000000001</v>
      </c>
      <c r="E25" s="19">
        <f>IF(B25="","",SUMIFS('📈 Datos Completos'!$N$7:$N$5000, '📈 Datos Completos'!$C$7:$C$5000, B25, '📈 Datos Completos'!$Q$7:$Q$5000, IF($C$6="TODOS","*",$C$6), '📈 Datos Completos'!$D$7:$D$5000, IF($F$6="TODOS","*",$F$6)))</f>
        <v>6194.2709417599854</v>
      </c>
      <c r="F25" s="19">
        <f>IF(B25="","",SUMIFS('📈 Datos Completos'!$O$7:$O$5000, '📈 Datos Completos'!$C$7:$C$5000, B25, '📈 Datos Completos'!$Q$7:$Q$5000, IF($C$6="TODOS","*",$C$6), '📈 Datos Completos'!$D$7:$D$5000, IF($F$6="TODOS","*",$F$6)))</f>
        <v>4133.7690582400146</v>
      </c>
      <c r="G25" s="20">
        <f t="shared" si="0"/>
        <v>0.40024719678080395</v>
      </c>
    </row>
    <row r="26" spans="2:7" ht="19.95" customHeight="1" x14ac:dyDescent="0.3">
      <c r="B26" s="17" t="str">
        <f>IFERROR(INDEX('📦 Precios Proforma'!$B$5:$B$104, 7), "")</f>
        <v>12 Pack Jugazzo Lata Surtido</v>
      </c>
      <c r="C26" s="18">
        <f>IF(B26="","",SUMIFS('📈 Datos Completos'!$E$7:$E$5000, '📈 Datos Completos'!$C$7:$C$5000, B26, '📈 Datos Completos'!$Q$7:$Q$5000, IF($C$6="TODOS","*",$C$6), '📈 Datos Completos'!$D$7:$D$5000, IF($F$6="TODOS","*",$F$6)))</f>
        <v>820</v>
      </c>
      <c r="D26" s="19">
        <f>IF(B26="","",SUMIFS('📈 Datos Completos'!$K$7:$K$5000, '📈 Datos Completos'!$C$7:$C$5000, B26, '📈 Datos Completos'!$Q$7:$Q$5000, IF($C$6="TODOS","*",$C$6), '📈 Datos Completos'!$D$7:$D$5000, IF($F$6="TODOS","*",$F$6)))</f>
        <v>4874.4000000000005</v>
      </c>
      <c r="E26" s="19">
        <f>IF(B26="","",SUMIFS('📈 Datos Completos'!$N$7:$N$5000, '📈 Datos Completos'!$C$7:$C$5000, B26, '📈 Datos Completos'!$Q$7:$Q$5000, IF($C$6="TODOS","*",$C$6), '📈 Datos Completos'!$D$7:$D$5000, IF($F$6="TODOS","*",$F$6)))</f>
        <v>12971.833467827879</v>
      </c>
      <c r="F26" s="19">
        <f>IF(B26="","",SUMIFS('📈 Datos Completos'!$O$7:$O$5000, '📈 Datos Completos'!$C$7:$C$5000, B26, '📈 Datos Completos'!$Q$7:$Q$5000, IF($C$6="TODOS","*",$C$6), '📈 Datos Completos'!$D$7:$D$5000, IF($F$6="TODOS","*",$F$6)))</f>
        <v>-6383.1477535421627</v>
      </c>
      <c r="G26" s="20">
        <f t="shared" si="0"/>
        <v>-1.309524814037043</v>
      </c>
    </row>
    <row r="27" spans="2:7" ht="19.95" customHeight="1" x14ac:dyDescent="0.3">
      <c r="B27" s="17" t="str">
        <f>IFERROR(INDEX('📦 Precios Proforma'!$B$5:$B$104, 8), "")</f>
        <v>12 Pack LIPTON TE 500 ML</v>
      </c>
      <c r="C27" s="18">
        <f>IF(B27="","",SUMIFS('📈 Datos Completos'!$E$7:$E$5000, '📈 Datos Completos'!$C$7:$C$5000, B27, '📈 Datos Completos'!$Q$7:$Q$5000, IF($C$6="TODOS","*",$C$6), '📈 Datos Completos'!$D$7:$D$5000, IF($F$6="TODOS","*",$F$6)))</f>
        <v>0</v>
      </c>
      <c r="D27" s="19">
        <f>IF(B27="","",SUMIFS('📈 Datos Completos'!$K$7:$K$5000, '📈 Datos Completos'!$C$7:$C$5000, B27, '📈 Datos Completos'!$Q$7:$Q$5000, IF($C$6="TODOS","*",$C$6), '📈 Datos Completos'!$D$7:$D$5000, IF($F$6="TODOS","*",$F$6)))</f>
        <v>0</v>
      </c>
      <c r="E27" s="19">
        <f>IF(B27="","",SUMIFS('📈 Datos Completos'!$N$7:$N$5000, '📈 Datos Completos'!$C$7:$C$5000, B27, '📈 Datos Completos'!$Q$7:$Q$5000, IF($C$6="TODOS","*",$C$6), '📈 Datos Completos'!$D$7:$D$5000, IF($F$6="TODOS","*",$F$6)))</f>
        <v>0</v>
      </c>
      <c r="F27" s="19">
        <f>IF(B27="","",SUMIFS('📈 Datos Completos'!$O$7:$O$5000, '📈 Datos Completos'!$C$7:$C$5000, B27, '📈 Datos Completos'!$Q$7:$Q$5000, IF($C$6="TODOS","*",$C$6), '📈 Datos Completos'!$D$7:$D$5000, IF($F$6="TODOS","*",$F$6)))</f>
        <v>0</v>
      </c>
      <c r="G27" s="20">
        <f t="shared" si="0"/>
        <v>0</v>
      </c>
    </row>
    <row r="28" spans="2:7" ht="19.95" customHeight="1" x14ac:dyDescent="0.3">
      <c r="B28" s="17" t="str">
        <f>IFERROR(INDEX('📦 Precios Proforma'!$B$5:$B$104, 9), "")</f>
        <v>12 Pack pepsi + sabores 12 onza</v>
      </c>
      <c r="C28" s="18">
        <f>IF(B28="","",SUMIFS('📈 Datos Completos'!$E$7:$E$5000, '📈 Datos Completos'!$C$7:$C$5000, B28, '📈 Datos Completos'!$Q$7:$Q$5000, IF($C$6="TODOS","*",$C$6), '📈 Datos Completos'!$D$7:$D$5000, IF($F$6="TODOS","*",$F$6)))</f>
        <v>924</v>
      </c>
      <c r="D28" s="19">
        <f>IF(B28="","",SUMIFS('📈 Datos Completos'!$K$7:$K$5000, '📈 Datos Completos'!$C$7:$C$5000, B28, '📈 Datos Completos'!$Q$7:$Q$5000, IF($C$6="TODOS","*",$C$6), '📈 Datos Completos'!$D$7:$D$5000, IF($F$6="TODOS","*",$F$6)))</f>
        <v>5594.9599999999991</v>
      </c>
      <c r="E28" s="19">
        <f>IF(B28="","",SUMIFS('📈 Datos Completos'!$N$7:$N$5000, '📈 Datos Completos'!$C$7:$C$5000, B28, '📈 Datos Completos'!$Q$7:$Q$5000, IF($C$6="TODOS","*",$C$6), '📈 Datos Completos'!$D$7:$D$5000, IF($F$6="TODOS","*",$F$6)))</f>
        <v>12500.119160128994</v>
      </c>
      <c r="F28" s="19">
        <f>IF(B28="","",SUMIFS('📈 Datos Completos'!$O$7:$O$5000, '📈 Datos Completos'!$C$7:$C$5000, B28, '📈 Datos Completos'!$Q$7:$Q$5000, IF($C$6="TODOS","*",$C$6), '📈 Datos Completos'!$D$7:$D$5000, IF($F$6="TODOS","*",$F$6)))</f>
        <v>-3525.1591601289929</v>
      </c>
      <c r="G28" s="20">
        <f t="shared" si="0"/>
        <v>-0.63005976095074734</v>
      </c>
    </row>
    <row r="29" spans="2:7" ht="19.95" customHeight="1" x14ac:dyDescent="0.3">
      <c r="B29" s="17" t="str">
        <f>IFERROR(INDEX('📦 Precios Proforma'!$B$5:$B$104, 10), "")</f>
        <v>12 Pack pepsi 1.5 ltr</v>
      </c>
      <c r="C29" s="18">
        <f>IF(B29="","",SUMIFS('📈 Datos Completos'!$E$7:$E$5000, '📈 Datos Completos'!$C$7:$C$5000, B29, '📈 Datos Completos'!$Q$7:$Q$5000, IF($C$6="TODOS","*",$C$6), '📈 Datos Completos'!$D$7:$D$5000, IF($F$6="TODOS","*",$F$6)))</f>
        <v>0</v>
      </c>
      <c r="D29" s="19">
        <f>IF(B29="","",SUMIFS('📈 Datos Completos'!$K$7:$K$5000, '📈 Datos Completos'!$C$7:$C$5000, B29, '📈 Datos Completos'!$Q$7:$Q$5000, IF($C$6="TODOS","*",$C$6), '📈 Datos Completos'!$D$7:$D$5000, IF($F$6="TODOS","*",$F$6)))</f>
        <v>0</v>
      </c>
      <c r="E29" s="19">
        <f>IF(B29="","",SUMIFS('📈 Datos Completos'!$N$7:$N$5000, '📈 Datos Completos'!$C$7:$C$5000, B29, '📈 Datos Completos'!$Q$7:$Q$5000, IF($C$6="TODOS","*",$C$6), '📈 Datos Completos'!$D$7:$D$5000, IF($F$6="TODOS","*",$F$6)))</f>
        <v>0</v>
      </c>
      <c r="F29" s="19">
        <f>IF(B29="","",SUMIFS('📈 Datos Completos'!$O$7:$O$5000, '📈 Datos Completos'!$C$7:$C$5000, B29, '📈 Datos Completos'!$Q$7:$Q$5000, IF($C$6="TODOS","*",$C$6), '📈 Datos Completos'!$D$7:$D$5000, IF($F$6="TODOS","*",$F$6)))</f>
        <v>0</v>
      </c>
      <c r="G29" s="20">
        <f t="shared" si="0"/>
        <v>0</v>
      </c>
    </row>
    <row r="30" spans="2:7" ht="19.95" customHeight="1" x14ac:dyDescent="0.3">
      <c r="B30" s="17" t="str">
        <f>IFERROR(INDEX('📦 Precios Proforma'!$B$5:$B$104, 11), "")</f>
        <v>12 Pack Pepsi 500 ML</v>
      </c>
      <c r="C30" s="18">
        <f>IF(B30="","",SUMIFS('📈 Datos Completos'!$E$7:$E$5000, '📈 Datos Completos'!$C$7:$C$5000, B30, '📈 Datos Completos'!$Q$7:$Q$5000, IF($C$6="TODOS","*",$C$6), '📈 Datos Completos'!$D$7:$D$5000, IF($F$6="TODOS","*",$F$6)))</f>
        <v>48</v>
      </c>
      <c r="D30" s="19">
        <f>IF(B30="","",SUMIFS('📈 Datos Completos'!$K$7:$K$5000, '📈 Datos Completos'!$C$7:$C$5000, B30, '📈 Datos Completos'!$Q$7:$Q$5000, IF($C$6="TODOS","*",$C$6), '📈 Datos Completos'!$D$7:$D$5000, IF($F$6="TODOS","*",$F$6)))</f>
        <v>847.2</v>
      </c>
      <c r="E30" s="19">
        <f>IF(B30="","",SUMIFS('📈 Datos Completos'!$N$7:$N$5000, '📈 Datos Completos'!$C$7:$C$5000, B30, '📈 Datos Completos'!$Q$7:$Q$5000, IF($C$6="TODOS","*",$C$6), '📈 Datos Completos'!$D$7:$D$5000, IF($F$6="TODOS","*",$F$6)))</f>
        <v>1143.4699389785101</v>
      </c>
      <c r="F30" s="19">
        <f>IF(B30="","",SUMIFS('📈 Datos Completos'!$O$7:$O$5000, '📈 Datos Completos'!$C$7:$C$5000, B30, '📈 Datos Completos'!$Q$7:$Q$5000, IF($C$6="TODOS","*",$C$6), '📈 Datos Completos'!$D$7:$D$5000, IF($F$6="TODOS","*",$F$6)))</f>
        <v>-296.26993897851014</v>
      </c>
      <c r="G30" s="20">
        <f t="shared" si="0"/>
        <v>-0.34970483826547466</v>
      </c>
    </row>
    <row r="31" spans="2:7" ht="19.95" customHeight="1" x14ac:dyDescent="0.3">
      <c r="B31" s="17" t="str">
        <f>IFERROR(INDEX('📦 Precios Proforma'!$B$5:$B$104, 12), "")</f>
        <v>12 Pack Soda Ensa 500 ML</v>
      </c>
      <c r="C31" s="18">
        <f>IF(B31="","",SUMIFS('📈 Datos Completos'!$E$7:$E$5000, '📈 Datos Completos'!$C$7:$C$5000, B31, '📈 Datos Completos'!$Q$7:$Q$5000, IF($C$6="TODOS","*",$C$6), '📈 Datos Completos'!$D$7:$D$5000, IF($F$6="TODOS","*",$F$6)))</f>
        <v>640</v>
      </c>
      <c r="D31" s="19">
        <f>IF(B31="","",SUMIFS('📈 Datos Completos'!$K$7:$K$5000, '📈 Datos Completos'!$C$7:$C$5000, B31, '📈 Datos Completos'!$Q$7:$Q$5000, IF($C$6="TODOS","*",$C$6), '📈 Datos Completos'!$D$7:$D$5000, IF($F$6="TODOS","*",$F$6)))</f>
        <v>11892.800000000001</v>
      </c>
      <c r="E31" s="19">
        <f>IF(B31="","",SUMIFS('📈 Datos Completos'!$N$7:$N$5000, '📈 Datos Completos'!$C$7:$C$5000, B31, '📈 Datos Completos'!$Q$7:$Q$5000, IF($C$6="TODOS","*",$C$6), '📈 Datos Completos'!$D$7:$D$5000, IF($F$6="TODOS","*",$F$6)))</f>
        <v>7271.3400080986394</v>
      </c>
      <c r="F31" s="19">
        <f>IF(B31="","",SUMIFS('📈 Datos Completos'!$O$7:$O$5000, '📈 Datos Completos'!$C$7:$C$5000, B31, '📈 Datos Completos'!$Q$7:$Q$5000, IF($C$6="TODOS","*",$C$6), '📈 Datos Completos'!$D$7:$D$5000, IF($F$6="TODOS","*",$F$6)))</f>
        <v>4621.4599919013599</v>
      </c>
      <c r="G31" s="20">
        <f t="shared" si="0"/>
        <v>0.38859309766424721</v>
      </c>
    </row>
    <row r="32" spans="2:7" ht="19.95" customHeight="1" x14ac:dyDescent="0.3">
      <c r="B32" s="17" t="str">
        <f>IFERROR(INDEX('📦 Precios Proforma'!$B$5:$B$104, 13), "")</f>
        <v>16 Pack Adrenaline 12 oz</v>
      </c>
      <c r="C32" s="18">
        <f>IF(B32="","",SUMIFS('📈 Datos Completos'!$E$7:$E$5000, '📈 Datos Completos'!$C$7:$C$5000, B32, '📈 Datos Completos'!$Q$7:$Q$5000, IF($C$6="TODOS","*",$C$6), '📈 Datos Completos'!$D$7:$D$5000, IF($F$6="TODOS","*",$F$6)))</f>
        <v>0</v>
      </c>
      <c r="D32" s="19">
        <f>IF(B32="","",SUMIFS('📈 Datos Completos'!$K$7:$K$5000, '📈 Datos Completos'!$C$7:$C$5000, B32, '📈 Datos Completos'!$Q$7:$Q$5000, IF($C$6="TODOS","*",$C$6), '📈 Datos Completos'!$D$7:$D$5000, IF($F$6="TODOS","*",$F$6)))</f>
        <v>0</v>
      </c>
      <c r="E32" s="19">
        <f>IF(B32="","",SUMIFS('📈 Datos Completos'!$N$7:$N$5000, '📈 Datos Completos'!$C$7:$C$5000, B32, '📈 Datos Completos'!$Q$7:$Q$5000, IF($C$6="TODOS","*",$C$6), '📈 Datos Completos'!$D$7:$D$5000, IF($F$6="TODOS","*",$F$6)))</f>
        <v>0</v>
      </c>
      <c r="F32" s="19">
        <f>IF(B32="","",SUMIFS('📈 Datos Completos'!$O$7:$O$5000, '📈 Datos Completos'!$C$7:$C$5000, B32, '📈 Datos Completos'!$Q$7:$Q$5000, IF($C$6="TODOS","*",$C$6), '📈 Datos Completos'!$D$7:$D$5000, IF($F$6="TODOS","*",$F$6)))</f>
        <v>0</v>
      </c>
      <c r="G32" s="20">
        <f t="shared" si="0"/>
        <v>0</v>
      </c>
    </row>
    <row r="33" spans="2:7" ht="19.95" customHeight="1" x14ac:dyDescent="0.3">
      <c r="B33" s="17" t="str">
        <f>IFERROR(INDEX('📦 Precios Proforma'!$B$5:$B$104, 14), "")</f>
        <v>18 Pack 500 ml (pepsi,rojita)</v>
      </c>
      <c r="C33" s="18">
        <f>IF(B33="","",SUMIFS('📈 Datos Completos'!$E$7:$E$5000, '📈 Datos Completos'!$C$7:$C$5000, B33, '📈 Datos Completos'!$Q$7:$Q$5000, IF($C$6="TODOS","*",$C$6), '📈 Datos Completos'!$D$7:$D$5000, IF($F$6="TODOS","*",$F$6)))</f>
        <v>680</v>
      </c>
      <c r="D33" s="19">
        <f>IF(B33="","",SUMIFS('📈 Datos Completos'!$K$7:$K$5000, '📈 Datos Completos'!$C$7:$C$5000, B33, '📈 Datos Completos'!$Q$7:$Q$5000, IF($C$6="TODOS","*",$C$6), '📈 Datos Completos'!$D$7:$D$5000, IF($F$6="TODOS","*",$F$6)))</f>
        <v>5472</v>
      </c>
      <c r="E33" s="19">
        <f>IF(B33="","",SUMIFS('📈 Datos Completos'!$N$7:$N$5000, '📈 Datos Completos'!$C$7:$C$5000, B33, '📈 Datos Completos'!$Q$7:$Q$5000, IF($C$6="TODOS","*",$C$6), '📈 Datos Completos'!$D$7:$D$5000, IF($F$6="TODOS","*",$F$6)))</f>
        <v>8746.7261373074016</v>
      </c>
      <c r="F33" s="19">
        <f>IF(B33="","",SUMIFS('📈 Datos Completos'!$O$7:$O$5000, '📈 Datos Completos'!$C$7:$C$5000, B33, '📈 Datos Completos'!$Q$7:$Q$5000, IF($C$6="TODOS","*",$C$6), '📈 Datos Completos'!$D$7:$D$5000, IF($F$6="TODOS","*",$F$6)))</f>
        <v>-3274.7261373074025</v>
      </c>
      <c r="G33" s="20">
        <f t="shared" si="0"/>
        <v>-0.59845141398161594</v>
      </c>
    </row>
    <row r="34" spans="2:7" ht="19.95" customHeight="1" x14ac:dyDescent="0.3">
      <c r="B34" s="17" t="str">
        <f>IFERROR(INDEX('📦 Precios Proforma'!$B$5:$B$104, 15), "")</f>
        <v>18 PACK 500 ML PET SURTIDO</v>
      </c>
      <c r="C34" s="18">
        <f>IF(B34="","",SUMIFS('📈 Datos Completos'!$E$7:$E$5000, '📈 Datos Completos'!$C$7:$C$5000, B34, '📈 Datos Completos'!$Q$7:$Q$5000, IF($C$6="TODOS","*",$C$6), '📈 Datos Completos'!$D$7:$D$5000, IF($F$6="TODOS","*",$F$6)))</f>
        <v>0</v>
      </c>
      <c r="D34" s="19">
        <f>IF(B34="","",SUMIFS('📈 Datos Completos'!$K$7:$K$5000, '📈 Datos Completos'!$C$7:$C$5000, B34, '📈 Datos Completos'!$Q$7:$Q$5000, IF($C$6="TODOS","*",$C$6), '📈 Datos Completos'!$D$7:$D$5000, IF($F$6="TODOS","*",$F$6)))</f>
        <v>0</v>
      </c>
      <c r="E34" s="19">
        <f>IF(B34="","",SUMIFS('📈 Datos Completos'!$N$7:$N$5000, '📈 Datos Completos'!$C$7:$C$5000, B34, '📈 Datos Completos'!$Q$7:$Q$5000, IF($C$6="TODOS","*",$C$6), '📈 Datos Completos'!$D$7:$D$5000, IF($F$6="TODOS","*",$F$6)))</f>
        <v>0</v>
      </c>
      <c r="F34" s="19">
        <f>IF(B34="","",SUMIFS('📈 Datos Completos'!$O$7:$O$5000, '📈 Datos Completos'!$C$7:$C$5000, B34, '📈 Datos Completos'!$Q$7:$Q$5000, IF($C$6="TODOS","*",$C$6), '📈 Datos Completos'!$D$7:$D$5000, IF($F$6="TODOS","*",$F$6)))</f>
        <v>0</v>
      </c>
      <c r="G34" s="20">
        <f t="shared" si="0"/>
        <v>0</v>
      </c>
    </row>
    <row r="35" spans="2:7" ht="19.95" customHeight="1" x14ac:dyDescent="0.3">
      <c r="B35" s="17" t="str">
        <f>IFERROR(INDEX('📦 Precios Proforma'!$B$5:$B$104, 16), "")</f>
        <v>18 Pack Be Light Surtido</v>
      </c>
      <c r="C35" s="18">
        <f>IF(B35="","",SUMIFS('📈 Datos Completos'!$E$7:$E$5000, '📈 Datos Completos'!$C$7:$C$5000, B35, '📈 Datos Completos'!$Q$7:$Q$5000, IF($C$6="TODOS","*",$C$6), '📈 Datos Completos'!$D$7:$D$5000, IF($F$6="TODOS","*",$F$6)))</f>
        <v>240</v>
      </c>
      <c r="D35" s="19">
        <f>IF(B35="","",SUMIFS('📈 Datos Completos'!$K$7:$K$5000, '📈 Datos Completos'!$C$7:$C$5000, B35, '📈 Datos Completos'!$Q$7:$Q$5000, IF($C$6="TODOS","*",$C$6), '📈 Datos Completos'!$D$7:$D$5000, IF($F$6="TODOS","*",$F$6)))</f>
        <v>1728.0000000000002</v>
      </c>
      <c r="E35" s="19">
        <f>IF(B35="","",SUMIFS('📈 Datos Completos'!$N$7:$N$5000, '📈 Datos Completos'!$C$7:$C$5000, B35, '📈 Datos Completos'!$Q$7:$Q$5000, IF($C$6="TODOS","*",$C$6), '📈 Datos Completos'!$D$7:$D$5000, IF($F$6="TODOS","*",$F$6)))</f>
        <v>2052.8184927536231</v>
      </c>
      <c r="F35" s="19">
        <f>IF(B35="","",SUMIFS('📈 Datos Completos'!$O$7:$O$5000, '📈 Datos Completos'!$C$7:$C$5000, B35, '📈 Datos Completos'!$Q$7:$Q$5000, IF($C$6="TODOS","*",$C$6), '📈 Datos Completos'!$D$7:$D$5000, IF($F$6="TODOS","*",$F$6)))</f>
        <v>-324.81849275362288</v>
      </c>
      <c r="G35" s="20">
        <f t="shared" si="0"/>
        <v>-0.18797366478797617</v>
      </c>
    </row>
    <row r="36" spans="2:7" ht="19.95" customHeight="1" x14ac:dyDescent="0.3">
      <c r="B36" s="17" t="str">
        <f>IFERROR(INDEX('📦 Precios Proforma'!$B$5:$B$104, 17), "")</f>
        <v>18 Pack Pepsi + Roja 500 ML</v>
      </c>
      <c r="C36" s="18">
        <f>IF(B36="","",SUMIFS('📈 Datos Completos'!$E$7:$E$5000, '📈 Datos Completos'!$C$7:$C$5000, B36, '📈 Datos Completos'!$Q$7:$Q$5000, IF($C$6="TODOS","*",$C$6), '📈 Datos Completos'!$D$7:$D$5000, IF($F$6="TODOS","*",$F$6)))</f>
        <v>1080</v>
      </c>
      <c r="D36" s="19">
        <f>IF(B36="","",SUMIFS('📈 Datos Completos'!$K$7:$K$5000, '📈 Datos Completos'!$C$7:$C$5000, B36, '📈 Datos Completos'!$Q$7:$Q$5000, IF($C$6="TODOS","*",$C$6), '📈 Datos Completos'!$D$7:$D$5000, IF($F$6="TODOS","*",$F$6)))</f>
        <v>8496</v>
      </c>
      <c r="E36" s="19">
        <f>IF(B36="","",SUMIFS('📈 Datos Completos'!$N$7:$N$5000, '📈 Datos Completos'!$C$7:$C$5000, B36, '📈 Datos Completos'!$Q$7:$Q$5000, IF($C$6="TODOS","*",$C$6), '📈 Datos Completos'!$D$7:$D$5000, IF($F$6="TODOS","*",$F$6)))</f>
        <v>19223.450930893225</v>
      </c>
      <c r="F36" s="19">
        <f>IF(B36="","",SUMIFS('📈 Datos Completos'!$O$7:$O$5000, '📈 Datos Completos'!$C$7:$C$5000, B36, '📈 Datos Completos'!$Q$7:$Q$5000, IF($C$6="TODOS","*",$C$6), '📈 Datos Completos'!$D$7:$D$5000, IF($F$6="TODOS","*",$F$6)))</f>
        <v>-10727.450930893225</v>
      </c>
      <c r="G36" s="20">
        <f t="shared" si="0"/>
        <v>-1.2626472376286753</v>
      </c>
    </row>
    <row r="37" spans="2:7" ht="19.95" customHeight="1" x14ac:dyDescent="0.3">
      <c r="B37" s="17" t="str">
        <f>IFERROR(INDEX('📦 Precios Proforma'!$B$5:$B$104, 18), "")</f>
        <v>2 Pack Pepsi + Ensa Toronja 3 Lts</v>
      </c>
      <c r="C37" s="18">
        <f>IF(B37="","",SUMIFS('📈 Datos Completos'!$E$7:$E$5000, '📈 Datos Completos'!$C$7:$C$5000, B37, '📈 Datos Completos'!$Q$7:$Q$5000, IF($C$6="TODOS","*",$C$6), '📈 Datos Completos'!$D$7:$D$5000, IF($F$6="TODOS","*",$F$6)))</f>
        <v>0</v>
      </c>
      <c r="D37" s="19">
        <f>IF(B37="","",SUMIFS('📈 Datos Completos'!$K$7:$K$5000, '📈 Datos Completos'!$C$7:$C$5000, B37, '📈 Datos Completos'!$Q$7:$Q$5000, IF($C$6="TODOS","*",$C$6), '📈 Datos Completos'!$D$7:$D$5000, IF($F$6="TODOS","*",$F$6)))</f>
        <v>0</v>
      </c>
      <c r="E37" s="19">
        <f>IF(B37="","",SUMIFS('📈 Datos Completos'!$N$7:$N$5000, '📈 Datos Completos'!$C$7:$C$5000, B37, '📈 Datos Completos'!$Q$7:$Q$5000, IF($C$6="TODOS","*",$C$6), '📈 Datos Completos'!$D$7:$D$5000, IF($F$6="TODOS","*",$F$6)))</f>
        <v>0</v>
      </c>
      <c r="F37" s="19">
        <f>IF(B37="","",SUMIFS('📈 Datos Completos'!$O$7:$O$5000, '📈 Datos Completos'!$C$7:$C$5000, B37, '📈 Datos Completos'!$Q$7:$Q$5000, IF($C$6="TODOS","*",$C$6), '📈 Datos Completos'!$D$7:$D$5000, IF($F$6="TODOS","*",$F$6)))</f>
        <v>0</v>
      </c>
      <c r="G37" s="20">
        <f t="shared" si="0"/>
        <v>0</v>
      </c>
    </row>
    <row r="38" spans="2:7" ht="19.95" customHeight="1" x14ac:dyDescent="0.3">
      <c r="B38" s="17" t="str">
        <f>IFERROR(INDEX('📦 Precios Proforma'!$B$5:$B$104, 19), "")</f>
        <v>2 Pack Pepsi + Mirinda 3 Litro</v>
      </c>
      <c r="C38" s="18">
        <f>IF(B38="","",SUMIFS('📈 Datos Completos'!$E$7:$E$5000, '📈 Datos Completos'!$C$7:$C$5000, B38, '📈 Datos Completos'!$Q$7:$Q$5000, IF($C$6="TODOS","*",$C$6), '📈 Datos Completos'!$D$7:$D$5000, IF($F$6="TODOS","*",$F$6)))</f>
        <v>54</v>
      </c>
      <c r="D38" s="19">
        <f>IF(B38="","",SUMIFS('📈 Datos Completos'!$K$7:$K$5000, '📈 Datos Completos'!$C$7:$C$5000, B38, '📈 Datos Completos'!$Q$7:$Q$5000, IF($C$6="TODOS","*",$C$6), '📈 Datos Completos'!$D$7:$D$5000, IF($F$6="TODOS","*",$F$6)))</f>
        <v>491.18999999999994</v>
      </c>
      <c r="E38" s="19">
        <f>IF(B38="","",SUMIFS('📈 Datos Completos'!$N$7:$N$5000, '📈 Datos Completos'!$C$7:$C$5000, B38, '📈 Datos Completos'!$Q$7:$Q$5000, IF($C$6="TODOS","*",$C$6), '📈 Datos Completos'!$D$7:$D$5000, IF($F$6="TODOS","*",$F$6)))</f>
        <v>4028.5686228260865</v>
      </c>
      <c r="F38" s="19">
        <f>IF(B38="","",SUMIFS('📈 Datos Completos'!$O$7:$O$5000, '📈 Datos Completos'!$C$7:$C$5000, B38, '📈 Datos Completos'!$Q$7:$Q$5000, IF($C$6="TODOS","*",$C$6), '📈 Datos Completos'!$D$7:$D$5000, IF($F$6="TODOS","*",$F$6)))</f>
        <v>-3253.8786228260869</v>
      </c>
      <c r="G38" s="20">
        <f t="shared" si="0"/>
        <v>-6.6244805937134048</v>
      </c>
    </row>
    <row r="39" spans="2:7" ht="19.95" customHeight="1" x14ac:dyDescent="0.3">
      <c r="B39" s="17" t="str">
        <f>IFERROR(INDEX('📦 Precios Proforma'!$B$5:$B$104, 20), "")</f>
        <v>2 Pack Pepsi + Mirinda 3 lts</v>
      </c>
      <c r="C39" s="18">
        <f>IF(B39="","",SUMIFS('📈 Datos Completos'!$E$7:$E$5000, '📈 Datos Completos'!$C$7:$C$5000, B39, '📈 Datos Completos'!$Q$7:$Q$5000, IF($C$6="TODOS","*",$C$6), '📈 Datos Completos'!$D$7:$D$5000, IF($F$6="TODOS","*",$F$6)))</f>
        <v>0</v>
      </c>
      <c r="D39" s="19">
        <f>IF(B39="","",SUMIFS('📈 Datos Completos'!$K$7:$K$5000, '📈 Datos Completos'!$C$7:$C$5000, B39, '📈 Datos Completos'!$Q$7:$Q$5000, IF($C$6="TODOS","*",$C$6), '📈 Datos Completos'!$D$7:$D$5000, IF($F$6="TODOS","*",$F$6)))</f>
        <v>0</v>
      </c>
      <c r="E39" s="19">
        <f>IF(B39="","",SUMIFS('📈 Datos Completos'!$N$7:$N$5000, '📈 Datos Completos'!$C$7:$C$5000, B39, '📈 Datos Completos'!$Q$7:$Q$5000, IF($C$6="TODOS","*",$C$6), '📈 Datos Completos'!$D$7:$D$5000, IF($F$6="TODOS","*",$F$6)))</f>
        <v>0</v>
      </c>
      <c r="F39" s="19">
        <f>IF(B39="","",SUMIFS('📈 Datos Completos'!$O$7:$O$5000, '📈 Datos Completos'!$C$7:$C$5000, B39, '📈 Datos Completos'!$Q$7:$Q$5000, IF($C$6="TODOS","*",$C$6), '📈 Datos Completos'!$D$7:$D$5000, IF($F$6="TODOS","*",$F$6)))</f>
        <v>0</v>
      </c>
      <c r="G39" s="20">
        <f t="shared" si="0"/>
        <v>0</v>
      </c>
    </row>
    <row r="40" spans="2:7" ht="19.95" customHeight="1" x14ac:dyDescent="0.3">
      <c r="B40" s="17" t="str">
        <f>IFERROR(INDEX('📦 Precios Proforma'!$B$5:$B$104, 21), "")</f>
        <v>2 Pack Pepsi + Roja 3 Litro</v>
      </c>
      <c r="C40" s="18">
        <f>IF(B40="","",SUMIFS('📈 Datos Completos'!$E$7:$E$5000, '📈 Datos Completos'!$C$7:$C$5000, B40, '📈 Datos Completos'!$Q$7:$Q$5000, IF($C$6="TODOS","*",$C$6), '📈 Datos Completos'!$D$7:$D$5000, IF($F$6="TODOS","*",$F$6)))</f>
        <v>14919</v>
      </c>
      <c r="D40" s="19">
        <f>IF(B40="","",SUMIFS('📈 Datos Completos'!$K$7:$K$5000, '📈 Datos Completos'!$C$7:$C$5000, B40, '📈 Datos Completos'!$Q$7:$Q$5000, IF($C$6="TODOS","*",$C$6), '📈 Datos Completos'!$D$7:$D$5000, IF($F$6="TODOS","*",$F$6)))</f>
        <v>136938.92000000001</v>
      </c>
      <c r="E40" s="19">
        <f>IF(B40="","",SUMIFS('📈 Datos Completos'!$N$7:$N$5000, '📈 Datos Completos'!$C$7:$C$5000, B40, '📈 Datos Completos'!$Q$7:$Q$5000, IF($C$6="TODOS","*",$C$6), '📈 Datos Completos'!$D$7:$D$5000, IF($F$6="TODOS","*",$F$6)))</f>
        <v>77535.750620821535</v>
      </c>
      <c r="F40" s="19">
        <f>IF(B40="","",SUMIFS('📈 Datos Completos'!$O$7:$O$5000, '📈 Datos Completos'!$C$7:$C$5000, B40, '📈 Datos Completos'!$Q$7:$Q$5000, IF($C$6="TODOS","*",$C$6), '📈 Datos Completos'!$D$7:$D$5000, IF($F$6="TODOS","*",$F$6)))</f>
        <v>59653.316438002017</v>
      </c>
      <c r="G40" s="20">
        <f t="shared" si="0"/>
        <v>0.43561988394535323</v>
      </c>
    </row>
    <row r="41" spans="2:7" ht="19.95" customHeight="1" x14ac:dyDescent="0.3">
      <c r="B41" s="17" t="str">
        <f>IFERROR(INDEX('📦 Precios Proforma'!$B$5:$B$104, 22), "")</f>
        <v>2 Pack Pepsi + Rojita 3 Lts</v>
      </c>
      <c r="C41" s="18">
        <f>IF(B41="","",SUMIFS('📈 Datos Completos'!$E$7:$E$5000, '📈 Datos Completos'!$C$7:$C$5000, B41, '📈 Datos Completos'!$Q$7:$Q$5000, IF($C$6="TODOS","*",$C$6), '📈 Datos Completos'!$D$7:$D$5000, IF($F$6="TODOS","*",$F$6)))</f>
        <v>1788</v>
      </c>
      <c r="D41" s="19">
        <f>IF(B41="","",SUMIFS('📈 Datos Completos'!$K$7:$K$5000, '📈 Datos Completos'!$C$7:$C$5000, B41, '📈 Datos Completos'!$Q$7:$Q$5000, IF($C$6="TODOS","*",$C$6), '📈 Datos Completos'!$D$7:$D$5000, IF($F$6="TODOS","*",$F$6)))</f>
        <v>15890.25</v>
      </c>
      <c r="E41" s="19">
        <f>IF(B41="","",SUMIFS('📈 Datos Completos'!$N$7:$N$5000, '📈 Datos Completos'!$C$7:$C$5000, B41, '📈 Datos Completos'!$Q$7:$Q$5000, IF($C$6="TODOS","*",$C$6), '📈 Datos Completos'!$D$7:$D$5000, IF($F$6="TODOS","*",$F$6)))</f>
        <v>11080.352412394404</v>
      </c>
      <c r="F41" s="19">
        <f>IF(B41="","",SUMIFS('📈 Datos Completos'!$O$7:$O$5000, '📈 Datos Completos'!$C$7:$C$5000, B41, '📈 Datos Completos'!$Q$7:$Q$5000, IF($C$6="TODOS","*",$C$6), '📈 Datos Completos'!$D$7:$D$5000, IF($F$6="TODOS","*",$F$6)))</f>
        <v>4809.8975876055956</v>
      </c>
      <c r="G41" s="20">
        <f t="shared" si="0"/>
        <v>0.3026948970346971</v>
      </c>
    </row>
    <row r="42" spans="2:7" ht="19.95" customHeight="1" x14ac:dyDescent="0.3">
      <c r="B42" s="17" t="str">
        <f>IFERROR(INDEX('📦 Precios Proforma'!$B$5:$B$104, 23), "")</f>
        <v>2 Pack Pepsi + Toronja 3 Litro</v>
      </c>
      <c r="C42" s="18">
        <f>IF(B42="","",SUMIFS('📈 Datos Completos'!$E$7:$E$5000, '📈 Datos Completos'!$C$7:$C$5000, B42, '📈 Datos Completos'!$Q$7:$Q$5000, IF($C$6="TODOS","*",$C$6), '📈 Datos Completos'!$D$7:$D$5000, IF($F$6="TODOS","*",$F$6)))</f>
        <v>1620</v>
      </c>
      <c r="D42" s="19">
        <f>IF(B42="","",SUMIFS('📈 Datos Completos'!$K$7:$K$5000, '📈 Datos Completos'!$C$7:$C$5000, B42, '📈 Datos Completos'!$Q$7:$Q$5000, IF($C$6="TODOS","*",$C$6), '📈 Datos Completos'!$D$7:$D$5000, IF($F$6="TODOS","*",$F$6)))</f>
        <v>13597.2</v>
      </c>
      <c r="E42" s="19">
        <f>IF(B42="","",SUMIFS('📈 Datos Completos'!$N$7:$N$5000, '📈 Datos Completos'!$C$7:$C$5000, B42, '📈 Datos Completos'!$Q$7:$Q$5000, IF($C$6="TODOS","*",$C$6), '📈 Datos Completos'!$D$7:$D$5000, IF($F$6="TODOS","*",$F$6)))</f>
        <v>16529.828627581821</v>
      </c>
      <c r="F42" s="19">
        <f>IF(B42="","",SUMIFS('📈 Datos Completos'!$O$7:$O$5000, '📈 Datos Completos'!$C$7:$C$5000, B42, '📈 Datos Completos'!$Q$7:$Q$5000, IF($C$6="TODOS","*",$C$6), '📈 Datos Completos'!$D$7:$D$5000, IF($F$6="TODOS","*",$F$6)))</f>
        <v>-2932.6286275818215</v>
      </c>
      <c r="G42" s="20">
        <f t="shared" si="0"/>
        <v>-0.21567886238209494</v>
      </c>
    </row>
    <row r="43" spans="2:7" ht="19.95" customHeight="1" x14ac:dyDescent="0.3">
      <c r="B43" s="17" t="str">
        <f>IFERROR(INDEX('📦 Precios Proforma'!$B$5:$B$104, 24), "")</f>
        <v>24 Pack Gatorade Surtido</v>
      </c>
      <c r="C43" s="18">
        <f>IF(B43="","",SUMIFS('📈 Datos Completos'!$E$7:$E$5000, '📈 Datos Completos'!$C$7:$C$5000, B43, '📈 Datos Completos'!$Q$7:$Q$5000, IF($C$6="TODOS","*",$C$6), '📈 Datos Completos'!$D$7:$D$5000, IF($F$6="TODOS","*",$F$6)))</f>
        <v>2570</v>
      </c>
      <c r="D43" s="19">
        <f>IF(B43="","",SUMIFS('📈 Datos Completos'!$K$7:$K$5000, '📈 Datos Completos'!$C$7:$C$5000, B43, '📈 Datos Completos'!$Q$7:$Q$5000, IF($C$6="TODOS","*",$C$6), '📈 Datos Completos'!$D$7:$D$5000, IF($F$6="TODOS","*",$F$6)))</f>
        <v>20424</v>
      </c>
      <c r="E43" s="19">
        <f>IF(B43="","",SUMIFS('📈 Datos Completos'!$N$7:$N$5000, '📈 Datos Completos'!$C$7:$C$5000, B43, '📈 Datos Completos'!$Q$7:$Q$5000, IF($C$6="TODOS","*",$C$6), '📈 Datos Completos'!$D$7:$D$5000, IF($F$6="TODOS","*",$F$6)))</f>
        <v>16133.016763267531</v>
      </c>
      <c r="F43" s="19">
        <f>IF(B43="","",SUMIFS('📈 Datos Completos'!$O$7:$O$5000, '📈 Datos Completos'!$C$7:$C$5000, B43, '📈 Datos Completos'!$Q$7:$Q$5000, IF($C$6="TODOS","*",$C$6), '📈 Datos Completos'!$D$7:$D$5000, IF($F$6="TODOS","*",$F$6)))</f>
        <v>4290.9832367324689</v>
      </c>
      <c r="G43" s="20">
        <f t="shared" si="0"/>
        <v>0.21009514476755137</v>
      </c>
    </row>
    <row r="44" spans="2:7" ht="19.95" customHeight="1" x14ac:dyDescent="0.3">
      <c r="B44" s="17" t="str">
        <f>IFERROR(INDEX('📦 Precios Proforma'!$B$5:$B$104, 25), "")</f>
        <v>24 PACK GATORADE SURTIDO 500ML</v>
      </c>
      <c r="C44" s="18">
        <f>IF(B44="","",SUMIFS('📈 Datos Completos'!$E$7:$E$5000, '📈 Datos Completos'!$C$7:$C$5000, B44, '📈 Datos Completos'!$Q$7:$Q$5000, IF($C$6="TODOS","*",$C$6), '📈 Datos Completos'!$D$7:$D$5000, IF($F$6="TODOS","*",$F$6)))</f>
        <v>0</v>
      </c>
      <c r="D44" s="19">
        <f>IF(B44="","",SUMIFS('📈 Datos Completos'!$K$7:$K$5000, '📈 Datos Completos'!$C$7:$C$5000, B44, '📈 Datos Completos'!$Q$7:$Q$5000, IF($C$6="TODOS","*",$C$6), '📈 Datos Completos'!$D$7:$D$5000, IF($F$6="TODOS","*",$F$6)))</f>
        <v>0</v>
      </c>
      <c r="E44" s="19">
        <f>IF(B44="","",SUMIFS('📈 Datos Completos'!$N$7:$N$5000, '📈 Datos Completos'!$C$7:$C$5000, B44, '📈 Datos Completos'!$Q$7:$Q$5000, IF($C$6="TODOS","*",$C$6), '📈 Datos Completos'!$D$7:$D$5000, IF($F$6="TODOS","*",$F$6)))</f>
        <v>0</v>
      </c>
      <c r="F44" s="19">
        <f>IF(B44="","",SUMIFS('📈 Datos Completos'!$O$7:$O$5000, '📈 Datos Completos'!$C$7:$C$5000, B44, '📈 Datos Completos'!$Q$7:$Q$5000, IF($C$6="TODOS","*",$C$6), '📈 Datos Completos'!$D$7:$D$5000, IF($F$6="TODOS","*",$F$6)))</f>
        <v>0</v>
      </c>
      <c r="G44" s="20">
        <f t="shared" si="0"/>
        <v>0</v>
      </c>
    </row>
    <row r="45" spans="2:7" ht="19.95" customHeight="1" x14ac:dyDescent="0.3">
      <c r="B45" s="17" t="str">
        <f>IFERROR(INDEX('📦 Precios Proforma'!$B$5:$B$104, 26), "")</f>
        <v>24 Pack Gatorade Surtido 600 ML</v>
      </c>
      <c r="C45" s="18">
        <f>IF(B45="","",SUMIFS('📈 Datos Completos'!$E$7:$E$5000, '📈 Datos Completos'!$C$7:$C$5000, B45, '📈 Datos Completos'!$Q$7:$Q$5000, IF($C$6="TODOS","*",$C$6), '📈 Datos Completos'!$D$7:$D$5000, IF($F$6="TODOS","*",$F$6)))</f>
        <v>720</v>
      </c>
      <c r="D45" s="19">
        <f>IF(B45="","",SUMIFS('📈 Datos Completos'!$K$7:$K$5000, '📈 Datos Completos'!$C$7:$C$5000, B45, '📈 Datos Completos'!$Q$7:$Q$5000, IF($C$6="TODOS","*",$C$6), '📈 Datos Completos'!$D$7:$D$5000, IF($F$6="TODOS","*",$F$6)))</f>
        <v>6336</v>
      </c>
      <c r="E45" s="19">
        <f>IF(B45="","",SUMIFS('📈 Datos Completos'!$N$7:$N$5000, '📈 Datos Completos'!$C$7:$C$5000, B45, '📈 Datos Completos'!$Q$7:$Q$5000, IF($C$6="TODOS","*",$C$6), '📈 Datos Completos'!$D$7:$D$5000, IF($F$6="TODOS","*",$F$6)))</f>
        <v>6384.9741613355609</v>
      </c>
      <c r="F45" s="19">
        <f>IF(B45="","",SUMIFS('📈 Datos Completos'!$O$7:$O$5000, '📈 Datos Completos'!$C$7:$C$5000, B45, '📈 Datos Completos'!$Q$7:$Q$5000, IF($C$6="TODOS","*",$C$6), '📈 Datos Completos'!$D$7:$D$5000, IF($F$6="TODOS","*",$F$6)))</f>
        <v>-48.974161335560666</v>
      </c>
      <c r="G45" s="20">
        <f t="shared" si="0"/>
        <v>-7.7295077865468225E-3</v>
      </c>
    </row>
    <row r="46" spans="2:7" ht="19.95" customHeight="1" x14ac:dyDescent="0.3">
      <c r="B46" s="17" t="str">
        <f>IFERROR(INDEX('📦 Precios Proforma'!$B$5:$B$104, 27), "")</f>
        <v>24 PACK PEPSI BLACK + SABORES 355ML LATA</v>
      </c>
      <c r="C46" s="18">
        <f>IF(B46="","",SUMIFS('📈 Datos Completos'!$E$7:$E$5000, '📈 Datos Completos'!$C$7:$C$5000, B46, '📈 Datos Completos'!$Q$7:$Q$5000, IF($C$6="TODOS","*",$C$6), '📈 Datos Completos'!$D$7:$D$5000, IF($F$6="TODOS","*",$F$6)))</f>
        <v>0</v>
      </c>
      <c r="D46" s="19">
        <f>IF(B46="","",SUMIFS('📈 Datos Completos'!$K$7:$K$5000, '📈 Datos Completos'!$C$7:$C$5000, B46, '📈 Datos Completos'!$Q$7:$Q$5000, IF($C$6="TODOS","*",$C$6), '📈 Datos Completos'!$D$7:$D$5000, IF($F$6="TODOS","*",$F$6)))</f>
        <v>0</v>
      </c>
      <c r="E46" s="19">
        <f>IF(B46="","",SUMIFS('📈 Datos Completos'!$N$7:$N$5000, '📈 Datos Completos'!$C$7:$C$5000, B46, '📈 Datos Completos'!$Q$7:$Q$5000, IF($C$6="TODOS","*",$C$6), '📈 Datos Completos'!$D$7:$D$5000, IF($F$6="TODOS","*",$F$6)))</f>
        <v>0</v>
      </c>
      <c r="F46" s="19">
        <f>IF(B46="","",SUMIFS('📈 Datos Completos'!$O$7:$O$5000, '📈 Datos Completos'!$C$7:$C$5000, B46, '📈 Datos Completos'!$Q$7:$Q$5000, IF($C$6="TODOS","*",$C$6), '📈 Datos Completos'!$D$7:$D$5000, IF($F$6="TODOS","*",$F$6)))</f>
        <v>0</v>
      </c>
      <c r="G46" s="20">
        <f t="shared" si="0"/>
        <v>0</v>
      </c>
    </row>
    <row r="47" spans="2:7" ht="19.95" customHeight="1" x14ac:dyDescent="0.3">
      <c r="B47" s="17" t="str">
        <f>IFERROR(INDEX('📦 Precios Proforma'!$B$5:$B$104, 28), "")</f>
        <v>24 Pack pepsi Black lata</v>
      </c>
      <c r="C47" s="18">
        <f>IF(B47="","",SUMIFS('📈 Datos Completos'!$E$7:$E$5000, '📈 Datos Completos'!$C$7:$C$5000, B47, '📈 Datos Completos'!$Q$7:$Q$5000, IF($C$6="TODOS","*",$C$6), '📈 Datos Completos'!$D$7:$D$5000, IF($F$6="TODOS","*",$F$6)))</f>
        <v>0</v>
      </c>
      <c r="D47" s="19">
        <f>IF(B47="","",SUMIFS('📈 Datos Completos'!$K$7:$K$5000, '📈 Datos Completos'!$C$7:$C$5000, B47, '📈 Datos Completos'!$Q$7:$Q$5000, IF($C$6="TODOS","*",$C$6), '📈 Datos Completos'!$D$7:$D$5000, IF($F$6="TODOS","*",$F$6)))</f>
        <v>0</v>
      </c>
      <c r="E47" s="19">
        <f>IF(B47="","",SUMIFS('📈 Datos Completos'!$N$7:$N$5000, '📈 Datos Completos'!$C$7:$C$5000, B47, '📈 Datos Completos'!$Q$7:$Q$5000, IF($C$6="TODOS","*",$C$6), '📈 Datos Completos'!$D$7:$D$5000, IF($F$6="TODOS","*",$F$6)))</f>
        <v>0</v>
      </c>
      <c r="F47" s="19">
        <f>IF(B47="","",SUMIFS('📈 Datos Completos'!$O$7:$O$5000, '📈 Datos Completos'!$C$7:$C$5000, B47, '📈 Datos Completos'!$Q$7:$Q$5000, IF($C$6="TODOS","*",$C$6), '📈 Datos Completos'!$D$7:$D$5000, IF($F$6="TODOS","*",$F$6)))</f>
        <v>0</v>
      </c>
      <c r="G47" s="20">
        <f t="shared" si="0"/>
        <v>0</v>
      </c>
    </row>
    <row r="48" spans="2:7" ht="19.95" customHeight="1" x14ac:dyDescent="0.3">
      <c r="B48" s="17" t="str">
        <f>IFERROR(INDEX('📦 Precios Proforma'!$B$5:$B$104, 29), "")</f>
        <v>24 Pack Soda Ensa Lata</v>
      </c>
      <c r="C48" s="18">
        <f>IF(B48="","",SUMIFS('📈 Datos Completos'!$E$7:$E$5000, '📈 Datos Completos'!$C$7:$C$5000, B48, '📈 Datos Completos'!$Q$7:$Q$5000, IF($C$6="TODOS","*",$C$6), '📈 Datos Completos'!$D$7:$D$5000, IF($F$6="TODOS","*",$F$6)))</f>
        <v>0</v>
      </c>
      <c r="D48" s="19">
        <f>IF(B48="","",SUMIFS('📈 Datos Completos'!$K$7:$K$5000, '📈 Datos Completos'!$C$7:$C$5000, B48, '📈 Datos Completos'!$Q$7:$Q$5000, IF($C$6="TODOS","*",$C$6), '📈 Datos Completos'!$D$7:$D$5000, IF($F$6="TODOS","*",$F$6)))</f>
        <v>0</v>
      </c>
      <c r="E48" s="19">
        <f>IF(B48="","",SUMIFS('📈 Datos Completos'!$N$7:$N$5000, '📈 Datos Completos'!$C$7:$C$5000, B48, '📈 Datos Completos'!$Q$7:$Q$5000, IF($C$6="TODOS","*",$C$6), '📈 Datos Completos'!$D$7:$D$5000, IF($F$6="TODOS","*",$F$6)))</f>
        <v>0</v>
      </c>
      <c r="F48" s="19">
        <f>IF(B48="","",SUMIFS('📈 Datos Completos'!$O$7:$O$5000, '📈 Datos Completos'!$C$7:$C$5000, B48, '📈 Datos Completos'!$Q$7:$Q$5000, IF($C$6="TODOS","*",$C$6), '📈 Datos Completos'!$D$7:$D$5000, IF($F$6="TODOS","*",$F$6)))</f>
        <v>0</v>
      </c>
      <c r="G48" s="20">
        <f t="shared" si="0"/>
        <v>0</v>
      </c>
    </row>
    <row r="49" spans="2:7" ht="19.95" customHeight="1" x14ac:dyDescent="0.3">
      <c r="B49" s="17" t="str">
        <f>IFERROR(INDEX('📦 Precios Proforma'!$B$5:$B$104, 30), "")</f>
        <v>3 Pack Pepsi + Ensa Toronja 3 Lts</v>
      </c>
      <c r="C49" s="18">
        <f>IF(B49="","",SUMIFS('📈 Datos Completos'!$E$7:$E$5000, '📈 Datos Completos'!$C$7:$C$5000, B49, '📈 Datos Completos'!$Q$7:$Q$5000, IF($C$6="TODOS","*",$C$6), '📈 Datos Completos'!$D$7:$D$5000, IF($F$6="TODOS","*",$F$6)))</f>
        <v>0</v>
      </c>
      <c r="D49" s="19">
        <f>IF(B49="","",SUMIFS('📈 Datos Completos'!$K$7:$K$5000, '📈 Datos Completos'!$C$7:$C$5000, B49, '📈 Datos Completos'!$Q$7:$Q$5000, IF($C$6="TODOS","*",$C$6), '📈 Datos Completos'!$D$7:$D$5000, IF($F$6="TODOS","*",$F$6)))</f>
        <v>0</v>
      </c>
      <c r="E49" s="19">
        <f>IF(B49="","",SUMIFS('📈 Datos Completos'!$N$7:$N$5000, '📈 Datos Completos'!$C$7:$C$5000, B49, '📈 Datos Completos'!$Q$7:$Q$5000, IF($C$6="TODOS","*",$C$6), '📈 Datos Completos'!$D$7:$D$5000, IF($F$6="TODOS","*",$F$6)))</f>
        <v>0</v>
      </c>
      <c r="F49" s="19">
        <f>IF(B49="","",SUMIFS('📈 Datos Completos'!$O$7:$O$5000, '📈 Datos Completos'!$C$7:$C$5000, B49, '📈 Datos Completos'!$Q$7:$Q$5000, IF($C$6="TODOS","*",$C$6), '📈 Datos Completos'!$D$7:$D$5000, IF($F$6="TODOS","*",$F$6)))</f>
        <v>0</v>
      </c>
      <c r="G49" s="20">
        <f t="shared" si="0"/>
        <v>0</v>
      </c>
    </row>
    <row r="50" spans="2:7" ht="19.95" customHeight="1" x14ac:dyDescent="0.3">
      <c r="B50" s="17" t="str">
        <f>IFERROR(INDEX('📦 Precios Proforma'!$B$5:$B$104, 31), "")</f>
        <v>3 Pack Pepsi + Roja + Campestre</v>
      </c>
      <c r="C50" s="18">
        <f>IF(B50="","",SUMIFS('📈 Datos Completos'!$E$7:$E$5000, '📈 Datos Completos'!$C$7:$C$5000, B50, '📈 Datos Completos'!$Q$7:$Q$5000, IF($C$6="TODOS","*",$C$6), '📈 Datos Completos'!$D$7:$D$5000, IF($F$6="TODOS","*",$F$6)))</f>
        <v>6776</v>
      </c>
      <c r="D50" s="19">
        <f>IF(B50="","",SUMIFS('📈 Datos Completos'!$K$7:$K$5000, '📈 Datos Completos'!$C$7:$C$5000, B50, '📈 Datos Completos'!$Q$7:$Q$5000, IF($C$6="TODOS","*",$C$6), '📈 Datos Completos'!$D$7:$D$5000, IF($F$6="TODOS","*",$F$6)))</f>
        <v>61827.319999999992</v>
      </c>
      <c r="E50" s="19">
        <f>IF(B50="","",SUMIFS('📈 Datos Completos'!$N$7:$N$5000, '📈 Datos Completos'!$C$7:$C$5000, B50, '📈 Datos Completos'!$Q$7:$Q$5000, IF($C$6="TODOS","*",$C$6), '📈 Datos Completos'!$D$7:$D$5000, IF($F$6="TODOS","*",$F$6)))</f>
        <v>38463.83061408902</v>
      </c>
      <c r="F50" s="19">
        <f>IF(B50="","",SUMIFS('📈 Datos Completos'!$O$7:$O$5000, '📈 Datos Completos'!$C$7:$C$5000, B50, '📈 Datos Completos'!$Q$7:$Q$5000, IF($C$6="TODOS","*",$C$6), '📈 Datos Completos'!$D$7:$D$5000, IF($F$6="TODOS","*",$F$6)))</f>
        <v>28043.862000102185</v>
      </c>
      <c r="G50" s="20">
        <f t="shared" si="0"/>
        <v>0.45358365848790128</v>
      </c>
    </row>
    <row r="51" spans="2:7" ht="19.95" customHeight="1" x14ac:dyDescent="0.3">
      <c r="B51" s="17" t="str">
        <f>IFERROR(INDEX('📦 Precios Proforma'!$B$5:$B$104, 32), "")</f>
        <v>3 Pack Pepsi + Roja + Campestre 3 Litro</v>
      </c>
      <c r="C51" s="18">
        <f>IF(B51="","",SUMIFS('📈 Datos Completos'!$E$7:$E$5000, '📈 Datos Completos'!$C$7:$C$5000, B51, '📈 Datos Completos'!$Q$7:$Q$5000, IF($C$6="TODOS","*",$C$6), '📈 Datos Completos'!$D$7:$D$5000, IF($F$6="TODOS","*",$F$6)))</f>
        <v>1930</v>
      </c>
      <c r="D51" s="19">
        <f>IF(B51="","",SUMIFS('📈 Datos Completos'!$K$7:$K$5000, '📈 Datos Completos'!$C$7:$C$5000, B51, '📈 Datos Completos'!$Q$7:$Q$5000, IF($C$6="TODOS","*",$C$6), '📈 Datos Completos'!$D$7:$D$5000, IF($F$6="TODOS","*",$F$6)))</f>
        <v>17554</v>
      </c>
      <c r="E51" s="19">
        <f>IF(B51="","",SUMIFS('📈 Datos Completos'!$N$7:$N$5000, '📈 Datos Completos'!$C$7:$C$5000, B51, '📈 Datos Completos'!$Q$7:$Q$5000, IF($C$6="TODOS","*",$C$6), '📈 Datos Completos'!$D$7:$D$5000, IF($F$6="TODOS","*",$F$6)))</f>
        <v>10209.156238224929</v>
      </c>
      <c r="F51" s="19">
        <f>IF(B51="","",SUMIFS('📈 Datos Completos'!$O$7:$O$5000, '📈 Datos Completos'!$C$7:$C$5000, B51, '📈 Datos Completos'!$Q$7:$Q$5000, IF($C$6="TODOS","*",$C$6), '📈 Datos Completos'!$D$7:$D$5000, IF($F$6="TODOS","*",$F$6)))</f>
        <v>7344.8437617750715</v>
      </c>
      <c r="G51" s="20">
        <f t="shared" si="0"/>
        <v>0.41841425098411028</v>
      </c>
    </row>
    <row r="52" spans="2:7" ht="19.95" customHeight="1" x14ac:dyDescent="0.3">
      <c r="B52" s="17" t="str">
        <f>IFERROR(INDEX('📦 Precios Proforma'!$B$5:$B$104, 33), "")</f>
        <v>3 Pack Pepsi + Roja  3 Litro</v>
      </c>
      <c r="C52" s="18">
        <f>IF(B52="","",SUMIFS('📈 Datos Completos'!$E$7:$E$5000, '📈 Datos Completos'!$C$7:$C$5000, B52, '📈 Datos Completos'!$Q$7:$Q$5000, IF($C$6="TODOS","*",$C$6), '📈 Datos Completos'!$D$7:$D$5000, IF($F$6="TODOS","*",$F$6)))</f>
        <v>0</v>
      </c>
      <c r="D52" s="19">
        <f>IF(B52="","",SUMIFS('📈 Datos Completos'!$K$7:$K$5000, '📈 Datos Completos'!$C$7:$C$5000, B52, '📈 Datos Completos'!$Q$7:$Q$5000, IF($C$6="TODOS","*",$C$6), '📈 Datos Completos'!$D$7:$D$5000, IF($F$6="TODOS","*",$F$6)))</f>
        <v>0</v>
      </c>
      <c r="E52" s="19">
        <f>IF(B52="","",SUMIFS('📈 Datos Completos'!$N$7:$N$5000, '📈 Datos Completos'!$C$7:$C$5000, B52, '📈 Datos Completos'!$Q$7:$Q$5000, IF($C$6="TODOS","*",$C$6), '📈 Datos Completos'!$D$7:$D$5000, IF($F$6="TODOS","*",$F$6)))</f>
        <v>0</v>
      </c>
      <c r="F52" s="19">
        <f>IF(B52="","",SUMIFS('📈 Datos Completos'!$O$7:$O$5000, '📈 Datos Completos'!$C$7:$C$5000, B52, '📈 Datos Completos'!$Q$7:$Q$5000, IF($C$6="TODOS","*",$C$6), '📈 Datos Completos'!$D$7:$D$5000, IF($F$6="TODOS","*",$F$6)))</f>
        <v>0</v>
      </c>
      <c r="G52" s="20">
        <f t="shared" ref="G52:G83" si="1">IF(B52="","",IF(D52=0,0,F52/D52))</f>
        <v>0</v>
      </c>
    </row>
    <row r="53" spans="2:7" ht="19.95" customHeight="1" x14ac:dyDescent="0.3">
      <c r="B53" s="17" t="str">
        <f>IFERROR(INDEX('📦 Precios Proforma'!$B$5:$B$104, 34), "")</f>
        <v>3 Pack Pepsi + Rojita + Toronja 3 Lts</v>
      </c>
      <c r="C53" s="18">
        <f>IF(B53="","",SUMIFS('📈 Datos Completos'!$E$7:$E$5000, '📈 Datos Completos'!$C$7:$C$5000, B53, '📈 Datos Completos'!$Q$7:$Q$5000, IF($C$6="TODOS","*",$C$6), '📈 Datos Completos'!$D$7:$D$5000, IF($F$6="TODOS","*",$F$6)))</f>
        <v>60</v>
      </c>
      <c r="D53" s="19">
        <f>IF(B53="","",SUMIFS('📈 Datos Completos'!$K$7:$K$5000, '📈 Datos Completos'!$C$7:$C$5000, B53, '📈 Datos Completos'!$Q$7:$Q$5000, IF($C$6="TODOS","*",$C$6), '📈 Datos Completos'!$D$7:$D$5000, IF($F$6="TODOS","*",$F$6)))</f>
        <v>513.6</v>
      </c>
      <c r="E53" s="19">
        <f>IF(B53="","",SUMIFS('📈 Datos Completos'!$N$7:$N$5000, '📈 Datos Completos'!$C$7:$C$5000, B53, '📈 Datos Completos'!$Q$7:$Q$5000, IF($C$6="TODOS","*",$C$6), '📈 Datos Completos'!$D$7:$D$5000, IF($F$6="TODOS","*",$F$6)))</f>
        <v>186.09620652173913</v>
      </c>
      <c r="F53" s="19">
        <f>IF(B53="","",SUMIFS('📈 Datos Completos'!$O$7:$O$5000, '📈 Datos Completos'!$C$7:$C$5000, B53, '📈 Datos Completos'!$Q$7:$Q$5000, IF($C$6="TODOS","*",$C$6), '📈 Datos Completos'!$D$7:$D$5000, IF($F$6="TODOS","*",$F$6)))</f>
        <v>327.50379347826089</v>
      </c>
      <c r="G53" s="20">
        <f t="shared" si="1"/>
        <v>0.63766314929567924</v>
      </c>
    </row>
    <row r="54" spans="2:7" ht="19.95" customHeight="1" x14ac:dyDescent="0.3">
      <c r="B54" s="17" t="str">
        <f>IFERROR(INDEX('📦 Precios Proforma'!$B$5:$B$104, 35), "")</f>
        <v>3 Pack Pepsi + Rojita + Ensa Toronja 3 Lts</v>
      </c>
      <c r="C54" s="18">
        <f>IF(B54="","",SUMIFS('📈 Datos Completos'!$E$7:$E$5000, '📈 Datos Completos'!$C$7:$C$5000, B54, '📈 Datos Completos'!$Q$7:$Q$5000, IF($C$6="TODOS","*",$C$6), '📈 Datos Completos'!$D$7:$D$5000, IF($F$6="TODOS","*",$F$6)))</f>
        <v>160</v>
      </c>
      <c r="D54" s="19">
        <f>IF(B54="","",SUMIFS('📈 Datos Completos'!$K$7:$K$5000, '📈 Datos Completos'!$C$7:$C$5000, B54, '📈 Datos Completos'!$Q$7:$Q$5000, IF($C$6="TODOS","*",$C$6), '📈 Datos Completos'!$D$7:$D$5000, IF($F$6="TODOS","*",$F$6)))</f>
        <v>1369.6</v>
      </c>
      <c r="E54" s="19">
        <f>IF(B54="","",SUMIFS('📈 Datos Completos'!$N$7:$N$5000, '📈 Datos Completos'!$C$7:$C$5000, B54, '📈 Datos Completos'!$Q$7:$Q$5000, IF($C$6="TODOS","*",$C$6), '📈 Datos Completos'!$D$7:$D$5000, IF($F$6="TODOS","*",$F$6)))</f>
        <v>1255.1193669634026</v>
      </c>
      <c r="F54" s="19">
        <f>IF(B54="","",SUMIFS('📈 Datos Completos'!$O$7:$O$5000, '📈 Datos Completos'!$C$7:$C$5000, B54, '📈 Datos Completos'!$Q$7:$Q$5000, IF($C$6="TODOS","*",$C$6), '📈 Datos Completos'!$D$7:$D$5000, IF($F$6="TODOS","*",$F$6)))</f>
        <v>114.48063303659728</v>
      </c>
      <c r="G54" s="20">
        <f t="shared" si="1"/>
        <v>8.3586910803590306E-2</v>
      </c>
    </row>
    <row r="55" spans="2:7" ht="19.95" customHeight="1" x14ac:dyDescent="0.3">
      <c r="B55" s="17" t="str">
        <f>IFERROR(INDEX('📦 Precios Proforma'!$B$5:$B$104, 36), "")</f>
        <v>4 Pack Gatorade Surtido 500 ML</v>
      </c>
      <c r="C55" s="18">
        <f>IF(B55="","",SUMIFS('📈 Datos Completos'!$E$7:$E$5000, '📈 Datos Completos'!$C$7:$C$5000, B55, '📈 Datos Completos'!$Q$7:$Q$5000, IF($C$6="TODOS","*",$C$6), '📈 Datos Completos'!$D$7:$D$5000, IF($F$6="TODOS","*",$F$6)))</f>
        <v>873</v>
      </c>
      <c r="D55" s="19">
        <f>IF(B55="","",SUMIFS('📈 Datos Completos'!$K$7:$K$5000, '📈 Datos Completos'!$C$7:$C$5000, B55, '📈 Datos Completos'!$Q$7:$Q$5000, IF($C$6="TODOS","*",$C$6), '📈 Datos Completos'!$D$7:$D$5000, IF($F$6="TODOS","*",$F$6)))</f>
        <v>6246.27</v>
      </c>
      <c r="E55" s="19">
        <f>IF(B55="","",SUMIFS('📈 Datos Completos'!$N$7:$N$5000, '📈 Datos Completos'!$C$7:$C$5000, B55, '📈 Datos Completos'!$Q$7:$Q$5000, IF($C$6="TODOS","*",$C$6), '📈 Datos Completos'!$D$7:$D$5000, IF($F$6="TODOS","*",$F$6)))</f>
        <v>6562.8629671027984</v>
      </c>
      <c r="F55" s="19">
        <f>IF(B55="","",SUMIFS('📈 Datos Completos'!$O$7:$O$5000, '📈 Datos Completos'!$C$7:$C$5000, B55, '📈 Datos Completos'!$Q$7:$Q$5000, IF($C$6="TODOS","*",$C$6), '📈 Datos Completos'!$D$7:$D$5000, IF($F$6="TODOS","*",$F$6)))</f>
        <v>-316.59296710279875</v>
      </c>
      <c r="G55" s="20">
        <f t="shared" si="1"/>
        <v>-5.0685123618223152E-2</v>
      </c>
    </row>
    <row r="56" spans="2:7" ht="19.95" customHeight="1" x14ac:dyDescent="0.3">
      <c r="B56" s="17" t="str">
        <f>IFERROR(INDEX('📦 Precios Proforma'!$B$5:$B$104, 37), "")</f>
        <v>4 Pack Pepsi + Roja</v>
      </c>
      <c r="C56" s="18">
        <f>IF(B56="","",SUMIFS('📈 Datos Completos'!$E$7:$E$5000, '📈 Datos Completos'!$C$7:$C$5000, B56, '📈 Datos Completos'!$Q$7:$Q$5000, IF($C$6="TODOS","*",$C$6), '📈 Datos Completos'!$D$7:$D$5000, IF($F$6="TODOS","*",$F$6)))</f>
        <v>165</v>
      </c>
      <c r="D56" s="19">
        <f>IF(B56="","",SUMIFS('📈 Datos Completos'!$K$7:$K$5000, '📈 Datos Completos'!$C$7:$C$5000, B56, '📈 Datos Completos'!$Q$7:$Q$5000, IF($C$6="TODOS","*",$C$6), '📈 Datos Completos'!$D$7:$D$5000, IF($F$6="TODOS","*",$F$6)))</f>
        <v>2108.6999999999998</v>
      </c>
      <c r="E56" s="19">
        <f>IF(B56="","",SUMIFS('📈 Datos Completos'!$N$7:$N$5000, '📈 Datos Completos'!$C$7:$C$5000, B56, '📈 Datos Completos'!$Q$7:$Q$5000, IF($C$6="TODOS","*",$C$6), '📈 Datos Completos'!$D$7:$D$5000, IF($F$6="TODOS","*",$F$6)))</f>
        <v>782.9626240208878</v>
      </c>
      <c r="F56" s="19">
        <f>IF(B56="","",SUMIFS('📈 Datos Completos'!$O$7:$O$5000, '📈 Datos Completos'!$C$7:$C$5000, B56, '📈 Datos Completos'!$Q$7:$Q$5000, IF($C$6="TODOS","*",$C$6), '📈 Datos Completos'!$D$7:$D$5000, IF($F$6="TODOS","*",$F$6)))</f>
        <v>1325.7373759791121</v>
      </c>
      <c r="G56" s="20">
        <f t="shared" si="1"/>
        <v>0.62869890263153239</v>
      </c>
    </row>
    <row r="57" spans="2:7" ht="19.95" customHeight="1" x14ac:dyDescent="0.3">
      <c r="B57" s="17" t="str">
        <f>IFERROR(INDEX('📦 Precios Proforma'!$B$5:$B$104, 38), "")</f>
        <v>4 Pack Pepsi + Roja + Toronja</v>
      </c>
      <c r="C57" s="18">
        <f>IF(B57="","",SUMIFS('📈 Datos Completos'!$E$7:$E$5000, '📈 Datos Completos'!$C$7:$C$5000, B57, '📈 Datos Completos'!$Q$7:$Q$5000, IF($C$6="TODOS","*",$C$6), '📈 Datos Completos'!$D$7:$D$5000, IF($F$6="TODOS","*",$F$6)))</f>
        <v>6597</v>
      </c>
      <c r="D57" s="19">
        <f>IF(B57="","",SUMIFS('📈 Datos Completos'!$K$7:$K$5000, '📈 Datos Completos'!$C$7:$C$5000, B57, '📈 Datos Completos'!$Q$7:$Q$5000, IF($C$6="TODOS","*",$C$6), '📈 Datos Completos'!$D$7:$D$5000, IF($F$6="TODOS","*",$F$6)))</f>
        <v>85485.660000000018</v>
      </c>
      <c r="E57" s="19">
        <f>IF(B57="","",SUMIFS('📈 Datos Completos'!$N$7:$N$5000, '📈 Datos Completos'!$C$7:$C$5000, B57, '📈 Datos Completos'!$Q$7:$Q$5000, IF($C$6="TODOS","*",$C$6), '📈 Datos Completos'!$D$7:$D$5000, IF($F$6="TODOS","*",$F$6)))</f>
        <v>54519.363102075833</v>
      </c>
      <c r="F57" s="19">
        <f>IF(B57="","",SUMIFS('📈 Datos Completos'!$O$7:$O$5000, '📈 Datos Completos'!$C$7:$C$5000, B57, '📈 Datos Completos'!$Q$7:$Q$5000, IF($C$6="TODOS","*",$C$6), '📈 Datos Completos'!$D$7:$D$5000, IF($F$6="TODOS","*",$F$6)))</f>
        <v>31872.077530335235</v>
      </c>
      <c r="G57" s="20">
        <f t="shared" si="1"/>
        <v>0.37283536829844011</v>
      </c>
    </row>
    <row r="58" spans="2:7" ht="19.95" customHeight="1" x14ac:dyDescent="0.3">
      <c r="B58" s="17" t="str">
        <f>IFERROR(INDEX('📦 Precios Proforma'!$B$5:$B$104, 39), "")</f>
        <v>4 Pack Pepsi + Rojita + Toronja 3 lts</v>
      </c>
      <c r="C58" s="18">
        <f>IF(B58="","",SUMIFS('📈 Datos Completos'!$E$7:$E$5000, '📈 Datos Completos'!$C$7:$C$5000, B58, '📈 Datos Completos'!$Q$7:$Q$5000, IF($C$6="TODOS","*",$C$6), '📈 Datos Completos'!$D$7:$D$5000, IF($F$6="TODOS","*",$F$6)))</f>
        <v>1007</v>
      </c>
      <c r="D58" s="19">
        <f>IF(B58="","",SUMIFS('📈 Datos Completos'!$K$7:$K$5000, '📈 Datos Completos'!$C$7:$C$5000, B58, '📈 Datos Completos'!$Q$7:$Q$5000, IF($C$6="TODOS","*",$C$6), '📈 Datos Completos'!$D$7:$D$5000, IF($F$6="TODOS","*",$F$6)))</f>
        <v>11328.66</v>
      </c>
      <c r="E58" s="19">
        <f>IF(B58="","",SUMIFS('📈 Datos Completos'!$N$7:$N$5000, '📈 Datos Completos'!$C$7:$C$5000, B58, '📈 Datos Completos'!$Q$7:$Q$5000, IF($C$6="TODOS","*",$C$6), '📈 Datos Completos'!$D$7:$D$5000, IF($F$6="TODOS","*",$F$6)))</f>
        <v>8522.3571601743824</v>
      </c>
      <c r="F58" s="19">
        <f>IF(B58="","",SUMIFS('📈 Datos Completos'!$O$7:$O$5000, '📈 Datos Completos'!$C$7:$C$5000, B58, '📈 Datos Completos'!$Q$7:$Q$5000, IF($C$6="TODOS","*",$C$6), '📈 Datos Completos'!$D$7:$D$5000, IF($F$6="TODOS","*",$F$6)))</f>
        <v>2806.3028398256188</v>
      </c>
      <c r="G58" s="20">
        <f t="shared" si="1"/>
        <v>0.24771710333134006</v>
      </c>
    </row>
    <row r="59" spans="2:7" ht="19.95" customHeight="1" x14ac:dyDescent="0.3">
      <c r="B59" s="17" t="str">
        <f>IFERROR(INDEX('📦 Precios Proforma'!$B$5:$B$104, 40), "")</f>
        <v>6 Pack Lipton 250ml Tetra</v>
      </c>
      <c r="C59" s="18">
        <f>IF(B59="","",SUMIFS('📈 Datos Completos'!$E$7:$E$5000, '📈 Datos Completos'!$C$7:$C$5000, B59, '📈 Datos Completos'!$Q$7:$Q$5000, IF($C$6="TODOS","*",$C$6), '📈 Datos Completos'!$D$7:$D$5000, IF($F$6="TODOS","*",$F$6)))</f>
        <v>0</v>
      </c>
      <c r="D59" s="19">
        <f>IF(B59="","",SUMIFS('📈 Datos Completos'!$K$7:$K$5000, '📈 Datos Completos'!$C$7:$C$5000, B59, '📈 Datos Completos'!$Q$7:$Q$5000, IF($C$6="TODOS","*",$C$6), '📈 Datos Completos'!$D$7:$D$5000, IF($F$6="TODOS","*",$F$6)))</f>
        <v>0</v>
      </c>
      <c r="E59" s="19">
        <f>IF(B59="","",SUMIFS('📈 Datos Completos'!$N$7:$N$5000, '📈 Datos Completos'!$C$7:$C$5000, B59, '📈 Datos Completos'!$Q$7:$Q$5000, IF($C$6="TODOS","*",$C$6), '📈 Datos Completos'!$D$7:$D$5000, IF($F$6="TODOS","*",$F$6)))</f>
        <v>0</v>
      </c>
      <c r="F59" s="19">
        <f>IF(B59="","",SUMIFS('📈 Datos Completos'!$O$7:$O$5000, '📈 Datos Completos'!$C$7:$C$5000, B59, '📈 Datos Completos'!$Q$7:$Q$5000, IF($C$6="TODOS","*",$C$6), '📈 Datos Completos'!$D$7:$D$5000, IF($F$6="TODOS","*",$F$6)))</f>
        <v>0</v>
      </c>
      <c r="G59" s="20">
        <f t="shared" si="1"/>
        <v>0</v>
      </c>
    </row>
    <row r="60" spans="2:7" ht="19.95" customHeight="1" x14ac:dyDescent="0.3">
      <c r="B60" s="17" t="str">
        <f>IFERROR(INDEX('📦 Precios Proforma'!$B$5:$B$104, 41), "")</f>
        <v>8 Pack Pepsi Black</v>
      </c>
      <c r="C60" s="18">
        <f>IF(B60="","",SUMIFS('📈 Datos Completos'!$E$7:$E$5000, '📈 Datos Completos'!$C$7:$C$5000, B60, '📈 Datos Completos'!$Q$7:$Q$5000, IF($C$6="TODOS","*",$C$6), '📈 Datos Completos'!$D$7:$D$5000, IF($F$6="TODOS","*",$F$6)))</f>
        <v>1798</v>
      </c>
      <c r="D60" s="19">
        <f>IF(B60="","",SUMIFS('📈 Datos Completos'!$K$7:$K$5000, '📈 Datos Completos'!$C$7:$C$5000, B60, '📈 Datos Completos'!$Q$7:$Q$5000, IF($C$6="TODOS","*",$C$6), '📈 Datos Completos'!$D$7:$D$5000, IF($F$6="TODOS","*",$F$6)))</f>
        <v>18069.060000000001</v>
      </c>
      <c r="E60" s="19">
        <f>IF(B60="","",SUMIFS('📈 Datos Completos'!$N$7:$N$5000, '📈 Datos Completos'!$C$7:$C$5000, B60, '📈 Datos Completos'!$Q$7:$Q$5000, IF($C$6="TODOS","*",$C$6), '📈 Datos Completos'!$D$7:$D$5000, IF($F$6="TODOS","*",$F$6)))</f>
        <v>19356.642538175103</v>
      </c>
      <c r="F60" s="19">
        <f>IF(B60="","",SUMIFS('📈 Datos Completos'!$O$7:$O$5000, '📈 Datos Completos'!$C$7:$C$5000, B60, '📈 Datos Completos'!$Q$7:$Q$5000, IF($C$6="TODOS","*",$C$6), '📈 Datos Completos'!$D$7:$D$5000, IF($F$6="TODOS","*",$F$6)))</f>
        <v>-1287.5825381751017</v>
      </c>
      <c r="G60" s="20">
        <f t="shared" si="1"/>
        <v>-7.1258966331126342E-2</v>
      </c>
    </row>
    <row r="61" spans="2:7" ht="19.95" customHeight="1" x14ac:dyDescent="0.3">
      <c r="B61" s="17" t="str">
        <f>IFERROR(INDEX('📦 Precios Proforma'!$B$5:$B$104, 42), "")</f>
        <v>8 Pack Pepsi Black 355Ml Lata</v>
      </c>
      <c r="C61" s="18">
        <f>IF(B61="","",SUMIFS('📈 Datos Completos'!$E$7:$E$5000, '📈 Datos Completos'!$C$7:$C$5000, B61, '📈 Datos Completos'!$Q$7:$Q$5000, IF($C$6="TODOS","*",$C$6), '📈 Datos Completos'!$D$7:$D$5000, IF($F$6="TODOS","*",$F$6)))</f>
        <v>984</v>
      </c>
      <c r="D61" s="19">
        <f>IF(B61="","",SUMIFS('📈 Datos Completos'!$K$7:$K$5000, '📈 Datos Completos'!$C$7:$C$5000, B61, '📈 Datos Completos'!$Q$7:$Q$5000, IF($C$6="TODOS","*",$C$6), '📈 Datos Completos'!$D$7:$D$5000, IF($F$6="TODOS","*",$F$6)))</f>
        <v>12338.82</v>
      </c>
      <c r="E61" s="19">
        <f>IF(B61="","",SUMIFS('📈 Datos Completos'!$N$7:$N$5000, '📈 Datos Completos'!$C$7:$C$5000, B61, '📈 Datos Completos'!$Q$7:$Q$5000, IF($C$6="TODOS","*",$C$6), '📈 Datos Completos'!$D$7:$D$5000, IF($F$6="TODOS","*",$F$6)))</f>
        <v>8839.1190079517437</v>
      </c>
      <c r="F61" s="19">
        <f>IF(B61="","",SUMIFS('📈 Datos Completos'!$O$7:$O$5000, '📈 Datos Completos'!$C$7:$C$5000, B61, '📈 Datos Completos'!$Q$7:$Q$5000, IF($C$6="TODOS","*",$C$6), '📈 Datos Completos'!$D$7:$D$5000, IF($F$6="TODOS","*",$F$6)))</f>
        <v>3499.7009920482551</v>
      </c>
      <c r="G61" s="20">
        <f t="shared" si="1"/>
        <v>0.2836333613788235</v>
      </c>
    </row>
    <row r="62" spans="2:7" ht="19.95" customHeight="1" x14ac:dyDescent="0.3">
      <c r="B62" s="17" t="str">
        <f>IFERROR(INDEX('📦 Precios Proforma'!$B$5:$B$104, 43), "")</f>
        <v>AMP 600 ML</v>
      </c>
      <c r="C62" s="18">
        <f>IF(B62="","",SUMIFS('📈 Datos Completos'!$E$7:$E$5000, '📈 Datos Completos'!$C$7:$C$5000, B62, '📈 Datos Completos'!$Q$7:$Q$5000, IF($C$6="TODOS","*",$C$6), '📈 Datos Completos'!$D$7:$D$5000, IF($F$6="TODOS","*",$F$6)))</f>
        <v>1104</v>
      </c>
      <c r="D62" s="19">
        <f>IF(B62="","",SUMIFS('📈 Datos Completos'!$K$7:$K$5000, '📈 Datos Completos'!$C$7:$C$5000, B62, '📈 Datos Completos'!$Q$7:$Q$5000, IF($C$6="TODOS","*",$C$6), '📈 Datos Completos'!$D$7:$D$5000, IF($F$6="TODOS","*",$F$6)))</f>
        <v>23930.639999999999</v>
      </c>
      <c r="E62" s="19">
        <f>IF(B62="","",SUMIFS('📈 Datos Completos'!$N$7:$N$5000, '📈 Datos Completos'!$C$7:$C$5000, B62, '📈 Datos Completos'!$Q$7:$Q$5000, IF($C$6="TODOS","*",$C$6), '📈 Datos Completos'!$D$7:$D$5000, IF($F$6="TODOS","*",$F$6)))</f>
        <v>16992.611706673684</v>
      </c>
      <c r="F62" s="19">
        <f>IF(B62="","",SUMIFS('📈 Datos Completos'!$O$7:$O$5000, '📈 Datos Completos'!$C$7:$C$5000, B62, '📈 Datos Completos'!$Q$7:$Q$5000, IF($C$6="TODOS","*",$C$6), '📈 Datos Completos'!$D$7:$D$5000, IF($F$6="TODOS","*",$F$6)))</f>
        <v>7394.4701469272577</v>
      </c>
      <c r="G62" s="20">
        <f t="shared" si="1"/>
        <v>0.30899592100032669</v>
      </c>
    </row>
    <row r="63" spans="2:7" ht="19.95" customHeight="1" x14ac:dyDescent="0.3">
      <c r="B63" s="17" t="str">
        <f>IFERROR(INDEX('📦 Precios Proforma'!$B$5:$B$104, 44), "")</f>
        <v>Armado de Polines Walmart</v>
      </c>
      <c r="C63" s="18">
        <f>IF(B63="","",SUMIFS('📈 Datos Completos'!$E$7:$E$5000, '📈 Datos Completos'!$C$7:$C$5000, B63, '📈 Datos Completos'!$Q$7:$Q$5000, IF($C$6="TODOS","*",$C$6), '📈 Datos Completos'!$D$7:$D$5000, IF($F$6="TODOS","*",$F$6)))</f>
        <v>0</v>
      </c>
      <c r="D63" s="19">
        <f>IF(B63="","",SUMIFS('📈 Datos Completos'!$K$7:$K$5000, '📈 Datos Completos'!$C$7:$C$5000, B63, '📈 Datos Completos'!$Q$7:$Q$5000, IF($C$6="TODOS","*",$C$6), '📈 Datos Completos'!$D$7:$D$5000, IF($F$6="TODOS","*",$F$6)))</f>
        <v>0</v>
      </c>
      <c r="E63" s="19">
        <f>IF(B63="","",SUMIFS('📈 Datos Completos'!$N$7:$N$5000, '📈 Datos Completos'!$C$7:$C$5000, B63, '📈 Datos Completos'!$Q$7:$Q$5000, IF($C$6="TODOS","*",$C$6), '📈 Datos Completos'!$D$7:$D$5000, IF($F$6="TODOS","*",$F$6)))</f>
        <v>0</v>
      </c>
      <c r="F63" s="19">
        <f>IF(B63="","",SUMIFS('📈 Datos Completos'!$O$7:$O$5000, '📈 Datos Completos'!$C$7:$C$5000, B63, '📈 Datos Completos'!$Q$7:$Q$5000, IF($C$6="TODOS","*",$C$6), '📈 Datos Completos'!$D$7:$D$5000, IF($F$6="TODOS","*",$F$6)))</f>
        <v>0</v>
      </c>
      <c r="G63" s="20">
        <f t="shared" si="1"/>
        <v>0</v>
      </c>
    </row>
    <row r="64" spans="2:7" ht="19.95" customHeight="1" x14ac:dyDescent="0.3">
      <c r="B64" s="17" t="str">
        <f>IFERROR(INDEX('📦 Precios Proforma'!$B$5:$B$104, 45), "")</f>
        <v>GRANEL</v>
      </c>
      <c r="C64" s="18">
        <f>IF(B64="","",SUMIFS('📈 Datos Completos'!$E$7:$E$5000, '📈 Datos Completos'!$C$7:$C$5000, B64, '📈 Datos Completos'!$Q$7:$Q$5000, IF($C$6="TODOS","*",$C$6), '📈 Datos Completos'!$D$7:$D$5000, IF($F$6="TODOS","*",$F$6)))</f>
        <v>2010</v>
      </c>
      <c r="D64" s="19">
        <f>IF(B64="","",SUMIFS('📈 Datos Completos'!$K$7:$K$5000, '📈 Datos Completos'!$C$7:$C$5000, B64, '📈 Datos Completos'!$Q$7:$Q$5000, IF($C$6="TODOS","*",$C$6), '📈 Datos Completos'!$D$7:$D$5000, IF($F$6="TODOS","*",$F$6)))</f>
        <v>91950</v>
      </c>
      <c r="E64" s="19">
        <f>IF(B64="","",SUMIFS('📈 Datos Completos'!$N$7:$N$5000, '📈 Datos Completos'!$C$7:$C$5000, B64, '📈 Datos Completos'!$Q$7:$Q$5000, IF($C$6="TODOS","*",$C$6), '📈 Datos Completos'!$D$7:$D$5000, IF($F$6="TODOS","*",$F$6)))</f>
        <v>28587.772539079662</v>
      </c>
      <c r="F64" s="19">
        <f>IF(B64="","",SUMIFS('📈 Datos Completos'!$O$7:$O$5000, '📈 Datos Completos'!$C$7:$C$5000, B64, '📈 Datos Completos'!$Q$7:$Q$5000, IF($C$6="TODOS","*",$C$6), '📈 Datos Completos'!$D$7:$D$5000, IF($F$6="TODOS","*",$F$6)))</f>
        <v>63362.227460920345</v>
      </c>
      <c r="G64" s="20">
        <f t="shared" si="1"/>
        <v>0.68909437151626263</v>
      </c>
    </row>
    <row r="65" spans="2:7" ht="19.95" customHeight="1" x14ac:dyDescent="0.3">
      <c r="B65" s="17" t="str">
        <f>IFERROR(INDEX('📦 Precios Proforma'!$B$5:$B$104, 46), "")</f>
        <v>PRECIO BASE (sin coincidencia)</v>
      </c>
      <c r="C65" s="18">
        <f>IF(B65="","",SUMIFS('📈 Datos Completos'!$E$7:$E$5000, '📈 Datos Completos'!$C$7:$C$5000, B65, '📈 Datos Completos'!$Q$7:$Q$5000, IF($C$6="TODOS","*",$C$6), '📈 Datos Completos'!$D$7:$D$5000, IF($F$6="TODOS","*",$F$6)))</f>
        <v>0</v>
      </c>
      <c r="D65" s="19">
        <f>IF(B65="","",SUMIFS('📈 Datos Completos'!$K$7:$K$5000, '📈 Datos Completos'!$C$7:$C$5000, B65, '📈 Datos Completos'!$Q$7:$Q$5000, IF($C$6="TODOS","*",$C$6), '📈 Datos Completos'!$D$7:$D$5000, IF($F$6="TODOS","*",$F$6)))</f>
        <v>0</v>
      </c>
      <c r="E65" s="19">
        <f>IF(B65="","",SUMIFS('📈 Datos Completos'!$N$7:$N$5000, '📈 Datos Completos'!$C$7:$C$5000, B65, '📈 Datos Completos'!$Q$7:$Q$5000, IF($C$6="TODOS","*",$C$6), '📈 Datos Completos'!$D$7:$D$5000, IF($F$6="TODOS","*",$F$6)))</f>
        <v>0</v>
      </c>
      <c r="F65" s="19">
        <f>IF(B65="","",SUMIFS('📈 Datos Completos'!$O$7:$O$5000, '📈 Datos Completos'!$C$7:$C$5000, B65, '📈 Datos Completos'!$Q$7:$Q$5000, IF($C$6="TODOS","*",$C$6), '📈 Datos Completos'!$D$7:$D$5000, IF($F$6="TODOS","*",$F$6)))</f>
        <v>0</v>
      </c>
      <c r="G65" s="20">
        <f t="shared" si="1"/>
        <v>0</v>
      </c>
    </row>
    <row r="66" spans="2:7" ht="19.95" customHeight="1" x14ac:dyDescent="0.3">
      <c r="B66" s="17" t="str">
        <f>IFERROR(INDEX('📦 Precios Proforma'!$B$5:$B$104, 47), "")</f>
        <v>TRASIEGO MANTICA</v>
      </c>
      <c r="C66" s="18">
        <f>IF(B66="","",SUMIFS('📈 Datos Completos'!$E$7:$E$5000, '📈 Datos Completos'!$C$7:$C$5000, B66, '📈 Datos Completos'!$Q$7:$Q$5000, IF($C$6="TODOS","*",$C$6), '📈 Datos Completos'!$D$7:$D$5000, IF($F$6="TODOS","*",$F$6)))</f>
        <v>5</v>
      </c>
      <c r="D66" s="19">
        <f>IF(B66="","",SUMIFS('📈 Datos Completos'!$K$7:$K$5000, '📈 Datos Completos'!$C$7:$C$5000, B66, '📈 Datos Completos'!$Q$7:$Q$5000, IF($C$6="TODOS","*",$C$6), '📈 Datos Completos'!$D$7:$D$5000, IF($F$6="TODOS","*",$F$6)))</f>
        <v>300</v>
      </c>
      <c r="E66" s="19">
        <f>IF(B66="","",SUMIFS('📈 Datos Completos'!$N$7:$N$5000, '📈 Datos Completos'!$C$7:$C$5000, B66, '📈 Datos Completos'!$Q$7:$Q$5000, IF($C$6="TODOS","*",$C$6), '📈 Datos Completos'!$D$7:$D$5000, IF($F$6="TODOS","*",$F$6)))</f>
        <v>63.134471290630017</v>
      </c>
      <c r="F66" s="19">
        <f>IF(B66="","",SUMIFS('📈 Datos Completos'!$O$7:$O$5000, '📈 Datos Completos'!$C$7:$C$5000, B66, '📈 Datos Completos'!$Q$7:$Q$5000, IF($C$6="TODOS","*",$C$6), '📈 Datos Completos'!$D$7:$D$5000, IF($F$6="TODOS","*",$F$6)))</f>
        <v>236.86552870936998</v>
      </c>
      <c r="G66" s="20">
        <f t="shared" si="1"/>
        <v>0.78955176236456659</v>
      </c>
    </row>
    <row r="67" spans="2:7" ht="19.95" customHeight="1" x14ac:dyDescent="0.3">
      <c r="B67" s="17" t="str">
        <f>IFERROR(INDEX('📦 Precios Proforma'!$B$5:$B$104, 48), "")</f>
        <v>TRASIEGO PRICESMART</v>
      </c>
      <c r="C67" s="18">
        <f>IF(B67="","",SUMIFS('📈 Datos Completos'!$E$7:$E$5000, '📈 Datos Completos'!$C$7:$C$5000, B67, '📈 Datos Completos'!$Q$7:$Q$5000, IF($C$6="TODOS","*",$C$6), '📈 Datos Completos'!$D$7:$D$5000, IF($F$6="TODOS","*",$F$6)))</f>
        <v>72</v>
      </c>
      <c r="D67" s="19">
        <f>IF(B67="","",SUMIFS('📈 Datos Completos'!$K$7:$K$5000, '📈 Datos Completos'!$C$7:$C$5000, B67, '📈 Datos Completos'!$Q$7:$Q$5000, IF($C$6="TODOS","*",$C$6), '📈 Datos Completos'!$D$7:$D$5000, IF($F$6="TODOS","*",$F$6)))</f>
        <v>6049.3</v>
      </c>
      <c r="E67" s="19">
        <f>IF(B67="","",SUMIFS('📈 Datos Completos'!$N$7:$N$5000, '📈 Datos Completos'!$C$7:$C$5000, B67, '📈 Datos Completos'!$Q$7:$Q$5000, IF($C$6="TODOS","*",$C$6), '📈 Datos Completos'!$D$7:$D$5000, IF($F$6="TODOS","*",$F$6)))</f>
        <v>1301.5313044308512</v>
      </c>
      <c r="F67" s="19">
        <f>IF(B67="","",SUMIFS('📈 Datos Completos'!$O$7:$O$5000, '📈 Datos Completos'!$C$7:$C$5000, B67, '📈 Datos Completos'!$Q$7:$Q$5000, IF($C$6="TODOS","*",$C$6), '📈 Datos Completos'!$D$7:$D$5000, IF($F$6="TODOS","*",$F$6)))</f>
        <v>4747.7686955691479</v>
      </c>
      <c r="G67" s="20">
        <f t="shared" si="1"/>
        <v>0.78484596491646108</v>
      </c>
    </row>
    <row r="68" spans="2:7" ht="19.95" customHeight="1" x14ac:dyDescent="0.3">
      <c r="B68" s="17" t="str">
        <f>IFERROR(INDEX('📦 Precios Proforma'!$B$5:$B$104, 49), "")</f>
        <v>TRASIEGO WM</v>
      </c>
      <c r="C68" s="18">
        <f>IF(B68="","",SUMIFS('📈 Datos Completos'!$E$7:$E$5000, '📈 Datos Completos'!$C$7:$C$5000, B68, '📈 Datos Completos'!$Q$7:$Q$5000, IF($C$6="TODOS","*",$C$6), '📈 Datos Completos'!$D$7:$D$5000, IF($F$6="TODOS","*",$F$6)))</f>
        <v>732.3</v>
      </c>
      <c r="D68" s="19">
        <f>IF(B68="","",SUMIFS('📈 Datos Completos'!$K$7:$K$5000, '📈 Datos Completos'!$C$7:$C$5000, B68, '📈 Datos Completos'!$Q$7:$Q$5000, IF($C$6="TODOS","*",$C$6), '📈 Datos Completos'!$D$7:$D$5000, IF($F$6="TODOS","*",$F$6)))</f>
        <v>36922</v>
      </c>
      <c r="E68" s="19">
        <f>IF(B68="","",SUMIFS('📈 Datos Completos'!$N$7:$N$5000, '📈 Datos Completos'!$C$7:$C$5000, B68, '📈 Datos Completos'!$Q$7:$Q$5000, IF($C$6="TODOS","*",$C$6), '📈 Datos Completos'!$D$7:$D$5000, IF($F$6="TODOS","*",$F$6)))</f>
        <v>14275.962744963137</v>
      </c>
      <c r="F68" s="19">
        <f>IF(B68="","",SUMIFS('📈 Datos Completos'!$O$7:$O$5000, '📈 Datos Completos'!$C$7:$C$5000, B68, '📈 Datos Completos'!$Q$7:$Q$5000, IF($C$6="TODOS","*",$C$6), '📈 Datos Completos'!$D$7:$D$5000, IF($F$6="TODOS","*",$F$6)))</f>
        <v>23395.509381724412</v>
      </c>
      <c r="G68" s="20">
        <f t="shared" si="1"/>
        <v>0.63364686045513274</v>
      </c>
    </row>
    <row r="69" spans="2:7" ht="19.95" customHeight="1" x14ac:dyDescent="0.3">
      <c r="B69" s="17">
        <f>IFERROR(INDEX('📦 Precios Proforma'!$B$5:$B$104, 50), "")</f>
        <v>0</v>
      </c>
      <c r="C69" s="18">
        <f>IF(B69="","",SUMIFS('📈 Datos Completos'!$E$7:$E$5000, '📈 Datos Completos'!$C$7:$C$5000, B69, '📈 Datos Completos'!$Q$7:$Q$5000, IF($C$6="TODOS","*",$C$6), '📈 Datos Completos'!$D$7:$D$5000, IF($F$6="TODOS","*",$F$6)))</f>
        <v>0</v>
      </c>
      <c r="D69" s="19">
        <f>IF(B69="","",SUMIFS('📈 Datos Completos'!$K$7:$K$5000, '📈 Datos Completos'!$C$7:$C$5000, B69, '📈 Datos Completos'!$Q$7:$Q$5000, IF($C$6="TODOS","*",$C$6), '📈 Datos Completos'!$D$7:$D$5000, IF($F$6="TODOS","*",$F$6)))</f>
        <v>0</v>
      </c>
      <c r="E69" s="19">
        <f>IF(B69="","",SUMIFS('📈 Datos Completos'!$N$7:$N$5000, '📈 Datos Completos'!$C$7:$C$5000, B69, '📈 Datos Completos'!$Q$7:$Q$5000, IF($C$6="TODOS","*",$C$6), '📈 Datos Completos'!$D$7:$D$5000, IF($F$6="TODOS","*",$F$6)))</f>
        <v>0</v>
      </c>
      <c r="F69" s="19">
        <f>IF(B69="","",SUMIFS('📈 Datos Completos'!$O$7:$O$5000, '📈 Datos Completos'!$C$7:$C$5000, B69, '📈 Datos Completos'!$Q$7:$Q$5000, IF($C$6="TODOS","*",$C$6), '📈 Datos Completos'!$D$7:$D$5000, IF($F$6="TODOS","*",$F$6)))</f>
        <v>0</v>
      </c>
      <c r="G69" s="20">
        <f t="shared" si="1"/>
        <v>0</v>
      </c>
    </row>
    <row r="70" spans="2:7" ht="25.95" customHeight="1" x14ac:dyDescent="0.3">
      <c r="B70" s="21" t="s">
        <v>29</v>
      </c>
      <c r="C70" s="94">
        <f>SUM(C20:C69)</f>
        <v>53232.3</v>
      </c>
      <c r="D70" s="94">
        <f>SUM(D20:D69)</f>
        <v>647038.09000000008</v>
      </c>
      <c r="E70" s="94">
        <f>SUM(E20:E69)</f>
        <v>435080.6969673913</v>
      </c>
      <c r="F70" s="94">
        <f>SUM(F20:F69)</f>
        <v>224377.39303260873</v>
      </c>
      <c r="G70" s="93">
        <f>IF(D70=0,0,F70/D70)</f>
        <v>0.34677617361384194</v>
      </c>
    </row>
    <row r="72" spans="2:7" ht="28.05" customHeight="1" x14ac:dyDescent="0.3">
      <c r="B72" s="75" t="s">
        <v>30</v>
      </c>
      <c r="C72" s="72"/>
      <c r="D72" s="72"/>
      <c r="E72" s="72"/>
      <c r="F72" s="72"/>
      <c r="G72" s="72"/>
    </row>
    <row r="73" spans="2:7" ht="22.05" customHeight="1" x14ac:dyDescent="0.3">
      <c r="B73" s="76" t="s">
        <v>31</v>
      </c>
      <c r="C73" s="72"/>
      <c r="D73" s="72"/>
      <c r="E73" s="72"/>
      <c r="F73" s="72"/>
      <c r="G73" s="72"/>
    </row>
    <row r="74" spans="2:7" ht="22.05" customHeight="1" x14ac:dyDescent="0.3">
      <c r="B74" s="76" t="s">
        <v>32</v>
      </c>
      <c r="C74" s="72"/>
      <c r="D74" s="72"/>
      <c r="E74" s="72"/>
      <c r="F74" s="72"/>
      <c r="G74" s="72"/>
    </row>
    <row r="75" spans="2:7" ht="22.05" customHeight="1" x14ac:dyDescent="0.3">
      <c r="B75" s="76" t="s">
        <v>33</v>
      </c>
      <c r="C75" s="72"/>
      <c r="D75" s="72"/>
      <c r="E75" s="72"/>
      <c r="F75" s="72"/>
      <c r="G75" s="72"/>
    </row>
    <row r="76" spans="2:7" ht="22.05" customHeight="1" x14ac:dyDescent="0.3">
      <c r="B76" s="76" t="s">
        <v>34</v>
      </c>
      <c r="C76" s="72"/>
      <c r="D76" s="72"/>
      <c r="E76" s="72"/>
      <c r="F76" s="72"/>
      <c r="G76" s="72"/>
    </row>
    <row r="77" spans="2:7" ht="22.05" customHeight="1" x14ac:dyDescent="0.3">
      <c r="B77" s="76" t="s">
        <v>35</v>
      </c>
      <c r="C77" s="72"/>
      <c r="D77" s="72"/>
      <c r="E77" s="72"/>
      <c r="F77" s="72"/>
      <c r="G77" s="72"/>
    </row>
    <row r="78" spans="2:7" ht="22.05" customHeight="1" x14ac:dyDescent="0.3">
      <c r="B78" s="76" t="s">
        <v>36</v>
      </c>
      <c r="C78" s="72"/>
      <c r="D78" s="72"/>
      <c r="E78" s="72"/>
      <c r="F78" s="72"/>
      <c r="G78" s="72"/>
    </row>
  </sheetData>
  <mergeCells count="13">
    <mergeCell ref="B76:G76"/>
    <mergeCell ref="B77:G77"/>
    <mergeCell ref="B78:G78"/>
    <mergeCell ref="B18:G18"/>
    <mergeCell ref="B72:G72"/>
    <mergeCell ref="B73:G73"/>
    <mergeCell ref="B74:G74"/>
    <mergeCell ref="B75:G75"/>
    <mergeCell ref="B1:G1"/>
    <mergeCell ref="B2:G2"/>
    <mergeCell ref="B5:C5"/>
    <mergeCell ref="B8:G8"/>
    <mergeCell ref="B14:G14"/>
  </mergeCells>
  <conditionalFormatting sqref="G20:G69">
    <cfRule type="cellIs" dxfId="19" priority="1" operator="lessThan">
      <formula>0</formula>
    </cfRule>
    <cfRule type="cellIs" dxfId="18" priority="2" operator="greaterThan">
      <formula>0.3</formula>
    </cfRule>
    <cfRule type="cellIs" dxfId="17" priority="3" operator="between">
      <formula>0</formula>
      <formula>0.3</formula>
    </cfRule>
  </conditionalFormatting>
  <conditionalFormatting sqref="F20:F69">
    <cfRule type="cellIs" dxfId="16" priority="4" operator="lessThan">
      <formula>0</formula>
    </cfRule>
    <cfRule type="cellIs" dxfId="15" priority="5" operator="greaterThan">
      <formula>0</formula>
    </cfRule>
  </conditionalFormatting>
  <dataValidations count="2">
    <dataValidation type="list" allowBlank="1" sqref="C6" xr:uid="{00000000-0002-0000-0000-000000000000}">
      <formula1>"TODOS,2026-05,2026-06,2026-07,2026-08,2026-09,2026-10,2026-11,2026-12,2027-01,2027-02,2027-03,2027-04,2027-05,2027-06,2027-07,2027-08,2027-09,2027-10,2027-11,2027-12"</formula1>
    </dataValidation>
    <dataValidation type="list" allowBlank="1" sqref="F6" xr:uid="{00000000-0002-0000-0000-000001000000}">
      <formula1>"TODOS,DIA,NOCHE"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55"/>
  <sheetViews>
    <sheetView showGridLines="0" zoomScaleNormal="100" workbookViewId="0">
      <pane xSplit="1" ySplit="4" topLeftCell="B44" activePane="bottomRight" state="frozen"/>
      <selection pane="topRight"/>
      <selection pane="bottomLeft"/>
      <selection pane="bottomRight" activeCell="L55" sqref="L55"/>
    </sheetView>
  </sheetViews>
  <sheetFormatPr baseColWidth="10" defaultColWidth="8.88671875" defaultRowHeight="14.4" customHeight="1" x14ac:dyDescent="0.3"/>
  <cols>
    <col min="1" max="1" width="3" customWidth="1"/>
    <col min="2" max="2" width="32" customWidth="1"/>
    <col min="3" max="4" width="14" customWidth="1"/>
    <col min="5" max="7" width="16" customWidth="1"/>
    <col min="8" max="10" width="18" customWidth="1"/>
    <col min="11" max="11" width="14" customWidth="1"/>
    <col min="12" max="12" width="12.5546875" customWidth="1"/>
  </cols>
  <sheetData>
    <row r="1" spans="2:12" ht="34.950000000000003" customHeight="1" x14ac:dyDescent="0.3">
      <c r="B1" s="77" t="s">
        <v>37</v>
      </c>
      <c r="C1" s="72"/>
      <c r="D1" s="72"/>
      <c r="E1" s="72"/>
      <c r="F1" s="72"/>
      <c r="G1" s="72"/>
      <c r="H1" s="72"/>
      <c r="I1" s="72"/>
      <c r="J1" s="72"/>
      <c r="K1" s="72"/>
    </row>
    <row r="2" spans="2:12" ht="22.05" customHeight="1" x14ac:dyDescent="0.3">
      <c r="B2" s="78" t="s">
        <v>38</v>
      </c>
      <c r="C2" s="72"/>
      <c r="D2" s="72"/>
      <c r="E2" s="72"/>
      <c r="F2" s="72"/>
      <c r="G2" s="72"/>
      <c r="H2" s="72"/>
      <c r="I2" s="72"/>
      <c r="J2" s="72"/>
      <c r="K2" s="72"/>
    </row>
    <row r="3" spans="2:12" ht="4.0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ht="40.049999999999997" customHeight="1" x14ac:dyDescent="0.25">
      <c r="B4" s="16" t="s">
        <v>23</v>
      </c>
      <c r="C4" s="16" t="s">
        <v>39</v>
      </c>
      <c r="D4" s="16" t="s">
        <v>40</v>
      </c>
      <c r="E4" s="16" t="s">
        <v>41</v>
      </c>
      <c r="F4" s="16" t="s">
        <v>42</v>
      </c>
      <c r="G4" s="16" t="s">
        <v>43</v>
      </c>
      <c r="H4" s="16" t="s">
        <v>44</v>
      </c>
      <c r="I4" s="16" t="s">
        <v>45</v>
      </c>
      <c r="J4" s="16" t="s">
        <v>46</v>
      </c>
      <c r="K4" s="16" t="s">
        <v>47</v>
      </c>
      <c r="L4" s="16" t="s">
        <v>48</v>
      </c>
    </row>
    <row r="5" spans="2:12" ht="19.95" customHeight="1" x14ac:dyDescent="0.25">
      <c r="B5" s="17" t="str">
        <f>IFERROR(INDEX('📦 Precios Proforma'!$B$5:$B$104, 1), "")</f>
        <v>12 pack 12 oz pepsi +sabores</v>
      </c>
      <c r="C5" s="18">
        <f>IF(B5="","",SUMIF('📈 Datos Completos'!$C$7:$C$5000, B5, '📈 Datos Completos'!$E$7:$E$5000))</f>
        <v>252</v>
      </c>
      <c r="D5" s="18">
        <f>IF(B5="","",SUMIF('📈 Datos Completos'!$C$7:$C$5000, B5, '📈 Datos Completos'!$H$7:$H$5000))</f>
        <v>252</v>
      </c>
      <c r="E5" s="19">
        <f>IF(B5="","",SUMIF('📈 Datos Completos'!$C$7:$C$5000, B5, '📈 Datos Completos'!$I$7:$I$5000))</f>
        <v>1093.68</v>
      </c>
      <c r="F5" s="19">
        <f>IF(B5="","",SUMIF('📈 Datos Completos'!$C$7:$C$5000, B5, '📈 Datos Completos'!$J$7:$J$5000))</f>
        <v>254.52</v>
      </c>
      <c r="G5" s="19">
        <f>IF(B5="","",SUMIF('📈 Datos Completos'!$C$7:$C$5000, B5, '📈 Datos Completos'!$K$7:$K$5000))</f>
        <v>1348.2</v>
      </c>
      <c r="H5" s="19">
        <f>IF(B5="","",SUMIF('📈 Datos Completos'!$C$7:$C$5000, B5, '📈 Datos Completos'!$L$7:$L$5000))</f>
        <v>1326.1283997496348</v>
      </c>
      <c r="I5" s="19">
        <f>IF(B5="","",SUMIF('📈 Datos Completos'!$C$7:$C$5000, B5, '📈 Datos Completos'!$M$7:$M$5000))</f>
        <v>22.68</v>
      </c>
      <c r="J5" s="19">
        <f>IF(B5="","",SUMIF('📈 Datos Completos'!$C$7:$C$5000, B5, '📈 Datos Completos'!$N$7:$N$5000))</f>
        <v>1348.8083997496349</v>
      </c>
      <c r="K5" s="19">
        <f>IF(B5="","",SUMIF('📈 Datos Completos'!$C$7:$C$5000, B5, '📈 Datos Completos'!$O$7:$O$5000))</f>
        <v>-0.60839974963482746</v>
      </c>
      <c r="L5" s="20">
        <f t="shared" ref="L5:L36" si="0">IF(B5="","",IF(G5=0, 0, K5/G5))</f>
        <v>-4.5126817210712613E-4</v>
      </c>
    </row>
    <row r="6" spans="2:12" ht="19.95" customHeight="1" x14ac:dyDescent="0.25">
      <c r="B6" s="17" t="str">
        <f>IFERROR(INDEX('📦 Precios Proforma'!$B$5:$B$104, 2), "")</f>
        <v>12 Pack Adrenalina Rush 16 Onz</v>
      </c>
      <c r="C6" s="18">
        <f>IF(B6="","",SUMIF('📈 Datos Completos'!$C$7:$C$5000, B6, '📈 Datos Completos'!$E$7:$E$5000))</f>
        <v>0</v>
      </c>
      <c r="D6" s="18">
        <f>IF(B6="","",SUMIF('📈 Datos Completos'!$C$7:$C$5000, B6, '📈 Datos Completos'!$H$7:$H$5000))</f>
        <v>0</v>
      </c>
      <c r="E6" s="19">
        <f>IF(B6="","",SUMIF('📈 Datos Completos'!$C$7:$C$5000, B6, '📈 Datos Completos'!$I$7:$I$5000))</f>
        <v>0</v>
      </c>
      <c r="F6" s="19">
        <f>IF(B6="","",SUMIF('📈 Datos Completos'!$C$7:$C$5000, B6, '📈 Datos Completos'!$J$7:$J$5000))</f>
        <v>0</v>
      </c>
      <c r="G6" s="19">
        <f>IF(B6="","",SUMIF('📈 Datos Completos'!$C$7:$C$5000, B6, '📈 Datos Completos'!$K$7:$K$5000))</f>
        <v>0</v>
      </c>
      <c r="H6" s="19">
        <f>IF(B6="","",SUMIF('📈 Datos Completos'!$C$7:$C$5000, B6, '📈 Datos Completos'!$L$7:$L$5000))</f>
        <v>0</v>
      </c>
      <c r="I6" s="19">
        <f>IF(B6="","",SUMIF('📈 Datos Completos'!$C$7:$C$5000, B6, '📈 Datos Completos'!$M$7:$M$5000))</f>
        <v>0</v>
      </c>
      <c r="J6" s="19">
        <f>IF(B6="","",SUMIF('📈 Datos Completos'!$C$7:$C$5000, B6, '📈 Datos Completos'!$N$7:$N$5000))</f>
        <v>0</v>
      </c>
      <c r="K6" s="19">
        <f>IF(B6="","",SUMIF('📈 Datos Completos'!$C$7:$C$5000, B6, '📈 Datos Completos'!$O$7:$O$5000))</f>
        <v>0</v>
      </c>
      <c r="L6" s="20">
        <f t="shared" si="0"/>
        <v>0</v>
      </c>
    </row>
    <row r="7" spans="2:12" ht="19.95" customHeight="1" x14ac:dyDescent="0.25">
      <c r="B7" s="17" t="str">
        <f>IFERROR(INDEX('📦 Precios Proforma'!$B$5:$B$104, 3), "")</f>
        <v>12 PACK AMP 600 ML</v>
      </c>
      <c r="C7" s="18">
        <f>IF(B7="","",SUMIF('📈 Datos Completos'!$C$7:$C$5000, B7, '📈 Datos Completos'!$E$7:$E$5000))</f>
        <v>974</v>
      </c>
      <c r="D7" s="18">
        <f>IF(B7="","",SUMIF('📈 Datos Completos'!$C$7:$C$5000, B7, '📈 Datos Completos'!$H$7:$H$5000))</f>
        <v>11648</v>
      </c>
      <c r="E7" s="19">
        <f>IF(B7="","",SUMIF('📈 Datos Completos'!$C$7:$C$5000, B7, '📈 Datos Completos'!$I$7:$I$5000))</f>
        <v>6018.5399999999991</v>
      </c>
      <c r="F7" s="19">
        <f>IF(B7="","",SUMIF('📈 Datos Completos'!$C$7:$C$5000, B7, '📈 Datos Completos'!$J$7:$J$5000))</f>
        <v>13094.559999999998</v>
      </c>
      <c r="G7" s="19">
        <f>IF(B7="","",SUMIF('📈 Datos Completos'!$C$7:$C$5000, B7, '📈 Datos Completos'!$K$7:$K$5000))</f>
        <v>19113.099999999999</v>
      </c>
      <c r="H7" s="19">
        <f>IF(B7="","",SUMIF('📈 Datos Completos'!$C$7:$C$5000, B7, '📈 Datos Completos'!$L$7:$L$5000))</f>
        <v>11129.054463436281</v>
      </c>
      <c r="I7" s="19">
        <f>IF(B7="","",SUMIF('📈 Datos Completos'!$C$7:$C$5000, B7, '📈 Datos Completos'!$M$7:$M$5000))</f>
        <v>1048.32</v>
      </c>
      <c r="J7" s="19">
        <f>IF(B7="","",SUMIF('📈 Datos Completos'!$C$7:$C$5000, B7, '📈 Datos Completos'!$N$7:$N$5000))</f>
        <v>12177.374463436281</v>
      </c>
      <c r="K7" s="19">
        <f>IF(B7="","",SUMIF('📈 Datos Completos'!$C$7:$C$5000, B7, '📈 Datos Completos'!$O$7:$O$5000))</f>
        <v>6935.7255365637184</v>
      </c>
      <c r="L7" s="20">
        <f t="shared" si="0"/>
        <v>0.36287810645911545</v>
      </c>
    </row>
    <row r="8" spans="2:12" ht="19.95" customHeight="1" x14ac:dyDescent="0.25">
      <c r="B8" s="17" t="str">
        <f>IFERROR(INDEX('📦 Precios Proforma'!$B$5:$B$104, 4), "")</f>
        <v>12 Pack California Surtido 400 ML</v>
      </c>
      <c r="C8" s="18">
        <f>IF(B8="","",SUMIF('📈 Datos Completos'!$C$7:$C$5000, B8, '📈 Datos Completos'!$E$7:$E$5000))</f>
        <v>1192</v>
      </c>
      <c r="D8" s="18">
        <f>IF(B8="","",SUMIF('📈 Datos Completos'!$C$7:$C$5000, B8, '📈 Datos Completos'!$H$7:$H$5000))</f>
        <v>1236</v>
      </c>
      <c r="E8" s="19">
        <f>IF(B8="","",SUMIF('📈 Datos Completos'!$C$7:$C$5000, B8, '📈 Datos Completos'!$I$7:$I$5000))</f>
        <v>6233.44</v>
      </c>
      <c r="F8" s="19">
        <f>IF(B8="","",SUMIF('📈 Datos Completos'!$C$7:$C$5000, B8, '📈 Datos Completos'!$J$7:$J$5000))</f>
        <v>1438.76</v>
      </c>
      <c r="G8" s="19">
        <f>IF(B8="","",SUMIF('📈 Datos Completos'!$C$7:$C$5000, B8, '📈 Datos Completos'!$K$7:$K$5000))</f>
        <v>7672.2</v>
      </c>
      <c r="H8" s="19">
        <f>IF(B8="","",SUMIF('📈 Datos Completos'!$C$7:$C$5000, B8, '📈 Datos Completos'!$L$7:$L$5000))</f>
        <v>9728.2312264924185</v>
      </c>
      <c r="I8" s="19">
        <f>IF(B8="","",SUMIF('📈 Datos Completos'!$C$7:$C$5000, B8, '📈 Datos Completos'!$M$7:$M$5000))</f>
        <v>111.24</v>
      </c>
      <c r="J8" s="19">
        <f>IF(B8="","",SUMIF('📈 Datos Completos'!$C$7:$C$5000, B8, '📈 Datos Completos'!$N$7:$N$5000))</f>
        <v>9839.4712264924165</v>
      </c>
      <c r="K8" s="19">
        <f>IF(B8="","",SUMIF('📈 Datos Completos'!$C$7:$C$5000, B8, '📈 Datos Completos'!$O$7:$O$5000))</f>
        <v>-2167.2712264924171</v>
      </c>
      <c r="L8" s="20">
        <f t="shared" si="0"/>
        <v>-0.28248367176200012</v>
      </c>
    </row>
    <row r="9" spans="2:12" ht="19.95" customHeight="1" x14ac:dyDescent="0.25">
      <c r="B9" s="17" t="str">
        <f>IFERROR(INDEX('📦 Precios Proforma'!$B$5:$B$104, 5), "")</f>
        <v>12 Pack CSD 500 ML PET</v>
      </c>
      <c r="C9" s="18">
        <f>IF(B9="","",SUMIF('📈 Datos Completos'!$C$7:$C$5000, B9, '📈 Datos Completos'!$E$7:$E$5000))</f>
        <v>0</v>
      </c>
      <c r="D9" s="18">
        <f>IF(B9="","",SUMIF('📈 Datos Completos'!$C$7:$C$5000, B9, '📈 Datos Completos'!$H$7:$H$5000))</f>
        <v>0</v>
      </c>
      <c r="E9" s="19">
        <f>IF(B9="","",SUMIF('📈 Datos Completos'!$C$7:$C$5000, B9, '📈 Datos Completos'!$I$7:$I$5000))</f>
        <v>0</v>
      </c>
      <c r="F9" s="19">
        <f>IF(B9="","",SUMIF('📈 Datos Completos'!$C$7:$C$5000, B9, '📈 Datos Completos'!$J$7:$J$5000))</f>
        <v>0</v>
      </c>
      <c r="G9" s="19">
        <f>IF(B9="","",SUMIF('📈 Datos Completos'!$C$7:$C$5000, B9, '📈 Datos Completos'!$K$7:$K$5000))</f>
        <v>0</v>
      </c>
      <c r="H9" s="19">
        <f>IF(B9="","",SUMIF('📈 Datos Completos'!$C$7:$C$5000, B9, '📈 Datos Completos'!$L$7:$L$5000))</f>
        <v>0</v>
      </c>
      <c r="I9" s="19">
        <f>IF(B9="","",SUMIF('📈 Datos Completos'!$C$7:$C$5000, B9, '📈 Datos Completos'!$M$7:$M$5000))</f>
        <v>0</v>
      </c>
      <c r="J9" s="19">
        <f>IF(B9="","",SUMIF('📈 Datos Completos'!$C$7:$C$5000, B9, '📈 Datos Completos'!$N$7:$N$5000))</f>
        <v>0</v>
      </c>
      <c r="K9" s="19">
        <f>IF(B9="","",SUMIF('📈 Datos Completos'!$C$7:$C$5000, B9, '📈 Datos Completos'!$O$7:$O$5000))</f>
        <v>0</v>
      </c>
      <c r="L9" s="20">
        <f t="shared" si="0"/>
        <v>0</v>
      </c>
    </row>
    <row r="10" spans="2:12" ht="19.95" customHeight="1" x14ac:dyDescent="0.25">
      <c r="B10" s="17" t="str">
        <f>IFERROR(INDEX('📦 Precios Proforma'!$B$5:$B$104, 6), "")</f>
        <v>12 Pack Ensa Soda 500ml Pet</v>
      </c>
      <c r="C10" s="18">
        <f>IF(B10="","",SUMIF('📈 Datos Completos'!$C$7:$C$5000, B10, '📈 Datos Completos'!$E$7:$E$5000))</f>
        <v>438</v>
      </c>
      <c r="D10" s="18">
        <f>IF(B10="","",SUMIF('📈 Datos Completos'!$C$7:$C$5000, B10, '📈 Datos Completos'!$H$7:$H$5000))</f>
        <v>5694</v>
      </c>
      <c r="E10" s="19">
        <f>IF(B10="","",SUMIF('📈 Datos Completos'!$C$7:$C$5000, B10, '📈 Datos Completos'!$I$7:$I$5000))</f>
        <v>2641.14</v>
      </c>
      <c r="F10" s="19">
        <f>IF(B10="","",SUMIF('📈 Datos Completos'!$C$7:$C$5000, B10, '📈 Datos Completos'!$J$7:$J$5000))</f>
        <v>7686.9</v>
      </c>
      <c r="G10" s="19">
        <f>IF(B10="","",SUMIF('📈 Datos Completos'!$C$7:$C$5000, B10, '📈 Datos Completos'!$K$7:$K$5000))</f>
        <v>10328.040000000001</v>
      </c>
      <c r="H10" s="19">
        <f>IF(B10="","",SUMIF('📈 Datos Completos'!$C$7:$C$5000, B10, '📈 Datos Completos'!$L$7:$L$5000))</f>
        <v>5681.8109417599862</v>
      </c>
      <c r="I10" s="19">
        <f>IF(B10="","",SUMIF('📈 Datos Completos'!$C$7:$C$5000, B10, '📈 Datos Completos'!$M$7:$M$5000))</f>
        <v>512.46</v>
      </c>
      <c r="J10" s="19">
        <f>IF(B10="","",SUMIF('📈 Datos Completos'!$C$7:$C$5000, B10, '📈 Datos Completos'!$N$7:$N$5000))</f>
        <v>6194.2709417599854</v>
      </c>
      <c r="K10" s="19">
        <f>IF(B10="","",SUMIF('📈 Datos Completos'!$C$7:$C$5000, B10, '📈 Datos Completos'!$O$7:$O$5000))</f>
        <v>4133.7690582400146</v>
      </c>
      <c r="L10" s="20">
        <f t="shared" si="0"/>
        <v>0.40024719678080395</v>
      </c>
    </row>
    <row r="11" spans="2:12" ht="19.95" customHeight="1" x14ac:dyDescent="0.25">
      <c r="B11" s="17" t="str">
        <f>IFERROR(INDEX('📦 Precios Proforma'!$B$5:$B$104, 7), "")</f>
        <v>12 Pack Jugazzo Lata Surtido</v>
      </c>
      <c r="C11" s="18">
        <f>IF(B11="","",SUMIF('📈 Datos Completos'!$C$7:$C$5000, B11, '📈 Datos Completos'!$E$7:$E$5000))</f>
        <v>820</v>
      </c>
      <c r="D11" s="18">
        <f>IF(B11="","",SUMIF('📈 Datos Completos'!$C$7:$C$5000, B11, '📈 Datos Completos'!$H$7:$H$5000))</f>
        <v>700</v>
      </c>
      <c r="E11" s="19">
        <f>IF(B11="","",SUMIF('📈 Datos Completos'!$C$7:$C$5000, B11, '📈 Datos Completos'!$I$7:$I$5000))</f>
        <v>4051.7999999999993</v>
      </c>
      <c r="F11" s="19">
        <f>IF(B11="","",SUMIF('📈 Datos Completos'!$C$7:$C$5000, B11, '📈 Datos Completos'!$J$7:$J$5000))</f>
        <v>822.59999999999991</v>
      </c>
      <c r="G11" s="19">
        <f>IF(B11="","",SUMIF('📈 Datos Completos'!$C$7:$C$5000, B11, '📈 Datos Completos'!$K$7:$K$5000))</f>
        <v>4874.4000000000005</v>
      </c>
      <c r="H11" s="19">
        <f>IF(B11="","",SUMIF('📈 Datos Completos'!$C$7:$C$5000, B11, '📈 Datos Completos'!$L$7:$L$5000))</f>
        <v>12908.833467827879</v>
      </c>
      <c r="I11" s="19">
        <f>IF(B11="","",SUMIF('📈 Datos Completos'!$C$7:$C$5000, B11, '📈 Datos Completos'!$M$7:$M$5000))</f>
        <v>63</v>
      </c>
      <c r="J11" s="19">
        <f>IF(B11="","",SUMIF('📈 Datos Completos'!$C$7:$C$5000, B11, '📈 Datos Completos'!$N$7:$N$5000))</f>
        <v>12971.833467827879</v>
      </c>
      <c r="K11" s="19">
        <f>IF(B11="","",SUMIF('📈 Datos Completos'!$C$7:$C$5000, B11, '📈 Datos Completos'!$O$7:$O$5000))</f>
        <v>-6383.1477535421627</v>
      </c>
      <c r="L11" s="20">
        <f t="shared" si="0"/>
        <v>-1.309524814037043</v>
      </c>
    </row>
    <row r="12" spans="2:12" ht="19.95" customHeight="1" x14ac:dyDescent="0.25">
      <c r="B12" s="17" t="str">
        <f>IFERROR(INDEX('📦 Precios Proforma'!$B$5:$B$104, 8), "")</f>
        <v>12 Pack LIPTON TE 500 ML</v>
      </c>
      <c r="C12" s="18">
        <f>IF(B12="","",SUMIF('📈 Datos Completos'!$C$7:$C$5000, B12, '📈 Datos Completos'!$E$7:$E$5000))</f>
        <v>0</v>
      </c>
      <c r="D12" s="18">
        <f>IF(B12="","",SUMIF('📈 Datos Completos'!$C$7:$C$5000, B12, '📈 Datos Completos'!$H$7:$H$5000))</f>
        <v>0</v>
      </c>
      <c r="E12" s="19">
        <f>IF(B12="","",SUMIF('📈 Datos Completos'!$C$7:$C$5000, B12, '📈 Datos Completos'!$I$7:$I$5000))</f>
        <v>0</v>
      </c>
      <c r="F12" s="19">
        <f>IF(B12="","",SUMIF('📈 Datos Completos'!$C$7:$C$5000, B12, '📈 Datos Completos'!$J$7:$J$5000))</f>
        <v>0</v>
      </c>
      <c r="G12" s="19">
        <f>IF(B12="","",SUMIF('📈 Datos Completos'!$C$7:$C$5000, B12, '📈 Datos Completos'!$K$7:$K$5000))</f>
        <v>0</v>
      </c>
      <c r="H12" s="19">
        <f>IF(B12="","",SUMIF('📈 Datos Completos'!$C$7:$C$5000, B12, '📈 Datos Completos'!$L$7:$L$5000))</f>
        <v>0</v>
      </c>
      <c r="I12" s="19">
        <f>IF(B12="","",SUMIF('📈 Datos Completos'!$C$7:$C$5000, B12, '📈 Datos Completos'!$M$7:$M$5000))</f>
        <v>0</v>
      </c>
      <c r="J12" s="19">
        <f>IF(B12="","",SUMIF('📈 Datos Completos'!$C$7:$C$5000, B12, '📈 Datos Completos'!$N$7:$N$5000))</f>
        <v>0</v>
      </c>
      <c r="K12" s="19">
        <f>IF(B12="","",SUMIF('📈 Datos Completos'!$C$7:$C$5000, B12, '📈 Datos Completos'!$O$7:$O$5000))</f>
        <v>0</v>
      </c>
      <c r="L12" s="20">
        <f t="shared" si="0"/>
        <v>0</v>
      </c>
    </row>
    <row r="13" spans="2:12" ht="19.95" customHeight="1" x14ac:dyDescent="0.25">
      <c r="B13" s="17" t="str">
        <f>IFERROR(INDEX('📦 Precios Proforma'!$B$5:$B$104, 9), "")</f>
        <v>12 Pack pepsi + sabores 12 onza</v>
      </c>
      <c r="C13" s="18">
        <f>IF(B13="","",SUMIF('📈 Datos Completos'!$C$7:$C$5000, B13, '📈 Datos Completos'!$E$7:$E$5000))</f>
        <v>924</v>
      </c>
      <c r="D13" s="18">
        <f>IF(B13="","",SUMIF('📈 Datos Completos'!$C$7:$C$5000, B13, '📈 Datos Completos'!$H$7:$H$5000))</f>
        <v>924</v>
      </c>
      <c r="E13" s="19">
        <f>IF(B13="","",SUMIF('📈 Datos Completos'!$C$7:$C$5000, B13, '📈 Datos Completos'!$I$7:$I$5000))</f>
        <v>4537.96</v>
      </c>
      <c r="F13" s="19">
        <f>IF(B13="","",SUMIF('📈 Datos Completos'!$C$7:$C$5000, B13, '📈 Datos Completos'!$J$7:$J$5000))</f>
        <v>1057</v>
      </c>
      <c r="G13" s="19">
        <f>IF(B13="","",SUMIF('📈 Datos Completos'!$C$7:$C$5000, B13, '📈 Datos Completos'!$K$7:$K$5000))</f>
        <v>5594.9599999999991</v>
      </c>
      <c r="H13" s="19">
        <f>IF(B13="","",SUMIF('📈 Datos Completos'!$C$7:$C$5000, B13, '📈 Datos Completos'!$L$7:$L$5000))</f>
        <v>12416.959160128992</v>
      </c>
      <c r="I13" s="19">
        <f>IF(B13="","",SUMIF('📈 Datos Completos'!$C$7:$C$5000, B13, '📈 Datos Completos'!$M$7:$M$5000))</f>
        <v>83.16</v>
      </c>
      <c r="J13" s="19">
        <f>IF(B13="","",SUMIF('📈 Datos Completos'!$C$7:$C$5000, B13, '📈 Datos Completos'!$N$7:$N$5000))</f>
        <v>12500.119160128994</v>
      </c>
      <c r="K13" s="19">
        <f>IF(B13="","",SUMIF('📈 Datos Completos'!$C$7:$C$5000, B13, '📈 Datos Completos'!$O$7:$O$5000))</f>
        <v>-3525.1591601289929</v>
      </c>
      <c r="L13" s="20">
        <f t="shared" si="0"/>
        <v>-0.63005976095074734</v>
      </c>
    </row>
    <row r="14" spans="2:12" ht="19.95" customHeight="1" x14ac:dyDescent="0.25">
      <c r="B14" s="17" t="str">
        <f>IFERROR(INDEX('📦 Precios Proforma'!$B$5:$B$104, 10), "")</f>
        <v>12 Pack pepsi 1.5 ltr</v>
      </c>
      <c r="C14" s="18">
        <f>IF(B14="","",SUMIF('📈 Datos Completos'!$C$7:$C$5000, B14, '📈 Datos Completos'!$E$7:$E$5000))</f>
        <v>0</v>
      </c>
      <c r="D14" s="18">
        <f>IF(B14="","",SUMIF('📈 Datos Completos'!$C$7:$C$5000, B14, '📈 Datos Completos'!$H$7:$H$5000))</f>
        <v>0</v>
      </c>
      <c r="E14" s="19">
        <f>IF(B14="","",SUMIF('📈 Datos Completos'!$C$7:$C$5000, B14, '📈 Datos Completos'!$I$7:$I$5000))</f>
        <v>0</v>
      </c>
      <c r="F14" s="19">
        <f>IF(B14="","",SUMIF('📈 Datos Completos'!$C$7:$C$5000, B14, '📈 Datos Completos'!$J$7:$J$5000))</f>
        <v>0</v>
      </c>
      <c r="G14" s="19">
        <f>IF(B14="","",SUMIF('📈 Datos Completos'!$C$7:$C$5000, B14, '📈 Datos Completos'!$K$7:$K$5000))</f>
        <v>0</v>
      </c>
      <c r="H14" s="19">
        <f>IF(B14="","",SUMIF('📈 Datos Completos'!$C$7:$C$5000, B14, '📈 Datos Completos'!$L$7:$L$5000))</f>
        <v>0</v>
      </c>
      <c r="I14" s="19">
        <f>IF(B14="","",SUMIF('📈 Datos Completos'!$C$7:$C$5000, B14, '📈 Datos Completos'!$M$7:$M$5000))</f>
        <v>0</v>
      </c>
      <c r="J14" s="19">
        <f>IF(B14="","",SUMIF('📈 Datos Completos'!$C$7:$C$5000, B14, '📈 Datos Completos'!$N$7:$N$5000))</f>
        <v>0</v>
      </c>
      <c r="K14" s="19">
        <f>IF(B14="","",SUMIF('📈 Datos Completos'!$C$7:$C$5000, B14, '📈 Datos Completos'!$O$7:$O$5000))</f>
        <v>0</v>
      </c>
      <c r="L14" s="20">
        <f t="shared" si="0"/>
        <v>0</v>
      </c>
    </row>
    <row r="15" spans="2:12" ht="19.95" customHeight="1" x14ac:dyDescent="0.25">
      <c r="B15" s="17" t="str">
        <f>IFERROR(INDEX('📦 Precios Proforma'!$B$5:$B$104, 11), "")</f>
        <v>12 Pack Pepsi 500 ML</v>
      </c>
      <c r="C15" s="18">
        <f>IF(B15="","",SUMIF('📈 Datos Completos'!$C$7:$C$5000, B15, '📈 Datos Completos'!$E$7:$E$5000))</f>
        <v>48</v>
      </c>
      <c r="D15" s="18">
        <f>IF(B15="","",SUMIF('📈 Datos Completos'!$C$7:$C$5000, B15, '📈 Datos Completos'!$H$7:$H$5000))</f>
        <v>624</v>
      </c>
      <c r="E15" s="19">
        <f>IF(B15="","",SUMIF('📈 Datos Completos'!$C$7:$C$5000, B15, '📈 Datos Completos'!$I$7:$I$5000))</f>
        <v>216.95999999999998</v>
      </c>
      <c r="F15" s="19">
        <f>IF(B15="","",SUMIF('📈 Datos Completos'!$C$7:$C$5000, B15, '📈 Datos Completos'!$J$7:$J$5000))</f>
        <v>630.24</v>
      </c>
      <c r="G15" s="19">
        <f>IF(B15="","",SUMIF('📈 Datos Completos'!$C$7:$C$5000, B15, '📈 Datos Completos'!$K$7:$K$5000))</f>
        <v>847.2</v>
      </c>
      <c r="H15" s="19">
        <f>IF(B15="","",SUMIF('📈 Datos Completos'!$C$7:$C$5000, B15, '📈 Datos Completos'!$L$7:$L$5000))</f>
        <v>1087.3099389785102</v>
      </c>
      <c r="I15" s="19">
        <f>IF(B15="","",SUMIF('📈 Datos Completos'!$C$7:$C$5000, B15, '📈 Datos Completos'!$M$7:$M$5000))</f>
        <v>56.16</v>
      </c>
      <c r="J15" s="19">
        <f>IF(B15="","",SUMIF('📈 Datos Completos'!$C$7:$C$5000, B15, '📈 Datos Completos'!$N$7:$N$5000))</f>
        <v>1143.4699389785101</v>
      </c>
      <c r="K15" s="19">
        <f>IF(B15="","",SUMIF('📈 Datos Completos'!$C$7:$C$5000, B15, '📈 Datos Completos'!$O$7:$O$5000))</f>
        <v>-296.26993897851014</v>
      </c>
      <c r="L15" s="20">
        <f t="shared" si="0"/>
        <v>-0.34970483826547466</v>
      </c>
    </row>
    <row r="16" spans="2:12" ht="19.95" customHeight="1" x14ac:dyDescent="0.25">
      <c r="B16" s="17" t="str">
        <f>IFERROR(INDEX('📦 Precios Proforma'!$B$5:$B$104, 12), "")</f>
        <v>12 Pack Soda Ensa 500 ML</v>
      </c>
      <c r="C16" s="18">
        <f>IF(B16="","",SUMIF('📈 Datos Completos'!$C$7:$C$5000, B16, '📈 Datos Completos'!$E$7:$E$5000))</f>
        <v>640</v>
      </c>
      <c r="D16" s="18">
        <f>IF(B16="","",SUMIF('📈 Datos Completos'!$C$7:$C$5000, B16, '📈 Datos Completos'!$H$7:$H$5000))</f>
        <v>6862</v>
      </c>
      <c r="E16" s="19">
        <f>IF(B16="","",SUMIF('📈 Datos Completos'!$C$7:$C$5000, B16, '📈 Datos Completos'!$I$7:$I$5000))</f>
        <v>3421.2999999999997</v>
      </c>
      <c r="F16" s="19">
        <f>IF(B16="","",SUMIF('📈 Datos Completos'!$C$7:$C$5000, B16, '📈 Datos Completos'!$J$7:$J$5000))</f>
        <v>8471.5</v>
      </c>
      <c r="G16" s="19">
        <f>IF(B16="","",SUMIF('📈 Datos Completos'!$C$7:$C$5000, B16, '📈 Datos Completos'!$K$7:$K$5000))</f>
        <v>11892.800000000001</v>
      </c>
      <c r="H16" s="19">
        <f>IF(B16="","",SUMIF('📈 Datos Completos'!$C$7:$C$5000, B16, '📈 Datos Completos'!$L$7:$L$5000))</f>
        <v>6653.7600080986404</v>
      </c>
      <c r="I16" s="19">
        <f>IF(B16="","",SUMIF('📈 Datos Completos'!$C$7:$C$5000, B16, '📈 Datos Completos'!$M$7:$M$5000))</f>
        <v>617.58000000000004</v>
      </c>
      <c r="J16" s="19">
        <f>IF(B16="","",SUMIF('📈 Datos Completos'!$C$7:$C$5000, B16, '📈 Datos Completos'!$N$7:$N$5000))</f>
        <v>7271.3400080986394</v>
      </c>
      <c r="K16" s="19">
        <f>IF(B16="","",SUMIF('📈 Datos Completos'!$C$7:$C$5000, B16, '📈 Datos Completos'!$O$7:$O$5000))</f>
        <v>4621.4599919013599</v>
      </c>
      <c r="L16" s="20">
        <f t="shared" si="0"/>
        <v>0.38859309766424721</v>
      </c>
    </row>
    <row r="17" spans="2:12" ht="19.95" customHeight="1" x14ac:dyDescent="0.25">
      <c r="B17" s="17" t="str">
        <f>IFERROR(INDEX('📦 Precios Proforma'!$B$5:$B$104, 13), "")</f>
        <v>16 Pack Adrenaline 12 oz</v>
      </c>
      <c r="C17" s="18">
        <f>IF(B17="","",SUMIF('📈 Datos Completos'!$C$7:$C$5000, B17, '📈 Datos Completos'!$E$7:$E$5000))</f>
        <v>0</v>
      </c>
      <c r="D17" s="18">
        <f>IF(B17="","",SUMIF('📈 Datos Completos'!$C$7:$C$5000, B17, '📈 Datos Completos'!$H$7:$H$5000))</f>
        <v>0</v>
      </c>
      <c r="E17" s="19">
        <f>IF(B17="","",SUMIF('📈 Datos Completos'!$C$7:$C$5000, B17, '📈 Datos Completos'!$I$7:$I$5000))</f>
        <v>0</v>
      </c>
      <c r="F17" s="19">
        <f>IF(B17="","",SUMIF('📈 Datos Completos'!$C$7:$C$5000, B17, '📈 Datos Completos'!$J$7:$J$5000))</f>
        <v>0</v>
      </c>
      <c r="G17" s="19">
        <f>IF(B17="","",SUMIF('📈 Datos Completos'!$C$7:$C$5000, B17, '📈 Datos Completos'!$K$7:$K$5000))</f>
        <v>0</v>
      </c>
      <c r="H17" s="19">
        <f>IF(B17="","",SUMIF('📈 Datos Completos'!$C$7:$C$5000, B17, '📈 Datos Completos'!$L$7:$L$5000))</f>
        <v>0</v>
      </c>
      <c r="I17" s="19">
        <f>IF(B17="","",SUMIF('📈 Datos Completos'!$C$7:$C$5000, B17, '📈 Datos Completos'!$M$7:$M$5000))</f>
        <v>0</v>
      </c>
      <c r="J17" s="19">
        <f>IF(B17="","",SUMIF('📈 Datos Completos'!$C$7:$C$5000, B17, '📈 Datos Completos'!$N$7:$N$5000))</f>
        <v>0</v>
      </c>
      <c r="K17" s="19">
        <f>IF(B17="","",SUMIF('📈 Datos Completos'!$C$7:$C$5000, B17, '📈 Datos Completos'!$O$7:$O$5000))</f>
        <v>0</v>
      </c>
      <c r="L17" s="20">
        <f t="shared" si="0"/>
        <v>0</v>
      </c>
    </row>
    <row r="18" spans="2:12" ht="19.95" customHeight="1" x14ac:dyDescent="0.25">
      <c r="B18" s="17" t="str">
        <f>IFERROR(INDEX('📦 Precios Proforma'!$B$5:$B$104, 14), "")</f>
        <v>18 Pack 500 ml (pepsi,rojita)</v>
      </c>
      <c r="C18" s="18">
        <f>IF(B18="","",SUMIF('📈 Datos Completos'!$C$7:$C$5000, B18, '📈 Datos Completos'!$E$7:$E$5000))</f>
        <v>680</v>
      </c>
      <c r="D18" s="18">
        <f>IF(B18="","",SUMIF('📈 Datos Completos'!$C$7:$C$5000, B18, '📈 Datos Completos'!$H$7:$H$5000))</f>
        <v>680</v>
      </c>
      <c r="E18" s="19">
        <f>IF(B18="","",SUMIF('📈 Datos Completos'!$C$7:$C$5000, B18, '📈 Datos Completos'!$I$7:$I$5000))</f>
        <v>4703.6000000000004</v>
      </c>
      <c r="F18" s="19">
        <f>IF(B18="","",SUMIF('📈 Datos Completos'!$C$7:$C$5000, B18, '📈 Datos Completos'!$J$7:$J$5000))</f>
        <v>768.40000000000009</v>
      </c>
      <c r="G18" s="19">
        <f>IF(B18="","",SUMIF('📈 Datos Completos'!$C$7:$C$5000, B18, '📈 Datos Completos'!$K$7:$K$5000))</f>
        <v>5472</v>
      </c>
      <c r="H18" s="19">
        <f>IF(B18="","",SUMIF('📈 Datos Completos'!$C$7:$C$5000, B18, '📈 Datos Completos'!$L$7:$L$5000))</f>
        <v>8685.5261373074027</v>
      </c>
      <c r="I18" s="19">
        <f>IF(B18="","",SUMIF('📈 Datos Completos'!$C$7:$C$5000, B18, '📈 Datos Completos'!$M$7:$M$5000))</f>
        <v>61.2</v>
      </c>
      <c r="J18" s="19">
        <f>IF(B18="","",SUMIF('📈 Datos Completos'!$C$7:$C$5000, B18, '📈 Datos Completos'!$N$7:$N$5000))</f>
        <v>8746.7261373074016</v>
      </c>
      <c r="K18" s="19">
        <f>IF(B18="","",SUMIF('📈 Datos Completos'!$C$7:$C$5000, B18, '📈 Datos Completos'!$O$7:$O$5000))</f>
        <v>-3274.7261373074025</v>
      </c>
      <c r="L18" s="20">
        <f t="shared" si="0"/>
        <v>-0.59845141398161594</v>
      </c>
    </row>
    <row r="19" spans="2:12" ht="19.95" customHeight="1" x14ac:dyDescent="0.25">
      <c r="B19" s="17" t="str">
        <f>IFERROR(INDEX('📦 Precios Proforma'!$B$5:$B$104, 15), "")</f>
        <v>18 PACK 500 ML PET SURTIDO</v>
      </c>
      <c r="C19" s="18">
        <f>IF(B19="","",SUMIF('📈 Datos Completos'!$C$7:$C$5000, B19, '📈 Datos Completos'!$E$7:$E$5000))</f>
        <v>0</v>
      </c>
      <c r="D19" s="18">
        <f>IF(B19="","",SUMIF('📈 Datos Completos'!$C$7:$C$5000, B19, '📈 Datos Completos'!$H$7:$H$5000))</f>
        <v>0</v>
      </c>
      <c r="E19" s="19">
        <f>IF(B19="","",SUMIF('📈 Datos Completos'!$C$7:$C$5000, B19, '📈 Datos Completos'!$I$7:$I$5000))</f>
        <v>0</v>
      </c>
      <c r="F19" s="19">
        <f>IF(B19="","",SUMIF('📈 Datos Completos'!$C$7:$C$5000, B19, '📈 Datos Completos'!$J$7:$J$5000))</f>
        <v>0</v>
      </c>
      <c r="G19" s="19">
        <f>IF(B19="","",SUMIF('📈 Datos Completos'!$C$7:$C$5000, B19, '📈 Datos Completos'!$K$7:$K$5000))</f>
        <v>0</v>
      </c>
      <c r="H19" s="19">
        <f>IF(B19="","",SUMIF('📈 Datos Completos'!$C$7:$C$5000, B19, '📈 Datos Completos'!$L$7:$L$5000))</f>
        <v>0</v>
      </c>
      <c r="I19" s="19">
        <f>IF(B19="","",SUMIF('📈 Datos Completos'!$C$7:$C$5000, B19, '📈 Datos Completos'!$M$7:$M$5000))</f>
        <v>0</v>
      </c>
      <c r="J19" s="19">
        <f>IF(B19="","",SUMIF('📈 Datos Completos'!$C$7:$C$5000, B19, '📈 Datos Completos'!$N$7:$N$5000))</f>
        <v>0</v>
      </c>
      <c r="K19" s="19">
        <f>IF(B19="","",SUMIF('📈 Datos Completos'!$C$7:$C$5000, B19, '📈 Datos Completos'!$O$7:$O$5000))</f>
        <v>0</v>
      </c>
      <c r="L19" s="20">
        <f t="shared" si="0"/>
        <v>0</v>
      </c>
    </row>
    <row r="20" spans="2:12" ht="19.95" customHeight="1" x14ac:dyDescent="0.25">
      <c r="B20" s="17" t="str">
        <f>IFERROR(INDEX('📦 Precios Proforma'!$B$5:$B$104, 16), "")</f>
        <v>18 Pack Be Light Surtido</v>
      </c>
      <c r="C20" s="18">
        <f>IF(B20="","",SUMIF('📈 Datos Completos'!$C$7:$C$5000, B20, '📈 Datos Completos'!$E$7:$E$5000))</f>
        <v>240</v>
      </c>
      <c r="D20" s="18">
        <f>IF(B20="","",SUMIF('📈 Datos Completos'!$C$7:$C$5000, B20, '📈 Datos Completos'!$H$7:$H$5000))</f>
        <v>240</v>
      </c>
      <c r="E20" s="19">
        <f>IF(B20="","",SUMIF('📈 Datos Completos'!$C$7:$C$5000, B20, '📈 Datos Completos'!$I$7:$I$5000))</f>
        <v>1485.6000000000001</v>
      </c>
      <c r="F20" s="19">
        <f>IF(B20="","",SUMIF('📈 Datos Completos'!$C$7:$C$5000, B20, '📈 Datos Completos'!$J$7:$J$5000))</f>
        <v>242.4</v>
      </c>
      <c r="G20" s="19">
        <f>IF(B20="","",SUMIF('📈 Datos Completos'!$C$7:$C$5000, B20, '📈 Datos Completos'!$K$7:$K$5000))</f>
        <v>1728.0000000000002</v>
      </c>
      <c r="H20" s="19">
        <f>IF(B20="","",SUMIF('📈 Datos Completos'!$C$7:$C$5000, B20, '📈 Datos Completos'!$L$7:$L$5000))</f>
        <v>2031.218492753623</v>
      </c>
      <c r="I20" s="19">
        <f>IF(B20="","",SUMIF('📈 Datos Completos'!$C$7:$C$5000, B20, '📈 Datos Completos'!$M$7:$M$5000))</f>
        <v>21.599999999999998</v>
      </c>
      <c r="J20" s="19">
        <f>IF(B20="","",SUMIF('📈 Datos Completos'!$C$7:$C$5000, B20, '📈 Datos Completos'!$N$7:$N$5000))</f>
        <v>2052.8184927536231</v>
      </c>
      <c r="K20" s="19">
        <f>IF(B20="","",SUMIF('📈 Datos Completos'!$C$7:$C$5000, B20, '📈 Datos Completos'!$O$7:$O$5000))</f>
        <v>-324.81849275362288</v>
      </c>
      <c r="L20" s="20">
        <f t="shared" si="0"/>
        <v>-0.18797366478797617</v>
      </c>
    </row>
    <row r="21" spans="2:12" ht="19.95" customHeight="1" x14ac:dyDescent="0.25">
      <c r="B21" s="17" t="str">
        <f>IFERROR(INDEX('📦 Precios Proforma'!$B$5:$B$104, 17), "")</f>
        <v>18 Pack Pepsi + Roja 500 ML</v>
      </c>
      <c r="C21" s="18">
        <f>IF(B21="","",SUMIF('📈 Datos Completos'!$C$7:$C$5000, B21, '📈 Datos Completos'!$E$7:$E$5000))</f>
        <v>1080</v>
      </c>
      <c r="D21" s="18">
        <f>IF(B21="","",SUMIF('📈 Datos Completos'!$C$7:$C$5000, B21, '📈 Datos Completos'!$H$7:$H$5000))</f>
        <v>1080</v>
      </c>
      <c r="E21" s="19">
        <f>IF(B21="","",SUMIF('📈 Datos Completos'!$C$7:$C$5000, B21, '📈 Datos Completos'!$I$7:$I$5000))</f>
        <v>7303.2000000000007</v>
      </c>
      <c r="F21" s="19">
        <f>IF(B21="","",SUMIF('📈 Datos Completos'!$C$7:$C$5000, B21, '📈 Datos Completos'!$J$7:$J$5000))</f>
        <v>1192.8000000000002</v>
      </c>
      <c r="G21" s="19">
        <f>IF(B21="","",SUMIF('📈 Datos Completos'!$C$7:$C$5000, B21, '📈 Datos Completos'!$K$7:$K$5000))</f>
        <v>8496</v>
      </c>
      <c r="H21" s="19">
        <f>IF(B21="","",SUMIF('📈 Datos Completos'!$C$7:$C$5000, B21, '📈 Datos Completos'!$L$7:$L$5000))</f>
        <v>19126.250930893224</v>
      </c>
      <c r="I21" s="19">
        <f>IF(B21="","",SUMIF('📈 Datos Completos'!$C$7:$C$5000, B21, '📈 Datos Completos'!$M$7:$M$5000))</f>
        <v>97.199999999999989</v>
      </c>
      <c r="J21" s="19">
        <f>IF(B21="","",SUMIF('📈 Datos Completos'!$C$7:$C$5000, B21, '📈 Datos Completos'!$N$7:$N$5000))</f>
        <v>19223.450930893225</v>
      </c>
      <c r="K21" s="19">
        <f>IF(B21="","",SUMIF('📈 Datos Completos'!$C$7:$C$5000, B21, '📈 Datos Completos'!$O$7:$O$5000))</f>
        <v>-10727.450930893225</v>
      </c>
      <c r="L21" s="20">
        <f t="shared" si="0"/>
        <v>-1.2626472376286753</v>
      </c>
    </row>
    <row r="22" spans="2:12" ht="19.95" customHeight="1" x14ac:dyDescent="0.25">
      <c r="B22" s="17" t="str">
        <f>IFERROR(INDEX('📦 Precios Proforma'!$B$5:$B$104, 18), "")</f>
        <v>2 Pack Pepsi + Ensa Toronja 3 Lts</v>
      </c>
      <c r="C22" s="18">
        <f>IF(B22="","",SUMIF('📈 Datos Completos'!$C$7:$C$5000, B22, '📈 Datos Completos'!$E$7:$E$5000))</f>
        <v>0</v>
      </c>
      <c r="D22" s="18">
        <f>IF(B22="","",SUMIF('📈 Datos Completos'!$C$7:$C$5000, B22, '📈 Datos Completos'!$H$7:$H$5000))</f>
        <v>0</v>
      </c>
      <c r="E22" s="19">
        <f>IF(B22="","",SUMIF('📈 Datos Completos'!$C$7:$C$5000, B22, '📈 Datos Completos'!$I$7:$I$5000))</f>
        <v>0</v>
      </c>
      <c r="F22" s="19">
        <f>IF(B22="","",SUMIF('📈 Datos Completos'!$C$7:$C$5000, B22, '📈 Datos Completos'!$J$7:$J$5000))</f>
        <v>0</v>
      </c>
      <c r="G22" s="19">
        <f>IF(B22="","",SUMIF('📈 Datos Completos'!$C$7:$C$5000, B22, '📈 Datos Completos'!$K$7:$K$5000))</f>
        <v>0</v>
      </c>
      <c r="H22" s="19">
        <f>IF(B22="","",SUMIF('📈 Datos Completos'!$C$7:$C$5000, B22, '📈 Datos Completos'!$L$7:$L$5000))</f>
        <v>0</v>
      </c>
      <c r="I22" s="19">
        <f>IF(B22="","",SUMIF('📈 Datos Completos'!$C$7:$C$5000, B22, '📈 Datos Completos'!$M$7:$M$5000))</f>
        <v>0</v>
      </c>
      <c r="J22" s="19">
        <f>IF(B22="","",SUMIF('📈 Datos Completos'!$C$7:$C$5000, B22, '📈 Datos Completos'!$N$7:$N$5000))</f>
        <v>0</v>
      </c>
      <c r="K22" s="19">
        <f>IF(B22="","",SUMIF('📈 Datos Completos'!$C$7:$C$5000, B22, '📈 Datos Completos'!$O$7:$O$5000))</f>
        <v>0</v>
      </c>
      <c r="L22" s="20">
        <f t="shared" si="0"/>
        <v>0</v>
      </c>
    </row>
    <row r="23" spans="2:12" ht="19.95" customHeight="1" x14ac:dyDescent="0.25">
      <c r="B23" s="17" t="str">
        <f>IFERROR(INDEX('📦 Precios Proforma'!$B$5:$B$104, 19), "")</f>
        <v>2 Pack Pepsi + Mirinda 3 Litro</v>
      </c>
      <c r="C23" s="18">
        <f>IF(B23="","",SUMIF('📈 Datos Completos'!$C$7:$C$5000, B23, '📈 Datos Completos'!$E$7:$E$5000))</f>
        <v>54</v>
      </c>
      <c r="D23" s="18">
        <f>IF(B23="","",SUMIF('📈 Datos Completos'!$C$7:$C$5000, B23, '📈 Datos Completos'!$H$7:$H$5000))</f>
        <v>162</v>
      </c>
      <c r="E23" s="19">
        <f>IF(B23="","",SUMIF('📈 Datos Completos'!$C$7:$C$5000, B23, '📈 Datos Completos'!$I$7:$I$5000))</f>
        <v>293.90999999999997</v>
      </c>
      <c r="F23" s="19">
        <f>IF(B23="","",SUMIF('📈 Datos Completos'!$C$7:$C$5000, B23, '📈 Datos Completos'!$J$7:$J$5000))</f>
        <v>197.28</v>
      </c>
      <c r="G23" s="19">
        <f>IF(B23="","",SUMIF('📈 Datos Completos'!$C$7:$C$5000, B23, '📈 Datos Completos'!$K$7:$K$5000))</f>
        <v>491.18999999999994</v>
      </c>
      <c r="H23" s="19">
        <f>IF(B23="","",SUMIF('📈 Datos Completos'!$C$7:$C$5000, B23, '📈 Datos Completos'!$L$7:$L$5000))</f>
        <v>4013.9886228260866</v>
      </c>
      <c r="I23" s="19">
        <f>IF(B23="","",SUMIF('📈 Datos Completos'!$C$7:$C$5000, B23, '📈 Datos Completos'!$M$7:$M$5000))</f>
        <v>14.58</v>
      </c>
      <c r="J23" s="19">
        <f>IF(B23="","",SUMIF('📈 Datos Completos'!$C$7:$C$5000, B23, '📈 Datos Completos'!$N$7:$N$5000))</f>
        <v>4028.5686228260865</v>
      </c>
      <c r="K23" s="19">
        <f>IF(B23="","",SUMIF('📈 Datos Completos'!$C$7:$C$5000, B23, '📈 Datos Completos'!$O$7:$O$5000))</f>
        <v>-3253.8786228260869</v>
      </c>
      <c r="L23" s="20">
        <f t="shared" si="0"/>
        <v>-6.6244805937134048</v>
      </c>
    </row>
    <row r="24" spans="2:12" ht="19.95" customHeight="1" x14ac:dyDescent="0.25">
      <c r="B24" s="17" t="str">
        <f>IFERROR(INDEX('📦 Precios Proforma'!$B$5:$B$104, 20), "")</f>
        <v>2 Pack Pepsi + Mirinda 3 lts</v>
      </c>
      <c r="C24" s="18">
        <f>IF(B24="","",SUMIF('📈 Datos Completos'!$C$7:$C$5000, B24, '📈 Datos Completos'!$E$7:$E$5000))</f>
        <v>0</v>
      </c>
      <c r="D24" s="18">
        <f>IF(B24="","",SUMIF('📈 Datos Completos'!$C$7:$C$5000, B24, '📈 Datos Completos'!$H$7:$H$5000))</f>
        <v>0</v>
      </c>
      <c r="E24" s="19">
        <f>IF(B24="","",SUMIF('📈 Datos Completos'!$C$7:$C$5000, B24, '📈 Datos Completos'!$I$7:$I$5000))</f>
        <v>0</v>
      </c>
      <c r="F24" s="19">
        <f>IF(B24="","",SUMIF('📈 Datos Completos'!$C$7:$C$5000, B24, '📈 Datos Completos'!$J$7:$J$5000))</f>
        <v>0</v>
      </c>
      <c r="G24" s="19">
        <f>IF(B24="","",SUMIF('📈 Datos Completos'!$C$7:$C$5000, B24, '📈 Datos Completos'!$K$7:$K$5000))</f>
        <v>0</v>
      </c>
      <c r="H24" s="19">
        <f>IF(B24="","",SUMIF('📈 Datos Completos'!$C$7:$C$5000, B24, '📈 Datos Completos'!$L$7:$L$5000))</f>
        <v>0</v>
      </c>
      <c r="I24" s="19">
        <f>IF(B24="","",SUMIF('📈 Datos Completos'!$C$7:$C$5000, B24, '📈 Datos Completos'!$M$7:$M$5000))</f>
        <v>0</v>
      </c>
      <c r="J24" s="19">
        <f>IF(B24="","",SUMIF('📈 Datos Completos'!$C$7:$C$5000, B24, '📈 Datos Completos'!$N$7:$N$5000))</f>
        <v>0</v>
      </c>
      <c r="K24" s="19">
        <f>IF(B24="","",SUMIF('📈 Datos Completos'!$C$7:$C$5000, B24, '📈 Datos Completos'!$O$7:$O$5000))</f>
        <v>0</v>
      </c>
      <c r="L24" s="20">
        <f t="shared" si="0"/>
        <v>0</v>
      </c>
    </row>
    <row r="25" spans="2:12" ht="19.95" customHeight="1" x14ac:dyDescent="0.25">
      <c r="B25" s="17" t="str">
        <f>IFERROR(INDEX('📦 Precios Proforma'!$B$5:$B$104, 21), "")</f>
        <v>2 Pack Pepsi + Roja 3 Litro</v>
      </c>
      <c r="C25" s="18">
        <f>IF(B25="","",SUMIF('📈 Datos Completos'!$C$7:$C$5000, B25, '📈 Datos Completos'!$E$7:$E$5000))</f>
        <v>14919</v>
      </c>
      <c r="D25" s="18">
        <f>IF(B25="","",SUMIF('📈 Datos Completos'!$C$7:$C$5000, B25, '📈 Datos Completos'!$H$7:$H$5000))</f>
        <v>44487</v>
      </c>
      <c r="E25" s="19">
        <f>IF(B25="","",SUMIF('📈 Datos Completos'!$C$7:$C$5000, B25, '📈 Datos Completos'!$I$7:$I$5000))</f>
        <v>82154.87</v>
      </c>
      <c r="F25" s="19">
        <f>IF(B25="","",SUMIF('📈 Datos Completos'!$C$7:$C$5000, B25, '📈 Datos Completos'!$J$7:$J$5000))</f>
        <v>54784.05000000001</v>
      </c>
      <c r="G25" s="19">
        <f>IF(B25="","",SUMIF('📈 Datos Completos'!$C$7:$C$5000, B25, '📈 Datos Completos'!$K$7:$K$5000))</f>
        <v>136938.92000000001</v>
      </c>
      <c r="H25" s="19">
        <f>IF(B25="","",SUMIF('📈 Datos Completos'!$C$7:$C$5000, B25, '📈 Datos Completos'!$L$7:$L$5000))</f>
        <v>73531.920620821518</v>
      </c>
      <c r="I25" s="19">
        <f>IF(B25="","",SUMIF('📈 Datos Completos'!$C$7:$C$5000, B25, '📈 Datos Completos'!$M$7:$M$5000))</f>
        <v>4003.829999999999</v>
      </c>
      <c r="J25" s="19">
        <f>IF(B25="","",SUMIF('📈 Datos Completos'!$C$7:$C$5000, B25, '📈 Datos Completos'!$N$7:$N$5000))</f>
        <v>77535.750620821535</v>
      </c>
      <c r="K25" s="19">
        <f>IF(B25="","",SUMIF('📈 Datos Completos'!$C$7:$C$5000, B25, '📈 Datos Completos'!$O$7:$O$5000))</f>
        <v>59653.316438002017</v>
      </c>
      <c r="L25" s="20">
        <f t="shared" si="0"/>
        <v>0.43561988394535323</v>
      </c>
    </row>
    <row r="26" spans="2:12" ht="19.95" customHeight="1" x14ac:dyDescent="0.25">
      <c r="B26" s="17" t="str">
        <f>IFERROR(INDEX('📦 Precios Proforma'!$B$5:$B$104, 22), "")</f>
        <v>2 Pack Pepsi + Rojita 3 Lts</v>
      </c>
      <c r="C26" s="18">
        <f>IF(B26="","",SUMIF('📈 Datos Completos'!$C$7:$C$5000, B26, '📈 Datos Completos'!$E$7:$E$5000))</f>
        <v>1788</v>
      </c>
      <c r="D26" s="18">
        <f>IF(B26="","",SUMIF('📈 Datos Completos'!$C$7:$C$5000, B26, '📈 Datos Completos'!$H$7:$H$5000))</f>
        <v>5364</v>
      </c>
      <c r="E26" s="19">
        <f>IF(B26="","",SUMIF('📈 Datos Completos'!$C$7:$C$5000, B26, '📈 Datos Completos'!$I$7:$I$5000))</f>
        <v>9508.7099999999991</v>
      </c>
      <c r="F26" s="19">
        <f>IF(B26="","",SUMIF('📈 Datos Completos'!$C$7:$C$5000, B26, '📈 Datos Completos'!$J$7:$J$5000))</f>
        <v>6381.5400000000009</v>
      </c>
      <c r="G26" s="19">
        <f>IF(B26="","",SUMIF('📈 Datos Completos'!$C$7:$C$5000, B26, '📈 Datos Completos'!$K$7:$K$5000))</f>
        <v>15890.25</v>
      </c>
      <c r="H26" s="19">
        <f>IF(B26="","",SUMIF('📈 Datos Completos'!$C$7:$C$5000, B26, '📈 Datos Completos'!$L$7:$L$5000))</f>
        <v>10597.592412394404</v>
      </c>
      <c r="I26" s="19">
        <f>IF(B26="","",SUMIF('📈 Datos Completos'!$C$7:$C$5000, B26, '📈 Datos Completos'!$M$7:$M$5000))</f>
        <v>482.75999999999993</v>
      </c>
      <c r="J26" s="19">
        <f>IF(B26="","",SUMIF('📈 Datos Completos'!$C$7:$C$5000, B26, '📈 Datos Completos'!$N$7:$N$5000))</f>
        <v>11080.352412394404</v>
      </c>
      <c r="K26" s="19">
        <f>IF(B26="","",SUMIF('📈 Datos Completos'!$C$7:$C$5000, B26, '📈 Datos Completos'!$O$7:$O$5000))</f>
        <v>4809.8975876055956</v>
      </c>
      <c r="L26" s="20">
        <f t="shared" si="0"/>
        <v>0.3026948970346971</v>
      </c>
    </row>
    <row r="27" spans="2:12" ht="19.95" customHeight="1" x14ac:dyDescent="0.3">
      <c r="B27" s="17" t="str">
        <f>IFERROR(INDEX('📦 Precios Proforma'!$B$5:$B$104, 23), "")</f>
        <v>2 Pack Pepsi + Toronja 3 Litro</v>
      </c>
      <c r="C27" s="18">
        <f>IF(B27="","",SUMIF('📈 Datos Completos'!$C$7:$C$5000, B27, '📈 Datos Completos'!$E$7:$E$5000))</f>
        <v>1620</v>
      </c>
      <c r="D27" s="18">
        <f>IF(B27="","",SUMIF('📈 Datos Completos'!$C$7:$C$5000, B27, '📈 Datos Completos'!$H$7:$H$5000))</f>
        <v>4860</v>
      </c>
      <c r="E27" s="19">
        <f>IF(B27="","",SUMIF('📈 Datos Completos'!$C$7:$C$5000, B27, '📈 Datos Completos'!$I$7:$I$5000))</f>
        <v>8137.8</v>
      </c>
      <c r="F27" s="19">
        <f>IF(B27="","",SUMIF('📈 Datos Completos'!$C$7:$C$5000, B27, '📈 Datos Completos'!$J$7:$J$5000))</f>
        <v>5459.4000000000005</v>
      </c>
      <c r="G27" s="19">
        <f>IF(B27="","",SUMIF('📈 Datos Completos'!$C$7:$C$5000, B27, '📈 Datos Completos'!$K$7:$K$5000))</f>
        <v>13597.2</v>
      </c>
      <c r="H27" s="19">
        <f>IF(B27="","",SUMIF('📈 Datos Completos'!$C$7:$C$5000, B27, '📈 Datos Completos'!$L$7:$L$5000))</f>
        <v>16092.428627581821</v>
      </c>
      <c r="I27" s="19">
        <f>IF(B27="","",SUMIF('📈 Datos Completos'!$C$7:$C$5000, B27, '📈 Datos Completos'!$M$7:$M$5000))</f>
        <v>437.39999999999992</v>
      </c>
      <c r="J27" s="19">
        <f>IF(B27="","",SUMIF('📈 Datos Completos'!$C$7:$C$5000, B27, '📈 Datos Completos'!$N$7:$N$5000))</f>
        <v>16529.828627581821</v>
      </c>
      <c r="K27" s="19">
        <f>IF(B27="","",SUMIF('📈 Datos Completos'!$C$7:$C$5000, B27, '📈 Datos Completos'!$O$7:$O$5000))</f>
        <v>-2932.6286275818215</v>
      </c>
      <c r="L27" s="20">
        <f t="shared" si="0"/>
        <v>-0.21567886238209494</v>
      </c>
    </row>
    <row r="28" spans="2:12" ht="19.95" customHeight="1" x14ac:dyDescent="0.3">
      <c r="B28" s="17" t="str">
        <f>IFERROR(INDEX('📦 Precios Proforma'!$B$5:$B$104, 24), "")</f>
        <v>24 Pack Gatorade Surtido</v>
      </c>
      <c r="C28" s="18">
        <f>IF(B28="","",SUMIF('📈 Datos Completos'!$C$7:$C$5000, B28, '📈 Datos Completos'!$E$7:$E$5000))</f>
        <v>2570</v>
      </c>
      <c r="D28" s="18">
        <f>IF(B28="","",SUMIF('📈 Datos Completos'!$C$7:$C$5000, B28, '📈 Datos Completos'!$H$7:$H$5000))</f>
        <v>2570</v>
      </c>
      <c r="E28" s="19">
        <f>IF(B28="","",SUMIF('📈 Datos Completos'!$C$7:$C$5000, B28, '📈 Datos Completos'!$I$7:$I$5000))</f>
        <v>17556.300000000003</v>
      </c>
      <c r="F28" s="19">
        <f>IF(B28="","",SUMIF('📈 Datos Completos'!$C$7:$C$5000, B28, '📈 Datos Completos'!$J$7:$J$5000))</f>
        <v>2867.7000000000003</v>
      </c>
      <c r="G28" s="19">
        <f>IF(B28="","",SUMIF('📈 Datos Completos'!$C$7:$C$5000, B28, '📈 Datos Completos'!$K$7:$K$5000))</f>
        <v>20424</v>
      </c>
      <c r="H28" s="19">
        <f>IF(B28="","",SUMIF('📈 Datos Completos'!$C$7:$C$5000, B28, '📈 Datos Completos'!$L$7:$L$5000))</f>
        <v>15901.716763267532</v>
      </c>
      <c r="I28" s="19">
        <f>IF(B28="","",SUMIF('📈 Datos Completos'!$C$7:$C$5000, B28, '📈 Datos Completos'!$M$7:$M$5000))</f>
        <v>231.29999999999998</v>
      </c>
      <c r="J28" s="19">
        <f>IF(B28="","",SUMIF('📈 Datos Completos'!$C$7:$C$5000, B28, '📈 Datos Completos'!$N$7:$N$5000))</f>
        <v>16133.016763267531</v>
      </c>
      <c r="K28" s="19">
        <f>IF(B28="","",SUMIF('📈 Datos Completos'!$C$7:$C$5000, B28, '📈 Datos Completos'!$O$7:$O$5000))</f>
        <v>4290.9832367324689</v>
      </c>
      <c r="L28" s="20">
        <f t="shared" si="0"/>
        <v>0.21009514476755137</v>
      </c>
    </row>
    <row r="29" spans="2:12" ht="19.95" customHeight="1" x14ac:dyDescent="0.3">
      <c r="B29" s="17" t="str">
        <f>IFERROR(INDEX('📦 Precios Proforma'!$B$5:$B$104, 25), "")</f>
        <v>24 PACK GATORADE SURTIDO 500ML</v>
      </c>
      <c r="C29" s="18">
        <f>IF(B29="","",SUMIF('📈 Datos Completos'!$C$7:$C$5000, B29, '📈 Datos Completos'!$E$7:$E$5000))</f>
        <v>0</v>
      </c>
      <c r="D29" s="18">
        <f>IF(B29="","",SUMIF('📈 Datos Completos'!$C$7:$C$5000, B29, '📈 Datos Completos'!$H$7:$H$5000))</f>
        <v>0</v>
      </c>
      <c r="E29" s="19">
        <f>IF(B29="","",SUMIF('📈 Datos Completos'!$C$7:$C$5000, B29, '📈 Datos Completos'!$I$7:$I$5000))</f>
        <v>0</v>
      </c>
      <c r="F29" s="19">
        <f>IF(B29="","",SUMIF('📈 Datos Completos'!$C$7:$C$5000, B29, '📈 Datos Completos'!$J$7:$J$5000))</f>
        <v>0</v>
      </c>
      <c r="G29" s="19">
        <f>IF(B29="","",SUMIF('📈 Datos Completos'!$C$7:$C$5000, B29, '📈 Datos Completos'!$K$7:$K$5000))</f>
        <v>0</v>
      </c>
      <c r="H29" s="19">
        <f>IF(B29="","",SUMIF('📈 Datos Completos'!$C$7:$C$5000, B29, '📈 Datos Completos'!$L$7:$L$5000))</f>
        <v>0</v>
      </c>
      <c r="I29" s="19">
        <f>IF(B29="","",SUMIF('📈 Datos Completos'!$C$7:$C$5000, B29, '📈 Datos Completos'!$M$7:$M$5000))</f>
        <v>0</v>
      </c>
      <c r="J29" s="19">
        <f>IF(B29="","",SUMIF('📈 Datos Completos'!$C$7:$C$5000, B29, '📈 Datos Completos'!$N$7:$N$5000))</f>
        <v>0</v>
      </c>
      <c r="K29" s="19">
        <f>IF(B29="","",SUMIF('📈 Datos Completos'!$C$7:$C$5000, B29, '📈 Datos Completos'!$O$7:$O$5000))</f>
        <v>0</v>
      </c>
      <c r="L29" s="20">
        <f t="shared" si="0"/>
        <v>0</v>
      </c>
    </row>
    <row r="30" spans="2:12" ht="19.95" customHeight="1" x14ac:dyDescent="0.3">
      <c r="B30" s="17" t="str">
        <f>IFERROR(INDEX('📦 Precios Proforma'!$B$5:$B$104, 26), "")</f>
        <v>24 Pack Gatorade Surtido 600 ML</v>
      </c>
      <c r="C30" s="18">
        <f>IF(B30="","",SUMIF('📈 Datos Completos'!$C$7:$C$5000, B30, '📈 Datos Completos'!$E$7:$E$5000))</f>
        <v>720</v>
      </c>
      <c r="D30" s="18">
        <f>IF(B30="","",SUMIF('📈 Datos Completos'!$C$7:$C$5000, B30, '📈 Datos Completos'!$H$7:$H$5000))</f>
        <v>720</v>
      </c>
      <c r="E30" s="19">
        <f>IF(B30="","",SUMIF('📈 Datos Completos'!$C$7:$C$5000, B30, '📈 Datos Completos'!$I$7:$I$5000))</f>
        <v>5445.6</v>
      </c>
      <c r="F30" s="19">
        <f>IF(B30="","",SUMIF('📈 Datos Completos'!$C$7:$C$5000, B30, '📈 Datos Completos'!$J$7:$J$5000))</f>
        <v>890.4</v>
      </c>
      <c r="G30" s="19">
        <f>IF(B30="","",SUMIF('📈 Datos Completos'!$C$7:$C$5000, B30, '📈 Datos Completos'!$K$7:$K$5000))</f>
        <v>6336</v>
      </c>
      <c r="H30" s="19">
        <f>IF(B30="","",SUMIF('📈 Datos Completos'!$C$7:$C$5000, B30, '📈 Datos Completos'!$L$7:$L$5000))</f>
        <v>6320.1741613355607</v>
      </c>
      <c r="I30" s="19">
        <f>IF(B30="","",SUMIF('📈 Datos Completos'!$C$7:$C$5000, B30, '📈 Datos Completos'!$M$7:$M$5000))</f>
        <v>64.8</v>
      </c>
      <c r="J30" s="19">
        <f>IF(B30="","",SUMIF('📈 Datos Completos'!$C$7:$C$5000, B30, '📈 Datos Completos'!$N$7:$N$5000))</f>
        <v>6384.9741613355609</v>
      </c>
      <c r="K30" s="19">
        <f>IF(B30="","",SUMIF('📈 Datos Completos'!$C$7:$C$5000, B30, '📈 Datos Completos'!$O$7:$O$5000))</f>
        <v>-48.974161335560666</v>
      </c>
      <c r="L30" s="20">
        <f t="shared" si="0"/>
        <v>-7.7295077865468225E-3</v>
      </c>
    </row>
    <row r="31" spans="2:12" ht="19.95" customHeight="1" x14ac:dyDescent="0.3">
      <c r="B31" s="17" t="str">
        <f>IFERROR(INDEX('📦 Precios Proforma'!$B$5:$B$104, 27), "")</f>
        <v>24 PACK PEPSI BLACK + SABORES 355ML LATA</v>
      </c>
      <c r="C31" s="18">
        <f>IF(B31="","",SUMIF('📈 Datos Completos'!$C$7:$C$5000, B31, '📈 Datos Completos'!$E$7:$E$5000))</f>
        <v>0</v>
      </c>
      <c r="D31" s="18">
        <f>IF(B31="","",SUMIF('📈 Datos Completos'!$C$7:$C$5000, B31, '📈 Datos Completos'!$H$7:$H$5000))</f>
        <v>0</v>
      </c>
      <c r="E31" s="19">
        <f>IF(B31="","",SUMIF('📈 Datos Completos'!$C$7:$C$5000, B31, '📈 Datos Completos'!$I$7:$I$5000))</f>
        <v>0</v>
      </c>
      <c r="F31" s="19">
        <f>IF(B31="","",SUMIF('📈 Datos Completos'!$C$7:$C$5000, B31, '📈 Datos Completos'!$J$7:$J$5000))</f>
        <v>0</v>
      </c>
      <c r="G31" s="19">
        <f>IF(B31="","",SUMIF('📈 Datos Completos'!$C$7:$C$5000, B31, '📈 Datos Completos'!$K$7:$K$5000))</f>
        <v>0</v>
      </c>
      <c r="H31" s="19">
        <f>IF(B31="","",SUMIF('📈 Datos Completos'!$C$7:$C$5000, B31, '📈 Datos Completos'!$L$7:$L$5000))</f>
        <v>0</v>
      </c>
      <c r="I31" s="19">
        <f>IF(B31="","",SUMIF('📈 Datos Completos'!$C$7:$C$5000, B31, '📈 Datos Completos'!$M$7:$M$5000))</f>
        <v>0</v>
      </c>
      <c r="J31" s="19">
        <f>IF(B31="","",SUMIF('📈 Datos Completos'!$C$7:$C$5000, B31, '📈 Datos Completos'!$N$7:$N$5000))</f>
        <v>0</v>
      </c>
      <c r="K31" s="19">
        <f>IF(B31="","",SUMIF('📈 Datos Completos'!$C$7:$C$5000, B31, '📈 Datos Completos'!$O$7:$O$5000))</f>
        <v>0</v>
      </c>
      <c r="L31" s="20">
        <f t="shared" si="0"/>
        <v>0</v>
      </c>
    </row>
    <row r="32" spans="2:12" ht="19.95" customHeight="1" x14ac:dyDescent="0.3">
      <c r="B32" s="17" t="str">
        <f>IFERROR(INDEX('📦 Precios Proforma'!$B$5:$B$104, 28), "")</f>
        <v>24 Pack pepsi Black lata</v>
      </c>
      <c r="C32" s="18">
        <f>IF(B32="","",SUMIF('📈 Datos Completos'!$C$7:$C$5000, B32, '📈 Datos Completos'!$E$7:$E$5000))</f>
        <v>0</v>
      </c>
      <c r="D32" s="18">
        <f>IF(B32="","",SUMIF('📈 Datos Completos'!$C$7:$C$5000, B32, '📈 Datos Completos'!$H$7:$H$5000))</f>
        <v>0</v>
      </c>
      <c r="E32" s="19">
        <f>IF(B32="","",SUMIF('📈 Datos Completos'!$C$7:$C$5000, B32, '📈 Datos Completos'!$I$7:$I$5000))</f>
        <v>0</v>
      </c>
      <c r="F32" s="19">
        <f>IF(B32="","",SUMIF('📈 Datos Completos'!$C$7:$C$5000, B32, '📈 Datos Completos'!$J$7:$J$5000))</f>
        <v>0</v>
      </c>
      <c r="G32" s="19">
        <f>IF(B32="","",SUMIF('📈 Datos Completos'!$C$7:$C$5000, B32, '📈 Datos Completos'!$K$7:$K$5000))</f>
        <v>0</v>
      </c>
      <c r="H32" s="19">
        <f>IF(B32="","",SUMIF('📈 Datos Completos'!$C$7:$C$5000, B32, '📈 Datos Completos'!$L$7:$L$5000))</f>
        <v>0</v>
      </c>
      <c r="I32" s="19">
        <f>IF(B32="","",SUMIF('📈 Datos Completos'!$C$7:$C$5000, B32, '📈 Datos Completos'!$M$7:$M$5000))</f>
        <v>0</v>
      </c>
      <c r="J32" s="19">
        <f>IF(B32="","",SUMIF('📈 Datos Completos'!$C$7:$C$5000, B32, '📈 Datos Completos'!$N$7:$N$5000))</f>
        <v>0</v>
      </c>
      <c r="K32" s="19">
        <f>IF(B32="","",SUMIF('📈 Datos Completos'!$C$7:$C$5000, B32, '📈 Datos Completos'!$O$7:$O$5000))</f>
        <v>0</v>
      </c>
      <c r="L32" s="20">
        <f t="shared" si="0"/>
        <v>0</v>
      </c>
    </row>
    <row r="33" spans="2:12" ht="19.95" customHeight="1" x14ac:dyDescent="0.3">
      <c r="B33" s="17" t="str">
        <f>IFERROR(INDEX('📦 Precios Proforma'!$B$5:$B$104, 29), "")</f>
        <v>24 Pack Soda Ensa Lata</v>
      </c>
      <c r="C33" s="18">
        <f>IF(B33="","",SUMIF('📈 Datos Completos'!$C$7:$C$5000, B33, '📈 Datos Completos'!$E$7:$E$5000))</f>
        <v>0</v>
      </c>
      <c r="D33" s="18">
        <f>IF(B33="","",SUMIF('📈 Datos Completos'!$C$7:$C$5000, B33, '📈 Datos Completos'!$H$7:$H$5000))</f>
        <v>0</v>
      </c>
      <c r="E33" s="19">
        <f>IF(B33="","",SUMIF('📈 Datos Completos'!$C$7:$C$5000, B33, '📈 Datos Completos'!$I$7:$I$5000))</f>
        <v>0</v>
      </c>
      <c r="F33" s="19">
        <f>IF(B33="","",SUMIF('📈 Datos Completos'!$C$7:$C$5000, B33, '📈 Datos Completos'!$J$7:$J$5000))</f>
        <v>0</v>
      </c>
      <c r="G33" s="19">
        <f>IF(B33="","",SUMIF('📈 Datos Completos'!$C$7:$C$5000, B33, '📈 Datos Completos'!$K$7:$K$5000))</f>
        <v>0</v>
      </c>
      <c r="H33" s="19">
        <f>IF(B33="","",SUMIF('📈 Datos Completos'!$C$7:$C$5000, B33, '📈 Datos Completos'!$L$7:$L$5000))</f>
        <v>0</v>
      </c>
      <c r="I33" s="19">
        <f>IF(B33="","",SUMIF('📈 Datos Completos'!$C$7:$C$5000, B33, '📈 Datos Completos'!$M$7:$M$5000))</f>
        <v>0</v>
      </c>
      <c r="J33" s="19">
        <f>IF(B33="","",SUMIF('📈 Datos Completos'!$C$7:$C$5000, B33, '📈 Datos Completos'!$N$7:$N$5000))</f>
        <v>0</v>
      </c>
      <c r="K33" s="19">
        <f>IF(B33="","",SUMIF('📈 Datos Completos'!$C$7:$C$5000, B33, '📈 Datos Completos'!$O$7:$O$5000))</f>
        <v>0</v>
      </c>
      <c r="L33" s="20">
        <f t="shared" si="0"/>
        <v>0</v>
      </c>
    </row>
    <row r="34" spans="2:12" ht="19.95" customHeight="1" x14ac:dyDescent="0.3">
      <c r="B34" s="17" t="str">
        <f>IFERROR(INDEX('📦 Precios Proforma'!$B$5:$B$104, 30), "")</f>
        <v>3 Pack Pepsi + Ensa Toronja 3 Lts</v>
      </c>
      <c r="C34" s="18">
        <f>IF(B34="","",SUMIF('📈 Datos Completos'!$C$7:$C$5000, B34, '📈 Datos Completos'!$E$7:$E$5000))</f>
        <v>0</v>
      </c>
      <c r="D34" s="18">
        <f>IF(B34="","",SUMIF('📈 Datos Completos'!$C$7:$C$5000, B34, '📈 Datos Completos'!$H$7:$H$5000))</f>
        <v>0</v>
      </c>
      <c r="E34" s="19">
        <f>IF(B34="","",SUMIF('📈 Datos Completos'!$C$7:$C$5000, B34, '📈 Datos Completos'!$I$7:$I$5000))</f>
        <v>0</v>
      </c>
      <c r="F34" s="19">
        <f>IF(B34="","",SUMIF('📈 Datos Completos'!$C$7:$C$5000, B34, '📈 Datos Completos'!$J$7:$J$5000))</f>
        <v>0</v>
      </c>
      <c r="G34" s="19">
        <f>IF(B34="","",SUMIF('📈 Datos Completos'!$C$7:$C$5000, B34, '📈 Datos Completos'!$K$7:$K$5000))</f>
        <v>0</v>
      </c>
      <c r="H34" s="19">
        <f>IF(B34="","",SUMIF('📈 Datos Completos'!$C$7:$C$5000, B34, '📈 Datos Completos'!$L$7:$L$5000))</f>
        <v>0</v>
      </c>
      <c r="I34" s="19">
        <f>IF(B34="","",SUMIF('📈 Datos Completos'!$C$7:$C$5000, B34, '📈 Datos Completos'!$M$7:$M$5000))</f>
        <v>0</v>
      </c>
      <c r="J34" s="19">
        <f>IF(B34="","",SUMIF('📈 Datos Completos'!$C$7:$C$5000, B34, '📈 Datos Completos'!$N$7:$N$5000))</f>
        <v>0</v>
      </c>
      <c r="K34" s="19">
        <f>IF(B34="","",SUMIF('📈 Datos Completos'!$C$7:$C$5000, B34, '📈 Datos Completos'!$O$7:$O$5000))</f>
        <v>0</v>
      </c>
      <c r="L34" s="20">
        <f t="shared" si="0"/>
        <v>0</v>
      </c>
    </row>
    <row r="35" spans="2:12" ht="19.95" customHeight="1" x14ac:dyDescent="0.3">
      <c r="B35" s="17" t="str">
        <f>IFERROR(INDEX('📦 Precios Proforma'!$B$5:$B$104, 31), "")</f>
        <v>3 Pack Pepsi + Roja + Campestre</v>
      </c>
      <c r="C35" s="18">
        <f>IF(B35="","",SUMIF('📈 Datos Completos'!$C$7:$C$5000, B35, '📈 Datos Completos'!$E$7:$E$5000))</f>
        <v>6776</v>
      </c>
      <c r="D35" s="18">
        <f>IF(B35="","",SUMIF('📈 Datos Completos'!$C$7:$C$5000, B35, '📈 Datos Completos'!$H$7:$H$5000))</f>
        <v>27030</v>
      </c>
      <c r="E35" s="19">
        <f>IF(B35="","",SUMIF('📈 Datos Completos'!$C$7:$C$5000, B35, '📈 Datos Completos'!$I$7:$I$5000))</f>
        <v>32575.42</v>
      </c>
      <c r="F35" s="19">
        <f>IF(B35="","",SUMIF('📈 Datos Completos'!$C$7:$C$5000, B35, '📈 Datos Completos'!$J$7:$J$5000))</f>
        <v>29251.9</v>
      </c>
      <c r="G35" s="19">
        <f>IF(B35="","",SUMIF('📈 Datos Completos'!$C$7:$C$5000, B35, '📈 Datos Completos'!$K$7:$K$5000))</f>
        <v>61827.319999999992</v>
      </c>
      <c r="H35" s="19">
        <f>IF(B35="","",SUMIF('📈 Datos Completos'!$C$7:$C$5000, B35, '📈 Datos Completos'!$L$7:$L$5000))</f>
        <v>36031.130614089023</v>
      </c>
      <c r="I35" s="19">
        <f>IF(B35="","",SUMIF('📈 Datos Completos'!$C$7:$C$5000, B35, '📈 Datos Completos'!$M$7:$M$5000))</f>
        <v>2432.6999999999998</v>
      </c>
      <c r="J35" s="19">
        <f>IF(B35="","",SUMIF('📈 Datos Completos'!$C$7:$C$5000, B35, '📈 Datos Completos'!$N$7:$N$5000))</f>
        <v>38463.83061408902</v>
      </c>
      <c r="K35" s="19">
        <f>IF(B35="","",SUMIF('📈 Datos Completos'!$C$7:$C$5000, B35, '📈 Datos Completos'!$O$7:$O$5000))</f>
        <v>28043.862000102185</v>
      </c>
      <c r="L35" s="20">
        <f t="shared" si="0"/>
        <v>0.45358365848790128</v>
      </c>
    </row>
    <row r="36" spans="2:12" ht="19.95" customHeight="1" x14ac:dyDescent="0.3">
      <c r="B36" s="17" t="str">
        <f>IFERROR(INDEX('📦 Precios Proforma'!$B$5:$B$104, 32), "")</f>
        <v>3 Pack Pepsi + Roja + Campestre 3 Litro</v>
      </c>
      <c r="C36" s="18">
        <f>IF(B36="","",SUMIF('📈 Datos Completos'!$C$7:$C$5000, B36, '📈 Datos Completos'!$E$7:$E$5000))</f>
        <v>1930</v>
      </c>
      <c r="D36" s="18">
        <f>IF(B36="","",SUMIF('📈 Datos Completos'!$C$7:$C$5000, B36, '📈 Datos Completos'!$H$7:$H$5000))</f>
        <v>7720</v>
      </c>
      <c r="E36" s="19">
        <f>IF(B36="","",SUMIF('📈 Datos Completos'!$C$7:$C$5000, B36, '📈 Datos Completos'!$I$7:$I$5000))</f>
        <v>9267.1999999999989</v>
      </c>
      <c r="F36" s="19">
        <f>IF(B36="","",SUMIF('📈 Datos Completos'!$C$7:$C$5000, B36, '📈 Datos Completos'!$J$7:$J$5000))</f>
        <v>8286.7999999999993</v>
      </c>
      <c r="G36" s="19">
        <f>IF(B36="","",SUMIF('📈 Datos Completos'!$C$7:$C$5000, B36, '📈 Datos Completos'!$K$7:$K$5000))</f>
        <v>17554</v>
      </c>
      <c r="H36" s="19">
        <f>IF(B36="","",SUMIF('📈 Datos Completos'!$C$7:$C$5000, B36, '📈 Datos Completos'!$L$7:$L$5000))</f>
        <v>9514.3562382249293</v>
      </c>
      <c r="I36" s="19">
        <f>IF(B36="","",SUMIF('📈 Datos Completos'!$C$7:$C$5000, B36, '📈 Datos Completos'!$M$7:$M$5000))</f>
        <v>694.8</v>
      </c>
      <c r="J36" s="19">
        <f>IF(B36="","",SUMIF('📈 Datos Completos'!$C$7:$C$5000, B36, '📈 Datos Completos'!$N$7:$N$5000))</f>
        <v>10209.156238224929</v>
      </c>
      <c r="K36" s="19">
        <f>IF(B36="","",SUMIF('📈 Datos Completos'!$C$7:$C$5000, B36, '📈 Datos Completos'!$O$7:$O$5000))</f>
        <v>7344.8437617750715</v>
      </c>
      <c r="L36" s="20">
        <f t="shared" si="0"/>
        <v>0.41841425098411028</v>
      </c>
    </row>
    <row r="37" spans="2:12" ht="19.95" customHeight="1" x14ac:dyDescent="0.3">
      <c r="B37" s="17" t="str">
        <f>IFERROR(INDEX('📦 Precios Proforma'!$B$5:$B$104, 33), "")</f>
        <v>3 Pack Pepsi + Roja  3 Litro</v>
      </c>
      <c r="C37" s="18">
        <f>IF(B37="","",SUMIF('📈 Datos Completos'!$C$7:$C$5000, B37, '📈 Datos Completos'!$E$7:$E$5000))</f>
        <v>0</v>
      </c>
      <c r="D37" s="18">
        <f>IF(B37="","",SUMIF('📈 Datos Completos'!$C$7:$C$5000, B37, '📈 Datos Completos'!$H$7:$H$5000))</f>
        <v>0</v>
      </c>
      <c r="E37" s="19">
        <f>IF(B37="","",SUMIF('📈 Datos Completos'!$C$7:$C$5000, B37, '📈 Datos Completos'!$I$7:$I$5000))</f>
        <v>0</v>
      </c>
      <c r="F37" s="19">
        <f>IF(B37="","",SUMIF('📈 Datos Completos'!$C$7:$C$5000, B37, '📈 Datos Completos'!$J$7:$J$5000))</f>
        <v>0</v>
      </c>
      <c r="G37" s="19">
        <f>IF(B37="","",SUMIF('📈 Datos Completos'!$C$7:$C$5000, B37, '📈 Datos Completos'!$K$7:$K$5000))</f>
        <v>0</v>
      </c>
      <c r="H37" s="19">
        <f>IF(B37="","",SUMIF('📈 Datos Completos'!$C$7:$C$5000, B37, '📈 Datos Completos'!$L$7:$L$5000))</f>
        <v>0</v>
      </c>
      <c r="I37" s="19">
        <f>IF(B37="","",SUMIF('📈 Datos Completos'!$C$7:$C$5000, B37, '📈 Datos Completos'!$M$7:$M$5000))</f>
        <v>0</v>
      </c>
      <c r="J37" s="19">
        <f>IF(B37="","",SUMIF('📈 Datos Completos'!$C$7:$C$5000, B37, '📈 Datos Completos'!$N$7:$N$5000))</f>
        <v>0</v>
      </c>
      <c r="K37" s="19">
        <f>IF(B37="","",SUMIF('📈 Datos Completos'!$C$7:$C$5000, B37, '📈 Datos Completos'!$O$7:$O$5000))</f>
        <v>0</v>
      </c>
      <c r="L37" s="20">
        <f t="shared" ref="L37:L68" si="1">IF(B37="","",IF(G37=0, 0, K37/G37))</f>
        <v>0</v>
      </c>
    </row>
    <row r="38" spans="2:12" ht="19.95" customHeight="1" x14ac:dyDescent="0.3">
      <c r="B38" s="17" t="str">
        <f>IFERROR(INDEX('📦 Precios Proforma'!$B$5:$B$104, 34), "")</f>
        <v>3 Pack Pepsi + Rojita + Toronja 3 Lts</v>
      </c>
      <c r="C38" s="18">
        <f>IF(B38="","",SUMIF('📈 Datos Completos'!$C$7:$C$5000, B38, '📈 Datos Completos'!$E$7:$E$5000))</f>
        <v>60</v>
      </c>
      <c r="D38" s="18">
        <f>IF(B38="","",SUMIF('📈 Datos Completos'!$C$7:$C$5000, B38, '📈 Datos Completos'!$H$7:$H$5000))</f>
        <v>240</v>
      </c>
      <c r="E38" s="19">
        <f>IF(B38="","",SUMIF('📈 Datos Completos'!$C$7:$C$5000, B38, '📈 Datos Completos'!$I$7:$I$5000))</f>
        <v>271.2</v>
      </c>
      <c r="F38" s="19">
        <f>IF(B38="","",SUMIF('📈 Datos Completos'!$C$7:$C$5000, B38, '📈 Datos Completos'!$J$7:$J$5000))</f>
        <v>242.4</v>
      </c>
      <c r="G38" s="19">
        <f>IF(B38="","",SUMIF('📈 Datos Completos'!$C$7:$C$5000, B38, '📈 Datos Completos'!$K$7:$K$5000))</f>
        <v>513.6</v>
      </c>
      <c r="H38" s="19">
        <f>IF(B38="","",SUMIF('📈 Datos Completos'!$C$7:$C$5000, B38, '📈 Datos Completos'!$L$7:$L$5000))</f>
        <v>164.49620652173914</v>
      </c>
      <c r="I38" s="19">
        <f>IF(B38="","",SUMIF('📈 Datos Completos'!$C$7:$C$5000, B38, '📈 Datos Completos'!$M$7:$M$5000))</f>
        <v>21.599999999999998</v>
      </c>
      <c r="J38" s="19">
        <f>IF(B38="","",SUMIF('📈 Datos Completos'!$C$7:$C$5000, B38, '📈 Datos Completos'!$N$7:$N$5000))</f>
        <v>186.09620652173913</v>
      </c>
      <c r="K38" s="19">
        <f>IF(B38="","",SUMIF('📈 Datos Completos'!$C$7:$C$5000, B38, '📈 Datos Completos'!$O$7:$O$5000))</f>
        <v>327.50379347826089</v>
      </c>
      <c r="L38" s="20">
        <f t="shared" si="1"/>
        <v>0.63766314929567924</v>
      </c>
    </row>
    <row r="39" spans="2:12" ht="19.95" customHeight="1" x14ac:dyDescent="0.3">
      <c r="B39" s="17" t="str">
        <f>IFERROR(INDEX('📦 Precios Proforma'!$B$5:$B$104, 35), "")</f>
        <v>3 Pack Pepsi + Rojita + Ensa Toronja 3 Lts</v>
      </c>
      <c r="C39" s="18">
        <f>IF(B39="","",SUMIF('📈 Datos Completos'!$C$7:$C$5000, B39, '📈 Datos Completos'!$E$7:$E$5000))</f>
        <v>160</v>
      </c>
      <c r="D39" s="18">
        <f>IF(B39="","",SUMIF('📈 Datos Completos'!$C$7:$C$5000, B39, '📈 Datos Completos'!$H$7:$H$5000))</f>
        <v>640</v>
      </c>
      <c r="E39" s="19">
        <f>IF(B39="","",SUMIF('📈 Datos Completos'!$C$7:$C$5000, B39, '📈 Datos Completos'!$I$7:$I$5000))</f>
        <v>723.19999999999993</v>
      </c>
      <c r="F39" s="19">
        <f>IF(B39="","",SUMIF('📈 Datos Completos'!$C$7:$C$5000, B39, '📈 Datos Completos'!$J$7:$J$5000))</f>
        <v>646.4</v>
      </c>
      <c r="G39" s="19">
        <f>IF(B39="","",SUMIF('📈 Datos Completos'!$C$7:$C$5000, B39, '📈 Datos Completos'!$K$7:$K$5000))</f>
        <v>1369.6</v>
      </c>
      <c r="H39" s="19">
        <f>IF(B39="","",SUMIF('📈 Datos Completos'!$C$7:$C$5000, B39, '📈 Datos Completos'!$L$7:$L$5000))</f>
        <v>1197.5193669634027</v>
      </c>
      <c r="I39" s="19">
        <f>IF(B39="","",SUMIF('📈 Datos Completos'!$C$7:$C$5000, B39, '📈 Datos Completos'!$M$7:$M$5000))</f>
        <v>57.599999999999994</v>
      </c>
      <c r="J39" s="19">
        <f>IF(B39="","",SUMIF('📈 Datos Completos'!$C$7:$C$5000, B39, '📈 Datos Completos'!$N$7:$N$5000))</f>
        <v>1255.1193669634026</v>
      </c>
      <c r="K39" s="19">
        <f>IF(B39="","",SUMIF('📈 Datos Completos'!$C$7:$C$5000, B39, '📈 Datos Completos'!$O$7:$O$5000))</f>
        <v>114.48063303659728</v>
      </c>
      <c r="L39" s="20">
        <f t="shared" si="1"/>
        <v>8.3586910803590306E-2</v>
      </c>
    </row>
    <row r="40" spans="2:12" ht="19.95" customHeight="1" x14ac:dyDescent="0.3">
      <c r="B40" s="17" t="str">
        <f>IFERROR(INDEX('📦 Precios Proforma'!$B$5:$B$104, 36), "")</f>
        <v>4 Pack Gatorade Surtido 500 ML</v>
      </c>
      <c r="C40" s="18">
        <f>IF(B40="","",SUMIF('📈 Datos Completos'!$C$7:$C$5000, B40, '📈 Datos Completos'!$E$7:$E$5000))</f>
        <v>873</v>
      </c>
      <c r="D40" s="18">
        <f>IF(B40="","",SUMIF('📈 Datos Completos'!$C$7:$C$5000, B40, '📈 Datos Completos'!$H$7:$H$5000))</f>
        <v>813</v>
      </c>
      <c r="E40" s="19">
        <f>IF(B40="","",SUMIF('📈 Datos Completos'!$C$7:$C$5000, B40, '📈 Datos Completos'!$I$7:$I$5000))</f>
        <v>5214.0000000000009</v>
      </c>
      <c r="F40" s="19">
        <f>IF(B40="","",SUMIF('📈 Datos Completos'!$C$7:$C$5000, B40, '📈 Datos Completos'!$J$7:$J$5000))</f>
        <v>1032.2700000000002</v>
      </c>
      <c r="G40" s="19">
        <f>IF(B40="","",SUMIF('📈 Datos Completos'!$C$7:$C$5000, B40, '📈 Datos Completos'!$K$7:$K$5000))</f>
        <v>6246.27</v>
      </c>
      <c r="H40" s="19">
        <f>IF(B40="","",SUMIF('📈 Datos Completos'!$C$7:$C$5000, B40, '📈 Datos Completos'!$L$7:$L$5000))</f>
        <v>6489.6929671027983</v>
      </c>
      <c r="I40" s="19">
        <f>IF(B40="","",SUMIF('📈 Datos Completos'!$C$7:$C$5000, B40, '📈 Datos Completos'!$M$7:$M$5000))</f>
        <v>73.169999999999987</v>
      </c>
      <c r="J40" s="19">
        <f>IF(B40="","",SUMIF('📈 Datos Completos'!$C$7:$C$5000, B40, '📈 Datos Completos'!$N$7:$N$5000))</f>
        <v>6562.8629671027984</v>
      </c>
      <c r="K40" s="19">
        <f>IF(B40="","",SUMIF('📈 Datos Completos'!$C$7:$C$5000, B40, '📈 Datos Completos'!$O$7:$O$5000))</f>
        <v>-316.59296710279875</v>
      </c>
      <c r="L40" s="20">
        <f t="shared" si="1"/>
        <v>-5.0685123618223152E-2</v>
      </c>
    </row>
    <row r="41" spans="2:12" ht="19.95" customHeight="1" x14ac:dyDescent="0.3">
      <c r="B41" s="17" t="str">
        <f>IFERROR(INDEX('📦 Precios Proforma'!$B$5:$B$104, 37), "")</f>
        <v>4 Pack Pepsi + Roja</v>
      </c>
      <c r="C41" s="18">
        <f>IF(B41="","",SUMIF('📈 Datos Completos'!$C$7:$C$5000, B41, '📈 Datos Completos'!$E$7:$E$5000))</f>
        <v>165</v>
      </c>
      <c r="D41" s="18">
        <f>IF(B41="","",SUMIF('📈 Datos Completos'!$C$7:$C$5000, B41, '📈 Datos Completos'!$H$7:$H$5000))</f>
        <v>825</v>
      </c>
      <c r="E41" s="19">
        <f>IF(B41="","",SUMIF('📈 Datos Completos'!$C$7:$C$5000, B41, '📈 Datos Completos'!$I$7:$I$5000))</f>
        <v>994.95</v>
      </c>
      <c r="F41" s="19">
        <f>IF(B41="","",SUMIF('📈 Datos Completos'!$C$7:$C$5000, B41, '📈 Datos Completos'!$J$7:$J$5000))</f>
        <v>1113.75</v>
      </c>
      <c r="G41" s="19">
        <f>IF(B41="","",SUMIF('📈 Datos Completos'!$C$7:$C$5000, B41, '📈 Datos Completos'!$K$7:$K$5000))</f>
        <v>2108.6999999999998</v>
      </c>
      <c r="H41" s="19">
        <f>IF(B41="","",SUMIF('📈 Datos Completos'!$C$7:$C$5000, B41, '📈 Datos Completos'!$L$7:$L$5000))</f>
        <v>708.7126240208878</v>
      </c>
      <c r="I41" s="19">
        <f>IF(B41="","",SUMIF('📈 Datos Completos'!$C$7:$C$5000, B41, '📈 Datos Completos'!$M$7:$M$5000))</f>
        <v>74.25</v>
      </c>
      <c r="J41" s="19">
        <f>IF(B41="","",SUMIF('📈 Datos Completos'!$C$7:$C$5000, B41, '📈 Datos Completos'!$N$7:$N$5000))</f>
        <v>782.9626240208878</v>
      </c>
      <c r="K41" s="19">
        <f>IF(B41="","",SUMIF('📈 Datos Completos'!$C$7:$C$5000, B41, '📈 Datos Completos'!$O$7:$O$5000))</f>
        <v>1325.7373759791121</v>
      </c>
      <c r="L41" s="20">
        <f t="shared" si="1"/>
        <v>0.62869890263153239</v>
      </c>
    </row>
    <row r="42" spans="2:12" ht="19.95" customHeight="1" x14ac:dyDescent="0.3">
      <c r="B42" s="17" t="str">
        <f>IFERROR(INDEX('📦 Precios Proforma'!$B$5:$B$104, 38), "")</f>
        <v>4 Pack Pepsi + Roja + Toronja</v>
      </c>
      <c r="C42" s="18">
        <f>IF(B42="","",SUMIF('📈 Datos Completos'!$C$7:$C$5000, B42, '📈 Datos Completos'!$E$7:$E$5000))</f>
        <v>6597</v>
      </c>
      <c r="D42" s="18">
        <f>IF(B42="","",SUMIF('📈 Datos Completos'!$C$7:$C$5000, B42, '📈 Datos Completos'!$H$7:$H$5000))</f>
        <v>36757</v>
      </c>
      <c r="E42" s="19">
        <f>IF(B42="","",SUMIF('📈 Datos Completos'!$C$7:$C$5000, B42, '📈 Datos Completos'!$I$7:$I$5000))</f>
        <v>37937.709999999992</v>
      </c>
      <c r="F42" s="19">
        <f>IF(B42="","",SUMIF('📈 Datos Completos'!$C$7:$C$5000, B42, '📈 Datos Completos'!$J$7:$J$5000))</f>
        <v>47547.95</v>
      </c>
      <c r="G42" s="19">
        <f>IF(B42="","",SUMIF('📈 Datos Completos'!$C$7:$C$5000, B42, '📈 Datos Completos'!$K$7:$K$5000))</f>
        <v>85485.660000000018</v>
      </c>
      <c r="H42" s="19">
        <f>IF(B42="","",SUMIF('📈 Datos Completos'!$C$7:$C$5000, B42, '📈 Datos Completos'!$L$7:$L$5000))</f>
        <v>51211.233102075828</v>
      </c>
      <c r="I42" s="19">
        <f>IF(B42="","",SUMIF('📈 Datos Completos'!$C$7:$C$5000, B42, '📈 Datos Completos'!$M$7:$M$5000))</f>
        <v>3308.1299999999992</v>
      </c>
      <c r="J42" s="19">
        <f>IF(B42="","",SUMIF('📈 Datos Completos'!$C$7:$C$5000, B42, '📈 Datos Completos'!$N$7:$N$5000))</f>
        <v>54519.363102075833</v>
      </c>
      <c r="K42" s="19">
        <f>IF(B42="","",SUMIF('📈 Datos Completos'!$C$7:$C$5000, B42, '📈 Datos Completos'!$O$7:$O$5000))</f>
        <v>31872.077530335235</v>
      </c>
      <c r="L42" s="20">
        <f t="shared" si="1"/>
        <v>0.37283536829844011</v>
      </c>
    </row>
    <row r="43" spans="2:12" ht="19.95" customHeight="1" x14ac:dyDescent="0.3">
      <c r="B43" s="17" t="str">
        <f>IFERROR(INDEX('📦 Precios Proforma'!$B$5:$B$104, 39), "")</f>
        <v>4 Pack Pepsi + Rojita + Toronja 3 lts</v>
      </c>
      <c r="C43" s="18">
        <f>IF(B43="","",SUMIF('📈 Datos Completos'!$C$7:$C$5000, B43, '📈 Datos Completos'!$E$7:$E$5000))</f>
        <v>1007</v>
      </c>
      <c r="D43" s="18">
        <f>IF(B43="","",SUMIF('📈 Datos Completos'!$C$7:$C$5000, B43, '📈 Datos Completos'!$H$7:$H$5000))</f>
        <v>5035</v>
      </c>
      <c r="E43" s="19">
        <f>IF(B43="","",SUMIF('📈 Datos Completos'!$C$7:$C$5000, B43, '📈 Datos Completos'!$I$7:$I$5000))</f>
        <v>5347.41</v>
      </c>
      <c r="F43" s="19">
        <f>IF(B43="","",SUMIF('📈 Datos Completos'!$C$7:$C$5000, B43, '📈 Datos Completos'!$J$7:$J$5000))</f>
        <v>5981.25</v>
      </c>
      <c r="G43" s="19">
        <f>IF(B43="","",SUMIF('📈 Datos Completos'!$C$7:$C$5000, B43, '📈 Datos Completos'!$K$7:$K$5000))</f>
        <v>11328.66</v>
      </c>
      <c r="H43" s="19">
        <f>IF(B43="","",SUMIF('📈 Datos Completos'!$C$7:$C$5000, B43, '📈 Datos Completos'!$L$7:$L$5000))</f>
        <v>8069.2071601743819</v>
      </c>
      <c r="I43" s="19">
        <f>IF(B43="","",SUMIF('📈 Datos Completos'!$C$7:$C$5000, B43, '📈 Datos Completos'!$M$7:$M$5000))</f>
        <v>453.15</v>
      </c>
      <c r="J43" s="19">
        <f>IF(B43="","",SUMIF('📈 Datos Completos'!$C$7:$C$5000, B43, '📈 Datos Completos'!$N$7:$N$5000))</f>
        <v>8522.3571601743824</v>
      </c>
      <c r="K43" s="19">
        <f>IF(B43="","",SUMIF('📈 Datos Completos'!$C$7:$C$5000, B43, '📈 Datos Completos'!$O$7:$O$5000))</f>
        <v>2806.3028398256188</v>
      </c>
      <c r="L43" s="20">
        <f t="shared" si="1"/>
        <v>0.24771710333134006</v>
      </c>
    </row>
    <row r="44" spans="2:12" ht="19.95" customHeight="1" x14ac:dyDescent="0.3">
      <c r="B44" s="17" t="str">
        <f>IFERROR(INDEX('📦 Precios Proforma'!$B$5:$B$104, 40), "")</f>
        <v>6 Pack Lipton 250ml Tetra</v>
      </c>
      <c r="C44" s="18">
        <f>IF(B44="","",SUMIF('📈 Datos Completos'!$C$7:$C$5000, B44, '📈 Datos Completos'!$E$7:$E$5000))</f>
        <v>0</v>
      </c>
      <c r="D44" s="18">
        <f>IF(B44="","",SUMIF('📈 Datos Completos'!$C$7:$C$5000, B44, '📈 Datos Completos'!$H$7:$H$5000))</f>
        <v>0</v>
      </c>
      <c r="E44" s="19">
        <f>IF(B44="","",SUMIF('📈 Datos Completos'!$C$7:$C$5000, B44, '📈 Datos Completos'!$I$7:$I$5000))</f>
        <v>0</v>
      </c>
      <c r="F44" s="19">
        <f>IF(B44="","",SUMIF('📈 Datos Completos'!$C$7:$C$5000, B44, '📈 Datos Completos'!$J$7:$J$5000))</f>
        <v>0</v>
      </c>
      <c r="G44" s="19">
        <f>IF(B44="","",SUMIF('📈 Datos Completos'!$C$7:$C$5000, B44, '📈 Datos Completos'!$K$7:$K$5000))</f>
        <v>0</v>
      </c>
      <c r="H44" s="19">
        <f>IF(B44="","",SUMIF('📈 Datos Completos'!$C$7:$C$5000, B44, '📈 Datos Completos'!$L$7:$L$5000))</f>
        <v>0</v>
      </c>
      <c r="I44" s="19">
        <f>IF(B44="","",SUMIF('📈 Datos Completos'!$C$7:$C$5000, B44, '📈 Datos Completos'!$M$7:$M$5000))</f>
        <v>0</v>
      </c>
      <c r="J44" s="19">
        <f>IF(B44="","",SUMIF('📈 Datos Completos'!$C$7:$C$5000, B44, '📈 Datos Completos'!$N$7:$N$5000))</f>
        <v>0</v>
      </c>
      <c r="K44" s="19">
        <f>IF(B44="","",SUMIF('📈 Datos Completos'!$C$7:$C$5000, B44, '📈 Datos Completos'!$O$7:$O$5000))</f>
        <v>0</v>
      </c>
      <c r="L44" s="20">
        <f t="shared" si="1"/>
        <v>0</v>
      </c>
    </row>
    <row r="45" spans="2:12" ht="19.95" customHeight="1" x14ac:dyDescent="0.3">
      <c r="B45" s="17" t="str">
        <f>IFERROR(INDEX('📦 Precios Proforma'!$B$5:$B$104, 41), "")</f>
        <v>8 Pack Pepsi Black</v>
      </c>
      <c r="C45" s="18">
        <f>IF(B45="","",SUMIF('📈 Datos Completos'!$C$7:$C$5000, B45, '📈 Datos Completos'!$E$7:$E$5000))</f>
        <v>1798</v>
      </c>
      <c r="D45" s="18">
        <f>IF(B45="","",SUMIF('📈 Datos Completos'!$C$7:$C$5000, B45, '📈 Datos Completos'!$H$7:$H$5000))</f>
        <v>7180</v>
      </c>
      <c r="E45" s="19">
        <f>IF(B45="","",SUMIF('📈 Datos Completos'!$C$7:$C$5000, B45, '📈 Datos Completos'!$I$7:$I$5000))</f>
        <v>9881.58</v>
      </c>
      <c r="F45" s="19">
        <f>IF(B45="","",SUMIF('📈 Datos Completos'!$C$7:$C$5000, B45, '📈 Datos Completos'!$J$7:$J$5000))</f>
        <v>8187.48</v>
      </c>
      <c r="G45" s="19">
        <f>IF(B45="","",SUMIF('📈 Datos Completos'!$C$7:$C$5000, B45, '📈 Datos Completos'!$K$7:$K$5000))</f>
        <v>18069.060000000001</v>
      </c>
      <c r="H45" s="19">
        <f>IF(B45="","",SUMIF('📈 Datos Completos'!$C$7:$C$5000, B45, '📈 Datos Completos'!$L$7:$L$5000))</f>
        <v>18710.442538175103</v>
      </c>
      <c r="I45" s="19">
        <f>IF(B45="","",SUMIF('📈 Datos Completos'!$C$7:$C$5000, B45, '📈 Datos Completos'!$M$7:$M$5000))</f>
        <v>646.20000000000005</v>
      </c>
      <c r="J45" s="19">
        <f>IF(B45="","",SUMIF('📈 Datos Completos'!$C$7:$C$5000, B45, '📈 Datos Completos'!$N$7:$N$5000))</f>
        <v>19356.642538175103</v>
      </c>
      <c r="K45" s="19">
        <f>IF(B45="","",SUMIF('📈 Datos Completos'!$C$7:$C$5000, B45, '📈 Datos Completos'!$O$7:$O$5000))</f>
        <v>-1287.5825381751017</v>
      </c>
      <c r="L45" s="20">
        <f t="shared" si="1"/>
        <v>-7.1258966331126342E-2</v>
      </c>
    </row>
    <row r="46" spans="2:12" ht="19.95" customHeight="1" x14ac:dyDescent="0.3">
      <c r="B46" s="17" t="str">
        <f>IFERROR(INDEX('📦 Precios Proforma'!$B$5:$B$104, 42), "")</f>
        <v>8 Pack Pepsi Black 355Ml Lata</v>
      </c>
      <c r="C46" s="18">
        <f>IF(B46="","",SUMIF('📈 Datos Completos'!$C$7:$C$5000, B46, '📈 Datos Completos'!$E$7:$E$5000))</f>
        <v>984</v>
      </c>
      <c r="D46" s="18">
        <f>IF(B46="","",SUMIF('📈 Datos Completos'!$C$7:$C$5000, B46, '📈 Datos Completos'!$H$7:$H$5000))</f>
        <v>5354</v>
      </c>
      <c r="E46" s="19">
        <f>IF(B46="","",SUMIF('📈 Datos Completos'!$C$7:$C$5000, B46, '📈 Datos Completos'!$I$7:$I$5000))</f>
        <v>5661.72</v>
      </c>
      <c r="F46" s="19">
        <f>IF(B46="","",SUMIF('📈 Datos Completos'!$C$7:$C$5000, B46, '📈 Datos Completos'!$J$7:$J$5000))</f>
        <v>6677.0999999999995</v>
      </c>
      <c r="G46" s="19">
        <f>IF(B46="","",SUMIF('📈 Datos Completos'!$C$7:$C$5000, B46, '📈 Datos Completos'!$K$7:$K$5000))</f>
        <v>12338.82</v>
      </c>
      <c r="H46" s="19">
        <f>IF(B46="","",SUMIF('📈 Datos Completos'!$C$7:$C$5000, B46, '📈 Datos Completos'!$L$7:$L$5000))</f>
        <v>8357.2590079517449</v>
      </c>
      <c r="I46" s="19">
        <f>IF(B46="","",SUMIF('📈 Datos Completos'!$C$7:$C$5000, B46, '📈 Datos Completos'!$M$7:$M$5000))</f>
        <v>481.86</v>
      </c>
      <c r="J46" s="19">
        <f>IF(B46="","",SUMIF('📈 Datos Completos'!$C$7:$C$5000, B46, '📈 Datos Completos'!$N$7:$N$5000))</f>
        <v>8839.1190079517437</v>
      </c>
      <c r="K46" s="19">
        <f>IF(B46="","",SUMIF('📈 Datos Completos'!$C$7:$C$5000, B46, '📈 Datos Completos'!$O$7:$O$5000))</f>
        <v>3499.7009920482551</v>
      </c>
      <c r="L46" s="20">
        <f t="shared" si="1"/>
        <v>0.2836333613788235</v>
      </c>
    </row>
    <row r="47" spans="2:12" ht="19.95" customHeight="1" x14ac:dyDescent="0.3">
      <c r="B47" s="17" t="str">
        <f>IFERROR(INDEX('📦 Precios Proforma'!$B$5:$B$104, 43), "")</f>
        <v>AMP 600 ML</v>
      </c>
      <c r="C47" s="18">
        <f>IF(B47="","",SUMIF('📈 Datos Completos'!$C$7:$C$5000, B47, '📈 Datos Completos'!$E$7:$E$5000))</f>
        <v>1104</v>
      </c>
      <c r="D47" s="18">
        <f>IF(B47="","",SUMIF('📈 Datos Completos'!$C$7:$C$5000, B47, '📈 Datos Completos'!$H$7:$H$5000))</f>
        <v>13248</v>
      </c>
      <c r="E47" s="19">
        <f>IF(B47="","",SUMIF('📈 Datos Completos'!$C$7:$C$5000, B47, '📈 Datos Completos'!$I$7:$I$5000))</f>
        <v>7514.6399999999994</v>
      </c>
      <c r="F47" s="19">
        <f>IF(B47="","",SUMIF('📈 Datos Completos'!$C$7:$C$5000, B47, '📈 Datos Completos'!$J$7:$J$5000))</f>
        <v>16416.000000000004</v>
      </c>
      <c r="G47" s="19">
        <f>IF(B47="","",SUMIF('📈 Datos Completos'!$C$7:$C$5000, B47, '📈 Datos Completos'!$K$7:$K$5000))</f>
        <v>23930.639999999999</v>
      </c>
      <c r="H47" s="19">
        <f>IF(B47="","",SUMIF('📈 Datos Completos'!$C$7:$C$5000, B47, '📈 Datos Completos'!$L$7:$L$5000))</f>
        <v>15800.291706673685</v>
      </c>
      <c r="I47" s="19">
        <f>IF(B47="","",SUMIF('📈 Datos Completos'!$C$7:$C$5000, B47, '📈 Datos Completos'!$M$7:$M$5000))</f>
        <v>1192.32</v>
      </c>
      <c r="J47" s="19">
        <f>IF(B47="","",SUMIF('📈 Datos Completos'!$C$7:$C$5000, B47, '📈 Datos Completos'!$N$7:$N$5000))</f>
        <v>16992.611706673684</v>
      </c>
      <c r="K47" s="19">
        <f>IF(B47="","",SUMIF('📈 Datos Completos'!$C$7:$C$5000, B47, '📈 Datos Completos'!$O$7:$O$5000))</f>
        <v>7394.4701469272577</v>
      </c>
      <c r="L47" s="20">
        <f t="shared" si="1"/>
        <v>0.30899592100032669</v>
      </c>
    </row>
    <row r="48" spans="2:12" ht="19.95" customHeight="1" x14ac:dyDescent="0.3">
      <c r="B48" s="17" t="str">
        <f>IFERROR(INDEX('📦 Precios Proforma'!$B$5:$B$104, 44), "")</f>
        <v>Armado de Polines Walmart</v>
      </c>
      <c r="C48" s="18">
        <f>IF(B48="","",SUMIF('📈 Datos Completos'!$C$7:$C$5000, B48, '📈 Datos Completos'!$E$7:$E$5000))</f>
        <v>0</v>
      </c>
      <c r="D48" s="18">
        <f>IF(B48="","",SUMIF('📈 Datos Completos'!$C$7:$C$5000, B48, '📈 Datos Completos'!$H$7:$H$5000))</f>
        <v>0</v>
      </c>
      <c r="E48" s="19">
        <f>IF(B48="","",SUMIF('📈 Datos Completos'!$C$7:$C$5000, B48, '📈 Datos Completos'!$I$7:$I$5000))</f>
        <v>0</v>
      </c>
      <c r="F48" s="19">
        <f>IF(B48="","",SUMIF('📈 Datos Completos'!$C$7:$C$5000, B48, '📈 Datos Completos'!$J$7:$J$5000))</f>
        <v>0</v>
      </c>
      <c r="G48" s="19">
        <f>IF(B48="","",SUMIF('📈 Datos Completos'!$C$7:$C$5000, B48, '📈 Datos Completos'!$K$7:$K$5000))</f>
        <v>0</v>
      </c>
      <c r="H48" s="19">
        <f>IF(B48="","",SUMIF('📈 Datos Completos'!$C$7:$C$5000, B48, '📈 Datos Completos'!$L$7:$L$5000))</f>
        <v>0</v>
      </c>
      <c r="I48" s="19">
        <f>IF(B48="","",SUMIF('📈 Datos Completos'!$C$7:$C$5000, B48, '📈 Datos Completos'!$M$7:$M$5000))</f>
        <v>0</v>
      </c>
      <c r="J48" s="19">
        <f>IF(B48="","",SUMIF('📈 Datos Completos'!$C$7:$C$5000, B48, '📈 Datos Completos'!$N$7:$N$5000))</f>
        <v>0</v>
      </c>
      <c r="K48" s="19">
        <f>IF(B48="","",SUMIF('📈 Datos Completos'!$C$7:$C$5000, B48, '📈 Datos Completos'!$O$7:$O$5000))</f>
        <v>0</v>
      </c>
      <c r="L48" s="20">
        <f t="shared" si="1"/>
        <v>0</v>
      </c>
    </row>
    <row r="49" spans="2:12" ht="19.95" customHeight="1" x14ac:dyDescent="0.3">
      <c r="B49" s="17" t="str">
        <f>IFERROR(INDEX('📦 Precios Proforma'!$B$5:$B$104, 45), "")</f>
        <v>GRANEL</v>
      </c>
      <c r="C49" s="18">
        <f>IF(B49="","",SUMIF('📈 Datos Completos'!$C$7:$C$5000, B49, '📈 Datos Completos'!$E$7:$E$5000))</f>
        <v>2010</v>
      </c>
      <c r="D49" s="18">
        <f>IF(B49="","",SUMIF('📈 Datos Completos'!$C$7:$C$5000, B49, '📈 Datos Completos'!$H$7:$H$5000))</f>
        <v>0</v>
      </c>
      <c r="E49" s="19">
        <f>IF(B49="","",SUMIF('📈 Datos Completos'!$C$7:$C$5000, B49, '📈 Datos Completos'!$I$7:$I$5000))</f>
        <v>91950</v>
      </c>
      <c r="F49" s="19">
        <f>IF(B49="","",SUMIF('📈 Datos Completos'!$C$7:$C$5000, B49, '📈 Datos Completos'!$J$7:$J$5000))</f>
        <v>0</v>
      </c>
      <c r="G49" s="19">
        <f>IF(B49="","",SUMIF('📈 Datos Completos'!$C$7:$C$5000, B49, '📈 Datos Completos'!$K$7:$K$5000))</f>
        <v>91950</v>
      </c>
      <c r="H49" s="19">
        <f>IF(B49="","",SUMIF('📈 Datos Completos'!$C$7:$C$5000, B49, '📈 Datos Completos'!$L$7:$L$5000))</f>
        <v>28587.772539079662</v>
      </c>
      <c r="I49" s="19">
        <f>IF(B49="","",SUMIF('📈 Datos Completos'!$C$7:$C$5000, B49, '📈 Datos Completos'!$M$7:$M$5000))</f>
        <v>0</v>
      </c>
      <c r="J49" s="19">
        <f>IF(B49="","",SUMIF('📈 Datos Completos'!$C$7:$C$5000, B49, '📈 Datos Completos'!$N$7:$N$5000))</f>
        <v>28587.772539079662</v>
      </c>
      <c r="K49" s="19">
        <f>IF(B49="","",SUMIF('📈 Datos Completos'!$C$7:$C$5000, B49, '📈 Datos Completos'!$O$7:$O$5000))</f>
        <v>63362.227460920345</v>
      </c>
      <c r="L49" s="20">
        <f t="shared" si="1"/>
        <v>0.68909437151626263</v>
      </c>
    </row>
    <row r="50" spans="2:12" ht="19.95" customHeight="1" x14ac:dyDescent="0.3">
      <c r="B50" s="17" t="str">
        <f>IFERROR(INDEX('📦 Precios Proforma'!$B$5:$B$104, 46), "")</f>
        <v>PRECIO BASE (sin coincidencia)</v>
      </c>
      <c r="C50" s="18">
        <f>IF(B50="","",SUMIF('📈 Datos Completos'!$C$7:$C$5000, B50, '📈 Datos Completos'!$E$7:$E$5000))</f>
        <v>0</v>
      </c>
      <c r="D50" s="18">
        <f>IF(B50="","",SUMIF('📈 Datos Completos'!$C$7:$C$5000, B50, '📈 Datos Completos'!$H$7:$H$5000))</f>
        <v>0</v>
      </c>
      <c r="E50" s="19">
        <f>IF(B50="","",SUMIF('📈 Datos Completos'!$C$7:$C$5000, B50, '📈 Datos Completos'!$I$7:$I$5000))</f>
        <v>0</v>
      </c>
      <c r="F50" s="19">
        <f>IF(B50="","",SUMIF('📈 Datos Completos'!$C$7:$C$5000, B50, '📈 Datos Completos'!$J$7:$J$5000))</f>
        <v>0</v>
      </c>
      <c r="G50" s="19">
        <f>IF(B50="","",SUMIF('📈 Datos Completos'!$C$7:$C$5000, B50, '📈 Datos Completos'!$K$7:$K$5000))</f>
        <v>0</v>
      </c>
      <c r="H50" s="19">
        <f>IF(B50="","",SUMIF('📈 Datos Completos'!$C$7:$C$5000, B50, '📈 Datos Completos'!$L$7:$L$5000))</f>
        <v>0</v>
      </c>
      <c r="I50" s="19">
        <f>IF(B50="","",SUMIF('📈 Datos Completos'!$C$7:$C$5000, B50, '📈 Datos Completos'!$M$7:$M$5000))</f>
        <v>0</v>
      </c>
      <c r="J50" s="19">
        <f>IF(B50="","",SUMIF('📈 Datos Completos'!$C$7:$C$5000, B50, '📈 Datos Completos'!$N$7:$N$5000))</f>
        <v>0</v>
      </c>
      <c r="K50" s="19">
        <f>IF(B50="","",SUMIF('📈 Datos Completos'!$C$7:$C$5000, B50, '📈 Datos Completos'!$O$7:$O$5000))</f>
        <v>0</v>
      </c>
      <c r="L50" s="20">
        <f t="shared" si="1"/>
        <v>0</v>
      </c>
    </row>
    <row r="51" spans="2:12" ht="19.95" customHeight="1" x14ac:dyDescent="0.3">
      <c r="B51" s="17" t="str">
        <f>IFERROR(INDEX('📦 Precios Proforma'!$B$5:$B$104, 47), "")</f>
        <v>TRASIEGO MANTICA</v>
      </c>
      <c r="C51" s="18">
        <f>IF(B51="","",SUMIF('📈 Datos Completos'!$C$7:$C$5000, B51, '📈 Datos Completos'!$E$7:$E$5000))</f>
        <v>5</v>
      </c>
      <c r="D51" s="18">
        <f>IF(B51="","",SUMIF('📈 Datos Completos'!$C$7:$C$5000, B51, '📈 Datos Completos'!$H$7:$H$5000))</f>
        <v>0</v>
      </c>
      <c r="E51" s="19">
        <f>IF(B51="","",SUMIF('📈 Datos Completos'!$C$7:$C$5000, B51, '📈 Datos Completos'!$I$7:$I$5000))</f>
        <v>300</v>
      </c>
      <c r="F51" s="19">
        <f>IF(B51="","",SUMIF('📈 Datos Completos'!$C$7:$C$5000, B51, '📈 Datos Completos'!$J$7:$J$5000))</f>
        <v>0</v>
      </c>
      <c r="G51" s="19">
        <f>IF(B51="","",SUMIF('📈 Datos Completos'!$C$7:$C$5000, B51, '📈 Datos Completos'!$K$7:$K$5000))</f>
        <v>300</v>
      </c>
      <c r="H51" s="19">
        <f>IF(B51="","",SUMIF('📈 Datos Completos'!$C$7:$C$5000, B51, '📈 Datos Completos'!$L$7:$L$5000))</f>
        <v>63.134471290630017</v>
      </c>
      <c r="I51" s="19">
        <f>IF(B51="","",SUMIF('📈 Datos Completos'!$C$7:$C$5000, B51, '📈 Datos Completos'!$M$7:$M$5000))</f>
        <v>0</v>
      </c>
      <c r="J51" s="19">
        <f>IF(B51="","",SUMIF('📈 Datos Completos'!$C$7:$C$5000, B51, '📈 Datos Completos'!$N$7:$N$5000))</f>
        <v>63.134471290630017</v>
      </c>
      <c r="K51" s="19">
        <f>IF(B51="","",SUMIF('📈 Datos Completos'!$C$7:$C$5000, B51, '📈 Datos Completos'!$O$7:$O$5000))</f>
        <v>236.86552870936998</v>
      </c>
      <c r="L51" s="20">
        <f t="shared" si="1"/>
        <v>0.78955176236456659</v>
      </c>
    </row>
    <row r="52" spans="2:12" ht="19.95" customHeight="1" x14ac:dyDescent="0.3">
      <c r="B52" s="17" t="str">
        <f>IFERROR(INDEX('📦 Precios Proforma'!$B$5:$B$104, 48), "")</f>
        <v>TRASIEGO PRICESMART</v>
      </c>
      <c r="C52" s="18">
        <f>IF(B52="","",SUMIF('📈 Datos Completos'!$C$7:$C$5000, B52, '📈 Datos Completos'!$E$7:$E$5000))</f>
        <v>72</v>
      </c>
      <c r="D52" s="18">
        <f>IF(B52="","",SUMIF('📈 Datos Completos'!$C$7:$C$5000, B52, '📈 Datos Completos'!$H$7:$H$5000))</f>
        <v>2110</v>
      </c>
      <c r="E52" s="19">
        <f>IF(B52="","",SUMIF('📈 Datos Completos'!$C$7:$C$5000, B52, '📈 Datos Completos'!$I$7:$I$5000))</f>
        <v>3585</v>
      </c>
      <c r="F52" s="19">
        <f>IF(B52="","",SUMIF('📈 Datos Completos'!$C$7:$C$5000, B52, '📈 Datos Completos'!$J$7:$J$5000))</f>
        <v>2464.3000000000002</v>
      </c>
      <c r="G52" s="19">
        <f>IF(B52="","",SUMIF('📈 Datos Completos'!$C$7:$C$5000, B52, '📈 Datos Completos'!$K$7:$K$5000))</f>
        <v>6049.3</v>
      </c>
      <c r="H52" s="19">
        <f>IF(B52="","",SUMIF('📈 Datos Completos'!$C$7:$C$5000, B52, '📈 Datos Completos'!$L$7:$L$5000))</f>
        <v>1111.6313044308513</v>
      </c>
      <c r="I52" s="19">
        <f>IF(B52="","",SUMIF('📈 Datos Completos'!$C$7:$C$5000, B52, '📈 Datos Completos'!$M$7:$M$5000))</f>
        <v>189.9</v>
      </c>
      <c r="J52" s="19">
        <f>IF(B52="","",SUMIF('📈 Datos Completos'!$C$7:$C$5000, B52, '📈 Datos Completos'!$N$7:$N$5000))</f>
        <v>1301.5313044308512</v>
      </c>
      <c r="K52" s="19">
        <f>IF(B52="","",SUMIF('📈 Datos Completos'!$C$7:$C$5000, B52, '📈 Datos Completos'!$O$7:$O$5000))</f>
        <v>4747.7686955691479</v>
      </c>
      <c r="L52" s="20">
        <f t="shared" si="1"/>
        <v>0.78484596491646108</v>
      </c>
    </row>
    <row r="53" spans="2:12" ht="19.95" customHeight="1" x14ac:dyDescent="0.3">
      <c r="B53" s="17" t="str">
        <f>IFERROR(INDEX('📦 Precios Proforma'!$B$5:$B$104, 49), "")</f>
        <v>TRASIEGO WM</v>
      </c>
      <c r="C53" s="18">
        <f>IF(B53="","",SUMIF('📈 Datos Completos'!$C$7:$C$5000, B53, '📈 Datos Completos'!$E$7:$E$5000))</f>
        <v>732.3</v>
      </c>
      <c r="D53" s="18">
        <f>IF(B53="","",SUMIF('📈 Datos Completos'!$C$7:$C$5000, B53, '📈 Datos Completos'!$H$7:$H$5000))</f>
        <v>200</v>
      </c>
      <c r="E53" s="19">
        <f>IF(B53="","",SUMIF('📈 Datos Completos'!$C$7:$C$5000, B53, '📈 Datos Completos'!$I$7:$I$5000))</f>
        <v>36720</v>
      </c>
      <c r="F53" s="19">
        <f>IF(B53="","",SUMIF('📈 Datos Completos'!$C$7:$C$5000, B53, '📈 Datos Completos'!$J$7:$J$5000))</f>
        <v>202</v>
      </c>
      <c r="G53" s="19">
        <f>IF(B53="","",SUMIF('📈 Datos Completos'!$C$7:$C$5000, B53, '📈 Datos Completos'!$K$7:$K$5000))</f>
        <v>36922</v>
      </c>
      <c r="H53" s="19">
        <f>IF(B53="","",SUMIF('📈 Datos Completos'!$C$7:$C$5000, B53, '📈 Datos Completos'!$L$7:$L$5000))</f>
        <v>14257.962744963137</v>
      </c>
      <c r="I53" s="19">
        <f>IF(B53="","",SUMIF('📈 Datos Completos'!$C$7:$C$5000, B53, '📈 Datos Completos'!$M$7:$M$5000))</f>
        <v>18</v>
      </c>
      <c r="J53" s="19">
        <f>IF(B53="","",SUMIF('📈 Datos Completos'!$C$7:$C$5000, B53, '📈 Datos Completos'!$N$7:$N$5000))</f>
        <v>14275.962744963137</v>
      </c>
      <c r="K53" s="19">
        <f>IF(B53="","",SUMIF('📈 Datos Completos'!$C$7:$C$5000, B53, '📈 Datos Completos'!$O$7:$O$5000))</f>
        <v>23395.509381724412</v>
      </c>
      <c r="L53" s="20">
        <f t="shared" si="1"/>
        <v>0.63364686045513274</v>
      </c>
    </row>
    <row r="54" spans="2:12" ht="19.95" customHeight="1" x14ac:dyDescent="0.3">
      <c r="B54" s="17">
        <f>IFERROR(INDEX('📦 Precios Proforma'!$B$5:$B$104, 50), "")</f>
        <v>0</v>
      </c>
      <c r="C54" s="18">
        <f>IF(B54="","",SUMIF('📈 Datos Completos'!$C$7:$C$5000, B54, '📈 Datos Completos'!$E$7:$E$5000))</f>
        <v>0</v>
      </c>
      <c r="D54" s="18">
        <f>IF(B54="","",SUMIF('📈 Datos Completos'!$C$7:$C$5000, B54, '📈 Datos Completos'!$H$7:$H$5000))</f>
        <v>0</v>
      </c>
      <c r="E54" s="19">
        <f>IF(B54="","",SUMIF('📈 Datos Completos'!$C$7:$C$5000, B54, '📈 Datos Completos'!$I$7:$I$5000))</f>
        <v>0</v>
      </c>
      <c r="F54" s="19">
        <f>IF(B54="","",SUMIF('📈 Datos Completos'!$C$7:$C$5000, B54, '📈 Datos Completos'!$J$7:$J$5000))</f>
        <v>0</v>
      </c>
      <c r="G54" s="19">
        <f>IF(B54="","",SUMIF('📈 Datos Completos'!$C$7:$C$5000, B54, '📈 Datos Completos'!$K$7:$K$5000))</f>
        <v>0</v>
      </c>
      <c r="H54" s="19">
        <f>IF(B54="","",SUMIF('📈 Datos Completos'!$C$7:$C$5000, B54, '📈 Datos Completos'!$L$7:$L$5000))</f>
        <v>0</v>
      </c>
      <c r="I54" s="19">
        <f>IF(B54="","",SUMIF('📈 Datos Completos'!$C$7:$C$5000, B54, '📈 Datos Completos'!$M$7:$M$5000))</f>
        <v>0</v>
      </c>
      <c r="J54" s="19">
        <f>IF(B54="","",SUMIF('📈 Datos Completos'!$C$7:$C$5000, B54, '📈 Datos Completos'!$N$7:$N$5000))</f>
        <v>0</v>
      </c>
      <c r="K54" s="19">
        <f>IF(B54="","",SUMIF('📈 Datos Completos'!$C$7:$C$5000, B54, '📈 Datos Completos'!$O$7:$O$5000))</f>
        <v>0</v>
      </c>
      <c r="L54" s="20">
        <f t="shared" si="1"/>
        <v>0</v>
      </c>
    </row>
    <row r="55" spans="2:12" ht="25.95" customHeight="1" x14ac:dyDescent="0.3">
      <c r="B55" s="21" t="s">
        <v>49</v>
      </c>
      <c r="C55" s="94">
        <f t="shared" ref="C55:K55" si="2">SUM(C5:C54)</f>
        <v>53232.3</v>
      </c>
      <c r="D55" s="94">
        <f t="shared" si="2"/>
        <v>195255</v>
      </c>
      <c r="E55" s="94">
        <f t="shared" si="2"/>
        <v>412748.44000000006</v>
      </c>
      <c r="F55" s="94">
        <f t="shared" si="2"/>
        <v>234289.64999999997</v>
      </c>
      <c r="G55" s="94">
        <f t="shared" si="2"/>
        <v>647038.09000000008</v>
      </c>
      <c r="H55" s="94">
        <f t="shared" si="2"/>
        <v>417507.74696739134</v>
      </c>
      <c r="I55" s="94">
        <f t="shared" si="2"/>
        <v>17572.95</v>
      </c>
      <c r="J55" s="94">
        <f t="shared" si="2"/>
        <v>435080.6969673913</v>
      </c>
      <c r="K55" s="94">
        <f t="shared" si="2"/>
        <v>224377.39303260873</v>
      </c>
      <c r="L55" s="95">
        <f>IF(G55=0, 0, K55/G55)</f>
        <v>0.34677617361384194</v>
      </c>
    </row>
  </sheetData>
  <mergeCells count="2">
    <mergeCell ref="B1:K1"/>
    <mergeCell ref="B2:K2"/>
  </mergeCells>
  <conditionalFormatting sqref="L5:L54">
    <cfRule type="cellIs" dxfId="14" priority="1" operator="lessThan">
      <formula>0</formula>
    </cfRule>
    <cfRule type="cellIs" dxfId="13" priority="2" operator="greaterThan">
      <formula>0.3</formula>
    </cfRule>
    <cfRule type="cellIs" dxfId="12" priority="3" operator="between">
      <formula>0</formula>
      <formula>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4"/>
  <sheetViews>
    <sheetView zoomScaleNormal="100" workbookViewId="0">
      <selection activeCell="C2" sqref="C2"/>
    </sheetView>
  </sheetViews>
  <sheetFormatPr baseColWidth="10" defaultColWidth="8.88671875" defaultRowHeight="14.4" x14ac:dyDescent="0.3"/>
  <cols>
    <col min="1" max="1" width="12" customWidth="1"/>
    <col min="2" max="8" width="16" customWidth="1"/>
  </cols>
  <sheetData>
    <row r="1" spans="1:14" ht="34.950000000000003" customHeight="1" x14ac:dyDescent="0.3">
      <c r="A1" s="84" t="s">
        <v>294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4" ht="25.05" customHeight="1" x14ac:dyDescent="0.3">
      <c r="B2" s="53" t="s">
        <v>3</v>
      </c>
      <c r="C2" s="54" t="s">
        <v>6</v>
      </c>
      <c r="E2" s="53" t="s">
        <v>5</v>
      </c>
      <c r="F2" s="54" t="s">
        <v>6</v>
      </c>
    </row>
    <row r="3" spans="1:14" x14ac:dyDescent="0.3">
      <c r="A3" s="86" t="s">
        <v>295</v>
      </c>
      <c r="B3" s="87" t="s">
        <v>296</v>
      </c>
      <c r="C3" s="87" t="s">
        <v>297</v>
      </c>
      <c r="D3" s="87" t="s">
        <v>298</v>
      </c>
      <c r="E3" s="87" t="s">
        <v>299</v>
      </c>
      <c r="F3" s="87" t="s">
        <v>300</v>
      </c>
      <c r="G3" s="87" t="s">
        <v>301</v>
      </c>
      <c r="H3" s="87" t="s">
        <v>302</v>
      </c>
    </row>
    <row r="4" spans="1:14" x14ac:dyDescent="0.3">
      <c r="A4" s="86"/>
      <c r="B4" s="87"/>
      <c r="C4" s="87"/>
      <c r="D4" s="87"/>
      <c r="E4" s="87"/>
      <c r="F4" s="87"/>
      <c r="G4" s="87"/>
      <c r="H4" s="87"/>
    </row>
    <row r="5" spans="1:14" ht="30" customHeight="1" x14ac:dyDescent="0.3">
      <c r="A5" s="56" t="s">
        <v>303</v>
      </c>
      <c r="B5" s="64" t="str">
        <f>IF(OR($C$2="TODOS",(YEAR(DATE(2026,5,4)+(5-6)*7+(2-2))&amp;"-"&amp;IF(MONTH(DATE(2026,5,4)+(5-6)*7+(2-2))&lt;10,"0","")&amp;MONTH(DATE(2026,5,4)+(5-6)*7+(2-2)))=$C$2),IF(SUMIFS('📅 Resumen Diario'!$J$5:$J$504,'📅 Resumen Diario'!$B$5:$B$504,YEAR(DATE(2026,5,4)+(5-6)*7+(2-2))&amp;"-"&amp;IF(MONTH(DATE(2026,5,4)+(5-6)*7+(2-2))&lt;10,"0","")&amp;MONTH(DATE(2026,5,4)+(5-6)*7+(2-2))&amp;"-"&amp;IF(DAY(DATE(2026,5,4)+(5-6)*7+(2-2))&lt;10,"0","")&amp;DAY(DATE(2026,5,4)+(5-6)*7+(2-2)),'📅 Resumen Diario'!$C$5:$C$504,IF($F$2="TODOS", "*", $F$2))=0,"—",SUMIFS('📅 Resumen Diario'!$Q$5:$Q$504,'📅 Resumen Diario'!$B$5:$B$504,YEAR(DATE(2026,5,4)+(5-6)*7+(2-2))&amp;"-"&amp;IF(MONTH(DATE(2026,5,4)+(5-6)*7+(2-2))&lt;10,"0","")&amp;MONTH(DATE(2026,5,4)+(5-6)*7+(2-2))&amp;"-"&amp;IF(DAY(DATE(2026,5,4)+(5-6)*7+(2-2))&lt;10,"0","")&amp;DAY(DATE(2026,5,4)+(5-6)*7+(2-2)),'📅 Resumen Diario'!$C$5:$C$504,IF($F$2="TODOS", "*", $F$2))/SUMIFS('📅 Resumen Diario'!$J$5:$J$504,'📅 Resumen Diario'!$B$5:$B$504,YEAR(DATE(2026,5,4)+(5-6)*7+(2-2))&amp;"-"&amp;IF(MONTH(DATE(2026,5,4)+(5-6)*7+(2-2))&lt;10,"0","")&amp;MONTH(DATE(2026,5,4)+(5-6)*7+(2-2))&amp;"-"&amp;IF(DAY(DATE(2026,5,4)+(5-6)*7+(2-2))&lt;10,"0","")&amp;DAY(DATE(2026,5,4)+(5-6)*7+(2-2)),'📅 Resumen Diario'!$C$5:$C$504,IF($F$2="TODOS", "*", $F$2))),"—")</f>
        <v>—</v>
      </c>
      <c r="C5" s="64" t="str">
        <f>IF(OR($C$2="TODOS",(YEAR(DATE(2026,5,4)+(5-6)*7+(3-2))&amp;"-"&amp;IF(MONTH(DATE(2026,5,4)+(5-6)*7+(3-2))&lt;10,"0","")&amp;MONTH(DATE(2026,5,4)+(5-6)*7+(3-2)))=$C$2),IF(SUMIFS('📅 Resumen Diario'!$J$5:$J$504,'📅 Resumen Diario'!$B$5:$B$504,YEAR(DATE(2026,5,4)+(5-6)*7+(3-2))&amp;"-"&amp;IF(MONTH(DATE(2026,5,4)+(5-6)*7+(3-2))&lt;10,"0","")&amp;MONTH(DATE(2026,5,4)+(5-6)*7+(3-2))&amp;"-"&amp;IF(DAY(DATE(2026,5,4)+(5-6)*7+(3-2))&lt;10,"0","")&amp;DAY(DATE(2026,5,4)+(5-6)*7+(3-2)),'📅 Resumen Diario'!$C$5:$C$504,IF($F$2="TODOS", "*", $F$2))=0,"—",SUMIFS('📅 Resumen Diario'!$Q$5:$Q$504,'📅 Resumen Diario'!$B$5:$B$504,YEAR(DATE(2026,5,4)+(5-6)*7+(3-2))&amp;"-"&amp;IF(MONTH(DATE(2026,5,4)+(5-6)*7+(3-2))&lt;10,"0","")&amp;MONTH(DATE(2026,5,4)+(5-6)*7+(3-2))&amp;"-"&amp;IF(DAY(DATE(2026,5,4)+(5-6)*7+(3-2))&lt;10,"0","")&amp;DAY(DATE(2026,5,4)+(5-6)*7+(3-2)),'📅 Resumen Diario'!$C$5:$C$504,IF($F$2="TODOS", "*", $F$2))/SUMIFS('📅 Resumen Diario'!$J$5:$J$504,'📅 Resumen Diario'!$B$5:$B$504,YEAR(DATE(2026,5,4)+(5-6)*7+(3-2))&amp;"-"&amp;IF(MONTH(DATE(2026,5,4)+(5-6)*7+(3-2))&lt;10,"0","")&amp;MONTH(DATE(2026,5,4)+(5-6)*7+(3-2))&amp;"-"&amp;IF(DAY(DATE(2026,5,4)+(5-6)*7+(3-2))&lt;10,"0","")&amp;DAY(DATE(2026,5,4)+(5-6)*7+(3-2)),'📅 Resumen Diario'!$C$5:$C$504,IF($F$2="TODOS", "*", $F$2))),"—")</f>
        <v>—</v>
      </c>
      <c r="D5" s="64" t="str">
        <f>IF(OR($C$2="TODOS",(YEAR(DATE(2026,5,4)+(5-6)*7+(4-2))&amp;"-"&amp;IF(MONTH(DATE(2026,5,4)+(5-6)*7+(4-2))&lt;10,"0","")&amp;MONTH(DATE(2026,5,4)+(5-6)*7+(4-2)))=$C$2),IF(SUMIFS('📅 Resumen Diario'!$J$5:$J$504,'📅 Resumen Diario'!$B$5:$B$504,YEAR(DATE(2026,5,4)+(5-6)*7+(4-2))&amp;"-"&amp;IF(MONTH(DATE(2026,5,4)+(5-6)*7+(4-2))&lt;10,"0","")&amp;MONTH(DATE(2026,5,4)+(5-6)*7+(4-2))&amp;"-"&amp;IF(DAY(DATE(2026,5,4)+(5-6)*7+(4-2))&lt;10,"0","")&amp;DAY(DATE(2026,5,4)+(5-6)*7+(4-2)),'📅 Resumen Diario'!$C$5:$C$504,IF($F$2="TODOS", "*", $F$2))=0,"—",SUMIFS('📅 Resumen Diario'!$Q$5:$Q$504,'📅 Resumen Diario'!$B$5:$B$504,YEAR(DATE(2026,5,4)+(5-6)*7+(4-2))&amp;"-"&amp;IF(MONTH(DATE(2026,5,4)+(5-6)*7+(4-2))&lt;10,"0","")&amp;MONTH(DATE(2026,5,4)+(5-6)*7+(4-2))&amp;"-"&amp;IF(DAY(DATE(2026,5,4)+(5-6)*7+(4-2))&lt;10,"0","")&amp;DAY(DATE(2026,5,4)+(5-6)*7+(4-2)),'📅 Resumen Diario'!$C$5:$C$504,IF($F$2="TODOS", "*", $F$2))/SUMIFS('📅 Resumen Diario'!$J$5:$J$504,'📅 Resumen Diario'!$B$5:$B$504,YEAR(DATE(2026,5,4)+(5-6)*7+(4-2))&amp;"-"&amp;IF(MONTH(DATE(2026,5,4)+(5-6)*7+(4-2))&lt;10,"0","")&amp;MONTH(DATE(2026,5,4)+(5-6)*7+(4-2))&amp;"-"&amp;IF(DAY(DATE(2026,5,4)+(5-6)*7+(4-2))&lt;10,"0","")&amp;DAY(DATE(2026,5,4)+(5-6)*7+(4-2)),'📅 Resumen Diario'!$C$5:$C$504,IF($F$2="TODOS", "*", $F$2))),"—")</f>
        <v>—</v>
      </c>
      <c r="E5" s="64" t="str">
        <f>IF(OR($C$2="TODOS",(YEAR(DATE(2026,5,4)+(5-6)*7+(5-2))&amp;"-"&amp;IF(MONTH(DATE(2026,5,4)+(5-6)*7+(5-2))&lt;10,"0","")&amp;MONTH(DATE(2026,5,4)+(5-6)*7+(5-2)))=$C$2),IF(SUMIFS('📅 Resumen Diario'!$J$5:$J$504,'📅 Resumen Diario'!$B$5:$B$504,YEAR(DATE(2026,5,4)+(5-6)*7+(5-2))&amp;"-"&amp;IF(MONTH(DATE(2026,5,4)+(5-6)*7+(5-2))&lt;10,"0","")&amp;MONTH(DATE(2026,5,4)+(5-6)*7+(5-2))&amp;"-"&amp;IF(DAY(DATE(2026,5,4)+(5-6)*7+(5-2))&lt;10,"0","")&amp;DAY(DATE(2026,5,4)+(5-6)*7+(5-2)),'📅 Resumen Diario'!$C$5:$C$504,IF($F$2="TODOS", "*", $F$2))=0,"—",SUMIFS('📅 Resumen Diario'!$Q$5:$Q$504,'📅 Resumen Diario'!$B$5:$B$504,YEAR(DATE(2026,5,4)+(5-6)*7+(5-2))&amp;"-"&amp;IF(MONTH(DATE(2026,5,4)+(5-6)*7+(5-2))&lt;10,"0","")&amp;MONTH(DATE(2026,5,4)+(5-6)*7+(5-2))&amp;"-"&amp;IF(DAY(DATE(2026,5,4)+(5-6)*7+(5-2))&lt;10,"0","")&amp;DAY(DATE(2026,5,4)+(5-6)*7+(5-2)),'📅 Resumen Diario'!$C$5:$C$504,IF($F$2="TODOS", "*", $F$2))/SUMIFS('📅 Resumen Diario'!$J$5:$J$504,'📅 Resumen Diario'!$B$5:$B$504,YEAR(DATE(2026,5,4)+(5-6)*7+(5-2))&amp;"-"&amp;IF(MONTH(DATE(2026,5,4)+(5-6)*7+(5-2))&lt;10,"0","")&amp;MONTH(DATE(2026,5,4)+(5-6)*7+(5-2))&amp;"-"&amp;IF(DAY(DATE(2026,5,4)+(5-6)*7+(5-2))&lt;10,"0","")&amp;DAY(DATE(2026,5,4)+(5-6)*7+(5-2)),'📅 Resumen Diario'!$C$5:$C$504,IF($F$2="TODOS", "*", $F$2))),"—")</f>
        <v>—</v>
      </c>
      <c r="F5" s="66">
        <f>IF(OR($C$2="TODOS",(YEAR(DATE(2026,5,4)+(5-6)*7+(6-2))&amp;"-"&amp;IF(MONTH(DATE(2026,5,4)+(5-6)*7+(6-2))&lt;10,"0","")&amp;MONTH(DATE(2026,5,4)+(5-6)*7+(6-2)))=$C$2),IF(SUMIFS('📅 Resumen Diario'!$J$5:$J$504,'📅 Resumen Diario'!$B$5:$B$504,YEAR(DATE(2026,5,4)+(5-6)*7+(6-2))&amp;"-"&amp;IF(MONTH(DATE(2026,5,4)+(5-6)*7+(6-2))&lt;10,"0","")&amp;MONTH(DATE(2026,5,4)+(5-6)*7+(6-2))&amp;"-"&amp;IF(DAY(DATE(2026,5,4)+(5-6)*7+(6-2))&lt;10,"0","")&amp;DAY(DATE(2026,5,4)+(5-6)*7+(6-2)),'📅 Resumen Diario'!$C$5:$C$504,IF($F$2="TODOS", "*", $F$2))=0,"—",SUMIFS('📅 Resumen Diario'!$Q$5:$Q$504,'📅 Resumen Diario'!$B$5:$B$504,YEAR(DATE(2026,5,4)+(5-6)*7+(6-2))&amp;"-"&amp;IF(MONTH(DATE(2026,5,4)+(5-6)*7+(6-2))&lt;10,"0","")&amp;MONTH(DATE(2026,5,4)+(5-6)*7+(6-2))&amp;"-"&amp;IF(DAY(DATE(2026,5,4)+(5-6)*7+(6-2))&lt;10,"0","")&amp;DAY(DATE(2026,5,4)+(5-6)*7+(6-2)),'📅 Resumen Diario'!$C$5:$C$504,IF($F$2="TODOS", "*", $F$2))/SUMIFS('📅 Resumen Diario'!$J$5:$J$504,'📅 Resumen Diario'!$B$5:$B$504,YEAR(DATE(2026,5,4)+(5-6)*7+(6-2))&amp;"-"&amp;IF(MONTH(DATE(2026,5,4)+(5-6)*7+(6-2))&lt;10,"0","")&amp;MONTH(DATE(2026,5,4)+(5-6)*7+(6-2))&amp;"-"&amp;IF(DAY(DATE(2026,5,4)+(5-6)*7+(6-2))&lt;10,"0","")&amp;DAY(DATE(2026,5,4)+(5-6)*7+(6-2)),'📅 Resumen Diario'!$C$5:$C$504,IF($F$2="TODOS", "*", $F$2))),"—")</f>
        <v>9.0488164907130075E-2</v>
      </c>
      <c r="G5" s="67">
        <f>IF(OR($C$2="TODOS",(YEAR(DATE(2026,5,4)+(5-6)*7+(7-2))&amp;"-"&amp;IF(MONTH(DATE(2026,5,4)+(5-6)*7+(7-2))&lt;10,"0","")&amp;MONTH(DATE(2026,5,4)+(5-6)*7+(7-2)))=$C$2),IF(SUMIFS('📅 Resumen Diario'!$J$5:$J$504,'📅 Resumen Diario'!$B$5:$B$504,YEAR(DATE(2026,5,4)+(5-6)*7+(7-2))&amp;"-"&amp;IF(MONTH(DATE(2026,5,4)+(5-6)*7+(7-2))&lt;10,"0","")&amp;MONTH(DATE(2026,5,4)+(5-6)*7+(7-2))&amp;"-"&amp;IF(DAY(DATE(2026,5,4)+(5-6)*7+(7-2))&lt;10,"0","")&amp;DAY(DATE(2026,5,4)+(5-6)*7+(7-2)),'📅 Resumen Diario'!$C$5:$C$504,IF($F$2="TODOS", "*", $F$2))=0,"—",SUMIFS('📅 Resumen Diario'!$Q$5:$Q$504,'📅 Resumen Diario'!$B$5:$B$504,YEAR(DATE(2026,5,4)+(5-6)*7+(7-2))&amp;"-"&amp;IF(MONTH(DATE(2026,5,4)+(5-6)*7+(7-2))&lt;10,"0","")&amp;MONTH(DATE(2026,5,4)+(5-6)*7+(7-2))&amp;"-"&amp;IF(DAY(DATE(2026,5,4)+(5-6)*7+(7-2))&lt;10,"0","")&amp;DAY(DATE(2026,5,4)+(5-6)*7+(7-2)),'📅 Resumen Diario'!$C$5:$C$504,IF($F$2="TODOS", "*", $F$2))/SUMIFS('📅 Resumen Diario'!$J$5:$J$504,'📅 Resumen Diario'!$B$5:$B$504,YEAR(DATE(2026,5,4)+(5-6)*7+(7-2))&amp;"-"&amp;IF(MONTH(DATE(2026,5,4)+(5-6)*7+(7-2))&lt;10,"0","")&amp;MONTH(DATE(2026,5,4)+(5-6)*7+(7-2))&amp;"-"&amp;IF(DAY(DATE(2026,5,4)+(5-6)*7+(7-2))&lt;10,"0","")&amp;DAY(DATE(2026,5,4)+(5-6)*7+(7-2)),'📅 Resumen Diario'!$C$5:$C$504,IF($F$2="TODOS", "*", $F$2))),"—")</f>
        <v>0.55801388280732478</v>
      </c>
      <c r="H5" s="67">
        <f>IF(OR($C$2="TODOS",(YEAR(DATE(2026,5,4)+(5-6)*7+(8-2))&amp;"-"&amp;IF(MONTH(DATE(2026,5,4)+(5-6)*7+(8-2))&lt;10,"0","")&amp;MONTH(DATE(2026,5,4)+(5-6)*7+(8-2)))=$C$2),IF(SUMIFS('📅 Resumen Diario'!$J$5:$J$504,'📅 Resumen Diario'!$B$5:$B$504,YEAR(DATE(2026,5,4)+(5-6)*7+(8-2))&amp;"-"&amp;IF(MONTH(DATE(2026,5,4)+(5-6)*7+(8-2))&lt;10,"0","")&amp;MONTH(DATE(2026,5,4)+(5-6)*7+(8-2))&amp;"-"&amp;IF(DAY(DATE(2026,5,4)+(5-6)*7+(8-2))&lt;10,"0","")&amp;DAY(DATE(2026,5,4)+(5-6)*7+(8-2)),'📅 Resumen Diario'!$C$5:$C$504,IF($F$2="TODOS", "*", $F$2))=0,"—",SUMIFS('📅 Resumen Diario'!$Q$5:$Q$504,'📅 Resumen Diario'!$B$5:$B$504,YEAR(DATE(2026,5,4)+(5-6)*7+(8-2))&amp;"-"&amp;IF(MONTH(DATE(2026,5,4)+(5-6)*7+(8-2))&lt;10,"0","")&amp;MONTH(DATE(2026,5,4)+(5-6)*7+(8-2))&amp;"-"&amp;IF(DAY(DATE(2026,5,4)+(5-6)*7+(8-2))&lt;10,"0","")&amp;DAY(DATE(2026,5,4)+(5-6)*7+(8-2)),'📅 Resumen Diario'!$C$5:$C$504,IF($F$2="TODOS", "*", $F$2))/SUMIFS('📅 Resumen Diario'!$J$5:$J$504,'📅 Resumen Diario'!$B$5:$B$504,YEAR(DATE(2026,5,4)+(5-6)*7+(8-2))&amp;"-"&amp;IF(MONTH(DATE(2026,5,4)+(5-6)*7+(8-2))&lt;10,"0","")&amp;MONTH(DATE(2026,5,4)+(5-6)*7+(8-2))&amp;"-"&amp;IF(DAY(DATE(2026,5,4)+(5-6)*7+(8-2))&lt;10,"0","")&amp;DAY(DATE(2026,5,4)+(5-6)*7+(8-2)),'📅 Resumen Diario'!$C$5:$C$504,IF($F$2="TODOS", "*", $F$2))),"—")</f>
        <v>0.62535768715393836</v>
      </c>
    </row>
    <row r="6" spans="1:14" ht="30" customHeight="1" x14ac:dyDescent="0.3">
      <c r="A6" s="56" t="s">
        <v>304</v>
      </c>
      <c r="B6" s="66">
        <f>IF(OR($C$2="TODOS",(YEAR(DATE(2026,5,4)+(6-6)*7+(2-2))&amp;"-"&amp;IF(MONTH(DATE(2026,5,4)+(6-6)*7+(2-2))&lt;10,"0","")&amp;MONTH(DATE(2026,5,4)+(6-6)*7+(2-2)))=$C$2),IF(SUMIFS('📅 Resumen Diario'!$J$5:$J$504,'📅 Resumen Diario'!$B$5:$B$504,YEAR(DATE(2026,5,4)+(6-6)*7+(2-2))&amp;"-"&amp;IF(MONTH(DATE(2026,5,4)+(6-6)*7+(2-2))&lt;10,"0","")&amp;MONTH(DATE(2026,5,4)+(6-6)*7+(2-2))&amp;"-"&amp;IF(DAY(DATE(2026,5,4)+(6-6)*7+(2-2))&lt;10,"0","")&amp;DAY(DATE(2026,5,4)+(6-6)*7+(2-2)),'📅 Resumen Diario'!$C$5:$C$504,IF($F$2="TODOS", "*", $F$2))=0,"—",SUMIFS('📅 Resumen Diario'!$Q$5:$Q$504,'📅 Resumen Diario'!$B$5:$B$504,YEAR(DATE(2026,5,4)+(6-6)*7+(2-2))&amp;"-"&amp;IF(MONTH(DATE(2026,5,4)+(6-6)*7+(2-2))&lt;10,"0","")&amp;MONTH(DATE(2026,5,4)+(6-6)*7+(2-2))&amp;"-"&amp;IF(DAY(DATE(2026,5,4)+(6-6)*7+(2-2))&lt;10,"0","")&amp;DAY(DATE(2026,5,4)+(6-6)*7+(2-2)),'📅 Resumen Diario'!$C$5:$C$504,IF($F$2="TODOS", "*", $F$2))/SUMIFS('📅 Resumen Diario'!$J$5:$J$504,'📅 Resumen Diario'!$B$5:$B$504,YEAR(DATE(2026,5,4)+(6-6)*7+(2-2))&amp;"-"&amp;IF(MONTH(DATE(2026,5,4)+(6-6)*7+(2-2))&lt;10,"0","")&amp;MONTH(DATE(2026,5,4)+(6-6)*7+(2-2))&amp;"-"&amp;IF(DAY(DATE(2026,5,4)+(6-6)*7+(2-2))&lt;10,"0","")&amp;DAY(DATE(2026,5,4)+(6-6)*7+(2-2)),'📅 Resumen Diario'!$C$5:$C$504,IF($F$2="TODOS", "*", $F$2))),"—")</f>
        <v>0.21708884490776634</v>
      </c>
      <c r="C6" s="66">
        <f>IF(OR($C$2="TODOS",(YEAR(DATE(2026,5,4)+(6-6)*7+(3-2))&amp;"-"&amp;IF(MONTH(DATE(2026,5,4)+(6-6)*7+(3-2))&lt;10,"0","")&amp;MONTH(DATE(2026,5,4)+(6-6)*7+(3-2)))=$C$2),IF(SUMIFS('📅 Resumen Diario'!$J$5:$J$504,'📅 Resumen Diario'!$B$5:$B$504,YEAR(DATE(2026,5,4)+(6-6)*7+(3-2))&amp;"-"&amp;IF(MONTH(DATE(2026,5,4)+(6-6)*7+(3-2))&lt;10,"0","")&amp;MONTH(DATE(2026,5,4)+(6-6)*7+(3-2))&amp;"-"&amp;IF(DAY(DATE(2026,5,4)+(6-6)*7+(3-2))&lt;10,"0","")&amp;DAY(DATE(2026,5,4)+(6-6)*7+(3-2)),'📅 Resumen Diario'!$C$5:$C$504,IF($F$2="TODOS", "*", $F$2))=0,"—",SUMIFS('📅 Resumen Diario'!$Q$5:$Q$504,'📅 Resumen Diario'!$B$5:$B$504,YEAR(DATE(2026,5,4)+(6-6)*7+(3-2))&amp;"-"&amp;IF(MONTH(DATE(2026,5,4)+(6-6)*7+(3-2))&lt;10,"0","")&amp;MONTH(DATE(2026,5,4)+(6-6)*7+(3-2))&amp;"-"&amp;IF(DAY(DATE(2026,5,4)+(6-6)*7+(3-2))&lt;10,"0","")&amp;DAY(DATE(2026,5,4)+(6-6)*7+(3-2)),'📅 Resumen Diario'!$C$5:$C$504,IF($F$2="TODOS", "*", $F$2))/SUMIFS('📅 Resumen Diario'!$J$5:$J$504,'📅 Resumen Diario'!$B$5:$B$504,YEAR(DATE(2026,5,4)+(6-6)*7+(3-2))&amp;"-"&amp;IF(MONTH(DATE(2026,5,4)+(6-6)*7+(3-2))&lt;10,"0","")&amp;MONTH(DATE(2026,5,4)+(6-6)*7+(3-2))&amp;"-"&amp;IF(DAY(DATE(2026,5,4)+(6-6)*7+(3-2))&lt;10,"0","")&amp;DAY(DATE(2026,5,4)+(6-6)*7+(3-2)),'📅 Resumen Diario'!$C$5:$C$504,IF($F$2="TODOS", "*", $F$2))),"—")</f>
        <v>0.31637986698486398</v>
      </c>
      <c r="D6" s="68">
        <f>IF(OR($C$2="TODOS",(YEAR(DATE(2026,5,4)+(6-6)*7+(4-2))&amp;"-"&amp;IF(MONTH(DATE(2026,5,4)+(6-6)*7+(4-2))&lt;10,"0","")&amp;MONTH(DATE(2026,5,4)+(6-6)*7+(4-2)))=$C$2),IF(SUMIFS('📅 Resumen Diario'!$J$5:$J$504,'📅 Resumen Diario'!$B$5:$B$504,YEAR(DATE(2026,5,4)+(6-6)*7+(4-2))&amp;"-"&amp;IF(MONTH(DATE(2026,5,4)+(6-6)*7+(4-2))&lt;10,"0","")&amp;MONTH(DATE(2026,5,4)+(6-6)*7+(4-2))&amp;"-"&amp;IF(DAY(DATE(2026,5,4)+(6-6)*7+(4-2))&lt;10,"0","")&amp;DAY(DATE(2026,5,4)+(6-6)*7+(4-2)),'📅 Resumen Diario'!$C$5:$C$504,IF($F$2="TODOS", "*", $F$2))=0,"—",SUMIFS('📅 Resumen Diario'!$Q$5:$Q$504,'📅 Resumen Diario'!$B$5:$B$504,YEAR(DATE(2026,5,4)+(6-6)*7+(4-2))&amp;"-"&amp;IF(MONTH(DATE(2026,5,4)+(6-6)*7+(4-2))&lt;10,"0","")&amp;MONTH(DATE(2026,5,4)+(6-6)*7+(4-2))&amp;"-"&amp;IF(DAY(DATE(2026,5,4)+(6-6)*7+(4-2))&lt;10,"0","")&amp;DAY(DATE(2026,5,4)+(6-6)*7+(4-2)),'📅 Resumen Diario'!$C$5:$C$504,IF($F$2="TODOS", "*", $F$2))/SUMIFS('📅 Resumen Diario'!$J$5:$J$504,'📅 Resumen Diario'!$B$5:$B$504,YEAR(DATE(2026,5,4)+(6-6)*7+(4-2))&amp;"-"&amp;IF(MONTH(DATE(2026,5,4)+(6-6)*7+(4-2))&lt;10,"0","")&amp;MONTH(DATE(2026,5,4)+(6-6)*7+(4-2))&amp;"-"&amp;IF(DAY(DATE(2026,5,4)+(6-6)*7+(4-2))&lt;10,"0","")&amp;DAY(DATE(2026,5,4)+(6-6)*7+(4-2)),'📅 Resumen Diario'!$C$5:$C$504,IF($F$2="TODOS", "*", $F$2))),"—")</f>
        <v>0.16423188981044293</v>
      </c>
      <c r="E6" s="66">
        <f>IF(OR($C$2="TODOS",(YEAR(DATE(2026,5,4)+(6-6)*7+(5-2))&amp;"-"&amp;IF(MONTH(DATE(2026,5,4)+(6-6)*7+(5-2))&lt;10,"0","")&amp;MONTH(DATE(2026,5,4)+(6-6)*7+(5-2)))=$C$2),IF(SUMIFS('📅 Resumen Diario'!$J$5:$J$504,'📅 Resumen Diario'!$B$5:$B$504,YEAR(DATE(2026,5,4)+(6-6)*7+(5-2))&amp;"-"&amp;IF(MONTH(DATE(2026,5,4)+(6-6)*7+(5-2))&lt;10,"0","")&amp;MONTH(DATE(2026,5,4)+(6-6)*7+(5-2))&amp;"-"&amp;IF(DAY(DATE(2026,5,4)+(6-6)*7+(5-2))&lt;10,"0","")&amp;DAY(DATE(2026,5,4)+(6-6)*7+(5-2)),'📅 Resumen Diario'!$C$5:$C$504,IF($F$2="TODOS", "*", $F$2))=0,"—",SUMIFS('📅 Resumen Diario'!$Q$5:$Q$504,'📅 Resumen Diario'!$B$5:$B$504,YEAR(DATE(2026,5,4)+(6-6)*7+(5-2))&amp;"-"&amp;IF(MONTH(DATE(2026,5,4)+(6-6)*7+(5-2))&lt;10,"0","")&amp;MONTH(DATE(2026,5,4)+(6-6)*7+(5-2))&amp;"-"&amp;IF(DAY(DATE(2026,5,4)+(6-6)*7+(5-2))&lt;10,"0","")&amp;DAY(DATE(2026,5,4)+(6-6)*7+(5-2)),'📅 Resumen Diario'!$C$5:$C$504,IF($F$2="TODOS", "*", $F$2))/SUMIFS('📅 Resumen Diario'!$J$5:$J$504,'📅 Resumen Diario'!$B$5:$B$504,YEAR(DATE(2026,5,4)+(6-6)*7+(5-2))&amp;"-"&amp;IF(MONTH(DATE(2026,5,4)+(6-6)*7+(5-2))&lt;10,"0","")&amp;MONTH(DATE(2026,5,4)+(6-6)*7+(5-2))&amp;"-"&amp;IF(DAY(DATE(2026,5,4)+(6-6)*7+(5-2))&lt;10,"0","")&amp;DAY(DATE(2026,5,4)+(6-6)*7+(5-2)),'📅 Resumen Diario'!$C$5:$C$504,IF($F$2="TODOS", "*", $F$2))),"—")</f>
        <v>0.5634161214407617</v>
      </c>
      <c r="F6" s="67">
        <f>IF(OR($C$2="TODOS",(YEAR(DATE(2026,5,4)+(6-6)*7+(6-2))&amp;"-"&amp;IF(MONTH(DATE(2026,5,4)+(6-6)*7+(6-2))&lt;10,"0","")&amp;MONTH(DATE(2026,5,4)+(6-6)*7+(6-2)))=$C$2),IF(SUMIFS('📅 Resumen Diario'!$J$5:$J$504,'📅 Resumen Diario'!$B$5:$B$504,YEAR(DATE(2026,5,4)+(6-6)*7+(6-2))&amp;"-"&amp;IF(MONTH(DATE(2026,5,4)+(6-6)*7+(6-2))&lt;10,"0","")&amp;MONTH(DATE(2026,5,4)+(6-6)*7+(6-2))&amp;"-"&amp;IF(DAY(DATE(2026,5,4)+(6-6)*7+(6-2))&lt;10,"0","")&amp;DAY(DATE(2026,5,4)+(6-6)*7+(6-2)),'📅 Resumen Diario'!$C$5:$C$504,IF($F$2="TODOS", "*", $F$2))=0,"—",SUMIFS('📅 Resumen Diario'!$Q$5:$Q$504,'📅 Resumen Diario'!$B$5:$B$504,YEAR(DATE(2026,5,4)+(6-6)*7+(6-2))&amp;"-"&amp;IF(MONTH(DATE(2026,5,4)+(6-6)*7+(6-2))&lt;10,"0","")&amp;MONTH(DATE(2026,5,4)+(6-6)*7+(6-2))&amp;"-"&amp;IF(DAY(DATE(2026,5,4)+(6-6)*7+(6-2))&lt;10,"0","")&amp;DAY(DATE(2026,5,4)+(6-6)*7+(6-2)),'📅 Resumen Diario'!$C$5:$C$504,IF($F$2="TODOS", "*", $F$2))/SUMIFS('📅 Resumen Diario'!$J$5:$J$504,'📅 Resumen Diario'!$B$5:$B$504,YEAR(DATE(2026,5,4)+(6-6)*7+(6-2))&amp;"-"&amp;IF(MONTH(DATE(2026,5,4)+(6-6)*7+(6-2))&lt;10,"0","")&amp;MONTH(DATE(2026,5,4)+(6-6)*7+(6-2))&amp;"-"&amp;IF(DAY(DATE(2026,5,4)+(6-6)*7+(6-2))&lt;10,"0","")&amp;DAY(DATE(2026,5,4)+(6-6)*7+(6-2)),'📅 Resumen Diario'!$C$5:$C$504,IF($F$2="TODOS", "*", $F$2))),"—")</f>
        <v>0.60286304609757291</v>
      </c>
      <c r="G6" s="67">
        <f>IF(OR($C$2="TODOS",(YEAR(DATE(2026,5,4)+(6-6)*7+(7-2))&amp;"-"&amp;IF(MONTH(DATE(2026,5,4)+(6-6)*7+(7-2))&lt;10,"0","")&amp;MONTH(DATE(2026,5,4)+(6-6)*7+(7-2)))=$C$2),IF(SUMIFS('📅 Resumen Diario'!$J$5:$J$504,'📅 Resumen Diario'!$B$5:$B$504,YEAR(DATE(2026,5,4)+(6-6)*7+(7-2))&amp;"-"&amp;IF(MONTH(DATE(2026,5,4)+(6-6)*7+(7-2))&lt;10,"0","")&amp;MONTH(DATE(2026,5,4)+(6-6)*7+(7-2))&amp;"-"&amp;IF(DAY(DATE(2026,5,4)+(6-6)*7+(7-2))&lt;10,"0","")&amp;DAY(DATE(2026,5,4)+(6-6)*7+(7-2)),'📅 Resumen Diario'!$C$5:$C$504,IF($F$2="TODOS", "*", $F$2))=0,"—",SUMIFS('📅 Resumen Diario'!$Q$5:$Q$504,'📅 Resumen Diario'!$B$5:$B$504,YEAR(DATE(2026,5,4)+(6-6)*7+(7-2))&amp;"-"&amp;IF(MONTH(DATE(2026,5,4)+(6-6)*7+(7-2))&lt;10,"0","")&amp;MONTH(DATE(2026,5,4)+(6-6)*7+(7-2))&amp;"-"&amp;IF(DAY(DATE(2026,5,4)+(6-6)*7+(7-2))&lt;10,"0","")&amp;DAY(DATE(2026,5,4)+(6-6)*7+(7-2)),'📅 Resumen Diario'!$C$5:$C$504,IF($F$2="TODOS", "*", $F$2))/SUMIFS('📅 Resumen Diario'!$J$5:$J$504,'📅 Resumen Diario'!$B$5:$B$504,YEAR(DATE(2026,5,4)+(6-6)*7+(7-2))&amp;"-"&amp;IF(MONTH(DATE(2026,5,4)+(6-6)*7+(7-2))&lt;10,"0","")&amp;MONTH(DATE(2026,5,4)+(6-6)*7+(7-2))&amp;"-"&amp;IF(DAY(DATE(2026,5,4)+(6-6)*7+(7-2))&lt;10,"0","")&amp;DAY(DATE(2026,5,4)+(6-6)*7+(7-2)),'📅 Resumen Diario'!$C$5:$C$504,IF($F$2="TODOS", "*", $F$2))),"—")</f>
        <v>0.64171973333515409</v>
      </c>
      <c r="H6" s="66">
        <f>IF(OR($C$2="TODOS",(YEAR(DATE(2026,5,4)+(6-6)*7+(8-2))&amp;"-"&amp;IF(MONTH(DATE(2026,5,4)+(6-6)*7+(8-2))&lt;10,"0","")&amp;MONTH(DATE(2026,5,4)+(6-6)*7+(8-2)))=$C$2),IF(SUMIFS('📅 Resumen Diario'!$J$5:$J$504,'📅 Resumen Diario'!$B$5:$B$504,YEAR(DATE(2026,5,4)+(6-6)*7+(8-2))&amp;"-"&amp;IF(MONTH(DATE(2026,5,4)+(6-6)*7+(8-2))&lt;10,"0","")&amp;MONTH(DATE(2026,5,4)+(6-6)*7+(8-2))&amp;"-"&amp;IF(DAY(DATE(2026,5,4)+(6-6)*7+(8-2))&lt;10,"0","")&amp;DAY(DATE(2026,5,4)+(6-6)*7+(8-2)),'📅 Resumen Diario'!$C$5:$C$504,IF($F$2="TODOS", "*", $F$2))=0,"—",SUMIFS('📅 Resumen Diario'!$Q$5:$Q$504,'📅 Resumen Diario'!$B$5:$B$504,YEAR(DATE(2026,5,4)+(6-6)*7+(8-2))&amp;"-"&amp;IF(MONTH(DATE(2026,5,4)+(6-6)*7+(8-2))&lt;10,"0","")&amp;MONTH(DATE(2026,5,4)+(6-6)*7+(8-2))&amp;"-"&amp;IF(DAY(DATE(2026,5,4)+(6-6)*7+(8-2))&lt;10,"0","")&amp;DAY(DATE(2026,5,4)+(6-6)*7+(8-2)),'📅 Resumen Diario'!$C$5:$C$504,IF($F$2="TODOS", "*", $F$2))/SUMIFS('📅 Resumen Diario'!$J$5:$J$504,'📅 Resumen Diario'!$B$5:$B$504,YEAR(DATE(2026,5,4)+(6-6)*7+(8-2))&amp;"-"&amp;IF(MONTH(DATE(2026,5,4)+(6-6)*7+(8-2))&lt;10,"0","")&amp;MONTH(DATE(2026,5,4)+(6-6)*7+(8-2))&amp;"-"&amp;IF(DAY(DATE(2026,5,4)+(6-6)*7+(8-2))&lt;10,"0","")&amp;DAY(DATE(2026,5,4)+(6-6)*7+(8-2)),'📅 Resumen Diario'!$C$5:$C$504,IF($F$2="TODOS", "*", $F$2))),"—")</f>
        <v>0.4909268056655231</v>
      </c>
    </row>
    <row r="7" spans="1:14" ht="30" customHeight="1" x14ac:dyDescent="0.3">
      <c r="A7" s="56" t="s">
        <v>305</v>
      </c>
      <c r="B7" s="66">
        <f>IF(OR($C$2="TODOS",(YEAR(DATE(2026,5,4)+(7-6)*7+(2-2))&amp;"-"&amp;IF(MONTH(DATE(2026,5,4)+(7-6)*7+(2-2))&lt;10,"0","")&amp;MONTH(DATE(2026,5,4)+(7-6)*7+(2-2)))=$C$2),IF(SUMIFS('📅 Resumen Diario'!$J$5:$J$504,'📅 Resumen Diario'!$B$5:$B$504,YEAR(DATE(2026,5,4)+(7-6)*7+(2-2))&amp;"-"&amp;IF(MONTH(DATE(2026,5,4)+(7-6)*7+(2-2))&lt;10,"0","")&amp;MONTH(DATE(2026,5,4)+(7-6)*7+(2-2))&amp;"-"&amp;IF(DAY(DATE(2026,5,4)+(7-6)*7+(2-2))&lt;10,"0","")&amp;DAY(DATE(2026,5,4)+(7-6)*7+(2-2)),'📅 Resumen Diario'!$C$5:$C$504,IF($F$2="TODOS", "*", $F$2))=0,"—",SUMIFS('📅 Resumen Diario'!$Q$5:$Q$504,'📅 Resumen Diario'!$B$5:$B$504,YEAR(DATE(2026,5,4)+(7-6)*7+(2-2))&amp;"-"&amp;IF(MONTH(DATE(2026,5,4)+(7-6)*7+(2-2))&lt;10,"0","")&amp;MONTH(DATE(2026,5,4)+(7-6)*7+(2-2))&amp;"-"&amp;IF(DAY(DATE(2026,5,4)+(7-6)*7+(2-2))&lt;10,"0","")&amp;DAY(DATE(2026,5,4)+(7-6)*7+(2-2)),'📅 Resumen Diario'!$C$5:$C$504,IF($F$2="TODOS", "*", $F$2))/SUMIFS('📅 Resumen Diario'!$J$5:$J$504,'📅 Resumen Diario'!$B$5:$B$504,YEAR(DATE(2026,5,4)+(7-6)*7+(2-2))&amp;"-"&amp;IF(MONTH(DATE(2026,5,4)+(7-6)*7+(2-2))&lt;10,"0","")&amp;MONTH(DATE(2026,5,4)+(7-6)*7+(2-2))&amp;"-"&amp;IF(DAY(DATE(2026,5,4)+(7-6)*7+(2-2))&lt;10,"0","")&amp;DAY(DATE(2026,5,4)+(7-6)*7+(2-2)),'📅 Resumen Diario'!$C$5:$C$504,IF($F$2="TODOS", "*", $F$2))),"—")</f>
        <v>0.17348870917706952</v>
      </c>
      <c r="C7" s="68">
        <f>IF(OR($C$2="TODOS",(YEAR(DATE(2026,5,4)+(7-6)*7+(3-2))&amp;"-"&amp;IF(MONTH(DATE(2026,5,4)+(7-6)*7+(3-2))&lt;10,"0","")&amp;MONTH(DATE(2026,5,4)+(7-6)*7+(3-2)))=$C$2),IF(SUMIFS('📅 Resumen Diario'!$J$5:$J$504,'📅 Resumen Diario'!$B$5:$B$504,YEAR(DATE(2026,5,4)+(7-6)*7+(3-2))&amp;"-"&amp;IF(MONTH(DATE(2026,5,4)+(7-6)*7+(3-2))&lt;10,"0","")&amp;MONTH(DATE(2026,5,4)+(7-6)*7+(3-2))&amp;"-"&amp;IF(DAY(DATE(2026,5,4)+(7-6)*7+(3-2))&lt;10,"0","")&amp;DAY(DATE(2026,5,4)+(7-6)*7+(3-2)),'📅 Resumen Diario'!$C$5:$C$504,IF($F$2="TODOS", "*", $F$2))=0,"—",SUMIFS('📅 Resumen Diario'!$Q$5:$Q$504,'📅 Resumen Diario'!$B$5:$B$504,YEAR(DATE(2026,5,4)+(7-6)*7+(3-2))&amp;"-"&amp;IF(MONTH(DATE(2026,5,4)+(7-6)*7+(3-2))&lt;10,"0","")&amp;MONTH(DATE(2026,5,4)+(7-6)*7+(3-2))&amp;"-"&amp;IF(DAY(DATE(2026,5,4)+(7-6)*7+(3-2))&lt;10,"0","")&amp;DAY(DATE(2026,5,4)+(7-6)*7+(3-2)),'📅 Resumen Diario'!$C$5:$C$504,IF($F$2="TODOS", "*", $F$2))/SUMIFS('📅 Resumen Diario'!$J$5:$J$504,'📅 Resumen Diario'!$B$5:$B$504,YEAR(DATE(2026,5,4)+(7-6)*7+(3-2))&amp;"-"&amp;IF(MONTH(DATE(2026,5,4)+(7-6)*7+(3-2))&lt;10,"0","")&amp;MONTH(DATE(2026,5,4)+(7-6)*7+(3-2))&amp;"-"&amp;IF(DAY(DATE(2026,5,4)+(7-6)*7+(3-2))&lt;10,"0","")&amp;DAY(DATE(2026,5,4)+(7-6)*7+(3-2)),'📅 Resumen Diario'!$C$5:$C$504,IF($F$2="TODOS", "*", $F$2))),"—")</f>
        <v>-4.3697795569573317E-2</v>
      </c>
      <c r="D7" s="69">
        <f>IF(OR($C$2="TODOS",(YEAR(DATE(2026,5,4)+(7-6)*7+(4-2))&amp;"-"&amp;IF(MONTH(DATE(2026,5,4)+(7-6)*7+(4-2))&lt;10,"0","")&amp;MONTH(DATE(2026,5,4)+(7-6)*7+(4-2)))=$C$2),IF(SUMIFS('📅 Resumen Diario'!$J$5:$J$504,'📅 Resumen Diario'!$B$5:$B$504,YEAR(DATE(2026,5,4)+(7-6)*7+(4-2))&amp;"-"&amp;IF(MONTH(DATE(2026,5,4)+(7-6)*7+(4-2))&lt;10,"0","")&amp;MONTH(DATE(2026,5,4)+(7-6)*7+(4-2))&amp;"-"&amp;IF(DAY(DATE(2026,5,4)+(7-6)*7+(4-2))&lt;10,"0","")&amp;DAY(DATE(2026,5,4)+(7-6)*7+(4-2)),'📅 Resumen Diario'!$C$5:$C$504,IF($F$2="TODOS", "*", $F$2))=0,"—",SUMIFS('📅 Resumen Diario'!$Q$5:$Q$504,'📅 Resumen Diario'!$B$5:$B$504,YEAR(DATE(2026,5,4)+(7-6)*7+(4-2))&amp;"-"&amp;IF(MONTH(DATE(2026,5,4)+(7-6)*7+(4-2))&lt;10,"0","")&amp;MONTH(DATE(2026,5,4)+(7-6)*7+(4-2))&amp;"-"&amp;IF(DAY(DATE(2026,5,4)+(7-6)*7+(4-2))&lt;10,"0","")&amp;DAY(DATE(2026,5,4)+(7-6)*7+(4-2)),'📅 Resumen Diario'!$C$5:$C$504,IF($F$2="TODOS", "*", $F$2))/SUMIFS('📅 Resumen Diario'!$J$5:$J$504,'📅 Resumen Diario'!$B$5:$B$504,YEAR(DATE(2026,5,4)+(7-6)*7+(4-2))&amp;"-"&amp;IF(MONTH(DATE(2026,5,4)+(7-6)*7+(4-2))&lt;10,"0","")&amp;MONTH(DATE(2026,5,4)+(7-6)*7+(4-2))&amp;"-"&amp;IF(DAY(DATE(2026,5,4)+(7-6)*7+(4-2))&lt;10,"0","")&amp;DAY(DATE(2026,5,4)+(7-6)*7+(4-2)),'📅 Resumen Diario'!$C$5:$C$504,IF($F$2="TODOS", "*", $F$2))),"—")</f>
        <v>0.39543593697008983</v>
      </c>
      <c r="E7" s="69">
        <f>IF(OR($C$2="TODOS",(YEAR(DATE(2026,5,4)+(7-6)*7+(5-2))&amp;"-"&amp;IF(MONTH(DATE(2026,5,4)+(7-6)*7+(5-2))&lt;10,"0","")&amp;MONTH(DATE(2026,5,4)+(7-6)*7+(5-2)))=$C$2),IF(SUMIFS('📅 Resumen Diario'!$J$5:$J$504,'📅 Resumen Diario'!$B$5:$B$504,YEAR(DATE(2026,5,4)+(7-6)*7+(5-2))&amp;"-"&amp;IF(MONTH(DATE(2026,5,4)+(7-6)*7+(5-2))&lt;10,"0","")&amp;MONTH(DATE(2026,5,4)+(7-6)*7+(5-2))&amp;"-"&amp;IF(DAY(DATE(2026,5,4)+(7-6)*7+(5-2))&lt;10,"0","")&amp;DAY(DATE(2026,5,4)+(7-6)*7+(5-2)),'📅 Resumen Diario'!$C$5:$C$504,IF($F$2="TODOS", "*", $F$2))=0,"—",SUMIFS('📅 Resumen Diario'!$Q$5:$Q$504,'📅 Resumen Diario'!$B$5:$B$504,YEAR(DATE(2026,5,4)+(7-6)*7+(5-2))&amp;"-"&amp;IF(MONTH(DATE(2026,5,4)+(7-6)*7+(5-2))&lt;10,"0","")&amp;MONTH(DATE(2026,5,4)+(7-6)*7+(5-2))&amp;"-"&amp;IF(DAY(DATE(2026,5,4)+(7-6)*7+(5-2))&lt;10,"0","")&amp;DAY(DATE(2026,5,4)+(7-6)*7+(5-2)),'📅 Resumen Diario'!$C$5:$C$504,IF($F$2="TODOS", "*", $F$2))/SUMIFS('📅 Resumen Diario'!$J$5:$J$504,'📅 Resumen Diario'!$B$5:$B$504,YEAR(DATE(2026,5,4)+(7-6)*7+(5-2))&amp;"-"&amp;IF(MONTH(DATE(2026,5,4)+(7-6)*7+(5-2))&lt;10,"0","")&amp;MONTH(DATE(2026,5,4)+(7-6)*7+(5-2))&amp;"-"&amp;IF(DAY(DATE(2026,5,4)+(7-6)*7+(5-2))&lt;10,"0","")&amp;DAY(DATE(2026,5,4)+(7-6)*7+(5-2)),'📅 Resumen Diario'!$C$5:$C$504,IF($F$2="TODOS", "*", $F$2))),"—")</f>
        <v>0.42242801248628153</v>
      </c>
      <c r="F7" s="66">
        <f>IF(OR($C$2="TODOS",(YEAR(DATE(2026,5,4)+(7-6)*7+(6-2))&amp;"-"&amp;IF(MONTH(DATE(2026,5,4)+(7-6)*7+(6-2))&lt;10,"0","")&amp;MONTH(DATE(2026,5,4)+(7-6)*7+(6-2)))=$C$2),IF(SUMIFS('📅 Resumen Diario'!$J$5:$J$504,'📅 Resumen Diario'!$B$5:$B$504,YEAR(DATE(2026,5,4)+(7-6)*7+(6-2))&amp;"-"&amp;IF(MONTH(DATE(2026,5,4)+(7-6)*7+(6-2))&lt;10,"0","")&amp;MONTH(DATE(2026,5,4)+(7-6)*7+(6-2))&amp;"-"&amp;IF(DAY(DATE(2026,5,4)+(7-6)*7+(6-2))&lt;10,"0","")&amp;DAY(DATE(2026,5,4)+(7-6)*7+(6-2)),'📅 Resumen Diario'!$C$5:$C$504,IF($F$2="TODOS", "*", $F$2))=0,"—",SUMIFS('📅 Resumen Diario'!$Q$5:$Q$504,'📅 Resumen Diario'!$B$5:$B$504,YEAR(DATE(2026,5,4)+(7-6)*7+(6-2))&amp;"-"&amp;IF(MONTH(DATE(2026,5,4)+(7-6)*7+(6-2))&lt;10,"0","")&amp;MONTH(DATE(2026,5,4)+(7-6)*7+(6-2))&amp;"-"&amp;IF(DAY(DATE(2026,5,4)+(7-6)*7+(6-2))&lt;10,"0","")&amp;DAY(DATE(2026,5,4)+(7-6)*7+(6-2)),'📅 Resumen Diario'!$C$5:$C$504,IF($F$2="TODOS", "*", $F$2))/SUMIFS('📅 Resumen Diario'!$J$5:$J$504,'📅 Resumen Diario'!$B$5:$B$504,YEAR(DATE(2026,5,4)+(7-6)*7+(6-2))&amp;"-"&amp;IF(MONTH(DATE(2026,5,4)+(7-6)*7+(6-2))&lt;10,"0","")&amp;MONTH(DATE(2026,5,4)+(7-6)*7+(6-2))&amp;"-"&amp;IF(DAY(DATE(2026,5,4)+(7-6)*7+(6-2))&lt;10,"0","")&amp;DAY(DATE(2026,5,4)+(7-6)*7+(6-2)),'📅 Resumen Diario'!$C$5:$C$504,IF($F$2="TODOS", "*", $F$2))),"—")</f>
        <v>0.35864540240614995</v>
      </c>
      <c r="G7" s="68">
        <f>IF(OR($C$2="TODOS",(YEAR(DATE(2026,5,4)+(7-6)*7+(7-2))&amp;"-"&amp;IF(MONTH(DATE(2026,5,4)+(7-6)*7+(7-2))&lt;10,"0","")&amp;MONTH(DATE(2026,5,4)+(7-6)*7+(7-2)))=$C$2),IF(SUMIFS('📅 Resumen Diario'!$J$5:$J$504,'📅 Resumen Diario'!$B$5:$B$504,YEAR(DATE(2026,5,4)+(7-6)*7+(7-2))&amp;"-"&amp;IF(MONTH(DATE(2026,5,4)+(7-6)*7+(7-2))&lt;10,"0","")&amp;MONTH(DATE(2026,5,4)+(7-6)*7+(7-2))&amp;"-"&amp;IF(DAY(DATE(2026,5,4)+(7-6)*7+(7-2))&lt;10,"0","")&amp;DAY(DATE(2026,5,4)+(7-6)*7+(7-2)),'📅 Resumen Diario'!$C$5:$C$504,IF($F$2="TODOS", "*", $F$2))=0,"—",SUMIFS('📅 Resumen Diario'!$Q$5:$Q$504,'📅 Resumen Diario'!$B$5:$B$504,YEAR(DATE(2026,5,4)+(7-6)*7+(7-2))&amp;"-"&amp;IF(MONTH(DATE(2026,5,4)+(7-6)*7+(7-2))&lt;10,"0","")&amp;MONTH(DATE(2026,5,4)+(7-6)*7+(7-2))&amp;"-"&amp;IF(DAY(DATE(2026,5,4)+(7-6)*7+(7-2))&lt;10,"0","")&amp;DAY(DATE(2026,5,4)+(7-6)*7+(7-2)),'📅 Resumen Diario'!$C$5:$C$504,IF($F$2="TODOS", "*", $F$2))/SUMIFS('📅 Resumen Diario'!$J$5:$J$504,'📅 Resumen Diario'!$B$5:$B$504,YEAR(DATE(2026,5,4)+(7-6)*7+(7-2))&amp;"-"&amp;IF(MONTH(DATE(2026,5,4)+(7-6)*7+(7-2))&lt;10,"0","")&amp;MONTH(DATE(2026,5,4)+(7-6)*7+(7-2))&amp;"-"&amp;IF(DAY(DATE(2026,5,4)+(7-6)*7+(7-2))&lt;10,"0","")&amp;DAY(DATE(2026,5,4)+(7-6)*7+(7-2)),'📅 Resumen Diario'!$C$5:$C$504,IF($F$2="TODOS", "*", $F$2))),"—")</f>
        <v>-0.97151943910896454</v>
      </c>
      <c r="H7" s="69">
        <f>IF(OR($C$2="TODOS",(YEAR(DATE(2026,5,4)+(7-6)*7+(8-2))&amp;"-"&amp;IF(MONTH(DATE(2026,5,4)+(7-6)*7+(8-2))&lt;10,"0","")&amp;MONTH(DATE(2026,5,4)+(7-6)*7+(8-2)))=$C$2),IF(SUMIFS('📅 Resumen Diario'!$J$5:$J$504,'📅 Resumen Diario'!$B$5:$B$504,YEAR(DATE(2026,5,4)+(7-6)*7+(8-2))&amp;"-"&amp;IF(MONTH(DATE(2026,5,4)+(7-6)*7+(8-2))&lt;10,"0","")&amp;MONTH(DATE(2026,5,4)+(7-6)*7+(8-2))&amp;"-"&amp;IF(DAY(DATE(2026,5,4)+(7-6)*7+(8-2))&lt;10,"0","")&amp;DAY(DATE(2026,5,4)+(7-6)*7+(8-2)),'📅 Resumen Diario'!$C$5:$C$504,IF($F$2="TODOS", "*", $F$2))=0,"—",SUMIFS('📅 Resumen Diario'!$Q$5:$Q$504,'📅 Resumen Diario'!$B$5:$B$504,YEAR(DATE(2026,5,4)+(7-6)*7+(8-2))&amp;"-"&amp;IF(MONTH(DATE(2026,5,4)+(7-6)*7+(8-2))&lt;10,"0","")&amp;MONTH(DATE(2026,5,4)+(7-6)*7+(8-2))&amp;"-"&amp;IF(DAY(DATE(2026,5,4)+(7-6)*7+(8-2))&lt;10,"0","")&amp;DAY(DATE(2026,5,4)+(7-6)*7+(8-2)),'📅 Resumen Diario'!$C$5:$C$504,IF($F$2="TODOS", "*", $F$2))/SUMIFS('📅 Resumen Diario'!$J$5:$J$504,'📅 Resumen Diario'!$B$5:$B$504,YEAR(DATE(2026,5,4)+(7-6)*7+(8-2))&amp;"-"&amp;IF(MONTH(DATE(2026,5,4)+(7-6)*7+(8-2))&lt;10,"0","")&amp;MONTH(DATE(2026,5,4)+(7-6)*7+(8-2))&amp;"-"&amp;IF(DAY(DATE(2026,5,4)+(7-6)*7+(8-2))&lt;10,"0","")&amp;DAY(DATE(2026,5,4)+(7-6)*7+(8-2)),'📅 Resumen Diario'!$C$5:$C$504,IF($F$2="TODOS", "*", $F$2))),"—")</f>
        <v>0.42466724109968584</v>
      </c>
    </row>
    <row r="8" spans="1:14" ht="30" customHeight="1" x14ac:dyDescent="0.3">
      <c r="A8" s="56" t="s">
        <v>306</v>
      </c>
      <c r="B8" s="66">
        <f>IF(OR($C$2="TODOS",(YEAR(DATE(2026,5,4)+(8-6)*7+(2-2))&amp;"-"&amp;IF(MONTH(DATE(2026,5,4)+(8-6)*7+(2-2))&lt;10,"0","")&amp;MONTH(DATE(2026,5,4)+(8-6)*7+(2-2)))=$C$2),IF(SUMIFS('📅 Resumen Diario'!$J$5:$J$504,'📅 Resumen Diario'!$B$5:$B$504,YEAR(DATE(2026,5,4)+(8-6)*7+(2-2))&amp;"-"&amp;IF(MONTH(DATE(2026,5,4)+(8-6)*7+(2-2))&lt;10,"0","")&amp;MONTH(DATE(2026,5,4)+(8-6)*7+(2-2))&amp;"-"&amp;IF(DAY(DATE(2026,5,4)+(8-6)*7+(2-2))&lt;10,"0","")&amp;DAY(DATE(2026,5,4)+(8-6)*7+(2-2)),'📅 Resumen Diario'!$C$5:$C$504,IF($F$2="TODOS", "*", $F$2))=0,"—",SUMIFS('📅 Resumen Diario'!$Q$5:$Q$504,'📅 Resumen Diario'!$B$5:$B$504,YEAR(DATE(2026,5,4)+(8-6)*7+(2-2))&amp;"-"&amp;IF(MONTH(DATE(2026,5,4)+(8-6)*7+(2-2))&lt;10,"0","")&amp;MONTH(DATE(2026,5,4)+(8-6)*7+(2-2))&amp;"-"&amp;IF(DAY(DATE(2026,5,4)+(8-6)*7+(2-2))&lt;10,"0","")&amp;DAY(DATE(2026,5,4)+(8-6)*7+(2-2)),'📅 Resumen Diario'!$C$5:$C$504,IF($F$2="TODOS", "*", $F$2))/SUMIFS('📅 Resumen Diario'!$J$5:$J$504,'📅 Resumen Diario'!$B$5:$B$504,YEAR(DATE(2026,5,4)+(8-6)*7+(2-2))&amp;"-"&amp;IF(MONTH(DATE(2026,5,4)+(8-6)*7+(2-2))&lt;10,"0","")&amp;MONTH(DATE(2026,5,4)+(8-6)*7+(2-2))&amp;"-"&amp;IF(DAY(DATE(2026,5,4)+(8-6)*7+(2-2))&lt;10,"0","")&amp;DAY(DATE(2026,5,4)+(8-6)*7+(2-2)),'📅 Resumen Diario'!$C$5:$C$504,IF($F$2="TODOS", "*", $F$2))),"—")</f>
        <v>0.35893685841147982</v>
      </c>
      <c r="C8" s="67">
        <f>IF(OR($C$2="TODOS",(YEAR(DATE(2026,5,4)+(8-6)*7+(3-2))&amp;"-"&amp;IF(MONTH(DATE(2026,5,4)+(8-6)*7+(3-2))&lt;10,"0","")&amp;MONTH(DATE(2026,5,4)+(8-6)*7+(3-2)))=$C$2),IF(SUMIFS('📅 Resumen Diario'!$J$5:$J$504,'📅 Resumen Diario'!$B$5:$B$504,YEAR(DATE(2026,5,4)+(8-6)*7+(3-2))&amp;"-"&amp;IF(MONTH(DATE(2026,5,4)+(8-6)*7+(3-2))&lt;10,"0","")&amp;MONTH(DATE(2026,5,4)+(8-6)*7+(3-2))&amp;"-"&amp;IF(DAY(DATE(2026,5,4)+(8-6)*7+(3-2))&lt;10,"0","")&amp;DAY(DATE(2026,5,4)+(8-6)*7+(3-2)),'📅 Resumen Diario'!$C$5:$C$504,IF($F$2="TODOS", "*", $F$2))=0,"—",SUMIFS('📅 Resumen Diario'!$Q$5:$Q$504,'📅 Resumen Diario'!$B$5:$B$504,YEAR(DATE(2026,5,4)+(8-6)*7+(3-2))&amp;"-"&amp;IF(MONTH(DATE(2026,5,4)+(8-6)*7+(3-2))&lt;10,"0","")&amp;MONTH(DATE(2026,5,4)+(8-6)*7+(3-2))&amp;"-"&amp;IF(DAY(DATE(2026,5,4)+(8-6)*7+(3-2))&lt;10,"0","")&amp;DAY(DATE(2026,5,4)+(8-6)*7+(3-2)),'📅 Resumen Diario'!$C$5:$C$504,IF($F$2="TODOS", "*", $F$2))/SUMIFS('📅 Resumen Diario'!$J$5:$J$504,'📅 Resumen Diario'!$B$5:$B$504,YEAR(DATE(2026,5,4)+(8-6)*7+(3-2))&amp;"-"&amp;IF(MONTH(DATE(2026,5,4)+(8-6)*7+(3-2))&lt;10,"0","")&amp;MONTH(DATE(2026,5,4)+(8-6)*7+(3-2))&amp;"-"&amp;IF(DAY(DATE(2026,5,4)+(8-6)*7+(3-2))&lt;10,"0","")&amp;DAY(DATE(2026,5,4)+(8-6)*7+(3-2)),'📅 Resumen Diario'!$C$5:$C$504,IF($F$2="TODOS", "*", $F$2))),"—")</f>
        <v>0.6075232027686015</v>
      </c>
      <c r="D8" s="68">
        <f>IF(OR($C$2="TODOS",(YEAR(DATE(2026,5,4)+(8-6)*7+(4-2))&amp;"-"&amp;IF(MONTH(DATE(2026,5,4)+(8-6)*7+(4-2))&lt;10,"0","")&amp;MONTH(DATE(2026,5,4)+(8-6)*7+(4-2)))=$C$2),IF(SUMIFS('📅 Resumen Diario'!$J$5:$J$504,'📅 Resumen Diario'!$B$5:$B$504,YEAR(DATE(2026,5,4)+(8-6)*7+(4-2))&amp;"-"&amp;IF(MONTH(DATE(2026,5,4)+(8-6)*7+(4-2))&lt;10,"0","")&amp;MONTH(DATE(2026,5,4)+(8-6)*7+(4-2))&amp;"-"&amp;IF(DAY(DATE(2026,5,4)+(8-6)*7+(4-2))&lt;10,"0","")&amp;DAY(DATE(2026,5,4)+(8-6)*7+(4-2)),'📅 Resumen Diario'!$C$5:$C$504,IF($F$2="TODOS", "*", $F$2))=0,"—",SUMIFS('📅 Resumen Diario'!$Q$5:$Q$504,'📅 Resumen Diario'!$B$5:$B$504,YEAR(DATE(2026,5,4)+(8-6)*7+(4-2))&amp;"-"&amp;IF(MONTH(DATE(2026,5,4)+(8-6)*7+(4-2))&lt;10,"0","")&amp;MONTH(DATE(2026,5,4)+(8-6)*7+(4-2))&amp;"-"&amp;IF(DAY(DATE(2026,5,4)+(8-6)*7+(4-2))&lt;10,"0","")&amp;DAY(DATE(2026,5,4)+(8-6)*7+(4-2)),'📅 Resumen Diario'!$C$5:$C$504,IF($F$2="TODOS", "*", $F$2))/SUMIFS('📅 Resumen Diario'!$J$5:$J$504,'📅 Resumen Diario'!$B$5:$B$504,YEAR(DATE(2026,5,4)+(8-6)*7+(4-2))&amp;"-"&amp;IF(MONTH(DATE(2026,5,4)+(8-6)*7+(4-2))&lt;10,"0","")&amp;MONTH(DATE(2026,5,4)+(8-6)*7+(4-2))&amp;"-"&amp;IF(DAY(DATE(2026,5,4)+(8-6)*7+(4-2))&lt;10,"0","")&amp;DAY(DATE(2026,5,4)+(8-6)*7+(4-2)),'📅 Resumen Diario'!$C$5:$C$504,IF($F$2="TODOS", "*", $F$2))),"—")</f>
        <v>-0.48527437678232088</v>
      </c>
      <c r="E8" s="70">
        <f>IF(OR($C$2="TODOS",(YEAR(DATE(2026,5,4)+(8-6)*7+(5-2))&amp;"-"&amp;IF(MONTH(DATE(2026,5,4)+(8-6)*7+(5-2))&lt;10,"0","")&amp;MONTH(DATE(2026,5,4)+(8-6)*7+(5-2)))=$C$2),IF(SUMIFS('📅 Resumen Diario'!$J$5:$J$504,'📅 Resumen Diario'!$B$5:$B$504,YEAR(DATE(2026,5,4)+(8-6)*7+(5-2))&amp;"-"&amp;IF(MONTH(DATE(2026,5,4)+(8-6)*7+(5-2))&lt;10,"0","")&amp;MONTH(DATE(2026,5,4)+(8-6)*7+(5-2))&amp;"-"&amp;IF(DAY(DATE(2026,5,4)+(8-6)*7+(5-2))&lt;10,"0","")&amp;DAY(DATE(2026,5,4)+(8-6)*7+(5-2)),'📅 Resumen Diario'!$C$5:$C$504,IF($F$2="TODOS", "*", $F$2))=0,"—",SUMIFS('📅 Resumen Diario'!$Q$5:$Q$504,'📅 Resumen Diario'!$B$5:$B$504,YEAR(DATE(2026,5,4)+(8-6)*7+(5-2))&amp;"-"&amp;IF(MONTH(DATE(2026,5,4)+(8-6)*7+(5-2))&lt;10,"0","")&amp;MONTH(DATE(2026,5,4)+(8-6)*7+(5-2))&amp;"-"&amp;IF(DAY(DATE(2026,5,4)+(8-6)*7+(5-2))&lt;10,"0","")&amp;DAY(DATE(2026,5,4)+(8-6)*7+(5-2)),'📅 Resumen Diario'!$C$5:$C$504,IF($F$2="TODOS", "*", $F$2))/SUMIFS('📅 Resumen Diario'!$J$5:$J$504,'📅 Resumen Diario'!$B$5:$B$504,YEAR(DATE(2026,5,4)+(8-6)*7+(5-2))&amp;"-"&amp;IF(MONTH(DATE(2026,5,4)+(8-6)*7+(5-2))&lt;10,"0","")&amp;MONTH(DATE(2026,5,4)+(8-6)*7+(5-2))&amp;"-"&amp;IF(DAY(DATE(2026,5,4)+(8-6)*7+(5-2))&lt;10,"0","")&amp;DAY(DATE(2026,5,4)+(8-6)*7+(5-2)),'📅 Resumen Diario'!$C$5:$C$504,IF($F$2="TODOS", "*", $F$2))),"—")</f>
        <v>0.24511117509488387</v>
      </c>
      <c r="F8" s="66">
        <f>IF(OR($C$2="TODOS",(YEAR(DATE(2026,5,4)+(8-6)*7+(6-2))&amp;"-"&amp;IF(MONTH(DATE(2026,5,4)+(8-6)*7+(6-2))&lt;10,"0","")&amp;MONTH(DATE(2026,5,4)+(8-6)*7+(6-2)))=$C$2),IF(SUMIFS('📅 Resumen Diario'!$J$5:$J$504,'📅 Resumen Diario'!$B$5:$B$504,YEAR(DATE(2026,5,4)+(8-6)*7+(6-2))&amp;"-"&amp;IF(MONTH(DATE(2026,5,4)+(8-6)*7+(6-2))&lt;10,"0","")&amp;MONTH(DATE(2026,5,4)+(8-6)*7+(6-2))&amp;"-"&amp;IF(DAY(DATE(2026,5,4)+(8-6)*7+(6-2))&lt;10,"0","")&amp;DAY(DATE(2026,5,4)+(8-6)*7+(6-2)),'📅 Resumen Diario'!$C$5:$C$504,IF($F$2="TODOS", "*", $F$2))=0,"—",SUMIFS('📅 Resumen Diario'!$Q$5:$Q$504,'📅 Resumen Diario'!$B$5:$B$504,YEAR(DATE(2026,5,4)+(8-6)*7+(6-2))&amp;"-"&amp;IF(MONTH(DATE(2026,5,4)+(8-6)*7+(6-2))&lt;10,"0","")&amp;MONTH(DATE(2026,5,4)+(8-6)*7+(6-2))&amp;"-"&amp;IF(DAY(DATE(2026,5,4)+(8-6)*7+(6-2))&lt;10,"0","")&amp;DAY(DATE(2026,5,4)+(8-6)*7+(6-2)),'📅 Resumen Diario'!$C$5:$C$504,IF($F$2="TODOS", "*", $F$2))/SUMIFS('📅 Resumen Diario'!$J$5:$J$504,'📅 Resumen Diario'!$B$5:$B$504,YEAR(DATE(2026,5,4)+(8-6)*7+(6-2))&amp;"-"&amp;IF(MONTH(DATE(2026,5,4)+(8-6)*7+(6-2))&lt;10,"0","")&amp;MONTH(DATE(2026,5,4)+(8-6)*7+(6-2))&amp;"-"&amp;IF(DAY(DATE(2026,5,4)+(8-6)*7+(6-2))&lt;10,"0","")&amp;DAY(DATE(2026,5,4)+(8-6)*7+(6-2)),'📅 Resumen Diario'!$C$5:$C$504,IF($F$2="TODOS", "*", $F$2))),"—")</f>
        <v>0.43539183938307985</v>
      </c>
      <c r="G8" s="68">
        <f>IF(OR($C$2="TODOS",(YEAR(DATE(2026,5,4)+(8-6)*7+(7-2))&amp;"-"&amp;IF(MONTH(DATE(2026,5,4)+(8-6)*7+(7-2))&lt;10,"0","")&amp;MONTH(DATE(2026,5,4)+(8-6)*7+(7-2)))=$C$2),IF(SUMIFS('📅 Resumen Diario'!$J$5:$J$504,'📅 Resumen Diario'!$B$5:$B$504,YEAR(DATE(2026,5,4)+(8-6)*7+(7-2))&amp;"-"&amp;IF(MONTH(DATE(2026,5,4)+(8-6)*7+(7-2))&lt;10,"0","")&amp;MONTH(DATE(2026,5,4)+(8-6)*7+(7-2))&amp;"-"&amp;IF(DAY(DATE(2026,5,4)+(8-6)*7+(7-2))&lt;10,"0","")&amp;DAY(DATE(2026,5,4)+(8-6)*7+(7-2)),'📅 Resumen Diario'!$C$5:$C$504,IF($F$2="TODOS", "*", $F$2))=0,"—",SUMIFS('📅 Resumen Diario'!$Q$5:$Q$504,'📅 Resumen Diario'!$B$5:$B$504,YEAR(DATE(2026,5,4)+(8-6)*7+(7-2))&amp;"-"&amp;IF(MONTH(DATE(2026,5,4)+(8-6)*7+(7-2))&lt;10,"0","")&amp;MONTH(DATE(2026,5,4)+(8-6)*7+(7-2))&amp;"-"&amp;IF(DAY(DATE(2026,5,4)+(8-6)*7+(7-2))&lt;10,"0","")&amp;DAY(DATE(2026,5,4)+(8-6)*7+(7-2)),'📅 Resumen Diario'!$C$5:$C$504,IF($F$2="TODOS", "*", $F$2))/SUMIFS('📅 Resumen Diario'!$J$5:$J$504,'📅 Resumen Diario'!$B$5:$B$504,YEAR(DATE(2026,5,4)+(8-6)*7+(7-2))&amp;"-"&amp;IF(MONTH(DATE(2026,5,4)+(8-6)*7+(7-2))&lt;10,"0","")&amp;MONTH(DATE(2026,5,4)+(8-6)*7+(7-2))&amp;"-"&amp;IF(DAY(DATE(2026,5,4)+(8-6)*7+(7-2))&lt;10,"0","")&amp;DAY(DATE(2026,5,4)+(8-6)*7+(7-2)),'📅 Resumen Diario'!$C$5:$C$504,IF($F$2="TODOS", "*", $F$2))),"—")</f>
        <v>-0.43975445211492792</v>
      </c>
      <c r="H8" s="66">
        <f>IF(OR($C$2="TODOS",(YEAR(DATE(2026,5,4)+(8-6)*7+(8-2))&amp;"-"&amp;IF(MONTH(DATE(2026,5,4)+(8-6)*7+(8-2))&lt;10,"0","")&amp;MONTH(DATE(2026,5,4)+(8-6)*7+(8-2)))=$C$2),IF(SUMIFS('📅 Resumen Diario'!$J$5:$J$504,'📅 Resumen Diario'!$B$5:$B$504,YEAR(DATE(2026,5,4)+(8-6)*7+(8-2))&amp;"-"&amp;IF(MONTH(DATE(2026,5,4)+(8-6)*7+(8-2))&lt;10,"0","")&amp;MONTH(DATE(2026,5,4)+(8-6)*7+(8-2))&amp;"-"&amp;IF(DAY(DATE(2026,5,4)+(8-6)*7+(8-2))&lt;10,"0","")&amp;DAY(DATE(2026,5,4)+(8-6)*7+(8-2)),'📅 Resumen Diario'!$C$5:$C$504,IF($F$2="TODOS", "*", $F$2))=0,"—",SUMIFS('📅 Resumen Diario'!$Q$5:$Q$504,'📅 Resumen Diario'!$B$5:$B$504,YEAR(DATE(2026,5,4)+(8-6)*7+(8-2))&amp;"-"&amp;IF(MONTH(DATE(2026,5,4)+(8-6)*7+(8-2))&lt;10,"0","")&amp;MONTH(DATE(2026,5,4)+(8-6)*7+(8-2))&amp;"-"&amp;IF(DAY(DATE(2026,5,4)+(8-6)*7+(8-2))&lt;10,"0","")&amp;DAY(DATE(2026,5,4)+(8-6)*7+(8-2)),'📅 Resumen Diario'!$C$5:$C$504,IF($F$2="TODOS", "*", $F$2))/SUMIFS('📅 Resumen Diario'!$J$5:$J$504,'📅 Resumen Diario'!$B$5:$B$504,YEAR(DATE(2026,5,4)+(8-6)*7+(8-2))&amp;"-"&amp;IF(MONTH(DATE(2026,5,4)+(8-6)*7+(8-2))&lt;10,"0","")&amp;MONTH(DATE(2026,5,4)+(8-6)*7+(8-2))&amp;"-"&amp;IF(DAY(DATE(2026,5,4)+(8-6)*7+(8-2))&lt;10,"0","")&amp;DAY(DATE(2026,5,4)+(8-6)*7+(8-2)),'📅 Resumen Diario'!$C$5:$C$504,IF($F$2="TODOS", "*", $F$2))),"—")</f>
        <v>0.37766613488193418</v>
      </c>
    </row>
    <row r="9" spans="1:14" ht="30" customHeight="1" x14ac:dyDescent="0.3">
      <c r="A9" s="56" t="s">
        <v>307</v>
      </c>
      <c r="B9" s="66">
        <f>IF(OR($C$2="TODOS",(YEAR(DATE(2026,5,4)+(9-6)*7+(2-2))&amp;"-"&amp;IF(MONTH(DATE(2026,5,4)+(9-6)*7+(2-2))&lt;10,"0","")&amp;MONTH(DATE(2026,5,4)+(9-6)*7+(2-2)))=$C$2),IF(SUMIFS('📅 Resumen Diario'!$J$5:$J$504,'📅 Resumen Diario'!$B$5:$B$504,YEAR(DATE(2026,5,4)+(9-6)*7+(2-2))&amp;"-"&amp;IF(MONTH(DATE(2026,5,4)+(9-6)*7+(2-2))&lt;10,"0","")&amp;MONTH(DATE(2026,5,4)+(9-6)*7+(2-2))&amp;"-"&amp;IF(DAY(DATE(2026,5,4)+(9-6)*7+(2-2))&lt;10,"0","")&amp;DAY(DATE(2026,5,4)+(9-6)*7+(2-2)),'📅 Resumen Diario'!$C$5:$C$504,IF($F$2="TODOS", "*", $F$2))=0,"—",SUMIFS('📅 Resumen Diario'!$Q$5:$Q$504,'📅 Resumen Diario'!$B$5:$B$504,YEAR(DATE(2026,5,4)+(9-6)*7+(2-2))&amp;"-"&amp;IF(MONTH(DATE(2026,5,4)+(9-6)*7+(2-2))&lt;10,"0","")&amp;MONTH(DATE(2026,5,4)+(9-6)*7+(2-2))&amp;"-"&amp;IF(DAY(DATE(2026,5,4)+(9-6)*7+(2-2))&lt;10,"0","")&amp;DAY(DATE(2026,5,4)+(9-6)*7+(2-2)),'📅 Resumen Diario'!$C$5:$C$504,IF($F$2="TODOS", "*", $F$2))/SUMIFS('📅 Resumen Diario'!$J$5:$J$504,'📅 Resumen Diario'!$B$5:$B$504,YEAR(DATE(2026,5,4)+(9-6)*7+(2-2))&amp;"-"&amp;IF(MONTH(DATE(2026,5,4)+(9-6)*7+(2-2))&lt;10,"0","")&amp;MONTH(DATE(2026,5,4)+(9-6)*7+(2-2))&amp;"-"&amp;IF(DAY(DATE(2026,5,4)+(9-6)*7+(2-2))&lt;10,"0","")&amp;DAY(DATE(2026,5,4)+(9-6)*7+(2-2)),'📅 Resumen Diario'!$C$5:$C$504,IF($F$2="TODOS", "*", $F$2))),"—")</f>
        <v>0.18342792635597432</v>
      </c>
      <c r="C9" s="68">
        <f>IF(OR($C$2="TODOS",(YEAR(DATE(2026,5,4)+(9-6)*7+(3-2))&amp;"-"&amp;IF(MONTH(DATE(2026,5,4)+(9-6)*7+(3-2))&lt;10,"0","")&amp;MONTH(DATE(2026,5,4)+(9-6)*7+(3-2)))=$C$2),IF(SUMIFS('📅 Resumen Diario'!$J$5:$J$504,'📅 Resumen Diario'!$B$5:$B$504,YEAR(DATE(2026,5,4)+(9-6)*7+(3-2))&amp;"-"&amp;IF(MONTH(DATE(2026,5,4)+(9-6)*7+(3-2))&lt;10,"0","")&amp;MONTH(DATE(2026,5,4)+(9-6)*7+(3-2))&amp;"-"&amp;IF(DAY(DATE(2026,5,4)+(9-6)*7+(3-2))&lt;10,"0","")&amp;DAY(DATE(2026,5,4)+(9-6)*7+(3-2)),'📅 Resumen Diario'!$C$5:$C$504,IF($F$2="TODOS", "*", $F$2))=0,"—",SUMIFS('📅 Resumen Diario'!$Q$5:$Q$504,'📅 Resumen Diario'!$B$5:$B$504,YEAR(DATE(2026,5,4)+(9-6)*7+(3-2))&amp;"-"&amp;IF(MONTH(DATE(2026,5,4)+(9-6)*7+(3-2))&lt;10,"0","")&amp;MONTH(DATE(2026,5,4)+(9-6)*7+(3-2))&amp;"-"&amp;IF(DAY(DATE(2026,5,4)+(9-6)*7+(3-2))&lt;10,"0","")&amp;DAY(DATE(2026,5,4)+(9-6)*7+(3-2)),'📅 Resumen Diario'!$C$5:$C$504,IF($F$2="TODOS", "*", $F$2))/SUMIFS('📅 Resumen Diario'!$J$5:$J$504,'📅 Resumen Diario'!$B$5:$B$504,YEAR(DATE(2026,5,4)+(9-6)*7+(3-2))&amp;"-"&amp;IF(MONTH(DATE(2026,5,4)+(9-6)*7+(3-2))&lt;10,"0","")&amp;MONTH(DATE(2026,5,4)+(9-6)*7+(3-2))&amp;"-"&amp;IF(DAY(DATE(2026,5,4)+(9-6)*7+(3-2))&lt;10,"0","")&amp;DAY(DATE(2026,5,4)+(9-6)*7+(3-2)),'📅 Resumen Diario'!$C$5:$C$504,IF($F$2="TODOS", "*", $F$2))),"—")</f>
        <v>-0.11167818732077989</v>
      </c>
      <c r="D9" s="68">
        <f>IF(OR($C$2="TODOS",(YEAR(DATE(2026,5,4)+(9-6)*7+(4-2))&amp;"-"&amp;IF(MONTH(DATE(2026,5,4)+(9-6)*7+(4-2))&lt;10,"0","")&amp;MONTH(DATE(2026,5,4)+(9-6)*7+(4-2)))=$C$2),IF(SUMIFS('📅 Resumen Diario'!$J$5:$J$504,'📅 Resumen Diario'!$B$5:$B$504,YEAR(DATE(2026,5,4)+(9-6)*7+(4-2))&amp;"-"&amp;IF(MONTH(DATE(2026,5,4)+(9-6)*7+(4-2))&lt;10,"0","")&amp;MONTH(DATE(2026,5,4)+(9-6)*7+(4-2))&amp;"-"&amp;IF(DAY(DATE(2026,5,4)+(9-6)*7+(4-2))&lt;10,"0","")&amp;DAY(DATE(2026,5,4)+(9-6)*7+(4-2)),'📅 Resumen Diario'!$C$5:$C$504,IF($F$2="TODOS", "*", $F$2))=0,"—",SUMIFS('📅 Resumen Diario'!$Q$5:$Q$504,'📅 Resumen Diario'!$B$5:$B$504,YEAR(DATE(2026,5,4)+(9-6)*7+(4-2))&amp;"-"&amp;IF(MONTH(DATE(2026,5,4)+(9-6)*7+(4-2))&lt;10,"0","")&amp;MONTH(DATE(2026,5,4)+(9-6)*7+(4-2))&amp;"-"&amp;IF(DAY(DATE(2026,5,4)+(9-6)*7+(4-2))&lt;10,"0","")&amp;DAY(DATE(2026,5,4)+(9-6)*7+(4-2)),'📅 Resumen Diario'!$C$5:$C$504,IF($F$2="TODOS", "*", $F$2))/SUMIFS('📅 Resumen Diario'!$J$5:$J$504,'📅 Resumen Diario'!$B$5:$B$504,YEAR(DATE(2026,5,4)+(9-6)*7+(4-2))&amp;"-"&amp;IF(MONTH(DATE(2026,5,4)+(9-6)*7+(4-2))&lt;10,"0","")&amp;MONTH(DATE(2026,5,4)+(9-6)*7+(4-2))&amp;"-"&amp;IF(DAY(DATE(2026,5,4)+(9-6)*7+(4-2))&lt;10,"0","")&amp;DAY(DATE(2026,5,4)+(9-6)*7+(4-2)),'📅 Resumen Diario'!$C$5:$C$504,IF($F$2="TODOS", "*", $F$2))),"—")</f>
        <v>4.6322274499748316E-2</v>
      </c>
      <c r="E9" s="69">
        <f>IF(OR($C$2="TODOS",(YEAR(DATE(2026,5,4)+(9-6)*7+(5-2))&amp;"-"&amp;IF(MONTH(DATE(2026,5,4)+(9-6)*7+(5-2))&lt;10,"0","")&amp;MONTH(DATE(2026,5,4)+(9-6)*7+(5-2)))=$C$2),IF(SUMIFS('📅 Resumen Diario'!$J$5:$J$504,'📅 Resumen Diario'!$B$5:$B$504,YEAR(DATE(2026,5,4)+(9-6)*7+(5-2))&amp;"-"&amp;IF(MONTH(DATE(2026,5,4)+(9-6)*7+(5-2))&lt;10,"0","")&amp;MONTH(DATE(2026,5,4)+(9-6)*7+(5-2))&amp;"-"&amp;IF(DAY(DATE(2026,5,4)+(9-6)*7+(5-2))&lt;10,"0","")&amp;DAY(DATE(2026,5,4)+(9-6)*7+(5-2)),'📅 Resumen Diario'!$C$5:$C$504,IF($F$2="TODOS", "*", $F$2))=0,"—",SUMIFS('📅 Resumen Diario'!$Q$5:$Q$504,'📅 Resumen Diario'!$B$5:$B$504,YEAR(DATE(2026,5,4)+(9-6)*7+(5-2))&amp;"-"&amp;IF(MONTH(DATE(2026,5,4)+(9-6)*7+(5-2))&lt;10,"0","")&amp;MONTH(DATE(2026,5,4)+(9-6)*7+(5-2))&amp;"-"&amp;IF(DAY(DATE(2026,5,4)+(9-6)*7+(5-2))&lt;10,"0","")&amp;DAY(DATE(2026,5,4)+(9-6)*7+(5-2)),'📅 Resumen Diario'!$C$5:$C$504,IF($F$2="TODOS", "*", $F$2))/SUMIFS('📅 Resumen Diario'!$J$5:$J$504,'📅 Resumen Diario'!$B$5:$B$504,YEAR(DATE(2026,5,4)+(9-6)*7+(5-2))&amp;"-"&amp;IF(MONTH(DATE(2026,5,4)+(9-6)*7+(5-2))&lt;10,"0","")&amp;MONTH(DATE(2026,5,4)+(9-6)*7+(5-2))&amp;"-"&amp;IF(DAY(DATE(2026,5,4)+(9-6)*7+(5-2))&lt;10,"0","")&amp;DAY(DATE(2026,5,4)+(9-6)*7+(5-2)),'📅 Resumen Diario'!$C$5:$C$504,IF($F$2="TODOS", "*", $F$2))),"—")</f>
        <v>0.48646919539778782</v>
      </c>
      <c r="F9" s="69">
        <f>IF(OR($C$2="TODOS",(YEAR(DATE(2026,5,4)+(9-6)*7+(6-2))&amp;"-"&amp;IF(MONTH(DATE(2026,5,4)+(9-6)*7+(6-2))&lt;10,"0","")&amp;MONTH(DATE(2026,5,4)+(9-6)*7+(6-2)))=$C$2),IF(SUMIFS('📅 Resumen Diario'!$J$5:$J$504,'📅 Resumen Diario'!$B$5:$B$504,YEAR(DATE(2026,5,4)+(9-6)*7+(6-2))&amp;"-"&amp;IF(MONTH(DATE(2026,5,4)+(9-6)*7+(6-2))&lt;10,"0","")&amp;MONTH(DATE(2026,5,4)+(9-6)*7+(6-2))&amp;"-"&amp;IF(DAY(DATE(2026,5,4)+(9-6)*7+(6-2))&lt;10,"0","")&amp;DAY(DATE(2026,5,4)+(9-6)*7+(6-2)),'📅 Resumen Diario'!$C$5:$C$504,IF($F$2="TODOS", "*", $F$2))=0,"—",SUMIFS('📅 Resumen Diario'!$Q$5:$Q$504,'📅 Resumen Diario'!$B$5:$B$504,YEAR(DATE(2026,5,4)+(9-6)*7+(6-2))&amp;"-"&amp;IF(MONTH(DATE(2026,5,4)+(9-6)*7+(6-2))&lt;10,"0","")&amp;MONTH(DATE(2026,5,4)+(9-6)*7+(6-2))&amp;"-"&amp;IF(DAY(DATE(2026,5,4)+(9-6)*7+(6-2))&lt;10,"0","")&amp;DAY(DATE(2026,5,4)+(9-6)*7+(6-2)),'📅 Resumen Diario'!$C$5:$C$504,IF($F$2="TODOS", "*", $F$2))/SUMIFS('📅 Resumen Diario'!$J$5:$J$504,'📅 Resumen Diario'!$B$5:$B$504,YEAR(DATE(2026,5,4)+(9-6)*7+(6-2))&amp;"-"&amp;IF(MONTH(DATE(2026,5,4)+(9-6)*7+(6-2))&lt;10,"0","")&amp;MONTH(DATE(2026,5,4)+(9-6)*7+(6-2))&amp;"-"&amp;IF(DAY(DATE(2026,5,4)+(9-6)*7+(6-2))&lt;10,"0","")&amp;DAY(DATE(2026,5,4)+(9-6)*7+(6-2)),'📅 Resumen Diario'!$C$5:$C$504,IF($F$2="TODOS", "*", $F$2))),"—")</f>
        <v>0.40303070735493873</v>
      </c>
      <c r="G9" s="68">
        <f>IF(OR($C$2="TODOS",(YEAR(DATE(2026,5,4)+(9-6)*7+(7-2))&amp;"-"&amp;IF(MONTH(DATE(2026,5,4)+(9-6)*7+(7-2))&lt;10,"0","")&amp;MONTH(DATE(2026,5,4)+(9-6)*7+(7-2)))=$C$2),IF(SUMIFS('📅 Resumen Diario'!$J$5:$J$504,'📅 Resumen Diario'!$B$5:$B$504,YEAR(DATE(2026,5,4)+(9-6)*7+(7-2))&amp;"-"&amp;IF(MONTH(DATE(2026,5,4)+(9-6)*7+(7-2))&lt;10,"0","")&amp;MONTH(DATE(2026,5,4)+(9-6)*7+(7-2))&amp;"-"&amp;IF(DAY(DATE(2026,5,4)+(9-6)*7+(7-2))&lt;10,"0","")&amp;DAY(DATE(2026,5,4)+(9-6)*7+(7-2)),'📅 Resumen Diario'!$C$5:$C$504,IF($F$2="TODOS", "*", $F$2))=0,"—",SUMIFS('📅 Resumen Diario'!$Q$5:$Q$504,'📅 Resumen Diario'!$B$5:$B$504,YEAR(DATE(2026,5,4)+(9-6)*7+(7-2))&amp;"-"&amp;IF(MONTH(DATE(2026,5,4)+(9-6)*7+(7-2))&lt;10,"0","")&amp;MONTH(DATE(2026,5,4)+(9-6)*7+(7-2))&amp;"-"&amp;IF(DAY(DATE(2026,5,4)+(9-6)*7+(7-2))&lt;10,"0","")&amp;DAY(DATE(2026,5,4)+(9-6)*7+(7-2)),'📅 Resumen Diario'!$C$5:$C$504,IF($F$2="TODOS", "*", $F$2))/SUMIFS('📅 Resumen Diario'!$J$5:$J$504,'📅 Resumen Diario'!$B$5:$B$504,YEAR(DATE(2026,5,4)+(9-6)*7+(7-2))&amp;"-"&amp;IF(MONTH(DATE(2026,5,4)+(9-6)*7+(7-2))&lt;10,"0","")&amp;MONTH(DATE(2026,5,4)+(9-6)*7+(7-2))&amp;"-"&amp;IF(DAY(DATE(2026,5,4)+(9-6)*7+(7-2))&lt;10,"0","")&amp;DAY(DATE(2026,5,4)+(9-6)*7+(7-2)),'📅 Resumen Diario'!$C$5:$C$504,IF($F$2="TODOS", "*", $F$2))),"—")</f>
        <v>-0.94098587170111714</v>
      </c>
      <c r="H9" s="66">
        <f>IF(OR($C$2="TODOS",(YEAR(DATE(2026,5,4)+(9-6)*7+(8-2))&amp;"-"&amp;IF(MONTH(DATE(2026,5,4)+(9-6)*7+(8-2))&lt;10,"0","")&amp;MONTH(DATE(2026,5,4)+(9-6)*7+(8-2)))=$C$2),IF(SUMIFS('📅 Resumen Diario'!$J$5:$J$504,'📅 Resumen Diario'!$B$5:$B$504,YEAR(DATE(2026,5,4)+(9-6)*7+(8-2))&amp;"-"&amp;IF(MONTH(DATE(2026,5,4)+(9-6)*7+(8-2))&lt;10,"0","")&amp;MONTH(DATE(2026,5,4)+(9-6)*7+(8-2))&amp;"-"&amp;IF(DAY(DATE(2026,5,4)+(9-6)*7+(8-2))&lt;10,"0","")&amp;DAY(DATE(2026,5,4)+(9-6)*7+(8-2)),'📅 Resumen Diario'!$C$5:$C$504,IF($F$2="TODOS", "*", $F$2))=0,"—",SUMIFS('📅 Resumen Diario'!$Q$5:$Q$504,'📅 Resumen Diario'!$B$5:$B$504,YEAR(DATE(2026,5,4)+(9-6)*7+(8-2))&amp;"-"&amp;IF(MONTH(DATE(2026,5,4)+(9-6)*7+(8-2))&lt;10,"0","")&amp;MONTH(DATE(2026,5,4)+(9-6)*7+(8-2))&amp;"-"&amp;IF(DAY(DATE(2026,5,4)+(9-6)*7+(8-2))&lt;10,"0","")&amp;DAY(DATE(2026,5,4)+(9-6)*7+(8-2)),'📅 Resumen Diario'!$C$5:$C$504,IF($F$2="TODOS", "*", $F$2))/SUMIFS('📅 Resumen Diario'!$J$5:$J$504,'📅 Resumen Diario'!$B$5:$B$504,YEAR(DATE(2026,5,4)+(9-6)*7+(8-2))&amp;"-"&amp;IF(MONTH(DATE(2026,5,4)+(9-6)*7+(8-2))&lt;10,"0","")&amp;MONTH(DATE(2026,5,4)+(9-6)*7+(8-2))&amp;"-"&amp;IF(DAY(DATE(2026,5,4)+(9-6)*7+(8-2))&lt;10,"0","")&amp;DAY(DATE(2026,5,4)+(9-6)*7+(8-2)),'📅 Resumen Diario'!$C$5:$C$504,IF($F$2="TODOS", "*", $F$2))),"—")</f>
        <v>0.4808304811869098</v>
      </c>
    </row>
    <row r="10" spans="1:14" ht="30" customHeight="1" x14ac:dyDescent="0.3">
      <c r="A10" s="56" t="s">
        <v>308</v>
      </c>
      <c r="B10" s="68">
        <f>IF(OR($C$2="TODOS",(YEAR(DATE(2026,5,4)+(10-6)*7+(2-2))&amp;"-"&amp;IF(MONTH(DATE(2026,5,4)+(10-6)*7+(2-2))&lt;10,"0","")&amp;MONTH(DATE(2026,5,4)+(10-6)*7+(2-2)))=$C$2),IF(SUMIFS('📅 Resumen Diario'!$J$5:$J$504,'📅 Resumen Diario'!$B$5:$B$504,YEAR(DATE(2026,5,4)+(10-6)*7+(2-2))&amp;"-"&amp;IF(MONTH(DATE(2026,5,4)+(10-6)*7+(2-2))&lt;10,"0","")&amp;MONTH(DATE(2026,5,4)+(10-6)*7+(2-2))&amp;"-"&amp;IF(DAY(DATE(2026,5,4)+(10-6)*7+(2-2))&lt;10,"0","")&amp;DAY(DATE(2026,5,4)+(10-6)*7+(2-2)),'📅 Resumen Diario'!$C$5:$C$504,IF($F$2="TODOS", "*", $F$2))=0,"—",SUMIFS('📅 Resumen Diario'!$Q$5:$Q$504,'📅 Resumen Diario'!$B$5:$B$504,YEAR(DATE(2026,5,4)+(10-6)*7+(2-2))&amp;"-"&amp;IF(MONTH(DATE(2026,5,4)+(10-6)*7+(2-2))&lt;10,"0","")&amp;MONTH(DATE(2026,5,4)+(10-6)*7+(2-2))&amp;"-"&amp;IF(DAY(DATE(2026,5,4)+(10-6)*7+(2-2))&lt;10,"0","")&amp;DAY(DATE(2026,5,4)+(10-6)*7+(2-2)),'📅 Resumen Diario'!$C$5:$C$504,IF($F$2="TODOS", "*", $F$2))/SUMIFS('📅 Resumen Diario'!$J$5:$J$504,'📅 Resumen Diario'!$B$5:$B$504,YEAR(DATE(2026,5,4)+(10-6)*7+(2-2))&amp;"-"&amp;IF(MONTH(DATE(2026,5,4)+(10-6)*7+(2-2))&lt;10,"0","")&amp;MONTH(DATE(2026,5,4)+(10-6)*7+(2-2))&amp;"-"&amp;IF(DAY(DATE(2026,5,4)+(10-6)*7+(2-2))&lt;10,"0","")&amp;DAY(DATE(2026,5,4)+(10-6)*7+(2-2)),'📅 Resumen Diario'!$C$5:$C$504,IF($F$2="TODOS", "*", $F$2))),"—")</f>
        <v>-0.44466871494110599</v>
      </c>
      <c r="C10" s="66">
        <f>IF(OR($C$2="TODOS",(YEAR(DATE(2026,5,4)+(10-6)*7+(3-2))&amp;"-"&amp;IF(MONTH(DATE(2026,5,4)+(10-6)*7+(3-2))&lt;10,"0","")&amp;MONTH(DATE(2026,5,4)+(10-6)*7+(3-2)))=$C$2),IF(SUMIFS('📅 Resumen Diario'!$J$5:$J$504,'📅 Resumen Diario'!$B$5:$B$504,YEAR(DATE(2026,5,4)+(10-6)*7+(3-2))&amp;"-"&amp;IF(MONTH(DATE(2026,5,4)+(10-6)*7+(3-2))&lt;10,"0","")&amp;MONTH(DATE(2026,5,4)+(10-6)*7+(3-2))&amp;"-"&amp;IF(DAY(DATE(2026,5,4)+(10-6)*7+(3-2))&lt;10,"0","")&amp;DAY(DATE(2026,5,4)+(10-6)*7+(3-2)),'📅 Resumen Diario'!$C$5:$C$504,IF($F$2="TODOS", "*", $F$2))=0,"—",SUMIFS('📅 Resumen Diario'!$Q$5:$Q$504,'📅 Resumen Diario'!$B$5:$B$504,YEAR(DATE(2026,5,4)+(10-6)*7+(3-2))&amp;"-"&amp;IF(MONTH(DATE(2026,5,4)+(10-6)*7+(3-2))&lt;10,"0","")&amp;MONTH(DATE(2026,5,4)+(10-6)*7+(3-2))&amp;"-"&amp;IF(DAY(DATE(2026,5,4)+(10-6)*7+(3-2))&lt;10,"0","")&amp;DAY(DATE(2026,5,4)+(10-6)*7+(3-2)),'📅 Resumen Diario'!$C$5:$C$504,IF($F$2="TODOS", "*", $F$2))/SUMIFS('📅 Resumen Diario'!$J$5:$J$504,'📅 Resumen Diario'!$B$5:$B$504,YEAR(DATE(2026,5,4)+(10-6)*7+(3-2))&amp;"-"&amp;IF(MONTH(DATE(2026,5,4)+(10-6)*7+(3-2))&lt;10,"0","")&amp;MONTH(DATE(2026,5,4)+(10-6)*7+(3-2))&amp;"-"&amp;IF(DAY(DATE(2026,5,4)+(10-6)*7+(3-2))&lt;10,"0","")&amp;DAY(DATE(2026,5,4)+(10-6)*7+(3-2)),'📅 Resumen Diario'!$C$5:$C$504,IF($F$2="TODOS", "*", $F$2))),"—")</f>
        <v>0.38147709732061053</v>
      </c>
      <c r="D10" s="69">
        <f>IF(OR($C$2="TODOS",(YEAR(DATE(2026,5,4)+(10-6)*7+(4-2))&amp;"-"&amp;IF(MONTH(DATE(2026,5,4)+(10-6)*7+(4-2))&lt;10,"0","")&amp;MONTH(DATE(2026,5,4)+(10-6)*7+(4-2)))=$C$2),IF(SUMIFS('📅 Resumen Diario'!$J$5:$J$504,'📅 Resumen Diario'!$B$5:$B$504,YEAR(DATE(2026,5,4)+(10-6)*7+(4-2))&amp;"-"&amp;IF(MONTH(DATE(2026,5,4)+(10-6)*7+(4-2))&lt;10,"0","")&amp;MONTH(DATE(2026,5,4)+(10-6)*7+(4-2))&amp;"-"&amp;IF(DAY(DATE(2026,5,4)+(10-6)*7+(4-2))&lt;10,"0","")&amp;DAY(DATE(2026,5,4)+(10-6)*7+(4-2)),'📅 Resumen Diario'!$C$5:$C$504,IF($F$2="TODOS", "*", $F$2))=0,"—",SUMIFS('📅 Resumen Diario'!$Q$5:$Q$504,'📅 Resumen Diario'!$B$5:$B$504,YEAR(DATE(2026,5,4)+(10-6)*7+(4-2))&amp;"-"&amp;IF(MONTH(DATE(2026,5,4)+(10-6)*7+(4-2))&lt;10,"0","")&amp;MONTH(DATE(2026,5,4)+(10-6)*7+(4-2))&amp;"-"&amp;IF(DAY(DATE(2026,5,4)+(10-6)*7+(4-2))&lt;10,"0","")&amp;DAY(DATE(2026,5,4)+(10-6)*7+(4-2)),'📅 Resumen Diario'!$C$5:$C$504,IF($F$2="TODOS", "*", $F$2))/SUMIFS('📅 Resumen Diario'!$J$5:$J$504,'📅 Resumen Diario'!$B$5:$B$504,YEAR(DATE(2026,5,4)+(10-6)*7+(4-2))&amp;"-"&amp;IF(MONTH(DATE(2026,5,4)+(10-6)*7+(4-2))&lt;10,"0","")&amp;MONTH(DATE(2026,5,4)+(10-6)*7+(4-2))&amp;"-"&amp;IF(DAY(DATE(2026,5,4)+(10-6)*7+(4-2))&lt;10,"0","")&amp;DAY(DATE(2026,5,4)+(10-6)*7+(4-2)),'📅 Resumen Diario'!$C$5:$C$504,IF($F$2="TODOS", "*", $F$2))),"—")</f>
        <v>0.46563376045676264</v>
      </c>
      <c r="E10" s="68">
        <f>IF(OR($C$2="TODOS",(YEAR(DATE(2026,5,4)+(10-6)*7+(5-2))&amp;"-"&amp;IF(MONTH(DATE(2026,5,4)+(10-6)*7+(5-2))&lt;10,"0","")&amp;MONTH(DATE(2026,5,4)+(10-6)*7+(5-2)))=$C$2),IF(SUMIFS('📅 Resumen Diario'!$J$5:$J$504,'📅 Resumen Diario'!$B$5:$B$504,YEAR(DATE(2026,5,4)+(10-6)*7+(5-2))&amp;"-"&amp;IF(MONTH(DATE(2026,5,4)+(10-6)*7+(5-2))&lt;10,"0","")&amp;MONTH(DATE(2026,5,4)+(10-6)*7+(5-2))&amp;"-"&amp;IF(DAY(DATE(2026,5,4)+(10-6)*7+(5-2))&lt;10,"0","")&amp;DAY(DATE(2026,5,4)+(10-6)*7+(5-2)),'📅 Resumen Diario'!$C$5:$C$504,IF($F$2="TODOS", "*", $F$2))=0,"—",SUMIFS('📅 Resumen Diario'!$Q$5:$Q$504,'📅 Resumen Diario'!$B$5:$B$504,YEAR(DATE(2026,5,4)+(10-6)*7+(5-2))&amp;"-"&amp;IF(MONTH(DATE(2026,5,4)+(10-6)*7+(5-2))&lt;10,"0","")&amp;MONTH(DATE(2026,5,4)+(10-6)*7+(5-2))&amp;"-"&amp;IF(DAY(DATE(2026,5,4)+(10-6)*7+(5-2))&lt;10,"0","")&amp;DAY(DATE(2026,5,4)+(10-6)*7+(5-2)),'📅 Resumen Diario'!$C$5:$C$504,IF($F$2="TODOS", "*", $F$2))/SUMIFS('📅 Resumen Diario'!$J$5:$J$504,'📅 Resumen Diario'!$B$5:$B$504,YEAR(DATE(2026,5,4)+(10-6)*7+(5-2))&amp;"-"&amp;IF(MONTH(DATE(2026,5,4)+(10-6)*7+(5-2))&lt;10,"0","")&amp;MONTH(DATE(2026,5,4)+(10-6)*7+(5-2))&amp;"-"&amp;IF(DAY(DATE(2026,5,4)+(10-6)*7+(5-2))&lt;10,"0","")&amp;DAY(DATE(2026,5,4)+(10-6)*7+(5-2)),'📅 Resumen Diario'!$C$5:$C$504,IF($F$2="TODOS", "*", $F$2))),"—")</f>
        <v>-0.27442447267938974</v>
      </c>
      <c r="F10" s="68">
        <f>IF(OR($C$2="TODOS",(YEAR(DATE(2026,5,4)+(10-6)*7+(6-2))&amp;"-"&amp;IF(MONTH(DATE(2026,5,4)+(10-6)*7+(6-2))&lt;10,"0","")&amp;MONTH(DATE(2026,5,4)+(10-6)*7+(6-2)))=$C$2),IF(SUMIFS('📅 Resumen Diario'!$J$5:$J$504,'📅 Resumen Diario'!$B$5:$B$504,YEAR(DATE(2026,5,4)+(10-6)*7+(6-2))&amp;"-"&amp;IF(MONTH(DATE(2026,5,4)+(10-6)*7+(6-2))&lt;10,"0","")&amp;MONTH(DATE(2026,5,4)+(10-6)*7+(6-2))&amp;"-"&amp;IF(DAY(DATE(2026,5,4)+(10-6)*7+(6-2))&lt;10,"0","")&amp;DAY(DATE(2026,5,4)+(10-6)*7+(6-2)),'📅 Resumen Diario'!$C$5:$C$504,IF($F$2="TODOS", "*", $F$2))=0,"—",SUMIFS('📅 Resumen Diario'!$Q$5:$Q$504,'📅 Resumen Diario'!$B$5:$B$504,YEAR(DATE(2026,5,4)+(10-6)*7+(6-2))&amp;"-"&amp;IF(MONTH(DATE(2026,5,4)+(10-6)*7+(6-2))&lt;10,"0","")&amp;MONTH(DATE(2026,5,4)+(10-6)*7+(6-2))&amp;"-"&amp;IF(DAY(DATE(2026,5,4)+(10-6)*7+(6-2))&lt;10,"0","")&amp;DAY(DATE(2026,5,4)+(10-6)*7+(6-2)),'📅 Resumen Diario'!$C$5:$C$504,IF($F$2="TODOS", "*", $F$2))/SUMIFS('📅 Resumen Diario'!$J$5:$J$504,'📅 Resumen Diario'!$B$5:$B$504,YEAR(DATE(2026,5,4)+(10-6)*7+(6-2))&amp;"-"&amp;IF(MONTH(DATE(2026,5,4)+(10-6)*7+(6-2))&lt;10,"0","")&amp;MONTH(DATE(2026,5,4)+(10-6)*7+(6-2))&amp;"-"&amp;IF(DAY(DATE(2026,5,4)+(10-6)*7+(6-2))&lt;10,"0","")&amp;DAY(DATE(2026,5,4)+(10-6)*7+(6-2)),'📅 Resumen Diario'!$C$5:$C$504,IF($F$2="TODOS", "*", $F$2))),"—")</f>
        <v>-0.73176331560118568</v>
      </c>
      <c r="G10" s="68">
        <f>IF(OR($C$2="TODOS",(YEAR(DATE(2026,5,4)+(10-6)*7+(7-2))&amp;"-"&amp;IF(MONTH(DATE(2026,5,4)+(10-6)*7+(7-2))&lt;10,"0","")&amp;MONTH(DATE(2026,5,4)+(10-6)*7+(7-2)))=$C$2),IF(SUMIFS('📅 Resumen Diario'!$J$5:$J$504,'📅 Resumen Diario'!$B$5:$B$504,YEAR(DATE(2026,5,4)+(10-6)*7+(7-2))&amp;"-"&amp;IF(MONTH(DATE(2026,5,4)+(10-6)*7+(7-2))&lt;10,"0","")&amp;MONTH(DATE(2026,5,4)+(10-6)*7+(7-2))&amp;"-"&amp;IF(DAY(DATE(2026,5,4)+(10-6)*7+(7-2))&lt;10,"0","")&amp;DAY(DATE(2026,5,4)+(10-6)*7+(7-2)),'📅 Resumen Diario'!$C$5:$C$504,IF($F$2="TODOS", "*", $F$2))=0,"—",SUMIFS('📅 Resumen Diario'!$Q$5:$Q$504,'📅 Resumen Diario'!$B$5:$B$504,YEAR(DATE(2026,5,4)+(10-6)*7+(7-2))&amp;"-"&amp;IF(MONTH(DATE(2026,5,4)+(10-6)*7+(7-2))&lt;10,"0","")&amp;MONTH(DATE(2026,5,4)+(10-6)*7+(7-2))&amp;"-"&amp;IF(DAY(DATE(2026,5,4)+(10-6)*7+(7-2))&lt;10,"0","")&amp;DAY(DATE(2026,5,4)+(10-6)*7+(7-2)),'📅 Resumen Diario'!$C$5:$C$504,IF($F$2="TODOS", "*", $F$2))/SUMIFS('📅 Resumen Diario'!$J$5:$J$504,'📅 Resumen Diario'!$B$5:$B$504,YEAR(DATE(2026,5,4)+(10-6)*7+(7-2))&amp;"-"&amp;IF(MONTH(DATE(2026,5,4)+(10-6)*7+(7-2))&lt;10,"0","")&amp;MONTH(DATE(2026,5,4)+(10-6)*7+(7-2))&amp;"-"&amp;IF(DAY(DATE(2026,5,4)+(10-6)*7+(7-2))&lt;10,"0","")&amp;DAY(DATE(2026,5,4)+(10-6)*7+(7-2)),'📅 Resumen Diario'!$C$5:$C$504,IF($F$2="TODOS", "*", $F$2))),"—")</f>
        <v>-3.890181015452538</v>
      </c>
      <c r="H10" s="69">
        <f>IF(OR($C$2="TODOS",(YEAR(DATE(2026,5,4)+(10-6)*7+(8-2))&amp;"-"&amp;IF(MONTH(DATE(2026,5,4)+(10-6)*7+(8-2))&lt;10,"0","")&amp;MONTH(DATE(2026,5,4)+(10-6)*7+(8-2)))=$C$2),IF(SUMIFS('📅 Resumen Diario'!$J$5:$J$504,'📅 Resumen Diario'!$B$5:$B$504,YEAR(DATE(2026,5,4)+(10-6)*7+(8-2))&amp;"-"&amp;IF(MONTH(DATE(2026,5,4)+(10-6)*7+(8-2))&lt;10,"0","")&amp;MONTH(DATE(2026,5,4)+(10-6)*7+(8-2))&amp;"-"&amp;IF(DAY(DATE(2026,5,4)+(10-6)*7+(8-2))&lt;10,"0","")&amp;DAY(DATE(2026,5,4)+(10-6)*7+(8-2)),'📅 Resumen Diario'!$C$5:$C$504,IF($F$2="TODOS", "*", $F$2))=0,"—",SUMIFS('📅 Resumen Diario'!$Q$5:$Q$504,'📅 Resumen Diario'!$B$5:$B$504,YEAR(DATE(2026,5,4)+(10-6)*7+(8-2))&amp;"-"&amp;IF(MONTH(DATE(2026,5,4)+(10-6)*7+(8-2))&lt;10,"0","")&amp;MONTH(DATE(2026,5,4)+(10-6)*7+(8-2))&amp;"-"&amp;IF(DAY(DATE(2026,5,4)+(10-6)*7+(8-2))&lt;10,"0","")&amp;DAY(DATE(2026,5,4)+(10-6)*7+(8-2)),'📅 Resumen Diario'!$C$5:$C$504,IF($F$2="TODOS", "*", $F$2))/SUMIFS('📅 Resumen Diario'!$J$5:$J$504,'📅 Resumen Diario'!$B$5:$B$504,YEAR(DATE(2026,5,4)+(10-6)*7+(8-2))&amp;"-"&amp;IF(MONTH(DATE(2026,5,4)+(10-6)*7+(8-2))&lt;10,"0","")&amp;MONTH(DATE(2026,5,4)+(10-6)*7+(8-2))&amp;"-"&amp;IF(DAY(DATE(2026,5,4)+(10-6)*7+(8-2))&lt;10,"0","")&amp;DAY(DATE(2026,5,4)+(10-6)*7+(8-2)),'📅 Resumen Diario'!$C$5:$C$504,IF($F$2="TODOS", "*", $F$2))),"—")</f>
        <v>0.53747277197721333</v>
      </c>
    </row>
    <row r="11" spans="1:14" ht="30" customHeight="1" x14ac:dyDescent="0.3">
      <c r="A11" s="56" t="s">
        <v>309</v>
      </c>
      <c r="B11" s="66">
        <f>IF(OR($C$2="TODOS",(YEAR(DATE(2026,5,4)+(11-6)*7+(2-2))&amp;"-"&amp;IF(MONTH(DATE(2026,5,4)+(11-6)*7+(2-2))&lt;10,"0","")&amp;MONTH(DATE(2026,5,4)+(11-6)*7+(2-2)))=$C$2),IF(SUMIFS('📅 Resumen Diario'!$J$5:$J$504,'📅 Resumen Diario'!$B$5:$B$504,YEAR(DATE(2026,5,4)+(11-6)*7+(2-2))&amp;"-"&amp;IF(MONTH(DATE(2026,5,4)+(11-6)*7+(2-2))&lt;10,"0","")&amp;MONTH(DATE(2026,5,4)+(11-6)*7+(2-2))&amp;"-"&amp;IF(DAY(DATE(2026,5,4)+(11-6)*7+(2-2))&lt;10,"0","")&amp;DAY(DATE(2026,5,4)+(11-6)*7+(2-2)),'📅 Resumen Diario'!$C$5:$C$504,IF($F$2="TODOS", "*", $F$2))=0,"—",SUMIFS('📅 Resumen Diario'!$Q$5:$Q$504,'📅 Resumen Diario'!$B$5:$B$504,YEAR(DATE(2026,5,4)+(11-6)*7+(2-2))&amp;"-"&amp;IF(MONTH(DATE(2026,5,4)+(11-6)*7+(2-2))&lt;10,"0","")&amp;MONTH(DATE(2026,5,4)+(11-6)*7+(2-2))&amp;"-"&amp;IF(DAY(DATE(2026,5,4)+(11-6)*7+(2-2))&lt;10,"0","")&amp;DAY(DATE(2026,5,4)+(11-6)*7+(2-2)),'📅 Resumen Diario'!$C$5:$C$504,IF($F$2="TODOS", "*", $F$2))/SUMIFS('📅 Resumen Diario'!$J$5:$J$504,'📅 Resumen Diario'!$B$5:$B$504,YEAR(DATE(2026,5,4)+(11-6)*7+(2-2))&amp;"-"&amp;IF(MONTH(DATE(2026,5,4)+(11-6)*7+(2-2))&lt;10,"0","")&amp;MONTH(DATE(2026,5,4)+(11-6)*7+(2-2))&amp;"-"&amp;IF(DAY(DATE(2026,5,4)+(11-6)*7+(2-2))&lt;10,"0","")&amp;DAY(DATE(2026,5,4)+(11-6)*7+(2-2)),'📅 Resumen Diario'!$C$5:$C$504,IF($F$2="TODOS", "*", $F$2))),"—")</f>
        <v>0.27470111240613421</v>
      </c>
      <c r="C11" s="69">
        <f>IF(OR($C$2="TODOS",(YEAR(DATE(2026,5,4)+(11-6)*7+(3-2))&amp;"-"&amp;IF(MONTH(DATE(2026,5,4)+(11-6)*7+(3-2))&lt;10,"0","")&amp;MONTH(DATE(2026,5,4)+(11-6)*7+(3-2)))=$C$2),IF(SUMIFS('📅 Resumen Diario'!$J$5:$J$504,'📅 Resumen Diario'!$B$5:$B$504,YEAR(DATE(2026,5,4)+(11-6)*7+(3-2))&amp;"-"&amp;IF(MONTH(DATE(2026,5,4)+(11-6)*7+(3-2))&lt;10,"0","")&amp;MONTH(DATE(2026,5,4)+(11-6)*7+(3-2))&amp;"-"&amp;IF(DAY(DATE(2026,5,4)+(11-6)*7+(3-2))&lt;10,"0","")&amp;DAY(DATE(2026,5,4)+(11-6)*7+(3-2)),'📅 Resumen Diario'!$C$5:$C$504,IF($F$2="TODOS", "*", $F$2))=0,"—",SUMIFS('📅 Resumen Diario'!$Q$5:$Q$504,'📅 Resumen Diario'!$B$5:$B$504,YEAR(DATE(2026,5,4)+(11-6)*7+(3-2))&amp;"-"&amp;IF(MONTH(DATE(2026,5,4)+(11-6)*7+(3-2))&lt;10,"0","")&amp;MONTH(DATE(2026,5,4)+(11-6)*7+(3-2))&amp;"-"&amp;IF(DAY(DATE(2026,5,4)+(11-6)*7+(3-2))&lt;10,"0","")&amp;DAY(DATE(2026,5,4)+(11-6)*7+(3-2)),'📅 Resumen Diario'!$C$5:$C$504,IF($F$2="TODOS", "*", $F$2))/SUMIFS('📅 Resumen Diario'!$J$5:$J$504,'📅 Resumen Diario'!$B$5:$B$504,YEAR(DATE(2026,5,4)+(11-6)*7+(3-2))&amp;"-"&amp;IF(MONTH(DATE(2026,5,4)+(11-6)*7+(3-2))&lt;10,"0","")&amp;MONTH(DATE(2026,5,4)+(11-6)*7+(3-2))&amp;"-"&amp;IF(DAY(DATE(2026,5,4)+(11-6)*7+(3-2))&lt;10,"0","")&amp;DAY(DATE(2026,5,4)+(11-6)*7+(3-2)),'📅 Resumen Diario'!$C$5:$C$504,IF($F$2="TODOS", "*", $F$2))),"—")</f>
        <v>0.57994885073791713</v>
      </c>
      <c r="D11" s="69">
        <f>IF(OR($C$2="TODOS",(YEAR(DATE(2026,5,4)+(11-6)*7+(4-2))&amp;"-"&amp;IF(MONTH(DATE(2026,5,4)+(11-6)*7+(4-2))&lt;10,"0","")&amp;MONTH(DATE(2026,5,4)+(11-6)*7+(4-2)))=$C$2),IF(SUMIFS('📅 Resumen Diario'!$J$5:$J$504,'📅 Resumen Diario'!$B$5:$B$504,YEAR(DATE(2026,5,4)+(11-6)*7+(4-2))&amp;"-"&amp;IF(MONTH(DATE(2026,5,4)+(11-6)*7+(4-2))&lt;10,"0","")&amp;MONTH(DATE(2026,5,4)+(11-6)*7+(4-2))&amp;"-"&amp;IF(DAY(DATE(2026,5,4)+(11-6)*7+(4-2))&lt;10,"0","")&amp;DAY(DATE(2026,5,4)+(11-6)*7+(4-2)),'📅 Resumen Diario'!$C$5:$C$504,IF($F$2="TODOS", "*", $F$2))=0,"—",SUMIFS('📅 Resumen Diario'!$Q$5:$Q$504,'📅 Resumen Diario'!$B$5:$B$504,YEAR(DATE(2026,5,4)+(11-6)*7+(4-2))&amp;"-"&amp;IF(MONTH(DATE(2026,5,4)+(11-6)*7+(4-2))&lt;10,"0","")&amp;MONTH(DATE(2026,5,4)+(11-6)*7+(4-2))&amp;"-"&amp;IF(DAY(DATE(2026,5,4)+(11-6)*7+(4-2))&lt;10,"0","")&amp;DAY(DATE(2026,5,4)+(11-6)*7+(4-2)),'📅 Resumen Diario'!$C$5:$C$504,IF($F$2="TODOS", "*", $F$2))/SUMIFS('📅 Resumen Diario'!$J$5:$J$504,'📅 Resumen Diario'!$B$5:$B$504,YEAR(DATE(2026,5,4)+(11-6)*7+(4-2))&amp;"-"&amp;IF(MONTH(DATE(2026,5,4)+(11-6)*7+(4-2))&lt;10,"0","")&amp;MONTH(DATE(2026,5,4)+(11-6)*7+(4-2))&amp;"-"&amp;IF(DAY(DATE(2026,5,4)+(11-6)*7+(4-2))&lt;10,"0","")&amp;DAY(DATE(2026,5,4)+(11-6)*7+(4-2)),'📅 Resumen Diario'!$C$5:$C$504,IF($F$2="TODOS", "*", $F$2))),"—")</f>
        <v>0.48293088310599613</v>
      </c>
      <c r="E11" s="69">
        <f>IF(OR($C$2="TODOS",(YEAR(DATE(2026,5,4)+(11-6)*7+(5-2))&amp;"-"&amp;IF(MONTH(DATE(2026,5,4)+(11-6)*7+(5-2))&lt;10,"0","")&amp;MONTH(DATE(2026,5,4)+(11-6)*7+(5-2)))=$C$2),IF(SUMIFS('📅 Resumen Diario'!$J$5:$J$504,'📅 Resumen Diario'!$B$5:$B$504,YEAR(DATE(2026,5,4)+(11-6)*7+(5-2))&amp;"-"&amp;IF(MONTH(DATE(2026,5,4)+(11-6)*7+(5-2))&lt;10,"0","")&amp;MONTH(DATE(2026,5,4)+(11-6)*7+(5-2))&amp;"-"&amp;IF(DAY(DATE(2026,5,4)+(11-6)*7+(5-2))&lt;10,"0","")&amp;DAY(DATE(2026,5,4)+(11-6)*7+(5-2)),'📅 Resumen Diario'!$C$5:$C$504,IF($F$2="TODOS", "*", $F$2))=0,"—",SUMIFS('📅 Resumen Diario'!$Q$5:$Q$504,'📅 Resumen Diario'!$B$5:$B$504,YEAR(DATE(2026,5,4)+(11-6)*7+(5-2))&amp;"-"&amp;IF(MONTH(DATE(2026,5,4)+(11-6)*7+(5-2))&lt;10,"0","")&amp;MONTH(DATE(2026,5,4)+(11-6)*7+(5-2))&amp;"-"&amp;IF(DAY(DATE(2026,5,4)+(11-6)*7+(5-2))&lt;10,"0","")&amp;DAY(DATE(2026,5,4)+(11-6)*7+(5-2)),'📅 Resumen Diario'!$C$5:$C$504,IF($F$2="TODOS", "*", $F$2))/SUMIFS('📅 Resumen Diario'!$J$5:$J$504,'📅 Resumen Diario'!$B$5:$B$504,YEAR(DATE(2026,5,4)+(11-6)*7+(5-2))&amp;"-"&amp;IF(MONTH(DATE(2026,5,4)+(11-6)*7+(5-2))&lt;10,"0","")&amp;MONTH(DATE(2026,5,4)+(11-6)*7+(5-2))&amp;"-"&amp;IF(DAY(DATE(2026,5,4)+(11-6)*7+(5-2))&lt;10,"0","")&amp;DAY(DATE(2026,5,4)+(11-6)*7+(5-2)),'📅 Resumen Diario'!$C$5:$C$504,IF($F$2="TODOS", "*", $F$2))),"—")</f>
        <v>0.63126239601575496</v>
      </c>
      <c r="F11" s="70">
        <f>IF(OR($C$2="TODOS",(YEAR(DATE(2026,5,4)+(11-6)*7+(6-2))&amp;"-"&amp;IF(MONTH(DATE(2026,5,4)+(11-6)*7+(6-2))&lt;10,"0","")&amp;MONTH(DATE(2026,5,4)+(11-6)*7+(6-2)))=$C$2),IF(SUMIFS('📅 Resumen Diario'!$J$5:$J$504,'📅 Resumen Diario'!$B$5:$B$504,YEAR(DATE(2026,5,4)+(11-6)*7+(6-2))&amp;"-"&amp;IF(MONTH(DATE(2026,5,4)+(11-6)*7+(6-2))&lt;10,"0","")&amp;MONTH(DATE(2026,5,4)+(11-6)*7+(6-2))&amp;"-"&amp;IF(DAY(DATE(2026,5,4)+(11-6)*7+(6-2))&lt;10,"0","")&amp;DAY(DATE(2026,5,4)+(11-6)*7+(6-2)),'📅 Resumen Diario'!$C$5:$C$504,IF($F$2="TODOS", "*", $F$2))=0,"—",SUMIFS('📅 Resumen Diario'!$Q$5:$Q$504,'📅 Resumen Diario'!$B$5:$B$504,YEAR(DATE(2026,5,4)+(11-6)*7+(6-2))&amp;"-"&amp;IF(MONTH(DATE(2026,5,4)+(11-6)*7+(6-2))&lt;10,"0","")&amp;MONTH(DATE(2026,5,4)+(11-6)*7+(6-2))&amp;"-"&amp;IF(DAY(DATE(2026,5,4)+(11-6)*7+(6-2))&lt;10,"0","")&amp;DAY(DATE(2026,5,4)+(11-6)*7+(6-2)),'📅 Resumen Diario'!$C$5:$C$504,IF($F$2="TODOS", "*", $F$2))/SUMIFS('📅 Resumen Diario'!$J$5:$J$504,'📅 Resumen Diario'!$B$5:$B$504,YEAR(DATE(2026,5,4)+(11-6)*7+(6-2))&amp;"-"&amp;IF(MONTH(DATE(2026,5,4)+(11-6)*7+(6-2))&lt;10,"0","")&amp;MONTH(DATE(2026,5,4)+(11-6)*7+(6-2))&amp;"-"&amp;IF(DAY(DATE(2026,5,4)+(11-6)*7+(6-2))&lt;10,"0","")&amp;DAY(DATE(2026,5,4)+(11-6)*7+(6-2)),'📅 Resumen Diario'!$C$5:$C$504,IF($F$2="TODOS", "*", $F$2))),"—")</f>
        <v>3.4357365430779482E-2</v>
      </c>
      <c r="G11" s="67">
        <f>IF(OR($C$2="TODOS",(YEAR(DATE(2026,5,4)+(11-6)*7+(7-2))&amp;"-"&amp;IF(MONTH(DATE(2026,5,4)+(11-6)*7+(7-2))&lt;10,"0","")&amp;MONTH(DATE(2026,5,4)+(11-6)*7+(7-2)))=$C$2),IF(SUMIFS('📅 Resumen Diario'!$J$5:$J$504,'📅 Resumen Diario'!$B$5:$B$504,YEAR(DATE(2026,5,4)+(11-6)*7+(7-2))&amp;"-"&amp;IF(MONTH(DATE(2026,5,4)+(11-6)*7+(7-2))&lt;10,"0","")&amp;MONTH(DATE(2026,5,4)+(11-6)*7+(7-2))&amp;"-"&amp;IF(DAY(DATE(2026,5,4)+(11-6)*7+(7-2))&lt;10,"0","")&amp;DAY(DATE(2026,5,4)+(11-6)*7+(7-2)),'📅 Resumen Diario'!$C$5:$C$504,IF($F$2="TODOS", "*", $F$2))=0,"—",SUMIFS('📅 Resumen Diario'!$Q$5:$Q$504,'📅 Resumen Diario'!$B$5:$B$504,YEAR(DATE(2026,5,4)+(11-6)*7+(7-2))&amp;"-"&amp;IF(MONTH(DATE(2026,5,4)+(11-6)*7+(7-2))&lt;10,"0","")&amp;MONTH(DATE(2026,5,4)+(11-6)*7+(7-2))&amp;"-"&amp;IF(DAY(DATE(2026,5,4)+(11-6)*7+(7-2))&lt;10,"0","")&amp;DAY(DATE(2026,5,4)+(11-6)*7+(7-2)),'📅 Resumen Diario'!$C$5:$C$504,IF($F$2="TODOS", "*", $F$2))/SUMIFS('📅 Resumen Diario'!$J$5:$J$504,'📅 Resumen Diario'!$B$5:$B$504,YEAR(DATE(2026,5,4)+(11-6)*7+(7-2))&amp;"-"&amp;IF(MONTH(DATE(2026,5,4)+(11-6)*7+(7-2))&lt;10,"0","")&amp;MONTH(DATE(2026,5,4)+(11-6)*7+(7-2))&amp;"-"&amp;IF(DAY(DATE(2026,5,4)+(11-6)*7+(7-2))&lt;10,"0","")&amp;DAY(DATE(2026,5,4)+(11-6)*7+(7-2)),'📅 Resumen Diario'!$C$5:$C$504,IF($F$2="TODOS", "*", $F$2))),"—")</f>
        <v>0.61371537609257665</v>
      </c>
      <c r="H11" s="64" t="str">
        <f>IF(OR($C$2="TODOS",(YEAR(DATE(2026,5,4)+(11-6)*7+(8-2))&amp;"-"&amp;IF(MONTH(DATE(2026,5,4)+(11-6)*7+(8-2))&lt;10,"0","")&amp;MONTH(DATE(2026,5,4)+(11-6)*7+(8-2)))=$C$2),IF(SUMIFS('📅 Resumen Diario'!$J$5:$J$504,'📅 Resumen Diario'!$B$5:$B$504,YEAR(DATE(2026,5,4)+(11-6)*7+(8-2))&amp;"-"&amp;IF(MONTH(DATE(2026,5,4)+(11-6)*7+(8-2))&lt;10,"0","")&amp;MONTH(DATE(2026,5,4)+(11-6)*7+(8-2))&amp;"-"&amp;IF(DAY(DATE(2026,5,4)+(11-6)*7+(8-2))&lt;10,"0","")&amp;DAY(DATE(2026,5,4)+(11-6)*7+(8-2)),'📅 Resumen Diario'!$C$5:$C$504,IF($F$2="TODOS", "*", $F$2))=0,"—",SUMIFS('📅 Resumen Diario'!$Q$5:$Q$504,'📅 Resumen Diario'!$B$5:$B$504,YEAR(DATE(2026,5,4)+(11-6)*7+(8-2))&amp;"-"&amp;IF(MONTH(DATE(2026,5,4)+(11-6)*7+(8-2))&lt;10,"0","")&amp;MONTH(DATE(2026,5,4)+(11-6)*7+(8-2))&amp;"-"&amp;IF(DAY(DATE(2026,5,4)+(11-6)*7+(8-2))&lt;10,"0","")&amp;DAY(DATE(2026,5,4)+(11-6)*7+(8-2)),'📅 Resumen Diario'!$C$5:$C$504,IF($F$2="TODOS", "*", $F$2))/SUMIFS('📅 Resumen Diario'!$J$5:$J$504,'📅 Resumen Diario'!$B$5:$B$504,YEAR(DATE(2026,5,4)+(11-6)*7+(8-2))&amp;"-"&amp;IF(MONTH(DATE(2026,5,4)+(11-6)*7+(8-2))&lt;10,"0","")&amp;MONTH(DATE(2026,5,4)+(11-6)*7+(8-2))&amp;"-"&amp;IF(DAY(DATE(2026,5,4)+(11-6)*7+(8-2))&lt;10,"0","")&amp;DAY(DATE(2026,5,4)+(11-6)*7+(8-2)),'📅 Resumen Diario'!$C$5:$C$504,IF($F$2="TODOS", "*", $F$2))),"—")</f>
        <v>—</v>
      </c>
    </row>
    <row r="14" spans="1:14" ht="25.05" customHeight="1" x14ac:dyDescent="0.3">
      <c r="A14" s="88" t="s">
        <v>310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</row>
  </sheetData>
  <mergeCells count="10">
    <mergeCell ref="A14:N14"/>
    <mergeCell ref="A1:N1"/>
    <mergeCell ref="A3:A4"/>
    <mergeCell ref="B3:B4"/>
    <mergeCell ref="C3:C4"/>
    <mergeCell ref="D3:D4"/>
    <mergeCell ref="E3:E4"/>
    <mergeCell ref="F3:F4"/>
    <mergeCell ref="G3:G4"/>
    <mergeCell ref="H3:H4"/>
  </mergeCells>
  <conditionalFormatting sqref="B5:H11">
    <cfRule type="cellIs" dxfId="3" priority="1" operator="lessThan">
      <formula>0</formula>
    </cfRule>
    <cfRule type="cellIs" dxfId="2" priority="2" operator="between">
      <formula>0</formula>
      <formula>0.25</formula>
    </cfRule>
    <cfRule type="cellIs" dxfId="1" priority="3" operator="between">
      <formula>0.25</formula>
      <formula>0.5</formula>
    </cfRule>
    <cfRule type="cellIs" dxfId="0" priority="4" operator="greaterThanOrEqual">
      <formula>0.5</formula>
    </cfRule>
  </conditionalFormatting>
  <dataValidations count="2">
    <dataValidation type="list" allowBlank="1" sqref="C2" xr:uid="{00000000-0002-0000-0A00-000000000000}">
      <formula1>"TODOS,2026-05,2026-06,2026-07,2026-08,2026-09,2026-10,2026-11,2026-12,2027-01,2027-02,2027-03,2027-04,2027-05,2027-06,2027-07,2027-08,2027-09,2027-10,2027-11,2027-12"</formula1>
    </dataValidation>
    <dataValidation type="list" allowBlank="1" sqref="F2" xr:uid="{00000000-0002-0000-0A00-000001000000}">
      <formula1>"TODOS,DIA,NOCHE"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"/>
  <sheetViews>
    <sheetView zoomScaleNormal="100" workbookViewId="0">
      <selection activeCell="C2" sqref="C2"/>
    </sheetView>
  </sheetViews>
  <sheetFormatPr baseColWidth="10" defaultColWidth="8.88671875" defaultRowHeight="14.4" x14ac:dyDescent="0.3"/>
  <cols>
    <col min="1" max="1" width="35" customWidth="1"/>
    <col min="2" max="6" width="20" customWidth="1"/>
  </cols>
  <sheetData>
    <row r="1" spans="1:10" ht="34.950000000000003" customHeight="1" x14ac:dyDescent="0.3">
      <c r="A1" s="84" t="s">
        <v>284</v>
      </c>
      <c r="B1" s="84"/>
      <c r="C1" s="84"/>
      <c r="D1" s="84"/>
      <c r="E1" s="84"/>
      <c r="F1" s="84"/>
      <c r="G1" s="84"/>
      <c r="H1" s="84"/>
      <c r="I1" s="84"/>
      <c r="J1" s="84"/>
    </row>
    <row r="2" spans="1:10" ht="25.05" customHeight="1" x14ac:dyDescent="0.3">
      <c r="B2" s="53" t="s">
        <v>3</v>
      </c>
      <c r="C2" s="54" t="s">
        <v>6</v>
      </c>
    </row>
    <row r="3" spans="1:10" ht="25.05" customHeight="1" x14ac:dyDescent="0.35">
      <c r="A3" s="85" t="s">
        <v>285</v>
      </c>
      <c r="B3" s="85"/>
      <c r="C3" s="85"/>
      <c r="D3" s="85"/>
      <c r="E3" s="85"/>
      <c r="F3" s="85"/>
      <c r="G3" s="85"/>
      <c r="H3" s="85"/>
      <c r="I3" s="85"/>
      <c r="J3" s="85"/>
    </row>
    <row r="4" spans="1:10" ht="25.05" customHeight="1" x14ac:dyDescent="0.3">
      <c r="A4" s="55" t="s">
        <v>286</v>
      </c>
      <c r="B4" s="55" t="s">
        <v>287</v>
      </c>
      <c r="C4" s="55" t="s">
        <v>288</v>
      </c>
      <c r="D4" s="55" t="s">
        <v>289</v>
      </c>
      <c r="E4" s="55" t="s">
        <v>290</v>
      </c>
    </row>
    <row r="5" spans="1:10" x14ac:dyDescent="0.3">
      <c r="A5" s="56" t="s">
        <v>291</v>
      </c>
      <c r="B5" s="57">
        <f>COUNTIFS('📅 Resumen Diario'!$C$5:$C$504, "DIA", '📅 Resumen Diario'!$O$5:$O$504, IF($C$2="TODOS", "*", $C$2))</f>
        <v>42</v>
      </c>
      <c r="C5" s="57">
        <f>COUNTIFS('📅 Resumen Diario'!$C$5:$C$504, "NOCHE", '📅 Resumen Diario'!$O$5:$O$504, IF($C$2="TODOS", "*", $C$2))</f>
        <v>37</v>
      </c>
      <c r="D5" s="58">
        <f t="shared" ref="D5:D12" si="0">B5-C5</f>
        <v>5</v>
      </c>
      <c r="E5" s="59" t="str">
        <f>IF(B5&gt;C5, "DIA DIA", "NOCHE NOCHE")</f>
        <v>DIA DIA</v>
      </c>
    </row>
    <row r="6" spans="1:10" x14ac:dyDescent="0.3">
      <c r="A6" s="56" t="s">
        <v>292</v>
      </c>
      <c r="B6" s="57">
        <f>SUMIFS('📅 Resumen Diario'!$D$5:$D$504, '📅 Resumen Diario'!$C$5:$C$504, "DIA", '📅 Resumen Diario'!$O$5:$O$504, IF($C$2="TODOS", "*", $C$2))</f>
        <v>26278.2</v>
      </c>
      <c r="C6" s="57">
        <f>SUMIFS('📅 Resumen Diario'!$D$5:$D$504, '📅 Resumen Diario'!$C$5:$C$504, "NOCHE", '📅 Resumen Diario'!$O$5:$O$504, IF($C$2="TODOS", "*", $C$2))</f>
        <v>26954.1</v>
      </c>
      <c r="D6" s="60">
        <f t="shared" si="0"/>
        <v>-675.89999999999782</v>
      </c>
      <c r="E6" s="59" t="str">
        <f t="shared" ref="E6:E12" si="1">IF(B6&gt;C6, "DIA DIA", "NOCHE NOCHE")</f>
        <v>NOCHE NOCHE</v>
      </c>
    </row>
    <row r="7" spans="1:10" x14ac:dyDescent="0.3">
      <c r="A7" s="56" t="s">
        <v>293</v>
      </c>
      <c r="B7" s="57">
        <f>SUMIFS('📅 Resumen Diario'!$G$5:$G$504, '📅 Resumen Diario'!$C$5:$C$504, "DIA", '📅 Resumen Diario'!$O$5:$O$504, IF($C$2="TODOS", "*", $C$2))</f>
        <v>86190</v>
      </c>
      <c r="C7" s="57">
        <f>SUMIFS('📅 Resumen Diario'!$G$5:$G$504, '📅 Resumen Diario'!$C$5:$C$504, "NOCHE", '📅 Resumen Diario'!$O$5:$O$504, IF($C$2="TODOS", "*", $C$2))</f>
        <v>109065</v>
      </c>
      <c r="D7" s="60">
        <f t="shared" si="0"/>
        <v>-22875</v>
      </c>
      <c r="E7" s="59" t="str">
        <f t="shared" si="1"/>
        <v>NOCHE NOCHE</v>
      </c>
    </row>
    <row r="8" spans="1:10" x14ac:dyDescent="0.3">
      <c r="A8" s="56" t="s">
        <v>60</v>
      </c>
      <c r="B8" s="61">
        <f>SUMIFS('📅 Resumen Diario'!$J$5:$J$504, '📅 Resumen Diario'!$C$5:$C$504, "DIA", '📅 Resumen Diario'!$O$5:$O$504, IF($C$2="TODOS", "*", $C$2))</f>
        <v>311261.56</v>
      </c>
      <c r="C8" s="61">
        <f>SUMIFS('📅 Resumen Diario'!$J$5:$J$504, '📅 Resumen Diario'!$C$5:$C$504, "NOCHE", '📅 Resumen Diario'!$O$5:$O$504, IF($C$2="TODOS", "*", $C$2))</f>
        <v>335776.53</v>
      </c>
      <c r="D8" s="62">
        <f t="shared" si="0"/>
        <v>-24514.97000000003</v>
      </c>
      <c r="E8" s="59" t="str">
        <f t="shared" si="1"/>
        <v>NOCHE NOCHE</v>
      </c>
    </row>
    <row r="9" spans="1:10" x14ac:dyDescent="0.3">
      <c r="A9" s="56" t="s">
        <v>283</v>
      </c>
      <c r="B9" s="61">
        <f>SUMIFS('📅 Resumen Diario'!$P$5:$P$504, '📅 Resumen Diario'!$C$5:$C$504, "DIA", '📅 Resumen Diario'!$O$5:$O$504, IF($C$2="TODOS", "*", $C$2))</f>
        <v>233941.86499999999</v>
      </c>
      <c r="C9" s="61">
        <f>SUMIFS('📅 Resumen Diario'!$P$5:$P$504, '📅 Resumen Diario'!$C$5:$C$504, "NOCHE", '📅 Resumen Diario'!$O$5:$O$504, IF($C$2="TODOS", "*", $C$2))</f>
        <v>201961.31300000002</v>
      </c>
      <c r="D9" s="63">
        <f t="shared" si="0"/>
        <v>31980.551999999967</v>
      </c>
      <c r="E9" s="59" t="str">
        <f t="shared" si="1"/>
        <v>DIA DIA</v>
      </c>
    </row>
    <row r="10" spans="1:10" x14ac:dyDescent="0.3">
      <c r="A10" s="56" t="s">
        <v>126</v>
      </c>
      <c r="B10" s="61">
        <f>SUMIFS('📅 Resumen Diario'!$Q$5:$Q$504, '📅 Resumen Diario'!$C$5:$C$504, "DIA", '📅 Resumen Diario'!$O$5:$O$504, IF($C$2="TODOS", "*", $C$2))</f>
        <v>86972.194999999992</v>
      </c>
      <c r="C10" s="61">
        <f>SUMIFS('📅 Resumen Diario'!$Q$5:$Q$504, '📅 Resumen Diario'!$C$5:$C$504, "NOCHE", '📅 Resumen Diario'!$O$5:$O$504, IF($C$2="TODOS", "*", $C$2))</f>
        <v>136582.717</v>
      </c>
      <c r="D10" s="63">
        <f t="shared" si="0"/>
        <v>-49610.522000000012</v>
      </c>
      <c r="E10" s="59" t="str">
        <f t="shared" si="1"/>
        <v>NOCHE NOCHE</v>
      </c>
    </row>
    <row r="11" spans="1:10" x14ac:dyDescent="0.3">
      <c r="A11" s="56" t="s">
        <v>28</v>
      </c>
      <c r="B11" s="64">
        <f>IF(B8=0, 0, B10/B8)</f>
        <v>0.27941836120078556</v>
      </c>
      <c r="C11" s="64">
        <f>IF(C8=0, 0, C10/C8)</f>
        <v>0.40676671773336864</v>
      </c>
      <c r="D11" s="65">
        <f t="shared" si="0"/>
        <v>-0.12734835653258308</v>
      </c>
      <c r="E11" s="59" t="str">
        <f t="shared" si="1"/>
        <v>NOCHE NOCHE</v>
      </c>
    </row>
    <row r="12" spans="1:10" x14ac:dyDescent="0.3">
      <c r="A12" s="56" t="s">
        <v>64</v>
      </c>
      <c r="B12" s="61">
        <f>IF(B6=0, 0, B9/B6)</f>
        <v>8.9025072113006214</v>
      </c>
      <c r="C12" s="61">
        <f>IF(C6=0, 0, C9/C6)</f>
        <v>7.4927863664526004</v>
      </c>
      <c r="D12" s="63">
        <f t="shared" si="0"/>
        <v>1.409720844848021</v>
      </c>
      <c r="E12" s="59" t="str">
        <f t="shared" si="1"/>
        <v>DIA DIA</v>
      </c>
    </row>
  </sheetData>
  <mergeCells count="2">
    <mergeCell ref="A1:J1"/>
    <mergeCell ref="A3:J3"/>
  </mergeCells>
  <dataValidations count="1">
    <dataValidation type="list" allowBlank="1" sqref="C2" xr:uid="{00000000-0002-0000-0900-000000000000}">
      <formula1>"TODOS,2026-05,2026-06,2026-07,2026-08,2026-09,2026-10,2026-11,2026-12,2027-01,2027-02,2027-03,2027-04,2027-05,2027-06,2027-07,2027-08,2027-09,2027-10,2027-11,2027-12"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505"/>
  <sheetViews>
    <sheetView showGridLines="0"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customHeight="1" x14ac:dyDescent="0.3"/>
  <cols>
    <col min="1" max="1" width="3" customWidth="1"/>
    <col min="2" max="2" width="12" customWidth="1"/>
    <col min="3" max="3" width="10" customWidth="1"/>
    <col min="4" max="4" width="11" customWidth="1"/>
    <col min="5" max="6" width="12" customWidth="1"/>
    <col min="7" max="7" width="13" customWidth="1"/>
    <col min="8" max="11" width="14" customWidth="1"/>
    <col min="12" max="12" width="12" customWidth="1"/>
    <col min="13" max="14" width="14" customWidth="1"/>
    <col min="15" max="15" width="12" customWidth="1"/>
    <col min="16" max="18" width="18" customWidth="1"/>
    <col min="19" max="20" width="14" customWidth="1"/>
  </cols>
  <sheetData>
    <row r="1" spans="2:21" ht="34.950000000000003" customHeight="1" x14ac:dyDescent="0.3">
      <c r="B1" s="77" t="s">
        <v>50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spans="2:21" ht="22.05" customHeight="1" x14ac:dyDescent="0.3">
      <c r="B2" s="78" t="s">
        <v>51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2:21" ht="4.0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1" ht="36" customHeight="1" x14ac:dyDescent="0.25"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6" t="s">
        <v>60</v>
      </c>
      <c r="K4" s="6" t="s">
        <v>61</v>
      </c>
      <c r="L4" s="6" t="s">
        <v>62</v>
      </c>
      <c r="M4" s="6" t="s">
        <v>63</v>
      </c>
      <c r="N4" s="6" t="s">
        <v>64</v>
      </c>
      <c r="O4" s="6" t="s">
        <v>65</v>
      </c>
      <c r="P4" s="6" t="s">
        <v>66</v>
      </c>
      <c r="Q4" s="6" t="s">
        <v>67</v>
      </c>
      <c r="R4" s="6" t="s">
        <v>68</v>
      </c>
      <c r="T4" s="6" t="s">
        <v>69</v>
      </c>
      <c r="U4" s="6" t="s">
        <v>70</v>
      </c>
    </row>
    <row r="5" spans="2:21" ht="18" customHeight="1" x14ac:dyDescent="0.25">
      <c r="B5" s="24" t="s">
        <v>71</v>
      </c>
      <c r="C5" s="25" t="s">
        <v>72</v>
      </c>
      <c r="D5" s="18">
        <f>IF(B5="","",SUMIFS('📈 Datos Completos'!$E$7:$E$5000, '📈 Datos Completos'!$B$7:$B$5000, B5, '📈 Datos Completos'!$D$7:$D$5000, C5))</f>
        <v>674</v>
      </c>
      <c r="E5" s="18">
        <f>IF(B5="","",SUMIFS('📈 Datos Completos'!$F$7:$F$5000, '📈 Datos Completos'!$B$7:$B$5000, B5, '📈 Datos Completos'!$D$7:$D$5000, C5))</f>
        <v>520</v>
      </c>
      <c r="F5" s="18">
        <f>IF(B5="","",SUMIFS('📈 Datos Completos'!$G$7:$G$5000, '📈 Datos Completos'!$B$7:$B$5000, B5, '📈 Datos Completos'!$D$7:$D$5000, C5))</f>
        <v>1344</v>
      </c>
      <c r="G5" s="18">
        <f t="shared" ref="G5:G68" si="0">IF(B5="","",E5+F5)</f>
        <v>1864</v>
      </c>
      <c r="H5" s="19">
        <f>IF(B5="","",SUMIFS('📈 Datos Completos'!$I$7:$I$5000, '📈 Datos Completos'!$B$7:$B$5000, B5, '📈 Datos Completos'!$D$7:$D$5000, C5))</f>
        <v>3451.2799999999997</v>
      </c>
      <c r="I5" s="19">
        <f t="shared" ref="I5:I68" si="1">IF(B5="","",IF(C5="DIA", G5*1.01, G5*1.35))</f>
        <v>1882.64</v>
      </c>
      <c r="J5" s="19">
        <f t="shared" ref="J5:J68" si="2">IF(B5="","",H5+I5)</f>
        <v>5333.92</v>
      </c>
      <c r="K5" s="19">
        <f>IF(B5="","",IF(C5="DIA", (SUMIFS('📋 Detalle Diario'!$D$5:$D$489, '📋 Detalle Diario'!$B$5:$B$489, B5, '📋 Detalle Diario'!$C$5:$C$489, C5) * '⚙️ Supuestos'!$C$24) + '⚙️ Supuestos'!$C$23, (SUMIFS('📋 Detalle Diario'!$D$5:$D$489, '📋 Detalle Diario'!$B$5:$B$489, B5, '📋 Detalle Diario'!$C$5:$C$489, C5) * '⚙️ Supuestos'!$C$24) + '⚙️ Supuestos'!$C$33))</f>
        <v>5044.5503333333336</v>
      </c>
      <c r="L5" s="19">
        <f t="shared" ref="L5:L68" si="3">IF(B5="","",J5-K5)</f>
        <v>289.36966666666649</v>
      </c>
      <c r="M5" s="20">
        <f t="shared" ref="M5:M68" si="4">IF(B5="","",IF(J5=0, 0, L5/J5))</f>
        <v>5.425084490706019E-2</v>
      </c>
      <c r="N5" s="19">
        <f t="shared" ref="N5:N68" si="5">IF(B5="","",IF(D5=0, 0, K5/D5))</f>
        <v>7.4844960435212666</v>
      </c>
      <c r="O5" s="25" t="str">
        <f t="shared" ref="O5:O68" si="6">IF(B5="","",IF(ISNUMBER(B5),YEAR(B5)&amp;"-"&amp;IF(MONTH(B5)&lt;10,"0","")&amp;MONTH(B5),LEFT(B5,7)))</f>
        <v>2026-05</v>
      </c>
      <c r="P5" s="19">
        <f t="shared" ref="P5:P68" si="7">IF(B5="","",K5+(G5*0.09))</f>
        <v>5212.3103333333338</v>
      </c>
      <c r="Q5" s="19">
        <f>IF(B5="","",J5-P5+(SUMIFS('📋 Detalle Diario'!$E$5:$E$489, '📋 Detalle Diario'!$B$5:$B$489, B5, '📋 Detalle Diario'!$C$5:$C$489, C5)*135)+(SUMIFS('📋 Detalle Diario'!$I$5:$I$489, '📋 Detalle Diario'!$B$5:$B$489, B5, '📋 Detalle Diario'!$C$5:$C$489, C5)*200))</f>
        <v>121.60966666666627</v>
      </c>
      <c r="R5" s="20">
        <f t="shared" ref="R5:R68" si="8">IF(B5="","",IF(J5=0, 0, Q5/J5))</f>
        <v>2.279930457649651E-2</v>
      </c>
    </row>
    <row r="6" spans="2:21" ht="18" customHeight="1" x14ac:dyDescent="0.25">
      <c r="B6" s="26" t="s">
        <v>71</v>
      </c>
      <c r="C6" s="27" t="s">
        <v>73</v>
      </c>
      <c r="D6" s="18">
        <f>IF(B6="","",SUMIFS('📈 Datos Completos'!$E$7:$E$5000, '📈 Datos Completos'!$B$7:$B$5000, B6, '📈 Datos Completos'!$D$7:$D$5000, C6))</f>
        <v>233.7</v>
      </c>
      <c r="E6" s="18">
        <f>IF(B6="","",SUMIFS('📈 Datos Completos'!$F$7:$F$5000, '📈 Datos Completos'!$B$7:$B$5000, B6, '📈 Datos Completos'!$D$7:$D$5000, C6))</f>
        <v>1517</v>
      </c>
      <c r="F6" s="18">
        <f>IF(B6="","",SUMIFS('📈 Datos Completos'!$G$7:$G$5000, '📈 Datos Completos'!$B$7:$B$5000, B6, '📈 Datos Completos'!$D$7:$D$5000, C6))</f>
        <v>428</v>
      </c>
      <c r="G6" s="18">
        <f t="shared" si="0"/>
        <v>1945</v>
      </c>
      <c r="H6" s="19">
        <f>IF(B6="","",SUMIFS('📈 Datos Completos'!$I$7:$I$5000, '📈 Datos Completos'!$B$7:$B$5000, B6, '📈 Datos Completos'!$D$7:$D$5000, C6))</f>
        <v>3389.91</v>
      </c>
      <c r="I6" s="19">
        <f t="shared" si="1"/>
        <v>2625.75</v>
      </c>
      <c r="J6" s="19">
        <f t="shared" si="2"/>
        <v>6015.66</v>
      </c>
      <c r="K6" s="19">
        <f>IF(B6="","",IF(C6="DIA", (SUMIFS('📋 Detalle Diario'!$D$5:$D$489, '📋 Detalle Diario'!$B$5:$B$489, B6, '📋 Detalle Diario'!$C$5:$C$489, C6) * '⚙️ Supuestos'!$C$24) + '⚙️ Supuestos'!$C$23, (SUMIFS('📋 Detalle Diario'!$D$5:$D$489, '📋 Detalle Diario'!$B$5:$B$489, B6, '📋 Detalle Diario'!$C$5:$C$489, C6) * '⚙️ Supuestos'!$C$24) + '⚙️ Supuestos'!$C$33))</f>
        <v>4935.2170000000006</v>
      </c>
      <c r="L6" s="19">
        <f t="shared" si="3"/>
        <v>1080.4429999999993</v>
      </c>
      <c r="M6" s="20">
        <f t="shared" si="4"/>
        <v>0.17960506411599048</v>
      </c>
      <c r="N6" s="19">
        <f t="shared" si="5"/>
        <v>21.117744972186568</v>
      </c>
      <c r="O6" s="27" t="str">
        <f t="shared" si="6"/>
        <v>2026-05</v>
      </c>
      <c r="P6" s="19">
        <f t="shared" si="7"/>
        <v>5110.2670000000007</v>
      </c>
      <c r="Q6" s="19">
        <f>IF(B6="","",J6-P6+(SUMIFS('📋 Detalle Diario'!$E$5:$E$489, '📋 Detalle Diario'!$B$5:$B$489, B6, '📋 Detalle Diario'!$C$5:$C$489, C6)*135)+(SUMIFS('📋 Detalle Diario'!$I$5:$I$489, '📋 Detalle Diario'!$B$5:$B$489, B6, '📋 Detalle Diario'!$C$5:$C$489, C6)*200))</f>
        <v>905.39299999999912</v>
      </c>
      <c r="R6" s="20">
        <f t="shared" si="8"/>
        <v>0.15050601264034189</v>
      </c>
    </row>
    <row r="7" spans="2:21" ht="18" customHeight="1" x14ac:dyDescent="0.25">
      <c r="B7" s="24" t="s">
        <v>74</v>
      </c>
      <c r="C7" s="25" t="s">
        <v>72</v>
      </c>
      <c r="D7" s="18">
        <f>IF(B7="","",SUMIFS('📈 Datos Completos'!$E$7:$E$5000, '📈 Datos Completos'!$B$7:$B$5000, B7, '📈 Datos Completos'!$D$7:$D$5000, C7))</f>
        <v>453.3</v>
      </c>
      <c r="E7" s="18">
        <f>IF(B7="","",SUMIFS('📈 Datos Completos'!$F$7:$F$5000, '📈 Datos Completos'!$B$7:$B$5000, B7, '📈 Datos Completos'!$D$7:$D$5000, C7))</f>
        <v>0</v>
      </c>
      <c r="F7" s="18">
        <f>IF(B7="","",SUMIFS('📈 Datos Completos'!$G$7:$G$5000, '📈 Datos Completos'!$B$7:$B$5000, B7, '📈 Datos Completos'!$D$7:$D$5000, C7))</f>
        <v>2270</v>
      </c>
      <c r="G7" s="18">
        <f t="shared" si="0"/>
        <v>2270</v>
      </c>
      <c r="H7" s="19">
        <f>IF(B7="","",SUMIFS('📈 Datos Completos'!$I$7:$I$5000, '📈 Datos Completos'!$B$7:$B$5000, B7, '📈 Datos Completos'!$D$7:$D$5000, C7))</f>
        <v>9582.9</v>
      </c>
      <c r="I7" s="19">
        <f t="shared" si="1"/>
        <v>2292.6999999999998</v>
      </c>
      <c r="J7" s="19">
        <f t="shared" si="2"/>
        <v>11875.599999999999</v>
      </c>
      <c r="K7" s="19">
        <f>IF(B7="","",IF(C7="DIA", (SUMIFS('📋 Detalle Diario'!$D$5:$D$489, '📋 Detalle Diario'!$B$5:$B$489, B7, '📋 Detalle Diario'!$C$5:$C$489, C7) * '⚙️ Supuestos'!$C$24) + '⚙️ Supuestos'!$C$23, (SUMIFS('📋 Detalle Diario'!$D$5:$D$489, '📋 Detalle Diario'!$B$5:$B$489, B7, '📋 Detalle Diario'!$C$5:$C$489, C7) * '⚙️ Supuestos'!$C$24) + '⚙️ Supuestos'!$C$33))</f>
        <v>5044.5503333333336</v>
      </c>
      <c r="L7" s="19">
        <f t="shared" si="3"/>
        <v>6831.049666666665</v>
      </c>
      <c r="M7" s="20">
        <f t="shared" si="4"/>
        <v>0.57521722411218512</v>
      </c>
      <c r="N7" s="19">
        <f t="shared" si="5"/>
        <v>11.128502831090522</v>
      </c>
      <c r="O7" s="25" t="str">
        <f t="shared" si="6"/>
        <v>2026-05</v>
      </c>
      <c r="P7" s="19">
        <f t="shared" si="7"/>
        <v>5248.8503333333338</v>
      </c>
      <c r="Q7" s="19">
        <f>IF(B7="","",J7-P7+(SUMIFS('📋 Detalle Diario'!$E$5:$E$489, '📋 Detalle Diario'!$B$5:$B$489, B7, '📋 Detalle Diario'!$C$5:$C$489, C7)*135)+(SUMIFS('📋 Detalle Diario'!$I$5:$I$489, '📋 Detalle Diario'!$B$5:$B$489, B7, '📋 Detalle Diario'!$C$5:$C$489, C7)*200))</f>
        <v>6626.7496666666648</v>
      </c>
      <c r="R7" s="20">
        <f t="shared" si="8"/>
        <v>0.55801388280732478</v>
      </c>
    </row>
    <row r="8" spans="2:21" ht="18" customHeight="1" x14ac:dyDescent="0.25">
      <c r="B8" s="26" t="s">
        <v>75</v>
      </c>
      <c r="C8" s="27" t="s">
        <v>73</v>
      </c>
      <c r="D8" s="18">
        <f>IF(B8="","",SUMIFS('📈 Datos Completos'!$E$7:$E$5000, '📈 Datos Completos'!$B$7:$B$5000, B8, '📈 Datos Completos'!$D$7:$D$5000, C8))</f>
        <v>1279</v>
      </c>
      <c r="E8" s="18">
        <f>IF(B8="","",SUMIFS('📈 Datos Completos'!$F$7:$F$5000, '📈 Datos Completos'!$B$7:$B$5000, B8, '📈 Datos Completos'!$D$7:$D$5000, C8))</f>
        <v>1575</v>
      </c>
      <c r="F8" s="18">
        <f>IF(B8="","",SUMIFS('📈 Datos Completos'!$G$7:$G$5000, '📈 Datos Completos'!$B$7:$B$5000, B8, '📈 Datos Completos'!$D$7:$D$5000, C8))</f>
        <v>3297</v>
      </c>
      <c r="G8" s="18">
        <f t="shared" si="0"/>
        <v>4872</v>
      </c>
      <c r="H8" s="19">
        <f>IF(B8="","",SUMIFS('📈 Datos Completos'!$I$7:$I$5000, '📈 Datos Completos'!$B$7:$B$5000, B8, '📈 Datos Completos'!$D$7:$D$5000, C8))</f>
        <v>7766.34</v>
      </c>
      <c r="I8" s="19">
        <f t="shared" si="1"/>
        <v>6577.2000000000007</v>
      </c>
      <c r="J8" s="19">
        <f t="shared" si="2"/>
        <v>14343.54</v>
      </c>
      <c r="K8" s="19">
        <f>IF(B8="","",IF(C8="DIA", (SUMIFS('📋 Detalle Diario'!$D$5:$D$489, '📋 Detalle Diario'!$B$5:$B$489, B8, '📋 Detalle Diario'!$C$5:$C$489, C8) * '⚙️ Supuestos'!$C$24) + '⚙️ Supuestos'!$C$23, (SUMIFS('📋 Detalle Diario'!$D$5:$D$489, '📋 Detalle Diario'!$B$5:$B$489, B8, '📋 Detalle Diario'!$C$5:$C$489, C8) * '⚙️ Supuestos'!$C$24) + '⚙️ Supuestos'!$C$33))</f>
        <v>4935.2170000000006</v>
      </c>
      <c r="L8" s="19">
        <f t="shared" si="3"/>
        <v>9408.3230000000003</v>
      </c>
      <c r="M8" s="20">
        <f t="shared" si="4"/>
        <v>0.65592754647736884</v>
      </c>
      <c r="N8" s="19">
        <f t="shared" si="5"/>
        <v>3.8586528537920253</v>
      </c>
      <c r="O8" s="27" t="str">
        <f t="shared" si="6"/>
        <v>2026-05</v>
      </c>
      <c r="P8" s="19">
        <f t="shared" si="7"/>
        <v>5373.6970000000001</v>
      </c>
      <c r="Q8" s="19">
        <f>IF(B8="","",J8-P8+(SUMIFS('📋 Detalle Diario'!$E$5:$E$489, '📋 Detalle Diario'!$B$5:$B$489, B8, '📋 Detalle Diario'!$C$5:$C$489, C8)*135)+(SUMIFS('📋 Detalle Diario'!$I$5:$I$489, '📋 Detalle Diario'!$B$5:$B$489, B8, '📋 Detalle Diario'!$C$5:$C$489, C8)*200))</f>
        <v>8969.8430000000008</v>
      </c>
      <c r="R8" s="20">
        <f t="shared" si="8"/>
        <v>0.62535768715393836</v>
      </c>
    </row>
    <row r="9" spans="2:21" ht="18" customHeight="1" x14ac:dyDescent="0.25">
      <c r="B9" s="24" t="s">
        <v>76</v>
      </c>
      <c r="C9" s="25" t="s">
        <v>72</v>
      </c>
      <c r="D9" s="18">
        <f>IF(B9="","",SUMIFS('📈 Datos Completos'!$E$7:$E$5000, '📈 Datos Completos'!$B$7:$B$5000, B9, '📈 Datos Completos'!$D$7:$D$5000, C9))</f>
        <v>958.6</v>
      </c>
      <c r="E9" s="18">
        <f>IF(B9="","",SUMIFS('📈 Datos Completos'!$F$7:$F$5000, '📈 Datos Completos'!$B$7:$B$5000, B9, '📈 Datos Completos'!$D$7:$D$5000, C9))</f>
        <v>240</v>
      </c>
      <c r="F9" s="18">
        <f>IF(B9="","",SUMIFS('📈 Datos Completos'!$G$7:$G$5000, '📈 Datos Completos'!$B$7:$B$5000, B9, '📈 Datos Completos'!$D$7:$D$5000, C9))</f>
        <v>2248</v>
      </c>
      <c r="G9" s="18">
        <f t="shared" si="0"/>
        <v>2488</v>
      </c>
      <c r="H9" s="19">
        <f>IF(B9="","",SUMIFS('📈 Datos Completos'!$I$7:$I$5000, '📈 Datos Completos'!$B$7:$B$5000, B9, '📈 Datos Completos'!$D$7:$D$5000, C9))</f>
        <v>4442.68</v>
      </c>
      <c r="I9" s="19">
        <f t="shared" si="1"/>
        <v>2512.88</v>
      </c>
      <c r="J9" s="19">
        <f t="shared" si="2"/>
        <v>6955.56</v>
      </c>
      <c r="K9" s="19">
        <f>IF(B9="","",IF(C9="DIA", (SUMIFS('📋 Detalle Diario'!$D$5:$D$489, '📋 Detalle Diario'!$B$5:$B$489, B9, '📋 Detalle Diario'!$C$5:$C$489, C9) * '⚙️ Supuestos'!$C$24) + '⚙️ Supuestos'!$C$23, (SUMIFS('📋 Detalle Diario'!$D$5:$D$489, '📋 Detalle Diario'!$B$5:$B$489, B9, '📋 Detalle Diario'!$C$5:$C$489, C9) * '⚙️ Supuestos'!$C$24) + '⚙️ Supuestos'!$C$33))</f>
        <v>5044.5503333333336</v>
      </c>
      <c r="L9" s="19">
        <f t="shared" si="3"/>
        <v>1911.0096666666668</v>
      </c>
      <c r="M9" s="20">
        <f t="shared" si="4"/>
        <v>0.27474562316573597</v>
      </c>
      <c r="N9" s="19">
        <f t="shared" si="5"/>
        <v>5.2624142847207738</v>
      </c>
      <c r="O9" s="25" t="str">
        <f t="shared" si="6"/>
        <v>2026-05</v>
      </c>
      <c r="P9" s="19">
        <f t="shared" si="7"/>
        <v>5268.4703333333337</v>
      </c>
      <c r="Q9" s="19">
        <f>IF(B9="","",J9-P9+(SUMIFS('📋 Detalle Diario'!$E$5:$E$489, '📋 Detalle Diario'!$B$5:$B$489, B9, '📋 Detalle Diario'!$C$5:$C$489, C9)*135)+(SUMIFS('📋 Detalle Diario'!$I$5:$I$489, '📋 Detalle Diario'!$B$5:$B$489, B9, '📋 Detalle Diario'!$C$5:$C$489, C9)*200))</f>
        <v>1687.0896666666667</v>
      </c>
      <c r="R9" s="20">
        <f t="shared" si="8"/>
        <v>0.24255267249030513</v>
      </c>
    </row>
    <row r="10" spans="2:21" ht="18" customHeight="1" x14ac:dyDescent="0.25">
      <c r="B10" s="26" t="s">
        <v>76</v>
      </c>
      <c r="C10" s="27" t="s">
        <v>73</v>
      </c>
      <c r="D10" s="18">
        <f>IF(B10="","",SUMIFS('📈 Datos Completos'!$E$7:$E$5000, '📈 Datos Completos'!$B$7:$B$5000, B10, '📈 Datos Completos'!$D$7:$D$5000, C10))</f>
        <v>601</v>
      </c>
      <c r="E10" s="18">
        <f>IF(B10="","",SUMIFS('📈 Datos Completos'!$F$7:$F$5000, '📈 Datos Completos'!$B$7:$B$5000, B10, '📈 Datos Completos'!$D$7:$D$5000, C10))</f>
        <v>120</v>
      </c>
      <c r="F10" s="18">
        <f>IF(B10="","",SUMIFS('📈 Datos Completos'!$G$7:$G$5000, '📈 Datos Completos'!$B$7:$B$5000, B10, '📈 Datos Completos'!$D$7:$D$5000, C10))</f>
        <v>960</v>
      </c>
      <c r="G10" s="18">
        <f t="shared" si="0"/>
        <v>1080</v>
      </c>
      <c r="H10" s="19">
        <f>IF(B10="","",SUMIFS('📈 Datos Completos'!$I$7:$I$5000, '📈 Datos Completos'!$B$7:$B$5000, B10, '📈 Datos Completos'!$D$7:$D$5000, C10))</f>
        <v>4743.6000000000004</v>
      </c>
      <c r="I10" s="19">
        <f t="shared" si="1"/>
        <v>1458</v>
      </c>
      <c r="J10" s="19">
        <f t="shared" si="2"/>
        <v>6201.6</v>
      </c>
      <c r="K10" s="19">
        <f>IF(B10="","",IF(C10="DIA", (SUMIFS('📋 Detalle Diario'!$D$5:$D$489, '📋 Detalle Diario'!$B$5:$B$489, B10, '📋 Detalle Diario'!$C$5:$C$489, C10) * '⚙️ Supuestos'!$C$24) + '⚙️ Supuestos'!$C$23, (SUMIFS('📋 Detalle Diario'!$D$5:$D$489, '📋 Detalle Diario'!$B$5:$B$489, B10, '📋 Detalle Diario'!$C$5:$C$489, C10) * '⚙️ Supuestos'!$C$24) + '⚙️ Supuestos'!$C$33))</f>
        <v>4935.2170000000006</v>
      </c>
      <c r="L10" s="19">
        <f t="shared" si="3"/>
        <v>1266.3829999999998</v>
      </c>
      <c r="M10" s="20">
        <f t="shared" si="4"/>
        <v>0.20420262512899892</v>
      </c>
      <c r="N10" s="19">
        <f t="shared" si="5"/>
        <v>8.2116755407653912</v>
      </c>
      <c r="O10" s="27" t="str">
        <f t="shared" si="6"/>
        <v>2026-05</v>
      </c>
      <c r="P10" s="19">
        <f t="shared" si="7"/>
        <v>5032.4170000000004</v>
      </c>
      <c r="Q10" s="19">
        <f>IF(B10="","",J10-P10+(SUMIFS('📋 Detalle Diario'!$E$5:$E$489, '📋 Detalle Diario'!$B$5:$B$489, B10, '📋 Detalle Diario'!$C$5:$C$489, C10)*135)+(SUMIFS('📋 Detalle Diario'!$I$5:$I$489, '📋 Detalle Diario'!$B$5:$B$489, B10, '📋 Detalle Diario'!$C$5:$C$489, C10)*200))</f>
        <v>1169.183</v>
      </c>
      <c r="R10" s="20">
        <f t="shared" si="8"/>
        <v>0.18852925051599587</v>
      </c>
    </row>
    <row r="11" spans="2:21" ht="18" customHeight="1" x14ac:dyDescent="0.25">
      <c r="B11" s="24" t="s">
        <v>77</v>
      </c>
      <c r="C11" s="25" t="s">
        <v>72</v>
      </c>
      <c r="D11" s="18">
        <f>IF(B11="","",SUMIFS('📈 Datos Completos'!$E$7:$E$5000, '📈 Datos Completos'!$B$7:$B$5000, B11, '📈 Datos Completos'!$D$7:$D$5000, C11))</f>
        <v>604</v>
      </c>
      <c r="E11" s="18">
        <f>IF(B11="","",SUMIFS('📈 Datos Completos'!$F$7:$F$5000, '📈 Datos Completos'!$B$7:$B$5000, B11, '📈 Datos Completos'!$D$7:$D$5000, C11))</f>
        <v>135</v>
      </c>
      <c r="F11" s="18">
        <f>IF(B11="","",SUMIFS('📈 Datos Completos'!$G$7:$G$5000, '📈 Datos Completos'!$B$7:$B$5000, B11, '📈 Datos Completos'!$D$7:$D$5000, C11))</f>
        <v>960</v>
      </c>
      <c r="G11" s="18">
        <f t="shared" si="0"/>
        <v>1095</v>
      </c>
      <c r="H11" s="19">
        <f>IF(B11="","",SUMIFS('📈 Datos Completos'!$I$7:$I$5000, '📈 Datos Completos'!$B$7:$B$5000, B11, '📈 Datos Completos'!$D$7:$D$5000, C11))</f>
        <v>3952.6</v>
      </c>
      <c r="I11" s="19">
        <f t="shared" si="1"/>
        <v>1105.95</v>
      </c>
      <c r="J11" s="19">
        <f t="shared" si="2"/>
        <v>5058.55</v>
      </c>
      <c r="K11" s="19">
        <f>IF(B11="","",IF(C11="DIA", (SUMIFS('📋 Detalle Diario'!$D$5:$D$489, '📋 Detalle Diario'!$B$5:$B$489, B11, '📋 Detalle Diario'!$C$5:$C$489, C11) * '⚙️ Supuestos'!$C$24) + '⚙️ Supuestos'!$C$23, (SUMIFS('📋 Detalle Diario'!$D$5:$D$489, '📋 Detalle Diario'!$B$5:$B$489, B11, '📋 Detalle Diario'!$C$5:$C$489, C11) * '⚙️ Supuestos'!$C$24) + '⚙️ Supuestos'!$C$33))</f>
        <v>5044.5503333333336</v>
      </c>
      <c r="L11" s="19">
        <f t="shared" si="3"/>
        <v>13.999666666666599</v>
      </c>
      <c r="M11" s="20">
        <f t="shared" si="4"/>
        <v>2.7675256084582732E-3</v>
      </c>
      <c r="N11" s="19">
        <f t="shared" si="5"/>
        <v>8.3519045253863133</v>
      </c>
      <c r="O11" s="25" t="str">
        <f t="shared" si="6"/>
        <v>2026-05</v>
      </c>
      <c r="P11" s="19">
        <f t="shared" si="7"/>
        <v>5143.1003333333338</v>
      </c>
      <c r="Q11" s="19">
        <f>IF(B11="","",J11-P11+(SUMIFS('📋 Detalle Diario'!$E$5:$E$489, '📋 Detalle Diario'!$B$5:$B$489, B11, '📋 Detalle Diario'!$C$5:$C$489, C11)*135)+(SUMIFS('📋 Detalle Diario'!$I$5:$I$489, '📋 Detalle Diario'!$B$5:$B$489, B11, '📋 Detalle Diario'!$C$5:$C$489, C11)*200))</f>
        <v>-84.550333333333583</v>
      </c>
      <c r="R11" s="20">
        <f t="shared" si="8"/>
        <v>-1.6714341725066192E-2</v>
      </c>
    </row>
    <row r="12" spans="2:21" ht="18" customHeight="1" x14ac:dyDescent="0.25">
      <c r="B12" s="26" t="s">
        <v>77</v>
      </c>
      <c r="C12" s="27" t="s">
        <v>73</v>
      </c>
      <c r="D12" s="18">
        <f>IF(B12="","",SUMIFS('📈 Datos Completos'!$E$7:$E$5000, '📈 Datos Completos'!$B$7:$B$5000, B12, '📈 Datos Completos'!$D$7:$D$5000, C12))</f>
        <v>559</v>
      </c>
      <c r="E12" s="18">
        <f>IF(B12="","",SUMIFS('📈 Datos Completos'!$F$7:$F$5000, '📈 Datos Completos'!$B$7:$B$5000, B12, '📈 Datos Completos'!$D$7:$D$5000, C12))</f>
        <v>2016</v>
      </c>
      <c r="F12" s="18">
        <f>IF(B12="","",SUMIFS('📈 Datos Completos'!$G$7:$G$5000, '📈 Datos Completos'!$B$7:$B$5000, B12, '📈 Datos Completos'!$D$7:$D$5000, C12))</f>
        <v>2972</v>
      </c>
      <c r="G12" s="18">
        <f t="shared" si="0"/>
        <v>4988</v>
      </c>
      <c r="H12" s="19">
        <f>IF(B12="","",SUMIFS('📈 Datos Completos'!$I$7:$I$5000, '📈 Datos Completos'!$B$7:$B$5000, B12, '📈 Datos Completos'!$D$7:$D$5000, C12))</f>
        <v>3606.9</v>
      </c>
      <c r="I12" s="19">
        <f t="shared" si="1"/>
        <v>6733.8</v>
      </c>
      <c r="J12" s="19">
        <f t="shared" si="2"/>
        <v>10340.700000000001</v>
      </c>
      <c r="K12" s="19">
        <f>IF(B12="","",IF(C12="DIA", (SUMIFS('📋 Detalle Diario'!$D$5:$D$489, '📋 Detalle Diario'!$B$5:$B$489, B12, '📋 Detalle Diario'!$C$5:$C$489, C12) * '⚙️ Supuestos'!$C$24) + '⚙️ Supuestos'!$C$23, (SUMIFS('📋 Detalle Diario'!$D$5:$D$489, '📋 Detalle Diario'!$B$5:$B$489, B12, '📋 Detalle Diario'!$C$5:$C$489, C12) * '⚙️ Supuestos'!$C$24) + '⚙️ Supuestos'!$C$33))</f>
        <v>4935.2170000000006</v>
      </c>
      <c r="L12" s="19">
        <f t="shared" si="3"/>
        <v>5405.4830000000002</v>
      </c>
      <c r="M12" s="20">
        <f t="shared" si="4"/>
        <v>0.52273859603315054</v>
      </c>
      <c r="N12" s="19">
        <f t="shared" si="5"/>
        <v>8.8286529516994641</v>
      </c>
      <c r="O12" s="27" t="str">
        <f t="shared" si="6"/>
        <v>2026-05</v>
      </c>
      <c r="P12" s="19">
        <f t="shared" si="7"/>
        <v>5384.1370000000006</v>
      </c>
      <c r="Q12" s="19">
        <f>IF(B12="","",J12-P12+(SUMIFS('📋 Detalle Diario'!$E$5:$E$489, '📋 Detalle Diario'!$B$5:$B$489, B12, '📋 Detalle Diario'!$C$5:$C$489, C12)*135)+(SUMIFS('📋 Detalle Diario'!$I$5:$I$489, '📋 Detalle Diario'!$B$5:$B$489, B12, '📋 Detalle Diario'!$C$5:$C$489, C12)*200))</f>
        <v>4956.5630000000001</v>
      </c>
      <c r="R12" s="20">
        <f t="shared" si="8"/>
        <v>0.47932567427737</v>
      </c>
    </row>
    <row r="13" spans="2:21" ht="18" customHeight="1" x14ac:dyDescent="0.25">
      <c r="B13" s="24" t="s">
        <v>78</v>
      </c>
      <c r="C13" s="25" t="s">
        <v>72</v>
      </c>
      <c r="D13" s="18">
        <f>IF(B13="","",SUMIFS('📈 Datos Completos'!$E$7:$E$5000, '📈 Datos Completos'!$B$7:$B$5000, B13, '📈 Datos Completos'!$D$7:$D$5000, C13))</f>
        <v>561</v>
      </c>
      <c r="E13" s="18">
        <f>IF(B13="","",SUMIFS('📈 Datos Completos'!$F$7:$F$5000, '📈 Datos Completos'!$B$7:$B$5000, B13, '📈 Datos Completos'!$D$7:$D$5000, C13))</f>
        <v>348</v>
      </c>
      <c r="F13" s="18">
        <f>IF(B13="","",SUMIFS('📈 Datos Completos'!$G$7:$G$5000, '📈 Datos Completos'!$B$7:$B$5000, B13, '📈 Datos Completos'!$D$7:$D$5000, C13))</f>
        <v>1006</v>
      </c>
      <c r="G13" s="18">
        <f t="shared" si="0"/>
        <v>1354</v>
      </c>
      <c r="H13" s="19">
        <f>IF(B13="","",SUMIFS('📈 Datos Completos'!$I$7:$I$5000, '📈 Datos Completos'!$B$7:$B$5000, B13, '📈 Datos Completos'!$D$7:$D$5000, C13))</f>
        <v>8317.16</v>
      </c>
      <c r="I13" s="19">
        <f t="shared" si="1"/>
        <v>1367.54</v>
      </c>
      <c r="J13" s="19">
        <f t="shared" si="2"/>
        <v>9684.7000000000007</v>
      </c>
      <c r="K13" s="19">
        <f>IF(B13="","",IF(C13="DIA", (SUMIFS('📋 Detalle Diario'!$D$5:$D$489, '📋 Detalle Diario'!$B$5:$B$489, B13, '📋 Detalle Diario'!$C$5:$C$489, C13) * '⚙️ Supuestos'!$C$24) + '⚙️ Supuestos'!$C$23, (SUMIFS('📋 Detalle Diario'!$D$5:$D$489, '📋 Detalle Diario'!$B$5:$B$489, B13, '📋 Detalle Diario'!$C$5:$C$489, C13) * '⚙️ Supuestos'!$C$24) + '⚙️ Supuestos'!$C$33))</f>
        <v>5044.5503333333336</v>
      </c>
      <c r="L13" s="19">
        <f t="shared" si="3"/>
        <v>4640.1496666666671</v>
      </c>
      <c r="M13" s="20">
        <f t="shared" si="4"/>
        <v>0.47912167301688918</v>
      </c>
      <c r="N13" s="19">
        <f t="shared" si="5"/>
        <v>8.9920683303624482</v>
      </c>
      <c r="O13" s="25" t="str">
        <f t="shared" si="6"/>
        <v>2026-05</v>
      </c>
      <c r="P13" s="19">
        <f t="shared" si="7"/>
        <v>5166.4103333333333</v>
      </c>
      <c r="Q13" s="19">
        <f>IF(B13="","",J13-P13+(SUMIFS('📋 Detalle Diario'!$E$5:$E$489, '📋 Detalle Diario'!$B$5:$B$489, B13, '📋 Detalle Diario'!$C$5:$C$489, C13)*135)+(SUMIFS('📋 Detalle Diario'!$I$5:$I$489, '📋 Detalle Diario'!$B$5:$B$489, B13, '📋 Detalle Diario'!$C$5:$C$489, C13)*200))</f>
        <v>4518.2896666666675</v>
      </c>
      <c r="R13" s="20">
        <f t="shared" si="8"/>
        <v>0.46653893942679353</v>
      </c>
    </row>
    <row r="14" spans="2:21" ht="18" customHeight="1" x14ac:dyDescent="0.25">
      <c r="B14" s="26" t="s">
        <v>78</v>
      </c>
      <c r="C14" s="27" t="s">
        <v>73</v>
      </c>
      <c r="D14" s="18">
        <f>IF(B14="","",SUMIFS('📈 Datos Completos'!$E$7:$E$5000, '📈 Datos Completos'!$B$7:$B$5000, B14, '📈 Datos Completos'!$D$7:$D$5000, C14))</f>
        <v>93</v>
      </c>
      <c r="E14" s="18">
        <f>IF(B14="","",SUMIFS('📈 Datos Completos'!$F$7:$F$5000, '📈 Datos Completos'!$B$7:$B$5000, B14, '📈 Datos Completos'!$D$7:$D$5000, C14))</f>
        <v>0</v>
      </c>
      <c r="F14" s="18">
        <f>IF(B14="","",SUMIFS('📈 Datos Completos'!$G$7:$G$5000, '📈 Datos Completos'!$B$7:$B$5000, B14, '📈 Datos Completos'!$D$7:$D$5000, C14))</f>
        <v>60</v>
      </c>
      <c r="G14" s="18">
        <f t="shared" si="0"/>
        <v>60</v>
      </c>
      <c r="H14" s="19">
        <f>IF(B14="","",SUMIFS('📈 Datos Completos'!$I$7:$I$5000, '📈 Datos Completos'!$B$7:$B$5000, B14, '📈 Datos Completos'!$D$7:$D$5000, C14))</f>
        <v>2327.4</v>
      </c>
      <c r="I14" s="19">
        <f t="shared" si="1"/>
        <v>81</v>
      </c>
      <c r="J14" s="19">
        <f t="shared" si="2"/>
        <v>2408.4</v>
      </c>
      <c r="K14" s="19">
        <f>IF(B14="","",IF(C14="DIA", (SUMIFS('📋 Detalle Diario'!$D$5:$D$489, '📋 Detalle Diario'!$B$5:$B$489, B14, '📋 Detalle Diario'!$C$5:$C$489, C14) * '⚙️ Supuestos'!$C$24) + '⚙️ Supuestos'!$C$23, (SUMIFS('📋 Detalle Diario'!$D$5:$D$489, '📋 Detalle Diario'!$B$5:$B$489, B14, '📋 Detalle Diario'!$C$5:$C$489, C14) * '⚙️ Supuestos'!$C$24) + '⚙️ Supuestos'!$C$33))</f>
        <v>4935.2170000000006</v>
      </c>
      <c r="L14" s="19">
        <f t="shared" si="3"/>
        <v>-2526.8170000000005</v>
      </c>
      <c r="M14" s="20">
        <f t="shared" si="4"/>
        <v>-1.0491683275203456</v>
      </c>
      <c r="N14" s="19">
        <f t="shared" si="5"/>
        <v>53.066849462365596</v>
      </c>
      <c r="O14" s="27" t="str">
        <f t="shared" si="6"/>
        <v>2026-05</v>
      </c>
      <c r="P14" s="19">
        <f t="shared" si="7"/>
        <v>4940.6170000000002</v>
      </c>
      <c r="Q14" s="19">
        <f>IF(B14="","",J14-P14+(SUMIFS('📋 Detalle Diario'!$E$5:$E$489, '📋 Detalle Diario'!$B$5:$B$489, B14, '📋 Detalle Diario'!$C$5:$C$489, C14)*135)+(SUMIFS('📋 Detalle Diario'!$I$5:$I$489, '📋 Detalle Diario'!$B$5:$B$489, B14, '📋 Detalle Diario'!$C$5:$C$489, C14)*200))</f>
        <v>-2532.2170000000001</v>
      </c>
      <c r="R14" s="20">
        <f t="shared" si="8"/>
        <v>-1.0514104799867132</v>
      </c>
    </row>
    <row r="15" spans="2:21" ht="18" customHeight="1" x14ac:dyDescent="0.25">
      <c r="B15" s="24" t="s">
        <v>79</v>
      </c>
      <c r="C15" s="25" t="s">
        <v>72</v>
      </c>
      <c r="D15" s="18">
        <f>IF(B15="","",SUMIFS('📈 Datos Completos'!$E$7:$E$5000, '📈 Datos Completos'!$B$7:$B$5000, B15, '📈 Datos Completos'!$D$7:$D$5000, C15))</f>
        <v>528.5</v>
      </c>
      <c r="E15" s="18">
        <f>IF(B15="","",SUMIFS('📈 Datos Completos'!$F$7:$F$5000, '📈 Datos Completos'!$B$7:$B$5000, B15, '📈 Datos Completos'!$D$7:$D$5000, C15))</f>
        <v>135</v>
      </c>
      <c r="F15" s="18">
        <f>IF(B15="","",SUMIFS('📈 Datos Completos'!$G$7:$G$5000, '📈 Datos Completos'!$B$7:$B$5000, B15, '📈 Datos Completos'!$D$7:$D$5000, C15))</f>
        <v>270</v>
      </c>
      <c r="G15" s="18">
        <f t="shared" si="0"/>
        <v>405</v>
      </c>
      <c r="H15" s="19">
        <f>IF(B15="","",SUMIFS('📈 Datos Completos'!$I$7:$I$5000, '📈 Datos Completos'!$B$7:$B$5000, B15, '📈 Datos Completos'!$D$7:$D$5000, C15))</f>
        <v>18317.7</v>
      </c>
      <c r="I15" s="19">
        <f t="shared" si="1"/>
        <v>409.05</v>
      </c>
      <c r="J15" s="19">
        <f t="shared" si="2"/>
        <v>18726.75</v>
      </c>
      <c r="K15" s="19">
        <f>IF(B15="","",IF(C15="DIA", (SUMIFS('📋 Detalle Diario'!$D$5:$D$489, '📋 Detalle Diario'!$B$5:$B$489, B15, '📋 Detalle Diario'!$C$5:$C$489, C15) * '⚙️ Supuestos'!$C$24) + '⚙️ Supuestos'!$C$23, (SUMIFS('📋 Detalle Diario'!$D$5:$D$489, '📋 Detalle Diario'!$B$5:$B$489, B15, '📋 Detalle Diario'!$C$5:$C$489, C15) * '⚙️ Supuestos'!$C$24) + '⚙️ Supuestos'!$C$33))</f>
        <v>5044.5503333333336</v>
      </c>
      <c r="L15" s="19">
        <f t="shared" si="3"/>
        <v>13682.199666666667</v>
      </c>
      <c r="M15" s="20">
        <f t="shared" si="4"/>
        <v>0.73062328843321278</v>
      </c>
      <c r="N15" s="19">
        <f t="shared" si="5"/>
        <v>9.5450337432986441</v>
      </c>
      <c r="O15" s="25" t="str">
        <f t="shared" si="6"/>
        <v>2026-05</v>
      </c>
      <c r="P15" s="19">
        <f t="shared" si="7"/>
        <v>5081.0003333333334</v>
      </c>
      <c r="Q15" s="19">
        <f>IF(B15="","",J15-P15+(SUMIFS('📋 Detalle Diario'!$E$5:$E$489, '📋 Detalle Diario'!$B$5:$B$489, B15, '📋 Detalle Diario'!$C$5:$C$489, C15)*135)+(SUMIFS('📋 Detalle Diario'!$I$5:$I$489, '📋 Detalle Diario'!$B$5:$B$489, B15, '📋 Detalle Diario'!$C$5:$C$489, C15)*200))</f>
        <v>13645.749666666667</v>
      </c>
      <c r="R15" s="20">
        <f t="shared" si="8"/>
        <v>0.72867687488040722</v>
      </c>
    </row>
    <row r="16" spans="2:21" ht="18" customHeight="1" x14ac:dyDescent="0.25">
      <c r="B16" s="26" t="s">
        <v>79</v>
      </c>
      <c r="C16" s="27" t="s">
        <v>73</v>
      </c>
      <c r="D16" s="18">
        <f>IF(B16="","",SUMIFS('📈 Datos Completos'!$E$7:$E$5000, '📈 Datos Completos'!$B$7:$B$5000, B16, '📈 Datos Completos'!$D$7:$D$5000, C16))</f>
        <v>254</v>
      </c>
      <c r="E16" s="18">
        <f>IF(B16="","",SUMIFS('📈 Datos Completos'!$F$7:$F$5000, '📈 Datos Completos'!$B$7:$B$5000, B16, '📈 Datos Completos'!$D$7:$D$5000, C16))</f>
        <v>0</v>
      </c>
      <c r="F16" s="18">
        <f>IF(B16="","",SUMIFS('📈 Datos Completos'!$G$7:$G$5000, '📈 Datos Completos'!$B$7:$B$5000, B16, '📈 Datos Completos'!$D$7:$D$5000, C16))</f>
        <v>1220</v>
      </c>
      <c r="G16" s="18">
        <f t="shared" si="0"/>
        <v>1220</v>
      </c>
      <c r="H16" s="19">
        <f>IF(B16="","",SUMIFS('📈 Datos Completos'!$I$7:$I$5000, '📈 Datos Completos'!$B$7:$B$5000, B16, '📈 Datos Completos'!$D$7:$D$5000, C16))</f>
        <v>2820</v>
      </c>
      <c r="I16" s="19">
        <f t="shared" si="1"/>
        <v>1647</v>
      </c>
      <c r="J16" s="19">
        <f t="shared" si="2"/>
        <v>4467</v>
      </c>
      <c r="K16" s="19">
        <f>IF(B16="","",IF(C16="DIA", (SUMIFS('📋 Detalle Diario'!$D$5:$D$489, '📋 Detalle Diario'!$B$5:$B$489, B16, '📋 Detalle Diario'!$C$5:$C$489, C16) * '⚙️ Supuestos'!$C$24) + '⚙️ Supuestos'!$C$23, (SUMIFS('📋 Detalle Diario'!$D$5:$D$489, '📋 Detalle Diario'!$B$5:$B$489, B16, '📋 Detalle Diario'!$C$5:$C$489, C16) * '⚙️ Supuestos'!$C$24) + '⚙️ Supuestos'!$C$33))</f>
        <v>4935.2170000000006</v>
      </c>
      <c r="L16" s="19">
        <f t="shared" si="3"/>
        <v>-468.21700000000055</v>
      </c>
      <c r="M16" s="20">
        <f t="shared" si="4"/>
        <v>-0.104816879337363</v>
      </c>
      <c r="N16" s="19">
        <f t="shared" si="5"/>
        <v>19.429988188976381</v>
      </c>
      <c r="O16" s="27" t="str">
        <f t="shared" si="6"/>
        <v>2026-05</v>
      </c>
      <c r="P16" s="19">
        <f t="shared" si="7"/>
        <v>5045.0170000000007</v>
      </c>
      <c r="Q16" s="19">
        <f>IF(B16="","",J16-P16+(SUMIFS('📋 Detalle Diario'!$E$5:$E$489, '📋 Detalle Diario'!$B$5:$B$489, B16, '📋 Detalle Diario'!$C$5:$C$489, C16)*135)+(SUMIFS('📋 Detalle Diario'!$I$5:$I$489, '📋 Detalle Diario'!$B$5:$B$489, B16, '📋 Detalle Diario'!$C$5:$C$489, C16)*200))</f>
        <v>-578.01700000000073</v>
      </c>
      <c r="R16" s="20">
        <f t="shared" si="8"/>
        <v>-0.12939713454219851</v>
      </c>
    </row>
    <row r="17" spans="2:18" ht="18" customHeight="1" x14ac:dyDescent="0.25">
      <c r="B17" s="24" t="s">
        <v>80</v>
      </c>
      <c r="C17" s="25" t="s">
        <v>72</v>
      </c>
      <c r="D17" s="18">
        <f>IF(B17="","",SUMIFS('📈 Datos Completos'!$E$7:$E$5000, '📈 Datos Completos'!$B$7:$B$5000, B17, '📈 Datos Completos'!$D$7:$D$5000, C17))</f>
        <v>490.6</v>
      </c>
      <c r="E17" s="18">
        <f>IF(B17="","",SUMIFS('📈 Datos Completos'!$F$7:$F$5000, '📈 Datos Completos'!$B$7:$B$5000, B17, '📈 Datos Completos'!$D$7:$D$5000, C17))</f>
        <v>0</v>
      </c>
      <c r="F17" s="18">
        <f>IF(B17="","",SUMIFS('📈 Datos Completos'!$G$7:$G$5000, '📈 Datos Completos'!$B$7:$B$5000, B17, '📈 Datos Completos'!$D$7:$D$5000, C17))</f>
        <v>470</v>
      </c>
      <c r="G17" s="18">
        <f t="shared" si="0"/>
        <v>470</v>
      </c>
      <c r="H17" s="19">
        <f>IF(B17="","",SUMIFS('📈 Datos Completos'!$I$7:$I$5000, '📈 Datos Completos'!$B$7:$B$5000, B17, '📈 Datos Completos'!$D$7:$D$5000, C17))</f>
        <v>13063.6</v>
      </c>
      <c r="I17" s="19">
        <f t="shared" si="1"/>
        <v>474.7</v>
      </c>
      <c r="J17" s="19">
        <f t="shared" si="2"/>
        <v>13538.300000000001</v>
      </c>
      <c r="K17" s="19">
        <f>IF(B17="","",IF(C17="DIA", (SUMIFS('📋 Detalle Diario'!$D$5:$D$489, '📋 Detalle Diario'!$B$5:$B$489, B17, '📋 Detalle Diario'!$C$5:$C$489, C17) * '⚙️ Supuestos'!$C$24) + '⚙️ Supuestos'!$C$23, (SUMIFS('📋 Detalle Diario'!$D$5:$D$489, '📋 Detalle Diario'!$B$5:$B$489, B17, '📋 Detalle Diario'!$C$5:$C$489, C17) * '⚙️ Supuestos'!$C$24) + '⚙️ Supuestos'!$C$33))</f>
        <v>5044.5503333333336</v>
      </c>
      <c r="L17" s="19">
        <f t="shared" si="3"/>
        <v>8493.7496666666666</v>
      </c>
      <c r="M17" s="20">
        <f t="shared" si="4"/>
        <v>0.62738672260672801</v>
      </c>
      <c r="N17" s="19">
        <f t="shared" si="5"/>
        <v>10.282409974181274</v>
      </c>
      <c r="O17" s="25" t="str">
        <f t="shared" si="6"/>
        <v>2026-05</v>
      </c>
      <c r="P17" s="19">
        <f t="shared" si="7"/>
        <v>5086.8503333333338</v>
      </c>
      <c r="Q17" s="19">
        <f>IF(B17="","",J17-P17+(SUMIFS('📋 Detalle Diario'!$E$5:$E$489, '📋 Detalle Diario'!$B$5:$B$489, B17, '📋 Detalle Diario'!$C$5:$C$489, C17)*135)+(SUMIFS('📋 Detalle Diario'!$I$5:$I$489, '📋 Detalle Diario'!$B$5:$B$489, B17, '📋 Detalle Diario'!$C$5:$C$489, C17)*200))</f>
        <v>8451.4496666666673</v>
      </c>
      <c r="R17" s="20">
        <f t="shared" si="8"/>
        <v>0.62426225350794906</v>
      </c>
    </row>
    <row r="18" spans="2:18" ht="18" customHeight="1" x14ac:dyDescent="0.25">
      <c r="B18" s="26" t="s">
        <v>80</v>
      </c>
      <c r="C18" s="27" t="s">
        <v>73</v>
      </c>
      <c r="D18" s="18">
        <f>IF(B18="","",SUMIFS('📈 Datos Completos'!$E$7:$E$5000, '📈 Datos Completos'!$B$7:$B$5000, B18, '📈 Datos Completos'!$D$7:$D$5000, C18))</f>
        <v>1149</v>
      </c>
      <c r="E18" s="18">
        <f>IF(B18="","",SUMIFS('📈 Datos Completos'!$F$7:$F$5000, '📈 Datos Completos'!$B$7:$B$5000, B18, '📈 Datos Completos'!$D$7:$D$5000, C18))</f>
        <v>1110</v>
      </c>
      <c r="F18" s="18">
        <f>IF(B18="","",SUMIFS('📈 Datos Completos'!$G$7:$G$5000, '📈 Datos Completos'!$B$7:$B$5000, B18, '📈 Datos Completos'!$D$7:$D$5000, C18))</f>
        <v>2847</v>
      </c>
      <c r="G18" s="18">
        <f t="shared" si="0"/>
        <v>3957</v>
      </c>
      <c r="H18" s="19">
        <f>IF(B18="","",SUMIFS('📈 Datos Completos'!$I$7:$I$5000, '📈 Datos Completos'!$B$7:$B$5000, B18, '📈 Datos Completos'!$D$7:$D$5000, C18))</f>
        <v>7252.29</v>
      </c>
      <c r="I18" s="19">
        <f t="shared" si="1"/>
        <v>5341.9500000000007</v>
      </c>
      <c r="J18" s="19">
        <f t="shared" si="2"/>
        <v>12594.240000000002</v>
      </c>
      <c r="K18" s="19">
        <f>IF(B18="","",IF(C18="DIA", (SUMIFS('📋 Detalle Diario'!$D$5:$D$489, '📋 Detalle Diario'!$B$5:$B$489, B18, '📋 Detalle Diario'!$C$5:$C$489, C18) * '⚙️ Supuestos'!$C$24) + '⚙️ Supuestos'!$C$23, (SUMIFS('📋 Detalle Diario'!$D$5:$D$489, '📋 Detalle Diario'!$B$5:$B$489, B18, '📋 Detalle Diario'!$C$5:$C$489, C18) * '⚙️ Supuestos'!$C$24) + '⚙️ Supuestos'!$C$33))</f>
        <v>4935.2170000000006</v>
      </c>
      <c r="L18" s="19">
        <f t="shared" si="3"/>
        <v>7659.023000000001</v>
      </c>
      <c r="M18" s="20">
        <f t="shared" si="4"/>
        <v>0.60813697372767239</v>
      </c>
      <c r="N18" s="19">
        <f t="shared" si="5"/>
        <v>4.2952280243690169</v>
      </c>
      <c r="O18" s="27" t="str">
        <f t="shared" si="6"/>
        <v>2026-05</v>
      </c>
      <c r="P18" s="19">
        <f t="shared" si="7"/>
        <v>5291.3470000000007</v>
      </c>
      <c r="Q18" s="19">
        <f>IF(B18="","",J18-P18+(SUMIFS('📋 Detalle Diario'!$E$5:$E$489, '📋 Detalle Diario'!$B$5:$B$489, B18, '📋 Detalle Diario'!$C$5:$C$489, C18)*135)+(SUMIFS('📋 Detalle Diario'!$I$5:$I$489, '📋 Detalle Diario'!$B$5:$B$489, B18, '📋 Detalle Diario'!$C$5:$C$489, C18)*200))</f>
        <v>7302.8930000000009</v>
      </c>
      <c r="R18" s="20">
        <f t="shared" si="8"/>
        <v>0.57985976128769978</v>
      </c>
    </row>
    <row r="19" spans="2:18" ht="18" customHeight="1" x14ac:dyDescent="0.25">
      <c r="B19" s="24" t="s">
        <v>81</v>
      </c>
      <c r="C19" s="25" t="s">
        <v>72</v>
      </c>
      <c r="D19" s="18">
        <f>IF(B19="","",SUMIFS('📈 Datos Completos'!$E$7:$E$5000, '📈 Datos Completos'!$B$7:$B$5000, B19, '📈 Datos Completos'!$D$7:$D$5000, C19))</f>
        <v>623</v>
      </c>
      <c r="E19" s="18">
        <f>IF(B19="","",SUMIFS('📈 Datos Completos'!$F$7:$F$5000, '📈 Datos Completos'!$B$7:$B$5000, B19, '📈 Datos Completos'!$D$7:$D$5000, C19))</f>
        <v>270</v>
      </c>
      <c r="F19" s="18">
        <f>IF(B19="","",SUMIFS('📈 Datos Completos'!$G$7:$G$5000, '📈 Datos Completos'!$B$7:$B$5000, B19, '📈 Datos Completos'!$D$7:$D$5000, C19))</f>
        <v>1980</v>
      </c>
      <c r="G19" s="18">
        <f t="shared" si="0"/>
        <v>2250</v>
      </c>
      <c r="H19" s="19">
        <f>IF(B19="","",SUMIFS('📈 Datos Completos'!$I$7:$I$5000, '📈 Datos Completos'!$B$7:$B$5000, B19, '📈 Datos Completos'!$D$7:$D$5000, C19))</f>
        <v>12372.6</v>
      </c>
      <c r="I19" s="19">
        <f t="shared" si="1"/>
        <v>2272.5</v>
      </c>
      <c r="J19" s="19">
        <f t="shared" si="2"/>
        <v>14645.1</v>
      </c>
      <c r="K19" s="19">
        <f>IF(B19="","",IF(C19="DIA", (SUMIFS('📋 Detalle Diario'!$D$5:$D$489, '📋 Detalle Diario'!$B$5:$B$489, B19, '📋 Detalle Diario'!$C$5:$C$489, C19) * '⚙️ Supuestos'!$C$24) + '⚙️ Supuestos'!$C$23, (SUMIFS('📋 Detalle Diario'!$D$5:$D$489, '📋 Detalle Diario'!$B$5:$B$489, B19, '📋 Detalle Diario'!$C$5:$C$489, C19) * '⚙️ Supuestos'!$C$24) + '⚙️ Supuestos'!$C$33))</f>
        <v>5044.5503333333336</v>
      </c>
      <c r="L19" s="19">
        <f t="shared" si="3"/>
        <v>9600.5496666666659</v>
      </c>
      <c r="M19" s="20">
        <f t="shared" si="4"/>
        <v>0.65554688371309622</v>
      </c>
      <c r="N19" s="19">
        <f t="shared" si="5"/>
        <v>8.0971915462814348</v>
      </c>
      <c r="O19" s="25" t="str">
        <f t="shared" si="6"/>
        <v>2026-05</v>
      </c>
      <c r="P19" s="19">
        <f t="shared" si="7"/>
        <v>5247.0503333333336</v>
      </c>
      <c r="Q19" s="19">
        <f>IF(B19="","",J19-P19+(SUMIFS('📋 Detalle Diario'!$E$5:$E$489, '📋 Detalle Diario'!$B$5:$B$489, B19, '📋 Detalle Diario'!$C$5:$C$489, C19)*135)+(SUMIFS('📋 Detalle Diario'!$I$5:$I$489, '📋 Detalle Diario'!$B$5:$B$489, B19, '📋 Detalle Diario'!$C$5:$C$489, C19)*200))</f>
        <v>9398.0496666666659</v>
      </c>
      <c r="R19" s="20">
        <f t="shared" si="8"/>
        <v>0.64171973333515409</v>
      </c>
    </row>
    <row r="20" spans="2:18" ht="18" customHeight="1" x14ac:dyDescent="0.25">
      <c r="B20" s="26" t="s">
        <v>82</v>
      </c>
      <c r="C20" s="27" t="s">
        <v>72</v>
      </c>
      <c r="D20" s="18">
        <f>IF(B20="","",SUMIFS('📈 Datos Completos'!$E$7:$E$5000, '📈 Datos Completos'!$B$7:$B$5000, B20, '📈 Datos Completos'!$D$7:$D$5000, C20))</f>
        <v>346</v>
      </c>
      <c r="E20" s="18">
        <f>IF(B20="","",SUMIFS('📈 Datos Completos'!$F$7:$F$5000, '📈 Datos Completos'!$B$7:$B$5000, B20, '📈 Datos Completos'!$D$7:$D$5000, C20))</f>
        <v>0</v>
      </c>
      <c r="F20" s="18">
        <f>IF(B20="","",SUMIFS('📈 Datos Completos'!$G$7:$G$5000, '📈 Datos Completos'!$B$7:$B$5000, B20, '📈 Datos Completos'!$D$7:$D$5000, C20))</f>
        <v>0</v>
      </c>
      <c r="G20" s="18">
        <f t="shared" si="0"/>
        <v>0</v>
      </c>
      <c r="H20" s="19">
        <f>IF(B20="","",SUMIFS('📈 Datos Completos'!$I$7:$I$5000, '📈 Datos Completos'!$B$7:$B$5000, B20, '📈 Datos Completos'!$D$7:$D$5000, C20))</f>
        <v>15570</v>
      </c>
      <c r="I20" s="19">
        <f t="shared" si="1"/>
        <v>0</v>
      </c>
      <c r="J20" s="19">
        <f t="shared" si="2"/>
        <v>15570</v>
      </c>
      <c r="K20" s="19">
        <f>IF(B20="","",IF(C20="DIA", (SUMIFS('📋 Detalle Diario'!$D$5:$D$489, '📋 Detalle Diario'!$B$5:$B$489, B20, '📋 Detalle Diario'!$C$5:$C$489, C20) * '⚙️ Supuestos'!$C$24) + '⚙️ Supuestos'!$C$23, (SUMIFS('📋 Detalle Diario'!$D$5:$D$489, '📋 Detalle Diario'!$B$5:$B$489, B20, '📋 Detalle Diario'!$C$5:$C$489, C20) * '⚙️ Supuestos'!$C$24) + '⚙️ Supuestos'!$C$33))</f>
        <v>5044.5503333333336</v>
      </c>
      <c r="L20" s="19">
        <f t="shared" si="3"/>
        <v>10525.449666666667</v>
      </c>
      <c r="M20" s="20">
        <f t="shared" si="4"/>
        <v>0.6760083279811604</v>
      </c>
      <c r="N20" s="19">
        <f t="shared" si="5"/>
        <v>14.579625240847784</v>
      </c>
      <c r="O20" s="27" t="str">
        <f t="shared" si="6"/>
        <v>2026-05</v>
      </c>
      <c r="P20" s="19">
        <f t="shared" si="7"/>
        <v>5044.5503333333336</v>
      </c>
      <c r="Q20" s="19">
        <f>IF(B20="","",J20-P20+(SUMIFS('📋 Detalle Diario'!$E$5:$E$489, '📋 Detalle Diario'!$B$5:$B$489, B20, '📋 Detalle Diario'!$C$5:$C$489, C20)*135)+(SUMIFS('📋 Detalle Diario'!$I$5:$I$489, '📋 Detalle Diario'!$B$5:$B$489, B20, '📋 Detalle Diario'!$C$5:$C$489, C20)*200))</f>
        <v>10525.449666666667</v>
      </c>
      <c r="R20" s="20">
        <f t="shared" si="8"/>
        <v>0.6760083279811604</v>
      </c>
    </row>
    <row r="21" spans="2:18" ht="18" customHeight="1" x14ac:dyDescent="0.25">
      <c r="B21" s="24" t="s">
        <v>82</v>
      </c>
      <c r="C21" s="25" t="s">
        <v>73</v>
      </c>
      <c r="D21" s="18">
        <f>IF(B21="","",SUMIFS('📈 Datos Completos'!$E$7:$E$5000, '📈 Datos Completos'!$B$7:$B$5000, B21, '📈 Datos Completos'!$D$7:$D$5000, C21))</f>
        <v>560</v>
      </c>
      <c r="E21" s="18">
        <f>IF(B21="","",SUMIFS('📈 Datos Completos'!$F$7:$F$5000, '📈 Datos Completos'!$B$7:$B$5000, B21, '📈 Datos Completos'!$D$7:$D$5000, C21))</f>
        <v>0</v>
      </c>
      <c r="F21" s="18">
        <f>IF(B21="","",SUMIFS('📈 Datos Completos'!$G$7:$G$5000, '📈 Datos Completos'!$B$7:$B$5000, B21, '📈 Datos Completos'!$D$7:$D$5000, C21))</f>
        <v>560</v>
      </c>
      <c r="G21" s="18">
        <f t="shared" si="0"/>
        <v>560</v>
      </c>
      <c r="H21" s="19">
        <f>IF(B21="","",SUMIFS('📈 Datos Completos'!$I$7:$I$5000, '📈 Datos Completos'!$B$7:$B$5000, B21, '📈 Datos Completos'!$D$7:$D$5000, C21))</f>
        <v>3376.8</v>
      </c>
      <c r="I21" s="19">
        <f t="shared" si="1"/>
        <v>756</v>
      </c>
      <c r="J21" s="19">
        <f t="shared" si="2"/>
        <v>4132.8</v>
      </c>
      <c r="K21" s="19">
        <f>IF(B21="","",IF(C21="DIA", (SUMIFS('📋 Detalle Diario'!$D$5:$D$489, '📋 Detalle Diario'!$B$5:$B$489, B21, '📋 Detalle Diario'!$C$5:$C$489, C21) * '⚙️ Supuestos'!$C$24) + '⚙️ Supuestos'!$C$23, (SUMIFS('📋 Detalle Diario'!$D$5:$D$489, '📋 Detalle Diario'!$B$5:$B$489, B21, '📋 Detalle Diario'!$C$5:$C$489, C21) * '⚙️ Supuestos'!$C$24) + '⚙️ Supuestos'!$C$33))</f>
        <v>4935.2170000000006</v>
      </c>
      <c r="L21" s="19">
        <f t="shared" si="3"/>
        <v>-802.41700000000037</v>
      </c>
      <c r="M21" s="20">
        <f t="shared" si="4"/>
        <v>-0.19415819783197841</v>
      </c>
      <c r="N21" s="19">
        <f t="shared" si="5"/>
        <v>8.8128875000000004</v>
      </c>
      <c r="O21" s="25" t="str">
        <f t="shared" si="6"/>
        <v>2026-05</v>
      </c>
      <c r="P21" s="19">
        <f t="shared" si="7"/>
        <v>4985.6170000000002</v>
      </c>
      <c r="Q21" s="19">
        <f>IF(B21="","",J21-P21+(SUMIFS('📋 Detalle Diario'!$E$5:$E$489, '📋 Detalle Diario'!$B$5:$B$489, B21, '📋 Detalle Diario'!$C$5:$C$489, C21)*135)+(SUMIFS('📋 Detalle Diario'!$I$5:$I$489, '📋 Detalle Diario'!$B$5:$B$489, B21, '📋 Detalle Diario'!$C$5:$C$489, C21)*200))</f>
        <v>-852.81700000000001</v>
      </c>
      <c r="R21" s="20">
        <f t="shared" si="8"/>
        <v>-0.20635331978319782</v>
      </c>
    </row>
    <row r="22" spans="2:18" ht="18" customHeight="1" x14ac:dyDescent="0.25">
      <c r="B22" s="26" t="s">
        <v>83</v>
      </c>
      <c r="C22" s="27" t="s">
        <v>72</v>
      </c>
      <c r="D22" s="18">
        <f>IF(B22="","",SUMIFS('📈 Datos Completos'!$E$7:$E$5000, '📈 Datos Completos'!$B$7:$B$5000, B22, '📈 Datos Completos'!$D$7:$D$5000, C22))</f>
        <v>509</v>
      </c>
      <c r="E22" s="18">
        <f>IF(B22="","",SUMIFS('📈 Datos Completos'!$F$7:$F$5000, '📈 Datos Completos'!$B$7:$B$5000, B22, '📈 Datos Completos'!$D$7:$D$5000, C22))</f>
        <v>240</v>
      </c>
      <c r="F22" s="18">
        <f>IF(B22="","",SUMIFS('📈 Datos Completos'!$G$7:$G$5000, '📈 Datos Completos'!$B$7:$B$5000, B22, '📈 Datos Completos'!$D$7:$D$5000, C22))</f>
        <v>1200</v>
      </c>
      <c r="G22" s="18">
        <f t="shared" si="0"/>
        <v>1440</v>
      </c>
      <c r="H22" s="19">
        <f>IF(B22="","",SUMIFS('📈 Datos Completos'!$I$7:$I$5000, '📈 Datos Completos'!$B$7:$B$5000, B22, '📈 Datos Completos'!$D$7:$D$5000, C22))</f>
        <v>3875.4</v>
      </c>
      <c r="I22" s="19">
        <f t="shared" si="1"/>
        <v>1454.4</v>
      </c>
      <c r="J22" s="19">
        <f t="shared" si="2"/>
        <v>5329.8</v>
      </c>
      <c r="K22" s="19">
        <f>IF(B22="","",IF(C22="DIA", (SUMIFS('📋 Detalle Diario'!$D$5:$D$489, '📋 Detalle Diario'!$B$5:$B$489, B22, '📋 Detalle Diario'!$C$5:$C$489, C22) * '⚙️ Supuestos'!$C$24) + '⚙️ Supuestos'!$C$23, (SUMIFS('📋 Detalle Diario'!$D$5:$D$489, '📋 Detalle Diario'!$B$5:$B$489, B22, '📋 Detalle Diario'!$C$5:$C$489, C22) * '⚙️ Supuestos'!$C$24) + '⚙️ Supuestos'!$C$33))</f>
        <v>5044.5503333333336</v>
      </c>
      <c r="L22" s="19">
        <f t="shared" si="3"/>
        <v>285.2496666666666</v>
      </c>
      <c r="M22" s="20">
        <f t="shared" si="4"/>
        <v>5.3519769347192499E-2</v>
      </c>
      <c r="N22" s="19">
        <f t="shared" si="5"/>
        <v>9.910707924034055</v>
      </c>
      <c r="O22" s="27" t="str">
        <f t="shared" si="6"/>
        <v>2026-05</v>
      </c>
      <c r="P22" s="19">
        <f t="shared" si="7"/>
        <v>5174.1503333333339</v>
      </c>
      <c r="Q22" s="19">
        <f>IF(B22="","",J22-P22+(SUMIFS('📋 Detalle Diario'!$E$5:$E$489, '📋 Detalle Diario'!$B$5:$B$489, B22, '📋 Detalle Diario'!$C$5:$C$489, C22)*135)+(SUMIFS('📋 Detalle Diario'!$I$5:$I$489, '📋 Detalle Diario'!$B$5:$B$489, B22, '📋 Detalle Diario'!$C$5:$C$489, C22)*200))</f>
        <v>155.64966666666623</v>
      </c>
      <c r="R22" s="20">
        <f t="shared" si="8"/>
        <v>2.9203659924700032E-2</v>
      </c>
    </row>
    <row r="23" spans="2:18" ht="18" customHeight="1" x14ac:dyDescent="0.25">
      <c r="B23" s="24" t="s">
        <v>83</v>
      </c>
      <c r="C23" s="25" t="s">
        <v>73</v>
      </c>
      <c r="D23" s="18">
        <f>IF(B23="","",SUMIFS('📈 Datos Completos'!$E$7:$E$5000, '📈 Datos Completos'!$B$7:$B$5000, B23, '📈 Datos Completos'!$D$7:$D$5000, C23))</f>
        <v>646.6</v>
      </c>
      <c r="E23" s="18">
        <f>IF(B23="","",SUMIFS('📈 Datos Completos'!$F$7:$F$5000, '📈 Datos Completos'!$B$7:$B$5000, B23, '📈 Datos Completos'!$D$7:$D$5000, C23))</f>
        <v>180</v>
      </c>
      <c r="F23" s="18">
        <f>IF(B23="","",SUMIFS('📈 Datos Completos'!$G$7:$G$5000, '📈 Datos Completos'!$B$7:$B$5000, B23, '📈 Datos Completos'!$D$7:$D$5000, C23))</f>
        <v>1960</v>
      </c>
      <c r="G23" s="18">
        <f t="shared" si="0"/>
        <v>2140</v>
      </c>
      <c r="H23" s="19">
        <f>IF(B23="","",SUMIFS('📈 Datos Completos'!$I$7:$I$5000, '📈 Datos Completos'!$B$7:$B$5000, B23, '📈 Datos Completos'!$D$7:$D$5000, C23))</f>
        <v>4245.6000000000004</v>
      </c>
      <c r="I23" s="19">
        <f t="shared" si="1"/>
        <v>2889</v>
      </c>
      <c r="J23" s="19">
        <f t="shared" si="2"/>
        <v>7134.6</v>
      </c>
      <c r="K23" s="19">
        <f>IF(B23="","",IF(C23="DIA", (SUMIFS('📋 Detalle Diario'!$D$5:$D$489, '📋 Detalle Diario'!$B$5:$B$489, B23, '📋 Detalle Diario'!$C$5:$C$489, C23) * '⚙️ Supuestos'!$C$24) + '⚙️ Supuestos'!$C$23, (SUMIFS('📋 Detalle Diario'!$D$5:$D$489, '📋 Detalle Diario'!$B$5:$B$489, B23, '📋 Detalle Diario'!$C$5:$C$489, C23) * '⚙️ Supuestos'!$C$24) + '⚙️ Supuestos'!$C$33))</f>
        <v>4935.2170000000006</v>
      </c>
      <c r="L23" s="19">
        <f t="shared" si="3"/>
        <v>2199.3829999999998</v>
      </c>
      <c r="M23" s="20">
        <f t="shared" si="4"/>
        <v>0.30826998009699208</v>
      </c>
      <c r="N23" s="19">
        <f t="shared" si="5"/>
        <v>7.6325657284256119</v>
      </c>
      <c r="O23" s="25" t="str">
        <f t="shared" si="6"/>
        <v>2026-05</v>
      </c>
      <c r="P23" s="19">
        <f t="shared" si="7"/>
        <v>5127.8170000000009</v>
      </c>
      <c r="Q23" s="19">
        <f>IF(B23="","",J23-P23+(SUMIFS('📋 Detalle Diario'!$E$5:$E$489, '📋 Detalle Diario'!$B$5:$B$489, B23, '📋 Detalle Diario'!$C$5:$C$489, C23)*135)+(SUMIFS('📋 Detalle Diario'!$I$5:$I$489, '📋 Detalle Diario'!$B$5:$B$489, B23, '📋 Detalle Diario'!$C$5:$C$489, C23)*200))</f>
        <v>2006.7829999999994</v>
      </c>
      <c r="R23" s="20">
        <f t="shared" si="8"/>
        <v>0.28127477363832581</v>
      </c>
    </row>
    <row r="24" spans="2:18" ht="18" customHeight="1" x14ac:dyDescent="0.25">
      <c r="B24" s="26" t="s">
        <v>84</v>
      </c>
      <c r="C24" s="27" t="s">
        <v>72</v>
      </c>
      <c r="D24" s="18">
        <f>IF(B24="","",SUMIFS('📈 Datos Completos'!$E$7:$E$5000, '📈 Datos Completos'!$B$7:$B$5000, B24, '📈 Datos Completos'!$D$7:$D$5000, C24))</f>
        <v>286</v>
      </c>
      <c r="E24" s="18">
        <f>IF(B24="","",SUMIFS('📈 Datos Completos'!$F$7:$F$5000, '📈 Datos Completos'!$B$7:$B$5000, B24, '📈 Datos Completos'!$D$7:$D$5000, C24))</f>
        <v>270</v>
      </c>
      <c r="F24" s="18">
        <f>IF(B24="","",SUMIFS('📈 Datos Completos'!$G$7:$G$5000, '📈 Datos Completos'!$B$7:$B$5000, B24, '📈 Datos Completos'!$D$7:$D$5000, C24))</f>
        <v>540</v>
      </c>
      <c r="G24" s="18">
        <f t="shared" si="0"/>
        <v>810</v>
      </c>
      <c r="H24" s="19">
        <f>IF(B24="","",SUMIFS('📈 Datos Completos'!$I$7:$I$5000, '📈 Datos Completos'!$B$7:$B$5000, B24, '📈 Datos Completos'!$D$7:$D$5000, C24))</f>
        <v>1940.3999999999999</v>
      </c>
      <c r="I24" s="19">
        <f t="shared" si="1"/>
        <v>818.1</v>
      </c>
      <c r="J24" s="19">
        <f t="shared" si="2"/>
        <v>2758.5</v>
      </c>
      <c r="K24" s="19">
        <f>IF(B24="","",IF(C24="DIA", (SUMIFS('📋 Detalle Diario'!$D$5:$D$489, '📋 Detalle Diario'!$B$5:$B$489, B24, '📋 Detalle Diario'!$C$5:$C$489, C24) * '⚙️ Supuestos'!$C$24) + '⚙️ Supuestos'!$C$23, (SUMIFS('📋 Detalle Diario'!$D$5:$D$489, '📋 Detalle Diario'!$B$5:$B$489, B24, '📋 Detalle Diario'!$C$5:$C$489, C24) * '⚙️ Supuestos'!$C$24) + '⚙️ Supuestos'!$C$33))</f>
        <v>5044.5503333333336</v>
      </c>
      <c r="L24" s="19">
        <f t="shared" si="3"/>
        <v>-2286.0503333333336</v>
      </c>
      <c r="M24" s="20">
        <f t="shared" si="4"/>
        <v>-0.82872950274907875</v>
      </c>
      <c r="N24" s="19">
        <f t="shared" si="5"/>
        <v>17.638287878787878</v>
      </c>
      <c r="O24" s="27" t="str">
        <f t="shared" si="6"/>
        <v>2026-05</v>
      </c>
      <c r="P24" s="19">
        <f t="shared" si="7"/>
        <v>5117.4503333333332</v>
      </c>
      <c r="Q24" s="19">
        <f>IF(B24="","",J24-P24+(SUMIFS('📋 Detalle Diario'!$E$5:$E$489, '📋 Detalle Diario'!$B$5:$B$489, B24, '📋 Detalle Diario'!$C$5:$C$489, C24)*135)+(SUMIFS('📋 Detalle Diario'!$I$5:$I$489, '📋 Detalle Diario'!$B$5:$B$489, B24, '📋 Detalle Diario'!$C$5:$C$489, C24)*200))</f>
        <v>-2358.9503333333332</v>
      </c>
      <c r="R24" s="20">
        <f t="shared" si="8"/>
        <v>-0.85515690894809981</v>
      </c>
    </row>
    <row r="25" spans="2:18" ht="18" customHeight="1" x14ac:dyDescent="0.25">
      <c r="B25" s="24" t="s">
        <v>84</v>
      </c>
      <c r="C25" s="25" t="s">
        <v>73</v>
      </c>
      <c r="D25" s="18">
        <f>IF(B25="","",SUMIFS('📈 Datos Completos'!$E$7:$E$5000, '📈 Datos Completos'!$B$7:$B$5000, B25, '📈 Datos Completos'!$D$7:$D$5000, C25))</f>
        <v>382.4</v>
      </c>
      <c r="E25" s="18">
        <f>IF(B25="","",SUMIFS('📈 Datos Completos'!$F$7:$F$5000, '📈 Datos Completos'!$B$7:$B$5000, B25, '📈 Datos Completos'!$D$7:$D$5000, C25))</f>
        <v>1500</v>
      </c>
      <c r="F25" s="18">
        <f>IF(B25="","",SUMIFS('📈 Datos Completos'!$G$7:$G$5000, '📈 Datos Completos'!$B$7:$B$5000, B25, '📈 Datos Completos'!$D$7:$D$5000, C25))</f>
        <v>1520</v>
      </c>
      <c r="G25" s="18">
        <f t="shared" si="0"/>
        <v>3020</v>
      </c>
      <c r="H25" s="19">
        <f>IF(B25="","",SUMIFS('📈 Datos Completos'!$I$7:$I$5000, '📈 Datos Completos'!$B$7:$B$5000, B25, '📈 Datos Completos'!$D$7:$D$5000, C25))</f>
        <v>3056.7</v>
      </c>
      <c r="I25" s="19">
        <f t="shared" si="1"/>
        <v>4077.0000000000005</v>
      </c>
      <c r="J25" s="19">
        <f t="shared" si="2"/>
        <v>7133.7000000000007</v>
      </c>
      <c r="K25" s="19">
        <f>IF(B25="","",IF(C25="DIA", (SUMIFS('📋 Detalle Diario'!$D$5:$D$489, '📋 Detalle Diario'!$B$5:$B$489, B25, '📋 Detalle Diario'!$C$5:$C$489, C25) * '⚙️ Supuestos'!$C$24) + '⚙️ Supuestos'!$C$23, (SUMIFS('📋 Detalle Diario'!$D$5:$D$489, '📋 Detalle Diario'!$B$5:$B$489, B25, '📋 Detalle Diario'!$C$5:$C$489, C25) * '⚙️ Supuestos'!$C$24) + '⚙️ Supuestos'!$C$33))</f>
        <v>4935.2170000000006</v>
      </c>
      <c r="L25" s="19">
        <f t="shared" si="3"/>
        <v>2198.4830000000002</v>
      </c>
      <c r="M25" s="20">
        <f t="shared" si="4"/>
        <v>0.30818271023452065</v>
      </c>
      <c r="N25" s="19">
        <f t="shared" si="5"/>
        <v>12.905902196652722</v>
      </c>
      <c r="O25" s="25" t="str">
        <f t="shared" si="6"/>
        <v>2026-05</v>
      </c>
      <c r="P25" s="19">
        <f t="shared" si="7"/>
        <v>5207.0170000000007</v>
      </c>
      <c r="Q25" s="19">
        <f>IF(B25="","",J25-P25+(SUMIFS('📋 Detalle Diario'!$E$5:$E$489, '📋 Detalle Diario'!$B$5:$B$489, B25, '📋 Detalle Diario'!$C$5:$C$489, C25)*135)+(SUMIFS('📋 Detalle Diario'!$I$5:$I$489, '📋 Detalle Diario'!$B$5:$B$489, B25, '📋 Detalle Diario'!$C$5:$C$489, C25)*200))</f>
        <v>1926.683</v>
      </c>
      <c r="R25" s="20">
        <f t="shared" si="8"/>
        <v>0.270081864950867</v>
      </c>
    </row>
    <row r="26" spans="2:18" ht="18" customHeight="1" x14ac:dyDescent="0.25">
      <c r="B26" s="26" t="s">
        <v>85</v>
      </c>
      <c r="C26" s="27" t="s">
        <v>72</v>
      </c>
      <c r="D26" s="18">
        <f>IF(B26="","",SUMIFS('📈 Datos Completos'!$E$7:$E$5000, '📈 Datos Completos'!$B$7:$B$5000, B26, '📈 Datos Completos'!$D$7:$D$5000, C26))</f>
        <v>800.5</v>
      </c>
      <c r="E26" s="18">
        <f>IF(B26="","",SUMIFS('📈 Datos Completos'!$F$7:$F$5000, '📈 Datos Completos'!$B$7:$B$5000, B26, '📈 Datos Completos'!$D$7:$D$5000, C26))</f>
        <v>675</v>
      </c>
      <c r="F26" s="18">
        <f>IF(B26="","",SUMIFS('📈 Datos Completos'!$G$7:$G$5000, '📈 Datos Completos'!$B$7:$B$5000, B26, '📈 Datos Completos'!$D$7:$D$5000, C26))</f>
        <v>2790</v>
      </c>
      <c r="G26" s="18">
        <f t="shared" si="0"/>
        <v>3465</v>
      </c>
      <c r="H26" s="19">
        <f>IF(B26="","",SUMIFS('📈 Datos Completos'!$I$7:$I$5000, '📈 Datos Completos'!$B$7:$B$5000, B26, '📈 Datos Completos'!$D$7:$D$5000, C26))</f>
        <v>3965.6999999999994</v>
      </c>
      <c r="I26" s="19">
        <f t="shared" si="1"/>
        <v>3499.65</v>
      </c>
      <c r="J26" s="19">
        <f t="shared" si="2"/>
        <v>7465.3499999999995</v>
      </c>
      <c r="K26" s="19">
        <f>IF(B26="","",IF(C26="DIA", (SUMIFS('📋 Detalle Diario'!$D$5:$D$489, '📋 Detalle Diario'!$B$5:$B$489, B26, '📋 Detalle Diario'!$C$5:$C$489, C26) * '⚙️ Supuestos'!$C$24) + '⚙️ Supuestos'!$C$23, (SUMIFS('📋 Detalle Diario'!$D$5:$D$489, '📋 Detalle Diario'!$B$5:$B$489, B26, '📋 Detalle Diario'!$C$5:$C$489, C26) * '⚙️ Supuestos'!$C$24) + '⚙️ Supuestos'!$C$33))</f>
        <v>5044.5503333333336</v>
      </c>
      <c r="L26" s="19">
        <f t="shared" si="3"/>
        <v>2420.7996666666659</v>
      </c>
      <c r="M26" s="20">
        <f t="shared" si="4"/>
        <v>0.32427142286251359</v>
      </c>
      <c r="N26" s="19">
        <f t="shared" si="5"/>
        <v>6.30174932333958</v>
      </c>
      <c r="O26" s="27" t="str">
        <f t="shared" si="6"/>
        <v>2026-05</v>
      </c>
      <c r="P26" s="19">
        <f t="shared" si="7"/>
        <v>5356.4003333333339</v>
      </c>
      <c r="Q26" s="19">
        <f>IF(B26="","",J26-P26+(SUMIFS('📋 Detalle Diario'!$E$5:$E$489, '📋 Detalle Diario'!$B$5:$B$489, B26, '📋 Detalle Diario'!$C$5:$C$489, C26)*135)+(SUMIFS('📋 Detalle Diario'!$I$5:$I$489, '📋 Detalle Diario'!$B$5:$B$489, B26, '📋 Detalle Diario'!$C$5:$C$489, C26)*200))</f>
        <v>2108.9496666666655</v>
      </c>
      <c r="R26" s="20">
        <f t="shared" si="8"/>
        <v>0.28249843164307981</v>
      </c>
    </row>
    <row r="27" spans="2:18" ht="18" customHeight="1" x14ac:dyDescent="0.25">
      <c r="B27" s="24" t="s">
        <v>85</v>
      </c>
      <c r="C27" s="25" t="s">
        <v>73</v>
      </c>
      <c r="D27" s="18">
        <f>IF(B27="","",SUMIFS('📈 Datos Completos'!$E$7:$E$5000, '📈 Datos Completos'!$B$7:$B$5000, B27, '📈 Datos Completos'!$D$7:$D$5000, C27))</f>
        <v>774.7</v>
      </c>
      <c r="E27" s="18">
        <f>IF(B27="","",SUMIFS('📈 Datos Completos'!$F$7:$F$5000, '📈 Datos Completos'!$B$7:$B$5000, B27, '📈 Datos Completos'!$D$7:$D$5000, C27))</f>
        <v>330</v>
      </c>
      <c r="F27" s="18">
        <f>IF(B27="","",SUMIFS('📈 Datos Completos'!$G$7:$G$5000, '📈 Datos Completos'!$B$7:$B$5000, B27, '📈 Datos Completos'!$D$7:$D$5000, C27))</f>
        <v>3038</v>
      </c>
      <c r="G27" s="18">
        <f t="shared" si="0"/>
        <v>3368</v>
      </c>
      <c r="H27" s="19">
        <f>IF(B27="","",SUMIFS('📈 Datos Completos'!$I$7:$I$5000, '📈 Datos Completos'!$B$7:$B$5000, B27, '📈 Datos Completos'!$D$7:$D$5000, C27))</f>
        <v>5512.4400000000005</v>
      </c>
      <c r="I27" s="19">
        <f t="shared" si="1"/>
        <v>4546.8</v>
      </c>
      <c r="J27" s="19">
        <f t="shared" si="2"/>
        <v>10059.240000000002</v>
      </c>
      <c r="K27" s="19">
        <f>IF(B27="","",IF(C27="DIA", (SUMIFS('📋 Detalle Diario'!$D$5:$D$489, '📋 Detalle Diario'!$B$5:$B$489, B27, '📋 Detalle Diario'!$C$5:$C$489, C27) * '⚙️ Supuestos'!$C$24) + '⚙️ Supuestos'!$C$23, (SUMIFS('📋 Detalle Diario'!$D$5:$D$489, '📋 Detalle Diario'!$B$5:$B$489, B27, '📋 Detalle Diario'!$C$5:$C$489, C27) * '⚙️ Supuestos'!$C$24) + '⚙️ Supuestos'!$C$33))</f>
        <v>4935.2170000000006</v>
      </c>
      <c r="L27" s="19">
        <f t="shared" si="3"/>
        <v>5124.023000000001</v>
      </c>
      <c r="M27" s="20">
        <f t="shared" si="4"/>
        <v>0.50938470500753541</v>
      </c>
      <c r="N27" s="19">
        <f t="shared" si="5"/>
        <v>6.3704879308119278</v>
      </c>
      <c r="O27" s="25" t="str">
        <f t="shared" si="6"/>
        <v>2026-05</v>
      </c>
      <c r="P27" s="19">
        <f t="shared" si="7"/>
        <v>5238.3370000000004</v>
      </c>
      <c r="Q27" s="19">
        <f>IF(B27="","",J27-P27+(SUMIFS('📋 Detalle Diario'!$E$5:$E$489, '📋 Detalle Diario'!$B$5:$B$489, B27, '📋 Detalle Diario'!$C$5:$C$489, C27)*135)+(SUMIFS('📋 Detalle Diario'!$I$5:$I$489, '📋 Detalle Diario'!$B$5:$B$489, B27, '📋 Detalle Diario'!$C$5:$C$489, C27)*200))</f>
        <v>4820.9030000000012</v>
      </c>
      <c r="R27" s="20">
        <f t="shared" si="8"/>
        <v>0.47925121579761498</v>
      </c>
    </row>
    <row r="28" spans="2:18" ht="18" customHeight="1" x14ac:dyDescent="0.25">
      <c r="B28" s="26" t="s">
        <v>86</v>
      </c>
      <c r="C28" s="27" t="s">
        <v>72</v>
      </c>
      <c r="D28" s="18">
        <f>IF(B28="","",SUMIFS('📈 Datos Completos'!$E$7:$E$5000, '📈 Datos Completos'!$B$7:$B$5000, B28, '📈 Datos Completos'!$D$7:$D$5000, C28))</f>
        <v>728</v>
      </c>
      <c r="E28" s="18">
        <f>IF(B28="","",SUMIFS('📈 Datos Completos'!$F$7:$F$5000, '📈 Datos Completos'!$B$7:$B$5000, B28, '📈 Datos Completos'!$D$7:$D$5000, C28))</f>
        <v>720</v>
      </c>
      <c r="F28" s="18">
        <f>IF(B28="","",SUMIFS('📈 Datos Completos'!$G$7:$G$5000, '📈 Datos Completos'!$B$7:$B$5000, B28, '📈 Datos Completos'!$D$7:$D$5000, C28))</f>
        <v>2160</v>
      </c>
      <c r="G28" s="18">
        <f t="shared" si="0"/>
        <v>2880</v>
      </c>
      <c r="H28" s="19">
        <f>IF(B28="","",SUMIFS('📈 Datos Completos'!$I$7:$I$5000, '📈 Datos Completos'!$B$7:$B$5000, B28, '📈 Datos Completos'!$D$7:$D$5000, C28))</f>
        <v>3614.3999999999996</v>
      </c>
      <c r="I28" s="19">
        <f t="shared" si="1"/>
        <v>2908.8</v>
      </c>
      <c r="J28" s="19">
        <f t="shared" si="2"/>
        <v>6523.2</v>
      </c>
      <c r="K28" s="19">
        <f>IF(B28="","",IF(C28="DIA", (SUMIFS('📋 Detalle Diario'!$D$5:$D$489, '📋 Detalle Diario'!$B$5:$B$489, B28, '📋 Detalle Diario'!$C$5:$C$489, C28) * '⚙️ Supuestos'!$C$24) + '⚙️ Supuestos'!$C$23, (SUMIFS('📋 Detalle Diario'!$D$5:$D$489, '📋 Detalle Diario'!$B$5:$B$489, B28, '📋 Detalle Diario'!$C$5:$C$489, C28) * '⚙️ Supuestos'!$C$24) + '⚙️ Supuestos'!$C$33))</f>
        <v>5044.5503333333336</v>
      </c>
      <c r="L28" s="19">
        <f t="shared" si="3"/>
        <v>1478.6496666666662</v>
      </c>
      <c r="M28" s="20">
        <f t="shared" si="4"/>
        <v>0.22667550690867461</v>
      </c>
      <c r="N28" s="19">
        <f t="shared" si="5"/>
        <v>6.9293273809523814</v>
      </c>
      <c r="O28" s="27" t="str">
        <f t="shared" si="6"/>
        <v>2026-05</v>
      </c>
      <c r="P28" s="19">
        <f t="shared" si="7"/>
        <v>5303.7503333333334</v>
      </c>
      <c r="Q28" s="19">
        <f>IF(B28="","",J28-P28+(SUMIFS('📋 Detalle Diario'!$E$5:$E$489, '📋 Detalle Diario'!$B$5:$B$489, B28, '📋 Detalle Diario'!$C$5:$C$489, C28)*135)+(SUMIFS('📋 Detalle Diario'!$I$5:$I$489, '📋 Detalle Diario'!$B$5:$B$489, B28, '📋 Detalle Diario'!$C$5:$C$489, C28)*200))</f>
        <v>1219.4496666666664</v>
      </c>
      <c r="R28" s="20">
        <f t="shared" si="8"/>
        <v>0.18694040757092631</v>
      </c>
    </row>
    <row r="29" spans="2:18" ht="18" customHeight="1" x14ac:dyDescent="0.25">
      <c r="B29" s="24" t="s">
        <v>86</v>
      </c>
      <c r="C29" s="25" t="s">
        <v>73</v>
      </c>
      <c r="D29" s="18">
        <f>IF(B29="","",SUMIFS('📈 Datos Completos'!$E$7:$E$5000, '📈 Datos Completos'!$B$7:$B$5000, B29, '📈 Datos Completos'!$D$7:$D$5000, C29))</f>
        <v>1082</v>
      </c>
      <c r="E29" s="18">
        <f>IF(B29="","",SUMIFS('📈 Datos Completos'!$F$7:$F$5000, '📈 Datos Completos'!$B$7:$B$5000, B29, '📈 Datos Completos'!$D$7:$D$5000, C29))</f>
        <v>1234</v>
      </c>
      <c r="F29" s="18">
        <f>IF(B29="","",SUMIFS('📈 Datos Completos'!$G$7:$G$5000, '📈 Datos Completos'!$B$7:$B$5000, B29, '📈 Datos Completos'!$D$7:$D$5000, C29))</f>
        <v>2690</v>
      </c>
      <c r="G29" s="18">
        <f t="shared" si="0"/>
        <v>3924</v>
      </c>
      <c r="H29" s="19">
        <f>IF(B29="","",SUMIFS('📈 Datos Completos'!$I$7:$I$5000, '📈 Datos Completos'!$B$7:$B$5000, B29, '📈 Datos Completos'!$D$7:$D$5000, C29))</f>
        <v>6518.46</v>
      </c>
      <c r="I29" s="19">
        <f t="shared" si="1"/>
        <v>5297.4000000000005</v>
      </c>
      <c r="J29" s="19">
        <f t="shared" si="2"/>
        <v>11815.86</v>
      </c>
      <c r="K29" s="19">
        <f>IF(B29="","",IF(C29="DIA", (SUMIFS('📋 Detalle Diario'!$D$5:$D$489, '📋 Detalle Diario'!$B$5:$B$489, B29, '📋 Detalle Diario'!$C$5:$C$489, C29) * '⚙️ Supuestos'!$C$24) + '⚙️ Supuestos'!$C$23, (SUMIFS('📋 Detalle Diario'!$D$5:$D$489, '📋 Detalle Diario'!$B$5:$B$489, B29, '📋 Detalle Diario'!$C$5:$C$489, C29) * '⚙️ Supuestos'!$C$24) + '⚙️ Supuestos'!$C$33))</f>
        <v>4935.2170000000006</v>
      </c>
      <c r="L29" s="19">
        <f t="shared" si="3"/>
        <v>6880.643</v>
      </c>
      <c r="M29" s="20">
        <f t="shared" si="4"/>
        <v>0.58232265785139636</v>
      </c>
      <c r="N29" s="19">
        <f t="shared" si="5"/>
        <v>4.561198706099816</v>
      </c>
      <c r="O29" s="25" t="str">
        <f t="shared" si="6"/>
        <v>2026-05</v>
      </c>
      <c r="P29" s="19">
        <f t="shared" si="7"/>
        <v>5288.3770000000004</v>
      </c>
      <c r="Q29" s="19">
        <f>IF(B29="","",J29-P29+(SUMIFS('📋 Detalle Diario'!$E$5:$E$489, '📋 Detalle Diario'!$B$5:$B$489, B29, '📋 Detalle Diario'!$C$5:$C$489, C29)*135)+(SUMIFS('📋 Detalle Diario'!$I$5:$I$489, '📋 Detalle Diario'!$B$5:$B$489, B29, '📋 Detalle Diario'!$C$5:$C$489, C29)*200))</f>
        <v>6527.4830000000002</v>
      </c>
      <c r="R29" s="20">
        <f t="shared" si="8"/>
        <v>0.5524340166521946</v>
      </c>
    </row>
    <row r="30" spans="2:18" ht="18" customHeight="1" x14ac:dyDescent="0.25">
      <c r="B30" s="26" t="s">
        <v>87</v>
      </c>
      <c r="C30" s="27" t="s">
        <v>72</v>
      </c>
      <c r="D30" s="18">
        <f>IF(B30="","",SUMIFS('📈 Datos Completos'!$E$7:$E$5000, '📈 Datos Completos'!$B$7:$B$5000, B30, '📈 Datos Completos'!$D$7:$D$5000, C30))</f>
        <v>238</v>
      </c>
      <c r="E30" s="18">
        <f>IF(B30="","",SUMIFS('📈 Datos Completos'!$F$7:$F$5000, '📈 Datos Completos'!$B$7:$B$5000, B30, '📈 Datos Completos'!$D$7:$D$5000, C30))</f>
        <v>0</v>
      </c>
      <c r="F30" s="18">
        <f>IF(B30="","",SUMIFS('📈 Datos Completos'!$G$7:$G$5000, '📈 Datos Completos'!$B$7:$B$5000, B30, '📈 Datos Completos'!$D$7:$D$5000, C30))</f>
        <v>1352</v>
      </c>
      <c r="G30" s="18">
        <f t="shared" si="0"/>
        <v>1352</v>
      </c>
      <c r="H30" s="19">
        <f>IF(B30="","",SUMIFS('📈 Datos Completos'!$I$7:$I$5000, '📈 Datos Completos'!$B$7:$B$5000, B30, '📈 Datos Completos'!$D$7:$D$5000, C30))</f>
        <v>2937.84</v>
      </c>
      <c r="I30" s="19">
        <f t="shared" si="1"/>
        <v>1365.52</v>
      </c>
      <c r="J30" s="19">
        <f t="shared" si="2"/>
        <v>4303.3600000000006</v>
      </c>
      <c r="K30" s="19">
        <f>IF(B30="","",IF(C30="DIA", (SUMIFS('📋 Detalle Diario'!$D$5:$D$489, '📋 Detalle Diario'!$B$5:$B$489, B30, '📋 Detalle Diario'!$C$5:$C$489, C30) * '⚙️ Supuestos'!$C$24) + '⚙️ Supuestos'!$C$23, (SUMIFS('📋 Detalle Diario'!$D$5:$D$489, '📋 Detalle Diario'!$B$5:$B$489, B30, '📋 Detalle Diario'!$C$5:$C$489, C30) * '⚙️ Supuestos'!$C$24) + '⚙️ Supuestos'!$C$33))</f>
        <v>5044.5503333333336</v>
      </c>
      <c r="L30" s="19">
        <f t="shared" si="3"/>
        <v>-741.190333333333</v>
      </c>
      <c r="M30" s="20">
        <f t="shared" si="4"/>
        <v>-0.17223526112928803</v>
      </c>
      <c r="N30" s="19">
        <f t="shared" si="5"/>
        <v>21.195589635854343</v>
      </c>
      <c r="O30" s="27" t="str">
        <f t="shared" si="6"/>
        <v>2026-05</v>
      </c>
      <c r="P30" s="19">
        <f t="shared" si="7"/>
        <v>5166.2303333333339</v>
      </c>
      <c r="Q30" s="19">
        <f>IF(B30="","",J30-P30+(SUMIFS('📋 Detalle Diario'!$E$5:$E$489, '📋 Detalle Diario'!$B$5:$B$489, B30, '📋 Detalle Diario'!$C$5:$C$489, C30)*135)+(SUMIFS('📋 Detalle Diario'!$I$5:$I$489, '📋 Detalle Diario'!$B$5:$B$489, B30, '📋 Detalle Diario'!$C$5:$C$489, C30)*200))</f>
        <v>-862.87033333333329</v>
      </c>
      <c r="R30" s="20">
        <f t="shared" si="8"/>
        <v>-0.20051084114118575</v>
      </c>
    </row>
    <row r="31" spans="2:18" ht="18" customHeight="1" x14ac:dyDescent="0.25">
      <c r="B31" s="24" t="s">
        <v>87</v>
      </c>
      <c r="C31" s="25" t="s">
        <v>73</v>
      </c>
      <c r="D31" s="18">
        <f>IF(B31="","",SUMIFS('📈 Datos Completos'!$E$7:$E$5000, '📈 Datos Completos'!$B$7:$B$5000, B31, '📈 Datos Completos'!$D$7:$D$5000, C31))</f>
        <v>1137</v>
      </c>
      <c r="E31" s="18">
        <f>IF(B31="","",SUMIFS('📈 Datos Completos'!$F$7:$F$5000, '📈 Datos Completos'!$B$7:$B$5000, B31, '📈 Datos Completos'!$D$7:$D$5000, C31))</f>
        <v>1137</v>
      </c>
      <c r="F31" s="18">
        <f>IF(B31="","",SUMIFS('📈 Datos Completos'!$G$7:$G$5000, '📈 Datos Completos'!$B$7:$B$5000, B31, '📈 Datos Completos'!$D$7:$D$5000, C31))</f>
        <v>2658</v>
      </c>
      <c r="G31" s="18">
        <f t="shared" si="0"/>
        <v>3795</v>
      </c>
      <c r="H31" s="19">
        <f>IF(B31="","",SUMIFS('📈 Datos Completos'!$I$7:$I$5000, '📈 Datos Completos'!$B$7:$B$5000, B31, '📈 Datos Completos'!$D$7:$D$5000, C31))</f>
        <v>6856.1100000000006</v>
      </c>
      <c r="I31" s="19">
        <f t="shared" si="1"/>
        <v>5123.25</v>
      </c>
      <c r="J31" s="19">
        <f t="shared" si="2"/>
        <v>11979.36</v>
      </c>
      <c r="K31" s="19">
        <f>IF(B31="","",IF(C31="DIA", (SUMIFS('📋 Detalle Diario'!$D$5:$D$489, '📋 Detalle Diario'!$B$5:$B$489, B31, '📋 Detalle Diario'!$C$5:$C$489, C31) * '⚙️ Supuestos'!$C$24) + '⚙️ Supuestos'!$C$23, (SUMIFS('📋 Detalle Diario'!$D$5:$D$489, '📋 Detalle Diario'!$B$5:$B$489, B31, '📋 Detalle Diario'!$C$5:$C$489, C31) * '⚙️ Supuestos'!$C$24) + '⚙️ Supuestos'!$C$33))</f>
        <v>4935.2170000000006</v>
      </c>
      <c r="L31" s="19">
        <f t="shared" si="3"/>
        <v>7044.143</v>
      </c>
      <c r="M31" s="20">
        <f t="shared" si="4"/>
        <v>0.58802331677151365</v>
      </c>
      <c r="N31" s="19">
        <f t="shared" si="5"/>
        <v>4.3405602462620934</v>
      </c>
      <c r="O31" s="25" t="str">
        <f t="shared" si="6"/>
        <v>2026-05</v>
      </c>
      <c r="P31" s="19">
        <f t="shared" si="7"/>
        <v>5276.7670000000007</v>
      </c>
      <c r="Q31" s="19">
        <f>IF(B31="","",J31-P31+(SUMIFS('📋 Detalle Diario'!$E$5:$E$489, '📋 Detalle Diario'!$B$5:$B$489, B31, '📋 Detalle Diario'!$C$5:$C$489, C31)*135)+(SUMIFS('📋 Detalle Diario'!$I$5:$I$489, '📋 Detalle Diario'!$B$5:$B$489, B31, '📋 Detalle Diario'!$C$5:$C$489, C31)*200))</f>
        <v>6702.5929999999998</v>
      </c>
      <c r="R31" s="20">
        <f t="shared" si="8"/>
        <v>0.55951177692297416</v>
      </c>
    </row>
    <row r="32" spans="2:18" ht="18" customHeight="1" x14ac:dyDescent="0.25">
      <c r="B32" s="26" t="s">
        <v>88</v>
      </c>
      <c r="C32" s="27" t="s">
        <v>72</v>
      </c>
      <c r="D32" s="18">
        <f>IF(B32="","",SUMIFS('📈 Datos Completos'!$E$7:$E$5000, '📈 Datos Completos'!$B$7:$B$5000, B32, '📈 Datos Completos'!$D$7:$D$5000, C32))</f>
        <v>184</v>
      </c>
      <c r="E32" s="18">
        <f>IF(B32="","",SUMIFS('📈 Datos Completos'!$F$7:$F$5000, '📈 Datos Completos'!$B$7:$B$5000, B32, '📈 Datos Completos'!$D$7:$D$5000, C32))</f>
        <v>21</v>
      </c>
      <c r="F32" s="18">
        <f>IF(B32="","",SUMIFS('📈 Datos Completos'!$G$7:$G$5000, '📈 Datos Completos'!$B$7:$B$5000, B32, '📈 Datos Completos'!$D$7:$D$5000, C32))</f>
        <v>1522</v>
      </c>
      <c r="G32" s="18">
        <f t="shared" si="0"/>
        <v>1543</v>
      </c>
      <c r="H32" s="19">
        <f>IF(B32="","",SUMIFS('📈 Datos Completos'!$I$7:$I$5000, '📈 Datos Completos'!$B$7:$B$5000, B32, '📈 Datos Completos'!$D$7:$D$5000, C32))</f>
        <v>1070.7199999999998</v>
      </c>
      <c r="I32" s="19">
        <f t="shared" si="1"/>
        <v>1558.43</v>
      </c>
      <c r="J32" s="19">
        <f t="shared" si="2"/>
        <v>2629.1499999999996</v>
      </c>
      <c r="K32" s="19">
        <f>IF(B32="","",IF(C32="DIA", (SUMIFS('📋 Detalle Diario'!$D$5:$D$489, '📋 Detalle Diario'!$B$5:$B$489, B32, '📋 Detalle Diario'!$C$5:$C$489, C32) * '⚙️ Supuestos'!$C$24) + '⚙️ Supuestos'!$C$23, (SUMIFS('📋 Detalle Diario'!$D$5:$D$489, '📋 Detalle Diario'!$B$5:$B$489, B32, '📋 Detalle Diario'!$C$5:$C$489, C32) * '⚙️ Supuestos'!$C$24) + '⚙️ Supuestos'!$C$33))</f>
        <v>5044.5503333333336</v>
      </c>
      <c r="L32" s="19">
        <f t="shared" si="3"/>
        <v>-2415.4003333333339</v>
      </c>
      <c r="M32" s="20">
        <f t="shared" si="4"/>
        <v>-0.91870008684682669</v>
      </c>
      <c r="N32" s="19">
        <f t="shared" si="5"/>
        <v>27.416034420289858</v>
      </c>
      <c r="O32" s="27" t="str">
        <f t="shared" si="6"/>
        <v>2026-05</v>
      </c>
      <c r="P32" s="19">
        <f t="shared" si="7"/>
        <v>5183.4203333333335</v>
      </c>
      <c r="Q32" s="19">
        <f>IF(B32="","",J32-P32+(SUMIFS('📋 Detalle Diario'!$E$5:$E$489, '📋 Detalle Diario'!$B$5:$B$489, B32, '📋 Detalle Diario'!$C$5:$C$489, C32)*135)+(SUMIFS('📋 Detalle Diario'!$I$5:$I$489, '📋 Detalle Diario'!$B$5:$B$489, B32, '📋 Detalle Diario'!$C$5:$C$489, C32)*200))</f>
        <v>-2554.2703333333338</v>
      </c>
      <c r="R32" s="20">
        <f t="shared" si="8"/>
        <v>-0.97151943910896454</v>
      </c>
    </row>
    <row r="33" spans="2:18" ht="18" customHeight="1" x14ac:dyDescent="0.25">
      <c r="B33" s="24" t="s">
        <v>89</v>
      </c>
      <c r="C33" s="25" t="s">
        <v>72</v>
      </c>
      <c r="D33" s="18">
        <f>IF(B33="","",SUMIFS('📈 Datos Completos'!$E$7:$E$5000, '📈 Datos Completos'!$B$7:$B$5000, B33, '📈 Datos Completos'!$D$7:$D$5000, C33))</f>
        <v>945</v>
      </c>
      <c r="E33" s="18">
        <f>IF(B33="","",SUMIFS('📈 Datos Completos'!$F$7:$F$5000, '📈 Datos Completos'!$B$7:$B$5000, B33, '📈 Datos Completos'!$D$7:$D$5000, C33))</f>
        <v>945</v>
      </c>
      <c r="F33" s="18">
        <f>IF(B33="","",SUMIFS('📈 Datos Completos'!$G$7:$G$5000, '📈 Datos Completos'!$B$7:$B$5000, B33, '📈 Datos Completos'!$D$7:$D$5000, C33))</f>
        <v>1890</v>
      </c>
      <c r="G33" s="18">
        <f t="shared" si="0"/>
        <v>2835</v>
      </c>
      <c r="H33" s="19">
        <f>IF(B33="","",SUMIFS('📈 Datos Completos'!$I$7:$I$5000, '📈 Datos Completos'!$B$7:$B$5000, B33, '📈 Datos Completos'!$D$7:$D$5000, C33))</f>
        <v>4271.3999999999996</v>
      </c>
      <c r="I33" s="19">
        <f t="shared" si="1"/>
        <v>2863.35</v>
      </c>
      <c r="J33" s="19">
        <f t="shared" si="2"/>
        <v>7134.75</v>
      </c>
      <c r="K33" s="19">
        <f>IF(B33="","",IF(C33="DIA", (SUMIFS('📋 Detalle Diario'!$D$5:$D$489, '📋 Detalle Diario'!$B$5:$B$489, B33, '📋 Detalle Diario'!$C$5:$C$489, C33) * '⚙️ Supuestos'!$C$24) + '⚙️ Supuestos'!$C$23, (SUMIFS('📋 Detalle Diario'!$D$5:$D$489, '📋 Detalle Diario'!$B$5:$B$489, B33, '📋 Detalle Diario'!$C$5:$C$489, C33) * '⚙️ Supuestos'!$C$24) + '⚙️ Supuestos'!$C$33))</f>
        <v>5044.5503333333336</v>
      </c>
      <c r="L33" s="19">
        <f t="shared" si="3"/>
        <v>2090.1996666666664</v>
      </c>
      <c r="M33" s="20">
        <f t="shared" si="4"/>
        <v>0.29296046345935967</v>
      </c>
      <c r="N33" s="19">
        <f t="shared" si="5"/>
        <v>5.3381485008818341</v>
      </c>
      <c r="O33" s="25" t="str">
        <f t="shared" si="6"/>
        <v>2026-05</v>
      </c>
      <c r="P33" s="19">
        <f t="shared" si="7"/>
        <v>5299.7003333333332</v>
      </c>
      <c r="Q33" s="19">
        <f>IF(B33="","",J33-P33+(SUMIFS('📋 Detalle Diario'!$E$5:$E$489, '📋 Detalle Diario'!$B$5:$B$489, B33, '📋 Detalle Diario'!$C$5:$C$489, C33)*135)+(SUMIFS('📋 Detalle Diario'!$I$5:$I$489, '📋 Detalle Diario'!$B$5:$B$489, B33, '📋 Detalle Diario'!$C$5:$C$489, C33)*200))</f>
        <v>1835.0496666666668</v>
      </c>
      <c r="R33" s="20">
        <f t="shared" si="8"/>
        <v>0.25719887405538622</v>
      </c>
    </row>
    <row r="34" spans="2:18" ht="18" customHeight="1" x14ac:dyDescent="0.25">
      <c r="B34" s="26" t="s">
        <v>89</v>
      </c>
      <c r="C34" s="27" t="s">
        <v>73</v>
      </c>
      <c r="D34" s="18">
        <f>IF(B34="","",SUMIFS('📈 Datos Completos'!$E$7:$E$5000, '📈 Datos Completos'!$B$7:$B$5000, B34, '📈 Datos Completos'!$D$7:$D$5000, C34))</f>
        <v>991.1</v>
      </c>
      <c r="E34" s="18">
        <f>IF(B34="","",SUMIFS('📈 Datos Completos'!$F$7:$F$5000, '📈 Datos Completos'!$B$7:$B$5000, B34, '📈 Datos Completos'!$D$7:$D$5000, C34))</f>
        <v>990</v>
      </c>
      <c r="F34" s="18">
        <f>IF(B34="","",SUMIFS('📈 Datos Completos'!$G$7:$G$5000, '📈 Datos Completos'!$B$7:$B$5000, B34, '📈 Datos Completos'!$D$7:$D$5000, C34))</f>
        <v>2880</v>
      </c>
      <c r="G34" s="18">
        <f t="shared" si="0"/>
        <v>3870</v>
      </c>
      <c r="H34" s="19">
        <f>IF(B34="","",SUMIFS('📈 Datos Completos'!$I$7:$I$5000, '📈 Datos Completos'!$B$7:$B$5000, B34, '📈 Datos Completos'!$D$7:$D$5000, C34))</f>
        <v>6035.7000000000007</v>
      </c>
      <c r="I34" s="19">
        <f t="shared" si="1"/>
        <v>5224.5</v>
      </c>
      <c r="J34" s="19">
        <f t="shared" si="2"/>
        <v>11260.2</v>
      </c>
      <c r="K34" s="19">
        <f>IF(B34="","",IF(C34="DIA", (SUMIFS('📋 Detalle Diario'!$D$5:$D$489, '📋 Detalle Diario'!$B$5:$B$489, B34, '📋 Detalle Diario'!$C$5:$C$489, C34) * '⚙️ Supuestos'!$C$24) + '⚙️ Supuestos'!$C$23, (SUMIFS('📋 Detalle Diario'!$D$5:$D$489, '📋 Detalle Diario'!$B$5:$B$489, B34, '📋 Detalle Diario'!$C$5:$C$489, C34) * '⚙️ Supuestos'!$C$24) + '⚙️ Supuestos'!$C$33))</f>
        <v>4935.2170000000006</v>
      </c>
      <c r="L34" s="19">
        <f t="shared" si="3"/>
        <v>6324.9830000000002</v>
      </c>
      <c r="M34" s="20">
        <f t="shared" si="4"/>
        <v>0.56171142608479419</v>
      </c>
      <c r="N34" s="19">
        <f t="shared" si="5"/>
        <v>4.9795348602562814</v>
      </c>
      <c r="O34" s="27" t="str">
        <f t="shared" si="6"/>
        <v>2026-05</v>
      </c>
      <c r="P34" s="19">
        <f t="shared" si="7"/>
        <v>5283.5170000000007</v>
      </c>
      <c r="Q34" s="19">
        <f>IF(B34="","",J34-P34+(SUMIFS('📋 Detalle Diario'!$E$5:$E$489, '📋 Detalle Diario'!$B$5:$B$489, B34, '📋 Detalle Diario'!$C$5:$C$489, C34)*135)+(SUMIFS('📋 Detalle Diario'!$I$5:$I$489, '📋 Detalle Diario'!$B$5:$B$489, B34, '📋 Detalle Diario'!$C$5:$C$489, C34)*200))</f>
        <v>5976.683</v>
      </c>
      <c r="R34" s="20">
        <f t="shared" si="8"/>
        <v>0.53077947105735246</v>
      </c>
    </row>
    <row r="35" spans="2:18" ht="18" customHeight="1" x14ac:dyDescent="0.25">
      <c r="B35" s="24" t="s">
        <v>90</v>
      </c>
      <c r="C35" s="25" t="s">
        <v>72</v>
      </c>
      <c r="D35" s="18">
        <f>IF(B35="","",SUMIFS('📈 Datos Completos'!$E$7:$E$5000, '📈 Datos Completos'!$B$7:$B$5000, B35, '📈 Datos Completos'!$D$7:$D$5000, C35))</f>
        <v>1615</v>
      </c>
      <c r="E35" s="18">
        <f>IF(B35="","",SUMIFS('📈 Datos Completos'!$F$7:$F$5000, '📈 Datos Completos'!$B$7:$B$5000, B35, '📈 Datos Completos'!$D$7:$D$5000, C35))</f>
        <v>1215</v>
      </c>
      <c r="F35" s="18">
        <f>IF(B35="","",SUMIFS('📈 Datos Completos'!$G$7:$G$5000, '📈 Datos Completos'!$B$7:$B$5000, B35, '📈 Datos Completos'!$D$7:$D$5000, C35))</f>
        <v>2830</v>
      </c>
      <c r="G35" s="18">
        <f t="shared" si="0"/>
        <v>4045</v>
      </c>
      <c r="H35" s="19">
        <f>IF(B35="","",SUMIFS('📈 Datos Completos'!$I$7:$I$5000, '📈 Datos Completos'!$B$7:$B$5000, B35, '📈 Datos Completos'!$D$7:$D$5000, C35))</f>
        <v>7967.7999999999993</v>
      </c>
      <c r="I35" s="19">
        <f t="shared" si="1"/>
        <v>4085.45</v>
      </c>
      <c r="J35" s="19">
        <f t="shared" si="2"/>
        <v>12053.25</v>
      </c>
      <c r="K35" s="19">
        <f>IF(B35="","",IF(C35="DIA", (SUMIFS('📋 Detalle Diario'!$D$5:$D$489, '📋 Detalle Diario'!$B$5:$B$489, B35, '📋 Detalle Diario'!$C$5:$C$489, C35) * '⚙️ Supuestos'!$C$24) + '⚙️ Supuestos'!$C$23, (SUMIFS('📋 Detalle Diario'!$D$5:$D$489, '📋 Detalle Diario'!$B$5:$B$489, B35, '📋 Detalle Diario'!$C$5:$C$489, C35) * '⚙️ Supuestos'!$C$24) + '⚙️ Supuestos'!$C$33))</f>
        <v>5044.5503333333336</v>
      </c>
      <c r="L35" s="19">
        <f t="shared" si="3"/>
        <v>7008.6996666666664</v>
      </c>
      <c r="M35" s="20">
        <f t="shared" si="4"/>
        <v>0.58147799694411606</v>
      </c>
      <c r="N35" s="19">
        <f t="shared" si="5"/>
        <v>3.1235605779153768</v>
      </c>
      <c r="O35" s="25" t="str">
        <f t="shared" si="6"/>
        <v>2026-05</v>
      </c>
      <c r="P35" s="19">
        <f t="shared" si="7"/>
        <v>5408.6003333333338</v>
      </c>
      <c r="Q35" s="19">
        <f>IF(B35="","",J35-P35+(SUMIFS('📋 Detalle Diario'!$E$5:$E$489, '📋 Detalle Diario'!$B$5:$B$489, B35, '📋 Detalle Diario'!$C$5:$C$489, C35)*135)+(SUMIFS('📋 Detalle Diario'!$I$5:$I$489, '📋 Detalle Diario'!$B$5:$B$489, B35, '📋 Detalle Diario'!$C$5:$C$489, C35)*200))</f>
        <v>6644.6496666666662</v>
      </c>
      <c r="R35" s="20">
        <f t="shared" si="8"/>
        <v>0.55127452485152684</v>
      </c>
    </row>
    <row r="36" spans="2:18" ht="18" customHeight="1" x14ac:dyDescent="0.25">
      <c r="B36" s="26" t="s">
        <v>90</v>
      </c>
      <c r="C36" s="27" t="s">
        <v>73</v>
      </c>
      <c r="D36" s="18">
        <f>IF(B36="","",SUMIFS('📈 Datos Completos'!$E$7:$E$5000, '📈 Datos Completos'!$B$7:$B$5000, B36, '📈 Datos Completos'!$D$7:$D$5000, C36))</f>
        <v>364</v>
      </c>
      <c r="E36" s="18">
        <f>IF(B36="","",SUMIFS('📈 Datos Completos'!$F$7:$F$5000, '📈 Datos Completos'!$B$7:$B$5000, B36, '📈 Datos Completos'!$D$7:$D$5000, C36))</f>
        <v>195</v>
      </c>
      <c r="F36" s="18">
        <f>IF(B36="","",SUMIFS('📈 Datos Completos'!$G$7:$G$5000, '📈 Datos Completos'!$B$7:$B$5000, B36, '📈 Datos Completos'!$D$7:$D$5000, C36))</f>
        <v>670</v>
      </c>
      <c r="G36" s="18">
        <f t="shared" si="0"/>
        <v>865</v>
      </c>
      <c r="H36" s="19">
        <f>IF(B36="","",SUMIFS('📈 Datos Completos'!$I$7:$I$5000, '📈 Datos Completos'!$B$7:$B$5000, B36, '📈 Datos Completos'!$D$7:$D$5000, C36))</f>
        <v>3035.8500000000004</v>
      </c>
      <c r="I36" s="19">
        <f t="shared" si="1"/>
        <v>1167.75</v>
      </c>
      <c r="J36" s="19">
        <f t="shared" si="2"/>
        <v>4203.6000000000004</v>
      </c>
      <c r="K36" s="19">
        <f>IF(B36="","",IF(C36="DIA", (SUMIFS('📋 Detalle Diario'!$D$5:$D$489, '📋 Detalle Diario'!$B$5:$B$489, B36, '📋 Detalle Diario'!$C$5:$C$489, C36) * '⚙️ Supuestos'!$C$24) + '⚙️ Supuestos'!$C$23, (SUMIFS('📋 Detalle Diario'!$D$5:$D$489, '📋 Detalle Diario'!$B$5:$B$489, B36, '📋 Detalle Diario'!$C$5:$C$489, C36) * '⚙️ Supuestos'!$C$24) + '⚙️ Supuestos'!$C$33))</f>
        <v>4935.2170000000006</v>
      </c>
      <c r="L36" s="19">
        <f t="shared" si="3"/>
        <v>-731.61700000000019</v>
      </c>
      <c r="M36" s="20">
        <f t="shared" si="4"/>
        <v>-0.17404534208773434</v>
      </c>
      <c r="N36" s="19">
        <f t="shared" si="5"/>
        <v>13.558288461538464</v>
      </c>
      <c r="O36" s="27" t="str">
        <f t="shared" si="6"/>
        <v>2026-05</v>
      </c>
      <c r="P36" s="19">
        <f t="shared" si="7"/>
        <v>5013.0670000000009</v>
      </c>
      <c r="Q36" s="19">
        <f>IF(B36="","",J36-P36+(SUMIFS('📋 Detalle Diario'!$E$5:$E$489, '📋 Detalle Diario'!$B$5:$B$489, B36, '📋 Detalle Diario'!$C$5:$C$489, C36)*135)+(SUMIFS('📋 Detalle Diario'!$I$5:$I$489, '📋 Detalle Diario'!$B$5:$B$489, B36, '📋 Detalle Diario'!$C$5:$C$489, C36)*200))</f>
        <v>-809.46700000000055</v>
      </c>
      <c r="R36" s="20">
        <f t="shared" si="8"/>
        <v>-0.19256518222475985</v>
      </c>
    </row>
    <row r="37" spans="2:18" ht="18" customHeight="1" x14ac:dyDescent="0.25">
      <c r="B37" s="24" t="s">
        <v>91</v>
      </c>
      <c r="C37" s="25" t="s">
        <v>72</v>
      </c>
      <c r="D37" s="18">
        <f>IF(B37="","",SUMIFS('📈 Datos Completos'!$E$7:$E$5000, '📈 Datos Completos'!$B$7:$B$5000, B37, '📈 Datos Completos'!$D$7:$D$5000, C37))</f>
        <v>1840</v>
      </c>
      <c r="E37" s="18">
        <f>IF(B37="","",SUMIFS('📈 Datos Completos'!$F$7:$F$5000, '📈 Datos Completos'!$B$7:$B$5000, B37, '📈 Datos Completos'!$D$7:$D$5000, C37))</f>
        <v>1840</v>
      </c>
      <c r="F37" s="18">
        <f>IF(B37="","",SUMIFS('📈 Datos Completos'!$G$7:$G$5000, '📈 Datos Completos'!$B$7:$B$5000, B37, '📈 Datos Completos'!$D$7:$D$5000, C37))</f>
        <v>5190</v>
      </c>
      <c r="G37" s="18">
        <f t="shared" si="0"/>
        <v>7030</v>
      </c>
      <c r="H37" s="19">
        <f>IF(B37="","",SUMIFS('📈 Datos Completos'!$I$7:$I$5000, '📈 Datos Completos'!$B$7:$B$5000, B37, '📈 Datos Completos'!$D$7:$D$5000, C37))</f>
        <v>8316.7999999999993</v>
      </c>
      <c r="I37" s="19">
        <f t="shared" si="1"/>
        <v>7100.3</v>
      </c>
      <c r="J37" s="19">
        <f t="shared" si="2"/>
        <v>15417.099999999999</v>
      </c>
      <c r="K37" s="19">
        <f>IF(B37="","",IF(C37="DIA", (SUMIFS('📋 Detalle Diario'!$D$5:$D$489, '📋 Detalle Diario'!$B$5:$B$489, B37, '📋 Detalle Diario'!$C$5:$C$489, C37) * '⚙️ Supuestos'!$C$24) + '⚙️ Supuestos'!$C$23, (SUMIFS('📋 Detalle Diario'!$D$5:$D$489, '📋 Detalle Diario'!$B$5:$B$489, B37, '📋 Detalle Diario'!$C$5:$C$489, C37) * '⚙️ Supuestos'!$C$24) + '⚙️ Supuestos'!$C$33))</f>
        <v>5044.5503333333336</v>
      </c>
      <c r="L37" s="19">
        <f t="shared" si="3"/>
        <v>10372.549666666666</v>
      </c>
      <c r="M37" s="20">
        <f t="shared" si="4"/>
        <v>0.67279512143442455</v>
      </c>
      <c r="N37" s="19">
        <f t="shared" si="5"/>
        <v>2.7416034420289854</v>
      </c>
      <c r="O37" s="25" t="str">
        <f t="shared" si="6"/>
        <v>2026-05</v>
      </c>
      <c r="P37" s="19">
        <f t="shared" si="7"/>
        <v>5677.2503333333334</v>
      </c>
      <c r="Q37" s="19">
        <f>IF(B37="","",J37-P37+(SUMIFS('📋 Detalle Diario'!$E$5:$E$489, '📋 Detalle Diario'!$B$5:$B$489, B37, '📋 Detalle Diario'!$C$5:$C$489, C37)*135)+(SUMIFS('📋 Detalle Diario'!$I$5:$I$489, '📋 Detalle Diario'!$B$5:$B$489, B37, '📋 Detalle Diario'!$C$5:$C$489, C37)*200))</f>
        <v>9739.8496666666651</v>
      </c>
      <c r="R37" s="20">
        <f t="shared" si="8"/>
        <v>0.63175627495875786</v>
      </c>
    </row>
    <row r="38" spans="2:18" ht="18" customHeight="1" x14ac:dyDescent="0.25">
      <c r="B38" s="26" t="s">
        <v>91</v>
      </c>
      <c r="C38" s="27" t="s">
        <v>73</v>
      </c>
      <c r="D38" s="18">
        <f>IF(B38="","",SUMIFS('📈 Datos Completos'!$E$7:$E$5000, '📈 Datos Completos'!$B$7:$B$5000, B38, '📈 Datos Completos'!$D$7:$D$5000, C38))</f>
        <v>1176</v>
      </c>
      <c r="E38" s="18">
        <f>IF(B38="","",SUMIFS('📈 Datos Completos'!$F$7:$F$5000, '📈 Datos Completos'!$B$7:$B$5000, B38, '📈 Datos Completos'!$D$7:$D$5000, C38))</f>
        <v>1080</v>
      </c>
      <c r="F38" s="18">
        <f>IF(B38="","",SUMIFS('📈 Datos Completos'!$G$7:$G$5000, '📈 Datos Completos'!$B$7:$B$5000, B38, '📈 Datos Completos'!$D$7:$D$5000, C38))</f>
        <v>2241</v>
      </c>
      <c r="G38" s="18">
        <f t="shared" si="0"/>
        <v>3321</v>
      </c>
      <c r="H38" s="19">
        <f>IF(B38="","",SUMIFS('📈 Datos Completos'!$I$7:$I$5000, '📈 Datos Completos'!$B$7:$B$5000, B38, '📈 Datos Completos'!$D$7:$D$5000, C38))</f>
        <v>7900.8300000000008</v>
      </c>
      <c r="I38" s="19">
        <f t="shared" si="1"/>
        <v>4483.3500000000004</v>
      </c>
      <c r="J38" s="19">
        <f t="shared" si="2"/>
        <v>12384.18</v>
      </c>
      <c r="K38" s="19">
        <f>IF(B38="","",IF(C38="DIA", (SUMIFS('📋 Detalle Diario'!$D$5:$D$489, '📋 Detalle Diario'!$B$5:$B$489, B38, '📋 Detalle Diario'!$C$5:$C$489, C38) * '⚙️ Supuestos'!$C$24) + '⚙️ Supuestos'!$C$23, (SUMIFS('📋 Detalle Diario'!$D$5:$D$489, '📋 Detalle Diario'!$B$5:$B$489, B38, '📋 Detalle Diario'!$C$5:$C$489, C38) * '⚙️ Supuestos'!$C$24) + '⚙️ Supuestos'!$C$33))</f>
        <v>4935.2170000000006</v>
      </c>
      <c r="L38" s="19">
        <f t="shared" si="3"/>
        <v>7448.9629999999997</v>
      </c>
      <c r="M38" s="20">
        <f t="shared" si="4"/>
        <v>0.60149020766817018</v>
      </c>
      <c r="N38" s="19">
        <f t="shared" si="5"/>
        <v>4.1966130952380958</v>
      </c>
      <c r="O38" s="27" t="str">
        <f t="shared" si="6"/>
        <v>2026-05</v>
      </c>
      <c r="P38" s="19">
        <f t="shared" si="7"/>
        <v>5234.1070000000009</v>
      </c>
      <c r="Q38" s="19">
        <f>IF(B38="","",J38-P38+(SUMIFS('📋 Detalle Diario'!$E$5:$E$489, '📋 Detalle Diario'!$B$5:$B$489, B38, '📋 Detalle Diario'!$C$5:$C$489, C38)*135)+(SUMIFS('📋 Detalle Diario'!$I$5:$I$489, '📋 Detalle Diario'!$B$5:$B$489, B38, '📋 Detalle Diario'!$C$5:$C$489, C38)*200))</f>
        <v>7150.0729999999994</v>
      </c>
      <c r="R38" s="20">
        <f t="shared" si="8"/>
        <v>0.57735538404642051</v>
      </c>
    </row>
    <row r="39" spans="2:18" ht="18" customHeight="1" x14ac:dyDescent="0.25">
      <c r="B39" s="24" t="s">
        <v>92</v>
      </c>
      <c r="C39" s="25" t="s">
        <v>72</v>
      </c>
      <c r="D39" s="18">
        <f>IF(B39="","",SUMIFS('📈 Datos Completos'!$E$7:$E$5000, '📈 Datos Completos'!$B$7:$B$5000, B39, '📈 Datos Completos'!$D$7:$D$5000, C39))</f>
        <v>252</v>
      </c>
      <c r="E39" s="18">
        <f>IF(B39="","",SUMIFS('📈 Datos Completos'!$F$7:$F$5000, '📈 Datos Completos'!$B$7:$B$5000, B39, '📈 Datos Completos'!$D$7:$D$5000, C39))</f>
        <v>135</v>
      </c>
      <c r="F39" s="18">
        <f>IF(B39="","",SUMIFS('📈 Datos Completos'!$G$7:$G$5000, '📈 Datos Completos'!$B$7:$B$5000, B39, '📈 Datos Completos'!$D$7:$D$5000, C39))</f>
        <v>850</v>
      </c>
      <c r="G39" s="18">
        <f t="shared" si="0"/>
        <v>985</v>
      </c>
      <c r="H39" s="19">
        <f>IF(B39="","",SUMIFS('📈 Datos Completos'!$I$7:$I$5000, '📈 Datos Completos'!$B$7:$B$5000, B39, '📈 Datos Completos'!$D$7:$D$5000, C39))</f>
        <v>1819.9999999999998</v>
      </c>
      <c r="I39" s="19">
        <f t="shared" si="1"/>
        <v>994.85</v>
      </c>
      <c r="J39" s="19">
        <f t="shared" si="2"/>
        <v>2814.85</v>
      </c>
      <c r="K39" s="19">
        <f>IF(B39="","",IF(C39="DIA", (SUMIFS('📋 Detalle Diario'!$D$5:$D$489, '📋 Detalle Diario'!$B$5:$B$489, B39, '📋 Detalle Diario'!$C$5:$C$489, C39) * '⚙️ Supuestos'!$C$24) + '⚙️ Supuestos'!$C$23, (SUMIFS('📋 Detalle Diario'!$D$5:$D$489, '📋 Detalle Diario'!$B$5:$B$489, B39, '📋 Detalle Diario'!$C$5:$C$489, C39) * '⚙️ Supuestos'!$C$24) + '⚙️ Supuestos'!$C$33))</f>
        <v>5044.5503333333336</v>
      </c>
      <c r="L39" s="19">
        <f t="shared" si="3"/>
        <v>-2229.7003333333337</v>
      </c>
      <c r="M39" s="20">
        <f t="shared" si="4"/>
        <v>-0.79212048007294655</v>
      </c>
      <c r="N39" s="19">
        <f t="shared" si="5"/>
        <v>20.018056878306879</v>
      </c>
      <c r="O39" s="25" t="str">
        <f t="shared" si="6"/>
        <v>2026-05</v>
      </c>
      <c r="P39" s="19">
        <f t="shared" si="7"/>
        <v>5133.2003333333332</v>
      </c>
      <c r="Q39" s="19">
        <f>IF(B39="","",J39-P39+(SUMIFS('📋 Detalle Diario'!$E$5:$E$489, '📋 Detalle Diario'!$B$5:$B$489, B39, '📋 Detalle Diario'!$C$5:$C$489, C39)*135)+(SUMIFS('📋 Detalle Diario'!$I$5:$I$489, '📋 Detalle Diario'!$B$5:$B$489, B39, '📋 Detalle Diario'!$C$5:$C$489, C39)*200))</f>
        <v>-2318.3503333333333</v>
      </c>
      <c r="R39" s="20">
        <f t="shared" si="8"/>
        <v>-0.82361416534924892</v>
      </c>
    </row>
    <row r="40" spans="2:18" ht="18" customHeight="1" x14ac:dyDescent="0.25">
      <c r="B40" s="26" t="s">
        <v>92</v>
      </c>
      <c r="C40" s="27" t="s">
        <v>73</v>
      </c>
      <c r="D40" s="18">
        <f>IF(B40="","",SUMIFS('📈 Datos Completos'!$E$7:$E$5000, '📈 Datos Completos'!$B$7:$B$5000, B40, '📈 Datos Completos'!$D$7:$D$5000, C40))</f>
        <v>326</v>
      </c>
      <c r="E40" s="18">
        <f>IF(B40="","",SUMIFS('📈 Datos Completos'!$F$7:$F$5000, '📈 Datos Completos'!$B$7:$B$5000, B40, '📈 Datos Completos'!$D$7:$D$5000, C40))</f>
        <v>310</v>
      </c>
      <c r="F40" s="18">
        <f>IF(B40="","",SUMIFS('📈 Datos Completos'!$G$7:$G$5000, '📈 Datos Completos'!$B$7:$B$5000, B40, '📈 Datos Completos'!$D$7:$D$5000, C40))</f>
        <v>570</v>
      </c>
      <c r="G40" s="18">
        <f t="shared" si="0"/>
        <v>880</v>
      </c>
      <c r="H40" s="19">
        <f>IF(B40="","",SUMIFS('📈 Datos Completos'!$I$7:$I$5000, '📈 Datos Completos'!$B$7:$B$5000, B40, '📈 Datos Completos'!$D$7:$D$5000, C40))</f>
        <v>2829.3</v>
      </c>
      <c r="I40" s="19">
        <f t="shared" si="1"/>
        <v>1188</v>
      </c>
      <c r="J40" s="19">
        <f t="shared" si="2"/>
        <v>4017.3</v>
      </c>
      <c r="K40" s="19">
        <f>IF(B40="","",IF(C40="DIA", (SUMIFS('📋 Detalle Diario'!$D$5:$D$489, '📋 Detalle Diario'!$B$5:$B$489, B40, '📋 Detalle Diario'!$C$5:$C$489, C40) * '⚙️ Supuestos'!$C$24) + '⚙️ Supuestos'!$C$23, (SUMIFS('📋 Detalle Diario'!$D$5:$D$489, '📋 Detalle Diario'!$B$5:$B$489, B40, '📋 Detalle Diario'!$C$5:$C$489, C40) * '⚙️ Supuestos'!$C$24) + '⚙️ Supuestos'!$C$33))</f>
        <v>4935.2170000000006</v>
      </c>
      <c r="L40" s="19">
        <f t="shared" si="3"/>
        <v>-917.91700000000037</v>
      </c>
      <c r="M40" s="20">
        <f t="shared" si="4"/>
        <v>-0.22849102631120413</v>
      </c>
      <c r="N40" s="19">
        <f t="shared" si="5"/>
        <v>15.138702453987731</v>
      </c>
      <c r="O40" s="27" t="str">
        <f t="shared" si="6"/>
        <v>2026-05</v>
      </c>
      <c r="P40" s="19">
        <f t="shared" si="7"/>
        <v>5014.4170000000004</v>
      </c>
      <c r="Q40" s="19">
        <f>IF(B40="","",J40-P40+(SUMIFS('📋 Detalle Diario'!$E$5:$E$489, '📋 Detalle Diario'!$B$5:$B$489, B40, '📋 Detalle Diario'!$C$5:$C$489, C40)*135)+(SUMIFS('📋 Detalle Diario'!$I$5:$I$489, '📋 Detalle Diario'!$B$5:$B$489, B40, '📋 Detalle Diario'!$C$5:$C$489, C40)*200))</f>
        <v>-997.11700000000019</v>
      </c>
      <c r="R40" s="20">
        <f t="shared" si="8"/>
        <v>-0.24820576008762107</v>
      </c>
    </row>
    <row r="41" spans="2:18" ht="18" customHeight="1" x14ac:dyDescent="0.25">
      <c r="B41" s="24" t="s">
        <v>93</v>
      </c>
      <c r="C41" s="25" t="s">
        <v>72</v>
      </c>
      <c r="D41" s="18">
        <f>IF(B41="","",SUMIFS('📈 Datos Completos'!$E$7:$E$5000, '📈 Datos Completos'!$B$7:$B$5000, B41, '📈 Datos Completos'!$D$7:$D$5000, C41))</f>
        <v>459.1</v>
      </c>
      <c r="E41" s="18">
        <f>IF(B41="","",SUMIFS('📈 Datos Completos'!$F$7:$F$5000, '📈 Datos Completos'!$B$7:$B$5000, B41, '📈 Datos Completos'!$D$7:$D$5000, C41))</f>
        <v>135</v>
      </c>
      <c r="F41" s="18">
        <f>IF(B41="","",SUMIFS('📈 Datos Completos'!$G$7:$G$5000, '📈 Datos Completos'!$B$7:$B$5000, B41, '📈 Datos Completos'!$D$7:$D$5000, C41))</f>
        <v>1118</v>
      </c>
      <c r="G41" s="18">
        <f t="shared" si="0"/>
        <v>1253</v>
      </c>
      <c r="H41" s="19">
        <f>IF(B41="","",SUMIFS('📈 Datos Completos'!$I$7:$I$5000, '📈 Datos Completos'!$B$7:$B$5000, B41, '📈 Datos Completos'!$D$7:$D$5000, C41))</f>
        <v>2232.4599999999996</v>
      </c>
      <c r="I41" s="19">
        <f t="shared" si="1"/>
        <v>1265.53</v>
      </c>
      <c r="J41" s="19">
        <f t="shared" si="2"/>
        <v>3497.99</v>
      </c>
      <c r="K41" s="19">
        <f>IF(B41="","",IF(C41="DIA", (SUMIFS('📋 Detalle Diario'!$D$5:$D$489, '📋 Detalle Diario'!$B$5:$B$489, B41, '📋 Detalle Diario'!$C$5:$C$489, C41) * '⚙️ Supuestos'!$C$24) + '⚙️ Supuestos'!$C$23, (SUMIFS('📋 Detalle Diario'!$D$5:$D$489, '📋 Detalle Diario'!$B$5:$B$489, B41, '📋 Detalle Diario'!$C$5:$C$489, C41) * '⚙️ Supuestos'!$C$24) + '⚙️ Supuestos'!$C$33))</f>
        <v>5044.5503333333336</v>
      </c>
      <c r="L41" s="19">
        <f t="shared" si="3"/>
        <v>-1546.5603333333338</v>
      </c>
      <c r="M41" s="20">
        <f t="shared" si="4"/>
        <v>-0.44212828891258521</v>
      </c>
      <c r="N41" s="19">
        <f t="shared" si="5"/>
        <v>10.987911856530895</v>
      </c>
      <c r="O41" s="25" t="str">
        <f t="shared" si="6"/>
        <v>2026-05</v>
      </c>
      <c r="P41" s="19">
        <f t="shared" si="7"/>
        <v>5157.320333333334</v>
      </c>
      <c r="Q41" s="19">
        <f>IF(B41="","",J41-P41+(SUMIFS('📋 Detalle Diario'!$E$5:$E$489, '📋 Detalle Diario'!$B$5:$B$489, B41, '📋 Detalle Diario'!$C$5:$C$489, C41)*135)+(SUMIFS('📋 Detalle Diario'!$I$5:$I$489, '📋 Detalle Diario'!$B$5:$B$489, B41, '📋 Detalle Diario'!$C$5:$C$489, C41)*200))</f>
        <v>-1659.3303333333342</v>
      </c>
      <c r="R41" s="20">
        <f t="shared" si="8"/>
        <v>-0.47436680303069317</v>
      </c>
    </row>
    <row r="42" spans="2:18" ht="18" customHeight="1" x14ac:dyDescent="0.25">
      <c r="B42" s="26" t="s">
        <v>93</v>
      </c>
      <c r="C42" s="27" t="s">
        <v>73</v>
      </c>
      <c r="D42" s="18">
        <f>IF(B42="","",SUMIFS('📈 Datos Completos'!$E$7:$E$5000, '📈 Datos Completos'!$B$7:$B$5000, B42, '📈 Datos Completos'!$D$7:$D$5000, C42))</f>
        <v>501</v>
      </c>
      <c r="E42" s="18">
        <f>IF(B42="","",SUMIFS('📈 Datos Completos'!$F$7:$F$5000, '📈 Datos Completos'!$B$7:$B$5000, B42, '📈 Datos Completos'!$D$7:$D$5000, C42))</f>
        <v>330</v>
      </c>
      <c r="F42" s="18">
        <f>IF(B42="","",SUMIFS('📈 Datos Completos'!$G$7:$G$5000, '📈 Datos Completos'!$B$7:$B$5000, B42, '📈 Datos Completos'!$D$7:$D$5000, C42))</f>
        <v>851</v>
      </c>
      <c r="G42" s="18">
        <f t="shared" si="0"/>
        <v>1181</v>
      </c>
      <c r="H42" s="19">
        <f>IF(B42="","",SUMIFS('📈 Datos Completos'!$I$7:$I$5000, '📈 Datos Completos'!$B$7:$B$5000, B42, '📈 Datos Completos'!$D$7:$D$5000, C42))</f>
        <v>8418.0300000000007</v>
      </c>
      <c r="I42" s="19">
        <f t="shared" si="1"/>
        <v>1594.3500000000001</v>
      </c>
      <c r="J42" s="19">
        <f t="shared" si="2"/>
        <v>10012.380000000001</v>
      </c>
      <c r="K42" s="19">
        <f>IF(B42="","",IF(C42="DIA", (SUMIFS('📋 Detalle Diario'!$D$5:$D$489, '📋 Detalle Diario'!$B$5:$B$489, B42, '📋 Detalle Diario'!$C$5:$C$489, C42) * '⚙️ Supuestos'!$C$24) + '⚙️ Supuestos'!$C$23, (SUMIFS('📋 Detalle Diario'!$D$5:$D$489, '📋 Detalle Diario'!$B$5:$B$489, B42, '📋 Detalle Diario'!$C$5:$C$489, C42) * '⚙️ Supuestos'!$C$24) + '⚙️ Supuestos'!$C$33))</f>
        <v>4935.2170000000006</v>
      </c>
      <c r="L42" s="19">
        <f t="shared" si="3"/>
        <v>5077.1630000000005</v>
      </c>
      <c r="M42" s="20">
        <f t="shared" si="4"/>
        <v>0.50708852440678442</v>
      </c>
      <c r="N42" s="19">
        <f t="shared" si="5"/>
        <v>9.85073253493014</v>
      </c>
      <c r="O42" s="27" t="str">
        <f t="shared" si="6"/>
        <v>2026-05</v>
      </c>
      <c r="P42" s="19">
        <f t="shared" si="7"/>
        <v>5041.5070000000005</v>
      </c>
      <c r="Q42" s="19">
        <f>IF(B42="","",J42-P42+(SUMIFS('📋 Detalle Diario'!$E$5:$E$489, '📋 Detalle Diario'!$B$5:$B$489, B42, '📋 Detalle Diario'!$C$5:$C$489, C42)*135)+(SUMIFS('📋 Detalle Diario'!$I$5:$I$489, '📋 Detalle Diario'!$B$5:$B$489, B42, '📋 Detalle Diario'!$C$5:$C$489, C42)*200))</f>
        <v>4970.8730000000005</v>
      </c>
      <c r="R42" s="20">
        <f t="shared" si="8"/>
        <v>0.49647266683845398</v>
      </c>
    </row>
    <row r="43" spans="2:18" ht="18" customHeight="1" x14ac:dyDescent="0.25">
      <c r="B43" s="24" t="s">
        <v>94</v>
      </c>
      <c r="C43" s="25" t="s">
        <v>72</v>
      </c>
      <c r="D43" s="18">
        <f>IF(B43="","",SUMIFS('📈 Datos Completos'!$E$7:$E$5000, '📈 Datos Completos'!$B$7:$B$5000, B43, '📈 Datos Completos'!$D$7:$D$5000, C43))</f>
        <v>291</v>
      </c>
      <c r="E43" s="18">
        <f>IF(B43="","",SUMIFS('📈 Datos Completos'!$F$7:$F$5000, '📈 Datos Completos'!$B$7:$B$5000, B43, '📈 Datos Completos'!$D$7:$D$5000, C43))</f>
        <v>0</v>
      </c>
      <c r="F43" s="18">
        <f>IF(B43="","",SUMIFS('📈 Datos Completos'!$G$7:$G$5000, '📈 Datos Completos'!$B$7:$B$5000, B43, '📈 Datos Completos'!$D$7:$D$5000, C43))</f>
        <v>0</v>
      </c>
      <c r="G43" s="18">
        <f t="shared" si="0"/>
        <v>0</v>
      </c>
      <c r="H43" s="19">
        <f>IF(B43="","",SUMIFS('📈 Datos Completos'!$I$7:$I$5000, '📈 Datos Completos'!$B$7:$B$5000, B43, '📈 Datos Completos'!$D$7:$D$5000, C43))</f>
        <v>13095</v>
      </c>
      <c r="I43" s="19">
        <f t="shared" si="1"/>
        <v>0</v>
      </c>
      <c r="J43" s="19">
        <f t="shared" si="2"/>
        <v>13095</v>
      </c>
      <c r="K43" s="19">
        <f>IF(B43="","",IF(C43="DIA", (SUMIFS('📋 Detalle Diario'!$D$5:$D$489, '📋 Detalle Diario'!$B$5:$B$489, B43, '📋 Detalle Diario'!$C$5:$C$489, C43) * '⚙️ Supuestos'!$C$24) + '⚙️ Supuestos'!$C$23, (SUMIFS('📋 Detalle Diario'!$D$5:$D$489, '📋 Detalle Diario'!$B$5:$B$489, B43, '📋 Detalle Diario'!$C$5:$C$489, C43) * '⚙️ Supuestos'!$C$24) + '⚙️ Supuestos'!$C$33))</f>
        <v>5044.5503333333336</v>
      </c>
      <c r="L43" s="19">
        <f t="shared" si="3"/>
        <v>8050.4496666666664</v>
      </c>
      <c r="M43" s="20">
        <f t="shared" si="4"/>
        <v>0.61477278859615625</v>
      </c>
      <c r="N43" s="19">
        <f t="shared" si="5"/>
        <v>17.335224513172967</v>
      </c>
      <c r="O43" s="25" t="str">
        <f t="shared" si="6"/>
        <v>2026-05</v>
      </c>
      <c r="P43" s="19">
        <f t="shared" si="7"/>
        <v>5044.5503333333336</v>
      </c>
      <c r="Q43" s="19">
        <f>IF(B43="","",J43-P43+(SUMIFS('📋 Detalle Diario'!$E$5:$E$489, '📋 Detalle Diario'!$B$5:$B$489, B43, '📋 Detalle Diario'!$C$5:$C$489, C43)*135)+(SUMIFS('📋 Detalle Diario'!$I$5:$I$489, '📋 Detalle Diario'!$B$5:$B$489, B43, '📋 Detalle Diario'!$C$5:$C$489, C43)*200))</f>
        <v>8050.4496666666664</v>
      </c>
      <c r="R43" s="20">
        <f t="shared" si="8"/>
        <v>0.61477278859615625</v>
      </c>
    </row>
    <row r="44" spans="2:18" ht="18" customHeight="1" x14ac:dyDescent="0.25">
      <c r="B44" s="26" t="s">
        <v>94</v>
      </c>
      <c r="C44" s="27" t="s">
        <v>73</v>
      </c>
      <c r="D44" s="18">
        <f>IF(B44="","",SUMIFS('📈 Datos Completos'!$E$7:$E$5000, '📈 Datos Completos'!$B$7:$B$5000, B44, '📈 Datos Completos'!$D$7:$D$5000, C44))</f>
        <v>238</v>
      </c>
      <c r="E44" s="18">
        <f>IF(B44="","",SUMIFS('📈 Datos Completos'!$F$7:$F$5000, '📈 Datos Completos'!$B$7:$B$5000, B44, '📈 Datos Completos'!$D$7:$D$5000, C44))</f>
        <v>202</v>
      </c>
      <c r="F44" s="18">
        <f>IF(B44="","",SUMIFS('📈 Datos Completos'!$G$7:$G$5000, '📈 Datos Completos'!$B$7:$B$5000, B44, '📈 Datos Completos'!$D$7:$D$5000, C44))</f>
        <v>808</v>
      </c>
      <c r="G44" s="18">
        <f t="shared" si="0"/>
        <v>1010</v>
      </c>
      <c r="H44" s="19">
        <f>IF(B44="","",SUMIFS('📈 Datos Completos'!$I$7:$I$5000, '📈 Datos Completos'!$B$7:$B$5000, B44, '📈 Datos Completos'!$D$7:$D$5000, C44))</f>
        <v>3378.06</v>
      </c>
      <c r="I44" s="19">
        <f t="shared" si="1"/>
        <v>1363.5</v>
      </c>
      <c r="J44" s="19">
        <f t="shared" si="2"/>
        <v>4741.5599999999995</v>
      </c>
      <c r="K44" s="19">
        <f>IF(B44="","",IF(C44="DIA", (SUMIFS('📋 Detalle Diario'!$D$5:$D$489, '📋 Detalle Diario'!$B$5:$B$489, B44, '📋 Detalle Diario'!$C$5:$C$489, C44) * '⚙️ Supuestos'!$C$24) + '⚙️ Supuestos'!$C$23, (SUMIFS('📋 Detalle Diario'!$D$5:$D$489, '📋 Detalle Diario'!$B$5:$B$489, B44, '📋 Detalle Diario'!$C$5:$C$489, C44) * '⚙️ Supuestos'!$C$24) + '⚙️ Supuestos'!$C$33))</f>
        <v>4935.2170000000006</v>
      </c>
      <c r="L44" s="19">
        <f t="shared" si="3"/>
        <v>-193.65700000000106</v>
      </c>
      <c r="M44" s="20">
        <f t="shared" si="4"/>
        <v>-4.0842465348957115E-2</v>
      </c>
      <c r="N44" s="19">
        <f t="shared" si="5"/>
        <v>20.736205882352944</v>
      </c>
      <c r="O44" s="27" t="str">
        <f t="shared" si="6"/>
        <v>2026-05</v>
      </c>
      <c r="P44" s="19">
        <f t="shared" si="7"/>
        <v>5026.1170000000002</v>
      </c>
      <c r="Q44" s="19">
        <f>IF(B44="","",J44-P44+(SUMIFS('📋 Detalle Diario'!$E$5:$E$489, '📋 Detalle Diario'!$B$5:$B$489, B44, '📋 Detalle Diario'!$C$5:$C$489, C44)*135)+(SUMIFS('📋 Detalle Diario'!$I$5:$I$489, '📋 Detalle Diario'!$B$5:$B$489, B44, '📋 Detalle Diario'!$C$5:$C$489, C44)*200))</f>
        <v>-284.5570000000007</v>
      </c>
      <c r="R44" s="20">
        <f t="shared" si="8"/>
        <v>-6.0013371126802301E-2</v>
      </c>
    </row>
    <row r="45" spans="2:18" ht="18" customHeight="1" x14ac:dyDescent="0.25">
      <c r="B45" s="24" t="s">
        <v>95</v>
      </c>
      <c r="C45" s="25" t="s">
        <v>72</v>
      </c>
      <c r="D45" s="18">
        <f>IF(B45="","",SUMIFS('📈 Datos Completos'!$E$7:$E$5000, '📈 Datos Completos'!$B$7:$B$5000, B45, '📈 Datos Completos'!$D$7:$D$5000, C45))</f>
        <v>337.2</v>
      </c>
      <c r="E45" s="18">
        <f>IF(B45="","",SUMIFS('📈 Datos Completos'!$F$7:$F$5000, '📈 Datos Completos'!$B$7:$B$5000, B45, '📈 Datos Completos'!$D$7:$D$5000, C45))</f>
        <v>0</v>
      </c>
      <c r="F45" s="18">
        <f>IF(B45="","",SUMIFS('📈 Datos Completos'!$G$7:$G$5000, '📈 Datos Completos'!$B$7:$B$5000, B45, '📈 Datos Completos'!$D$7:$D$5000, C45))</f>
        <v>1650</v>
      </c>
      <c r="G45" s="18">
        <f t="shared" si="0"/>
        <v>1650</v>
      </c>
      <c r="H45" s="19">
        <f>IF(B45="","",SUMIFS('📈 Datos Completos'!$I$7:$I$5000, '📈 Datos Completos'!$B$7:$B$5000, B45, '📈 Datos Completos'!$D$7:$D$5000, C45))</f>
        <v>1940.4</v>
      </c>
      <c r="I45" s="19">
        <f t="shared" si="1"/>
        <v>1666.5</v>
      </c>
      <c r="J45" s="19">
        <f t="shared" si="2"/>
        <v>3606.9</v>
      </c>
      <c r="K45" s="19">
        <f>IF(B45="","",IF(C45="DIA", (SUMIFS('📋 Detalle Diario'!$D$5:$D$489, '📋 Detalle Diario'!$B$5:$B$489, B45, '📋 Detalle Diario'!$C$5:$C$489, C45) * '⚙️ Supuestos'!$C$24) + '⚙️ Supuestos'!$C$23, (SUMIFS('📋 Detalle Diario'!$D$5:$D$489, '📋 Detalle Diario'!$B$5:$B$489, B45, '📋 Detalle Diario'!$C$5:$C$489, C45) * '⚙️ Supuestos'!$C$24) + '⚙️ Supuestos'!$C$33))</f>
        <v>5044.5503333333336</v>
      </c>
      <c r="L45" s="19">
        <f t="shared" si="3"/>
        <v>-1437.6503333333335</v>
      </c>
      <c r="M45" s="20">
        <f t="shared" si="4"/>
        <v>-0.39858336336835881</v>
      </c>
      <c r="N45" s="19">
        <f t="shared" si="5"/>
        <v>14.960113681296956</v>
      </c>
      <c r="O45" s="25" t="str">
        <f t="shared" si="6"/>
        <v>2026-05</v>
      </c>
      <c r="P45" s="19">
        <f t="shared" si="7"/>
        <v>5193.0503333333336</v>
      </c>
      <c r="Q45" s="19">
        <f>IF(B45="","",J45-P45+(SUMIFS('📋 Detalle Diario'!$E$5:$E$489, '📋 Detalle Diario'!$B$5:$B$489, B45, '📋 Detalle Diario'!$C$5:$C$489, C45)*135)+(SUMIFS('📋 Detalle Diario'!$I$5:$I$489, '📋 Detalle Diario'!$B$5:$B$489, B45, '📋 Detalle Diario'!$C$5:$C$489, C45)*200))</f>
        <v>-1586.1503333333335</v>
      </c>
      <c r="R45" s="20">
        <f t="shared" si="8"/>
        <v>-0.43975445211492792</v>
      </c>
    </row>
    <row r="46" spans="2:18" ht="18" customHeight="1" x14ac:dyDescent="0.25">
      <c r="B46" s="26" t="s">
        <v>96</v>
      </c>
      <c r="C46" s="27" t="s">
        <v>72</v>
      </c>
      <c r="D46" s="18">
        <f>IF(B46="","",SUMIFS('📈 Datos Completos'!$E$7:$E$5000, '📈 Datos Completos'!$B$7:$B$5000, B46, '📈 Datos Completos'!$D$7:$D$5000, C46))</f>
        <v>231</v>
      </c>
      <c r="E46" s="18">
        <f>IF(B46="","",SUMIFS('📈 Datos Completos'!$F$7:$F$5000, '📈 Datos Completos'!$B$7:$B$5000, B46, '📈 Datos Completos'!$D$7:$D$5000, C46))</f>
        <v>1467</v>
      </c>
      <c r="F46" s="18">
        <f>IF(B46="","",SUMIFS('📈 Datos Completos'!$G$7:$G$5000, '📈 Datos Completos'!$B$7:$B$5000, B46, '📈 Datos Completos'!$D$7:$D$5000, C46))</f>
        <v>1126</v>
      </c>
      <c r="G46" s="18">
        <f t="shared" si="0"/>
        <v>2593</v>
      </c>
      <c r="H46" s="19">
        <f>IF(B46="","",SUMIFS('📈 Datos Completos'!$I$7:$I$5000, '📈 Datos Completos'!$B$7:$B$5000, B46, '📈 Datos Completos'!$D$7:$D$5000, C46))</f>
        <v>1529.8799999999999</v>
      </c>
      <c r="I46" s="19">
        <f t="shared" si="1"/>
        <v>2618.9299999999998</v>
      </c>
      <c r="J46" s="19">
        <f t="shared" si="2"/>
        <v>4148.8099999999995</v>
      </c>
      <c r="K46" s="19">
        <f>IF(B46="","",IF(C46="DIA", (SUMIFS('📋 Detalle Diario'!$D$5:$D$489, '📋 Detalle Diario'!$B$5:$B$489, B46, '📋 Detalle Diario'!$C$5:$C$489, C46) * '⚙️ Supuestos'!$C$24) + '⚙️ Supuestos'!$C$23, (SUMIFS('📋 Detalle Diario'!$D$5:$D$489, '📋 Detalle Diario'!$B$5:$B$489, B46, '📋 Detalle Diario'!$C$5:$C$489, C46) * '⚙️ Supuestos'!$C$24) + '⚙️ Supuestos'!$C$33))</f>
        <v>5044.5503333333336</v>
      </c>
      <c r="L46" s="19">
        <f t="shared" si="3"/>
        <v>-895.74033333333409</v>
      </c>
      <c r="M46" s="20">
        <f t="shared" si="4"/>
        <v>-0.21590295369836995</v>
      </c>
      <c r="N46" s="19">
        <f t="shared" si="5"/>
        <v>21.837880230880231</v>
      </c>
      <c r="O46" s="27" t="str">
        <f t="shared" si="6"/>
        <v>2026-05</v>
      </c>
      <c r="P46" s="19">
        <f t="shared" si="7"/>
        <v>5277.9203333333335</v>
      </c>
      <c r="Q46" s="19">
        <f>IF(B46="","",J46-P46+(SUMIFS('📋 Detalle Diario'!$E$5:$E$489, '📋 Detalle Diario'!$B$5:$B$489, B46, '📋 Detalle Diario'!$C$5:$C$489, C46)*135)+(SUMIFS('📋 Detalle Diario'!$I$5:$I$489, '📋 Detalle Diario'!$B$5:$B$489, B46, '📋 Detalle Diario'!$C$5:$C$489, C46)*200))</f>
        <v>-1129.110333333334</v>
      </c>
      <c r="R46" s="20">
        <f t="shared" si="8"/>
        <v>-0.27215281811732378</v>
      </c>
    </row>
    <row r="47" spans="2:18" ht="18" customHeight="1" x14ac:dyDescent="0.25">
      <c r="B47" s="24" t="s">
        <v>96</v>
      </c>
      <c r="C47" s="25" t="s">
        <v>73</v>
      </c>
      <c r="D47" s="18">
        <f>IF(B47="","",SUMIFS('📈 Datos Completos'!$E$7:$E$5000, '📈 Datos Completos'!$B$7:$B$5000, B47, '📈 Datos Completos'!$D$7:$D$5000, C47))</f>
        <v>1125</v>
      </c>
      <c r="E47" s="18">
        <f>IF(B47="","",SUMIFS('📈 Datos Completos'!$F$7:$F$5000, '📈 Datos Completos'!$B$7:$B$5000, B47, '📈 Datos Completos'!$D$7:$D$5000, C47))</f>
        <v>1125</v>
      </c>
      <c r="F47" s="18">
        <f>IF(B47="","",SUMIFS('📈 Datos Completos'!$G$7:$G$5000, '📈 Datos Completos'!$B$7:$B$5000, B47, '📈 Datos Completos'!$D$7:$D$5000, C47))</f>
        <v>3420</v>
      </c>
      <c r="G47" s="18">
        <f t="shared" si="0"/>
        <v>4545</v>
      </c>
      <c r="H47" s="19">
        <f>IF(B47="","",SUMIFS('📈 Datos Completos'!$I$7:$I$5000, '📈 Datos Completos'!$B$7:$B$5000, B47, '📈 Datos Completos'!$D$7:$D$5000, C47))</f>
        <v>6783.75</v>
      </c>
      <c r="I47" s="19">
        <f t="shared" si="1"/>
        <v>6135.75</v>
      </c>
      <c r="J47" s="19">
        <f t="shared" si="2"/>
        <v>12919.5</v>
      </c>
      <c r="K47" s="19">
        <f>IF(B47="","",IF(C47="DIA", (SUMIFS('📋 Detalle Diario'!$D$5:$D$489, '📋 Detalle Diario'!$B$5:$B$489, B47, '📋 Detalle Diario'!$C$5:$C$489, C47) * '⚙️ Supuestos'!$C$24) + '⚙️ Supuestos'!$C$23, (SUMIFS('📋 Detalle Diario'!$D$5:$D$489, '📋 Detalle Diario'!$B$5:$B$489, B47, '📋 Detalle Diario'!$C$5:$C$489, C47) * '⚙️ Supuestos'!$C$24) + '⚙️ Supuestos'!$C$33))</f>
        <v>4935.2170000000006</v>
      </c>
      <c r="L47" s="19">
        <f t="shared" si="3"/>
        <v>7984.2829999999994</v>
      </c>
      <c r="M47" s="20">
        <f t="shared" si="4"/>
        <v>0.61800247687604004</v>
      </c>
      <c r="N47" s="19">
        <f t="shared" si="5"/>
        <v>4.3868595555555556</v>
      </c>
      <c r="O47" s="25" t="str">
        <f t="shared" si="6"/>
        <v>2026-05</v>
      </c>
      <c r="P47" s="19">
        <f t="shared" si="7"/>
        <v>5344.2670000000007</v>
      </c>
      <c r="Q47" s="19">
        <f>IF(B47="","",J47-P47+(SUMIFS('📋 Detalle Diario'!$E$5:$E$489, '📋 Detalle Diario'!$B$5:$B$489, B47, '📋 Detalle Diario'!$C$5:$C$489, C47)*135)+(SUMIFS('📋 Detalle Diario'!$I$5:$I$489, '📋 Detalle Diario'!$B$5:$B$489, B47, '📋 Detalle Diario'!$C$5:$C$489, C47)*200))</f>
        <v>7575.2329999999993</v>
      </c>
      <c r="R47" s="20">
        <f t="shared" si="8"/>
        <v>0.58634103486977041</v>
      </c>
    </row>
    <row r="48" spans="2:18" ht="18" customHeight="1" x14ac:dyDescent="0.25">
      <c r="B48" s="26" t="s">
        <v>97</v>
      </c>
      <c r="C48" s="27" t="s">
        <v>72</v>
      </c>
      <c r="D48" s="18">
        <f>IF(B48="","",SUMIFS('📈 Datos Completos'!$E$7:$E$5000, '📈 Datos Completos'!$B$7:$B$5000, B48, '📈 Datos Completos'!$D$7:$D$5000, C48))</f>
        <v>1009</v>
      </c>
      <c r="E48" s="18">
        <f>IF(B48="","",SUMIFS('📈 Datos Completos'!$F$7:$F$5000, '📈 Datos Completos'!$B$7:$B$5000, B48, '📈 Datos Completos'!$D$7:$D$5000, C48))</f>
        <v>360</v>
      </c>
      <c r="F48" s="18">
        <f>IF(B48="","",SUMIFS('📈 Datos Completos'!$G$7:$G$5000, '📈 Datos Completos'!$B$7:$B$5000, B48, '📈 Datos Completos'!$D$7:$D$5000, C48))</f>
        <v>1720</v>
      </c>
      <c r="G48" s="18">
        <f t="shared" si="0"/>
        <v>2080</v>
      </c>
      <c r="H48" s="19">
        <f>IF(B48="","",SUMIFS('📈 Datos Completos'!$I$7:$I$5000, '📈 Datos Completos'!$B$7:$B$5000, B48, '📈 Datos Completos'!$D$7:$D$5000, C48))</f>
        <v>5993.8</v>
      </c>
      <c r="I48" s="19">
        <f t="shared" si="1"/>
        <v>2100.8000000000002</v>
      </c>
      <c r="J48" s="19">
        <f t="shared" si="2"/>
        <v>8094.6</v>
      </c>
      <c r="K48" s="19">
        <f>IF(B48="","",IF(C48="DIA", (SUMIFS('📋 Detalle Diario'!$D$5:$D$489, '📋 Detalle Diario'!$B$5:$B$489, B48, '📋 Detalle Diario'!$C$5:$C$489, C48) * '⚙️ Supuestos'!$C$24) + '⚙️ Supuestos'!$C$23, (SUMIFS('📋 Detalle Diario'!$D$5:$D$489, '📋 Detalle Diario'!$B$5:$B$489, B48, '📋 Detalle Diario'!$C$5:$C$489, C48) * '⚙️ Supuestos'!$C$24) + '⚙️ Supuestos'!$C$33))</f>
        <v>5044.5503333333336</v>
      </c>
      <c r="L48" s="19">
        <f t="shared" si="3"/>
        <v>3050.0496666666668</v>
      </c>
      <c r="M48" s="20">
        <f t="shared" si="4"/>
        <v>0.3768005419250694</v>
      </c>
      <c r="N48" s="19">
        <f t="shared" si="5"/>
        <v>4.9995543442352171</v>
      </c>
      <c r="O48" s="27" t="str">
        <f t="shared" si="6"/>
        <v>2026-05</v>
      </c>
      <c r="P48" s="19">
        <f t="shared" si="7"/>
        <v>5231.7503333333334</v>
      </c>
      <c r="Q48" s="19">
        <f>IF(B48="","",J48-P48+(SUMIFS('📋 Detalle Diario'!$E$5:$E$489, '📋 Detalle Diario'!$B$5:$B$489, B48, '📋 Detalle Diario'!$C$5:$C$489, C48)*135)+(SUMIFS('📋 Detalle Diario'!$I$5:$I$489, '📋 Detalle Diario'!$B$5:$B$489, B48, '📋 Detalle Diario'!$C$5:$C$489, C48)*200))</f>
        <v>2862.849666666667</v>
      </c>
      <c r="R48" s="20">
        <f t="shared" si="8"/>
        <v>0.35367401312809366</v>
      </c>
    </row>
    <row r="49" spans="2:18" ht="18" customHeight="1" x14ac:dyDescent="0.25">
      <c r="B49" s="24" t="s">
        <v>97</v>
      </c>
      <c r="C49" s="25" t="s">
        <v>73</v>
      </c>
      <c r="D49" s="18">
        <f>IF(B49="","",SUMIFS('📈 Datos Completos'!$E$7:$E$5000, '📈 Datos Completos'!$B$7:$B$5000, B49, '📈 Datos Completos'!$D$7:$D$5000, C49))</f>
        <v>430</v>
      </c>
      <c r="E49" s="18">
        <f>IF(B49="","",SUMIFS('📈 Datos Completos'!$F$7:$F$5000, '📈 Datos Completos'!$B$7:$B$5000, B49, '📈 Datos Completos'!$D$7:$D$5000, C49))</f>
        <v>250</v>
      </c>
      <c r="F49" s="18">
        <f>IF(B49="","",SUMIFS('📈 Datos Completos'!$G$7:$G$5000, '📈 Datos Completos'!$B$7:$B$5000, B49, '📈 Datos Completos'!$D$7:$D$5000, C49))</f>
        <v>1180</v>
      </c>
      <c r="G49" s="18">
        <f t="shared" si="0"/>
        <v>1430</v>
      </c>
      <c r="H49" s="19">
        <f>IF(B49="","",SUMIFS('📈 Datos Completos'!$I$7:$I$5000, '📈 Datos Completos'!$B$7:$B$5000, B49, '📈 Datos Completos'!$D$7:$D$5000, C49))</f>
        <v>2583.2999999999997</v>
      </c>
      <c r="I49" s="19">
        <f t="shared" si="1"/>
        <v>1930.5000000000002</v>
      </c>
      <c r="J49" s="19">
        <f t="shared" si="2"/>
        <v>4513.8</v>
      </c>
      <c r="K49" s="19">
        <f>IF(B49="","",IF(C49="DIA", (SUMIFS('📋 Detalle Diario'!$D$5:$D$489, '📋 Detalle Diario'!$B$5:$B$489, B49, '📋 Detalle Diario'!$C$5:$C$489, C49) * '⚙️ Supuestos'!$C$24) + '⚙️ Supuestos'!$C$23, (SUMIFS('📋 Detalle Diario'!$D$5:$D$489, '📋 Detalle Diario'!$B$5:$B$489, B49, '📋 Detalle Diario'!$C$5:$C$489, C49) * '⚙️ Supuestos'!$C$24) + '⚙️ Supuestos'!$C$33))</f>
        <v>4935.2170000000006</v>
      </c>
      <c r="L49" s="19">
        <f t="shared" si="3"/>
        <v>-421.41700000000037</v>
      </c>
      <c r="M49" s="20">
        <f t="shared" si="4"/>
        <v>-9.3361912357658811E-2</v>
      </c>
      <c r="N49" s="19">
        <f t="shared" si="5"/>
        <v>11.477248837209304</v>
      </c>
      <c r="O49" s="25" t="str">
        <f t="shared" si="6"/>
        <v>2026-05</v>
      </c>
      <c r="P49" s="19">
        <f t="shared" si="7"/>
        <v>5063.9170000000004</v>
      </c>
      <c r="Q49" s="19">
        <f>IF(B49="","",J49-P49+(SUMIFS('📋 Detalle Diario'!$E$5:$E$489, '📋 Detalle Diario'!$B$5:$B$489, B49, '📋 Detalle Diario'!$C$5:$C$489, C49)*135)+(SUMIFS('📋 Detalle Diario'!$I$5:$I$489, '📋 Detalle Diario'!$B$5:$B$489, B49, '📋 Detalle Diario'!$C$5:$C$489, C49)*200))</f>
        <v>-550.11700000000019</v>
      </c>
      <c r="R49" s="20">
        <f t="shared" si="8"/>
        <v>-0.1218744738357925</v>
      </c>
    </row>
    <row r="50" spans="2:18" ht="18" customHeight="1" x14ac:dyDescent="0.25">
      <c r="B50" s="26" t="s">
        <v>98</v>
      </c>
      <c r="C50" s="27" t="s">
        <v>72</v>
      </c>
      <c r="D50" s="18">
        <f>IF(B50="","",SUMIFS('📈 Datos Completos'!$E$7:$E$5000, '📈 Datos Completos'!$B$7:$B$5000, B50, '📈 Datos Completos'!$D$7:$D$5000, C50))</f>
        <v>266</v>
      </c>
      <c r="E50" s="18">
        <f>IF(B50="","",SUMIFS('📈 Datos Completos'!$F$7:$F$5000, '📈 Datos Completos'!$B$7:$B$5000, B50, '📈 Datos Completos'!$D$7:$D$5000, C50))</f>
        <v>240</v>
      </c>
      <c r="F50" s="18">
        <f>IF(B50="","",SUMIFS('📈 Datos Completos'!$G$7:$G$5000, '📈 Datos Completos'!$B$7:$B$5000, B50, '📈 Datos Completos'!$D$7:$D$5000, C50))</f>
        <v>960</v>
      </c>
      <c r="G50" s="18">
        <f t="shared" si="0"/>
        <v>1200</v>
      </c>
      <c r="H50" s="19">
        <f>IF(B50="","",SUMIFS('📈 Datos Completos'!$I$7:$I$5000, '📈 Datos Completos'!$B$7:$B$5000, B50, '📈 Datos Completos'!$D$7:$D$5000, C50))</f>
        <v>2254.8000000000002</v>
      </c>
      <c r="I50" s="19">
        <f t="shared" si="1"/>
        <v>1212</v>
      </c>
      <c r="J50" s="19">
        <f t="shared" si="2"/>
        <v>3466.8</v>
      </c>
      <c r="K50" s="19">
        <f>IF(B50="","",IF(C50="DIA", (SUMIFS('📋 Detalle Diario'!$D$5:$D$489, '📋 Detalle Diario'!$B$5:$B$489, B50, '📋 Detalle Diario'!$C$5:$C$489, C50) * '⚙️ Supuestos'!$C$24) + '⚙️ Supuestos'!$C$23, (SUMIFS('📋 Detalle Diario'!$D$5:$D$489, '📋 Detalle Diario'!$B$5:$B$489, B50, '📋 Detalle Diario'!$C$5:$C$489, C50) * '⚙️ Supuestos'!$C$24) + '⚙️ Supuestos'!$C$33))</f>
        <v>5044.5503333333336</v>
      </c>
      <c r="L50" s="19">
        <f t="shared" si="3"/>
        <v>-1577.7503333333334</v>
      </c>
      <c r="M50" s="20">
        <f t="shared" si="4"/>
        <v>-0.45510278450828812</v>
      </c>
      <c r="N50" s="19">
        <f t="shared" si="5"/>
        <v>18.964474937343358</v>
      </c>
      <c r="O50" s="27" t="str">
        <f t="shared" si="6"/>
        <v>2026-05</v>
      </c>
      <c r="P50" s="19">
        <f t="shared" si="7"/>
        <v>5152.5503333333336</v>
      </c>
      <c r="Q50" s="19">
        <f>IF(B50="","",J50-P50+(SUMIFS('📋 Detalle Diario'!$E$5:$E$489, '📋 Detalle Diario'!$B$5:$B$489, B50, '📋 Detalle Diario'!$C$5:$C$489, C50)*135)+(SUMIFS('📋 Detalle Diario'!$I$5:$I$489, '📋 Detalle Diario'!$B$5:$B$489, B50, '📋 Detalle Diario'!$C$5:$C$489, C50)*200))</f>
        <v>-1685.7503333333334</v>
      </c>
      <c r="R50" s="20">
        <f t="shared" si="8"/>
        <v>-0.486255432483366</v>
      </c>
    </row>
    <row r="51" spans="2:18" ht="18" customHeight="1" x14ac:dyDescent="0.25">
      <c r="B51" s="24" t="s">
        <v>98</v>
      </c>
      <c r="C51" s="25" t="s">
        <v>73</v>
      </c>
      <c r="D51" s="18">
        <f>IF(B51="","",SUMIFS('📈 Datos Completos'!$E$7:$E$5000, '📈 Datos Completos'!$B$7:$B$5000, B51, '📈 Datos Completos'!$D$7:$D$5000, C51))</f>
        <v>500</v>
      </c>
      <c r="E51" s="18">
        <f>IF(B51="","",SUMIFS('📈 Datos Completos'!$F$7:$F$5000, '📈 Datos Completos'!$B$7:$B$5000, B51, '📈 Datos Completos'!$D$7:$D$5000, C51))</f>
        <v>100</v>
      </c>
      <c r="F51" s="18">
        <f>IF(B51="","",SUMIFS('📈 Datos Completos'!$G$7:$G$5000, '📈 Datos Completos'!$B$7:$B$5000, B51, '📈 Datos Completos'!$D$7:$D$5000, C51))</f>
        <v>1820</v>
      </c>
      <c r="G51" s="18">
        <f t="shared" si="0"/>
        <v>1920</v>
      </c>
      <c r="H51" s="19">
        <f>IF(B51="","",SUMIFS('📈 Datos Completos'!$I$7:$I$5000, '📈 Datos Completos'!$B$7:$B$5000, B51, '📈 Datos Completos'!$D$7:$D$5000, C51))</f>
        <v>3171</v>
      </c>
      <c r="I51" s="19">
        <f t="shared" si="1"/>
        <v>2592</v>
      </c>
      <c r="J51" s="19">
        <f t="shared" si="2"/>
        <v>5763</v>
      </c>
      <c r="K51" s="19">
        <f>IF(B51="","",IF(C51="DIA", (SUMIFS('📋 Detalle Diario'!$D$5:$D$489, '📋 Detalle Diario'!$B$5:$B$489, B51, '📋 Detalle Diario'!$C$5:$C$489, C51) * '⚙️ Supuestos'!$C$24) + '⚙️ Supuestos'!$C$23, (SUMIFS('📋 Detalle Diario'!$D$5:$D$489, '📋 Detalle Diario'!$B$5:$B$489, B51, '📋 Detalle Diario'!$C$5:$C$489, C51) * '⚙️ Supuestos'!$C$24) + '⚙️ Supuestos'!$C$33))</f>
        <v>4935.2170000000006</v>
      </c>
      <c r="L51" s="19">
        <f t="shared" si="3"/>
        <v>827.78299999999945</v>
      </c>
      <c r="M51" s="20">
        <f t="shared" si="4"/>
        <v>0.14363751518306428</v>
      </c>
      <c r="N51" s="19">
        <f t="shared" si="5"/>
        <v>9.8704340000000013</v>
      </c>
      <c r="O51" s="25" t="str">
        <f t="shared" si="6"/>
        <v>2026-05</v>
      </c>
      <c r="P51" s="19">
        <f t="shared" si="7"/>
        <v>5108.0170000000007</v>
      </c>
      <c r="Q51" s="19">
        <f>IF(B51="","",J51-P51+(SUMIFS('📋 Detalle Diario'!$E$5:$E$489, '📋 Detalle Diario'!$B$5:$B$489, B51, '📋 Detalle Diario'!$C$5:$C$489, C51)*135)+(SUMIFS('📋 Detalle Diario'!$I$5:$I$489, '📋 Detalle Diario'!$B$5:$B$489, B51, '📋 Detalle Diario'!$C$5:$C$489, C51)*200))</f>
        <v>654.98299999999927</v>
      </c>
      <c r="R51" s="20">
        <f t="shared" si="8"/>
        <v>0.11365313204927976</v>
      </c>
    </row>
    <row r="52" spans="2:18" ht="18" customHeight="1" x14ac:dyDescent="0.25">
      <c r="B52" s="26" t="s">
        <v>99</v>
      </c>
      <c r="C52" s="27" t="s">
        <v>72</v>
      </c>
      <c r="D52" s="18">
        <f>IF(B52="","",SUMIFS('📈 Datos Completos'!$E$7:$E$5000, '📈 Datos Completos'!$B$7:$B$5000, B52, '📈 Datos Completos'!$D$7:$D$5000, C52))</f>
        <v>232</v>
      </c>
      <c r="E52" s="18">
        <f>IF(B52="","",SUMIFS('📈 Datos Completos'!$F$7:$F$5000, '📈 Datos Completos'!$B$7:$B$5000, B52, '📈 Datos Completos'!$D$7:$D$5000, C52))</f>
        <v>135</v>
      </c>
      <c r="F52" s="18">
        <f>IF(B52="","",SUMIFS('📈 Datos Completos'!$G$7:$G$5000, '📈 Datos Completos'!$B$7:$B$5000, B52, '📈 Datos Completos'!$D$7:$D$5000, C52))</f>
        <v>580</v>
      </c>
      <c r="G52" s="18">
        <f t="shared" si="0"/>
        <v>715</v>
      </c>
      <c r="H52" s="19">
        <f>IF(B52="","",SUMIFS('📈 Datos Completos'!$I$7:$I$5000, '📈 Datos Completos'!$B$7:$B$5000, B52, '📈 Datos Completos'!$D$7:$D$5000, C52))</f>
        <v>2134.4</v>
      </c>
      <c r="I52" s="19">
        <f t="shared" si="1"/>
        <v>722.15</v>
      </c>
      <c r="J52" s="19">
        <f t="shared" si="2"/>
        <v>2856.55</v>
      </c>
      <c r="K52" s="19">
        <f>IF(B52="","",IF(C52="DIA", (SUMIFS('📋 Detalle Diario'!$D$5:$D$489, '📋 Detalle Diario'!$B$5:$B$489, B52, '📋 Detalle Diario'!$C$5:$C$489, C52) * '⚙️ Supuestos'!$C$24) + '⚙️ Supuestos'!$C$23, (SUMIFS('📋 Detalle Diario'!$D$5:$D$489, '📋 Detalle Diario'!$B$5:$B$489, B52, '📋 Detalle Diario'!$C$5:$C$489, C52) * '⚙️ Supuestos'!$C$24) + '⚙️ Supuestos'!$C$33))</f>
        <v>5044.5503333333336</v>
      </c>
      <c r="L52" s="19">
        <f t="shared" si="3"/>
        <v>-2188.0003333333334</v>
      </c>
      <c r="M52" s="20">
        <f t="shared" si="4"/>
        <v>-0.76595905317019941</v>
      </c>
      <c r="N52" s="19">
        <f t="shared" si="5"/>
        <v>21.743751436781611</v>
      </c>
      <c r="O52" s="27" t="str">
        <f t="shared" si="6"/>
        <v>2026-05</v>
      </c>
      <c r="P52" s="19">
        <f t="shared" si="7"/>
        <v>5108.9003333333339</v>
      </c>
      <c r="Q52" s="19">
        <f>IF(B52="","",J52-P52+(SUMIFS('📋 Detalle Diario'!$E$5:$E$489, '📋 Detalle Diario'!$B$5:$B$489, B52, '📋 Detalle Diario'!$C$5:$C$489, C52)*135)+(SUMIFS('📋 Detalle Diario'!$I$5:$I$489, '📋 Detalle Diario'!$B$5:$B$489, B52, '📋 Detalle Diario'!$C$5:$C$489, C52)*200))</f>
        <v>-2252.3503333333338</v>
      </c>
      <c r="R52" s="20">
        <f t="shared" si="8"/>
        <v>-0.7884862275588852</v>
      </c>
    </row>
    <row r="53" spans="2:18" ht="18" customHeight="1" x14ac:dyDescent="0.25">
      <c r="B53" s="24" t="s">
        <v>99</v>
      </c>
      <c r="C53" s="25" t="s">
        <v>73</v>
      </c>
      <c r="D53" s="18">
        <f>IF(B53="","",SUMIFS('📈 Datos Completos'!$E$7:$E$5000, '📈 Datos Completos'!$B$7:$B$5000, B53, '📈 Datos Completos'!$D$7:$D$5000, C53))</f>
        <v>562</v>
      </c>
      <c r="E53" s="18">
        <f>IF(B53="","",SUMIFS('📈 Datos Completos'!$F$7:$F$5000, '📈 Datos Completos'!$B$7:$B$5000, B53, '📈 Datos Completos'!$D$7:$D$5000, C53))</f>
        <v>442</v>
      </c>
      <c r="F53" s="18">
        <f>IF(B53="","",SUMIFS('📈 Datos Completos'!$G$7:$G$5000, '📈 Datos Completos'!$B$7:$B$5000, B53, '📈 Datos Completos'!$D$7:$D$5000, C53))</f>
        <v>2840</v>
      </c>
      <c r="G53" s="18">
        <f t="shared" si="0"/>
        <v>3282</v>
      </c>
      <c r="H53" s="19">
        <f>IF(B53="","",SUMIFS('📈 Datos Completos'!$I$7:$I$5000, '📈 Datos Completos'!$B$7:$B$5000, B53, '📈 Datos Completos'!$D$7:$D$5000, C53))</f>
        <v>3554.46</v>
      </c>
      <c r="I53" s="19">
        <f t="shared" si="1"/>
        <v>4430.7000000000007</v>
      </c>
      <c r="J53" s="19">
        <f t="shared" si="2"/>
        <v>7985.1600000000008</v>
      </c>
      <c r="K53" s="19">
        <f>IF(B53="","",IF(C53="DIA", (SUMIFS('📋 Detalle Diario'!$D$5:$D$489, '📋 Detalle Diario'!$B$5:$B$489, B53, '📋 Detalle Diario'!$C$5:$C$489, C53) * '⚙️ Supuestos'!$C$24) + '⚙️ Supuestos'!$C$23, (SUMIFS('📋 Detalle Diario'!$D$5:$D$489, '📋 Detalle Diario'!$B$5:$B$489, B53, '📋 Detalle Diario'!$C$5:$C$489, C53) * '⚙️ Supuestos'!$C$24) + '⚙️ Supuestos'!$C$33))</f>
        <v>4935.2170000000006</v>
      </c>
      <c r="L53" s="19">
        <f t="shared" si="3"/>
        <v>3049.9430000000002</v>
      </c>
      <c r="M53" s="20">
        <f t="shared" si="4"/>
        <v>0.38195139483742341</v>
      </c>
      <c r="N53" s="19">
        <f t="shared" si="5"/>
        <v>8.7815249110320295</v>
      </c>
      <c r="O53" s="25" t="str">
        <f t="shared" si="6"/>
        <v>2026-05</v>
      </c>
      <c r="P53" s="19">
        <f t="shared" si="7"/>
        <v>5230.5970000000007</v>
      </c>
      <c r="Q53" s="19">
        <f>IF(B53="","",J53-P53+(SUMIFS('📋 Detalle Diario'!$E$5:$E$489, '📋 Detalle Diario'!$B$5:$B$489, B53, '📋 Detalle Diario'!$C$5:$C$489, C53)*135)+(SUMIFS('📋 Detalle Diario'!$I$5:$I$489, '📋 Detalle Diario'!$B$5:$B$489, B53, '📋 Detalle Diario'!$C$5:$C$489, C53)*200))</f>
        <v>2754.5630000000001</v>
      </c>
      <c r="R53" s="20">
        <f t="shared" si="8"/>
        <v>0.34496027631255977</v>
      </c>
    </row>
    <row r="54" spans="2:18" ht="18" customHeight="1" x14ac:dyDescent="0.25">
      <c r="B54" s="26" t="s">
        <v>100</v>
      </c>
      <c r="C54" s="27" t="s">
        <v>72</v>
      </c>
      <c r="D54" s="18">
        <f>IF(B54="","",SUMIFS('📈 Datos Completos'!$E$7:$E$5000, '📈 Datos Completos'!$B$7:$B$5000, B54, '📈 Datos Completos'!$D$7:$D$5000, C54))</f>
        <v>750</v>
      </c>
      <c r="E54" s="18">
        <f>IF(B54="","",SUMIFS('📈 Datos Completos'!$F$7:$F$5000, '📈 Datos Completos'!$B$7:$B$5000, B54, '📈 Datos Completos'!$D$7:$D$5000, C54))</f>
        <v>720</v>
      </c>
      <c r="F54" s="18">
        <f>IF(B54="","",SUMIFS('📈 Datos Completos'!$G$7:$G$5000, '📈 Datos Completos'!$B$7:$B$5000, B54, '📈 Datos Completos'!$D$7:$D$5000, C54))</f>
        <v>2160</v>
      </c>
      <c r="G54" s="18">
        <f t="shared" si="0"/>
        <v>2880</v>
      </c>
      <c r="H54" s="19">
        <f>IF(B54="","",SUMIFS('📈 Datos Completos'!$I$7:$I$5000, '📈 Datos Completos'!$B$7:$B$5000, B54, '📈 Datos Completos'!$D$7:$D$5000, C54))</f>
        <v>4604.3999999999996</v>
      </c>
      <c r="I54" s="19">
        <f t="shared" si="1"/>
        <v>2908.8</v>
      </c>
      <c r="J54" s="19">
        <f t="shared" si="2"/>
        <v>7513.2</v>
      </c>
      <c r="K54" s="19">
        <f>IF(B54="","",IF(C54="DIA", (SUMIFS('📋 Detalle Diario'!$D$5:$D$489, '📋 Detalle Diario'!$B$5:$B$489, B54, '📋 Detalle Diario'!$C$5:$C$489, C54) * '⚙️ Supuestos'!$C$24) + '⚙️ Supuestos'!$C$23, (SUMIFS('📋 Detalle Diario'!$D$5:$D$489, '📋 Detalle Diario'!$B$5:$B$489, B54, '📋 Detalle Diario'!$C$5:$C$489, C54) * '⚙️ Supuestos'!$C$24) + '⚙️ Supuestos'!$C$33))</f>
        <v>5044.5503333333336</v>
      </c>
      <c r="L54" s="19">
        <f t="shared" si="3"/>
        <v>2468.6496666666662</v>
      </c>
      <c r="M54" s="20">
        <f t="shared" si="4"/>
        <v>0.32857499689435476</v>
      </c>
      <c r="N54" s="19">
        <f t="shared" si="5"/>
        <v>6.7260671111111119</v>
      </c>
      <c r="O54" s="27" t="str">
        <f t="shared" si="6"/>
        <v>2026-05</v>
      </c>
      <c r="P54" s="19">
        <f t="shared" si="7"/>
        <v>5303.7503333333334</v>
      </c>
      <c r="Q54" s="19">
        <f>IF(B54="","",J54-P54+(SUMIFS('📋 Detalle Diario'!$E$5:$E$489, '📋 Detalle Diario'!$B$5:$B$489, B54, '📋 Detalle Diario'!$C$5:$C$489, C54)*135)+(SUMIFS('📋 Detalle Diario'!$I$5:$I$489, '📋 Detalle Diario'!$B$5:$B$489, B54, '📋 Detalle Diario'!$C$5:$C$489, C54)*200))</f>
        <v>2209.4496666666664</v>
      </c>
      <c r="R54" s="20">
        <f t="shared" si="8"/>
        <v>0.29407571562938117</v>
      </c>
    </row>
    <row r="55" spans="2:18" ht="18" customHeight="1" x14ac:dyDescent="0.25">
      <c r="B55" s="24" t="s">
        <v>100</v>
      </c>
      <c r="C55" s="25" t="s">
        <v>73</v>
      </c>
      <c r="D55" s="18">
        <f>IF(B55="","",SUMIFS('📈 Datos Completos'!$E$7:$E$5000, '📈 Datos Completos'!$B$7:$B$5000, B55, '📈 Datos Completos'!$D$7:$D$5000, C55))</f>
        <v>1281</v>
      </c>
      <c r="E55" s="18">
        <f>IF(B55="","",SUMIFS('📈 Datos Completos'!$F$7:$F$5000, '📈 Datos Completos'!$B$7:$B$5000, B55, '📈 Datos Completos'!$D$7:$D$5000, C55))</f>
        <v>495</v>
      </c>
      <c r="F55" s="18">
        <f>IF(B55="","",SUMIFS('📈 Datos Completos'!$G$7:$G$5000, '📈 Datos Completos'!$B$7:$B$5000, B55, '📈 Datos Completos'!$D$7:$D$5000, C55))</f>
        <v>2050</v>
      </c>
      <c r="G55" s="18">
        <f t="shared" si="0"/>
        <v>2545</v>
      </c>
      <c r="H55" s="19">
        <f>IF(B55="","",SUMIFS('📈 Datos Completos'!$I$7:$I$5000, '📈 Datos Completos'!$B$7:$B$5000, B55, '📈 Datos Completos'!$D$7:$D$5000, C55))</f>
        <v>9435.4500000000007</v>
      </c>
      <c r="I55" s="19">
        <f t="shared" si="1"/>
        <v>3435.75</v>
      </c>
      <c r="J55" s="19">
        <f t="shared" si="2"/>
        <v>12871.2</v>
      </c>
      <c r="K55" s="19">
        <f>IF(B55="","",IF(C55="DIA", (SUMIFS('📋 Detalle Diario'!$D$5:$D$489, '📋 Detalle Diario'!$B$5:$B$489, B55, '📋 Detalle Diario'!$C$5:$C$489, C55) * '⚙️ Supuestos'!$C$24) + '⚙️ Supuestos'!$C$23, (SUMIFS('📋 Detalle Diario'!$D$5:$D$489, '📋 Detalle Diario'!$B$5:$B$489, B55, '📋 Detalle Diario'!$C$5:$C$489, C55) * '⚙️ Supuestos'!$C$24) + '⚙️ Supuestos'!$C$33))</f>
        <v>4935.2170000000006</v>
      </c>
      <c r="L55" s="19">
        <f t="shared" si="3"/>
        <v>7935.9830000000002</v>
      </c>
      <c r="M55" s="20">
        <f t="shared" si="4"/>
        <v>0.61656900677481508</v>
      </c>
      <c r="N55" s="19">
        <f t="shared" si="5"/>
        <v>3.852628415300547</v>
      </c>
      <c r="O55" s="25" t="str">
        <f t="shared" si="6"/>
        <v>2026-05</v>
      </c>
      <c r="P55" s="19">
        <f t="shared" si="7"/>
        <v>5164.2670000000007</v>
      </c>
      <c r="Q55" s="19">
        <f>IF(B55="","",J55-P55+(SUMIFS('📋 Detalle Diario'!$E$5:$E$489, '📋 Detalle Diario'!$B$5:$B$489, B55, '📋 Detalle Diario'!$C$5:$C$489, C55)*135)+(SUMIFS('📋 Detalle Diario'!$I$5:$I$489, '📋 Detalle Diario'!$B$5:$B$489, B55, '📋 Detalle Diario'!$C$5:$C$489, C55)*200))</f>
        <v>7706.933</v>
      </c>
      <c r="R55" s="20">
        <f t="shared" si="8"/>
        <v>0.59877346323575109</v>
      </c>
    </row>
    <row r="56" spans="2:18" ht="18" customHeight="1" x14ac:dyDescent="0.25">
      <c r="B56" s="26" t="s">
        <v>101</v>
      </c>
      <c r="C56" s="27" t="s">
        <v>72</v>
      </c>
      <c r="D56" s="18">
        <f>IF(B56="","",SUMIFS('📈 Datos Completos'!$E$7:$E$5000, '📈 Datos Completos'!$B$7:$B$5000, B56, '📈 Datos Completos'!$D$7:$D$5000, C56))</f>
        <v>515</v>
      </c>
      <c r="E56" s="18">
        <f>IF(B56="","",SUMIFS('📈 Datos Completos'!$F$7:$F$5000, '📈 Datos Completos'!$B$7:$B$5000, B56, '📈 Datos Completos'!$D$7:$D$5000, C56))</f>
        <v>0</v>
      </c>
      <c r="F56" s="18">
        <f>IF(B56="","",SUMIFS('📈 Datos Completos'!$G$7:$G$5000, '📈 Datos Completos'!$B$7:$B$5000, B56, '📈 Datos Completos'!$D$7:$D$5000, C56))</f>
        <v>480</v>
      </c>
      <c r="G56" s="18">
        <f t="shared" si="0"/>
        <v>480</v>
      </c>
      <c r="H56" s="19">
        <f>IF(B56="","",SUMIFS('📈 Datos Completos'!$I$7:$I$5000, '📈 Datos Completos'!$B$7:$B$5000, B56, '📈 Datos Completos'!$D$7:$D$5000, C56))</f>
        <v>4546.2000000000007</v>
      </c>
      <c r="I56" s="19">
        <f t="shared" si="1"/>
        <v>484.8</v>
      </c>
      <c r="J56" s="19">
        <f t="shared" si="2"/>
        <v>5031.0000000000009</v>
      </c>
      <c r="K56" s="19">
        <f>IF(B56="","",IF(C56="DIA", (SUMIFS('📋 Detalle Diario'!$D$5:$D$489, '📋 Detalle Diario'!$B$5:$B$489, B56, '📋 Detalle Diario'!$C$5:$C$489, C56) * '⚙️ Supuestos'!$C$24) + '⚙️ Supuestos'!$C$23, (SUMIFS('📋 Detalle Diario'!$D$5:$D$489, '📋 Detalle Diario'!$B$5:$B$489, B56, '📋 Detalle Diario'!$C$5:$C$489, C56) * '⚙️ Supuestos'!$C$24) + '⚙️ Supuestos'!$C$33))</f>
        <v>5044.5503333333336</v>
      </c>
      <c r="L56" s="19">
        <f t="shared" si="3"/>
        <v>-13.550333333332674</v>
      </c>
      <c r="M56" s="20">
        <f t="shared" si="4"/>
        <v>-2.6933677863909106E-3</v>
      </c>
      <c r="N56" s="19">
        <f t="shared" si="5"/>
        <v>9.7952433656957929</v>
      </c>
      <c r="O56" s="27" t="str">
        <f t="shared" si="6"/>
        <v>2026-05</v>
      </c>
      <c r="P56" s="19">
        <f t="shared" si="7"/>
        <v>5087.7503333333334</v>
      </c>
      <c r="Q56" s="19">
        <f>IF(B56="","",J56-P56+(SUMIFS('📋 Detalle Diario'!$E$5:$E$489, '📋 Detalle Diario'!$B$5:$B$489, B56, '📋 Detalle Diario'!$C$5:$C$489, C56)*135)+(SUMIFS('📋 Detalle Diario'!$I$5:$I$489, '📋 Detalle Diario'!$B$5:$B$489, B56, '📋 Detalle Diario'!$C$5:$C$489, C56)*200))</f>
        <v>-56.750333333332492</v>
      </c>
      <c r="R56" s="20">
        <f t="shared" si="8"/>
        <v>-1.128012986152504E-2</v>
      </c>
    </row>
    <row r="57" spans="2:18" ht="18" customHeight="1" x14ac:dyDescent="0.25">
      <c r="B57" s="24" t="s">
        <v>101</v>
      </c>
      <c r="C57" s="25" t="s">
        <v>73</v>
      </c>
      <c r="D57" s="18">
        <f>IF(B57="","",SUMIFS('📈 Datos Completos'!$E$7:$E$5000, '📈 Datos Completos'!$B$7:$B$5000, B57, '📈 Datos Completos'!$D$7:$D$5000, C57))</f>
        <v>801.8</v>
      </c>
      <c r="E57" s="18">
        <f>IF(B57="","",SUMIFS('📈 Datos Completos'!$F$7:$F$5000, '📈 Datos Completos'!$B$7:$B$5000, B57, '📈 Datos Completos'!$D$7:$D$5000, C57))</f>
        <v>1735</v>
      </c>
      <c r="F57" s="18">
        <f>IF(B57="","",SUMIFS('📈 Datos Completos'!$G$7:$G$5000, '📈 Datos Completos'!$B$7:$B$5000, B57, '📈 Datos Completos'!$D$7:$D$5000, C57))</f>
        <v>3723</v>
      </c>
      <c r="G57" s="18">
        <f t="shared" si="0"/>
        <v>5458</v>
      </c>
      <c r="H57" s="19">
        <f>IF(B57="","",SUMIFS('📈 Datos Completos'!$I$7:$I$5000, '📈 Datos Completos'!$B$7:$B$5000, B57, '📈 Datos Completos'!$D$7:$D$5000, C57))</f>
        <v>5213.3100000000004</v>
      </c>
      <c r="I57" s="19">
        <f t="shared" si="1"/>
        <v>7368.3</v>
      </c>
      <c r="J57" s="19">
        <f t="shared" si="2"/>
        <v>12581.61</v>
      </c>
      <c r="K57" s="19">
        <f>IF(B57="","",IF(C57="DIA", (SUMIFS('📋 Detalle Diario'!$D$5:$D$489, '📋 Detalle Diario'!$B$5:$B$489, B57, '📋 Detalle Diario'!$C$5:$C$489, C57) * '⚙️ Supuestos'!$C$24) + '⚙️ Supuestos'!$C$23, (SUMIFS('📋 Detalle Diario'!$D$5:$D$489, '📋 Detalle Diario'!$B$5:$B$489, B57, '📋 Detalle Diario'!$C$5:$C$489, C57) * '⚙️ Supuestos'!$C$24) + '⚙️ Supuestos'!$C$33))</f>
        <v>4935.2170000000006</v>
      </c>
      <c r="L57" s="19">
        <f t="shared" si="3"/>
        <v>7646.393</v>
      </c>
      <c r="M57" s="20">
        <f t="shared" si="4"/>
        <v>0.60774360356107049</v>
      </c>
      <c r="N57" s="19">
        <f t="shared" si="5"/>
        <v>6.1551721127463219</v>
      </c>
      <c r="O57" s="25" t="str">
        <f t="shared" si="6"/>
        <v>2026-05</v>
      </c>
      <c r="P57" s="19">
        <f t="shared" si="7"/>
        <v>5426.4370000000008</v>
      </c>
      <c r="Q57" s="19">
        <f>IF(B57="","",J57-P57+(SUMIFS('📋 Detalle Diario'!$E$5:$E$489, '📋 Detalle Diario'!$B$5:$B$489, B57, '📋 Detalle Diario'!$C$5:$C$489, C57)*135)+(SUMIFS('📋 Detalle Diario'!$I$5:$I$489, '📋 Detalle Diario'!$B$5:$B$489, B57, '📋 Detalle Diario'!$C$5:$C$489, C57)*200))</f>
        <v>7155.1729999999998</v>
      </c>
      <c r="R57" s="20">
        <f t="shared" si="8"/>
        <v>0.5687009055279888</v>
      </c>
    </row>
    <row r="58" spans="2:18" ht="18" customHeight="1" x14ac:dyDescent="0.25">
      <c r="B58" s="26" t="s">
        <v>102</v>
      </c>
      <c r="C58" s="27" t="s">
        <v>72</v>
      </c>
      <c r="D58" s="18">
        <f>IF(B58="","",SUMIFS('📈 Datos Completos'!$E$7:$E$5000, '📈 Datos Completos'!$B$7:$B$5000, B58, '📈 Datos Completos'!$D$7:$D$5000, C58))</f>
        <v>147</v>
      </c>
      <c r="E58" s="18">
        <f>IF(B58="","",SUMIFS('📈 Datos Completos'!$F$7:$F$5000, '📈 Datos Completos'!$B$7:$B$5000, B58, '📈 Datos Completos'!$D$7:$D$5000, C58))</f>
        <v>288</v>
      </c>
      <c r="F58" s="18">
        <f>IF(B58="","",SUMIFS('📈 Datos Completos'!$G$7:$G$5000, '📈 Datos Completos'!$B$7:$B$5000, B58, '📈 Datos Completos'!$D$7:$D$5000, C58))</f>
        <v>1464</v>
      </c>
      <c r="G58" s="18">
        <f t="shared" si="0"/>
        <v>1752</v>
      </c>
      <c r="H58" s="19">
        <f>IF(B58="","",SUMIFS('📈 Datos Completos'!$I$7:$I$5000, '📈 Datos Completos'!$B$7:$B$5000, B58, '📈 Datos Completos'!$D$7:$D$5000, C58))</f>
        <v>910.68</v>
      </c>
      <c r="I58" s="19">
        <f t="shared" si="1"/>
        <v>1769.52</v>
      </c>
      <c r="J58" s="19">
        <f t="shared" si="2"/>
        <v>2680.2</v>
      </c>
      <c r="K58" s="19">
        <f>IF(B58="","",IF(C58="DIA", (SUMIFS('📋 Detalle Diario'!$D$5:$D$489, '📋 Detalle Diario'!$B$5:$B$489, B58, '📋 Detalle Diario'!$C$5:$C$489, C58) * '⚙️ Supuestos'!$C$24) + '⚙️ Supuestos'!$C$23, (SUMIFS('📋 Detalle Diario'!$D$5:$D$489, '📋 Detalle Diario'!$B$5:$B$489, B58, '📋 Detalle Diario'!$C$5:$C$489, C58) * '⚙️ Supuestos'!$C$24) + '⚙️ Supuestos'!$C$33))</f>
        <v>5044.5503333333336</v>
      </c>
      <c r="L58" s="19">
        <f t="shared" si="3"/>
        <v>-2364.3503333333338</v>
      </c>
      <c r="M58" s="20">
        <f t="shared" si="4"/>
        <v>-0.88215444121085518</v>
      </c>
      <c r="N58" s="19">
        <f t="shared" si="5"/>
        <v>34.316668934240361</v>
      </c>
      <c r="O58" s="27" t="str">
        <f t="shared" si="6"/>
        <v>2026-05</v>
      </c>
      <c r="P58" s="19">
        <f t="shared" si="7"/>
        <v>5202.2303333333339</v>
      </c>
      <c r="Q58" s="19">
        <f>IF(B58="","",J58-P58+(SUMIFS('📋 Detalle Diario'!$E$5:$E$489, '📋 Detalle Diario'!$B$5:$B$489, B58, '📋 Detalle Diario'!$C$5:$C$489, C58)*135)+(SUMIFS('📋 Detalle Diario'!$I$5:$I$489, '📋 Detalle Diario'!$B$5:$B$489, B58, '📋 Detalle Diario'!$C$5:$C$489, C58)*200))</f>
        <v>-2522.0303333333341</v>
      </c>
      <c r="R58" s="20">
        <f t="shared" si="8"/>
        <v>-0.94098587170111714</v>
      </c>
    </row>
    <row r="59" spans="2:18" ht="18" customHeight="1" x14ac:dyDescent="0.25">
      <c r="B59" s="24" t="s">
        <v>103</v>
      </c>
      <c r="C59" s="25" t="s">
        <v>72</v>
      </c>
      <c r="D59" s="18">
        <f>IF(B59="","",SUMIFS('📈 Datos Completos'!$E$7:$E$5000, '📈 Datos Completos'!$B$7:$B$5000, B59, '📈 Datos Completos'!$D$7:$D$5000, C59))</f>
        <v>414</v>
      </c>
      <c r="E59" s="18">
        <f>IF(B59="","",SUMIFS('📈 Datos Completos'!$F$7:$F$5000, '📈 Datos Completos'!$B$7:$B$5000, B59, '📈 Datos Completos'!$D$7:$D$5000, C59))</f>
        <v>838</v>
      </c>
      <c r="F59" s="18">
        <f>IF(B59="","",SUMIFS('📈 Datos Completos'!$G$7:$G$5000, '📈 Datos Completos'!$B$7:$B$5000, B59, '📈 Datos Completos'!$D$7:$D$5000, C59))</f>
        <v>1444</v>
      </c>
      <c r="G59" s="18">
        <f t="shared" si="0"/>
        <v>2282</v>
      </c>
      <c r="H59" s="19">
        <f>IF(B59="","",SUMIFS('📈 Datos Completos'!$I$7:$I$5000, '📈 Datos Completos'!$B$7:$B$5000, B59, '📈 Datos Completos'!$D$7:$D$5000, C59))</f>
        <v>1887.1199999999997</v>
      </c>
      <c r="I59" s="19">
        <f t="shared" si="1"/>
        <v>2304.8200000000002</v>
      </c>
      <c r="J59" s="19">
        <f t="shared" si="2"/>
        <v>4191.9399999999996</v>
      </c>
      <c r="K59" s="19">
        <f>IF(B59="","",IF(C59="DIA", (SUMIFS('📋 Detalle Diario'!$D$5:$D$489, '📋 Detalle Diario'!$B$5:$B$489, B59, '📋 Detalle Diario'!$C$5:$C$489, C59) * '⚙️ Supuestos'!$C$24) + '⚙️ Supuestos'!$C$23, (SUMIFS('📋 Detalle Diario'!$D$5:$D$489, '📋 Detalle Diario'!$B$5:$B$489, B59, '📋 Detalle Diario'!$C$5:$C$489, C59) * '⚙️ Supuestos'!$C$24) + '⚙️ Supuestos'!$C$33))</f>
        <v>5044.5503333333336</v>
      </c>
      <c r="L59" s="19">
        <f t="shared" si="3"/>
        <v>-852.61033333333398</v>
      </c>
      <c r="M59" s="20">
        <f t="shared" si="4"/>
        <v>-0.20339278074908851</v>
      </c>
      <c r="N59" s="19">
        <f t="shared" si="5"/>
        <v>12.184904186795492</v>
      </c>
      <c r="O59" s="25" t="str">
        <f t="shared" si="6"/>
        <v>2026-05</v>
      </c>
      <c r="P59" s="19">
        <f t="shared" si="7"/>
        <v>5249.9303333333337</v>
      </c>
      <c r="Q59" s="19">
        <f>IF(B59="","",J59-P59+(SUMIFS('📋 Detalle Diario'!$E$5:$E$489, '📋 Detalle Diario'!$B$5:$B$489, B59, '📋 Detalle Diario'!$C$5:$C$489, C59)*135)+(SUMIFS('📋 Detalle Diario'!$I$5:$I$489, '📋 Detalle Diario'!$B$5:$B$489, B59, '📋 Detalle Diario'!$C$5:$C$489, C59)*200))</f>
        <v>-1057.9903333333341</v>
      </c>
      <c r="R59" s="20">
        <f t="shared" si="8"/>
        <v>-0.25238680261008845</v>
      </c>
    </row>
    <row r="60" spans="2:18" ht="18" customHeight="1" x14ac:dyDescent="0.25">
      <c r="B60" s="26" t="s">
        <v>103</v>
      </c>
      <c r="C60" s="27" t="s">
        <v>73</v>
      </c>
      <c r="D60" s="18">
        <f>IF(B60="","",SUMIFS('📈 Datos Completos'!$E$7:$E$5000, '📈 Datos Completos'!$B$7:$B$5000, B60, '📈 Datos Completos'!$D$7:$D$5000, C60))</f>
        <v>1606</v>
      </c>
      <c r="E60" s="18">
        <f>IF(B60="","",SUMIFS('📈 Datos Completos'!$F$7:$F$5000, '📈 Datos Completos'!$B$7:$B$5000, B60, '📈 Datos Completos'!$D$7:$D$5000, C60))</f>
        <v>1516</v>
      </c>
      <c r="F60" s="18">
        <f>IF(B60="","",SUMIFS('📈 Datos Completos'!$G$7:$G$5000, '📈 Datos Completos'!$B$7:$B$5000, B60, '📈 Datos Completos'!$D$7:$D$5000, C60))</f>
        <v>3364</v>
      </c>
      <c r="G60" s="18">
        <f t="shared" si="0"/>
        <v>4880</v>
      </c>
      <c r="H60" s="19">
        <f>IF(B60="","",SUMIFS('📈 Datos Completos'!$I$7:$I$5000, '📈 Datos Completos'!$B$7:$B$5000, B60, '📈 Datos Completos'!$D$7:$D$5000, C60))</f>
        <v>9684.18</v>
      </c>
      <c r="I60" s="19">
        <f t="shared" si="1"/>
        <v>6588</v>
      </c>
      <c r="J60" s="19">
        <f t="shared" si="2"/>
        <v>16272.18</v>
      </c>
      <c r="K60" s="19">
        <f>IF(B60="","",IF(C60="DIA", (SUMIFS('📋 Detalle Diario'!$D$5:$D$489, '📋 Detalle Diario'!$B$5:$B$489, B60, '📋 Detalle Diario'!$C$5:$C$489, C60) * '⚙️ Supuestos'!$C$24) + '⚙️ Supuestos'!$C$23, (SUMIFS('📋 Detalle Diario'!$D$5:$D$489, '📋 Detalle Diario'!$B$5:$B$489, B60, '📋 Detalle Diario'!$C$5:$C$489, C60) * '⚙️ Supuestos'!$C$24) + '⚙️ Supuestos'!$C$33))</f>
        <v>4935.2170000000006</v>
      </c>
      <c r="L60" s="19">
        <f t="shared" si="3"/>
        <v>11336.963</v>
      </c>
      <c r="M60" s="20">
        <f t="shared" si="4"/>
        <v>0.6967083082905916</v>
      </c>
      <c r="N60" s="19">
        <f t="shared" si="5"/>
        <v>3.0729869240348697</v>
      </c>
      <c r="O60" s="27" t="str">
        <f t="shared" si="6"/>
        <v>2026-05</v>
      </c>
      <c r="P60" s="19">
        <f t="shared" si="7"/>
        <v>5374.4170000000004</v>
      </c>
      <c r="Q60" s="19">
        <f>IF(B60="","",J60-P60+(SUMIFS('📋 Detalle Diario'!$E$5:$E$489, '📋 Detalle Diario'!$B$5:$B$489, B60, '📋 Detalle Diario'!$C$5:$C$489, C60)*135)+(SUMIFS('📋 Detalle Diario'!$I$5:$I$489, '📋 Detalle Diario'!$B$5:$B$489, B60, '📋 Detalle Diario'!$C$5:$C$489, C60)*200))</f>
        <v>10897.762999999999</v>
      </c>
      <c r="R60" s="20">
        <f t="shared" si="8"/>
        <v>0.66971745641948399</v>
      </c>
    </row>
    <row r="61" spans="2:18" ht="18" customHeight="1" x14ac:dyDescent="0.25">
      <c r="B61" s="24" t="s">
        <v>104</v>
      </c>
      <c r="C61" s="25" t="s">
        <v>72</v>
      </c>
      <c r="D61" s="18">
        <f>IF(B61="","",SUMIFS('📈 Datos Completos'!$E$7:$E$5000, '📈 Datos Completos'!$B$7:$B$5000, B61, '📈 Datos Completos'!$D$7:$D$5000, C61))</f>
        <v>431</v>
      </c>
      <c r="E61" s="18">
        <f>IF(B61="","",SUMIFS('📈 Datos Completos'!$F$7:$F$5000, '📈 Datos Completos'!$B$7:$B$5000, B61, '📈 Datos Completos'!$D$7:$D$5000, C61))</f>
        <v>300</v>
      </c>
      <c r="F61" s="18">
        <f>IF(B61="","",SUMIFS('📈 Datos Completos'!$G$7:$G$5000, '📈 Datos Completos'!$B$7:$B$5000, B61, '📈 Datos Completos'!$D$7:$D$5000, C61))</f>
        <v>1320</v>
      </c>
      <c r="G61" s="18">
        <f t="shared" si="0"/>
        <v>1620</v>
      </c>
      <c r="H61" s="19">
        <f>IF(B61="","",SUMIFS('📈 Datos Completos'!$I$7:$I$5000, '📈 Datos Completos'!$B$7:$B$5000, B61, '📈 Datos Completos'!$D$7:$D$5000, C61))</f>
        <v>2593.8000000000002</v>
      </c>
      <c r="I61" s="19">
        <f t="shared" si="1"/>
        <v>1636.2</v>
      </c>
      <c r="J61" s="19">
        <f t="shared" si="2"/>
        <v>4230</v>
      </c>
      <c r="K61" s="19">
        <f>IF(B61="","",IF(C61="DIA", (SUMIFS('📋 Detalle Diario'!$D$5:$D$489, '📋 Detalle Diario'!$B$5:$B$489, B61, '📋 Detalle Diario'!$C$5:$C$489, C61) * '⚙️ Supuestos'!$C$24) + '⚙️ Supuestos'!$C$23, (SUMIFS('📋 Detalle Diario'!$D$5:$D$489, '📋 Detalle Diario'!$B$5:$B$489, B61, '📋 Detalle Diario'!$C$5:$C$489, C61) * '⚙️ Supuestos'!$C$24) + '⚙️ Supuestos'!$C$33))</f>
        <v>5839.7531666666664</v>
      </c>
      <c r="L61" s="19">
        <f t="shared" si="3"/>
        <v>-1609.7531666666664</v>
      </c>
      <c r="M61" s="20">
        <f t="shared" si="4"/>
        <v>-0.38055630417651687</v>
      </c>
      <c r="N61" s="19">
        <f t="shared" si="5"/>
        <v>13.549311291569992</v>
      </c>
      <c r="O61" s="25" t="str">
        <f t="shared" si="6"/>
        <v>2026-06</v>
      </c>
      <c r="P61" s="19">
        <f t="shared" si="7"/>
        <v>5985.5531666666666</v>
      </c>
      <c r="Q61" s="19">
        <f>IF(B61="","",J61-P61+(SUMIFS('📋 Detalle Diario'!$E$5:$E$489, '📋 Detalle Diario'!$B$5:$B$489, B61, '📋 Detalle Diario'!$C$5:$C$489, C61)*135)+(SUMIFS('📋 Detalle Diario'!$I$5:$I$489, '📋 Detalle Diario'!$B$5:$B$489, B61, '📋 Detalle Diario'!$C$5:$C$489, C61)*200))</f>
        <v>-1755.5531666666666</v>
      </c>
      <c r="R61" s="20">
        <f t="shared" si="8"/>
        <v>-0.41502438928289992</v>
      </c>
    </row>
    <row r="62" spans="2:18" ht="18" customHeight="1" x14ac:dyDescent="0.25">
      <c r="B62" s="26" t="s">
        <v>104</v>
      </c>
      <c r="C62" s="27" t="s">
        <v>73</v>
      </c>
      <c r="D62" s="18">
        <f>IF(B62="","",SUMIFS('📈 Datos Completos'!$E$7:$E$5000, '📈 Datos Completos'!$B$7:$B$5000, B62, '📈 Datos Completos'!$D$7:$D$5000, C62))</f>
        <v>355</v>
      </c>
      <c r="E62" s="18">
        <f>IF(B62="","",SUMIFS('📈 Datos Completos'!$F$7:$F$5000, '📈 Datos Completos'!$B$7:$B$5000, B62, '📈 Datos Completos'!$D$7:$D$5000, C62))</f>
        <v>48</v>
      </c>
      <c r="F62" s="18">
        <f>IF(B62="","",SUMIFS('📈 Datos Completos'!$G$7:$G$5000, '📈 Datos Completos'!$B$7:$B$5000, B62, '📈 Datos Completos'!$D$7:$D$5000, C62))</f>
        <v>492</v>
      </c>
      <c r="G62" s="18">
        <f t="shared" si="0"/>
        <v>540</v>
      </c>
      <c r="H62" s="19">
        <f>IF(B62="","",SUMIFS('📈 Datos Completos'!$I$7:$I$5000, '📈 Datos Completos'!$B$7:$B$5000, B62, '📈 Datos Completos'!$D$7:$D$5000, C62))</f>
        <v>3184.44</v>
      </c>
      <c r="I62" s="19">
        <f t="shared" si="1"/>
        <v>729</v>
      </c>
      <c r="J62" s="19">
        <f t="shared" si="2"/>
        <v>3913.44</v>
      </c>
      <c r="K62" s="19">
        <f>IF(B62="","",IF(C62="DIA", (SUMIFS('📋 Detalle Diario'!$D$5:$D$489, '📋 Detalle Diario'!$B$5:$B$489, B62, '📋 Detalle Diario'!$C$5:$C$489, C62) * '⚙️ Supuestos'!$C$24) + '⚙️ Supuestos'!$C$23, (SUMIFS('📋 Detalle Diario'!$D$5:$D$489, '📋 Detalle Diario'!$B$5:$B$489, B62, '📋 Detalle Diario'!$C$5:$C$489, C62) * '⚙️ Supuestos'!$C$24) + '⚙️ Supuestos'!$C$33))</f>
        <v>5730.4198333333334</v>
      </c>
      <c r="L62" s="19">
        <f t="shared" si="3"/>
        <v>-1816.9798333333333</v>
      </c>
      <c r="M62" s="20">
        <f t="shared" si="4"/>
        <v>-0.46429224246017142</v>
      </c>
      <c r="N62" s="19">
        <f t="shared" si="5"/>
        <v>16.142027699530516</v>
      </c>
      <c r="O62" s="27" t="str">
        <f t="shared" si="6"/>
        <v>2026-06</v>
      </c>
      <c r="P62" s="19">
        <f t="shared" si="7"/>
        <v>5779.0198333333337</v>
      </c>
      <c r="Q62" s="19">
        <f>IF(B62="","",J62-P62+(SUMIFS('📋 Detalle Diario'!$E$5:$E$489, '📋 Detalle Diario'!$B$5:$B$489, B62, '📋 Detalle Diario'!$C$5:$C$489, C62)*135)+(SUMIFS('📋 Detalle Diario'!$I$5:$I$489, '📋 Detalle Diario'!$B$5:$B$489, B62, '📋 Detalle Diario'!$C$5:$C$489, C62)*200))</f>
        <v>-1865.5798333333337</v>
      </c>
      <c r="R62" s="20">
        <f t="shared" si="8"/>
        <v>-0.47671098402769269</v>
      </c>
    </row>
    <row r="63" spans="2:18" ht="18" customHeight="1" x14ac:dyDescent="0.25">
      <c r="B63" s="24" t="s">
        <v>105</v>
      </c>
      <c r="C63" s="25" t="s">
        <v>72</v>
      </c>
      <c r="D63" s="18">
        <f>IF(B63="","",SUMIFS('📈 Datos Completos'!$E$7:$E$5000, '📈 Datos Completos'!$B$7:$B$5000, B63, '📈 Datos Completos'!$D$7:$D$5000, C63))</f>
        <v>1530</v>
      </c>
      <c r="E63" s="18">
        <f>IF(B63="","",SUMIFS('📈 Datos Completos'!$F$7:$F$5000, '📈 Datos Completos'!$B$7:$B$5000, B63, '📈 Datos Completos'!$D$7:$D$5000, C63))</f>
        <v>1350</v>
      </c>
      <c r="F63" s="18">
        <f>IF(B63="","",SUMIFS('📈 Datos Completos'!$G$7:$G$5000, '📈 Datos Completos'!$B$7:$B$5000, B63, '📈 Datos Completos'!$D$7:$D$5000, C63))</f>
        <v>2880</v>
      </c>
      <c r="G63" s="18">
        <f t="shared" si="0"/>
        <v>4230</v>
      </c>
      <c r="H63" s="19">
        <f>IF(B63="","",SUMIFS('📈 Datos Completos'!$I$7:$I$5000, '📈 Datos Completos'!$B$7:$B$5000, B63, '📈 Datos Completos'!$D$7:$D$5000, C63))</f>
        <v>7216.1999999999989</v>
      </c>
      <c r="I63" s="19">
        <f t="shared" si="1"/>
        <v>4272.3</v>
      </c>
      <c r="J63" s="19">
        <f t="shared" si="2"/>
        <v>11488.5</v>
      </c>
      <c r="K63" s="19">
        <f>IF(B63="","",IF(C63="DIA", (SUMIFS('📋 Detalle Diario'!$D$5:$D$489, '📋 Detalle Diario'!$B$5:$B$489, B63, '📋 Detalle Diario'!$C$5:$C$489, C63) * '⚙️ Supuestos'!$C$24) + '⚙️ Supuestos'!$C$23, (SUMIFS('📋 Detalle Diario'!$D$5:$D$489, '📋 Detalle Diario'!$B$5:$B$489, B63, '📋 Detalle Diario'!$C$5:$C$489, C63) * '⚙️ Supuestos'!$C$24) + '⚙️ Supuestos'!$C$33))</f>
        <v>5044.5503333333336</v>
      </c>
      <c r="L63" s="19">
        <f t="shared" si="3"/>
        <v>6443.9496666666664</v>
      </c>
      <c r="M63" s="20">
        <f t="shared" si="4"/>
        <v>0.56090435362899127</v>
      </c>
      <c r="N63" s="19">
        <f t="shared" si="5"/>
        <v>3.2970917211328978</v>
      </c>
      <c r="O63" s="25" t="str">
        <f t="shared" si="6"/>
        <v>2026-06</v>
      </c>
      <c r="P63" s="19">
        <f t="shared" si="7"/>
        <v>5425.2503333333334</v>
      </c>
      <c r="Q63" s="19">
        <f>IF(B63="","",J63-P63+(SUMIFS('📋 Detalle Diario'!$E$5:$E$489, '📋 Detalle Diario'!$B$5:$B$489, B63, '📋 Detalle Diario'!$C$5:$C$489, C63)*135)+(SUMIFS('📋 Detalle Diario'!$I$5:$I$489, '📋 Detalle Diario'!$B$5:$B$489, B63, '📋 Detalle Diario'!$C$5:$C$489, C63)*200))</f>
        <v>6063.2496666666666</v>
      </c>
      <c r="R63" s="20">
        <f t="shared" si="8"/>
        <v>0.5277668683175929</v>
      </c>
    </row>
    <row r="64" spans="2:18" ht="18" customHeight="1" x14ac:dyDescent="0.25">
      <c r="B64" s="26" t="s">
        <v>105</v>
      </c>
      <c r="C64" s="27" t="s">
        <v>73</v>
      </c>
      <c r="D64" s="18">
        <f>IF(B64="","",SUMIFS('📈 Datos Completos'!$E$7:$E$5000, '📈 Datos Completos'!$B$7:$B$5000, B64, '📈 Datos Completos'!$D$7:$D$5000, C64))</f>
        <v>252</v>
      </c>
      <c r="E64" s="18">
        <f>IF(B64="","",SUMIFS('📈 Datos Completos'!$F$7:$F$5000, '📈 Datos Completos'!$B$7:$B$5000, B64, '📈 Datos Completos'!$D$7:$D$5000, C64))</f>
        <v>0</v>
      </c>
      <c r="F64" s="18">
        <f>IF(B64="","",SUMIFS('📈 Datos Completos'!$G$7:$G$5000, '📈 Datos Completos'!$B$7:$B$5000, B64, '📈 Datos Completos'!$D$7:$D$5000, C64))</f>
        <v>1552</v>
      </c>
      <c r="G64" s="18">
        <f t="shared" si="0"/>
        <v>1552</v>
      </c>
      <c r="H64" s="19">
        <f>IF(B64="","",SUMIFS('📈 Datos Completos'!$I$7:$I$5000, '📈 Datos Completos'!$B$7:$B$5000, B64, '📈 Datos Completos'!$D$7:$D$5000, C64))</f>
        <v>2737.6800000000003</v>
      </c>
      <c r="I64" s="19">
        <f t="shared" si="1"/>
        <v>2095.2000000000003</v>
      </c>
      <c r="J64" s="19">
        <f t="shared" si="2"/>
        <v>4832.880000000001</v>
      </c>
      <c r="K64" s="19">
        <f>IF(B64="","",IF(C64="DIA", (SUMIFS('📋 Detalle Diario'!$D$5:$D$489, '📋 Detalle Diario'!$B$5:$B$489, B64, '📋 Detalle Diario'!$C$5:$C$489, C64) * '⚙️ Supuestos'!$C$24) + '⚙️ Supuestos'!$C$23, (SUMIFS('📋 Detalle Diario'!$D$5:$D$489, '📋 Detalle Diario'!$B$5:$B$489, B64, '📋 Detalle Diario'!$C$5:$C$489, C64) * '⚙️ Supuestos'!$C$24) + '⚙️ Supuestos'!$C$33))</f>
        <v>4935.2170000000006</v>
      </c>
      <c r="L64" s="19">
        <f t="shared" si="3"/>
        <v>-102.33699999999953</v>
      </c>
      <c r="M64" s="20">
        <f t="shared" si="4"/>
        <v>-2.1175158497624504E-2</v>
      </c>
      <c r="N64" s="19">
        <f t="shared" si="5"/>
        <v>19.584194444444446</v>
      </c>
      <c r="O64" s="27" t="str">
        <f t="shared" si="6"/>
        <v>2026-06</v>
      </c>
      <c r="P64" s="19">
        <f t="shared" si="7"/>
        <v>5074.8970000000008</v>
      </c>
      <c r="Q64" s="19">
        <f>IF(B64="","",J64-P64+(SUMIFS('📋 Detalle Diario'!$E$5:$E$489, '📋 Detalle Diario'!$B$5:$B$489, B64, '📋 Detalle Diario'!$C$5:$C$489, C64)*135)+(SUMIFS('📋 Detalle Diario'!$I$5:$I$489, '📋 Detalle Diario'!$B$5:$B$489, B64, '📋 Detalle Diario'!$C$5:$C$489, C64)*200))</f>
        <v>162.98300000000017</v>
      </c>
      <c r="R64" s="20">
        <f t="shared" si="8"/>
        <v>3.3723783747992946E-2</v>
      </c>
    </row>
    <row r="65" spans="2:18" ht="18" customHeight="1" x14ac:dyDescent="0.25">
      <c r="B65" s="24" t="s">
        <v>106</v>
      </c>
      <c r="C65" s="25" t="s">
        <v>72</v>
      </c>
      <c r="D65" s="18">
        <f>IF(B65="","",SUMIFS('📈 Datos Completos'!$E$7:$E$5000, '📈 Datos Completos'!$B$7:$B$5000, B65, '📈 Datos Completos'!$D$7:$D$5000, C65))</f>
        <v>606.79999999999995</v>
      </c>
      <c r="E65" s="18">
        <f>IF(B65="","",SUMIFS('📈 Datos Completos'!$F$7:$F$5000, '📈 Datos Completos'!$B$7:$B$5000, B65, '📈 Datos Completos'!$D$7:$D$5000, C65))</f>
        <v>585</v>
      </c>
      <c r="F65" s="18">
        <f>IF(B65="","",SUMIFS('📈 Datos Completos'!$G$7:$G$5000, '📈 Datos Completos'!$B$7:$B$5000, B65, '📈 Datos Completos'!$D$7:$D$5000, C65))</f>
        <v>1620</v>
      </c>
      <c r="G65" s="18">
        <f t="shared" si="0"/>
        <v>2205</v>
      </c>
      <c r="H65" s="19">
        <f>IF(B65="","",SUMIFS('📈 Datos Completos'!$I$7:$I$5000, '📈 Datos Completos'!$B$7:$B$5000, B65, '📈 Datos Completos'!$D$7:$D$5000, C65))</f>
        <v>3625.2</v>
      </c>
      <c r="I65" s="19">
        <f t="shared" si="1"/>
        <v>2227.0500000000002</v>
      </c>
      <c r="J65" s="19">
        <f t="shared" si="2"/>
        <v>5852.25</v>
      </c>
      <c r="K65" s="19">
        <f>IF(B65="","",IF(C65="DIA", (SUMIFS('📋 Detalle Diario'!$D$5:$D$489, '📋 Detalle Diario'!$B$5:$B$489, B65, '📋 Detalle Diario'!$C$5:$C$489, C65) * '⚙️ Supuestos'!$C$24) + '⚙️ Supuestos'!$C$23, (SUMIFS('📋 Detalle Diario'!$D$5:$D$489, '📋 Detalle Diario'!$B$5:$B$489, B65, '📋 Detalle Diario'!$C$5:$C$489, C65) * '⚙️ Supuestos'!$C$24) + '⚙️ Supuestos'!$C$33))</f>
        <v>5839.7531666666664</v>
      </c>
      <c r="L65" s="19">
        <f t="shared" si="3"/>
        <v>12.496833333333598</v>
      </c>
      <c r="M65" s="20">
        <f t="shared" si="4"/>
        <v>2.1353895225483528E-3</v>
      </c>
      <c r="N65" s="19">
        <f t="shared" si="5"/>
        <v>9.6238516260162612</v>
      </c>
      <c r="O65" s="25" t="str">
        <f t="shared" si="6"/>
        <v>2026-06</v>
      </c>
      <c r="P65" s="19">
        <f t="shared" si="7"/>
        <v>6038.2031666666662</v>
      </c>
      <c r="Q65" s="19">
        <f>IF(B65="","",J65-P65+(SUMIFS('📋 Detalle Diario'!$E$5:$E$489, '📋 Detalle Diario'!$B$5:$B$489, B65, '📋 Detalle Diario'!$C$5:$C$489, C65)*135)+(SUMIFS('📋 Detalle Diario'!$I$5:$I$489, '📋 Detalle Diario'!$B$5:$B$489, B65, '📋 Detalle Diario'!$C$5:$C$489, C65)*200))</f>
        <v>-185.95316666666622</v>
      </c>
      <c r="R65" s="20">
        <f t="shared" si="8"/>
        <v>-3.1774645079527743E-2</v>
      </c>
    </row>
    <row r="66" spans="2:18" ht="18" customHeight="1" x14ac:dyDescent="0.25">
      <c r="B66" s="26" t="s">
        <v>106</v>
      </c>
      <c r="C66" s="27" t="s">
        <v>73</v>
      </c>
      <c r="D66" s="18">
        <f>IF(B66="","",SUMIFS('📈 Datos Completos'!$E$7:$E$5000, '📈 Datos Completos'!$B$7:$B$5000, B66, '📈 Datos Completos'!$D$7:$D$5000, C66))</f>
        <v>759</v>
      </c>
      <c r="E66" s="18">
        <f>IF(B66="","",SUMIFS('📈 Datos Completos'!$F$7:$F$5000, '📈 Datos Completos'!$B$7:$B$5000, B66, '📈 Datos Completos'!$D$7:$D$5000, C66))</f>
        <v>755</v>
      </c>
      <c r="F66" s="18">
        <f>IF(B66="","",SUMIFS('📈 Datos Completos'!$G$7:$G$5000, '📈 Datos Completos'!$B$7:$B$5000, B66, '📈 Datos Completos'!$D$7:$D$5000, C66))</f>
        <v>6630</v>
      </c>
      <c r="G66" s="18">
        <f t="shared" si="0"/>
        <v>7385</v>
      </c>
      <c r="H66" s="19">
        <f>IF(B66="","",SUMIFS('📈 Datos Completos'!$I$7:$I$5000, '📈 Datos Completos'!$B$7:$B$5000, B66, '📈 Datos Completos'!$D$7:$D$5000, C66))</f>
        <v>4792.6500000000005</v>
      </c>
      <c r="I66" s="19">
        <f t="shared" si="1"/>
        <v>9969.75</v>
      </c>
      <c r="J66" s="19">
        <f t="shared" si="2"/>
        <v>14762.400000000001</v>
      </c>
      <c r="K66" s="19">
        <f>IF(B66="","",IF(C66="DIA", (SUMIFS('📋 Detalle Diario'!$D$5:$D$489, '📋 Detalle Diario'!$B$5:$B$489, B66, '📋 Detalle Diario'!$C$5:$C$489, C66) * '⚙️ Supuestos'!$C$24) + '⚙️ Supuestos'!$C$23, (SUMIFS('📋 Detalle Diario'!$D$5:$D$489, '📋 Detalle Diario'!$B$5:$B$489, B66, '📋 Detalle Diario'!$C$5:$C$489, C66) * '⚙️ Supuestos'!$C$24) + '⚙️ Supuestos'!$C$33))</f>
        <v>5730.4198333333334</v>
      </c>
      <c r="L66" s="19">
        <f t="shared" si="3"/>
        <v>9031.9801666666681</v>
      </c>
      <c r="M66" s="20">
        <f t="shared" si="4"/>
        <v>0.6118232920572988</v>
      </c>
      <c r="N66" s="19">
        <f t="shared" si="5"/>
        <v>7.5499602547211246</v>
      </c>
      <c r="O66" s="27" t="str">
        <f t="shared" si="6"/>
        <v>2026-06</v>
      </c>
      <c r="P66" s="19">
        <f t="shared" si="7"/>
        <v>6395.069833333333</v>
      </c>
      <c r="Q66" s="19">
        <f>IF(B66="","",J66-P66+(SUMIFS('📋 Detalle Diario'!$E$5:$E$489, '📋 Detalle Diario'!$B$5:$B$489, B66, '📋 Detalle Diario'!$C$5:$C$489, C66)*135)+(SUMIFS('📋 Detalle Diario'!$I$5:$I$489, '📋 Detalle Diario'!$B$5:$B$489, B66, '📋 Detalle Diario'!$C$5:$C$489, C66)*200))</f>
        <v>9784.8301666666684</v>
      </c>
      <c r="R66" s="20">
        <f t="shared" si="8"/>
        <v>0.66282109729221994</v>
      </c>
    </row>
    <row r="67" spans="2:18" ht="18" customHeight="1" x14ac:dyDescent="0.25">
      <c r="B67" s="24" t="s">
        <v>107</v>
      </c>
      <c r="C67" s="25" t="s">
        <v>72</v>
      </c>
      <c r="D67" s="18">
        <f>IF(B67="","",SUMIFS('📈 Datos Completos'!$E$7:$E$5000, '📈 Datos Completos'!$B$7:$B$5000, B67, '📈 Datos Completos'!$D$7:$D$5000, C67))</f>
        <v>251.6</v>
      </c>
      <c r="E67" s="18">
        <f>IF(B67="","",SUMIFS('📈 Datos Completos'!$F$7:$F$5000, '📈 Datos Completos'!$B$7:$B$5000, B67, '📈 Datos Completos'!$D$7:$D$5000, C67))</f>
        <v>0</v>
      </c>
      <c r="F67" s="18">
        <f>IF(B67="","",SUMIFS('📈 Datos Completos'!$G$7:$G$5000, '📈 Datos Completos'!$B$7:$B$5000, B67, '📈 Datos Completos'!$D$7:$D$5000, C67))</f>
        <v>1552</v>
      </c>
      <c r="G67" s="18">
        <f t="shared" si="0"/>
        <v>1552</v>
      </c>
      <c r="H67" s="19">
        <f>IF(B67="","",SUMIFS('📈 Datos Completos'!$I$7:$I$5000, '📈 Datos Completos'!$B$7:$B$5000, B67, '📈 Datos Completos'!$D$7:$D$5000, C67))</f>
        <v>2035.28</v>
      </c>
      <c r="I67" s="19">
        <f t="shared" si="1"/>
        <v>1567.52</v>
      </c>
      <c r="J67" s="19">
        <f t="shared" si="2"/>
        <v>3602.8</v>
      </c>
      <c r="K67" s="19">
        <f>IF(B67="","",IF(C67="DIA", (SUMIFS('📋 Detalle Diario'!$D$5:$D$489, '📋 Detalle Diario'!$B$5:$B$489, B67, '📋 Detalle Diario'!$C$5:$C$489, C67) * '⚙️ Supuestos'!$C$24) + '⚙️ Supuestos'!$C$23, (SUMIFS('📋 Detalle Diario'!$D$5:$D$489, '📋 Detalle Diario'!$B$5:$B$489, B67, '📋 Detalle Diario'!$C$5:$C$489, C67) * '⚙️ Supuestos'!$C$24) + '⚙️ Supuestos'!$C$33))</f>
        <v>6634.9560000000001</v>
      </c>
      <c r="L67" s="19">
        <f t="shared" si="3"/>
        <v>-3032.1559999999999</v>
      </c>
      <c r="M67" s="20">
        <f t="shared" si="4"/>
        <v>-0.84161096924614187</v>
      </c>
      <c r="N67" s="19">
        <f t="shared" si="5"/>
        <v>26.371049284578696</v>
      </c>
      <c r="O67" s="25" t="str">
        <f t="shared" si="6"/>
        <v>2026-06</v>
      </c>
      <c r="P67" s="19">
        <f t="shared" si="7"/>
        <v>6774.6360000000004</v>
      </c>
      <c r="Q67" s="19">
        <f>IF(B67="","",J67-P67+(SUMIFS('📋 Detalle Diario'!$E$5:$E$489, '📋 Detalle Diario'!$B$5:$B$489, B67, '📋 Detalle Diario'!$C$5:$C$489, C67)*135)+(SUMIFS('📋 Detalle Diario'!$I$5:$I$489, '📋 Detalle Diario'!$B$5:$B$489, B67, '📋 Detalle Diario'!$C$5:$C$489, C67)*200))</f>
        <v>-3171.8360000000002</v>
      </c>
      <c r="R67" s="20">
        <f t="shared" si="8"/>
        <v>-0.88038081492172759</v>
      </c>
    </row>
    <row r="68" spans="2:18" ht="18" customHeight="1" x14ac:dyDescent="0.25">
      <c r="B68" s="26" t="s">
        <v>107</v>
      </c>
      <c r="C68" s="27" t="s">
        <v>73</v>
      </c>
      <c r="D68" s="18">
        <f>IF(B68="","",SUMIFS('📈 Datos Completos'!$E$7:$E$5000, '📈 Datos Completos'!$B$7:$B$5000, B68, '📈 Datos Completos'!$D$7:$D$5000, C68))</f>
        <v>510</v>
      </c>
      <c r="E68" s="18">
        <f>IF(B68="","",SUMIFS('📈 Datos Completos'!$F$7:$F$5000, '📈 Datos Completos'!$B$7:$B$5000, B68, '📈 Datos Completos'!$D$7:$D$5000, C68))</f>
        <v>2160</v>
      </c>
      <c r="F68" s="18">
        <f>IF(B68="","",SUMIFS('📈 Datos Completos'!$G$7:$G$5000, '📈 Datos Completos'!$B$7:$B$5000, B68, '📈 Datos Completos'!$D$7:$D$5000, C68))</f>
        <v>0</v>
      </c>
      <c r="G68" s="18">
        <f t="shared" si="0"/>
        <v>2160</v>
      </c>
      <c r="H68" s="19">
        <f>IF(B68="","",SUMIFS('📈 Datos Completos'!$I$7:$I$5000, '📈 Datos Completos'!$B$7:$B$5000, B68, '📈 Datos Completos'!$D$7:$D$5000, C68))</f>
        <v>3075.3</v>
      </c>
      <c r="I68" s="19">
        <f t="shared" si="1"/>
        <v>2916</v>
      </c>
      <c r="J68" s="19">
        <f t="shared" si="2"/>
        <v>5991.3</v>
      </c>
      <c r="K68" s="19">
        <f>IF(B68="","",IF(C68="DIA", (SUMIFS('📋 Detalle Diario'!$D$5:$D$489, '📋 Detalle Diario'!$B$5:$B$489, B68, '📋 Detalle Diario'!$C$5:$C$489, C68) * '⚙️ Supuestos'!$C$24) + '⚙️ Supuestos'!$C$23, (SUMIFS('📋 Detalle Diario'!$D$5:$D$489, '📋 Detalle Diario'!$B$5:$B$489, B68, '📋 Detalle Diario'!$C$5:$C$489, C68) * '⚙️ Supuestos'!$C$24) + '⚙️ Supuestos'!$C$33))</f>
        <v>5730.4198333333334</v>
      </c>
      <c r="L68" s="19">
        <f t="shared" si="3"/>
        <v>260.88016666666681</v>
      </c>
      <c r="M68" s="20">
        <f t="shared" si="4"/>
        <v>4.3543165367560761E-2</v>
      </c>
      <c r="N68" s="19">
        <f t="shared" si="5"/>
        <v>11.236117320261439</v>
      </c>
      <c r="O68" s="27" t="str">
        <f t="shared" si="6"/>
        <v>2026-06</v>
      </c>
      <c r="P68" s="19">
        <f t="shared" si="7"/>
        <v>5924.819833333333</v>
      </c>
      <c r="Q68" s="19">
        <f>IF(B68="","",J68-P68+(SUMIFS('📋 Detalle Diario'!$E$5:$E$489, '📋 Detalle Diario'!$B$5:$B$489, B68, '📋 Detalle Diario'!$C$5:$C$489, C68)*135)+(SUMIFS('📋 Detalle Diario'!$I$5:$I$489, '📋 Detalle Diario'!$B$5:$B$489, B68, '📋 Detalle Diario'!$C$5:$C$489, C68)*200))</f>
        <v>538.98016666666717</v>
      </c>
      <c r="R68" s="20">
        <f t="shared" si="8"/>
        <v>8.9960470459944777E-2</v>
      </c>
    </row>
    <row r="69" spans="2:18" ht="18" customHeight="1" x14ac:dyDescent="0.25">
      <c r="B69" s="24" t="s">
        <v>108</v>
      </c>
      <c r="C69" s="25" t="s">
        <v>72</v>
      </c>
      <c r="D69" s="18">
        <f>IF(B69="","",SUMIFS('📈 Datos Completos'!$E$7:$E$5000, '📈 Datos Completos'!$B$7:$B$5000, B69, '📈 Datos Completos'!$D$7:$D$5000, C69))</f>
        <v>116</v>
      </c>
      <c r="E69" s="18">
        <f>IF(B69="","",SUMIFS('📈 Datos Completos'!$F$7:$F$5000, '📈 Datos Completos'!$B$7:$B$5000, B69, '📈 Datos Completos'!$D$7:$D$5000, C69))</f>
        <v>0</v>
      </c>
      <c r="F69" s="18">
        <f>IF(B69="","",SUMIFS('📈 Datos Completos'!$G$7:$G$5000, '📈 Datos Completos'!$B$7:$B$5000, B69, '📈 Datos Completos'!$D$7:$D$5000, C69))</f>
        <v>0</v>
      </c>
      <c r="G69" s="18">
        <f t="shared" ref="G69:G132" si="9">IF(B69="","",E69+F69)</f>
        <v>0</v>
      </c>
      <c r="H69" s="19">
        <f>IF(B69="","",SUMIFS('📈 Datos Completos'!$I$7:$I$5000, '📈 Datos Completos'!$B$7:$B$5000, B69, '📈 Datos Completos'!$D$7:$D$5000, C69))</f>
        <v>5220</v>
      </c>
      <c r="I69" s="19">
        <f t="shared" ref="I69:I132" si="10">IF(B69="","",IF(C69="DIA", G69*1.01, G69*1.35))</f>
        <v>0</v>
      </c>
      <c r="J69" s="19">
        <f t="shared" ref="J69:J132" si="11">IF(B69="","",H69+I69)</f>
        <v>5220</v>
      </c>
      <c r="K69" s="19">
        <f>IF(B69="","",IF(C69="DIA", (SUMIFS('📋 Detalle Diario'!$D$5:$D$489, '📋 Detalle Diario'!$B$5:$B$489, B69, '📋 Detalle Diario'!$C$5:$C$489, C69) * '⚙️ Supuestos'!$C$24) + '⚙️ Supuestos'!$C$23, (SUMIFS('📋 Detalle Diario'!$D$5:$D$489, '📋 Detalle Diario'!$B$5:$B$489, B69, '[1]�� Detalle Diario'!$C$5:$C$489, C69) * '⚙️ Supuestos'!$C$24) + '⚙️ Supuestos'!$C$33))</f>
        <v>6634.9560000000001</v>
      </c>
      <c r="L69" s="19">
        <f t="shared" ref="L69:L132" si="12">IF(B69="","",J69-K69)</f>
        <v>-1414.9560000000001</v>
      </c>
      <c r="M69" s="20">
        <f t="shared" ref="M69:M132" si="13">IF(B69="","",IF(J69=0, 0, L69/J69))</f>
        <v>-0.271064367816092</v>
      </c>
      <c r="N69" s="19">
        <f t="shared" ref="N69:N132" si="14">IF(B69="","",IF(D69=0, 0, K69/D69))</f>
        <v>57.197896551724142</v>
      </c>
      <c r="O69" s="25" t="str">
        <f t="shared" ref="O69:O132" si="15">IF(B69="","",IF(ISNUMBER(B69),YEAR(B69)&amp;"-"&amp;IF(MONTH(B69)&lt;10,"0","")&amp;MONTH(B69),LEFT(B69,7)))</f>
        <v>2026-06</v>
      </c>
      <c r="P69" s="19">
        <f t="shared" ref="P69:P132" si="16">IF(B69="","",K69+(G69*0.09))</f>
        <v>6634.9560000000001</v>
      </c>
      <c r="Q69" s="19">
        <f>IF(B69="","",J69-P69+(SUMIFS('📋 Detalle Diario'!$E$5:$E$489, '📋 Detalle Diario'!$B$5:$B$489, B69, '📋 Detalle Diario'!$C$5:$C$489, C69)*135)+(SUMIFS('📋 Detalle Diario'!$I$5:$I$489, '📋 Detalle Diario'!$B$5:$B$489, B69, '📋 Detalle Diario'!$C$5:$C$489, C69)*200))</f>
        <v>-1414.9560000000001</v>
      </c>
      <c r="R69" s="20">
        <f t="shared" ref="R69:R132" si="17">IF(B69="","",IF(J69=0, 0, Q69/J69))</f>
        <v>-0.271064367816092</v>
      </c>
    </row>
    <row r="70" spans="2:18" ht="18" customHeight="1" x14ac:dyDescent="0.25">
      <c r="B70" s="26" t="s">
        <v>108</v>
      </c>
      <c r="C70" s="27" t="s">
        <v>73</v>
      </c>
      <c r="D70" s="18">
        <f>IF(B70="","",SUMIFS('📈 Datos Completos'!$E$7:$E$5000, '📈 Datos Completos'!$B$7:$B$5000, B70, '📈 Datos Completos'!$D$7:$D$5000, C70))</f>
        <v>55</v>
      </c>
      <c r="E70" s="18">
        <f>IF(B70="","",SUMIFS('📈 Datos Completos'!$F$7:$F$5000, '📈 Datos Completos'!$B$7:$B$5000, B70, '📈 Datos Completos'!$D$7:$D$5000, C70))</f>
        <v>33</v>
      </c>
      <c r="F70" s="18">
        <f>IF(B70="","",SUMIFS('📈 Datos Completos'!$G$7:$G$5000, '📈 Datos Completos'!$B$7:$B$5000, B70, '📈 Datos Completos'!$D$7:$D$5000, C70))</f>
        <v>66</v>
      </c>
      <c r="G70" s="18">
        <f t="shared" si="9"/>
        <v>99</v>
      </c>
      <c r="H70" s="19">
        <f>IF(B70="","",SUMIFS('📈 Datos Completos'!$I$7:$I$5000, '📈 Datos Completos'!$B$7:$B$5000, B70, '📈 Datos Completos'!$D$7:$D$5000, C70))</f>
        <v>1518.99</v>
      </c>
      <c r="I70" s="19">
        <f t="shared" si="10"/>
        <v>133.65</v>
      </c>
      <c r="J70" s="19">
        <f t="shared" si="11"/>
        <v>1652.64</v>
      </c>
      <c r="K70" s="19">
        <f>IF(B70="","",IF(C70="DIA", (SUMIFS('📋 Detalle Diario'!$D$5:$D$489, '📋 Detalle Diario'!$B$5:$B$489, B70, '📋 Detalle Diario'!$C$5:$C$489, C70) * '⚙️ Supuestos'!$C$24) + '⚙️ Supuestos'!$C$23, (SUMIFS('📋 Detalle Diario'!$D$5:$D$489, '📋 Detalle Diario'!$B$5:$B$489, B70, '📋 Detalle Diario'!$C$5:$C$489, C70) * '⚙️ Supuestos'!$C$24) + '⚙️ Supuestos'!$C$33))</f>
        <v>5730.4198333333334</v>
      </c>
      <c r="L70" s="19">
        <f t="shared" si="12"/>
        <v>-4077.779833333333</v>
      </c>
      <c r="M70" s="20">
        <f t="shared" si="13"/>
        <v>-2.4674338230548289</v>
      </c>
      <c r="N70" s="19">
        <f t="shared" si="14"/>
        <v>104.18945151515152</v>
      </c>
      <c r="O70" s="27" t="str">
        <f t="shared" si="15"/>
        <v>2026-06</v>
      </c>
      <c r="P70" s="19">
        <f t="shared" si="16"/>
        <v>5739.3298333333332</v>
      </c>
      <c r="Q70" s="19">
        <f>IF(B70="","",J70-P70+(SUMIFS('📋 Detalle Diario'!$E$5:$E$489, '📋 Detalle Diario'!$B$5:$B$489, B70, '📋 Detalle Diario'!$C$5:$C$489, C70)*135)+(SUMIFS('📋 Detalle Diario'!$I$5:$I$489, '📋 Detalle Diario'!$B$5:$B$489, B70, '📋 Detalle Diario'!$C$5:$C$489, C70)*200))</f>
        <v>-3614.1898333333329</v>
      </c>
      <c r="R70" s="20">
        <f t="shared" si="17"/>
        <v>-2.186919010391454</v>
      </c>
    </row>
    <row r="71" spans="2:18" ht="18" customHeight="1" x14ac:dyDescent="0.25">
      <c r="B71" s="24" t="s">
        <v>109</v>
      </c>
      <c r="C71" s="25" t="s">
        <v>72</v>
      </c>
      <c r="D71" s="18">
        <f>IF(B71="","",SUMIFS('📈 Datos Completos'!$E$7:$E$5000, '📈 Datos Completos'!$B$7:$B$5000, B71, '📈 Datos Completos'!$D$7:$D$5000, C71))</f>
        <v>131</v>
      </c>
      <c r="E71" s="18">
        <f>IF(B71="","",SUMIFS('📈 Datos Completos'!$F$7:$F$5000, '📈 Datos Completos'!$B$7:$B$5000, B71, '📈 Datos Completos'!$D$7:$D$5000, C71))</f>
        <v>0</v>
      </c>
      <c r="F71" s="18">
        <f>IF(B71="","",SUMIFS('📈 Datos Completos'!$G$7:$G$5000, '📈 Datos Completos'!$B$7:$B$5000, B71, '📈 Datos Completos'!$D$7:$D$5000, C71))</f>
        <v>120</v>
      </c>
      <c r="G71" s="18">
        <f t="shared" si="9"/>
        <v>120</v>
      </c>
      <c r="H71" s="19">
        <f>IF(B71="","",SUMIFS('📈 Datos Completos'!$I$7:$I$5000, '📈 Datos Completos'!$B$7:$B$5000, B71, '📈 Datos Completos'!$D$7:$D$5000, C71))</f>
        <v>1237.8000000000002</v>
      </c>
      <c r="I71" s="19">
        <f t="shared" si="10"/>
        <v>121.2</v>
      </c>
      <c r="J71" s="19">
        <f t="shared" si="11"/>
        <v>1359.0000000000002</v>
      </c>
      <c r="K71" s="19">
        <f>IF(B71="","",IF(C71="DIA", (SUMIFS('📋 Detalle Diario'!$D$5:$D$489, '📋 Detalle Diario'!$B$5:$B$489, B71, '📋 Detalle Diario'!$C$5:$C$489, C71) * '⚙️ Supuestos'!$C$24) + '⚙️ Supuestos'!$C$23, (SUMIFS('📋 Detalle Diario'!$D$5:$D$489, '📋 Detalle Diario'!$B$5:$B$489, B71, '📋 Detalle Diario'!$C$5:$C$489, C71) * '⚙️ Supuestos'!$C$24) + '⚙️ Supuestos'!$C$33))</f>
        <v>6634.9560000000001</v>
      </c>
      <c r="L71" s="19">
        <f t="shared" si="12"/>
        <v>-5275.9560000000001</v>
      </c>
      <c r="M71" s="20">
        <f t="shared" si="13"/>
        <v>-3.8822339955849885</v>
      </c>
      <c r="N71" s="19">
        <f t="shared" si="14"/>
        <v>50.648519083969468</v>
      </c>
      <c r="O71" s="25" t="str">
        <f t="shared" si="15"/>
        <v>2026-06</v>
      </c>
      <c r="P71" s="19">
        <f t="shared" si="16"/>
        <v>6645.7560000000003</v>
      </c>
      <c r="Q71" s="19">
        <f>IF(B71="","",J71-P71+(SUMIFS('📋 Detalle Diario'!$E$5:$E$489, '📋 Detalle Diario'!$B$5:$B$489, B71, '📋 Detalle Diario'!$C$5:$C$489, C71)*135)+(SUMIFS('📋 Detalle Diario'!$I$5:$I$489, '📋 Detalle Diario'!$B$5:$B$489, B71, '📋 Detalle Diario'!$C$5:$C$489, C71)*200))</f>
        <v>-5286.7560000000003</v>
      </c>
      <c r="R71" s="20">
        <f t="shared" si="17"/>
        <v>-3.890181015452538</v>
      </c>
    </row>
    <row r="72" spans="2:18" ht="18" customHeight="1" x14ac:dyDescent="0.25">
      <c r="B72" s="26" t="s">
        <v>110</v>
      </c>
      <c r="C72" s="27" t="s">
        <v>73</v>
      </c>
      <c r="D72" s="18">
        <f>IF(B72="","",SUMIFS('📈 Datos Completos'!$E$7:$E$5000, '📈 Datos Completos'!$B$7:$B$5000, B72, '📈 Datos Completos'!$D$7:$D$5000, C72))</f>
        <v>899</v>
      </c>
      <c r="E72" s="18">
        <f>IF(B72="","",SUMIFS('📈 Datos Completos'!$F$7:$F$5000, '📈 Datos Completos'!$B$7:$B$5000, B72, '📈 Datos Completos'!$D$7:$D$5000, C72))</f>
        <v>1215</v>
      </c>
      <c r="F72" s="18">
        <f>IF(B72="","",SUMIFS('📈 Datos Completos'!$G$7:$G$5000, '📈 Datos Completos'!$B$7:$B$5000, B72, '📈 Datos Completos'!$D$7:$D$5000, C72))</f>
        <v>3310</v>
      </c>
      <c r="G72" s="18">
        <f t="shared" si="9"/>
        <v>4525</v>
      </c>
      <c r="H72" s="19">
        <f>IF(B72="","",SUMIFS('📈 Datos Completos'!$I$7:$I$5000, '📈 Datos Completos'!$B$7:$B$5000, B72, '📈 Datos Completos'!$D$7:$D$5000, C72))</f>
        <v>5441.85</v>
      </c>
      <c r="I72" s="19">
        <f t="shared" si="10"/>
        <v>6108.75</v>
      </c>
      <c r="J72" s="19">
        <f t="shared" si="11"/>
        <v>11550.6</v>
      </c>
      <c r="K72" s="19">
        <f>IF(B72="","",IF(C72="DIA", (SUMIFS('📋 Detalle Diario'!$D$5:$D$489, '📋 Detalle Diario'!$B$5:$B$489, B72, '📋 Detalle Diario'!$C$5:$C$489, C72) * '⚙️ Supuestos'!$C$24) + '⚙️ Supuestos'!$C$23, (SUMIFS('📋 Detalle Diario'!$D$5:$D$489, '📋 Detalle Diario'!$B$5:$B$489, B72, '📋 Detalle Diario'!$C$5:$C$489, C72) * '⚙️ Supuestos'!$C$24) + '⚙️ Supuestos'!$C$33))</f>
        <v>4935.2170000000006</v>
      </c>
      <c r="L72" s="19">
        <f t="shared" si="12"/>
        <v>6615.3829999999998</v>
      </c>
      <c r="M72" s="20">
        <f t="shared" si="13"/>
        <v>0.57273068065728183</v>
      </c>
      <c r="N72" s="19">
        <f t="shared" si="14"/>
        <v>5.4896740823136829</v>
      </c>
      <c r="O72" s="27" t="str">
        <f t="shared" si="15"/>
        <v>2026-06</v>
      </c>
      <c r="P72" s="19">
        <f t="shared" si="16"/>
        <v>5342.4670000000006</v>
      </c>
      <c r="Q72" s="19">
        <f>IF(B72="","",J72-P72+(SUMIFS('📋 Detalle Diario'!$E$5:$E$489, '📋 Detalle Diario'!$B$5:$B$489, B72, '📋 Detalle Diario'!$C$5:$C$489, C72)*135)+(SUMIFS('📋 Detalle Diario'!$I$5:$I$489, '📋 Detalle Diario'!$B$5:$B$489, B72, '📋 Detalle Diario'!$C$5:$C$489, C72)*200))</f>
        <v>6208.1329999999998</v>
      </c>
      <c r="R72" s="20">
        <f t="shared" si="17"/>
        <v>0.53747277197721333</v>
      </c>
    </row>
    <row r="73" spans="2:18" ht="18" customHeight="1" x14ac:dyDescent="0.25">
      <c r="B73" s="24" t="s">
        <v>111</v>
      </c>
      <c r="C73" s="25" t="s">
        <v>72</v>
      </c>
      <c r="D73" s="18">
        <f>IF(B73="","",SUMIFS('📈 Datos Completos'!$E$7:$E$5000, '📈 Datos Completos'!$B$7:$B$5000, B73, '📈 Datos Completos'!$D$7:$D$5000, C73))</f>
        <v>690</v>
      </c>
      <c r="E73" s="18">
        <f>IF(B73="","",SUMIFS('📈 Datos Completos'!$F$7:$F$5000, '📈 Datos Completos'!$B$7:$B$5000, B73, '📈 Datos Completos'!$D$7:$D$5000, C73))</f>
        <v>200</v>
      </c>
      <c r="F73" s="18">
        <f>IF(B73="","",SUMIFS('📈 Datos Completos'!$G$7:$G$5000, '📈 Datos Completos'!$B$7:$B$5000, B73, '📈 Datos Completos'!$D$7:$D$5000, C73))</f>
        <v>1290</v>
      </c>
      <c r="G73" s="18">
        <f t="shared" si="9"/>
        <v>1490</v>
      </c>
      <c r="H73" s="19">
        <f>IF(B73="","",SUMIFS('📈 Datos Completos'!$I$7:$I$5000, '📈 Datos Completos'!$B$7:$B$5000, B73, '📈 Datos Completos'!$D$7:$D$5000, C73))</f>
        <v>3937.1000000000004</v>
      </c>
      <c r="I73" s="19">
        <f t="shared" si="10"/>
        <v>1504.9</v>
      </c>
      <c r="J73" s="19">
        <f t="shared" si="11"/>
        <v>5442</v>
      </c>
      <c r="K73" s="19">
        <f>IF(B73="","",IF(C73="DIA", (SUMIFS('📋 Detalle Diario'!$D$5:$D$489, '📋 Detalle Diario'!$B$5:$B$489, B73, '📋 Detalle Diario'!$C$5:$C$489, C73) * '⚙️ Supuestos'!$C$24) + '⚙️ Supuestos'!$C$23, (SUMIFS('📋 Detalle Diario'!$D$5:$D$489, '📋 Detalle Diario'!$B$5:$B$489, B73, '📋 Detalle Diario'!$C$5:$C$489, C73) * '⚙️ Supuestos'!$C$24) + '⚙️ Supuestos'!$C$33))</f>
        <v>5839.7531666666664</v>
      </c>
      <c r="L73" s="19">
        <f t="shared" si="12"/>
        <v>-397.7531666666664</v>
      </c>
      <c r="M73" s="20">
        <f t="shared" si="13"/>
        <v>-7.3089519784392945E-2</v>
      </c>
      <c r="N73" s="19">
        <f t="shared" si="14"/>
        <v>8.4634103864734289</v>
      </c>
      <c r="O73" s="25" t="str">
        <f t="shared" si="15"/>
        <v>2026-06</v>
      </c>
      <c r="P73" s="19">
        <f t="shared" si="16"/>
        <v>5973.8531666666668</v>
      </c>
      <c r="Q73" s="19">
        <f>IF(B73="","",J73-P73+(SUMIFS('📋 Detalle Diario'!$E$5:$E$489, '📋 Detalle Diario'!$B$5:$B$489, B73, '📋 Detalle Diario'!$C$5:$C$489, C73)*135)+(SUMIFS('📋 Detalle Diario'!$I$5:$I$489, '📋 Detalle Diario'!$B$5:$B$489, B73, '📋 Detalle Diario'!$C$5:$C$489, C73)*200))</f>
        <v>-531.85316666666677</v>
      </c>
      <c r="R73" s="20">
        <f t="shared" si="17"/>
        <v>-9.7731195638858279E-2</v>
      </c>
    </row>
    <row r="74" spans="2:18" ht="18" customHeight="1" x14ac:dyDescent="0.25">
      <c r="B74" s="26" t="s">
        <v>111</v>
      </c>
      <c r="C74" s="27" t="s">
        <v>73</v>
      </c>
      <c r="D74" s="18">
        <f>IF(B74="","",SUMIFS('📈 Datos Completos'!$E$7:$E$5000, '📈 Datos Completos'!$B$7:$B$5000, B74, '📈 Datos Completos'!$D$7:$D$5000, C74))</f>
        <v>1089</v>
      </c>
      <c r="E74" s="18">
        <f>IF(B74="","",SUMIFS('📈 Datos Completos'!$F$7:$F$5000, '📈 Datos Completos'!$B$7:$B$5000, B74, '📈 Datos Completos'!$D$7:$D$5000, C74))</f>
        <v>1113</v>
      </c>
      <c r="F74" s="18">
        <f>IF(B74="","",SUMIFS('📈 Datos Completos'!$G$7:$G$5000, '📈 Datos Completos'!$B$7:$B$5000, B74, '📈 Datos Completos'!$D$7:$D$5000, C74))</f>
        <v>3132</v>
      </c>
      <c r="G74" s="18">
        <f t="shared" si="9"/>
        <v>4245</v>
      </c>
      <c r="H74" s="19">
        <f>IF(B74="","",SUMIFS('📈 Datos Completos'!$I$7:$I$5000, '📈 Datos Completos'!$B$7:$B$5000, B74, '📈 Datos Completos'!$D$7:$D$5000, C74))</f>
        <v>6587.55</v>
      </c>
      <c r="I74" s="19">
        <f t="shared" si="10"/>
        <v>5730.75</v>
      </c>
      <c r="J74" s="19">
        <f t="shared" si="11"/>
        <v>12318.3</v>
      </c>
      <c r="K74" s="19">
        <f>IF(B74="","",IF(C74="DIA", (SUMIFS('📋 Detalle Diario'!$D$5:$D$489, '📋 Detalle Diario'!$B$5:$B$489, B74, '📋 Detalle Diario'!$C$5:$C$489, C74) * '⚙️ Supuestos'!$C$24) + '⚙️ Supuestos'!$C$23, (SUMIFS('📋 Detalle Diario'!$D$5:$D$489, '📋 Detalle Diario'!$B$5:$B$489, B74, '📋 Detalle Diario'!$C$5:$C$489, C74) * '⚙️ Supuestos'!$C$24) + '⚙️ Supuestos'!$C$33))</f>
        <v>6525.6226666666671</v>
      </c>
      <c r="L74" s="19">
        <f t="shared" si="12"/>
        <v>5792.6773333333322</v>
      </c>
      <c r="M74" s="20">
        <f t="shared" si="13"/>
        <v>0.4702497368413931</v>
      </c>
      <c r="N74" s="19">
        <f t="shared" si="14"/>
        <v>5.9923073155800433</v>
      </c>
      <c r="O74" s="27" t="str">
        <f t="shared" si="15"/>
        <v>2026-06</v>
      </c>
      <c r="P74" s="19">
        <f t="shared" si="16"/>
        <v>6907.6726666666673</v>
      </c>
      <c r="Q74" s="19">
        <f>IF(B74="","",J74-P74+(SUMIFS('📋 Detalle Diario'!$E$5:$E$489, '📋 Detalle Diario'!$B$5:$B$489, B74, '📋 Detalle Diario'!$C$5:$C$489, C74)*135)+(SUMIFS('📋 Detalle Diario'!$I$5:$I$489, '📋 Detalle Diario'!$B$5:$B$489, B74, '📋 Detalle Diario'!$C$5:$C$489, C74)*200))</f>
        <v>5410.627333333332</v>
      </c>
      <c r="R74" s="20">
        <f t="shared" si="17"/>
        <v>0.43923490524937142</v>
      </c>
    </row>
    <row r="75" spans="2:18" ht="18" customHeight="1" x14ac:dyDescent="0.25">
      <c r="B75" s="24" t="s">
        <v>112</v>
      </c>
      <c r="C75" s="25" t="s">
        <v>72</v>
      </c>
      <c r="D75" s="18">
        <f>IF(B75="","",SUMIFS('📈 Datos Completos'!$E$7:$E$5000, '📈 Datos Completos'!$B$7:$B$5000, B75, '📈 Datos Completos'!$D$7:$D$5000, C75))</f>
        <v>578</v>
      </c>
      <c r="E75" s="18">
        <f>IF(B75="","",SUMIFS('📈 Datos Completos'!$F$7:$F$5000, '📈 Datos Completos'!$B$7:$B$5000, B75, '📈 Datos Completos'!$D$7:$D$5000, C75))</f>
        <v>135</v>
      </c>
      <c r="F75" s="18">
        <f>IF(B75="","",SUMIFS('📈 Datos Completos'!$G$7:$G$5000, '📈 Datos Completos'!$B$7:$B$5000, B75, '📈 Datos Completos'!$D$7:$D$5000, C75))</f>
        <v>2146</v>
      </c>
      <c r="G75" s="18">
        <f t="shared" si="9"/>
        <v>2281</v>
      </c>
      <c r="H75" s="19">
        <f>IF(B75="","",SUMIFS('📈 Datos Completos'!$I$7:$I$5000, '📈 Datos Completos'!$B$7:$B$5000, B75, '📈 Datos Completos'!$D$7:$D$5000, C75))</f>
        <v>2849.8399999999997</v>
      </c>
      <c r="I75" s="19">
        <f t="shared" si="10"/>
        <v>2303.81</v>
      </c>
      <c r="J75" s="19">
        <f t="shared" si="11"/>
        <v>5153.6499999999996</v>
      </c>
      <c r="K75" s="19">
        <f>IF(B75="","",IF(C75="DIA", (SUMIFS('📋 Detalle Diario'!$D$5:$D$489, '📋 Detalle Diario'!$B$5:$B$489, B75, '📋 Detalle Diario'!$C$5:$C$489, C75) * '⚙️ Supuestos'!$C$24) + '⚙️ Supuestos'!$C$23, (SUMIFS('📋 Detalle Diario'!$D$5:$D$489, '📋 Detalle Diario'!$B$5:$B$489, B75, '📋 Detalle Diario'!$C$5:$C$489, C75) * '⚙️ Supuestos'!$C$24) + '⚙️ Supuestos'!$C$33))</f>
        <v>5839.7531666666664</v>
      </c>
      <c r="L75" s="19">
        <f t="shared" si="12"/>
        <v>-686.10316666666677</v>
      </c>
      <c r="M75" s="20">
        <f t="shared" si="13"/>
        <v>-0.13312956189626127</v>
      </c>
      <c r="N75" s="19">
        <f t="shared" si="14"/>
        <v>10.103379181084199</v>
      </c>
      <c r="O75" s="25" t="str">
        <f t="shared" si="15"/>
        <v>2026-06</v>
      </c>
      <c r="P75" s="19">
        <f t="shared" si="16"/>
        <v>6045.0431666666664</v>
      </c>
      <c r="Q75" s="19">
        <f>IF(B75="","",J75-P75+(SUMIFS('📋 Detalle Diario'!$E$5:$E$489, '📋 Detalle Diario'!$B$5:$B$489, B75, '📋 Detalle Diario'!$C$5:$C$489, C75)*135)+(SUMIFS('📋 Detalle Diario'!$I$5:$I$489, '📋 Detalle Diario'!$B$5:$B$489, B75, '📋 Detalle Diario'!$C$5:$C$489, C75)*200))</f>
        <v>-891.39316666666673</v>
      </c>
      <c r="R75" s="20">
        <f t="shared" si="17"/>
        <v>-0.17296346602246307</v>
      </c>
    </row>
    <row r="76" spans="2:18" ht="18" customHeight="1" x14ac:dyDescent="0.25">
      <c r="B76" s="26" t="s">
        <v>112</v>
      </c>
      <c r="C76" s="27" t="s">
        <v>73</v>
      </c>
      <c r="D76" s="18">
        <f>IF(B76="","",SUMIFS('📈 Datos Completos'!$E$7:$E$5000, '📈 Datos Completos'!$B$7:$B$5000, B76, '📈 Datos Completos'!$D$7:$D$5000, C76))</f>
        <v>2280</v>
      </c>
      <c r="E76" s="18">
        <f>IF(B76="","",SUMIFS('📈 Datos Completos'!$F$7:$F$5000, '📈 Datos Completos'!$B$7:$B$5000, B76, '📈 Datos Completos'!$D$7:$D$5000, C76))</f>
        <v>3600</v>
      </c>
      <c r="F76" s="18">
        <f>IF(B76="","",SUMIFS('📈 Datos Completos'!$G$7:$G$5000, '📈 Datos Completos'!$B$7:$B$5000, B76, '📈 Datos Completos'!$D$7:$D$5000, C76))</f>
        <v>4440</v>
      </c>
      <c r="G76" s="18">
        <f t="shared" si="9"/>
        <v>8040</v>
      </c>
      <c r="H76" s="19">
        <f>IF(B76="","",SUMIFS('📈 Datos Completos'!$I$7:$I$5000, '📈 Datos Completos'!$B$7:$B$5000, B76, '📈 Datos Completos'!$D$7:$D$5000, C76))</f>
        <v>13748.400000000001</v>
      </c>
      <c r="I76" s="19">
        <f t="shared" si="10"/>
        <v>10854</v>
      </c>
      <c r="J76" s="19">
        <f t="shared" si="11"/>
        <v>24602.400000000001</v>
      </c>
      <c r="K76" s="19">
        <f>IF(B76="","",IF(C76="DIA", (SUMIFS('📋 Detalle Diario'!$D$5:$D$489, '📋 Detalle Diario'!$B$5:$B$489, B76, '📋 Detalle Diario'!$C$5:$C$489, C76) * '⚙️ Supuestos'!$C$24) + '⚙️ Supuestos'!$C$23, (SUMIFS('📋 Detalle Diario'!$D$5:$D$489, '📋 Detalle Diario'!$B$5:$B$489, B76, '📋 Detalle Diario'!$C$5:$C$489, C76) * '⚙️ Supuestos'!$C$24) + '⚙️ Supuestos'!$C$33))</f>
        <v>5730.4198333333334</v>
      </c>
      <c r="L76" s="19">
        <f t="shared" si="12"/>
        <v>18871.980166666668</v>
      </c>
      <c r="M76" s="20">
        <f t="shared" si="13"/>
        <v>0.7670788283527894</v>
      </c>
      <c r="N76" s="19">
        <f t="shared" si="14"/>
        <v>2.5133420321637425</v>
      </c>
      <c r="O76" s="27" t="str">
        <f t="shared" si="15"/>
        <v>2026-06</v>
      </c>
      <c r="P76" s="19">
        <f t="shared" si="16"/>
        <v>6454.0198333333337</v>
      </c>
      <c r="Q76" s="19">
        <f>IF(B76="","",J76-P76+(SUMIFS('📋 Detalle Diario'!$E$5:$E$489, '📋 Detalle Diario'!$B$5:$B$489, B76, '📋 Detalle Diario'!$C$5:$C$489, C76)*135)+(SUMIFS('📋 Detalle Diario'!$I$5:$I$489, '📋 Detalle Diario'!$B$5:$B$489, B76, '📋 Detalle Diario'!$C$5:$C$489, C76)*200))</f>
        <v>18148.38016666667</v>
      </c>
      <c r="R76" s="20">
        <f t="shared" si="17"/>
        <v>0.73766706364690715</v>
      </c>
    </row>
    <row r="77" spans="2:18" ht="18" customHeight="1" x14ac:dyDescent="0.25">
      <c r="B77" s="24" t="s">
        <v>113</v>
      </c>
      <c r="C77" s="25" t="s">
        <v>72</v>
      </c>
      <c r="D77" s="18">
        <f>IF(B77="","",SUMIFS('📈 Datos Completos'!$E$7:$E$5000, '📈 Datos Completos'!$B$7:$B$5000, B77, '📈 Datos Completos'!$D$7:$D$5000, C77))</f>
        <v>1943</v>
      </c>
      <c r="E77" s="18">
        <f>IF(B77="","",SUMIFS('📈 Datos Completos'!$F$7:$F$5000, '📈 Datos Completos'!$B$7:$B$5000, B77, '📈 Datos Completos'!$D$7:$D$5000, C77))</f>
        <v>1938</v>
      </c>
      <c r="F77" s="18">
        <f>IF(B77="","",SUMIFS('📈 Datos Completos'!$G$7:$G$5000, '📈 Datos Completos'!$B$7:$B$5000, B77, '📈 Datos Completos'!$D$7:$D$5000, C77))</f>
        <v>5814</v>
      </c>
      <c r="G77" s="18">
        <f t="shared" si="9"/>
        <v>7752</v>
      </c>
      <c r="H77" s="19">
        <f>IF(B77="","",SUMIFS('📈 Datos Completos'!$I$7:$I$5000, '📈 Datos Completos'!$B$7:$B$5000, B77, '📈 Datos Completos'!$D$7:$D$5000, C77))</f>
        <v>8984.7599999999984</v>
      </c>
      <c r="I77" s="19">
        <f t="shared" si="10"/>
        <v>7829.52</v>
      </c>
      <c r="J77" s="19">
        <f t="shared" si="11"/>
        <v>16814.28</v>
      </c>
      <c r="K77" s="19">
        <f>IF(B77="","",IF(C77="DIA", (SUMIFS('📋 Detalle Diario'!$D$5:$D$489, '📋 Detalle Diario'!$B$5:$B$489, B77, '📋 Detalle Diario'!$C$5:$C$489, C77) * '⚙️ Supuestos'!$C$24) + '⚙️ Supuestos'!$C$23, (SUMIFS('📋 Detalle Diario'!$D$5:$D$489, '📋 Detalle Diario'!$B$5:$B$489, B77, '📋 Detalle Diario'!$C$5:$C$489, C77) * '⚙️ Supuestos'!$C$24) + '⚙️ Supuestos'!$C$33))</f>
        <v>6634.9560000000001</v>
      </c>
      <c r="L77" s="19">
        <f t="shared" si="12"/>
        <v>10179.323999999999</v>
      </c>
      <c r="M77" s="20">
        <f t="shared" si="13"/>
        <v>0.60539755493544767</v>
      </c>
      <c r="N77" s="19">
        <f t="shared" si="14"/>
        <v>3.4147997941327843</v>
      </c>
      <c r="O77" s="25" t="str">
        <f t="shared" si="15"/>
        <v>2026-06</v>
      </c>
      <c r="P77" s="19">
        <f t="shared" si="16"/>
        <v>7332.6360000000004</v>
      </c>
      <c r="Q77" s="19">
        <f>IF(B77="","",J77-P77+(SUMIFS('📋 Detalle Diario'!$E$5:$E$489, '📋 Detalle Diario'!$B$5:$B$489, B77, '📋 Detalle Diario'!$C$5:$C$489, C77)*135)+(SUMIFS('📋 Detalle Diario'!$I$5:$I$489, '📋 Detalle Diario'!$B$5:$B$489, B77, '📋 Detalle Diario'!$C$5:$C$489, C77)*200))</f>
        <v>9481.6439999999984</v>
      </c>
      <c r="R77" s="20">
        <f t="shared" si="17"/>
        <v>0.56390425281367973</v>
      </c>
    </row>
    <row r="78" spans="2:18" ht="18" customHeight="1" x14ac:dyDescent="0.25">
      <c r="B78" s="26" t="s">
        <v>113</v>
      </c>
      <c r="C78" s="27" t="s">
        <v>73</v>
      </c>
      <c r="D78" s="18">
        <f>IF(B78="","",SUMIFS('📈 Datos Completos'!$E$7:$E$5000, '📈 Datos Completos'!$B$7:$B$5000, B78, '📈 Datos Completos'!$D$7:$D$5000, C78))</f>
        <v>619.79999999999995</v>
      </c>
      <c r="E78" s="18">
        <f>IF(B78="","",SUMIFS('📈 Datos Completos'!$F$7:$F$5000, '📈 Datos Completos'!$B$7:$B$5000, B78, '📈 Datos Completos'!$D$7:$D$5000, C78))</f>
        <v>270</v>
      </c>
      <c r="F78" s="18">
        <f>IF(B78="","",SUMIFS('📈 Datos Completos'!$G$7:$G$5000, '📈 Datos Completos'!$B$7:$B$5000, B78, '📈 Datos Completos'!$D$7:$D$5000, C78))</f>
        <v>4018</v>
      </c>
      <c r="G78" s="18">
        <f t="shared" si="9"/>
        <v>4288</v>
      </c>
      <c r="H78" s="19">
        <f>IF(B78="","",SUMIFS('📈 Datos Completos'!$I$7:$I$5000, '📈 Datos Completos'!$B$7:$B$5000, B78, '📈 Datos Completos'!$D$7:$D$5000, C78))</f>
        <v>4944.84</v>
      </c>
      <c r="I78" s="19">
        <f t="shared" si="10"/>
        <v>5788.8</v>
      </c>
      <c r="J78" s="19">
        <f t="shared" si="11"/>
        <v>10733.64</v>
      </c>
      <c r="K78" s="19">
        <f>IF(B78="","",IF(C78="DIA", (SUMIFS('📋 Detalle Diario'!$D$5:$D$489, '📋 Detalle Diario'!$B$5:$B$489, B78, '📋 Detalle Diario'!$C$5:$C$489, C78) * '⚙️ Supuestos'!$C$24) + '⚙️ Supuestos'!$C$23, (SUMIFS('📋 Detalle Diario'!$D$5:$D$489, '📋 Detalle Diario'!$B$5:$B$489, B78, '📋 Detalle Diario'!$C$5:$C$489, C78) * '⚙️ Supuestos'!$C$24) + '⚙️ Supuestos'!$C$33))</f>
        <v>6525.6226666666671</v>
      </c>
      <c r="L78" s="19">
        <f t="shared" si="12"/>
        <v>4208.0173333333323</v>
      </c>
      <c r="M78" s="20">
        <f t="shared" si="13"/>
        <v>0.39204010320202026</v>
      </c>
      <c r="N78" s="19">
        <f t="shared" si="14"/>
        <v>10.528594170162419</v>
      </c>
      <c r="O78" s="27" t="str">
        <f t="shared" si="15"/>
        <v>2026-06</v>
      </c>
      <c r="P78" s="19">
        <f t="shared" si="16"/>
        <v>6911.5426666666672</v>
      </c>
      <c r="Q78" s="19">
        <f>IF(B78="","",J78-P78+(SUMIFS('📋 Detalle Diario'!$E$5:$E$489, '📋 Detalle Diario'!$B$5:$B$489, B78, '📋 Detalle Diario'!$C$5:$C$489, C78)*135)+(SUMIFS('📋 Detalle Diario'!$I$5:$I$489, '📋 Detalle Diario'!$B$5:$B$489, B78, '📋 Detalle Diario'!$C$5:$C$489, C78)*200))</f>
        <v>3822.0973333333322</v>
      </c>
      <c r="R78" s="20">
        <f t="shared" si="17"/>
        <v>0.35608585096326434</v>
      </c>
    </row>
    <row r="79" spans="2:18" ht="18" customHeight="1" x14ac:dyDescent="0.25">
      <c r="B79" s="24" t="s">
        <v>114</v>
      </c>
      <c r="C79" s="25" t="s">
        <v>72</v>
      </c>
      <c r="D79" s="18">
        <f>IF(B79="","",SUMIFS('📈 Datos Completos'!$E$7:$E$5000, '📈 Datos Completos'!$B$7:$B$5000, B79, '📈 Datos Completos'!$D$7:$D$5000, C79))</f>
        <v>1936</v>
      </c>
      <c r="E79" s="18">
        <f>IF(B79="","",SUMIFS('📈 Datos Completos'!$F$7:$F$5000, '📈 Datos Completos'!$B$7:$B$5000, B79, '📈 Datos Completos'!$D$7:$D$5000, C79))</f>
        <v>1800</v>
      </c>
      <c r="F79" s="18">
        <f>IF(B79="","",SUMIFS('📈 Datos Completos'!$G$7:$G$5000, '📈 Datos Completos'!$B$7:$B$5000, B79, '📈 Datos Completos'!$D$7:$D$5000, C79))</f>
        <v>6840</v>
      </c>
      <c r="G79" s="18">
        <f t="shared" si="9"/>
        <v>8640</v>
      </c>
      <c r="H79" s="19">
        <f>IF(B79="","",SUMIFS('📈 Datos Completos'!$I$7:$I$5000, '📈 Datos Completos'!$B$7:$B$5000, B79, '📈 Datos Completos'!$D$7:$D$5000, C79))</f>
        <v>9523.1999999999989</v>
      </c>
      <c r="I79" s="19">
        <f t="shared" si="10"/>
        <v>8726.4</v>
      </c>
      <c r="J79" s="19">
        <f t="shared" si="11"/>
        <v>18249.599999999999</v>
      </c>
      <c r="K79" s="19">
        <f>IF(B79="","",IF(C79="DIA", (SUMIFS('📋 Detalle Diario'!$D$5:$D$489, '📋 Detalle Diario'!$B$5:$B$489, B79, '📋 Detalle Diario'!$C$5:$C$489, C79) * '⚙️ Supuestos'!$C$24) + '⚙️ Supuestos'!$C$23, (SUMIFS('📋 Detalle Diario'!$D$5:$D$489, '📋 Detalle Diario'!$B$5:$B$489, B79, '📋 Detalle Diario'!$C$5:$C$489, C79) * '⚙️ Supuestos'!$C$24) + '⚙️ Supuestos'!$C$33))</f>
        <v>6634.9560000000001</v>
      </c>
      <c r="L79" s="19">
        <f t="shared" si="12"/>
        <v>11614.643999999998</v>
      </c>
      <c r="M79" s="20">
        <f t="shared" si="13"/>
        <v>0.636432798527091</v>
      </c>
      <c r="N79" s="19">
        <f t="shared" si="14"/>
        <v>3.4271466942148763</v>
      </c>
      <c r="O79" s="25" t="str">
        <f t="shared" si="15"/>
        <v>2026-06</v>
      </c>
      <c r="P79" s="19">
        <f t="shared" si="16"/>
        <v>7412.5560000000005</v>
      </c>
      <c r="Q79" s="19">
        <f>IF(B79="","",J79-P79+(SUMIFS('📋 Detalle Diario'!$E$5:$E$489, '📋 Detalle Diario'!$B$5:$B$489, B79, '📋 Detalle Diario'!$C$5:$C$489, C79)*135)+(SUMIFS('📋 Detalle Diario'!$I$5:$I$489, '📋 Detalle Diario'!$B$5:$B$489, B79, '📋 Detalle Diario'!$C$5:$C$489, C79)*200))</f>
        <v>15089.543999999998</v>
      </c>
      <c r="R79" s="20">
        <f t="shared" si="17"/>
        <v>0.82684245134139922</v>
      </c>
    </row>
    <row r="80" spans="2:18" ht="18" customHeight="1" x14ac:dyDescent="0.25">
      <c r="B80" s="26" t="s">
        <v>114</v>
      </c>
      <c r="C80" s="27" t="s">
        <v>73</v>
      </c>
      <c r="D80" s="18">
        <f>IF(B80="","",SUMIFS('📈 Datos Completos'!$E$7:$E$5000, '📈 Datos Completos'!$B$7:$B$5000, B80, '📈 Datos Completos'!$D$7:$D$5000, C80))</f>
        <v>811</v>
      </c>
      <c r="E80" s="18">
        <f>IF(B80="","",SUMIFS('📈 Datos Completos'!$F$7:$F$5000, '📈 Datos Completos'!$B$7:$B$5000, B80, '📈 Datos Completos'!$D$7:$D$5000, C80))</f>
        <v>738</v>
      </c>
      <c r="F80" s="18">
        <f>IF(B80="","",SUMIFS('📈 Datos Completos'!$G$7:$G$5000, '📈 Datos Completos'!$B$7:$B$5000, B80, '📈 Datos Completos'!$D$7:$D$5000, C80))</f>
        <v>2022</v>
      </c>
      <c r="G80" s="18">
        <f t="shared" si="9"/>
        <v>2760</v>
      </c>
      <c r="H80" s="19">
        <f>IF(B80="","",SUMIFS('📈 Datos Completos'!$I$7:$I$5000, '📈 Datos Completos'!$B$7:$B$5000, B80, '📈 Datos Completos'!$D$7:$D$5000, C80))</f>
        <v>4965.18</v>
      </c>
      <c r="I80" s="19">
        <f t="shared" si="10"/>
        <v>3726.0000000000005</v>
      </c>
      <c r="J80" s="19">
        <f t="shared" si="11"/>
        <v>8691.18</v>
      </c>
      <c r="K80" s="19">
        <f>IF(B80="","",IF(C80="DIA", (SUMIFS('📋 Detalle Diario'!$D$5:$D$489, '📋 Detalle Diario'!$B$5:$B$489, B80, '📋 Detalle Diario'!$C$5:$C$489, C80) * '⚙️ Supuestos'!$C$24) + '⚙️ Supuestos'!$C$23, (SUMIFS('📋 Detalle Diario'!$D$5:$D$489, '📋 Detalle Diario'!$B$5:$B$489, B80, '📋 Detalle Diario'!$C$5:$C$489, C80) * '⚙️ Supuestos'!$C$24) + '⚙️ Supuestos'!$C$33))</f>
        <v>6525.6226666666671</v>
      </c>
      <c r="L80" s="19">
        <f t="shared" si="12"/>
        <v>2165.5573333333332</v>
      </c>
      <c r="M80" s="20">
        <f t="shared" si="13"/>
        <v>0.24916724004488838</v>
      </c>
      <c r="N80" s="19">
        <f t="shared" si="14"/>
        <v>8.0463904644471853</v>
      </c>
      <c r="O80" s="27" t="str">
        <f t="shared" si="15"/>
        <v>2026-06</v>
      </c>
      <c r="P80" s="19">
        <f t="shared" si="16"/>
        <v>6774.0226666666667</v>
      </c>
      <c r="Q80" s="19">
        <f>IF(B80="","",J80-P80+(SUMIFS('📋 Detalle Diario'!$E$5:$E$489, '📋 Detalle Diario'!$B$5:$B$489, B80, '📋 Detalle Diario'!$C$5:$C$489, C80)*135)+(SUMIFS('📋 Detalle Diario'!$I$5:$I$489, '📋 Detalle Diario'!$B$5:$B$489, B80, '📋 Detalle Diario'!$C$5:$C$489, C80)*200))</f>
        <v>1917.1573333333336</v>
      </c>
      <c r="R80" s="20">
        <f t="shared" si="17"/>
        <v>0.22058654099136521</v>
      </c>
    </row>
    <row r="81" spans="2:18" ht="18" customHeight="1" x14ac:dyDescent="0.25">
      <c r="B81" s="24" t="s">
        <v>115</v>
      </c>
      <c r="C81" s="25" t="s">
        <v>72</v>
      </c>
      <c r="D81" s="18">
        <f>IF(B81="","",SUMIFS('📈 Datos Completos'!$E$7:$E$5000, '📈 Datos Completos'!$B$7:$B$5000, B81, '📈 Datos Completos'!$D$7:$D$5000, C81))</f>
        <v>399</v>
      </c>
      <c r="E81" s="18">
        <f>IF(B81="","",SUMIFS('📈 Datos Completos'!$F$7:$F$5000, '📈 Datos Completos'!$B$7:$B$5000, B81, '📈 Datos Completos'!$D$7:$D$5000, C81))</f>
        <v>0</v>
      </c>
      <c r="F81" s="18">
        <f>IF(B81="","",SUMIFS('📈 Datos Completos'!$G$7:$G$5000, '📈 Datos Completos'!$B$7:$B$5000, B81, '📈 Datos Completos'!$D$7:$D$5000, C81))</f>
        <v>610</v>
      </c>
      <c r="G81" s="18">
        <f t="shared" si="9"/>
        <v>610</v>
      </c>
      <c r="H81" s="19">
        <f>IF(B81="","",SUMIFS('📈 Datos Completos'!$I$7:$I$5000, '📈 Datos Completos'!$B$7:$B$5000, B81, '📈 Datos Completos'!$D$7:$D$5000, C81))</f>
        <v>3983.4</v>
      </c>
      <c r="I81" s="19">
        <f t="shared" si="10"/>
        <v>616.1</v>
      </c>
      <c r="J81" s="19">
        <f t="shared" si="11"/>
        <v>4599.5</v>
      </c>
      <c r="K81" s="19">
        <f>IF(B81="","",IF(C81="DIA", (SUMIFS('📋 Detalle Diario'!$D$5:$D$489, '📋 Detalle Diario'!$B$5:$B$489, B81, '📋 Detalle Diario'!$C$5:$C$489, C81) * '⚙️ Supuestos'!$C$24) + '⚙️ Supuestos'!$C$23, (SUMIFS('📋 Detalle Diario'!$D$5:$D$489, '📋 Detalle Diario'!$B$5:$B$489, B81, '📋 Detalle Diario'!$C$5:$C$489, C81) * '⚙️ Supuestos'!$C$24) + '⚙️ Supuestos'!$C$33))</f>
        <v>6634.9560000000001</v>
      </c>
      <c r="L81" s="19">
        <f t="shared" si="12"/>
        <v>-2035.4560000000001</v>
      </c>
      <c r="M81" s="20">
        <f t="shared" si="13"/>
        <v>-0.44253853679747801</v>
      </c>
      <c r="N81" s="19">
        <f t="shared" si="14"/>
        <v>16.628962406015038</v>
      </c>
      <c r="O81" s="25" t="str">
        <f t="shared" si="15"/>
        <v>2026-06</v>
      </c>
      <c r="P81" s="19">
        <f t="shared" si="16"/>
        <v>6689.8559999999998</v>
      </c>
      <c r="Q81" s="19">
        <f>IF(B81="","",J81-P81+(SUMIFS('📋 Detalle Diario'!$E$5:$E$489, '📋 Detalle Diario'!$B$5:$B$489, B81, '📋 Detalle Diario'!$C$5:$C$489, C81)*135)+(SUMIFS('📋 Detalle Diario'!$I$5:$I$489, '📋 Detalle Diario'!$B$5:$B$489, B81, '📋 Detalle Diario'!$C$5:$C$489, C81)*200))</f>
        <v>-2090.3559999999998</v>
      </c>
      <c r="R81" s="20">
        <f t="shared" si="17"/>
        <v>-0.45447461680617451</v>
      </c>
    </row>
    <row r="82" spans="2:18" ht="18" customHeight="1" x14ac:dyDescent="0.25">
      <c r="B82" s="26" t="s">
        <v>115</v>
      </c>
      <c r="C82" s="27" t="s">
        <v>73</v>
      </c>
      <c r="D82" s="18">
        <f>IF(B82="","",SUMIFS('📈 Datos Completos'!$E$7:$E$5000, '📈 Datos Completos'!$B$7:$B$5000, B82, '📈 Datos Completos'!$D$7:$D$5000, C82))</f>
        <v>671</v>
      </c>
      <c r="E82" s="18">
        <f>IF(B82="","",SUMIFS('📈 Datos Completos'!$F$7:$F$5000, '📈 Datos Completos'!$B$7:$B$5000, B82, '📈 Datos Completos'!$D$7:$D$5000, C82))</f>
        <v>671</v>
      </c>
      <c r="F82" s="18">
        <f>IF(B82="","",SUMIFS('📈 Datos Completos'!$G$7:$G$5000, '📈 Datos Completos'!$B$7:$B$5000, B82, '📈 Datos Completos'!$D$7:$D$5000, C82))</f>
        <v>2684</v>
      </c>
      <c r="G82" s="18">
        <f t="shared" si="9"/>
        <v>3355</v>
      </c>
      <c r="H82" s="19">
        <f>IF(B82="","",SUMIFS('📈 Datos Completos'!$I$7:$I$5000, '📈 Datos Completos'!$B$7:$B$5000, B82, '📈 Datos Completos'!$D$7:$D$5000, C82))</f>
        <v>4046.13</v>
      </c>
      <c r="I82" s="19">
        <f t="shared" si="10"/>
        <v>4529.25</v>
      </c>
      <c r="J82" s="19">
        <f t="shared" si="11"/>
        <v>8575.380000000001</v>
      </c>
      <c r="K82" s="19">
        <f>IF(B82="","",IF(C82="DIA", (SUMIFS('📋 Detalle Diario'!$D$5:$D$489, '📋 Detalle Diario'!$B$5:$B$489, B82, '📋 Detalle Diario'!$C$5:$C$489, C82) * '⚙️ Supuestos'!$C$24) + '⚙️ Supuestos'!$C$23, (SUMIFS('📋 Detalle Diario'!$D$5:$D$489, '📋 Detalle Diario'!$B$5:$B$489, B82, '📋 Detalle Diario'!$C$5:$C$489, C82) * '⚙️ Supuestos'!$C$24) + '⚙️ Supuestos'!$C$33))</f>
        <v>5730.4198333333334</v>
      </c>
      <c r="L82" s="19">
        <f t="shared" si="12"/>
        <v>2844.9601666666676</v>
      </c>
      <c r="M82" s="20">
        <f t="shared" si="13"/>
        <v>0.33175907850925174</v>
      </c>
      <c r="N82" s="19">
        <f t="shared" si="14"/>
        <v>8.5401189766517636</v>
      </c>
      <c r="O82" s="27" t="str">
        <f t="shared" si="15"/>
        <v>2026-06</v>
      </c>
      <c r="P82" s="19">
        <f t="shared" si="16"/>
        <v>6032.3698333333332</v>
      </c>
      <c r="Q82" s="19">
        <f>IF(B82="","",J82-P82+(SUMIFS('📋 Detalle Diario'!$E$5:$E$489, '📋 Detalle Diario'!$B$5:$B$489, B82, '📋 Detalle Diario'!$C$5:$C$489, C82)*135)+(SUMIFS('📋 Detalle Diario'!$I$5:$I$489, '📋 Detalle Diario'!$B$5:$B$489, B82, '📋 Detalle Diario'!$C$5:$C$489, C82)*200))</f>
        <v>2543.0101666666678</v>
      </c>
      <c r="R82" s="20">
        <f t="shared" si="17"/>
        <v>0.29654781090361798</v>
      </c>
    </row>
    <row r="83" spans="2:18" ht="18" customHeight="1" x14ac:dyDescent="0.25">
      <c r="B83" s="24" t="s">
        <v>116</v>
      </c>
      <c r="C83" s="25" t="s">
        <v>72</v>
      </c>
      <c r="D83" s="18">
        <f>IF(B83="","",SUMIFS('📈 Datos Completos'!$E$7:$E$5000, '📈 Datos Completos'!$B$7:$B$5000, B83, '📈 Datos Completos'!$D$7:$D$5000, C83))</f>
        <v>378</v>
      </c>
      <c r="E83" s="18">
        <f>IF(B83="","",SUMIFS('📈 Datos Completos'!$F$7:$F$5000, '📈 Datos Completos'!$B$7:$B$5000, B83, '📈 Datos Completos'!$D$7:$D$5000, C83))</f>
        <v>0</v>
      </c>
      <c r="F83" s="18">
        <f>IF(B83="","",SUMIFS('📈 Datos Completos'!$G$7:$G$5000, '📈 Datos Completos'!$B$7:$B$5000, B83, '📈 Datos Completos'!$D$7:$D$5000, C83))</f>
        <v>224</v>
      </c>
      <c r="G83" s="18">
        <f t="shared" si="9"/>
        <v>224</v>
      </c>
      <c r="H83" s="19">
        <f>IF(B83="","",SUMIFS('📈 Datos Completos'!$I$7:$I$5000, '📈 Datos Completos'!$B$7:$B$5000, B83, '📈 Datos Completos'!$D$7:$D$5000, C83))</f>
        <v>3022.96</v>
      </c>
      <c r="I83" s="19">
        <f t="shared" si="10"/>
        <v>226.24</v>
      </c>
      <c r="J83" s="19">
        <f t="shared" si="11"/>
        <v>3249.2</v>
      </c>
      <c r="K83" s="19">
        <f>IF(B83="","",IF(C83="DIA", (SUMIFS('📋 Detalle Diario'!$D$5:$D$489, '📋 Detalle Diario'!$B$5:$B$489, B83, '📋 Detalle Diario'!$C$5:$C$489, C83) * '⚙️ Supuestos'!$C$24) + '⚙️ Supuestos'!$C$23, (SUMIFS('📋 Detalle Diario'!$D$5:$D$489, '📋 Detalle Diario'!$B$5:$B$489, B83, '📋 Detalle Diario'!$C$5:$C$489, C83) * '⚙️ Supuestos'!$C$24) + '⚙️ Supuestos'!$C$33))</f>
        <v>6634.9560000000001</v>
      </c>
      <c r="L83" s="19">
        <f t="shared" si="12"/>
        <v>-3385.7560000000003</v>
      </c>
      <c r="M83" s="20">
        <f t="shared" si="13"/>
        <v>-1.0420275760187125</v>
      </c>
      <c r="N83" s="19">
        <f t="shared" si="14"/>
        <v>17.55279365079365</v>
      </c>
      <c r="O83" s="25" t="str">
        <f t="shared" si="15"/>
        <v>2026-06</v>
      </c>
      <c r="P83" s="19">
        <f t="shared" si="16"/>
        <v>6655.116</v>
      </c>
      <c r="Q83" s="19">
        <f>IF(B83="","",J83-P83+(SUMIFS('📋 Detalle Diario'!$E$5:$E$489, '📋 Detalle Diario'!$B$5:$B$489, B83, '📋 Detalle Diario'!$C$5:$C$489, C83)*135)+(SUMIFS('📋 Detalle Diario'!$I$5:$I$489, '📋 Detalle Diario'!$B$5:$B$489, B83, '📋 Detalle Diario'!$C$5:$C$489, C83)*200))</f>
        <v>1994.0839999999998</v>
      </c>
      <c r="R83" s="20">
        <f t="shared" si="17"/>
        <v>0.61371537609257665</v>
      </c>
    </row>
    <row r="84" spans="2:18" ht="18" customHeight="1" x14ac:dyDescent="0.25">
      <c r="B84" s="26"/>
      <c r="C84" s="27"/>
      <c r="D84" s="18" t="str">
        <f>IF(B84="","",SUMIFS('📈 Datos Completos'!$E$7:$E$5000, '📈 Datos Completos'!$B$7:$B$5000, B84, '📈 Datos Completos'!$D$7:$D$5000, C84))</f>
        <v/>
      </c>
      <c r="E84" s="18" t="str">
        <f>IF(B84="","",SUMIFS('📈 Datos Completos'!$F$7:$F$5000, '📈 Datos Completos'!$B$7:$B$5000, B84, '📈 Datos Completos'!$D$7:$D$5000, C84))</f>
        <v/>
      </c>
      <c r="F84" s="18" t="str">
        <f>IF(B84="","",SUMIFS('📈 Datos Completos'!$G$7:$G$5000, '📈 Datos Completos'!$B$7:$B$5000, B84, '📈 Datos Completos'!$D$7:$D$5000, C84))</f>
        <v/>
      </c>
      <c r="G84" s="18" t="str">
        <f t="shared" si="9"/>
        <v/>
      </c>
      <c r="H84" s="19" t="str">
        <f>IF(B84="","",SUMIFS('📈 Datos Completos'!$I$7:$I$5000, '📈 Datos Completos'!$B$7:$B$5000, B84, '📈 Datos Completos'!$D$7:$D$5000, C84))</f>
        <v/>
      </c>
      <c r="I84" s="19" t="str">
        <f t="shared" si="10"/>
        <v/>
      </c>
      <c r="J84" s="19" t="str">
        <f t="shared" si="11"/>
        <v/>
      </c>
      <c r="K84" s="19" t="str">
        <f>IF(B84="","",IF(C84="DIA", (SUMIFS('📋 Detalle Diario'!$D$5:$D$489, '📋 Detalle Diario'!$B$5:$B$489, B84, '📋 Detalle Diario'!$C$5:$C$489, C84) * '⚙️ Supuestos'!$C$24) + '⚙️ Supuestos'!$C$23, (SUMIFS('📋 Detalle Diario'!$D$5:$D$489, '📋 Detalle Diario'!$B$5:$B$489, B84, '📋 Detalle Diario'!$C$5:$C$489, C84) * '⚙️ Supuestos'!$C$24) + '⚙️ Supuestos'!$C$33))</f>
        <v/>
      </c>
      <c r="L84" s="19" t="str">
        <f t="shared" si="12"/>
        <v/>
      </c>
      <c r="M84" s="20" t="str">
        <f t="shared" si="13"/>
        <v/>
      </c>
      <c r="N84" s="19" t="str">
        <f t="shared" si="14"/>
        <v/>
      </c>
      <c r="O84" s="27" t="str">
        <f t="shared" si="15"/>
        <v/>
      </c>
      <c r="P84" s="19" t="str">
        <f t="shared" si="16"/>
        <v/>
      </c>
      <c r="Q84" s="19" t="str">
        <f>IF(B84="","",J84-P84+(SUMIFS('📋 Detalle Diario'!$E$5:$E$489, '📋 Detalle Diario'!$B$5:$B$489, B84, '📋 Detalle Diario'!$C$5:$C$489, C84)*135)+(SUMIFS('📋 Detalle Diario'!$I$5:$I$489, '📋 Detalle Diario'!$B$5:$B$489, B84, '📋 Detalle Diario'!$C$5:$C$489, C84)*200))</f>
        <v/>
      </c>
      <c r="R84" s="20" t="str">
        <f t="shared" si="17"/>
        <v/>
      </c>
    </row>
    <row r="85" spans="2:18" ht="18" customHeight="1" x14ac:dyDescent="0.25">
      <c r="B85" s="24"/>
      <c r="C85" s="25"/>
      <c r="D85" s="18" t="str">
        <f>IF(B85="","",SUMIFS('📈 Datos Completos'!$E$7:$E$5000, '📈 Datos Completos'!$B$7:$B$5000, B85, '📈 Datos Completos'!$D$7:$D$5000, C85))</f>
        <v/>
      </c>
      <c r="E85" s="18" t="str">
        <f>IF(B85="","",SUMIFS('📈 Datos Completos'!$F$7:$F$5000, '📈 Datos Completos'!$B$7:$B$5000, B85, '📈 Datos Completos'!$D$7:$D$5000, C85))</f>
        <v/>
      </c>
      <c r="F85" s="18" t="str">
        <f>IF(B85="","",SUMIFS('📈 Datos Completos'!$G$7:$G$5000, '📈 Datos Completos'!$B$7:$B$5000, B85, '📈 Datos Completos'!$D$7:$D$5000, C85))</f>
        <v/>
      </c>
      <c r="G85" s="18" t="str">
        <f t="shared" si="9"/>
        <v/>
      </c>
      <c r="H85" s="19" t="str">
        <f>IF(B85="","",SUMIFS('📈 Datos Completos'!$I$7:$I$5000, '📈 Datos Completos'!$B$7:$B$5000, B85, '📈 Datos Completos'!$D$7:$D$5000, C85))</f>
        <v/>
      </c>
      <c r="I85" s="19" t="str">
        <f t="shared" si="10"/>
        <v/>
      </c>
      <c r="J85" s="19" t="str">
        <f t="shared" si="11"/>
        <v/>
      </c>
      <c r="K85" s="19" t="str">
        <f>IF(B85="","",IF(C85="DIA", (SUMIFS('📋 Detalle Diario'!$D$5:$D$489, '📋 Detalle Diario'!$B$5:$B$489, B85, '📋 Detalle Diario'!$C$5:$C$489, C85) * '⚙️ Supuestos'!$C$24) + '⚙️ Supuestos'!$C$23, (SUMIFS('📋 Detalle Diario'!$D$5:$D$489, '📋 Detalle Diario'!$B$5:$B$489, B85, '📋 Detalle Diario'!$C$5:$C$489, C85) * '⚙️ Supuestos'!$C$24) + '⚙️ Supuestos'!$C$33))</f>
        <v/>
      </c>
      <c r="L85" s="19" t="str">
        <f t="shared" si="12"/>
        <v/>
      </c>
      <c r="M85" s="20" t="str">
        <f t="shared" si="13"/>
        <v/>
      </c>
      <c r="N85" s="19" t="str">
        <f t="shared" si="14"/>
        <v/>
      </c>
      <c r="O85" s="25" t="str">
        <f t="shared" si="15"/>
        <v/>
      </c>
      <c r="P85" s="19" t="str">
        <f t="shared" si="16"/>
        <v/>
      </c>
      <c r="Q85" s="19" t="str">
        <f>IF(B85="","",J85-P85+(SUMIFS('📋 Detalle Diario'!$E$5:$E$489, '📋 Detalle Diario'!$B$5:$B$489, B85, '📋 Detalle Diario'!$C$5:$C$489, C85)*135)+(SUMIFS('📋 Detalle Diario'!$I$5:$I$489, '📋 Detalle Diario'!$B$5:$B$489, B85, '📋 Detalle Diario'!$C$5:$C$489, C85)*200))</f>
        <v/>
      </c>
      <c r="R85" s="20" t="str">
        <f t="shared" si="17"/>
        <v/>
      </c>
    </row>
    <row r="86" spans="2:18" ht="18" customHeight="1" x14ac:dyDescent="0.25">
      <c r="B86" s="26"/>
      <c r="C86" s="27"/>
      <c r="D86" s="18" t="str">
        <f>IF(B86="","",SUMIFS('📈 Datos Completos'!$E$7:$E$5000, '📈 Datos Completos'!$B$7:$B$5000, B86, '📈 Datos Completos'!$D$7:$D$5000, C86))</f>
        <v/>
      </c>
      <c r="E86" s="18" t="str">
        <f>IF(B86="","",SUMIFS('📈 Datos Completos'!$F$7:$F$5000, '📈 Datos Completos'!$B$7:$B$5000, B86, '📈 Datos Completos'!$D$7:$D$5000, C86))</f>
        <v/>
      </c>
      <c r="F86" s="18" t="str">
        <f>IF(B86="","",SUMIFS('📈 Datos Completos'!$G$7:$G$5000, '📈 Datos Completos'!$B$7:$B$5000, B86, '📈 Datos Completos'!$D$7:$D$5000, C86))</f>
        <v/>
      </c>
      <c r="G86" s="18" t="str">
        <f t="shared" si="9"/>
        <v/>
      </c>
      <c r="H86" s="19" t="str">
        <f>IF(B86="","",SUMIFS('📈 Datos Completos'!$I$7:$I$5000, '📈 Datos Completos'!$B$7:$B$5000, B86, '📈 Datos Completos'!$D$7:$D$5000, C86))</f>
        <v/>
      </c>
      <c r="I86" s="19" t="str">
        <f t="shared" si="10"/>
        <v/>
      </c>
      <c r="J86" s="19" t="str">
        <f t="shared" si="11"/>
        <v/>
      </c>
      <c r="K86" s="19" t="str">
        <f>IF(B86="","",IF(C86="DIA", (SUMIFS('📋 Detalle Diario'!$D$5:$D$489, '📋 Detalle Diario'!$B$5:$B$489, B86, '📋 Detalle Diario'!$C$5:$C$489, C86) * '⚙️ Supuestos'!$C$24) + '⚙️ Supuestos'!$C$23, (SUMIFS('📋 Detalle Diario'!$D$5:$D$489, '📋 Detalle Diario'!$B$5:$B$489, B86, '📋 Detalle Diario'!$C$5:$C$489, C86) * '⚙️ Supuestos'!$C$24) + '⚙️ Supuestos'!$C$33))</f>
        <v/>
      </c>
      <c r="L86" s="19" t="str">
        <f t="shared" si="12"/>
        <v/>
      </c>
      <c r="M86" s="20" t="str">
        <f t="shared" si="13"/>
        <v/>
      </c>
      <c r="N86" s="19" t="str">
        <f t="shared" si="14"/>
        <v/>
      </c>
      <c r="O86" s="27" t="str">
        <f t="shared" si="15"/>
        <v/>
      </c>
      <c r="P86" s="19" t="str">
        <f t="shared" si="16"/>
        <v/>
      </c>
      <c r="Q86" s="19" t="str">
        <f>IF(B86="","",J86-P86+(SUMIFS('📋 Detalle Diario'!$E$5:$E$489, '📋 Detalle Diario'!$B$5:$B$489, B86, '📋 Detalle Diario'!$C$5:$C$489, C86)*135)+(SUMIFS('📋 Detalle Diario'!$I$5:$I$489, '📋 Detalle Diario'!$B$5:$B$489, B86, '📋 Detalle Diario'!$C$5:$C$489, C86)*200))</f>
        <v/>
      </c>
      <c r="R86" s="20" t="str">
        <f t="shared" si="17"/>
        <v/>
      </c>
    </row>
    <row r="87" spans="2:18" ht="18" customHeight="1" x14ac:dyDescent="0.25">
      <c r="B87" s="24"/>
      <c r="C87" s="25"/>
      <c r="D87" s="18" t="str">
        <f>IF(B87="","",SUMIFS('📈 Datos Completos'!$E$7:$E$5000, '📈 Datos Completos'!$B$7:$B$5000, B87, '📈 Datos Completos'!$D$7:$D$5000, C87))</f>
        <v/>
      </c>
      <c r="E87" s="18" t="str">
        <f>IF(B87="","",SUMIFS('📈 Datos Completos'!$F$7:$F$5000, '📈 Datos Completos'!$B$7:$B$5000, B87, '📈 Datos Completos'!$D$7:$D$5000, C87))</f>
        <v/>
      </c>
      <c r="F87" s="18" t="str">
        <f>IF(B87="","",SUMIFS('📈 Datos Completos'!$G$7:$G$5000, '📈 Datos Completos'!$B$7:$B$5000, B87, '📈 Datos Completos'!$D$7:$D$5000, C87))</f>
        <v/>
      </c>
      <c r="G87" s="18" t="str">
        <f t="shared" si="9"/>
        <v/>
      </c>
      <c r="H87" s="19" t="str">
        <f>IF(B87="","",SUMIFS('📈 Datos Completos'!$I$7:$I$5000, '📈 Datos Completos'!$B$7:$B$5000, B87, '📈 Datos Completos'!$D$7:$D$5000, C87))</f>
        <v/>
      </c>
      <c r="I87" s="19" t="str">
        <f t="shared" si="10"/>
        <v/>
      </c>
      <c r="J87" s="19" t="str">
        <f t="shared" si="11"/>
        <v/>
      </c>
      <c r="K87" s="19" t="str">
        <f>IF(B87="","",IF(C87="DIA", (SUMIFS('📋 Detalle Diario'!$D$5:$D$489, '📋 Detalle Diario'!$B$5:$B$489, B87, '📋 Detalle Diario'!$C$5:$C$489, C87) * '⚙️ Supuestos'!$C$24) + '⚙️ Supuestos'!$C$23, (SUMIFS('📋 Detalle Diario'!$D$5:$D$489, '📋 Detalle Diario'!$B$5:$B$489, B87, '📋 Detalle Diario'!$C$5:$C$489, C87) * '⚙️ Supuestos'!$C$24) + '⚙️ Supuestos'!$C$33))</f>
        <v/>
      </c>
      <c r="L87" s="19" t="str">
        <f t="shared" si="12"/>
        <v/>
      </c>
      <c r="M87" s="20" t="str">
        <f t="shared" si="13"/>
        <v/>
      </c>
      <c r="N87" s="19" t="str">
        <f t="shared" si="14"/>
        <v/>
      </c>
      <c r="O87" s="25" t="str">
        <f t="shared" si="15"/>
        <v/>
      </c>
      <c r="P87" s="19" t="str">
        <f t="shared" si="16"/>
        <v/>
      </c>
      <c r="Q87" s="19" t="str">
        <f>IF(B87="","",J87-P87+(SUMIFS('📋 Detalle Diario'!$E$5:$E$489, '📋 Detalle Diario'!$B$5:$B$489, B87, '📋 Detalle Diario'!$C$5:$C$489, C87)*135)+(SUMIFS('📋 Detalle Diario'!$I$5:$I$489, '📋 Detalle Diario'!$B$5:$B$489, B87, '📋 Detalle Diario'!$C$5:$C$489, C87)*200))</f>
        <v/>
      </c>
      <c r="R87" s="20" t="str">
        <f t="shared" si="17"/>
        <v/>
      </c>
    </row>
    <row r="88" spans="2:18" ht="18" customHeight="1" x14ac:dyDescent="0.25">
      <c r="B88" s="26"/>
      <c r="C88" s="27"/>
      <c r="D88" s="18" t="str">
        <f>IF(B88="","",SUMIFS('📈 Datos Completos'!$E$7:$E$5000, '📈 Datos Completos'!$B$7:$B$5000, B88, '📈 Datos Completos'!$D$7:$D$5000, C88))</f>
        <v/>
      </c>
      <c r="E88" s="18" t="str">
        <f>IF(B88="","",SUMIFS('📈 Datos Completos'!$F$7:$F$5000, '📈 Datos Completos'!$B$7:$B$5000, B88, '📈 Datos Completos'!$D$7:$D$5000, C88))</f>
        <v/>
      </c>
      <c r="F88" s="18" t="str">
        <f>IF(B88="","",SUMIFS('📈 Datos Completos'!$G$7:$G$5000, '📈 Datos Completos'!$B$7:$B$5000, B88, '📈 Datos Completos'!$D$7:$D$5000, C88))</f>
        <v/>
      </c>
      <c r="G88" s="18" t="str">
        <f t="shared" si="9"/>
        <v/>
      </c>
      <c r="H88" s="19" t="str">
        <f>IF(B88="","",SUMIFS('📈 Datos Completos'!$I$7:$I$5000, '📈 Datos Completos'!$B$7:$B$5000, B88, '📈 Datos Completos'!$D$7:$D$5000, C88))</f>
        <v/>
      </c>
      <c r="I88" s="19" t="str">
        <f t="shared" si="10"/>
        <v/>
      </c>
      <c r="J88" s="19" t="str">
        <f t="shared" si="11"/>
        <v/>
      </c>
      <c r="K88" s="19" t="str">
        <f>IF(B88="","",IF(C88="DIA", (SUMIFS('📋 Detalle Diario'!$D$5:$D$489, '📋 Detalle Diario'!$B$5:$B$489, B88, '📋 Detalle Diario'!$C$5:$C$489, C88) * '⚙️ Supuestos'!$C$24) + '⚙️ Supuestos'!$C$23, (SUMIFS('📋 Detalle Diario'!$D$5:$D$489, '📋 Detalle Diario'!$B$5:$B$489, B88, '📋 Detalle Diario'!$C$5:$C$489, C88) * '⚙️ Supuestos'!$C$24) + '⚙️ Supuestos'!$C$33))</f>
        <v/>
      </c>
      <c r="L88" s="19" t="str">
        <f t="shared" si="12"/>
        <v/>
      </c>
      <c r="M88" s="20" t="str">
        <f t="shared" si="13"/>
        <v/>
      </c>
      <c r="N88" s="19" t="str">
        <f t="shared" si="14"/>
        <v/>
      </c>
      <c r="O88" s="27" t="str">
        <f t="shared" si="15"/>
        <v/>
      </c>
      <c r="P88" s="19" t="str">
        <f t="shared" si="16"/>
        <v/>
      </c>
      <c r="Q88" s="19" t="str">
        <f>IF(B88="","",J88-P88+(SUMIFS('📋 Detalle Diario'!$E$5:$E$489, '📋 Detalle Diario'!$B$5:$B$489, B88, '📋 Detalle Diario'!$C$5:$C$489, C88)*135)+(SUMIFS('📋 Detalle Diario'!$I$5:$I$489, '📋 Detalle Diario'!$B$5:$B$489, B88, '📋 Detalle Diario'!$C$5:$C$489, C88)*200))</f>
        <v/>
      </c>
      <c r="R88" s="20" t="str">
        <f t="shared" si="17"/>
        <v/>
      </c>
    </row>
    <row r="89" spans="2:18" ht="18" customHeight="1" x14ac:dyDescent="0.25">
      <c r="B89" s="24"/>
      <c r="C89" s="25"/>
      <c r="D89" s="18" t="str">
        <f>IF(B89="","",SUMIFS('📈 Datos Completos'!$E$7:$E$5000, '📈 Datos Completos'!$B$7:$B$5000, B89, '📈 Datos Completos'!$D$7:$D$5000, C89))</f>
        <v/>
      </c>
      <c r="E89" s="18" t="str">
        <f>IF(B89="","",SUMIFS('📈 Datos Completos'!$F$7:$F$5000, '📈 Datos Completos'!$B$7:$B$5000, B89, '📈 Datos Completos'!$D$7:$D$5000, C89))</f>
        <v/>
      </c>
      <c r="F89" s="18" t="str">
        <f>IF(B89="","",SUMIFS('📈 Datos Completos'!$G$7:$G$5000, '📈 Datos Completos'!$B$7:$B$5000, B89, '📈 Datos Completos'!$D$7:$D$5000, C89))</f>
        <v/>
      </c>
      <c r="G89" s="18" t="str">
        <f t="shared" si="9"/>
        <v/>
      </c>
      <c r="H89" s="19" t="str">
        <f>IF(B89="","",SUMIFS('📈 Datos Completos'!$I$7:$I$5000, '📈 Datos Completos'!$B$7:$B$5000, B89, '📈 Datos Completos'!$D$7:$D$5000, C89))</f>
        <v/>
      </c>
      <c r="I89" s="19" t="str">
        <f t="shared" si="10"/>
        <v/>
      </c>
      <c r="J89" s="19" t="str">
        <f t="shared" si="11"/>
        <v/>
      </c>
      <c r="K89" s="19" t="str">
        <f>IF(B89="","",IF(C89="DIA", (SUMIFS('📋 Detalle Diario'!$D$5:$D$489, '📋 Detalle Diario'!$B$5:$B$489, B89, '📋 Detalle Diario'!$C$5:$C$489, C89) * '⚙️ Supuestos'!$C$24) + '⚙️ Supuestos'!$C$23, (SUMIFS('📋 Detalle Diario'!$D$5:$D$489, '📋 Detalle Diario'!$B$5:$B$489, B89, '📋 Detalle Diario'!$C$5:$C$489, C89) * '⚙️ Supuestos'!$C$24) + '⚙️ Supuestos'!$C$33))</f>
        <v/>
      </c>
      <c r="L89" s="19" t="str">
        <f t="shared" si="12"/>
        <v/>
      </c>
      <c r="M89" s="20" t="str">
        <f t="shared" si="13"/>
        <v/>
      </c>
      <c r="N89" s="19" t="str">
        <f t="shared" si="14"/>
        <v/>
      </c>
      <c r="O89" s="25" t="str">
        <f t="shared" si="15"/>
        <v/>
      </c>
      <c r="P89" s="19" t="str">
        <f t="shared" si="16"/>
        <v/>
      </c>
      <c r="Q89" s="19" t="str">
        <f>IF(B89="","",J89-P89+(SUMIFS('📋 Detalle Diario'!$E$5:$E$489, '📋 Detalle Diario'!$B$5:$B$489, B89, '📋 Detalle Diario'!$C$5:$C$489, C89)*135)+(SUMIFS('📋 Detalle Diario'!$I$5:$I$489, '📋 Detalle Diario'!$B$5:$B$489, B89, '📋 Detalle Diario'!$C$5:$C$489, C89)*200))</f>
        <v/>
      </c>
      <c r="R89" s="20" t="str">
        <f t="shared" si="17"/>
        <v/>
      </c>
    </row>
    <row r="90" spans="2:18" ht="18" customHeight="1" x14ac:dyDescent="0.25">
      <c r="B90" s="26"/>
      <c r="C90" s="27"/>
      <c r="D90" s="18" t="str">
        <f>IF(B90="","",SUMIFS('📈 Datos Completos'!$E$7:$E$5000, '📈 Datos Completos'!$B$7:$B$5000, B90, '📈 Datos Completos'!$D$7:$D$5000, C90))</f>
        <v/>
      </c>
      <c r="E90" s="18" t="str">
        <f>IF(B90="","",SUMIFS('📈 Datos Completos'!$F$7:$F$5000, '📈 Datos Completos'!$B$7:$B$5000, B90, '📈 Datos Completos'!$D$7:$D$5000, C90))</f>
        <v/>
      </c>
      <c r="F90" s="18" t="str">
        <f>IF(B90="","",SUMIFS('📈 Datos Completos'!$G$7:$G$5000, '📈 Datos Completos'!$B$7:$B$5000, B90, '📈 Datos Completos'!$D$7:$D$5000, C90))</f>
        <v/>
      </c>
      <c r="G90" s="18" t="str">
        <f t="shared" si="9"/>
        <v/>
      </c>
      <c r="H90" s="19" t="str">
        <f>IF(B90="","",SUMIFS('📈 Datos Completos'!$I$7:$I$5000, '📈 Datos Completos'!$B$7:$B$5000, B90, '📈 Datos Completos'!$D$7:$D$5000, C90))</f>
        <v/>
      </c>
      <c r="I90" s="19" t="str">
        <f t="shared" si="10"/>
        <v/>
      </c>
      <c r="J90" s="19" t="str">
        <f t="shared" si="11"/>
        <v/>
      </c>
      <c r="K90" s="19" t="str">
        <f>IF(B90="","",IF(C90="DIA", (SUMIFS('📋 Detalle Diario'!$D$5:$D$489, '📋 Detalle Diario'!$B$5:$B$489, B90, '📋 Detalle Diario'!$C$5:$C$489, C90) * '⚙️ Supuestos'!$C$24) + '⚙️ Supuestos'!$C$23, (SUMIFS('📋 Detalle Diario'!$D$5:$D$489, '📋 Detalle Diario'!$B$5:$B$489, B90, '📋 Detalle Diario'!$C$5:$C$489, C90) * '⚙️ Supuestos'!$C$24) + '⚙️ Supuestos'!$C$33))</f>
        <v/>
      </c>
      <c r="L90" s="19" t="str">
        <f t="shared" si="12"/>
        <v/>
      </c>
      <c r="M90" s="20" t="str">
        <f t="shared" si="13"/>
        <v/>
      </c>
      <c r="N90" s="19" t="str">
        <f t="shared" si="14"/>
        <v/>
      </c>
      <c r="O90" s="27" t="str">
        <f t="shared" si="15"/>
        <v/>
      </c>
      <c r="P90" s="19" t="str">
        <f t="shared" si="16"/>
        <v/>
      </c>
      <c r="Q90" s="19" t="str">
        <f>IF(B90="","",J90-P90+(SUMIFS('📋 Detalle Diario'!$E$5:$E$489, '📋 Detalle Diario'!$B$5:$B$489, B90, '📋 Detalle Diario'!$C$5:$C$489, C90)*135)+(SUMIFS('📋 Detalle Diario'!$I$5:$I$489, '📋 Detalle Diario'!$B$5:$B$489, B90, '📋 Detalle Diario'!$C$5:$C$489, C90)*200))</f>
        <v/>
      </c>
      <c r="R90" s="20" t="str">
        <f t="shared" si="17"/>
        <v/>
      </c>
    </row>
    <row r="91" spans="2:18" ht="18" customHeight="1" x14ac:dyDescent="0.25">
      <c r="B91" s="24"/>
      <c r="C91" s="25"/>
      <c r="D91" s="18" t="str">
        <f>IF(B91="","",SUMIFS('📈 Datos Completos'!$E$7:$E$5000, '📈 Datos Completos'!$B$7:$B$5000, B91, '📈 Datos Completos'!$D$7:$D$5000, C91))</f>
        <v/>
      </c>
      <c r="E91" s="18" t="str">
        <f>IF(B91="","",SUMIFS('📈 Datos Completos'!$F$7:$F$5000, '📈 Datos Completos'!$B$7:$B$5000, B91, '📈 Datos Completos'!$D$7:$D$5000, C91))</f>
        <v/>
      </c>
      <c r="F91" s="18" t="str">
        <f>IF(B91="","",SUMIFS('📈 Datos Completos'!$G$7:$G$5000, '📈 Datos Completos'!$B$7:$B$5000, B91, '📈 Datos Completos'!$D$7:$D$5000, C91))</f>
        <v/>
      </c>
      <c r="G91" s="18" t="str">
        <f t="shared" si="9"/>
        <v/>
      </c>
      <c r="H91" s="19" t="str">
        <f>IF(B91="","",SUMIFS('📈 Datos Completos'!$I$7:$I$5000, '📈 Datos Completos'!$B$7:$B$5000, B91, '📈 Datos Completos'!$D$7:$D$5000, C91))</f>
        <v/>
      </c>
      <c r="I91" s="19" t="str">
        <f t="shared" si="10"/>
        <v/>
      </c>
      <c r="J91" s="19" t="str">
        <f t="shared" si="11"/>
        <v/>
      </c>
      <c r="K91" s="19" t="str">
        <f>IF(B91="","",IF(C91="DIA", (SUMIFS('📋 Detalle Diario'!$D$5:$D$489, '📋 Detalle Diario'!$B$5:$B$489, B91, '📋 Detalle Diario'!$C$5:$C$489, C91) * '⚙️ Supuestos'!$C$24) + '⚙️ Supuestos'!$C$23, (SUMIFS('📋 Detalle Diario'!$D$5:$D$489, '📋 Detalle Diario'!$B$5:$B$489, B91, '📋 Detalle Diario'!$C$5:$C$489, C91) * '⚙️ Supuestos'!$C$24) + '⚙️ Supuestos'!$C$33))</f>
        <v/>
      </c>
      <c r="L91" s="19" t="str">
        <f t="shared" si="12"/>
        <v/>
      </c>
      <c r="M91" s="20" t="str">
        <f t="shared" si="13"/>
        <v/>
      </c>
      <c r="N91" s="19" t="str">
        <f t="shared" si="14"/>
        <v/>
      </c>
      <c r="O91" s="25" t="str">
        <f t="shared" si="15"/>
        <v/>
      </c>
      <c r="P91" s="19" t="str">
        <f t="shared" si="16"/>
        <v/>
      </c>
      <c r="Q91" s="19" t="str">
        <f>IF(B91="","",J91-P91+(SUMIFS('📋 Detalle Diario'!$E$5:$E$489, '📋 Detalle Diario'!$B$5:$B$489, B91, '📋 Detalle Diario'!$C$5:$C$489, C91)*135)+(SUMIFS('📋 Detalle Diario'!$I$5:$I$489, '📋 Detalle Diario'!$B$5:$B$489, B91, '📋 Detalle Diario'!$C$5:$C$489, C91)*200))</f>
        <v/>
      </c>
      <c r="R91" s="20" t="str">
        <f t="shared" si="17"/>
        <v/>
      </c>
    </row>
    <row r="92" spans="2:18" ht="18" customHeight="1" x14ac:dyDescent="0.25">
      <c r="B92" s="26"/>
      <c r="C92" s="27"/>
      <c r="D92" s="18" t="str">
        <f>IF(B92="","",SUMIFS('📈 Datos Completos'!$E$7:$E$5000, '📈 Datos Completos'!$B$7:$B$5000, B92, '📈 Datos Completos'!$D$7:$D$5000, C92))</f>
        <v/>
      </c>
      <c r="E92" s="18" t="str">
        <f>IF(B92="","",SUMIFS('📈 Datos Completos'!$F$7:$F$5000, '📈 Datos Completos'!$B$7:$B$5000, B92, '📈 Datos Completos'!$D$7:$D$5000, C92))</f>
        <v/>
      </c>
      <c r="F92" s="18" t="str">
        <f>IF(B92="","",SUMIFS('📈 Datos Completos'!$G$7:$G$5000, '📈 Datos Completos'!$B$7:$B$5000, B92, '📈 Datos Completos'!$D$7:$D$5000, C92))</f>
        <v/>
      </c>
      <c r="G92" s="18" t="str">
        <f t="shared" si="9"/>
        <v/>
      </c>
      <c r="H92" s="19" t="str">
        <f>IF(B92="","",SUMIFS('📈 Datos Completos'!$I$7:$I$5000, '📈 Datos Completos'!$B$7:$B$5000, B92, '📈 Datos Completos'!$D$7:$D$5000, C92))</f>
        <v/>
      </c>
      <c r="I92" s="19" t="str">
        <f t="shared" si="10"/>
        <v/>
      </c>
      <c r="J92" s="19" t="str">
        <f t="shared" si="11"/>
        <v/>
      </c>
      <c r="K92" s="19" t="str">
        <f>IF(B92="","",IF(C92="DIA", (SUMIFS('📋 Detalle Diario'!$D$5:$D$489, '📋 Detalle Diario'!$B$5:$B$489, B92, '📋 Detalle Diario'!$C$5:$C$489, C92) * '⚙️ Supuestos'!$C$24) + '⚙️ Supuestos'!$C$23, (SUMIFS('📋 Detalle Diario'!$D$5:$D$489, '📋 Detalle Diario'!$B$5:$B$489, B92, '📋 Detalle Diario'!$C$5:$C$489, C92) * '⚙️ Supuestos'!$C$24) + '⚙️ Supuestos'!$C$33))</f>
        <v/>
      </c>
      <c r="L92" s="19" t="str">
        <f t="shared" si="12"/>
        <v/>
      </c>
      <c r="M92" s="20" t="str">
        <f t="shared" si="13"/>
        <v/>
      </c>
      <c r="N92" s="19" t="str">
        <f t="shared" si="14"/>
        <v/>
      </c>
      <c r="O92" s="27" t="str">
        <f t="shared" si="15"/>
        <v/>
      </c>
      <c r="P92" s="19" t="str">
        <f t="shared" si="16"/>
        <v/>
      </c>
      <c r="Q92" s="19" t="str">
        <f>IF(B92="","",J92-P92+(SUMIFS('📋 Detalle Diario'!$E$5:$E$489, '📋 Detalle Diario'!$B$5:$B$489, B92, '📋 Detalle Diario'!$C$5:$C$489, C92)*135)+(SUMIFS('📋 Detalle Diario'!$I$5:$I$489, '📋 Detalle Diario'!$B$5:$B$489, B92, '📋 Detalle Diario'!$C$5:$C$489, C92)*200))</f>
        <v/>
      </c>
      <c r="R92" s="20" t="str">
        <f t="shared" si="17"/>
        <v/>
      </c>
    </row>
    <row r="93" spans="2:18" ht="18" customHeight="1" x14ac:dyDescent="0.25">
      <c r="B93" s="24"/>
      <c r="C93" s="25"/>
      <c r="D93" s="18" t="str">
        <f>IF(B93="","",SUMIFS('📈 Datos Completos'!$E$7:$E$5000, '📈 Datos Completos'!$B$7:$B$5000, B93, '📈 Datos Completos'!$D$7:$D$5000, C93))</f>
        <v/>
      </c>
      <c r="E93" s="18" t="str">
        <f>IF(B93="","",SUMIFS('📈 Datos Completos'!$F$7:$F$5000, '📈 Datos Completos'!$B$7:$B$5000, B93, '📈 Datos Completos'!$D$7:$D$5000, C93))</f>
        <v/>
      </c>
      <c r="F93" s="18" t="str">
        <f>IF(B93="","",SUMIFS('📈 Datos Completos'!$G$7:$G$5000, '📈 Datos Completos'!$B$7:$B$5000, B93, '📈 Datos Completos'!$D$7:$D$5000, C93))</f>
        <v/>
      </c>
      <c r="G93" s="18" t="str">
        <f t="shared" si="9"/>
        <v/>
      </c>
      <c r="H93" s="19" t="str">
        <f>IF(B93="","",SUMIFS('📈 Datos Completos'!$I$7:$I$5000, '📈 Datos Completos'!$B$7:$B$5000, B93, '📈 Datos Completos'!$D$7:$D$5000, C93))</f>
        <v/>
      </c>
      <c r="I93" s="19" t="str">
        <f t="shared" si="10"/>
        <v/>
      </c>
      <c r="J93" s="19" t="str">
        <f t="shared" si="11"/>
        <v/>
      </c>
      <c r="K93" s="19" t="str">
        <f>IF(B93="","",IF(C93="DIA", (SUMIFS('📋 Detalle Diario'!$D$5:$D$489, '📋 Detalle Diario'!$B$5:$B$489, B93, '📋 Detalle Diario'!$C$5:$C$489, C93) * '⚙️ Supuestos'!$C$24) + '⚙️ Supuestos'!$C$23, (SUMIFS('📋 Detalle Diario'!$D$5:$D$489, '📋 Detalle Diario'!$B$5:$B$489, B93, '📋 Detalle Diario'!$C$5:$C$489, C93) * '⚙️ Supuestos'!$C$24) + '⚙️ Supuestos'!$C$33))</f>
        <v/>
      </c>
      <c r="L93" s="19" t="str">
        <f t="shared" si="12"/>
        <v/>
      </c>
      <c r="M93" s="20" t="str">
        <f t="shared" si="13"/>
        <v/>
      </c>
      <c r="N93" s="19" t="str">
        <f t="shared" si="14"/>
        <v/>
      </c>
      <c r="O93" s="25" t="str">
        <f t="shared" si="15"/>
        <v/>
      </c>
      <c r="P93" s="19" t="str">
        <f t="shared" si="16"/>
        <v/>
      </c>
      <c r="Q93" s="19" t="str">
        <f>IF(B93="","",J93-P93+(SUMIFS('📋 Detalle Diario'!$E$5:$E$489, '📋 Detalle Diario'!$B$5:$B$489, B93, '📋 Detalle Diario'!$C$5:$C$489, C93)*135)+(SUMIFS('📋 Detalle Diario'!$I$5:$I$489, '📋 Detalle Diario'!$B$5:$B$489, B93, '📋 Detalle Diario'!$C$5:$C$489, C93)*200))</f>
        <v/>
      </c>
      <c r="R93" s="20" t="str">
        <f t="shared" si="17"/>
        <v/>
      </c>
    </row>
    <row r="94" spans="2:18" ht="18" customHeight="1" x14ac:dyDescent="0.25">
      <c r="B94" s="26"/>
      <c r="C94" s="27"/>
      <c r="D94" s="18" t="str">
        <f>IF(B94="","",SUMIFS('📈 Datos Completos'!$E$7:$E$5000, '📈 Datos Completos'!$B$7:$B$5000, B94, '📈 Datos Completos'!$D$7:$D$5000, C94))</f>
        <v/>
      </c>
      <c r="E94" s="18" t="str">
        <f>IF(B94="","",SUMIFS('📈 Datos Completos'!$F$7:$F$5000, '📈 Datos Completos'!$B$7:$B$5000, B94, '📈 Datos Completos'!$D$7:$D$5000, C94))</f>
        <v/>
      </c>
      <c r="F94" s="18" t="str">
        <f>IF(B94="","",SUMIFS('📈 Datos Completos'!$G$7:$G$5000, '📈 Datos Completos'!$B$7:$B$5000, B94, '📈 Datos Completos'!$D$7:$D$5000, C94))</f>
        <v/>
      </c>
      <c r="G94" s="18" t="str">
        <f t="shared" si="9"/>
        <v/>
      </c>
      <c r="H94" s="19" t="str">
        <f>IF(B94="","",SUMIFS('📈 Datos Completos'!$I$7:$I$5000, '📈 Datos Completos'!$B$7:$B$5000, B94, '📈 Datos Completos'!$D$7:$D$5000, C94))</f>
        <v/>
      </c>
      <c r="I94" s="19" t="str">
        <f t="shared" si="10"/>
        <v/>
      </c>
      <c r="J94" s="19" t="str">
        <f t="shared" si="11"/>
        <v/>
      </c>
      <c r="K94" s="19" t="str">
        <f>IF(B94="","",IF(C94="DIA", (SUMIFS('📋 Detalle Diario'!$D$5:$D$489, '📋 Detalle Diario'!$B$5:$B$489, B94, '📋 Detalle Diario'!$C$5:$C$489, C94) * '⚙️ Supuestos'!$C$24) + '⚙️ Supuestos'!$C$23, (SUMIFS('📋 Detalle Diario'!$D$5:$D$489, '📋 Detalle Diario'!$B$5:$B$489, B94, '📋 Detalle Diario'!$C$5:$C$489, C94) * '⚙️ Supuestos'!$C$24) + '⚙️ Supuestos'!$C$33))</f>
        <v/>
      </c>
      <c r="L94" s="19" t="str">
        <f t="shared" si="12"/>
        <v/>
      </c>
      <c r="M94" s="20" t="str">
        <f t="shared" si="13"/>
        <v/>
      </c>
      <c r="N94" s="19" t="str">
        <f t="shared" si="14"/>
        <v/>
      </c>
      <c r="O94" s="27" t="str">
        <f t="shared" si="15"/>
        <v/>
      </c>
      <c r="P94" s="19" t="str">
        <f t="shared" si="16"/>
        <v/>
      </c>
      <c r="Q94" s="19" t="str">
        <f>IF(B94="","",J94-P94+(SUMIFS('📋 Detalle Diario'!$E$5:$E$489, '📋 Detalle Diario'!$B$5:$B$489, B94, '📋 Detalle Diario'!$C$5:$C$489, C94)*135)+(SUMIFS('📋 Detalle Diario'!$I$5:$I$489, '📋 Detalle Diario'!$B$5:$B$489, B94, '📋 Detalle Diario'!$C$5:$C$489, C94)*200))</f>
        <v/>
      </c>
      <c r="R94" s="20" t="str">
        <f t="shared" si="17"/>
        <v/>
      </c>
    </row>
    <row r="95" spans="2:18" ht="18" customHeight="1" x14ac:dyDescent="0.25">
      <c r="B95" s="24"/>
      <c r="C95" s="25"/>
      <c r="D95" s="18" t="str">
        <f>IF(B95="","",SUMIFS('📈 Datos Completos'!$E$7:$E$5000, '📈 Datos Completos'!$B$7:$B$5000, B95, '📈 Datos Completos'!$D$7:$D$5000, C95))</f>
        <v/>
      </c>
      <c r="E95" s="18" t="str">
        <f>IF(B95="","",SUMIFS('📈 Datos Completos'!$F$7:$F$5000, '📈 Datos Completos'!$B$7:$B$5000, B95, '📈 Datos Completos'!$D$7:$D$5000, C95))</f>
        <v/>
      </c>
      <c r="F95" s="18" t="str">
        <f>IF(B95="","",SUMIFS('📈 Datos Completos'!$G$7:$G$5000, '📈 Datos Completos'!$B$7:$B$5000, B95, '📈 Datos Completos'!$D$7:$D$5000, C95))</f>
        <v/>
      </c>
      <c r="G95" s="18" t="str">
        <f t="shared" si="9"/>
        <v/>
      </c>
      <c r="H95" s="19" t="str">
        <f>IF(B95="","",SUMIFS('📈 Datos Completos'!$I$7:$I$5000, '📈 Datos Completos'!$B$7:$B$5000, B95, '📈 Datos Completos'!$D$7:$D$5000, C95))</f>
        <v/>
      </c>
      <c r="I95" s="19" t="str">
        <f t="shared" si="10"/>
        <v/>
      </c>
      <c r="J95" s="19" t="str">
        <f t="shared" si="11"/>
        <v/>
      </c>
      <c r="K95" s="19" t="str">
        <f>IF(B95="","",IF(C95="DIA", (SUMIFS('📋 Detalle Diario'!$D$5:$D$489, '📋 Detalle Diario'!$B$5:$B$489, B95, '📋 Detalle Diario'!$C$5:$C$489, C95) * '⚙️ Supuestos'!$C$24) + '⚙️ Supuestos'!$C$23, (SUMIFS('📋 Detalle Diario'!$D$5:$D$489, '📋 Detalle Diario'!$B$5:$B$489, B95, '📋 Detalle Diario'!$C$5:$C$489, C95) * '⚙️ Supuestos'!$C$24) + '⚙️ Supuestos'!$C$33))</f>
        <v/>
      </c>
      <c r="L95" s="19" t="str">
        <f t="shared" si="12"/>
        <v/>
      </c>
      <c r="M95" s="20" t="str">
        <f t="shared" si="13"/>
        <v/>
      </c>
      <c r="N95" s="19" t="str">
        <f t="shared" si="14"/>
        <v/>
      </c>
      <c r="O95" s="25" t="str">
        <f t="shared" si="15"/>
        <v/>
      </c>
      <c r="P95" s="19" t="str">
        <f t="shared" si="16"/>
        <v/>
      </c>
      <c r="Q95" s="19" t="str">
        <f>IF(B95="","",J95-P95+(SUMIFS('📋 Detalle Diario'!$E$5:$E$489, '📋 Detalle Diario'!$B$5:$B$489, B95, '📋 Detalle Diario'!$C$5:$C$489, C95)*135)+(SUMIFS('📋 Detalle Diario'!$I$5:$I$489, '📋 Detalle Diario'!$B$5:$B$489, B95, '📋 Detalle Diario'!$C$5:$C$489, C95)*200))</f>
        <v/>
      </c>
      <c r="R95" s="20" t="str">
        <f t="shared" si="17"/>
        <v/>
      </c>
    </row>
    <row r="96" spans="2:18" ht="18" customHeight="1" x14ac:dyDescent="0.25">
      <c r="B96" s="26"/>
      <c r="C96" s="27"/>
      <c r="D96" s="18" t="str">
        <f>IF(B96="","",SUMIFS('📈 Datos Completos'!$E$7:$E$5000, '📈 Datos Completos'!$B$7:$B$5000, B96, '📈 Datos Completos'!$D$7:$D$5000, C96))</f>
        <v/>
      </c>
      <c r="E96" s="18" t="str">
        <f>IF(B96="","",SUMIFS('📈 Datos Completos'!$F$7:$F$5000, '📈 Datos Completos'!$B$7:$B$5000, B96, '📈 Datos Completos'!$D$7:$D$5000, C96))</f>
        <v/>
      </c>
      <c r="F96" s="18" t="str">
        <f>IF(B96="","",SUMIFS('📈 Datos Completos'!$G$7:$G$5000, '📈 Datos Completos'!$B$7:$B$5000, B96, '📈 Datos Completos'!$D$7:$D$5000, C96))</f>
        <v/>
      </c>
      <c r="G96" s="18" t="str">
        <f t="shared" si="9"/>
        <v/>
      </c>
      <c r="H96" s="19" t="str">
        <f>IF(B96="","",SUMIFS('📈 Datos Completos'!$I$7:$I$5000, '📈 Datos Completos'!$B$7:$B$5000, B96, '📈 Datos Completos'!$D$7:$D$5000, C96))</f>
        <v/>
      </c>
      <c r="I96" s="19" t="str">
        <f t="shared" si="10"/>
        <v/>
      </c>
      <c r="J96" s="19" t="str">
        <f t="shared" si="11"/>
        <v/>
      </c>
      <c r="K96" s="19" t="str">
        <f>IF(B96="","",IF(C96="DIA", (SUMIFS('📋 Detalle Diario'!$D$5:$D$489, '📋 Detalle Diario'!$B$5:$B$489, B96, '📋 Detalle Diario'!$C$5:$C$489, C96) * '⚙️ Supuestos'!$C$24) + '⚙️ Supuestos'!$C$23, (SUMIFS('📋 Detalle Diario'!$D$5:$D$489, '📋 Detalle Diario'!$B$5:$B$489, B96, '📋 Detalle Diario'!$C$5:$C$489, C96) * '⚙️ Supuestos'!$C$24) + '⚙️ Supuestos'!$C$33))</f>
        <v/>
      </c>
      <c r="L96" s="19" t="str">
        <f t="shared" si="12"/>
        <v/>
      </c>
      <c r="M96" s="20" t="str">
        <f t="shared" si="13"/>
        <v/>
      </c>
      <c r="N96" s="19" t="str">
        <f t="shared" si="14"/>
        <v/>
      </c>
      <c r="O96" s="27" t="str">
        <f t="shared" si="15"/>
        <v/>
      </c>
      <c r="P96" s="19" t="str">
        <f t="shared" si="16"/>
        <v/>
      </c>
      <c r="Q96" s="19" t="str">
        <f>IF(B96="","",J96-P96+(SUMIFS('📋 Detalle Diario'!$E$5:$E$489, '📋 Detalle Diario'!$B$5:$B$489, B96, '📋 Detalle Diario'!$C$5:$C$489, C96)*135)+(SUMIFS('📋 Detalle Diario'!$I$5:$I$489, '📋 Detalle Diario'!$B$5:$B$489, B96, '📋 Detalle Diario'!$C$5:$C$489, C96)*200))</f>
        <v/>
      </c>
      <c r="R96" s="20" t="str">
        <f t="shared" si="17"/>
        <v/>
      </c>
    </row>
    <row r="97" spans="2:18" ht="18" customHeight="1" x14ac:dyDescent="0.25">
      <c r="B97" s="24"/>
      <c r="C97" s="25"/>
      <c r="D97" s="18" t="str">
        <f>IF(B97="","",SUMIFS('📈 Datos Completos'!$E$7:$E$5000, '📈 Datos Completos'!$B$7:$B$5000, B97, '📈 Datos Completos'!$D$7:$D$5000, C97))</f>
        <v/>
      </c>
      <c r="E97" s="18" t="str">
        <f>IF(B97="","",SUMIFS('📈 Datos Completos'!$F$7:$F$5000, '📈 Datos Completos'!$B$7:$B$5000, B97, '📈 Datos Completos'!$D$7:$D$5000, C97))</f>
        <v/>
      </c>
      <c r="F97" s="18" t="str">
        <f>IF(B97="","",SUMIFS('📈 Datos Completos'!$G$7:$G$5000, '📈 Datos Completos'!$B$7:$B$5000, B97, '📈 Datos Completos'!$D$7:$D$5000, C97))</f>
        <v/>
      </c>
      <c r="G97" s="18" t="str">
        <f t="shared" si="9"/>
        <v/>
      </c>
      <c r="H97" s="19" t="str">
        <f>IF(B97="","",SUMIFS('📈 Datos Completos'!$I$7:$I$5000, '📈 Datos Completos'!$B$7:$B$5000, B97, '📈 Datos Completos'!$D$7:$D$5000, C97))</f>
        <v/>
      </c>
      <c r="I97" s="19" t="str">
        <f t="shared" si="10"/>
        <v/>
      </c>
      <c r="J97" s="19" t="str">
        <f t="shared" si="11"/>
        <v/>
      </c>
      <c r="K97" s="19" t="str">
        <f>IF(B97="","",IF(C97="DIA", (SUMIFS('📋 Detalle Diario'!$D$5:$D$489, '📋 Detalle Diario'!$B$5:$B$489, B97, '📋 Detalle Diario'!$C$5:$C$489, C97) * '⚙️ Supuestos'!$C$24) + '⚙️ Supuestos'!$C$23, (SUMIFS('📋 Detalle Diario'!$D$5:$D$489, '📋 Detalle Diario'!$B$5:$B$489, B97, '📋 Detalle Diario'!$C$5:$C$489, C97) * '⚙️ Supuestos'!$C$24) + '⚙️ Supuestos'!$C$33))</f>
        <v/>
      </c>
      <c r="L97" s="19" t="str">
        <f t="shared" si="12"/>
        <v/>
      </c>
      <c r="M97" s="20" t="str">
        <f t="shared" si="13"/>
        <v/>
      </c>
      <c r="N97" s="19" t="str">
        <f t="shared" si="14"/>
        <v/>
      </c>
      <c r="O97" s="25" t="str">
        <f t="shared" si="15"/>
        <v/>
      </c>
      <c r="P97" s="19" t="str">
        <f t="shared" si="16"/>
        <v/>
      </c>
      <c r="Q97" s="19" t="str">
        <f>IF(B97="","",J97-P97+(SUMIFS('📋 Detalle Diario'!$E$5:$E$489, '📋 Detalle Diario'!$B$5:$B$489, B97, '📋 Detalle Diario'!$C$5:$C$489, C97)*135)+(SUMIFS('📋 Detalle Diario'!$I$5:$I$489, '📋 Detalle Diario'!$B$5:$B$489, B97, '📋 Detalle Diario'!$C$5:$C$489, C97)*200))</f>
        <v/>
      </c>
      <c r="R97" s="20" t="str">
        <f t="shared" si="17"/>
        <v/>
      </c>
    </row>
    <row r="98" spans="2:18" ht="18" customHeight="1" x14ac:dyDescent="0.25">
      <c r="B98" s="26"/>
      <c r="C98" s="27"/>
      <c r="D98" s="18" t="str">
        <f>IF(B98="","",SUMIFS('📈 Datos Completos'!$E$7:$E$5000, '📈 Datos Completos'!$B$7:$B$5000, B98, '📈 Datos Completos'!$D$7:$D$5000, C98))</f>
        <v/>
      </c>
      <c r="E98" s="18" t="str">
        <f>IF(B98="","",SUMIFS('📈 Datos Completos'!$F$7:$F$5000, '📈 Datos Completos'!$B$7:$B$5000, B98, '📈 Datos Completos'!$D$7:$D$5000, C98))</f>
        <v/>
      </c>
      <c r="F98" s="18" t="str">
        <f>IF(B98="","",SUMIFS('📈 Datos Completos'!$G$7:$G$5000, '📈 Datos Completos'!$B$7:$B$5000, B98, '📈 Datos Completos'!$D$7:$D$5000, C98))</f>
        <v/>
      </c>
      <c r="G98" s="18" t="str">
        <f t="shared" si="9"/>
        <v/>
      </c>
      <c r="H98" s="19" t="str">
        <f>IF(B98="","",SUMIFS('📈 Datos Completos'!$I$7:$I$5000, '📈 Datos Completos'!$B$7:$B$5000, B98, '📈 Datos Completos'!$D$7:$D$5000, C98))</f>
        <v/>
      </c>
      <c r="I98" s="19" t="str">
        <f t="shared" si="10"/>
        <v/>
      </c>
      <c r="J98" s="19" t="str">
        <f t="shared" si="11"/>
        <v/>
      </c>
      <c r="K98" s="19" t="str">
        <f>IF(B98="","",IF(C98="DIA", (SUMIFS('📋 Detalle Diario'!$D$5:$D$489, '📋 Detalle Diario'!$B$5:$B$489, B98, '📋 Detalle Diario'!$C$5:$C$489, C98) * '⚙️ Supuestos'!$C$24) + '⚙️ Supuestos'!$C$23, (SUMIFS('📋 Detalle Diario'!$D$5:$D$489, '📋 Detalle Diario'!$B$5:$B$489, B98, '📋 Detalle Diario'!$C$5:$C$489, C98) * '⚙️ Supuestos'!$C$24) + '⚙️ Supuestos'!$C$33))</f>
        <v/>
      </c>
      <c r="L98" s="19" t="str">
        <f t="shared" si="12"/>
        <v/>
      </c>
      <c r="M98" s="20" t="str">
        <f t="shared" si="13"/>
        <v/>
      </c>
      <c r="N98" s="19" t="str">
        <f t="shared" si="14"/>
        <v/>
      </c>
      <c r="O98" s="27" t="str">
        <f t="shared" si="15"/>
        <v/>
      </c>
      <c r="P98" s="19" t="str">
        <f t="shared" si="16"/>
        <v/>
      </c>
      <c r="Q98" s="19" t="str">
        <f>IF(B98="","",J98-P98+(SUMIFS('📋 Detalle Diario'!$E$5:$E$489, '📋 Detalle Diario'!$B$5:$B$489, B98, '📋 Detalle Diario'!$C$5:$C$489, C98)*135)+(SUMIFS('📋 Detalle Diario'!$I$5:$I$489, '📋 Detalle Diario'!$B$5:$B$489, B98, '📋 Detalle Diario'!$C$5:$C$489, C98)*200))</f>
        <v/>
      </c>
      <c r="R98" s="20" t="str">
        <f t="shared" si="17"/>
        <v/>
      </c>
    </row>
    <row r="99" spans="2:18" ht="18" customHeight="1" x14ac:dyDescent="0.25">
      <c r="B99" s="24"/>
      <c r="C99" s="25"/>
      <c r="D99" s="18" t="str">
        <f>IF(B99="","",SUMIFS('📈 Datos Completos'!$E$7:$E$5000, '📈 Datos Completos'!$B$7:$B$5000, B99, '📈 Datos Completos'!$D$7:$D$5000, C99))</f>
        <v/>
      </c>
      <c r="E99" s="18" t="str">
        <f>IF(B99="","",SUMIFS('📈 Datos Completos'!$F$7:$F$5000, '📈 Datos Completos'!$B$7:$B$5000, B99, '📈 Datos Completos'!$D$7:$D$5000, C99))</f>
        <v/>
      </c>
      <c r="F99" s="18" t="str">
        <f>IF(B99="","",SUMIFS('📈 Datos Completos'!$G$7:$G$5000, '📈 Datos Completos'!$B$7:$B$5000, B99, '📈 Datos Completos'!$D$7:$D$5000, C99))</f>
        <v/>
      </c>
      <c r="G99" s="18" t="str">
        <f t="shared" si="9"/>
        <v/>
      </c>
      <c r="H99" s="19" t="str">
        <f>IF(B99="","",SUMIFS('📈 Datos Completos'!$I$7:$I$5000, '📈 Datos Completos'!$B$7:$B$5000, B99, '📈 Datos Completos'!$D$7:$D$5000, C99))</f>
        <v/>
      </c>
      <c r="I99" s="19" t="str">
        <f t="shared" si="10"/>
        <v/>
      </c>
      <c r="J99" s="19" t="str">
        <f t="shared" si="11"/>
        <v/>
      </c>
      <c r="K99" s="19" t="str">
        <f>IF(B99="","",IF(C99="DIA", (SUMIFS('📋 Detalle Diario'!$D$5:$D$489, '📋 Detalle Diario'!$B$5:$B$489, B99, '📋 Detalle Diario'!$C$5:$C$489, C99) * '⚙️ Supuestos'!$C$24) + '⚙️ Supuestos'!$C$23, (SUMIFS('📋 Detalle Diario'!$D$5:$D$489, '📋 Detalle Diario'!$B$5:$B$489, B99, '📋 Detalle Diario'!$C$5:$C$489, C99) * '⚙️ Supuestos'!$C$24) + '⚙️ Supuestos'!$C$33))</f>
        <v/>
      </c>
      <c r="L99" s="19" t="str">
        <f t="shared" si="12"/>
        <v/>
      </c>
      <c r="M99" s="20" t="str">
        <f t="shared" si="13"/>
        <v/>
      </c>
      <c r="N99" s="19" t="str">
        <f t="shared" si="14"/>
        <v/>
      </c>
      <c r="O99" s="25" t="str">
        <f t="shared" si="15"/>
        <v/>
      </c>
      <c r="P99" s="19" t="str">
        <f t="shared" si="16"/>
        <v/>
      </c>
      <c r="Q99" s="19" t="str">
        <f>IF(B99="","",J99-P99+(SUMIFS('📋 Detalle Diario'!$E$5:$E$489, '📋 Detalle Diario'!$B$5:$B$489, B99, '📋 Detalle Diario'!$C$5:$C$489, C99)*135)+(SUMIFS('📋 Detalle Diario'!$I$5:$I$489, '📋 Detalle Diario'!$B$5:$B$489, B99, '📋 Detalle Diario'!$C$5:$C$489, C99)*200))</f>
        <v/>
      </c>
      <c r="R99" s="20" t="str">
        <f t="shared" si="17"/>
        <v/>
      </c>
    </row>
    <row r="100" spans="2:18" ht="18" customHeight="1" x14ac:dyDescent="0.25">
      <c r="B100" s="26"/>
      <c r="C100" s="27"/>
      <c r="D100" s="18" t="str">
        <f>IF(B100="","",SUMIFS('📈 Datos Completos'!$E$7:$E$5000, '📈 Datos Completos'!$B$7:$B$5000, B100, '📈 Datos Completos'!$D$7:$D$5000, C100))</f>
        <v/>
      </c>
      <c r="E100" s="18" t="str">
        <f>IF(B100="","",SUMIFS('📈 Datos Completos'!$F$7:$F$5000, '📈 Datos Completos'!$B$7:$B$5000, B100, '📈 Datos Completos'!$D$7:$D$5000, C100))</f>
        <v/>
      </c>
      <c r="F100" s="18" t="str">
        <f>IF(B100="","",SUMIFS('📈 Datos Completos'!$G$7:$G$5000, '📈 Datos Completos'!$B$7:$B$5000, B100, '📈 Datos Completos'!$D$7:$D$5000, C100))</f>
        <v/>
      </c>
      <c r="G100" s="18" t="str">
        <f t="shared" si="9"/>
        <v/>
      </c>
      <c r="H100" s="19" t="str">
        <f>IF(B100="","",SUMIFS('📈 Datos Completos'!$I$7:$I$5000, '📈 Datos Completos'!$B$7:$B$5000, B100, '📈 Datos Completos'!$D$7:$D$5000, C100))</f>
        <v/>
      </c>
      <c r="I100" s="19" t="str">
        <f t="shared" si="10"/>
        <v/>
      </c>
      <c r="J100" s="19" t="str">
        <f t="shared" si="11"/>
        <v/>
      </c>
      <c r="K100" s="19" t="str">
        <f>IF(B100="","",IF(C100="DIA", (SUMIFS('📋 Detalle Diario'!$D$5:$D$489, '📋 Detalle Diario'!$B$5:$B$489, B100, '📋 Detalle Diario'!$C$5:$C$489, C100) * '⚙️ Supuestos'!$C$24) + '⚙️ Supuestos'!$C$23, (SUMIFS('📋 Detalle Diario'!$D$5:$D$489, '📋 Detalle Diario'!$B$5:$B$489, B100, '📋 Detalle Diario'!$C$5:$C$489, C100) * '⚙️ Supuestos'!$C$24) + '⚙️ Supuestos'!$C$33))</f>
        <v/>
      </c>
      <c r="L100" s="19" t="str">
        <f t="shared" si="12"/>
        <v/>
      </c>
      <c r="M100" s="20" t="str">
        <f t="shared" si="13"/>
        <v/>
      </c>
      <c r="N100" s="19" t="str">
        <f t="shared" si="14"/>
        <v/>
      </c>
      <c r="O100" s="27" t="str">
        <f t="shared" si="15"/>
        <v/>
      </c>
      <c r="P100" s="19" t="str">
        <f t="shared" si="16"/>
        <v/>
      </c>
      <c r="Q100" s="19" t="str">
        <f>IF(B100="","",J100-P100+(SUMIFS('📋 Detalle Diario'!$E$5:$E$489, '📋 Detalle Diario'!$B$5:$B$489, B100, '📋 Detalle Diario'!$C$5:$C$489, C100)*135)+(SUMIFS('📋 Detalle Diario'!$I$5:$I$489, '📋 Detalle Diario'!$B$5:$B$489, B100, '📋 Detalle Diario'!$C$5:$C$489, C100)*200))</f>
        <v/>
      </c>
      <c r="R100" s="20" t="str">
        <f t="shared" si="17"/>
        <v/>
      </c>
    </row>
    <row r="101" spans="2:18" ht="18" customHeight="1" x14ac:dyDescent="0.25">
      <c r="B101" s="24"/>
      <c r="C101" s="25"/>
      <c r="D101" s="18" t="str">
        <f>IF(B101="","",SUMIFS('📈 Datos Completos'!$E$7:$E$5000, '📈 Datos Completos'!$B$7:$B$5000, B101, '📈 Datos Completos'!$D$7:$D$5000, C101))</f>
        <v/>
      </c>
      <c r="E101" s="18" t="str">
        <f>IF(B101="","",SUMIFS('📈 Datos Completos'!$F$7:$F$5000, '📈 Datos Completos'!$B$7:$B$5000, B101, '📈 Datos Completos'!$D$7:$D$5000, C101))</f>
        <v/>
      </c>
      <c r="F101" s="18" t="str">
        <f>IF(B101="","",SUMIFS('📈 Datos Completos'!$G$7:$G$5000, '📈 Datos Completos'!$B$7:$B$5000, B101, '📈 Datos Completos'!$D$7:$D$5000, C101))</f>
        <v/>
      </c>
      <c r="G101" s="18" t="str">
        <f t="shared" si="9"/>
        <v/>
      </c>
      <c r="H101" s="19" t="str">
        <f>IF(B101="","",SUMIFS('📈 Datos Completos'!$I$7:$I$5000, '📈 Datos Completos'!$B$7:$B$5000, B101, '📈 Datos Completos'!$D$7:$D$5000, C101))</f>
        <v/>
      </c>
      <c r="I101" s="19" t="str">
        <f t="shared" si="10"/>
        <v/>
      </c>
      <c r="J101" s="19" t="str">
        <f t="shared" si="11"/>
        <v/>
      </c>
      <c r="K101" s="19" t="str">
        <f>IF(B101="","",IF(C101="DIA", (SUMIFS('📋 Detalle Diario'!$D$5:$D$489, '📋 Detalle Diario'!$B$5:$B$489, B101, '📋 Detalle Diario'!$C$5:$C$489, C101) * '⚙️ Supuestos'!$C$24) + '⚙️ Supuestos'!$C$23, (SUMIFS('📋 Detalle Diario'!$D$5:$D$489, '📋 Detalle Diario'!$B$5:$B$489, B101, '📋 Detalle Diario'!$C$5:$C$489, C101) * '⚙️ Supuestos'!$C$24) + '⚙️ Supuestos'!$C$33))</f>
        <v/>
      </c>
      <c r="L101" s="19" t="str">
        <f t="shared" si="12"/>
        <v/>
      </c>
      <c r="M101" s="20" t="str">
        <f t="shared" si="13"/>
        <v/>
      </c>
      <c r="N101" s="19" t="str">
        <f t="shared" si="14"/>
        <v/>
      </c>
      <c r="O101" s="25" t="str">
        <f t="shared" si="15"/>
        <v/>
      </c>
      <c r="P101" s="19" t="str">
        <f t="shared" si="16"/>
        <v/>
      </c>
      <c r="Q101" s="19" t="str">
        <f>IF(B101="","",J101-P101+(SUMIFS('📋 Detalle Diario'!$E$5:$E$489, '📋 Detalle Diario'!$B$5:$B$489, B101, '📋 Detalle Diario'!$C$5:$C$489, C101)*135)+(SUMIFS('📋 Detalle Diario'!$I$5:$I$489, '📋 Detalle Diario'!$B$5:$B$489, B101, '📋 Detalle Diario'!$C$5:$C$489, C101)*200))</f>
        <v/>
      </c>
      <c r="R101" s="20" t="str">
        <f t="shared" si="17"/>
        <v/>
      </c>
    </row>
    <row r="102" spans="2:18" ht="18" customHeight="1" x14ac:dyDescent="0.25">
      <c r="B102" s="26"/>
      <c r="C102" s="27"/>
      <c r="D102" s="18" t="str">
        <f>IF(B102="","",SUMIFS('📈 Datos Completos'!$E$7:$E$5000, '📈 Datos Completos'!$B$7:$B$5000, B102, '📈 Datos Completos'!$D$7:$D$5000, C102))</f>
        <v/>
      </c>
      <c r="E102" s="18" t="str">
        <f>IF(B102="","",SUMIFS('📈 Datos Completos'!$F$7:$F$5000, '📈 Datos Completos'!$B$7:$B$5000, B102, '📈 Datos Completos'!$D$7:$D$5000, C102))</f>
        <v/>
      </c>
      <c r="F102" s="18" t="str">
        <f>IF(B102="","",SUMIFS('📈 Datos Completos'!$G$7:$G$5000, '📈 Datos Completos'!$B$7:$B$5000, B102, '📈 Datos Completos'!$D$7:$D$5000, C102))</f>
        <v/>
      </c>
      <c r="G102" s="18" t="str">
        <f t="shared" si="9"/>
        <v/>
      </c>
      <c r="H102" s="19" t="str">
        <f>IF(B102="","",SUMIFS('📈 Datos Completos'!$I$7:$I$5000, '📈 Datos Completos'!$B$7:$B$5000, B102, '📈 Datos Completos'!$D$7:$D$5000, C102))</f>
        <v/>
      </c>
      <c r="I102" s="19" t="str">
        <f t="shared" si="10"/>
        <v/>
      </c>
      <c r="J102" s="19" t="str">
        <f t="shared" si="11"/>
        <v/>
      </c>
      <c r="K102" s="19" t="str">
        <f>IF(B102="","",IF(C102="DIA", (SUMIFS('📋 Detalle Diario'!$D$5:$D$489, '📋 Detalle Diario'!$B$5:$B$489, B102, '📋 Detalle Diario'!$C$5:$C$489, C102) * '⚙️ Supuestos'!$C$24) + '⚙️ Supuestos'!$C$23, (SUMIFS('📋 Detalle Diario'!$D$5:$D$489, '📋 Detalle Diario'!$B$5:$B$489, B102, '📋 Detalle Diario'!$C$5:$C$489, C102) * '⚙️ Supuestos'!$C$24) + '⚙️ Supuestos'!$C$33))</f>
        <v/>
      </c>
      <c r="L102" s="19" t="str">
        <f t="shared" si="12"/>
        <v/>
      </c>
      <c r="M102" s="20" t="str">
        <f t="shared" si="13"/>
        <v/>
      </c>
      <c r="N102" s="19" t="str">
        <f t="shared" si="14"/>
        <v/>
      </c>
      <c r="O102" s="27" t="str">
        <f t="shared" si="15"/>
        <v/>
      </c>
      <c r="P102" s="19" t="str">
        <f t="shared" si="16"/>
        <v/>
      </c>
      <c r="Q102" s="19" t="str">
        <f>IF(B102="","",J102-P102+(SUMIFS('📋 Detalle Diario'!$E$5:$E$489, '📋 Detalle Diario'!$B$5:$B$489, B102, '📋 Detalle Diario'!$C$5:$C$489, C102)*135)+(SUMIFS('📋 Detalle Diario'!$I$5:$I$489, '📋 Detalle Diario'!$B$5:$B$489, B102, '📋 Detalle Diario'!$C$5:$C$489, C102)*200))</f>
        <v/>
      </c>
      <c r="R102" s="20" t="str">
        <f t="shared" si="17"/>
        <v/>
      </c>
    </row>
    <row r="103" spans="2:18" ht="18" customHeight="1" x14ac:dyDescent="0.25">
      <c r="B103" s="24"/>
      <c r="C103" s="25"/>
      <c r="D103" s="18" t="str">
        <f>IF(B103="","",SUMIFS('📈 Datos Completos'!$E$7:$E$5000, '📈 Datos Completos'!$B$7:$B$5000, B103, '📈 Datos Completos'!$D$7:$D$5000, C103))</f>
        <v/>
      </c>
      <c r="E103" s="18" t="str">
        <f>IF(B103="","",SUMIFS('📈 Datos Completos'!$F$7:$F$5000, '📈 Datos Completos'!$B$7:$B$5000, B103, '📈 Datos Completos'!$D$7:$D$5000, C103))</f>
        <v/>
      </c>
      <c r="F103" s="18" t="str">
        <f>IF(B103="","",SUMIFS('📈 Datos Completos'!$G$7:$G$5000, '📈 Datos Completos'!$B$7:$B$5000, B103, '📈 Datos Completos'!$D$7:$D$5000, C103))</f>
        <v/>
      </c>
      <c r="G103" s="18" t="str">
        <f t="shared" si="9"/>
        <v/>
      </c>
      <c r="H103" s="19" t="str">
        <f>IF(B103="","",SUMIFS('📈 Datos Completos'!$I$7:$I$5000, '📈 Datos Completos'!$B$7:$B$5000, B103, '📈 Datos Completos'!$D$7:$D$5000, C103))</f>
        <v/>
      </c>
      <c r="I103" s="19" t="str">
        <f t="shared" si="10"/>
        <v/>
      </c>
      <c r="J103" s="19" t="str">
        <f t="shared" si="11"/>
        <v/>
      </c>
      <c r="K103" s="19" t="str">
        <f>IF(B103="","",IF(C103="DIA", (SUMIFS('📋 Detalle Diario'!$D$5:$D$489, '📋 Detalle Diario'!$B$5:$B$489, B103, '📋 Detalle Diario'!$C$5:$C$489, C103) * '⚙️ Supuestos'!$C$24) + '⚙️ Supuestos'!$C$23, (SUMIFS('📋 Detalle Diario'!$D$5:$D$489, '📋 Detalle Diario'!$B$5:$B$489, B103, '📋 Detalle Diario'!$C$5:$C$489, C103) * '⚙️ Supuestos'!$C$24) + '⚙️ Supuestos'!$C$33))</f>
        <v/>
      </c>
      <c r="L103" s="19" t="str">
        <f t="shared" si="12"/>
        <v/>
      </c>
      <c r="M103" s="20" t="str">
        <f t="shared" si="13"/>
        <v/>
      </c>
      <c r="N103" s="19" t="str">
        <f t="shared" si="14"/>
        <v/>
      </c>
      <c r="O103" s="25" t="str">
        <f t="shared" si="15"/>
        <v/>
      </c>
      <c r="P103" s="19" t="str">
        <f t="shared" si="16"/>
        <v/>
      </c>
      <c r="Q103" s="19" t="str">
        <f>IF(B103="","",J103-P103+(SUMIFS('📋 Detalle Diario'!$E$5:$E$489, '📋 Detalle Diario'!$B$5:$B$489, B103, '📋 Detalle Diario'!$C$5:$C$489, C103)*135)+(SUMIFS('📋 Detalle Diario'!$I$5:$I$489, '📋 Detalle Diario'!$B$5:$B$489, B103, '📋 Detalle Diario'!$C$5:$C$489, C103)*200))</f>
        <v/>
      </c>
      <c r="R103" s="20" t="str">
        <f t="shared" si="17"/>
        <v/>
      </c>
    </row>
    <row r="104" spans="2:18" ht="18" customHeight="1" x14ac:dyDescent="0.25">
      <c r="B104" s="26"/>
      <c r="C104" s="27"/>
      <c r="D104" s="18" t="str">
        <f>IF(B104="","",SUMIFS('📈 Datos Completos'!$E$7:$E$5000, '📈 Datos Completos'!$B$7:$B$5000, B104, '📈 Datos Completos'!$D$7:$D$5000, C104))</f>
        <v/>
      </c>
      <c r="E104" s="18" t="str">
        <f>IF(B104="","",SUMIFS('📈 Datos Completos'!$F$7:$F$5000, '📈 Datos Completos'!$B$7:$B$5000, B104, '📈 Datos Completos'!$D$7:$D$5000, C104))</f>
        <v/>
      </c>
      <c r="F104" s="18" t="str">
        <f>IF(B104="","",SUMIFS('📈 Datos Completos'!$G$7:$G$5000, '📈 Datos Completos'!$B$7:$B$5000, B104, '📈 Datos Completos'!$D$7:$D$5000, C104))</f>
        <v/>
      </c>
      <c r="G104" s="18" t="str">
        <f t="shared" si="9"/>
        <v/>
      </c>
      <c r="H104" s="19" t="str">
        <f>IF(B104="","",SUMIFS('📈 Datos Completos'!$I$7:$I$5000, '📈 Datos Completos'!$B$7:$B$5000, B104, '📈 Datos Completos'!$D$7:$D$5000, C104))</f>
        <v/>
      </c>
      <c r="I104" s="19" t="str">
        <f t="shared" si="10"/>
        <v/>
      </c>
      <c r="J104" s="19" t="str">
        <f t="shared" si="11"/>
        <v/>
      </c>
      <c r="K104" s="19" t="str">
        <f>IF(B104="","",IF(C104="DIA", (SUMIFS('📋 Detalle Diario'!$D$5:$D$489, '📋 Detalle Diario'!$B$5:$B$489, B104, '📋 Detalle Diario'!$C$5:$C$489, C104) * '⚙️ Supuestos'!$C$24) + '⚙️ Supuestos'!$C$23, (SUMIFS('📋 Detalle Diario'!$D$5:$D$489, '📋 Detalle Diario'!$B$5:$B$489, B104, '📋 Detalle Diario'!$C$5:$C$489, C104) * '⚙️ Supuestos'!$C$24) + '⚙️ Supuestos'!$C$33))</f>
        <v/>
      </c>
      <c r="L104" s="19" t="str">
        <f t="shared" si="12"/>
        <v/>
      </c>
      <c r="M104" s="20" t="str">
        <f t="shared" si="13"/>
        <v/>
      </c>
      <c r="N104" s="19" t="str">
        <f t="shared" si="14"/>
        <v/>
      </c>
      <c r="O104" s="27" t="str">
        <f t="shared" si="15"/>
        <v/>
      </c>
      <c r="P104" s="19" t="str">
        <f t="shared" si="16"/>
        <v/>
      </c>
      <c r="Q104" s="19" t="str">
        <f>IF(B104="","",J104-P104+(SUMIFS('📋 Detalle Diario'!$E$5:$E$489, '📋 Detalle Diario'!$B$5:$B$489, B104, '📋 Detalle Diario'!$C$5:$C$489, C104)*135)+(SUMIFS('📋 Detalle Diario'!$I$5:$I$489, '📋 Detalle Diario'!$B$5:$B$489, B104, '📋 Detalle Diario'!$C$5:$C$489, C104)*200))</f>
        <v/>
      </c>
      <c r="R104" s="20" t="str">
        <f t="shared" si="17"/>
        <v/>
      </c>
    </row>
    <row r="105" spans="2:18" ht="18" customHeight="1" x14ac:dyDescent="0.25">
      <c r="B105" s="24"/>
      <c r="C105" s="25"/>
      <c r="D105" s="18" t="str">
        <f>IF(B105="","",SUMIFS('📈 Datos Completos'!$E$7:$E$5000, '📈 Datos Completos'!$B$7:$B$5000, B105, '📈 Datos Completos'!$D$7:$D$5000, C105))</f>
        <v/>
      </c>
      <c r="E105" s="18" t="str">
        <f>IF(B105="","",SUMIFS('📈 Datos Completos'!$F$7:$F$5000, '📈 Datos Completos'!$B$7:$B$5000, B105, '📈 Datos Completos'!$D$7:$D$5000, C105))</f>
        <v/>
      </c>
      <c r="F105" s="18" t="str">
        <f>IF(B105="","",SUMIFS('📈 Datos Completos'!$G$7:$G$5000, '📈 Datos Completos'!$B$7:$B$5000, B105, '📈 Datos Completos'!$D$7:$D$5000, C105))</f>
        <v/>
      </c>
      <c r="G105" s="18" t="str">
        <f t="shared" si="9"/>
        <v/>
      </c>
      <c r="H105" s="19" t="str">
        <f>IF(B105="","",SUMIFS('📈 Datos Completos'!$I$7:$I$5000, '📈 Datos Completos'!$B$7:$B$5000, B105, '📈 Datos Completos'!$D$7:$D$5000, C105))</f>
        <v/>
      </c>
      <c r="I105" s="19" t="str">
        <f t="shared" si="10"/>
        <v/>
      </c>
      <c r="J105" s="19" t="str">
        <f t="shared" si="11"/>
        <v/>
      </c>
      <c r="K105" s="19" t="str">
        <f>IF(B105="","",IF(C105="DIA", (SUMIFS('📋 Detalle Diario'!$D$5:$D$489, '📋 Detalle Diario'!$B$5:$B$489, B105, '📋 Detalle Diario'!$C$5:$C$489, C105) * '⚙️ Supuestos'!$C$24) + '⚙️ Supuestos'!$C$23, (SUMIFS('📋 Detalle Diario'!$D$5:$D$489, '📋 Detalle Diario'!$B$5:$B$489, B105, '📋 Detalle Diario'!$C$5:$C$489, C105) * '⚙️ Supuestos'!$C$24) + '⚙️ Supuestos'!$C$33))</f>
        <v/>
      </c>
      <c r="L105" s="19" t="str">
        <f t="shared" si="12"/>
        <v/>
      </c>
      <c r="M105" s="20" t="str">
        <f t="shared" si="13"/>
        <v/>
      </c>
      <c r="N105" s="19" t="str">
        <f t="shared" si="14"/>
        <v/>
      </c>
      <c r="O105" s="25" t="str">
        <f t="shared" si="15"/>
        <v/>
      </c>
      <c r="P105" s="19" t="str">
        <f t="shared" si="16"/>
        <v/>
      </c>
      <c r="Q105" s="19" t="str">
        <f>IF(B105="","",J105-P105+(SUMIFS('📋 Detalle Diario'!$E$5:$E$489, '📋 Detalle Diario'!$B$5:$B$489, B105, '📋 Detalle Diario'!$C$5:$C$489, C105)*135)+(SUMIFS('📋 Detalle Diario'!$I$5:$I$489, '📋 Detalle Diario'!$B$5:$B$489, B105, '📋 Detalle Diario'!$C$5:$C$489, C105)*200))</f>
        <v/>
      </c>
      <c r="R105" s="20" t="str">
        <f t="shared" si="17"/>
        <v/>
      </c>
    </row>
    <row r="106" spans="2:18" ht="18" customHeight="1" x14ac:dyDescent="0.25">
      <c r="B106" s="26"/>
      <c r="C106" s="27"/>
      <c r="D106" s="18" t="str">
        <f>IF(B106="","",SUMIFS('📈 Datos Completos'!$E$7:$E$5000, '📈 Datos Completos'!$B$7:$B$5000, B106, '📈 Datos Completos'!$D$7:$D$5000, C106))</f>
        <v/>
      </c>
      <c r="E106" s="18" t="str">
        <f>IF(B106="","",SUMIFS('📈 Datos Completos'!$F$7:$F$5000, '📈 Datos Completos'!$B$7:$B$5000, B106, '📈 Datos Completos'!$D$7:$D$5000, C106))</f>
        <v/>
      </c>
      <c r="F106" s="18" t="str">
        <f>IF(B106="","",SUMIFS('📈 Datos Completos'!$G$7:$G$5000, '📈 Datos Completos'!$B$7:$B$5000, B106, '📈 Datos Completos'!$D$7:$D$5000, C106))</f>
        <v/>
      </c>
      <c r="G106" s="18" t="str">
        <f t="shared" si="9"/>
        <v/>
      </c>
      <c r="H106" s="19" t="str">
        <f>IF(B106="","",SUMIFS('📈 Datos Completos'!$I$7:$I$5000, '📈 Datos Completos'!$B$7:$B$5000, B106, '📈 Datos Completos'!$D$7:$D$5000, C106))</f>
        <v/>
      </c>
      <c r="I106" s="19" t="str">
        <f t="shared" si="10"/>
        <v/>
      </c>
      <c r="J106" s="19" t="str">
        <f t="shared" si="11"/>
        <v/>
      </c>
      <c r="K106" s="19" t="str">
        <f>IF(B106="","",IF(C106="DIA", (SUMIFS('📋 Detalle Diario'!$D$5:$D$489, '📋 Detalle Diario'!$B$5:$B$489, B106, '📋 Detalle Diario'!$C$5:$C$489, C106) * '⚙️ Supuestos'!$C$24) + '⚙️ Supuestos'!$C$23, (SUMIFS('📋 Detalle Diario'!$D$5:$D$489, '📋 Detalle Diario'!$B$5:$B$489, B106, '📋 Detalle Diario'!$C$5:$C$489, C106) * '⚙️ Supuestos'!$C$24) + '⚙️ Supuestos'!$C$33))</f>
        <v/>
      </c>
      <c r="L106" s="19" t="str">
        <f t="shared" si="12"/>
        <v/>
      </c>
      <c r="M106" s="20" t="str">
        <f t="shared" si="13"/>
        <v/>
      </c>
      <c r="N106" s="19" t="str">
        <f t="shared" si="14"/>
        <v/>
      </c>
      <c r="O106" s="27" t="str">
        <f t="shared" si="15"/>
        <v/>
      </c>
      <c r="P106" s="19" t="str">
        <f t="shared" si="16"/>
        <v/>
      </c>
      <c r="Q106" s="19" t="str">
        <f>IF(B106="","",J106-P106+(SUMIFS('📋 Detalle Diario'!$E$5:$E$489, '📋 Detalle Diario'!$B$5:$B$489, B106, '📋 Detalle Diario'!$C$5:$C$489, C106)*135)+(SUMIFS('📋 Detalle Diario'!$I$5:$I$489, '📋 Detalle Diario'!$B$5:$B$489, B106, '📋 Detalle Diario'!$C$5:$C$489, C106)*200))</f>
        <v/>
      </c>
      <c r="R106" s="20" t="str">
        <f t="shared" si="17"/>
        <v/>
      </c>
    </row>
    <row r="107" spans="2:18" ht="18" customHeight="1" x14ac:dyDescent="0.25">
      <c r="B107" s="24"/>
      <c r="C107" s="25"/>
      <c r="D107" s="18" t="str">
        <f>IF(B107="","",SUMIFS('📈 Datos Completos'!$E$7:$E$5000, '📈 Datos Completos'!$B$7:$B$5000, B107, '📈 Datos Completos'!$D$7:$D$5000, C107))</f>
        <v/>
      </c>
      <c r="E107" s="18" t="str">
        <f>IF(B107="","",SUMIFS('📈 Datos Completos'!$F$7:$F$5000, '📈 Datos Completos'!$B$7:$B$5000, B107, '📈 Datos Completos'!$D$7:$D$5000, C107))</f>
        <v/>
      </c>
      <c r="F107" s="18" t="str">
        <f>IF(B107="","",SUMIFS('📈 Datos Completos'!$G$7:$G$5000, '📈 Datos Completos'!$B$7:$B$5000, B107, '📈 Datos Completos'!$D$7:$D$5000, C107))</f>
        <v/>
      </c>
      <c r="G107" s="18" t="str">
        <f t="shared" si="9"/>
        <v/>
      </c>
      <c r="H107" s="19" t="str">
        <f>IF(B107="","",SUMIFS('📈 Datos Completos'!$I$7:$I$5000, '📈 Datos Completos'!$B$7:$B$5000, B107, '📈 Datos Completos'!$D$7:$D$5000, C107))</f>
        <v/>
      </c>
      <c r="I107" s="19" t="str">
        <f t="shared" si="10"/>
        <v/>
      </c>
      <c r="J107" s="19" t="str">
        <f t="shared" si="11"/>
        <v/>
      </c>
      <c r="K107" s="19" t="str">
        <f>IF(B107="","",IF(C107="DIA", (SUMIFS('📋 Detalle Diario'!$D$5:$D$489, '📋 Detalle Diario'!$B$5:$B$489, B107, '📋 Detalle Diario'!$C$5:$C$489, C107) * '⚙️ Supuestos'!$C$24) + '⚙️ Supuestos'!$C$23, (SUMIFS('📋 Detalle Diario'!$D$5:$D$489, '📋 Detalle Diario'!$B$5:$B$489, B107, '📋 Detalle Diario'!$C$5:$C$489, C107) * '⚙️ Supuestos'!$C$24) + '⚙️ Supuestos'!$C$33))</f>
        <v/>
      </c>
      <c r="L107" s="19" t="str">
        <f t="shared" si="12"/>
        <v/>
      </c>
      <c r="M107" s="20" t="str">
        <f t="shared" si="13"/>
        <v/>
      </c>
      <c r="N107" s="19" t="str">
        <f t="shared" si="14"/>
        <v/>
      </c>
      <c r="O107" s="25" t="str">
        <f t="shared" si="15"/>
        <v/>
      </c>
      <c r="P107" s="19" t="str">
        <f t="shared" si="16"/>
        <v/>
      </c>
      <c r="Q107" s="19" t="str">
        <f>IF(B107="","",J107-P107+(SUMIFS('📋 Detalle Diario'!$E$5:$E$489, '📋 Detalle Diario'!$B$5:$B$489, B107, '📋 Detalle Diario'!$C$5:$C$489, C107)*135)+(SUMIFS('📋 Detalle Diario'!$I$5:$I$489, '📋 Detalle Diario'!$B$5:$B$489, B107, '📋 Detalle Diario'!$C$5:$C$489, C107)*200))</f>
        <v/>
      </c>
      <c r="R107" s="20" t="str">
        <f t="shared" si="17"/>
        <v/>
      </c>
    </row>
    <row r="108" spans="2:18" ht="18" customHeight="1" x14ac:dyDescent="0.25">
      <c r="B108" s="26"/>
      <c r="C108" s="27"/>
      <c r="D108" s="18" t="str">
        <f>IF(B108="","",SUMIFS('📈 Datos Completos'!$E$7:$E$5000, '📈 Datos Completos'!$B$7:$B$5000, B108, '📈 Datos Completos'!$D$7:$D$5000, C108))</f>
        <v/>
      </c>
      <c r="E108" s="18" t="str">
        <f>IF(B108="","",SUMIFS('📈 Datos Completos'!$F$7:$F$5000, '📈 Datos Completos'!$B$7:$B$5000, B108, '📈 Datos Completos'!$D$7:$D$5000, C108))</f>
        <v/>
      </c>
      <c r="F108" s="18" t="str">
        <f>IF(B108="","",SUMIFS('📈 Datos Completos'!$G$7:$G$5000, '📈 Datos Completos'!$B$7:$B$5000, B108, '📈 Datos Completos'!$D$7:$D$5000, C108))</f>
        <v/>
      </c>
      <c r="G108" s="18" t="str">
        <f t="shared" si="9"/>
        <v/>
      </c>
      <c r="H108" s="19" t="str">
        <f>IF(B108="","",SUMIFS('📈 Datos Completos'!$I$7:$I$5000, '📈 Datos Completos'!$B$7:$B$5000, B108, '📈 Datos Completos'!$D$7:$D$5000, C108))</f>
        <v/>
      </c>
      <c r="I108" s="19" t="str">
        <f t="shared" si="10"/>
        <v/>
      </c>
      <c r="J108" s="19" t="str">
        <f t="shared" si="11"/>
        <v/>
      </c>
      <c r="K108" s="19" t="str">
        <f>IF(B108="","",IF(C108="DIA", (SUMIFS('📋 Detalle Diario'!$D$5:$D$489, '📋 Detalle Diario'!$B$5:$B$489, B108, '📋 Detalle Diario'!$C$5:$C$489, C108) * '⚙️ Supuestos'!$C$24) + '⚙️ Supuestos'!$C$23, (SUMIFS('📋 Detalle Diario'!$D$5:$D$489, '📋 Detalle Diario'!$B$5:$B$489, B108, '📋 Detalle Diario'!$C$5:$C$489, C108) * '⚙️ Supuestos'!$C$24) + '⚙️ Supuestos'!$C$33))</f>
        <v/>
      </c>
      <c r="L108" s="19" t="str">
        <f t="shared" si="12"/>
        <v/>
      </c>
      <c r="M108" s="20" t="str">
        <f t="shared" si="13"/>
        <v/>
      </c>
      <c r="N108" s="19" t="str">
        <f t="shared" si="14"/>
        <v/>
      </c>
      <c r="O108" s="27" t="str">
        <f t="shared" si="15"/>
        <v/>
      </c>
      <c r="P108" s="19" t="str">
        <f t="shared" si="16"/>
        <v/>
      </c>
      <c r="Q108" s="19" t="str">
        <f>IF(B108="","",J108-P108+(SUMIFS('📋 Detalle Diario'!$E$5:$E$489, '📋 Detalle Diario'!$B$5:$B$489, B108, '📋 Detalle Diario'!$C$5:$C$489, C108)*135)+(SUMIFS('📋 Detalle Diario'!$I$5:$I$489, '📋 Detalle Diario'!$B$5:$B$489, B108, '📋 Detalle Diario'!$C$5:$C$489, C108)*200))</f>
        <v/>
      </c>
      <c r="R108" s="20" t="str">
        <f t="shared" si="17"/>
        <v/>
      </c>
    </row>
    <row r="109" spans="2:18" ht="18" customHeight="1" x14ac:dyDescent="0.25">
      <c r="B109" s="24"/>
      <c r="C109" s="25"/>
      <c r="D109" s="18" t="str">
        <f>IF(B109="","",SUMIFS('📈 Datos Completos'!$E$7:$E$5000, '📈 Datos Completos'!$B$7:$B$5000, B109, '📈 Datos Completos'!$D$7:$D$5000, C109))</f>
        <v/>
      </c>
      <c r="E109" s="18" t="str">
        <f>IF(B109="","",SUMIFS('📈 Datos Completos'!$F$7:$F$5000, '📈 Datos Completos'!$B$7:$B$5000, B109, '📈 Datos Completos'!$D$7:$D$5000, C109))</f>
        <v/>
      </c>
      <c r="F109" s="18" t="str">
        <f>IF(B109="","",SUMIFS('📈 Datos Completos'!$G$7:$G$5000, '📈 Datos Completos'!$B$7:$B$5000, B109, '📈 Datos Completos'!$D$7:$D$5000, C109))</f>
        <v/>
      </c>
      <c r="G109" s="18" t="str">
        <f t="shared" si="9"/>
        <v/>
      </c>
      <c r="H109" s="19" t="str">
        <f>IF(B109="","",SUMIFS('📈 Datos Completos'!$I$7:$I$5000, '📈 Datos Completos'!$B$7:$B$5000, B109, '📈 Datos Completos'!$D$7:$D$5000, C109))</f>
        <v/>
      </c>
      <c r="I109" s="19" t="str">
        <f t="shared" si="10"/>
        <v/>
      </c>
      <c r="J109" s="19" t="str">
        <f t="shared" si="11"/>
        <v/>
      </c>
      <c r="K109" s="19" t="str">
        <f>IF(B109="","",IF(C109="DIA", (SUMIFS('📋 Detalle Diario'!$D$5:$D$489, '📋 Detalle Diario'!$B$5:$B$489, B109, '📋 Detalle Diario'!$C$5:$C$489, C109) * '⚙️ Supuestos'!$C$24) + '⚙️ Supuestos'!$C$23, (SUMIFS('📋 Detalle Diario'!$D$5:$D$489, '📋 Detalle Diario'!$B$5:$B$489, B109, '📋 Detalle Diario'!$C$5:$C$489, C109) * '⚙️ Supuestos'!$C$24) + '⚙️ Supuestos'!$C$33))</f>
        <v/>
      </c>
      <c r="L109" s="19" t="str">
        <f t="shared" si="12"/>
        <v/>
      </c>
      <c r="M109" s="20" t="str">
        <f t="shared" si="13"/>
        <v/>
      </c>
      <c r="N109" s="19" t="str">
        <f t="shared" si="14"/>
        <v/>
      </c>
      <c r="O109" s="25" t="str">
        <f t="shared" si="15"/>
        <v/>
      </c>
      <c r="P109" s="19" t="str">
        <f t="shared" si="16"/>
        <v/>
      </c>
      <c r="Q109" s="19" t="str">
        <f>IF(B109="","",J109-P109+(SUMIFS('📋 Detalle Diario'!$E$5:$E$489, '📋 Detalle Diario'!$B$5:$B$489, B109, '📋 Detalle Diario'!$C$5:$C$489, C109)*135)+(SUMIFS('📋 Detalle Diario'!$I$5:$I$489, '📋 Detalle Diario'!$B$5:$B$489, B109, '📋 Detalle Diario'!$C$5:$C$489, C109)*200))</f>
        <v/>
      </c>
      <c r="R109" s="20" t="str">
        <f t="shared" si="17"/>
        <v/>
      </c>
    </row>
    <row r="110" spans="2:18" ht="18" customHeight="1" x14ac:dyDescent="0.25">
      <c r="B110" s="26"/>
      <c r="C110" s="27"/>
      <c r="D110" s="18" t="str">
        <f>IF(B110="","",SUMIFS('📈 Datos Completos'!$E$7:$E$5000, '📈 Datos Completos'!$B$7:$B$5000, B110, '📈 Datos Completos'!$D$7:$D$5000, C110))</f>
        <v/>
      </c>
      <c r="E110" s="18" t="str">
        <f>IF(B110="","",SUMIFS('📈 Datos Completos'!$F$7:$F$5000, '📈 Datos Completos'!$B$7:$B$5000, B110, '📈 Datos Completos'!$D$7:$D$5000, C110))</f>
        <v/>
      </c>
      <c r="F110" s="18" t="str">
        <f>IF(B110="","",SUMIFS('📈 Datos Completos'!$G$7:$G$5000, '📈 Datos Completos'!$B$7:$B$5000, B110, '📈 Datos Completos'!$D$7:$D$5000, C110))</f>
        <v/>
      </c>
      <c r="G110" s="18" t="str">
        <f t="shared" si="9"/>
        <v/>
      </c>
      <c r="H110" s="19" t="str">
        <f>IF(B110="","",SUMIFS('📈 Datos Completos'!$I$7:$I$5000, '📈 Datos Completos'!$B$7:$B$5000, B110, '📈 Datos Completos'!$D$7:$D$5000, C110))</f>
        <v/>
      </c>
      <c r="I110" s="19" t="str">
        <f t="shared" si="10"/>
        <v/>
      </c>
      <c r="J110" s="19" t="str">
        <f t="shared" si="11"/>
        <v/>
      </c>
      <c r="K110" s="19" t="str">
        <f>IF(B110="","",IF(C110="DIA", (SUMIFS('📋 Detalle Diario'!$D$5:$D$489, '📋 Detalle Diario'!$B$5:$B$489, B110, '📋 Detalle Diario'!$C$5:$C$489, C110) * '⚙️ Supuestos'!$C$24) + '⚙️ Supuestos'!$C$23, (SUMIFS('📋 Detalle Diario'!$D$5:$D$489, '📋 Detalle Diario'!$B$5:$B$489, B110, '📋 Detalle Diario'!$C$5:$C$489, C110) * '⚙️ Supuestos'!$C$24) + '⚙️ Supuestos'!$C$33))</f>
        <v/>
      </c>
      <c r="L110" s="19" t="str">
        <f t="shared" si="12"/>
        <v/>
      </c>
      <c r="M110" s="20" t="str">
        <f t="shared" si="13"/>
        <v/>
      </c>
      <c r="N110" s="19" t="str">
        <f t="shared" si="14"/>
        <v/>
      </c>
      <c r="O110" s="27" t="str">
        <f t="shared" si="15"/>
        <v/>
      </c>
      <c r="P110" s="19" t="str">
        <f t="shared" si="16"/>
        <v/>
      </c>
      <c r="Q110" s="19" t="str">
        <f>IF(B110="","",J110-P110+(SUMIFS('📋 Detalle Diario'!$E$5:$E$489, '📋 Detalle Diario'!$B$5:$B$489, B110, '📋 Detalle Diario'!$C$5:$C$489, C110)*135)+(SUMIFS('📋 Detalle Diario'!$I$5:$I$489, '📋 Detalle Diario'!$B$5:$B$489, B110, '📋 Detalle Diario'!$C$5:$C$489, C110)*200))</f>
        <v/>
      </c>
      <c r="R110" s="20" t="str">
        <f t="shared" si="17"/>
        <v/>
      </c>
    </row>
    <row r="111" spans="2:18" ht="18" customHeight="1" x14ac:dyDescent="0.25">
      <c r="B111" s="24"/>
      <c r="C111" s="25"/>
      <c r="D111" s="18" t="str">
        <f>IF(B111="","",SUMIFS('📈 Datos Completos'!$E$7:$E$5000, '📈 Datos Completos'!$B$7:$B$5000, B111, '📈 Datos Completos'!$D$7:$D$5000, C111))</f>
        <v/>
      </c>
      <c r="E111" s="18" t="str">
        <f>IF(B111="","",SUMIFS('📈 Datos Completos'!$F$7:$F$5000, '📈 Datos Completos'!$B$7:$B$5000, B111, '📈 Datos Completos'!$D$7:$D$5000, C111))</f>
        <v/>
      </c>
      <c r="F111" s="18" t="str">
        <f>IF(B111="","",SUMIFS('📈 Datos Completos'!$G$7:$G$5000, '📈 Datos Completos'!$B$7:$B$5000, B111, '📈 Datos Completos'!$D$7:$D$5000, C111))</f>
        <v/>
      </c>
      <c r="G111" s="18" t="str">
        <f t="shared" si="9"/>
        <v/>
      </c>
      <c r="H111" s="19" t="str">
        <f>IF(B111="","",SUMIFS('📈 Datos Completos'!$I$7:$I$5000, '📈 Datos Completos'!$B$7:$B$5000, B111, '📈 Datos Completos'!$D$7:$D$5000, C111))</f>
        <v/>
      </c>
      <c r="I111" s="19" t="str">
        <f t="shared" si="10"/>
        <v/>
      </c>
      <c r="J111" s="19" t="str">
        <f t="shared" si="11"/>
        <v/>
      </c>
      <c r="K111" s="19" t="str">
        <f>IF(B111="","",IF(C111="DIA", (SUMIFS('📋 Detalle Diario'!$D$5:$D$489, '📋 Detalle Diario'!$B$5:$B$489, B111, '📋 Detalle Diario'!$C$5:$C$489, C111) * '⚙️ Supuestos'!$C$24) + '⚙️ Supuestos'!$C$23, (SUMIFS('📋 Detalle Diario'!$D$5:$D$489, '📋 Detalle Diario'!$B$5:$B$489, B111, '📋 Detalle Diario'!$C$5:$C$489, C111) * '⚙️ Supuestos'!$C$24) + '⚙️ Supuestos'!$C$33))</f>
        <v/>
      </c>
      <c r="L111" s="19" t="str">
        <f t="shared" si="12"/>
        <v/>
      </c>
      <c r="M111" s="20" t="str">
        <f t="shared" si="13"/>
        <v/>
      </c>
      <c r="N111" s="19" t="str">
        <f t="shared" si="14"/>
        <v/>
      </c>
      <c r="O111" s="25" t="str">
        <f t="shared" si="15"/>
        <v/>
      </c>
      <c r="P111" s="19" t="str">
        <f t="shared" si="16"/>
        <v/>
      </c>
      <c r="Q111" s="19" t="str">
        <f>IF(B111="","",J111-P111+(SUMIFS('📋 Detalle Diario'!$E$5:$E$489, '📋 Detalle Diario'!$B$5:$B$489, B111, '📋 Detalle Diario'!$C$5:$C$489, C111)*135)+(SUMIFS('📋 Detalle Diario'!$I$5:$I$489, '📋 Detalle Diario'!$B$5:$B$489, B111, '📋 Detalle Diario'!$C$5:$C$489, C111)*200))</f>
        <v/>
      </c>
      <c r="R111" s="20" t="str">
        <f t="shared" si="17"/>
        <v/>
      </c>
    </row>
    <row r="112" spans="2:18" ht="18" customHeight="1" x14ac:dyDescent="0.25">
      <c r="B112" s="26"/>
      <c r="C112" s="27"/>
      <c r="D112" s="18" t="str">
        <f>IF(B112="","",SUMIFS('📈 Datos Completos'!$E$7:$E$5000, '📈 Datos Completos'!$B$7:$B$5000, B112, '📈 Datos Completos'!$D$7:$D$5000, C112))</f>
        <v/>
      </c>
      <c r="E112" s="18" t="str">
        <f>IF(B112="","",SUMIFS('📈 Datos Completos'!$F$7:$F$5000, '📈 Datos Completos'!$B$7:$B$5000, B112, '📈 Datos Completos'!$D$7:$D$5000, C112))</f>
        <v/>
      </c>
      <c r="F112" s="18" t="str">
        <f>IF(B112="","",SUMIFS('📈 Datos Completos'!$G$7:$G$5000, '📈 Datos Completos'!$B$7:$B$5000, B112, '📈 Datos Completos'!$D$7:$D$5000, C112))</f>
        <v/>
      </c>
      <c r="G112" s="18" t="str">
        <f t="shared" si="9"/>
        <v/>
      </c>
      <c r="H112" s="19" t="str">
        <f>IF(B112="","",SUMIFS('📈 Datos Completos'!$I$7:$I$5000, '📈 Datos Completos'!$B$7:$B$5000, B112, '📈 Datos Completos'!$D$7:$D$5000, C112))</f>
        <v/>
      </c>
      <c r="I112" s="19" t="str">
        <f t="shared" si="10"/>
        <v/>
      </c>
      <c r="J112" s="19" t="str">
        <f t="shared" si="11"/>
        <v/>
      </c>
      <c r="K112" s="19" t="str">
        <f>IF(B112="","",IF(C112="DIA", (SUMIFS('📋 Detalle Diario'!$D$5:$D$489, '📋 Detalle Diario'!$B$5:$B$489, B112, '📋 Detalle Diario'!$C$5:$C$489, C112) * '⚙️ Supuestos'!$C$24) + '⚙️ Supuestos'!$C$23, (SUMIFS('📋 Detalle Diario'!$D$5:$D$489, '📋 Detalle Diario'!$B$5:$B$489, B112, '📋 Detalle Diario'!$C$5:$C$489, C112) * '⚙️ Supuestos'!$C$24) + '⚙️ Supuestos'!$C$33))</f>
        <v/>
      </c>
      <c r="L112" s="19" t="str">
        <f t="shared" si="12"/>
        <v/>
      </c>
      <c r="M112" s="20" t="str">
        <f t="shared" si="13"/>
        <v/>
      </c>
      <c r="N112" s="19" t="str">
        <f t="shared" si="14"/>
        <v/>
      </c>
      <c r="O112" s="27" t="str">
        <f t="shared" si="15"/>
        <v/>
      </c>
      <c r="P112" s="19" t="str">
        <f t="shared" si="16"/>
        <v/>
      </c>
      <c r="Q112" s="19" t="str">
        <f>IF(B112="","",J112-P112+(SUMIFS('📋 Detalle Diario'!$E$5:$E$489, '📋 Detalle Diario'!$B$5:$B$489, B112, '📋 Detalle Diario'!$C$5:$C$489, C112)*135)+(SUMIFS('📋 Detalle Diario'!$I$5:$I$489, '📋 Detalle Diario'!$B$5:$B$489, B112, '📋 Detalle Diario'!$C$5:$C$489, C112)*200))</f>
        <v/>
      </c>
      <c r="R112" s="20" t="str">
        <f t="shared" si="17"/>
        <v/>
      </c>
    </row>
    <row r="113" spans="2:18" ht="18" customHeight="1" x14ac:dyDescent="0.25">
      <c r="B113" s="24"/>
      <c r="C113" s="25"/>
      <c r="D113" s="18" t="str">
        <f>IF(B113="","",SUMIFS('📈 Datos Completos'!$E$7:$E$5000, '📈 Datos Completos'!$B$7:$B$5000, B113, '📈 Datos Completos'!$D$7:$D$5000, C113))</f>
        <v/>
      </c>
      <c r="E113" s="18" t="str">
        <f>IF(B113="","",SUMIFS('📈 Datos Completos'!$F$7:$F$5000, '📈 Datos Completos'!$B$7:$B$5000, B113, '📈 Datos Completos'!$D$7:$D$5000, C113))</f>
        <v/>
      </c>
      <c r="F113" s="18" t="str">
        <f>IF(B113="","",SUMIFS('📈 Datos Completos'!$G$7:$G$5000, '📈 Datos Completos'!$B$7:$B$5000, B113, '📈 Datos Completos'!$D$7:$D$5000, C113))</f>
        <v/>
      </c>
      <c r="G113" s="18" t="str">
        <f t="shared" si="9"/>
        <v/>
      </c>
      <c r="H113" s="19" t="str">
        <f>IF(B113="","",SUMIFS('📈 Datos Completos'!$I$7:$I$5000, '📈 Datos Completos'!$B$7:$B$5000, B113, '📈 Datos Completos'!$D$7:$D$5000, C113))</f>
        <v/>
      </c>
      <c r="I113" s="19" t="str">
        <f t="shared" si="10"/>
        <v/>
      </c>
      <c r="J113" s="19" t="str">
        <f t="shared" si="11"/>
        <v/>
      </c>
      <c r="K113" s="19" t="str">
        <f>IF(B113="","",IF(C113="DIA", (SUMIFS('📋 Detalle Diario'!$D$5:$D$489, '📋 Detalle Diario'!$B$5:$B$489, B113, '📋 Detalle Diario'!$C$5:$C$489, C113) * '⚙️ Supuestos'!$C$24) + '⚙️ Supuestos'!$C$23, (SUMIFS('📋 Detalle Diario'!$D$5:$D$489, '📋 Detalle Diario'!$B$5:$B$489, B113, '📋 Detalle Diario'!$C$5:$C$489, C113) * '⚙️ Supuestos'!$C$24) + '⚙️ Supuestos'!$C$33))</f>
        <v/>
      </c>
      <c r="L113" s="19" t="str">
        <f t="shared" si="12"/>
        <v/>
      </c>
      <c r="M113" s="20" t="str">
        <f t="shared" si="13"/>
        <v/>
      </c>
      <c r="N113" s="19" t="str">
        <f t="shared" si="14"/>
        <v/>
      </c>
      <c r="O113" s="25" t="str">
        <f t="shared" si="15"/>
        <v/>
      </c>
      <c r="P113" s="19" t="str">
        <f t="shared" si="16"/>
        <v/>
      </c>
      <c r="Q113" s="19" t="str">
        <f>IF(B113="","",J113-P113+(SUMIFS('📋 Detalle Diario'!$E$5:$E$489, '📋 Detalle Diario'!$B$5:$B$489, B113, '📋 Detalle Diario'!$C$5:$C$489, C113)*135)+(SUMIFS('📋 Detalle Diario'!$I$5:$I$489, '📋 Detalle Diario'!$B$5:$B$489, B113, '📋 Detalle Diario'!$C$5:$C$489, C113)*200))</f>
        <v/>
      </c>
      <c r="R113" s="20" t="str">
        <f t="shared" si="17"/>
        <v/>
      </c>
    </row>
    <row r="114" spans="2:18" ht="18" customHeight="1" x14ac:dyDescent="0.25">
      <c r="B114" s="26"/>
      <c r="C114" s="27"/>
      <c r="D114" s="18" t="str">
        <f>IF(B114="","",SUMIFS('📈 Datos Completos'!$E$7:$E$5000, '📈 Datos Completos'!$B$7:$B$5000, B114, '📈 Datos Completos'!$D$7:$D$5000, C114))</f>
        <v/>
      </c>
      <c r="E114" s="18" t="str">
        <f>IF(B114="","",SUMIFS('📈 Datos Completos'!$F$7:$F$5000, '📈 Datos Completos'!$B$7:$B$5000, B114, '📈 Datos Completos'!$D$7:$D$5000, C114))</f>
        <v/>
      </c>
      <c r="F114" s="18" t="str">
        <f>IF(B114="","",SUMIFS('📈 Datos Completos'!$G$7:$G$5000, '📈 Datos Completos'!$B$7:$B$5000, B114, '📈 Datos Completos'!$D$7:$D$5000, C114))</f>
        <v/>
      </c>
      <c r="G114" s="18" t="str">
        <f t="shared" si="9"/>
        <v/>
      </c>
      <c r="H114" s="19" t="str">
        <f>IF(B114="","",SUMIFS('📈 Datos Completos'!$I$7:$I$5000, '📈 Datos Completos'!$B$7:$B$5000, B114, '📈 Datos Completos'!$D$7:$D$5000, C114))</f>
        <v/>
      </c>
      <c r="I114" s="19" t="str">
        <f t="shared" si="10"/>
        <v/>
      </c>
      <c r="J114" s="19" t="str">
        <f t="shared" si="11"/>
        <v/>
      </c>
      <c r="K114" s="19" t="str">
        <f>IF(B114="","",IF(C114="DIA", (SUMIFS('📋 Detalle Diario'!$D$5:$D$489, '📋 Detalle Diario'!$B$5:$B$489, B114, '📋 Detalle Diario'!$C$5:$C$489, C114) * '⚙️ Supuestos'!$C$24) + '⚙️ Supuestos'!$C$23, (SUMIFS('📋 Detalle Diario'!$D$5:$D$489, '📋 Detalle Diario'!$B$5:$B$489, B114, '📋 Detalle Diario'!$C$5:$C$489, C114) * '⚙️ Supuestos'!$C$24) + '⚙️ Supuestos'!$C$33))</f>
        <v/>
      </c>
      <c r="L114" s="19" t="str">
        <f t="shared" si="12"/>
        <v/>
      </c>
      <c r="M114" s="20" t="str">
        <f t="shared" si="13"/>
        <v/>
      </c>
      <c r="N114" s="19" t="str">
        <f t="shared" si="14"/>
        <v/>
      </c>
      <c r="O114" s="27" t="str">
        <f t="shared" si="15"/>
        <v/>
      </c>
      <c r="P114" s="19" t="str">
        <f t="shared" si="16"/>
        <v/>
      </c>
      <c r="Q114" s="19" t="str">
        <f>IF(B114="","",J114-P114+(SUMIFS('📋 Detalle Diario'!$E$5:$E$489, '📋 Detalle Diario'!$B$5:$B$489, B114, '📋 Detalle Diario'!$C$5:$C$489, C114)*135)+(SUMIFS('📋 Detalle Diario'!$I$5:$I$489, '📋 Detalle Diario'!$B$5:$B$489, B114, '📋 Detalle Diario'!$C$5:$C$489, C114)*200))</f>
        <v/>
      </c>
      <c r="R114" s="20" t="str">
        <f t="shared" si="17"/>
        <v/>
      </c>
    </row>
    <row r="115" spans="2:18" ht="18" customHeight="1" x14ac:dyDescent="0.25">
      <c r="B115" s="24"/>
      <c r="C115" s="25"/>
      <c r="D115" s="18" t="str">
        <f>IF(B115="","",SUMIFS('📈 Datos Completos'!$E$7:$E$5000, '📈 Datos Completos'!$B$7:$B$5000, B115, '📈 Datos Completos'!$D$7:$D$5000, C115))</f>
        <v/>
      </c>
      <c r="E115" s="18" t="str">
        <f>IF(B115="","",SUMIFS('📈 Datos Completos'!$F$7:$F$5000, '📈 Datos Completos'!$B$7:$B$5000, B115, '📈 Datos Completos'!$D$7:$D$5000, C115))</f>
        <v/>
      </c>
      <c r="F115" s="18" t="str">
        <f>IF(B115="","",SUMIFS('📈 Datos Completos'!$G$7:$G$5000, '📈 Datos Completos'!$B$7:$B$5000, B115, '📈 Datos Completos'!$D$7:$D$5000, C115))</f>
        <v/>
      </c>
      <c r="G115" s="18" t="str">
        <f t="shared" si="9"/>
        <v/>
      </c>
      <c r="H115" s="19" t="str">
        <f>IF(B115="","",SUMIFS('📈 Datos Completos'!$I$7:$I$5000, '📈 Datos Completos'!$B$7:$B$5000, B115, '📈 Datos Completos'!$D$7:$D$5000, C115))</f>
        <v/>
      </c>
      <c r="I115" s="19" t="str">
        <f t="shared" si="10"/>
        <v/>
      </c>
      <c r="J115" s="19" t="str">
        <f t="shared" si="11"/>
        <v/>
      </c>
      <c r="K115" s="19" t="str">
        <f>IF(B115="","",IF(C115="DIA", (SUMIFS('📋 Detalle Diario'!$D$5:$D$489, '📋 Detalle Diario'!$B$5:$B$489, B115, '📋 Detalle Diario'!$C$5:$C$489, C115) * '⚙️ Supuestos'!$C$24) + '⚙️ Supuestos'!$C$23, (SUMIFS('📋 Detalle Diario'!$D$5:$D$489, '📋 Detalle Diario'!$B$5:$B$489, B115, '📋 Detalle Diario'!$C$5:$C$489, C115) * '⚙️ Supuestos'!$C$24) + '⚙️ Supuestos'!$C$33))</f>
        <v/>
      </c>
      <c r="L115" s="19" t="str">
        <f t="shared" si="12"/>
        <v/>
      </c>
      <c r="M115" s="20" t="str">
        <f t="shared" si="13"/>
        <v/>
      </c>
      <c r="N115" s="19" t="str">
        <f t="shared" si="14"/>
        <v/>
      </c>
      <c r="O115" s="25" t="str">
        <f t="shared" si="15"/>
        <v/>
      </c>
      <c r="P115" s="19" t="str">
        <f t="shared" si="16"/>
        <v/>
      </c>
      <c r="Q115" s="19" t="str">
        <f>IF(B115="","",J115-P115+(SUMIFS('📋 Detalle Diario'!$E$5:$E$489, '📋 Detalle Diario'!$B$5:$B$489, B115, '📋 Detalle Diario'!$C$5:$C$489, C115)*135)+(SUMIFS('📋 Detalle Diario'!$I$5:$I$489, '📋 Detalle Diario'!$B$5:$B$489, B115, '📋 Detalle Diario'!$C$5:$C$489, C115)*200))</f>
        <v/>
      </c>
      <c r="R115" s="20" t="str">
        <f t="shared" si="17"/>
        <v/>
      </c>
    </row>
    <row r="116" spans="2:18" ht="18" customHeight="1" x14ac:dyDescent="0.25">
      <c r="B116" s="26"/>
      <c r="C116" s="27"/>
      <c r="D116" s="18" t="str">
        <f>IF(B116="","",SUMIFS('📈 Datos Completos'!$E$7:$E$5000, '📈 Datos Completos'!$B$7:$B$5000, B116, '📈 Datos Completos'!$D$7:$D$5000, C116))</f>
        <v/>
      </c>
      <c r="E116" s="18" t="str">
        <f>IF(B116="","",SUMIFS('📈 Datos Completos'!$F$7:$F$5000, '📈 Datos Completos'!$B$7:$B$5000, B116, '📈 Datos Completos'!$D$7:$D$5000, C116))</f>
        <v/>
      </c>
      <c r="F116" s="18" t="str">
        <f>IF(B116="","",SUMIFS('📈 Datos Completos'!$G$7:$G$5000, '📈 Datos Completos'!$B$7:$B$5000, B116, '📈 Datos Completos'!$D$7:$D$5000, C116))</f>
        <v/>
      </c>
      <c r="G116" s="18" t="str">
        <f t="shared" si="9"/>
        <v/>
      </c>
      <c r="H116" s="19" t="str">
        <f>IF(B116="","",SUMIFS('📈 Datos Completos'!$I$7:$I$5000, '📈 Datos Completos'!$B$7:$B$5000, B116, '📈 Datos Completos'!$D$7:$D$5000, C116))</f>
        <v/>
      </c>
      <c r="I116" s="19" t="str">
        <f t="shared" si="10"/>
        <v/>
      </c>
      <c r="J116" s="19" t="str">
        <f t="shared" si="11"/>
        <v/>
      </c>
      <c r="K116" s="19" t="str">
        <f>IF(B116="","",IF(C116="DIA", (SUMIFS('📋 Detalle Diario'!$D$5:$D$489, '📋 Detalle Diario'!$B$5:$B$489, B116, '📋 Detalle Diario'!$C$5:$C$489, C116) * '⚙️ Supuestos'!$C$24) + '⚙️ Supuestos'!$C$23, (SUMIFS('📋 Detalle Diario'!$D$5:$D$489, '📋 Detalle Diario'!$B$5:$B$489, B116, '📋 Detalle Diario'!$C$5:$C$489, C116) * '⚙️ Supuestos'!$C$24) + '⚙️ Supuestos'!$C$33))</f>
        <v/>
      </c>
      <c r="L116" s="19" t="str">
        <f t="shared" si="12"/>
        <v/>
      </c>
      <c r="M116" s="20" t="str">
        <f t="shared" si="13"/>
        <v/>
      </c>
      <c r="N116" s="19" t="str">
        <f t="shared" si="14"/>
        <v/>
      </c>
      <c r="O116" s="27" t="str">
        <f t="shared" si="15"/>
        <v/>
      </c>
      <c r="P116" s="19" t="str">
        <f t="shared" si="16"/>
        <v/>
      </c>
      <c r="Q116" s="19" t="str">
        <f>IF(B116="","",J116-P116+(SUMIFS('📋 Detalle Diario'!$E$5:$E$489, '📋 Detalle Diario'!$B$5:$B$489, B116, '📋 Detalle Diario'!$C$5:$C$489, C116)*135)+(SUMIFS('📋 Detalle Diario'!$I$5:$I$489, '📋 Detalle Diario'!$B$5:$B$489, B116, '📋 Detalle Diario'!$C$5:$C$489, C116)*200))</f>
        <v/>
      </c>
      <c r="R116" s="20" t="str">
        <f t="shared" si="17"/>
        <v/>
      </c>
    </row>
    <row r="117" spans="2:18" ht="18" customHeight="1" x14ac:dyDescent="0.25">
      <c r="B117" s="24"/>
      <c r="C117" s="25"/>
      <c r="D117" s="18" t="str">
        <f>IF(B117="","",SUMIFS('📈 Datos Completos'!$E$7:$E$5000, '📈 Datos Completos'!$B$7:$B$5000, B117, '📈 Datos Completos'!$D$7:$D$5000, C117))</f>
        <v/>
      </c>
      <c r="E117" s="18" t="str">
        <f>IF(B117="","",SUMIFS('📈 Datos Completos'!$F$7:$F$5000, '📈 Datos Completos'!$B$7:$B$5000, B117, '📈 Datos Completos'!$D$7:$D$5000, C117))</f>
        <v/>
      </c>
      <c r="F117" s="18" t="str">
        <f>IF(B117="","",SUMIFS('📈 Datos Completos'!$G$7:$G$5000, '📈 Datos Completos'!$B$7:$B$5000, B117, '📈 Datos Completos'!$D$7:$D$5000, C117))</f>
        <v/>
      </c>
      <c r="G117" s="18" t="str">
        <f t="shared" si="9"/>
        <v/>
      </c>
      <c r="H117" s="19" t="str">
        <f>IF(B117="","",SUMIFS('📈 Datos Completos'!$I$7:$I$5000, '📈 Datos Completos'!$B$7:$B$5000, B117, '📈 Datos Completos'!$D$7:$D$5000, C117))</f>
        <v/>
      </c>
      <c r="I117" s="19" t="str">
        <f t="shared" si="10"/>
        <v/>
      </c>
      <c r="J117" s="19" t="str">
        <f t="shared" si="11"/>
        <v/>
      </c>
      <c r="K117" s="19" t="str">
        <f>IF(B117="","",IF(C117="DIA", (SUMIFS('📋 Detalle Diario'!$D$5:$D$489, '📋 Detalle Diario'!$B$5:$B$489, B117, '📋 Detalle Diario'!$C$5:$C$489, C117) * '⚙️ Supuestos'!$C$24) + '⚙️ Supuestos'!$C$23, (SUMIFS('📋 Detalle Diario'!$D$5:$D$489, '📋 Detalle Diario'!$B$5:$B$489, B117, '📋 Detalle Diario'!$C$5:$C$489, C117) * '⚙️ Supuestos'!$C$24) + '⚙️ Supuestos'!$C$33))</f>
        <v/>
      </c>
      <c r="L117" s="19" t="str">
        <f t="shared" si="12"/>
        <v/>
      </c>
      <c r="M117" s="20" t="str">
        <f t="shared" si="13"/>
        <v/>
      </c>
      <c r="N117" s="19" t="str">
        <f t="shared" si="14"/>
        <v/>
      </c>
      <c r="O117" s="25" t="str">
        <f t="shared" si="15"/>
        <v/>
      </c>
      <c r="P117" s="19" t="str">
        <f t="shared" si="16"/>
        <v/>
      </c>
      <c r="Q117" s="19" t="str">
        <f>IF(B117="","",J117-P117+(SUMIFS('📋 Detalle Diario'!$E$5:$E$489, '📋 Detalle Diario'!$B$5:$B$489, B117, '📋 Detalle Diario'!$C$5:$C$489, C117)*135)+(SUMIFS('📋 Detalle Diario'!$I$5:$I$489, '📋 Detalle Diario'!$B$5:$B$489, B117, '📋 Detalle Diario'!$C$5:$C$489, C117)*200))</f>
        <v/>
      </c>
      <c r="R117" s="20" t="str">
        <f t="shared" si="17"/>
        <v/>
      </c>
    </row>
    <row r="118" spans="2:18" ht="18" customHeight="1" x14ac:dyDescent="0.25">
      <c r="B118" s="26"/>
      <c r="C118" s="27"/>
      <c r="D118" s="18" t="str">
        <f>IF(B118="","",SUMIFS('📈 Datos Completos'!$E$7:$E$5000, '📈 Datos Completos'!$B$7:$B$5000, B118, '📈 Datos Completos'!$D$7:$D$5000, C118))</f>
        <v/>
      </c>
      <c r="E118" s="18" t="str">
        <f>IF(B118="","",SUMIFS('📈 Datos Completos'!$F$7:$F$5000, '📈 Datos Completos'!$B$7:$B$5000, B118, '📈 Datos Completos'!$D$7:$D$5000, C118))</f>
        <v/>
      </c>
      <c r="F118" s="18" t="str">
        <f>IF(B118="","",SUMIFS('📈 Datos Completos'!$G$7:$G$5000, '📈 Datos Completos'!$B$7:$B$5000, B118, '📈 Datos Completos'!$D$7:$D$5000, C118))</f>
        <v/>
      </c>
      <c r="G118" s="18" t="str">
        <f t="shared" si="9"/>
        <v/>
      </c>
      <c r="H118" s="19" t="str">
        <f>IF(B118="","",SUMIFS('📈 Datos Completos'!$I$7:$I$5000, '📈 Datos Completos'!$B$7:$B$5000, B118, '📈 Datos Completos'!$D$7:$D$5000, C118))</f>
        <v/>
      </c>
      <c r="I118" s="19" t="str">
        <f t="shared" si="10"/>
        <v/>
      </c>
      <c r="J118" s="19" t="str">
        <f t="shared" si="11"/>
        <v/>
      </c>
      <c r="K118" s="19" t="str">
        <f>IF(B118="","",IF(C118="DIA", (SUMIFS('📋 Detalle Diario'!$D$5:$D$489, '📋 Detalle Diario'!$B$5:$B$489, B118, '📋 Detalle Diario'!$C$5:$C$489, C118) * '⚙️ Supuestos'!$C$24) + '⚙️ Supuestos'!$C$23, (SUMIFS('📋 Detalle Diario'!$D$5:$D$489, '📋 Detalle Diario'!$B$5:$B$489, B118, '📋 Detalle Diario'!$C$5:$C$489, C118) * '⚙️ Supuestos'!$C$24) + '⚙️ Supuestos'!$C$33))</f>
        <v/>
      </c>
      <c r="L118" s="19" t="str">
        <f t="shared" si="12"/>
        <v/>
      </c>
      <c r="M118" s="20" t="str">
        <f t="shared" si="13"/>
        <v/>
      </c>
      <c r="N118" s="19" t="str">
        <f t="shared" si="14"/>
        <v/>
      </c>
      <c r="O118" s="27" t="str">
        <f t="shared" si="15"/>
        <v/>
      </c>
      <c r="P118" s="19" t="str">
        <f t="shared" si="16"/>
        <v/>
      </c>
      <c r="Q118" s="19" t="str">
        <f>IF(B118="","",J118-P118+(SUMIFS('📋 Detalle Diario'!$E$5:$E$489, '📋 Detalle Diario'!$B$5:$B$489, B118, '📋 Detalle Diario'!$C$5:$C$489, C118)*135)+(SUMIFS('📋 Detalle Diario'!$I$5:$I$489, '📋 Detalle Diario'!$B$5:$B$489, B118, '📋 Detalle Diario'!$C$5:$C$489, C118)*200))</f>
        <v/>
      </c>
      <c r="R118" s="20" t="str">
        <f t="shared" si="17"/>
        <v/>
      </c>
    </row>
    <row r="119" spans="2:18" ht="18" customHeight="1" x14ac:dyDescent="0.25">
      <c r="B119" s="24"/>
      <c r="C119" s="25"/>
      <c r="D119" s="18" t="str">
        <f>IF(B119="","",SUMIFS('📈 Datos Completos'!$E$7:$E$5000, '📈 Datos Completos'!$B$7:$B$5000, B119, '📈 Datos Completos'!$D$7:$D$5000, C119))</f>
        <v/>
      </c>
      <c r="E119" s="18" t="str">
        <f>IF(B119="","",SUMIFS('📈 Datos Completos'!$F$7:$F$5000, '📈 Datos Completos'!$B$7:$B$5000, B119, '📈 Datos Completos'!$D$7:$D$5000, C119))</f>
        <v/>
      </c>
      <c r="F119" s="18" t="str">
        <f>IF(B119="","",SUMIFS('📈 Datos Completos'!$G$7:$G$5000, '📈 Datos Completos'!$B$7:$B$5000, B119, '📈 Datos Completos'!$D$7:$D$5000, C119))</f>
        <v/>
      </c>
      <c r="G119" s="18" t="str">
        <f t="shared" si="9"/>
        <v/>
      </c>
      <c r="H119" s="19" t="str">
        <f>IF(B119="","",SUMIFS('📈 Datos Completos'!$I$7:$I$5000, '📈 Datos Completos'!$B$7:$B$5000, B119, '📈 Datos Completos'!$D$7:$D$5000, C119))</f>
        <v/>
      </c>
      <c r="I119" s="19" t="str">
        <f t="shared" si="10"/>
        <v/>
      </c>
      <c r="J119" s="19" t="str">
        <f t="shared" si="11"/>
        <v/>
      </c>
      <c r="K119" s="19" t="str">
        <f>IF(B119="","",IF(C119="DIA", (SUMIFS('📋 Detalle Diario'!$D$5:$D$489, '📋 Detalle Diario'!$B$5:$B$489, B119, '📋 Detalle Diario'!$C$5:$C$489, C119) * '⚙️ Supuestos'!$C$24) + '⚙️ Supuestos'!$C$23, (SUMIFS('📋 Detalle Diario'!$D$5:$D$489, '📋 Detalle Diario'!$B$5:$B$489, B119, '📋 Detalle Diario'!$C$5:$C$489, C119) * '⚙️ Supuestos'!$C$24) + '⚙️ Supuestos'!$C$33))</f>
        <v/>
      </c>
      <c r="L119" s="19" t="str">
        <f t="shared" si="12"/>
        <v/>
      </c>
      <c r="M119" s="20" t="str">
        <f t="shared" si="13"/>
        <v/>
      </c>
      <c r="N119" s="19" t="str">
        <f t="shared" si="14"/>
        <v/>
      </c>
      <c r="O119" s="25" t="str">
        <f t="shared" si="15"/>
        <v/>
      </c>
      <c r="P119" s="19" t="str">
        <f t="shared" si="16"/>
        <v/>
      </c>
      <c r="Q119" s="19" t="str">
        <f>IF(B119="","",J119-P119+(SUMIFS('📋 Detalle Diario'!$E$5:$E$489, '📋 Detalle Diario'!$B$5:$B$489, B119, '📋 Detalle Diario'!$C$5:$C$489, C119)*135)+(SUMIFS('📋 Detalle Diario'!$I$5:$I$489, '📋 Detalle Diario'!$B$5:$B$489, B119, '📋 Detalle Diario'!$C$5:$C$489, C119)*200))</f>
        <v/>
      </c>
      <c r="R119" s="20" t="str">
        <f t="shared" si="17"/>
        <v/>
      </c>
    </row>
    <row r="120" spans="2:18" ht="18" customHeight="1" x14ac:dyDescent="0.25">
      <c r="B120" s="26"/>
      <c r="C120" s="27"/>
      <c r="D120" s="18" t="str">
        <f>IF(B120="","",SUMIFS('📈 Datos Completos'!$E$7:$E$5000, '📈 Datos Completos'!$B$7:$B$5000, B120, '📈 Datos Completos'!$D$7:$D$5000, C120))</f>
        <v/>
      </c>
      <c r="E120" s="18" t="str">
        <f>IF(B120="","",SUMIFS('📈 Datos Completos'!$F$7:$F$5000, '📈 Datos Completos'!$B$7:$B$5000, B120, '📈 Datos Completos'!$D$7:$D$5000, C120))</f>
        <v/>
      </c>
      <c r="F120" s="18" t="str">
        <f>IF(B120="","",SUMIFS('📈 Datos Completos'!$G$7:$G$5000, '📈 Datos Completos'!$B$7:$B$5000, B120, '📈 Datos Completos'!$D$7:$D$5000, C120))</f>
        <v/>
      </c>
      <c r="G120" s="18" t="str">
        <f t="shared" si="9"/>
        <v/>
      </c>
      <c r="H120" s="19" t="str">
        <f>IF(B120="","",SUMIFS('📈 Datos Completos'!$I$7:$I$5000, '📈 Datos Completos'!$B$7:$B$5000, B120, '📈 Datos Completos'!$D$7:$D$5000, C120))</f>
        <v/>
      </c>
      <c r="I120" s="19" t="str">
        <f t="shared" si="10"/>
        <v/>
      </c>
      <c r="J120" s="19" t="str">
        <f t="shared" si="11"/>
        <v/>
      </c>
      <c r="K120" s="19" t="str">
        <f>IF(B120="","",IF(C120="DIA", (SUMIFS('📋 Detalle Diario'!$D$5:$D$489, '📋 Detalle Diario'!$B$5:$B$489, B120, '📋 Detalle Diario'!$C$5:$C$489, C120) * '⚙️ Supuestos'!$C$24) + '⚙️ Supuestos'!$C$23, (SUMIFS('📋 Detalle Diario'!$D$5:$D$489, '📋 Detalle Diario'!$B$5:$B$489, B120, '📋 Detalle Diario'!$C$5:$C$489, C120) * '⚙️ Supuestos'!$C$24) + '⚙️ Supuestos'!$C$33))</f>
        <v/>
      </c>
      <c r="L120" s="19" t="str">
        <f t="shared" si="12"/>
        <v/>
      </c>
      <c r="M120" s="20" t="str">
        <f t="shared" si="13"/>
        <v/>
      </c>
      <c r="N120" s="19" t="str">
        <f t="shared" si="14"/>
        <v/>
      </c>
      <c r="O120" s="27" t="str">
        <f t="shared" si="15"/>
        <v/>
      </c>
      <c r="P120" s="19" t="str">
        <f t="shared" si="16"/>
        <v/>
      </c>
      <c r="Q120" s="19" t="str">
        <f>IF(B120="","",J120-P120+(SUMIFS('📋 Detalle Diario'!$E$5:$E$489, '📋 Detalle Diario'!$B$5:$B$489, B120, '📋 Detalle Diario'!$C$5:$C$489, C120)*135)+(SUMIFS('📋 Detalle Diario'!$I$5:$I$489, '📋 Detalle Diario'!$B$5:$B$489, B120, '📋 Detalle Diario'!$C$5:$C$489, C120)*200))</f>
        <v/>
      </c>
      <c r="R120" s="20" t="str">
        <f t="shared" si="17"/>
        <v/>
      </c>
    </row>
    <row r="121" spans="2:18" ht="18" customHeight="1" x14ac:dyDescent="0.25">
      <c r="B121" s="24"/>
      <c r="C121" s="25"/>
      <c r="D121" s="18" t="str">
        <f>IF(B121="","",SUMIFS('📈 Datos Completos'!$E$7:$E$5000, '📈 Datos Completos'!$B$7:$B$5000, B121, '📈 Datos Completos'!$D$7:$D$5000, C121))</f>
        <v/>
      </c>
      <c r="E121" s="18" t="str">
        <f>IF(B121="","",SUMIFS('📈 Datos Completos'!$F$7:$F$5000, '📈 Datos Completos'!$B$7:$B$5000, B121, '📈 Datos Completos'!$D$7:$D$5000, C121))</f>
        <v/>
      </c>
      <c r="F121" s="18" t="str">
        <f>IF(B121="","",SUMIFS('📈 Datos Completos'!$G$7:$G$5000, '📈 Datos Completos'!$B$7:$B$5000, B121, '📈 Datos Completos'!$D$7:$D$5000, C121))</f>
        <v/>
      </c>
      <c r="G121" s="18" t="str">
        <f t="shared" si="9"/>
        <v/>
      </c>
      <c r="H121" s="19" t="str">
        <f>IF(B121="","",SUMIFS('📈 Datos Completos'!$I$7:$I$5000, '📈 Datos Completos'!$B$7:$B$5000, B121, '📈 Datos Completos'!$D$7:$D$5000, C121))</f>
        <v/>
      </c>
      <c r="I121" s="19" t="str">
        <f t="shared" si="10"/>
        <v/>
      </c>
      <c r="J121" s="19" t="str">
        <f t="shared" si="11"/>
        <v/>
      </c>
      <c r="K121" s="19" t="str">
        <f>IF(B121="","",IF(C121="DIA", (SUMIFS('📋 Detalle Diario'!$D$5:$D$489, '📋 Detalle Diario'!$B$5:$B$489, B121, '📋 Detalle Diario'!$C$5:$C$489, C121) * '⚙️ Supuestos'!$C$24) + '⚙️ Supuestos'!$C$23, (SUMIFS('📋 Detalle Diario'!$D$5:$D$489, '📋 Detalle Diario'!$B$5:$B$489, B121, '📋 Detalle Diario'!$C$5:$C$489, C121) * '⚙️ Supuestos'!$C$24) + '⚙️ Supuestos'!$C$33))</f>
        <v/>
      </c>
      <c r="L121" s="19" t="str">
        <f t="shared" si="12"/>
        <v/>
      </c>
      <c r="M121" s="20" t="str">
        <f t="shared" si="13"/>
        <v/>
      </c>
      <c r="N121" s="19" t="str">
        <f t="shared" si="14"/>
        <v/>
      </c>
      <c r="O121" s="25" t="str">
        <f t="shared" si="15"/>
        <v/>
      </c>
      <c r="P121" s="19" t="str">
        <f t="shared" si="16"/>
        <v/>
      </c>
      <c r="Q121" s="19" t="str">
        <f>IF(B121="","",J121-P121+(SUMIFS('📋 Detalle Diario'!$E$5:$E$489, '📋 Detalle Diario'!$B$5:$B$489, B121, '📋 Detalle Diario'!$C$5:$C$489, C121)*135)+(SUMIFS('📋 Detalle Diario'!$I$5:$I$489, '📋 Detalle Diario'!$B$5:$B$489, B121, '📋 Detalle Diario'!$C$5:$C$489, C121)*200))</f>
        <v/>
      </c>
      <c r="R121" s="20" t="str">
        <f t="shared" si="17"/>
        <v/>
      </c>
    </row>
    <row r="122" spans="2:18" ht="18" customHeight="1" x14ac:dyDescent="0.25">
      <c r="B122" s="26"/>
      <c r="C122" s="27"/>
      <c r="D122" s="18" t="str">
        <f>IF(B122="","",SUMIFS('📈 Datos Completos'!$E$7:$E$5000, '📈 Datos Completos'!$B$7:$B$5000, B122, '📈 Datos Completos'!$D$7:$D$5000, C122))</f>
        <v/>
      </c>
      <c r="E122" s="18" t="str">
        <f>IF(B122="","",SUMIFS('📈 Datos Completos'!$F$7:$F$5000, '📈 Datos Completos'!$B$7:$B$5000, B122, '📈 Datos Completos'!$D$7:$D$5000, C122))</f>
        <v/>
      </c>
      <c r="F122" s="18" t="str">
        <f>IF(B122="","",SUMIFS('📈 Datos Completos'!$G$7:$G$5000, '📈 Datos Completos'!$B$7:$B$5000, B122, '📈 Datos Completos'!$D$7:$D$5000, C122))</f>
        <v/>
      </c>
      <c r="G122" s="18" t="str">
        <f t="shared" si="9"/>
        <v/>
      </c>
      <c r="H122" s="19" t="str">
        <f>IF(B122="","",SUMIFS('📈 Datos Completos'!$I$7:$I$5000, '📈 Datos Completos'!$B$7:$B$5000, B122, '📈 Datos Completos'!$D$7:$D$5000, C122))</f>
        <v/>
      </c>
      <c r="I122" s="19" t="str">
        <f t="shared" si="10"/>
        <v/>
      </c>
      <c r="J122" s="19" t="str">
        <f t="shared" si="11"/>
        <v/>
      </c>
      <c r="K122" s="19" t="str">
        <f>IF(B122="","",IF(C122="DIA", (SUMIFS('📋 Detalle Diario'!$D$5:$D$489, '📋 Detalle Diario'!$B$5:$B$489, B122, '📋 Detalle Diario'!$C$5:$C$489, C122) * '⚙️ Supuestos'!$C$24) + '⚙️ Supuestos'!$C$23, (SUMIFS('📋 Detalle Diario'!$D$5:$D$489, '📋 Detalle Diario'!$B$5:$B$489, B122, '📋 Detalle Diario'!$C$5:$C$489, C122) * '⚙️ Supuestos'!$C$24) + '⚙️ Supuestos'!$C$33))</f>
        <v/>
      </c>
      <c r="L122" s="19" t="str">
        <f t="shared" si="12"/>
        <v/>
      </c>
      <c r="M122" s="20" t="str">
        <f t="shared" si="13"/>
        <v/>
      </c>
      <c r="N122" s="19" t="str">
        <f t="shared" si="14"/>
        <v/>
      </c>
      <c r="O122" s="27" t="str">
        <f t="shared" si="15"/>
        <v/>
      </c>
      <c r="P122" s="19" t="str">
        <f t="shared" si="16"/>
        <v/>
      </c>
      <c r="Q122" s="19" t="str">
        <f>IF(B122="","",J122-P122+(SUMIFS('📋 Detalle Diario'!$E$5:$E$489, '📋 Detalle Diario'!$B$5:$B$489, B122, '📋 Detalle Diario'!$C$5:$C$489, C122)*135)+(SUMIFS('📋 Detalle Diario'!$I$5:$I$489, '📋 Detalle Diario'!$B$5:$B$489, B122, '📋 Detalle Diario'!$C$5:$C$489, C122)*200))</f>
        <v/>
      </c>
      <c r="R122" s="20" t="str">
        <f t="shared" si="17"/>
        <v/>
      </c>
    </row>
    <row r="123" spans="2:18" ht="18" customHeight="1" x14ac:dyDescent="0.25">
      <c r="B123" s="24"/>
      <c r="C123" s="25"/>
      <c r="D123" s="18" t="str">
        <f>IF(B123="","",SUMIFS('📈 Datos Completos'!$E$7:$E$5000, '📈 Datos Completos'!$B$7:$B$5000, B123, '📈 Datos Completos'!$D$7:$D$5000, C123))</f>
        <v/>
      </c>
      <c r="E123" s="18" t="str">
        <f>IF(B123="","",SUMIFS('📈 Datos Completos'!$F$7:$F$5000, '📈 Datos Completos'!$B$7:$B$5000, B123, '📈 Datos Completos'!$D$7:$D$5000, C123))</f>
        <v/>
      </c>
      <c r="F123" s="18" t="str">
        <f>IF(B123="","",SUMIFS('📈 Datos Completos'!$G$7:$G$5000, '📈 Datos Completos'!$B$7:$B$5000, B123, '📈 Datos Completos'!$D$7:$D$5000, C123))</f>
        <v/>
      </c>
      <c r="G123" s="18" t="str">
        <f t="shared" si="9"/>
        <v/>
      </c>
      <c r="H123" s="19" t="str">
        <f>IF(B123="","",SUMIFS('📈 Datos Completos'!$I$7:$I$5000, '📈 Datos Completos'!$B$7:$B$5000, B123, '📈 Datos Completos'!$D$7:$D$5000, C123))</f>
        <v/>
      </c>
      <c r="I123" s="19" t="str">
        <f t="shared" si="10"/>
        <v/>
      </c>
      <c r="J123" s="19" t="str">
        <f t="shared" si="11"/>
        <v/>
      </c>
      <c r="K123" s="19" t="str">
        <f>IF(B123="","",IF(C123="DIA", (SUMIFS('📋 Detalle Diario'!$D$5:$D$489, '📋 Detalle Diario'!$B$5:$B$489, B123, '📋 Detalle Diario'!$C$5:$C$489, C123) * '⚙️ Supuestos'!$C$24) + '⚙️ Supuestos'!$C$23, (SUMIFS('📋 Detalle Diario'!$D$5:$D$489, '📋 Detalle Diario'!$B$5:$B$489, B123, '📋 Detalle Diario'!$C$5:$C$489, C123) * '⚙️ Supuestos'!$C$24) + '⚙️ Supuestos'!$C$33))</f>
        <v/>
      </c>
      <c r="L123" s="19" t="str">
        <f t="shared" si="12"/>
        <v/>
      </c>
      <c r="M123" s="20" t="str">
        <f t="shared" si="13"/>
        <v/>
      </c>
      <c r="N123" s="19" t="str">
        <f t="shared" si="14"/>
        <v/>
      </c>
      <c r="O123" s="25" t="str">
        <f t="shared" si="15"/>
        <v/>
      </c>
      <c r="P123" s="19" t="str">
        <f t="shared" si="16"/>
        <v/>
      </c>
      <c r="Q123" s="19" t="str">
        <f>IF(B123="","",J123-P123+(SUMIFS('📋 Detalle Diario'!$E$5:$E$489, '📋 Detalle Diario'!$B$5:$B$489, B123, '📋 Detalle Diario'!$C$5:$C$489, C123)*135)+(SUMIFS('📋 Detalle Diario'!$I$5:$I$489, '📋 Detalle Diario'!$B$5:$B$489, B123, '📋 Detalle Diario'!$C$5:$C$489, C123)*200))</f>
        <v/>
      </c>
      <c r="R123" s="20" t="str">
        <f t="shared" si="17"/>
        <v/>
      </c>
    </row>
    <row r="124" spans="2:18" ht="18" customHeight="1" x14ac:dyDescent="0.25">
      <c r="B124" s="26"/>
      <c r="C124" s="27"/>
      <c r="D124" s="18" t="str">
        <f>IF(B124="","",SUMIFS('📈 Datos Completos'!$E$7:$E$5000, '📈 Datos Completos'!$B$7:$B$5000, B124, '📈 Datos Completos'!$D$7:$D$5000, C124))</f>
        <v/>
      </c>
      <c r="E124" s="18" t="str">
        <f>IF(B124="","",SUMIFS('📈 Datos Completos'!$F$7:$F$5000, '📈 Datos Completos'!$B$7:$B$5000, B124, '📈 Datos Completos'!$D$7:$D$5000, C124))</f>
        <v/>
      </c>
      <c r="F124" s="18" t="str">
        <f>IF(B124="","",SUMIFS('📈 Datos Completos'!$G$7:$G$5000, '📈 Datos Completos'!$B$7:$B$5000, B124, '📈 Datos Completos'!$D$7:$D$5000, C124))</f>
        <v/>
      </c>
      <c r="G124" s="18" t="str">
        <f t="shared" si="9"/>
        <v/>
      </c>
      <c r="H124" s="19" t="str">
        <f>IF(B124="","",SUMIFS('📈 Datos Completos'!$I$7:$I$5000, '📈 Datos Completos'!$B$7:$B$5000, B124, '📈 Datos Completos'!$D$7:$D$5000, C124))</f>
        <v/>
      </c>
      <c r="I124" s="19" t="str">
        <f t="shared" si="10"/>
        <v/>
      </c>
      <c r="J124" s="19" t="str">
        <f t="shared" si="11"/>
        <v/>
      </c>
      <c r="K124" s="19" t="str">
        <f>IF(B124="","",IF(C124="DIA", (SUMIFS('📋 Detalle Diario'!$D$5:$D$489, '📋 Detalle Diario'!$B$5:$B$489, B124, '📋 Detalle Diario'!$C$5:$C$489, C124) * '⚙️ Supuestos'!$C$24) + '⚙️ Supuestos'!$C$23, (SUMIFS('📋 Detalle Diario'!$D$5:$D$489, '📋 Detalle Diario'!$B$5:$B$489, B124, '📋 Detalle Diario'!$C$5:$C$489, C124) * '⚙️ Supuestos'!$C$24) + '⚙️ Supuestos'!$C$33))</f>
        <v/>
      </c>
      <c r="L124" s="19" t="str">
        <f t="shared" si="12"/>
        <v/>
      </c>
      <c r="M124" s="20" t="str">
        <f t="shared" si="13"/>
        <v/>
      </c>
      <c r="N124" s="19" t="str">
        <f t="shared" si="14"/>
        <v/>
      </c>
      <c r="O124" s="27" t="str">
        <f t="shared" si="15"/>
        <v/>
      </c>
      <c r="P124" s="19" t="str">
        <f t="shared" si="16"/>
        <v/>
      </c>
      <c r="Q124" s="19" t="str">
        <f>IF(B124="","",J124-P124+(SUMIFS('📋 Detalle Diario'!$E$5:$E$489, '📋 Detalle Diario'!$B$5:$B$489, B124, '📋 Detalle Diario'!$C$5:$C$489, C124)*135)+(SUMIFS('📋 Detalle Diario'!$I$5:$I$489, '📋 Detalle Diario'!$B$5:$B$489, B124, '📋 Detalle Diario'!$C$5:$C$489, C124)*200))</f>
        <v/>
      </c>
      <c r="R124" s="20" t="str">
        <f t="shared" si="17"/>
        <v/>
      </c>
    </row>
    <row r="125" spans="2:18" ht="18" customHeight="1" x14ac:dyDescent="0.3">
      <c r="B125" s="24"/>
      <c r="C125" s="25"/>
      <c r="D125" s="18" t="str">
        <f>IF(B125="","",SUMIFS('📈 Datos Completos'!$E$7:$E$5000, '📈 Datos Completos'!$B$7:$B$5000, B125, '📈 Datos Completos'!$D$7:$D$5000, C125))</f>
        <v/>
      </c>
      <c r="E125" s="18" t="str">
        <f>IF(B125="","",SUMIFS('📈 Datos Completos'!$F$7:$F$5000, '📈 Datos Completos'!$B$7:$B$5000, B125, '📈 Datos Completos'!$D$7:$D$5000, C125))</f>
        <v/>
      </c>
      <c r="F125" s="18" t="str">
        <f>IF(B125="","",SUMIFS('📈 Datos Completos'!$G$7:$G$5000, '📈 Datos Completos'!$B$7:$B$5000, B125, '📈 Datos Completos'!$D$7:$D$5000, C125))</f>
        <v/>
      </c>
      <c r="G125" s="18" t="str">
        <f t="shared" si="9"/>
        <v/>
      </c>
      <c r="H125" s="19" t="str">
        <f>IF(B125="","",SUMIFS('📈 Datos Completos'!$I$7:$I$5000, '📈 Datos Completos'!$B$7:$B$5000, B125, '📈 Datos Completos'!$D$7:$D$5000, C125))</f>
        <v/>
      </c>
      <c r="I125" s="19" t="str">
        <f t="shared" si="10"/>
        <v/>
      </c>
      <c r="J125" s="19" t="str">
        <f t="shared" si="11"/>
        <v/>
      </c>
      <c r="K125" s="19" t="str">
        <f>IF(B125="","",IF(C125="DIA", (SUMIFS('📋 Detalle Diario'!$D$5:$D$489, '📋 Detalle Diario'!$B$5:$B$489, B125, '📋 Detalle Diario'!$C$5:$C$489, C125) * '⚙️ Supuestos'!$C$24) + '⚙️ Supuestos'!$C$23, (SUMIFS('📋 Detalle Diario'!$D$5:$D$489, '📋 Detalle Diario'!$B$5:$B$489, B125, '📋 Detalle Diario'!$C$5:$C$489, C125) * '⚙️ Supuestos'!$C$24) + '⚙️ Supuestos'!$C$33))</f>
        <v/>
      </c>
      <c r="L125" s="19" t="str">
        <f t="shared" si="12"/>
        <v/>
      </c>
      <c r="M125" s="20" t="str">
        <f t="shared" si="13"/>
        <v/>
      </c>
      <c r="N125" s="19" t="str">
        <f t="shared" si="14"/>
        <v/>
      </c>
      <c r="O125" s="25" t="str">
        <f t="shared" si="15"/>
        <v/>
      </c>
      <c r="P125" s="19" t="str">
        <f t="shared" si="16"/>
        <v/>
      </c>
      <c r="Q125" s="19" t="str">
        <f>IF(B125="","",J125-P125+(SUMIFS('📋 Detalle Diario'!$E$5:$E$489, '📋 Detalle Diario'!$B$5:$B$489, B125, '📋 Detalle Diario'!$C$5:$C$489, C125)*135)+(SUMIFS('📋 Detalle Diario'!$I$5:$I$489, '📋 Detalle Diario'!$B$5:$B$489, B125, '📋 Detalle Diario'!$C$5:$C$489, C125)*200))</f>
        <v/>
      </c>
      <c r="R125" s="20" t="str">
        <f t="shared" si="17"/>
        <v/>
      </c>
    </row>
    <row r="126" spans="2:18" ht="18" customHeight="1" x14ac:dyDescent="0.3">
      <c r="B126" s="26"/>
      <c r="C126" s="27"/>
      <c r="D126" s="18" t="str">
        <f>IF(B126="","",SUMIFS('📈 Datos Completos'!$E$7:$E$5000, '📈 Datos Completos'!$B$7:$B$5000, B126, '📈 Datos Completos'!$D$7:$D$5000, C126))</f>
        <v/>
      </c>
      <c r="E126" s="18" t="str">
        <f>IF(B126="","",SUMIFS('📈 Datos Completos'!$F$7:$F$5000, '📈 Datos Completos'!$B$7:$B$5000, B126, '📈 Datos Completos'!$D$7:$D$5000, C126))</f>
        <v/>
      </c>
      <c r="F126" s="18" t="str">
        <f>IF(B126="","",SUMIFS('📈 Datos Completos'!$G$7:$G$5000, '📈 Datos Completos'!$B$7:$B$5000, B126, '📈 Datos Completos'!$D$7:$D$5000, C126))</f>
        <v/>
      </c>
      <c r="G126" s="18" t="str">
        <f t="shared" si="9"/>
        <v/>
      </c>
      <c r="H126" s="19" t="str">
        <f>IF(B126="","",SUMIFS('📈 Datos Completos'!$I$7:$I$5000, '📈 Datos Completos'!$B$7:$B$5000, B126, '📈 Datos Completos'!$D$7:$D$5000, C126))</f>
        <v/>
      </c>
      <c r="I126" s="19" t="str">
        <f t="shared" si="10"/>
        <v/>
      </c>
      <c r="J126" s="19" t="str">
        <f t="shared" si="11"/>
        <v/>
      </c>
      <c r="K126" s="19" t="str">
        <f>IF(B126="","",IF(C126="DIA", (SUMIFS('📋 Detalle Diario'!$D$5:$D$489, '📋 Detalle Diario'!$B$5:$B$489, B126, '📋 Detalle Diario'!$C$5:$C$489, C126) * '⚙️ Supuestos'!$C$24) + '⚙️ Supuestos'!$C$23, (SUMIFS('📋 Detalle Diario'!$D$5:$D$489, '📋 Detalle Diario'!$B$5:$B$489, B126, '📋 Detalle Diario'!$C$5:$C$489, C126) * '⚙️ Supuestos'!$C$24) + '⚙️ Supuestos'!$C$33))</f>
        <v/>
      </c>
      <c r="L126" s="19" t="str">
        <f t="shared" si="12"/>
        <v/>
      </c>
      <c r="M126" s="20" t="str">
        <f t="shared" si="13"/>
        <v/>
      </c>
      <c r="N126" s="19" t="str">
        <f t="shared" si="14"/>
        <v/>
      </c>
      <c r="O126" s="27" t="str">
        <f t="shared" si="15"/>
        <v/>
      </c>
      <c r="P126" s="19" t="str">
        <f t="shared" si="16"/>
        <v/>
      </c>
      <c r="Q126" s="19" t="str">
        <f>IF(B126="","",J126-P126+(SUMIFS('📋 Detalle Diario'!$E$5:$E$489, '📋 Detalle Diario'!$B$5:$B$489, B126, '📋 Detalle Diario'!$C$5:$C$489, C126)*135)+(SUMIFS('📋 Detalle Diario'!$I$5:$I$489, '📋 Detalle Diario'!$B$5:$B$489, B126, '📋 Detalle Diario'!$C$5:$C$489, C126)*200))</f>
        <v/>
      </c>
      <c r="R126" s="20" t="str">
        <f t="shared" si="17"/>
        <v/>
      </c>
    </row>
    <row r="127" spans="2:18" ht="18" customHeight="1" x14ac:dyDescent="0.3">
      <c r="B127" s="24"/>
      <c r="C127" s="25"/>
      <c r="D127" s="18" t="str">
        <f>IF(B127="","",SUMIFS('📈 Datos Completos'!$E$7:$E$5000, '📈 Datos Completos'!$B$7:$B$5000, B127, '📈 Datos Completos'!$D$7:$D$5000, C127))</f>
        <v/>
      </c>
      <c r="E127" s="18" t="str">
        <f>IF(B127="","",SUMIFS('📈 Datos Completos'!$F$7:$F$5000, '📈 Datos Completos'!$B$7:$B$5000, B127, '📈 Datos Completos'!$D$7:$D$5000, C127))</f>
        <v/>
      </c>
      <c r="F127" s="18" t="str">
        <f>IF(B127="","",SUMIFS('📈 Datos Completos'!$G$7:$G$5000, '📈 Datos Completos'!$B$7:$B$5000, B127, '📈 Datos Completos'!$D$7:$D$5000, C127))</f>
        <v/>
      </c>
      <c r="G127" s="18" t="str">
        <f t="shared" si="9"/>
        <v/>
      </c>
      <c r="H127" s="19" t="str">
        <f>IF(B127="","",SUMIFS('📈 Datos Completos'!$I$7:$I$5000, '📈 Datos Completos'!$B$7:$B$5000, B127, '📈 Datos Completos'!$D$7:$D$5000, C127))</f>
        <v/>
      </c>
      <c r="I127" s="19" t="str">
        <f t="shared" si="10"/>
        <v/>
      </c>
      <c r="J127" s="19" t="str">
        <f t="shared" si="11"/>
        <v/>
      </c>
      <c r="K127" s="19" t="str">
        <f>IF(B127="","",IF(C127="DIA", (SUMIFS('📋 Detalle Diario'!$D$5:$D$489, '📋 Detalle Diario'!$B$5:$B$489, B127, '📋 Detalle Diario'!$C$5:$C$489, C127) * '⚙️ Supuestos'!$C$24) + '⚙️ Supuestos'!$C$23, (SUMIFS('📋 Detalle Diario'!$D$5:$D$489, '📋 Detalle Diario'!$B$5:$B$489, B127, '📋 Detalle Diario'!$C$5:$C$489, C127) * '⚙️ Supuestos'!$C$24) + '⚙️ Supuestos'!$C$33))</f>
        <v/>
      </c>
      <c r="L127" s="19" t="str">
        <f t="shared" si="12"/>
        <v/>
      </c>
      <c r="M127" s="20" t="str">
        <f t="shared" si="13"/>
        <v/>
      </c>
      <c r="N127" s="19" t="str">
        <f t="shared" si="14"/>
        <v/>
      </c>
      <c r="O127" s="25" t="str">
        <f t="shared" si="15"/>
        <v/>
      </c>
      <c r="P127" s="19" t="str">
        <f t="shared" si="16"/>
        <v/>
      </c>
      <c r="Q127" s="19" t="str">
        <f>IF(B127="","",J127-P127+(SUMIFS('📋 Detalle Diario'!$E$5:$E$489, '📋 Detalle Diario'!$B$5:$B$489, B127, '📋 Detalle Diario'!$C$5:$C$489, C127)*135)+(SUMIFS('📋 Detalle Diario'!$I$5:$I$489, '📋 Detalle Diario'!$B$5:$B$489, B127, '📋 Detalle Diario'!$C$5:$C$489, C127)*200))</f>
        <v/>
      </c>
      <c r="R127" s="20" t="str">
        <f t="shared" si="17"/>
        <v/>
      </c>
    </row>
    <row r="128" spans="2:18" ht="18" customHeight="1" x14ac:dyDescent="0.3">
      <c r="B128" s="26"/>
      <c r="C128" s="27"/>
      <c r="D128" s="18" t="str">
        <f>IF(B128="","",SUMIFS('📈 Datos Completos'!$E$7:$E$5000, '📈 Datos Completos'!$B$7:$B$5000, B128, '📈 Datos Completos'!$D$7:$D$5000, C128))</f>
        <v/>
      </c>
      <c r="E128" s="18" t="str">
        <f>IF(B128="","",SUMIFS('📈 Datos Completos'!$F$7:$F$5000, '📈 Datos Completos'!$B$7:$B$5000, B128, '📈 Datos Completos'!$D$7:$D$5000, C128))</f>
        <v/>
      </c>
      <c r="F128" s="18" t="str">
        <f>IF(B128="","",SUMIFS('📈 Datos Completos'!$G$7:$G$5000, '📈 Datos Completos'!$B$7:$B$5000, B128, '📈 Datos Completos'!$D$7:$D$5000, C128))</f>
        <v/>
      </c>
      <c r="G128" s="18" t="str">
        <f t="shared" si="9"/>
        <v/>
      </c>
      <c r="H128" s="19" t="str">
        <f>IF(B128="","",SUMIFS('📈 Datos Completos'!$I$7:$I$5000, '📈 Datos Completos'!$B$7:$B$5000, B128, '📈 Datos Completos'!$D$7:$D$5000, C128))</f>
        <v/>
      </c>
      <c r="I128" s="19" t="str">
        <f t="shared" si="10"/>
        <v/>
      </c>
      <c r="J128" s="19" t="str">
        <f t="shared" si="11"/>
        <v/>
      </c>
      <c r="K128" s="19" t="str">
        <f>IF(B128="","",IF(C128="DIA", (SUMIFS('📋 Detalle Diario'!$D$5:$D$489, '📋 Detalle Diario'!$B$5:$B$489, B128, '📋 Detalle Diario'!$C$5:$C$489, C128) * '⚙️ Supuestos'!$C$24) + '⚙️ Supuestos'!$C$23, (SUMIFS('📋 Detalle Diario'!$D$5:$D$489, '📋 Detalle Diario'!$B$5:$B$489, B128, '📋 Detalle Diario'!$C$5:$C$489, C128) * '⚙️ Supuestos'!$C$24) + '⚙️ Supuestos'!$C$33))</f>
        <v/>
      </c>
      <c r="L128" s="19" t="str">
        <f t="shared" si="12"/>
        <v/>
      </c>
      <c r="M128" s="20" t="str">
        <f t="shared" si="13"/>
        <v/>
      </c>
      <c r="N128" s="19" t="str">
        <f t="shared" si="14"/>
        <v/>
      </c>
      <c r="O128" s="27" t="str">
        <f t="shared" si="15"/>
        <v/>
      </c>
      <c r="P128" s="19" t="str">
        <f t="shared" si="16"/>
        <v/>
      </c>
      <c r="Q128" s="19" t="str">
        <f>IF(B128="","",J128-P128+(SUMIFS('📋 Detalle Diario'!$E$5:$E$489, '📋 Detalle Diario'!$B$5:$B$489, B128, '📋 Detalle Diario'!$C$5:$C$489, C128)*135)+(SUMIFS('📋 Detalle Diario'!$I$5:$I$489, '📋 Detalle Diario'!$B$5:$B$489, B128, '📋 Detalle Diario'!$C$5:$C$489, C128)*200))</f>
        <v/>
      </c>
      <c r="R128" s="20" t="str">
        <f t="shared" si="17"/>
        <v/>
      </c>
    </row>
    <row r="129" spans="2:18" ht="18" customHeight="1" x14ac:dyDescent="0.3">
      <c r="B129" s="24"/>
      <c r="C129" s="25"/>
      <c r="D129" s="18" t="str">
        <f>IF(B129="","",SUMIFS('📈 Datos Completos'!$E$7:$E$5000, '📈 Datos Completos'!$B$7:$B$5000, B129, '📈 Datos Completos'!$D$7:$D$5000, C129))</f>
        <v/>
      </c>
      <c r="E129" s="18" t="str">
        <f>IF(B129="","",SUMIFS('📈 Datos Completos'!$F$7:$F$5000, '📈 Datos Completos'!$B$7:$B$5000, B129, '📈 Datos Completos'!$D$7:$D$5000, C129))</f>
        <v/>
      </c>
      <c r="F129" s="18" t="str">
        <f>IF(B129="","",SUMIFS('📈 Datos Completos'!$G$7:$G$5000, '📈 Datos Completos'!$B$7:$B$5000, B129, '📈 Datos Completos'!$D$7:$D$5000, C129))</f>
        <v/>
      </c>
      <c r="G129" s="18" t="str">
        <f t="shared" si="9"/>
        <v/>
      </c>
      <c r="H129" s="19" t="str">
        <f>IF(B129="","",SUMIFS('📈 Datos Completos'!$I$7:$I$5000, '📈 Datos Completos'!$B$7:$B$5000, B129, '📈 Datos Completos'!$D$7:$D$5000, C129))</f>
        <v/>
      </c>
      <c r="I129" s="19" t="str">
        <f t="shared" si="10"/>
        <v/>
      </c>
      <c r="J129" s="19" t="str">
        <f t="shared" si="11"/>
        <v/>
      </c>
      <c r="K129" s="19" t="str">
        <f>IF(B129="","",IF(C129="DIA", (SUMIFS('📋 Detalle Diario'!$D$5:$D$489, '📋 Detalle Diario'!$B$5:$B$489, B129, '📋 Detalle Diario'!$C$5:$C$489, C129) * '⚙️ Supuestos'!$C$24) + '⚙️ Supuestos'!$C$23, (SUMIFS('📋 Detalle Diario'!$D$5:$D$489, '📋 Detalle Diario'!$B$5:$B$489, B129, '📋 Detalle Diario'!$C$5:$C$489, C129) * '⚙️ Supuestos'!$C$24) + '⚙️ Supuestos'!$C$33))</f>
        <v/>
      </c>
      <c r="L129" s="19" t="str">
        <f t="shared" si="12"/>
        <v/>
      </c>
      <c r="M129" s="20" t="str">
        <f t="shared" si="13"/>
        <v/>
      </c>
      <c r="N129" s="19" t="str">
        <f t="shared" si="14"/>
        <v/>
      </c>
      <c r="O129" s="25" t="str">
        <f t="shared" si="15"/>
        <v/>
      </c>
      <c r="P129" s="19" t="str">
        <f t="shared" si="16"/>
        <v/>
      </c>
      <c r="Q129" s="19" t="str">
        <f>IF(B129="","",J129-P129+(SUMIFS('📋 Detalle Diario'!$E$5:$E$489, '📋 Detalle Diario'!$B$5:$B$489, B129, '📋 Detalle Diario'!$C$5:$C$489, C129)*135)+(SUMIFS('📋 Detalle Diario'!$I$5:$I$489, '📋 Detalle Diario'!$B$5:$B$489, B129, '📋 Detalle Diario'!$C$5:$C$489, C129)*200))</f>
        <v/>
      </c>
      <c r="R129" s="20" t="str">
        <f t="shared" si="17"/>
        <v/>
      </c>
    </row>
    <row r="130" spans="2:18" ht="18" customHeight="1" x14ac:dyDescent="0.3">
      <c r="B130" s="26"/>
      <c r="C130" s="27"/>
      <c r="D130" s="18" t="str">
        <f>IF(B130="","",SUMIFS('📈 Datos Completos'!$E$7:$E$5000, '📈 Datos Completos'!$B$7:$B$5000, B130, '📈 Datos Completos'!$D$7:$D$5000, C130))</f>
        <v/>
      </c>
      <c r="E130" s="18" t="str">
        <f>IF(B130="","",SUMIFS('📈 Datos Completos'!$F$7:$F$5000, '📈 Datos Completos'!$B$7:$B$5000, B130, '📈 Datos Completos'!$D$7:$D$5000, C130))</f>
        <v/>
      </c>
      <c r="F130" s="18" t="str">
        <f>IF(B130="","",SUMIFS('📈 Datos Completos'!$G$7:$G$5000, '📈 Datos Completos'!$B$7:$B$5000, B130, '📈 Datos Completos'!$D$7:$D$5000, C130))</f>
        <v/>
      </c>
      <c r="G130" s="18" t="str">
        <f t="shared" si="9"/>
        <v/>
      </c>
      <c r="H130" s="19" t="str">
        <f>IF(B130="","",SUMIFS('📈 Datos Completos'!$I$7:$I$5000, '📈 Datos Completos'!$B$7:$B$5000, B130, '📈 Datos Completos'!$D$7:$D$5000, C130))</f>
        <v/>
      </c>
      <c r="I130" s="19" t="str">
        <f t="shared" si="10"/>
        <v/>
      </c>
      <c r="J130" s="19" t="str">
        <f t="shared" si="11"/>
        <v/>
      </c>
      <c r="K130" s="19" t="str">
        <f>IF(B130="","",IF(C130="DIA", (SUMIFS('📋 Detalle Diario'!$D$5:$D$489, '📋 Detalle Diario'!$B$5:$B$489, B130, '📋 Detalle Diario'!$C$5:$C$489, C130) * '⚙️ Supuestos'!$C$24) + '⚙️ Supuestos'!$C$23, (SUMIFS('📋 Detalle Diario'!$D$5:$D$489, '📋 Detalle Diario'!$B$5:$B$489, B130, '📋 Detalle Diario'!$C$5:$C$489, C130) * '⚙️ Supuestos'!$C$24) + '⚙️ Supuestos'!$C$33))</f>
        <v/>
      </c>
      <c r="L130" s="19" t="str">
        <f t="shared" si="12"/>
        <v/>
      </c>
      <c r="M130" s="20" t="str">
        <f t="shared" si="13"/>
        <v/>
      </c>
      <c r="N130" s="19" t="str">
        <f t="shared" si="14"/>
        <v/>
      </c>
      <c r="O130" s="27" t="str">
        <f t="shared" si="15"/>
        <v/>
      </c>
      <c r="P130" s="19" t="str">
        <f t="shared" si="16"/>
        <v/>
      </c>
      <c r="Q130" s="19" t="str">
        <f>IF(B130="","",J130-P130+(SUMIFS('📋 Detalle Diario'!$E$5:$E$489, '📋 Detalle Diario'!$B$5:$B$489, B130, '📋 Detalle Diario'!$C$5:$C$489, C130)*135)+(SUMIFS('📋 Detalle Diario'!$I$5:$I$489, '📋 Detalle Diario'!$B$5:$B$489, B130, '📋 Detalle Diario'!$C$5:$C$489, C130)*200))</f>
        <v/>
      </c>
      <c r="R130" s="20" t="str">
        <f t="shared" si="17"/>
        <v/>
      </c>
    </row>
    <row r="131" spans="2:18" ht="18" customHeight="1" x14ac:dyDescent="0.3">
      <c r="B131" s="24"/>
      <c r="C131" s="25"/>
      <c r="D131" s="18" t="str">
        <f>IF(B131="","",SUMIFS('📈 Datos Completos'!$E$7:$E$5000, '📈 Datos Completos'!$B$7:$B$5000, B131, '📈 Datos Completos'!$D$7:$D$5000, C131))</f>
        <v/>
      </c>
      <c r="E131" s="18" t="str">
        <f>IF(B131="","",SUMIFS('📈 Datos Completos'!$F$7:$F$5000, '📈 Datos Completos'!$B$7:$B$5000, B131, '📈 Datos Completos'!$D$7:$D$5000, C131))</f>
        <v/>
      </c>
      <c r="F131" s="18" t="str">
        <f>IF(B131="","",SUMIFS('📈 Datos Completos'!$G$7:$G$5000, '📈 Datos Completos'!$B$7:$B$5000, B131, '📈 Datos Completos'!$D$7:$D$5000, C131))</f>
        <v/>
      </c>
      <c r="G131" s="18" t="str">
        <f t="shared" si="9"/>
        <v/>
      </c>
      <c r="H131" s="19" t="str">
        <f>IF(B131="","",SUMIFS('📈 Datos Completos'!$I$7:$I$5000, '📈 Datos Completos'!$B$7:$B$5000, B131, '📈 Datos Completos'!$D$7:$D$5000, C131))</f>
        <v/>
      </c>
      <c r="I131" s="19" t="str">
        <f t="shared" si="10"/>
        <v/>
      </c>
      <c r="J131" s="19" t="str">
        <f t="shared" si="11"/>
        <v/>
      </c>
      <c r="K131" s="19" t="str">
        <f>IF(B131="","",IF(C131="DIA", (SUMIFS('📋 Detalle Diario'!$D$5:$D$489, '📋 Detalle Diario'!$B$5:$B$489, B131, '📋 Detalle Diario'!$C$5:$C$489, C131) * '⚙️ Supuestos'!$C$24) + '⚙️ Supuestos'!$C$23, (SUMIFS('📋 Detalle Diario'!$D$5:$D$489, '📋 Detalle Diario'!$B$5:$B$489, B131, '📋 Detalle Diario'!$C$5:$C$489, C131) * '⚙️ Supuestos'!$C$24) + '⚙️ Supuestos'!$C$33))</f>
        <v/>
      </c>
      <c r="L131" s="19" t="str">
        <f t="shared" si="12"/>
        <v/>
      </c>
      <c r="M131" s="20" t="str">
        <f t="shared" si="13"/>
        <v/>
      </c>
      <c r="N131" s="19" t="str">
        <f t="shared" si="14"/>
        <v/>
      </c>
      <c r="O131" s="25" t="str">
        <f t="shared" si="15"/>
        <v/>
      </c>
      <c r="P131" s="19" t="str">
        <f t="shared" si="16"/>
        <v/>
      </c>
      <c r="Q131" s="19" t="str">
        <f>IF(B131="","",J131-P131+(SUMIFS('📋 Detalle Diario'!$E$5:$E$489, '📋 Detalle Diario'!$B$5:$B$489, B131, '📋 Detalle Diario'!$C$5:$C$489, C131)*135)+(SUMIFS('📋 Detalle Diario'!$I$5:$I$489, '📋 Detalle Diario'!$B$5:$B$489, B131, '📋 Detalle Diario'!$C$5:$C$489, C131)*200))</f>
        <v/>
      </c>
      <c r="R131" s="20" t="str">
        <f t="shared" si="17"/>
        <v/>
      </c>
    </row>
    <row r="132" spans="2:18" ht="18" customHeight="1" x14ac:dyDescent="0.3">
      <c r="B132" s="26"/>
      <c r="C132" s="27"/>
      <c r="D132" s="18" t="str">
        <f>IF(B132="","",SUMIFS('📈 Datos Completos'!$E$7:$E$5000, '📈 Datos Completos'!$B$7:$B$5000, B132, '📈 Datos Completos'!$D$7:$D$5000, C132))</f>
        <v/>
      </c>
      <c r="E132" s="18" t="str">
        <f>IF(B132="","",SUMIFS('📈 Datos Completos'!$F$7:$F$5000, '📈 Datos Completos'!$B$7:$B$5000, B132, '📈 Datos Completos'!$D$7:$D$5000, C132))</f>
        <v/>
      </c>
      <c r="F132" s="18" t="str">
        <f>IF(B132="","",SUMIFS('📈 Datos Completos'!$G$7:$G$5000, '📈 Datos Completos'!$B$7:$B$5000, B132, '📈 Datos Completos'!$D$7:$D$5000, C132))</f>
        <v/>
      </c>
      <c r="G132" s="18" t="str">
        <f t="shared" si="9"/>
        <v/>
      </c>
      <c r="H132" s="19" t="str">
        <f>IF(B132="","",SUMIFS('📈 Datos Completos'!$I$7:$I$5000, '📈 Datos Completos'!$B$7:$B$5000, B132, '📈 Datos Completos'!$D$7:$D$5000, C132))</f>
        <v/>
      </c>
      <c r="I132" s="19" t="str">
        <f t="shared" si="10"/>
        <v/>
      </c>
      <c r="J132" s="19" t="str">
        <f t="shared" si="11"/>
        <v/>
      </c>
      <c r="K132" s="19" t="str">
        <f>IF(B132="","",IF(C132="DIA", (SUMIFS('📋 Detalle Diario'!$D$5:$D$489, '📋 Detalle Diario'!$B$5:$B$489, B132, '📋 Detalle Diario'!$C$5:$C$489, C132) * '⚙️ Supuestos'!$C$24) + '⚙️ Supuestos'!$C$23, (SUMIFS('📋 Detalle Diario'!$D$5:$D$489, '📋 Detalle Diario'!$B$5:$B$489, B132, '📋 Detalle Diario'!$C$5:$C$489, C132) * '⚙️ Supuestos'!$C$24) + '⚙️ Supuestos'!$C$33))</f>
        <v/>
      </c>
      <c r="L132" s="19" t="str">
        <f t="shared" si="12"/>
        <v/>
      </c>
      <c r="M132" s="20" t="str">
        <f t="shared" si="13"/>
        <v/>
      </c>
      <c r="N132" s="19" t="str">
        <f t="shared" si="14"/>
        <v/>
      </c>
      <c r="O132" s="27" t="str">
        <f t="shared" si="15"/>
        <v/>
      </c>
      <c r="P132" s="19" t="str">
        <f t="shared" si="16"/>
        <v/>
      </c>
      <c r="Q132" s="19" t="str">
        <f>IF(B132="","",J132-P132+(SUMIFS('📋 Detalle Diario'!$E$5:$E$489, '📋 Detalle Diario'!$B$5:$B$489, B132, '📋 Detalle Diario'!$C$5:$C$489, C132)*135)+(SUMIFS('📋 Detalle Diario'!$I$5:$I$489, '📋 Detalle Diario'!$B$5:$B$489, B132, '📋 Detalle Diario'!$C$5:$C$489, C132)*200))</f>
        <v/>
      </c>
      <c r="R132" s="20" t="str">
        <f t="shared" si="17"/>
        <v/>
      </c>
    </row>
    <row r="133" spans="2:18" ht="18" customHeight="1" x14ac:dyDescent="0.3">
      <c r="B133" s="24"/>
      <c r="C133" s="25"/>
      <c r="D133" s="18" t="str">
        <f>IF(B133="","",SUMIFS('📈 Datos Completos'!$E$7:$E$5000, '📈 Datos Completos'!$B$7:$B$5000, B133, '📈 Datos Completos'!$D$7:$D$5000, C133))</f>
        <v/>
      </c>
      <c r="E133" s="18" t="str">
        <f>IF(B133="","",SUMIFS('📈 Datos Completos'!$F$7:$F$5000, '📈 Datos Completos'!$B$7:$B$5000, B133, '📈 Datos Completos'!$D$7:$D$5000, C133))</f>
        <v/>
      </c>
      <c r="F133" s="18" t="str">
        <f>IF(B133="","",SUMIFS('📈 Datos Completos'!$G$7:$G$5000, '📈 Datos Completos'!$B$7:$B$5000, B133, '📈 Datos Completos'!$D$7:$D$5000, C133))</f>
        <v/>
      </c>
      <c r="G133" s="18" t="str">
        <f t="shared" ref="G133:G196" si="18">IF(B133="","",E133+F133)</f>
        <v/>
      </c>
      <c r="H133" s="19" t="str">
        <f>IF(B133="","",SUMIFS('📈 Datos Completos'!$I$7:$I$5000, '📈 Datos Completos'!$B$7:$B$5000, B133, '📈 Datos Completos'!$D$7:$D$5000, C133))</f>
        <v/>
      </c>
      <c r="I133" s="19" t="str">
        <f t="shared" ref="I133:I196" si="19">IF(B133="","",IF(C133="DIA", G133*1.01, G133*1.35))</f>
        <v/>
      </c>
      <c r="J133" s="19" t="str">
        <f t="shared" ref="J133:J196" si="20">IF(B133="","",H133+I133)</f>
        <v/>
      </c>
      <c r="K133" s="19" t="str">
        <f>IF(B133="","",IF(C133="DIA", (SUMIFS('📋 Detalle Diario'!$D$5:$D$489, '📋 Detalle Diario'!$B$5:$B$489, B133, '📋 Detalle Diario'!$C$5:$C$489, C133) * '⚙️ Supuestos'!$C$24) + '⚙️ Supuestos'!$C$23, (SUMIFS('📋 Detalle Diario'!$D$5:$D$489, '📋 Detalle Diario'!$B$5:$B$489, B133, '📋 Detalle Diario'!$C$5:$C$489, C133) * '⚙️ Supuestos'!$C$24) + '⚙️ Supuestos'!$C$33))</f>
        <v/>
      </c>
      <c r="L133" s="19" t="str">
        <f t="shared" ref="L133:L196" si="21">IF(B133="","",J133-K133)</f>
        <v/>
      </c>
      <c r="M133" s="20" t="str">
        <f t="shared" ref="M133:M196" si="22">IF(B133="","",IF(J133=0, 0, L133/J133))</f>
        <v/>
      </c>
      <c r="N133" s="19" t="str">
        <f t="shared" ref="N133:N196" si="23">IF(B133="","",IF(D133=0, 0, K133/D133))</f>
        <v/>
      </c>
      <c r="O133" s="25" t="str">
        <f t="shared" ref="O133:O196" si="24">IF(B133="","",IF(ISNUMBER(B133),YEAR(B133)&amp;"-"&amp;IF(MONTH(B133)&lt;10,"0","")&amp;MONTH(B133),LEFT(B133,7)))</f>
        <v/>
      </c>
      <c r="P133" s="19" t="str">
        <f t="shared" ref="P133:P196" si="25">IF(B133="","",K133+(G133*0.09))</f>
        <v/>
      </c>
      <c r="Q133" s="19" t="str">
        <f>IF(B133="","",J133-P133+(SUMIFS('📋 Detalle Diario'!$E$5:$E$489, '📋 Detalle Diario'!$B$5:$B$489, B133, '📋 Detalle Diario'!$C$5:$C$489, C133)*135)+(SUMIFS('📋 Detalle Diario'!$I$5:$I$489, '📋 Detalle Diario'!$B$5:$B$489, B133, '📋 Detalle Diario'!$C$5:$C$489, C133)*200))</f>
        <v/>
      </c>
      <c r="R133" s="20" t="str">
        <f t="shared" ref="R133:R196" si="26">IF(B133="","",IF(J133=0, 0, Q133/J133))</f>
        <v/>
      </c>
    </row>
    <row r="134" spans="2:18" ht="18" customHeight="1" x14ac:dyDescent="0.3">
      <c r="B134" s="26"/>
      <c r="C134" s="27"/>
      <c r="D134" s="18" t="str">
        <f>IF(B134="","",SUMIFS('📈 Datos Completos'!$E$7:$E$5000, '📈 Datos Completos'!$B$7:$B$5000, B134, '📈 Datos Completos'!$D$7:$D$5000, C134))</f>
        <v/>
      </c>
      <c r="E134" s="18" t="str">
        <f>IF(B134="","",SUMIFS('📈 Datos Completos'!$F$7:$F$5000, '📈 Datos Completos'!$B$7:$B$5000, B134, '📈 Datos Completos'!$D$7:$D$5000, C134))</f>
        <v/>
      </c>
      <c r="F134" s="18" t="str">
        <f>IF(B134="","",SUMIFS('📈 Datos Completos'!$G$7:$G$5000, '📈 Datos Completos'!$B$7:$B$5000, B134, '📈 Datos Completos'!$D$7:$D$5000, C134))</f>
        <v/>
      </c>
      <c r="G134" s="18" t="str">
        <f t="shared" si="18"/>
        <v/>
      </c>
      <c r="H134" s="19" t="str">
        <f>IF(B134="","",SUMIFS('📈 Datos Completos'!$I$7:$I$5000, '📈 Datos Completos'!$B$7:$B$5000, B134, '📈 Datos Completos'!$D$7:$D$5000, C134))</f>
        <v/>
      </c>
      <c r="I134" s="19" t="str">
        <f t="shared" si="19"/>
        <v/>
      </c>
      <c r="J134" s="19" t="str">
        <f t="shared" si="20"/>
        <v/>
      </c>
      <c r="K134" s="19" t="str">
        <f>IF(B134="","",IF(C134="DIA", (SUMIFS('📋 Detalle Diario'!$D$5:$D$489, '📋 Detalle Diario'!$B$5:$B$489, B134, '📋 Detalle Diario'!$C$5:$C$489, C134) * '⚙️ Supuestos'!$C$24) + '⚙️ Supuestos'!$C$23, (SUMIFS('📋 Detalle Diario'!$D$5:$D$489, '📋 Detalle Diario'!$B$5:$B$489, B134, '📋 Detalle Diario'!$C$5:$C$489, C134) * '⚙️ Supuestos'!$C$24) + '⚙️ Supuestos'!$C$33))</f>
        <v/>
      </c>
      <c r="L134" s="19" t="str">
        <f t="shared" si="21"/>
        <v/>
      </c>
      <c r="M134" s="20" t="str">
        <f t="shared" si="22"/>
        <v/>
      </c>
      <c r="N134" s="19" t="str">
        <f t="shared" si="23"/>
        <v/>
      </c>
      <c r="O134" s="27" t="str">
        <f t="shared" si="24"/>
        <v/>
      </c>
      <c r="P134" s="19" t="str">
        <f t="shared" si="25"/>
        <v/>
      </c>
      <c r="Q134" s="19" t="str">
        <f>IF(B134="","",J134-P134+(SUMIFS('📋 Detalle Diario'!$E$5:$E$489, '📋 Detalle Diario'!$B$5:$B$489, B134, '📋 Detalle Diario'!$C$5:$C$489, C134)*135)+(SUMIFS('📋 Detalle Diario'!$I$5:$I$489, '📋 Detalle Diario'!$B$5:$B$489, B134, '📋 Detalle Diario'!$C$5:$C$489, C134)*200))</f>
        <v/>
      </c>
      <c r="R134" s="20" t="str">
        <f t="shared" si="26"/>
        <v/>
      </c>
    </row>
    <row r="135" spans="2:18" ht="18" customHeight="1" x14ac:dyDescent="0.3">
      <c r="B135" s="24"/>
      <c r="C135" s="25"/>
      <c r="D135" s="18" t="str">
        <f>IF(B135="","",SUMIFS('📈 Datos Completos'!$E$7:$E$5000, '📈 Datos Completos'!$B$7:$B$5000, B135, '📈 Datos Completos'!$D$7:$D$5000, C135))</f>
        <v/>
      </c>
      <c r="E135" s="18" t="str">
        <f>IF(B135="","",SUMIFS('📈 Datos Completos'!$F$7:$F$5000, '📈 Datos Completos'!$B$7:$B$5000, B135, '📈 Datos Completos'!$D$7:$D$5000, C135))</f>
        <v/>
      </c>
      <c r="F135" s="18" t="str">
        <f>IF(B135="","",SUMIFS('📈 Datos Completos'!$G$7:$G$5000, '📈 Datos Completos'!$B$7:$B$5000, B135, '📈 Datos Completos'!$D$7:$D$5000, C135))</f>
        <v/>
      </c>
      <c r="G135" s="18" t="str">
        <f t="shared" si="18"/>
        <v/>
      </c>
      <c r="H135" s="19" t="str">
        <f>IF(B135="","",SUMIFS('📈 Datos Completos'!$I$7:$I$5000, '📈 Datos Completos'!$B$7:$B$5000, B135, '📈 Datos Completos'!$D$7:$D$5000, C135))</f>
        <v/>
      </c>
      <c r="I135" s="19" t="str">
        <f t="shared" si="19"/>
        <v/>
      </c>
      <c r="J135" s="19" t="str">
        <f t="shared" si="20"/>
        <v/>
      </c>
      <c r="K135" s="19" t="str">
        <f>IF(B135="","",IF(C135="DIA", (SUMIFS('📋 Detalle Diario'!$D$5:$D$489, '📋 Detalle Diario'!$B$5:$B$489, B135, '📋 Detalle Diario'!$C$5:$C$489, C135) * '⚙️ Supuestos'!$C$24) + '⚙️ Supuestos'!$C$23, (SUMIFS('📋 Detalle Diario'!$D$5:$D$489, '📋 Detalle Diario'!$B$5:$B$489, B135, '📋 Detalle Diario'!$C$5:$C$489, C135) * '⚙️ Supuestos'!$C$24) + '⚙️ Supuestos'!$C$33))</f>
        <v/>
      </c>
      <c r="L135" s="19" t="str">
        <f t="shared" si="21"/>
        <v/>
      </c>
      <c r="M135" s="20" t="str">
        <f t="shared" si="22"/>
        <v/>
      </c>
      <c r="N135" s="19" t="str">
        <f t="shared" si="23"/>
        <v/>
      </c>
      <c r="O135" s="25" t="str">
        <f t="shared" si="24"/>
        <v/>
      </c>
      <c r="P135" s="19" t="str">
        <f t="shared" si="25"/>
        <v/>
      </c>
      <c r="Q135" s="19" t="str">
        <f>IF(B135="","",J135-P135+(SUMIFS('📋 Detalle Diario'!$E$5:$E$489, '📋 Detalle Diario'!$B$5:$B$489, B135, '📋 Detalle Diario'!$C$5:$C$489, C135)*135)+(SUMIFS('📋 Detalle Diario'!$I$5:$I$489, '📋 Detalle Diario'!$B$5:$B$489, B135, '📋 Detalle Diario'!$C$5:$C$489, C135)*200))</f>
        <v/>
      </c>
      <c r="R135" s="20" t="str">
        <f t="shared" si="26"/>
        <v/>
      </c>
    </row>
    <row r="136" spans="2:18" ht="18" customHeight="1" x14ac:dyDescent="0.3">
      <c r="B136" s="26"/>
      <c r="C136" s="27"/>
      <c r="D136" s="18" t="str">
        <f>IF(B136="","",SUMIFS('📈 Datos Completos'!$E$7:$E$5000, '📈 Datos Completos'!$B$7:$B$5000, B136, '📈 Datos Completos'!$D$7:$D$5000, C136))</f>
        <v/>
      </c>
      <c r="E136" s="18" t="str">
        <f>IF(B136="","",SUMIFS('📈 Datos Completos'!$F$7:$F$5000, '📈 Datos Completos'!$B$7:$B$5000, B136, '📈 Datos Completos'!$D$7:$D$5000, C136))</f>
        <v/>
      </c>
      <c r="F136" s="18" t="str">
        <f>IF(B136="","",SUMIFS('📈 Datos Completos'!$G$7:$G$5000, '📈 Datos Completos'!$B$7:$B$5000, B136, '📈 Datos Completos'!$D$7:$D$5000, C136))</f>
        <v/>
      </c>
      <c r="G136" s="18" t="str">
        <f t="shared" si="18"/>
        <v/>
      </c>
      <c r="H136" s="19" t="str">
        <f>IF(B136="","",SUMIFS('📈 Datos Completos'!$I$7:$I$5000, '📈 Datos Completos'!$B$7:$B$5000, B136, '📈 Datos Completos'!$D$7:$D$5000, C136))</f>
        <v/>
      </c>
      <c r="I136" s="19" t="str">
        <f t="shared" si="19"/>
        <v/>
      </c>
      <c r="J136" s="19" t="str">
        <f t="shared" si="20"/>
        <v/>
      </c>
      <c r="K136" s="19" t="str">
        <f>IF(B136="","",IF(C136="DIA", (SUMIFS('📋 Detalle Diario'!$D$5:$D$489, '📋 Detalle Diario'!$B$5:$B$489, B136, '📋 Detalle Diario'!$C$5:$C$489, C136) * '⚙️ Supuestos'!$C$24) + '⚙️ Supuestos'!$C$23, (SUMIFS('📋 Detalle Diario'!$D$5:$D$489, '📋 Detalle Diario'!$B$5:$B$489, B136, '📋 Detalle Diario'!$C$5:$C$489, C136) * '⚙️ Supuestos'!$C$24) + '⚙️ Supuestos'!$C$33))</f>
        <v/>
      </c>
      <c r="L136" s="19" t="str">
        <f t="shared" si="21"/>
        <v/>
      </c>
      <c r="M136" s="20" t="str">
        <f t="shared" si="22"/>
        <v/>
      </c>
      <c r="N136" s="19" t="str">
        <f t="shared" si="23"/>
        <v/>
      </c>
      <c r="O136" s="27" t="str">
        <f t="shared" si="24"/>
        <v/>
      </c>
      <c r="P136" s="19" t="str">
        <f t="shared" si="25"/>
        <v/>
      </c>
      <c r="Q136" s="19" t="str">
        <f>IF(B136="","",J136-P136+(SUMIFS('📋 Detalle Diario'!$E$5:$E$489, '📋 Detalle Diario'!$B$5:$B$489, B136, '📋 Detalle Diario'!$C$5:$C$489, C136)*135)+(SUMIFS('📋 Detalle Diario'!$I$5:$I$489, '📋 Detalle Diario'!$B$5:$B$489, B136, '📋 Detalle Diario'!$C$5:$C$489, C136)*200))</f>
        <v/>
      </c>
      <c r="R136" s="20" t="str">
        <f t="shared" si="26"/>
        <v/>
      </c>
    </row>
    <row r="137" spans="2:18" ht="18" customHeight="1" x14ac:dyDescent="0.3">
      <c r="B137" s="24"/>
      <c r="C137" s="25"/>
      <c r="D137" s="18" t="str">
        <f>IF(B137="","",SUMIFS('📈 Datos Completos'!$E$7:$E$5000, '📈 Datos Completos'!$B$7:$B$5000, B137, '📈 Datos Completos'!$D$7:$D$5000, C137))</f>
        <v/>
      </c>
      <c r="E137" s="18" t="str">
        <f>IF(B137="","",SUMIFS('📈 Datos Completos'!$F$7:$F$5000, '📈 Datos Completos'!$B$7:$B$5000, B137, '📈 Datos Completos'!$D$7:$D$5000, C137))</f>
        <v/>
      </c>
      <c r="F137" s="18" t="str">
        <f>IF(B137="","",SUMIFS('📈 Datos Completos'!$G$7:$G$5000, '📈 Datos Completos'!$B$7:$B$5000, B137, '📈 Datos Completos'!$D$7:$D$5000, C137))</f>
        <v/>
      </c>
      <c r="G137" s="18" t="str">
        <f t="shared" si="18"/>
        <v/>
      </c>
      <c r="H137" s="19" t="str">
        <f>IF(B137="","",SUMIFS('📈 Datos Completos'!$I$7:$I$5000, '📈 Datos Completos'!$B$7:$B$5000, B137, '📈 Datos Completos'!$D$7:$D$5000, C137))</f>
        <v/>
      </c>
      <c r="I137" s="19" t="str">
        <f t="shared" si="19"/>
        <v/>
      </c>
      <c r="J137" s="19" t="str">
        <f t="shared" si="20"/>
        <v/>
      </c>
      <c r="K137" s="19" t="str">
        <f>IF(B137="","",IF(C137="DIA", (SUMIFS('📋 Detalle Diario'!$D$5:$D$489, '📋 Detalle Diario'!$B$5:$B$489, B137, '📋 Detalle Diario'!$C$5:$C$489, C137) * '⚙️ Supuestos'!$C$24) + '⚙️ Supuestos'!$C$23, (SUMIFS('📋 Detalle Diario'!$D$5:$D$489, '📋 Detalle Diario'!$B$5:$B$489, B137, '📋 Detalle Diario'!$C$5:$C$489, C137) * '⚙️ Supuestos'!$C$24) + '⚙️ Supuestos'!$C$33))</f>
        <v/>
      </c>
      <c r="L137" s="19" t="str">
        <f t="shared" si="21"/>
        <v/>
      </c>
      <c r="M137" s="20" t="str">
        <f t="shared" si="22"/>
        <v/>
      </c>
      <c r="N137" s="19" t="str">
        <f t="shared" si="23"/>
        <v/>
      </c>
      <c r="O137" s="25" t="str">
        <f t="shared" si="24"/>
        <v/>
      </c>
      <c r="P137" s="19" t="str">
        <f t="shared" si="25"/>
        <v/>
      </c>
      <c r="Q137" s="19" t="str">
        <f>IF(B137="","",J137-P137+(SUMIFS('📋 Detalle Diario'!$E$5:$E$489, '📋 Detalle Diario'!$B$5:$B$489, B137, '📋 Detalle Diario'!$C$5:$C$489, C137)*135)+(SUMIFS('📋 Detalle Diario'!$I$5:$I$489, '📋 Detalle Diario'!$B$5:$B$489, B137, '📋 Detalle Diario'!$C$5:$C$489, C137)*200))</f>
        <v/>
      </c>
      <c r="R137" s="20" t="str">
        <f t="shared" si="26"/>
        <v/>
      </c>
    </row>
    <row r="138" spans="2:18" ht="18" customHeight="1" x14ac:dyDescent="0.3">
      <c r="B138" s="26"/>
      <c r="C138" s="27"/>
      <c r="D138" s="18" t="str">
        <f>IF(B138="","",SUMIFS('📈 Datos Completos'!$E$7:$E$5000, '📈 Datos Completos'!$B$7:$B$5000, B138, '📈 Datos Completos'!$D$7:$D$5000, C138))</f>
        <v/>
      </c>
      <c r="E138" s="18" t="str">
        <f>IF(B138="","",SUMIFS('📈 Datos Completos'!$F$7:$F$5000, '📈 Datos Completos'!$B$7:$B$5000, B138, '📈 Datos Completos'!$D$7:$D$5000, C138))</f>
        <v/>
      </c>
      <c r="F138" s="18" t="str">
        <f>IF(B138="","",SUMIFS('📈 Datos Completos'!$G$7:$G$5000, '📈 Datos Completos'!$B$7:$B$5000, B138, '📈 Datos Completos'!$D$7:$D$5000, C138))</f>
        <v/>
      </c>
      <c r="G138" s="18" t="str">
        <f t="shared" si="18"/>
        <v/>
      </c>
      <c r="H138" s="19" t="str">
        <f>IF(B138="","",SUMIFS('📈 Datos Completos'!$I$7:$I$5000, '📈 Datos Completos'!$B$7:$B$5000, B138, '📈 Datos Completos'!$D$7:$D$5000, C138))</f>
        <v/>
      </c>
      <c r="I138" s="19" t="str">
        <f t="shared" si="19"/>
        <v/>
      </c>
      <c r="J138" s="19" t="str">
        <f t="shared" si="20"/>
        <v/>
      </c>
      <c r="K138" s="19" t="str">
        <f>IF(B138="","",IF(C138="DIA", (SUMIFS('📋 Detalle Diario'!$D$5:$D$489, '📋 Detalle Diario'!$B$5:$B$489, B138, '📋 Detalle Diario'!$C$5:$C$489, C138) * '⚙️ Supuestos'!$C$24) + '⚙️ Supuestos'!$C$23, (SUMIFS('📋 Detalle Diario'!$D$5:$D$489, '📋 Detalle Diario'!$B$5:$B$489, B138, '📋 Detalle Diario'!$C$5:$C$489, C138) * '⚙️ Supuestos'!$C$24) + '⚙️ Supuestos'!$C$33))</f>
        <v/>
      </c>
      <c r="L138" s="19" t="str">
        <f t="shared" si="21"/>
        <v/>
      </c>
      <c r="M138" s="20" t="str">
        <f t="shared" si="22"/>
        <v/>
      </c>
      <c r="N138" s="19" t="str">
        <f t="shared" si="23"/>
        <v/>
      </c>
      <c r="O138" s="27" t="str">
        <f t="shared" si="24"/>
        <v/>
      </c>
      <c r="P138" s="19" t="str">
        <f t="shared" si="25"/>
        <v/>
      </c>
      <c r="Q138" s="19" t="str">
        <f>IF(B138="","",J138-P138+(SUMIFS('📋 Detalle Diario'!$E$5:$E$489, '📋 Detalle Diario'!$B$5:$B$489, B138, '📋 Detalle Diario'!$C$5:$C$489, C138)*135)+(SUMIFS('📋 Detalle Diario'!$I$5:$I$489, '📋 Detalle Diario'!$B$5:$B$489, B138, '📋 Detalle Diario'!$C$5:$C$489, C138)*200))</f>
        <v/>
      </c>
      <c r="R138" s="20" t="str">
        <f t="shared" si="26"/>
        <v/>
      </c>
    </row>
    <row r="139" spans="2:18" ht="18" customHeight="1" x14ac:dyDescent="0.3">
      <c r="B139" s="24"/>
      <c r="C139" s="25"/>
      <c r="D139" s="18" t="str">
        <f>IF(B139="","",SUMIFS('📈 Datos Completos'!$E$7:$E$5000, '📈 Datos Completos'!$B$7:$B$5000, B139, '📈 Datos Completos'!$D$7:$D$5000, C139))</f>
        <v/>
      </c>
      <c r="E139" s="18" t="str">
        <f>IF(B139="","",SUMIFS('📈 Datos Completos'!$F$7:$F$5000, '📈 Datos Completos'!$B$7:$B$5000, B139, '📈 Datos Completos'!$D$7:$D$5000, C139))</f>
        <v/>
      </c>
      <c r="F139" s="18" t="str">
        <f>IF(B139="","",SUMIFS('📈 Datos Completos'!$G$7:$G$5000, '📈 Datos Completos'!$B$7:$B$5000, B139, '📈 Datos Completos'!$D$7:$D$5000, C139))</f>
        <v/>
      </c>
      <c r="G139" s="18" t="str">
        <f t="shared" si="18"/>
        <v/>
      </c>
      <c r="H139" s="19" t="str">
        <f>IF(B139="","",SUMIFS('📈 Datos Completos'!$I$7:$I$5000, '📈 Datos Completos'!$B$7:$B$5000, B139, '📈 Datos Completos'!$D$7:$D$5000, C139))</f>
        <v/>
      </c>
      <c r="I139" s="19" t="str">
        <f t="shared" si="19"/>
        <v/>
      </c>
      <c r="J139" s="19" t="str">
        <f t="shared" si="20"/>
        <v/>
      </c>
      <c r="K139" s="19" t="str">
        <f>IF(B139="","",IF(C139="DIA", (SUMIFS('📋 Detalle Diario'!$D$5:$D$489, '📋 Detalle Diario'!$B$5:$B$489, B139, '📋 Detalle Diario'!$C$5:$C$489, C139) * '⚙️ Supuestos'!$C$24) + '⚙️ Supuestos'!$C$23, (SUMIFS('📋 Detalle Diario'!$D$5:$D$489, '📋 Detalle Diario'!$B$5:$B$489, B139, '📋 Detalle Diario'!$C$5:$C$489, C139) * '⚙️ Supuestos'!$C$24) + '⚙️ Supuestos'!$C$33))</f>
        <v/>
      </c>
      <c r="L139" s="19" t="str">
        <f t="shared" si="21"/>
        <v/>
      </c>
      <c r="M139" s="20" t="str">
        <f t="shared" si="22"/>
        <v/>
      </c>
      <c r="N139" s="19" t="str">
        <f t="shared" si="23"/>
        <v/>
      </c>
      <c r="O139" s="25" t="str">
        <f t="shared" si="24"/>
        <v/>
      </c>
      <c r="P139" s="19" t="str">
        <f t="shared" si="25"/>
        <v/>
      </c>
      <c r="Q139" s="19" t="str">
        <f>IF(B139="","",J139-P139+(SUMIFS('📋 Detalle Diario'!$E$5:$E$489, '📋 Detalle Diario'!$B$5:$B$489, B139, '📋 Detalle Diario'!$C$5:$C$489, C139)*135)+(SUMIFS('📋 Detalle Diario'!$I$5:$I$489, '📋 Detalle Diario'!$B$5:$B$489, B139, '📋 Detalle Diario'!$C$5:$C$489, C139)*200))</f>
        <v/>
      </c>
      <c r="R139" s="20" t="str">
        <f t="shared" si="26"/>
        <v/>
      </c>
    </row>
    <row r="140" spans="2:18" ht="18" customHeight="1" x14ac:dyDescent="0.3">
      <c r="B140" s="26"/>
      <c r="C140" s="27"/>
      <c r="D140" s="18" t="str">
        <f>IF(B140="","",SUMIFS('📈 Datos Completos'!$E$7:$E$5000, '📈 Datos Completos'!$B$7:$B$5000, B140, '📈 Datos Completos'!$D$7:$D$5000, C140))</f>
        <v/>
      </c>
      <c r="E140" s="18" t="str">
        <f>IF(B140="","",SUMIFS('📈 Datos Completos'!$F$7:$F$5000, '📈 Datos Completos'!$B$7:$B$5000, B140, '📈 Datos Completos'!$D$7:$D$5000, C140))</f>
        <v/>
      </c>
      <c r="F140" s="18" t="str">
        <f>IF(B140="","",SUMIFS('📈 Datos Completos'!$G$7:$G$5000, '📈 Datos Completos'!$B$7:$B$5000, B140, '📈 Datos Completos'!$D$7:$D$5000, C140))</f>
        <v/>
      </c>
      <c r="G140" s="18" t="str">
        <f t="shared" si="18"/>
        <v/>
      </c>
      <c r="H140" s="19" t="str">
        <f>IF(B140="","",SUMIFS('📈 Datos Completos'!$I$7:$I$5000, '📈 Datos Completos'!$B$7:$B$5000, B140, '📈 Datos Completos'!$D$7:$D$5000, C140))</f>
        <v/>
      </c>
      <c r="I140" s="19" t="str">
        <f t="shared" si="19"/>
        <v/>
      </c>
      <c r="J140" s="19" t="str">
        <f t="shared" si="20"/>
        <v/>
      </c>
      <c r="K140" s="19" t="str">
        <f>IF(B140="","",IF(C140="DIA", (SUMIFS('📋 Detalle Diario'!$D$5:$D$489, '📋 Detalle Diario'!$B$5:$B$489, B140, '📋 Detalle Diario'!$C$5:$C$489, C140) * '⚙️ Supuestos'!$C$24) + '⚙️ Supuestos'!$C$23, (SUMIFS('📋 Detalle Diario'!$D$5:$D$489, '📋 Detalle Diario'!$B$5:$B$489, B140, '📋 Detalle Diario'!$C$5:$C$489, C140) * '⚙️ Supuestos'!$C$24) + '⚙️ Supuestos'!$C$33))</f>
        <v/>
      </c>
      <c r="L140" s="19" t="str">
        <f t="shared" si="21"/>
        <v/>
      </c>
      <c r="M140" s="20" t="str">
        <f t="shared" si="22"/>
        <v/>
      </c>
      <c r="N140" s="19" t="str">
        <f t="shared" si="23"/>
        <v/>
      </c>
      <c r="O140" s="27" t="str">
        <f t="shared" si="24"/>
        <v/>
      </c>
      <c r="P140" s="19" t="str">
        <f t="shared" si="25"/>
        <v/>
      </c>
      <c r="Q140" s="19" t="str">
        <f>IF(B140="","",J140-P140+(SUMIFS('📋 Detalle Diario'!$E$5:$E$489, '📋 Detalle Diario'!$B$5:$B$489, B140, '📋 Detalle Diario'!$C$5:$C$489, C140)*135)+(SUMIFS('📋 Detalle Diario'!$I$5:$I$489, '📋 Detalle Diario'!$B$5:$B$489, B140, '📋 Detalle Diario'!$C$5:$C$489, C140)*200))</f>
        <v/>
      </c>
      <c r="R140" s="20" t="str">
        <f t="shared" si="26"/>
        <v/>
      </c>
    </row>
    <row r="141" spans="2:18" ht="18" customHeight="1" x14ac:dyDescent="0.3">
      <c r="B141" s="24"/>
      <c r="C141" s="25"/>
      <c r="D141" s="18" t="str">
        <f>IF(B141="","",SUMIFS('📈 Datos Completos'!$E$7:$E$5000, '📈 Datos Completos'!$B$7:$B$5000, B141, '📈 Datos Completos'!$D$7:$D$5000, C141))</f>
        <v/>
      </c>
      <c r="E141" s="18" t="str">
        <f>IF(B141="","",SUMIFS('📈 Datos Completos'!$F$7:$F$5000, '📈 Datos Completos'!$B$7:$B$5000, B141, '📈 Datos Completos'!$D$7:$D$5000, C141))</f>
        <v/>
      </c>
      <c r="F141" s="18" t="str">
        <f>IF(B141="","",SUMIFS('📈 Datos Completos'!$G$7:$G$5000, '📈 Datos Completos'!$B$7:$B$5000, B141, '📈 Datos Completos'!$D$7:$D$5000, C141))</f>
        <v/>
      </c>
      <c r="G141" s="18" t="str">
        <f t="shared" si="18"/>
        <v/>
      </c>
      <c r="H141" s="19" t="str">
        <f>IF(B141="","",SUMIFS('📈 Datos Completos'!$I$7:$I$5000, '📈 Datos Completos'!$B$7:$B$5000, B141, '📈 Datos Completos'!$D$7:$D$5000, C141))</f>
        <v/>
      </c>
      <c r="I141" s="19" t="str">
        <f t="shared" si="19"/>
        <v/>
      </c>
      <c r="J141" s="19" t="str">
        <f t="shared" si="20"/>
        <v/>
      </c>
      <c r="K141" s="19" t="str">
        <f>IF(B141="","",IF(C141="DIA", (SUMIFS('📋 Detalle Diario'!$D$5:$D$489, '📋 Detalle Diario'!$B$5:$B$489, B141, '📋 Detalle Diario'!$C$5:$C$489, C141) * '⚙️ Supuestos'!$C$24) + '⚙️ Supuestos'!$C$23, (SUMIFS('📋 Detalle Diario'!$D$5:$D$489, '📋 Detalle Diario'!$B$5:$B$489, B141, '📋 Detalle Diario'!$C$5:$C$489, C141) * '⚙️ Supuestos'!$C$24) + '⚙️ Supuestos'!$C$33))</f>
        <v/>
      </c>
      <c r="L141" s="19" t="str">
        <f t="shared" si="21"/>
        <v/>
      </c>
      <c r="M141" s="20" t="str">
        <f t="shared" si="22"/>
        <v/>
      </c>
      <c r="N141" s="19" t="str">
        <f t="shared" si="23"/>
        <v/>
      </c>
      <c r="O141" s="25" t="str">
        <f t="shared" si="24"/>
        <v/>
      </c>
      <c r="P141" s="19" t="str">
        <f t="shared" si="25"/>
        <v/>
      </c>
      <c r="Q141" s="19" t="str">
        <f>IF(B141="","",J141-P141+(SUMIFS('📋 Detalle Diario'!$E$5:$E$489, '📋 Detalle Diario'!$B$5:$B$489, B141, '📋 Detalle Diario'!$C$5:$C$489, C141)*135)+(SUMIFS('📋 Detalle Diario'!$I$5:$I$489, '📋 Detalle Diario'!$B$5:$B$489, B141, '📋 Detalle Diario'!$C$5:$C$489, C141)*200))</f>
        <v/>
      </c>
      <c r="R141" s="20" t="str">
        <f t="shared" si="26"/>
        <v/>
      </c>
    </row>
    <row r="142" spans="2:18" ht="18" customHeight="1" x14ac:dyDescent="0.3">
      <c r="B142" s="26"/>
      <c r="C142" s="27"/>
      <c r="D142" s="18" t="str">
        <f>IF(B142="","",SUMIFS('📈 Datos Completos'!$E$7:$E$5000, '📈 Datos Completos'!$B$7:$B$5000, B142, '📈 Datos Completos'!$D$7:$D$5000, C142))</f>
        <v/>
      </c>
      <c r="E142" s="18" t="str">
        <f>IF(B142="","",SUMIFS('📈 Datos Completos'!$F$7:$F$5000, '📈 Datos Completos'!$B$7:$B$5000, B142, '📈 Datos Completos'!$D$7:$D$5000, C142))</f>
        <v/>
      </c>
      <c r="F142" s="18" t="str">
        <f>IF(B142="","",SUMIFS('📈 Datos Completos'!$G$7:$G$5000, '📈 Datos Completos'!$B$7:$B$5000, B142, '📈 Datos Completos'!$D$7:$D$5000, C142))</f>
        <v/>
      </c>
      <c r="G142" s="18" t="str">
        <f t="shared" si="18"/>
        <v/>
      </c>
      <c r="H142" s="19" t="str">
        <f>IF(B142="","",SUMIFS('📈 Datos Completos'!$I$7:$I$5000, '📈 Datos Completos'!$B$7:$B$5000, B142, '📈 Datos Completos'!$D$7:$D$5000, C142))</f>
        <v/>
      </c>
      <c r="I142" s="19" t="str">
        <f t="shared" si="19"/>
        <v/>
      </c>
      <c r="J142" s="19" t="str">
        <f t="shared" si="20"/>
        <v/>
      </c>
      <c r="K142" s="19" t="str">
        <f>IF(B142="","",IF(C142="DIA", (SUMIFS('📋 Detalle Diario'!$D$5:$D$489, '📋 Detalle Diario'!$B$5:$B$489, B142, '📋 Detalle Diario'!$C$5:$C$489, C142) * '⚙️ Supuestos'!$C$24) + '⚙️ Supuestos'!$C$23, (SUMIFS('📋 Detalle Diario'!$D$5:$D$489, '📋 Detalle Diario'!$B$5:$B$489, B142, '📋 Detalle Diario'!$C$5:$C$489, C142) * '⚙️ Supuestos'!$C$24) + '⚙️ Supuestos'!$C$33))</f>
        <v/>
      </c>
      <c r="L142" s="19" t="str">
        <f t="shared" si="21"/>
        <v/>
      </c>
      <c r="M142" s="20" t="str">
        <f t="shared" si="22"/>
        <v/>
      </c>
      <c r="N142" s="19" t="str">
        <f t="shared" si="23"/>
        <v/>
      </c>
      <c r="O142" s="27" t="str">
        <f t="shared" si="24"/>
        <v/>
      </c>
      <c r="P142" s="19" t="str">
        <f t="shared" si="25"/>
        <v/>
      </c>
      <c r="Q142" s="19" t="str">
        <f>IF(B142="","",J142-P142+(SUMIFS('📋 Detalle Diario'!$E$5:$E$489, '📋 Detalle Diario'!$B$5:$B$489, B142, '📋 Detalle Diario'!$C$5:$C$489, C142)*135)+(SUMIFS('📋 Detalle Diario'!$I$5:$I$489, '📋 Detalle Diario'!$B$5:$B$489, B142, '📋 Detalle Diario'!$C$5:$C$489, C142)*200))</f>
        <v/>
      </c>
      <c r="R142" s="20" t="str">
        <f t="shared" si="26"/>
        <v/>
      </c>
    </row>
    <row r="143" spans="2:18" ht="18" customHeight="1" x14ac:dyDescent="0.3">
      <c r="B143" s="24"/>
      <c r="C143" s="25"/>
      <c r="D143" s="18" t="str">
        <f>IF(B143="","",SUMIFS('📈 Datos Completos'!$E$7:$E$5000, '📈 Datos Completos'!$B$7:$B$5000, B143, '📈 Datos Completos'!$D$7:$D$5000, C143))</f>
        <v/>
      </c>
      <c r="E143" s="18" t="str">
        <f>IF(B143="","",SUMIFS('📈 Datos Completos'!$F$7:$F$5000, '📈 Datos Completos'!$B$7:$B$5000, B143, '📈 Datos Completos'!$D$7:$D$5000, C143))</f>
        <v/>
      </c>
      <c r="F143" s="18" t="str">
        <f>IF(B143="","",SUMIFS('📈 Datos Completos'!$G$7:$G$5000, '📈 Datos Completos'!$B$7:$B$5000, B143, '📈 Datos Completos'!$D$7:$D$5000, C143))</f>
        <v/>
      </c>
      <c r="G143" s="18" t="str">
        <f t="shared" si="18"/>
        <v/>
      </c>
      <c r="H143" s="19" t="str">
        <f>IF(B143="","",SUMIFS('📈 Datos Completos'!$I$7:$I$5000, '📈 Datos Completos'!$B$7:$B$5000, B143, '📈 Datos Completos'!$D$7:$D$5000, C143))</f>
        <v/>
      </c>
      <c r="I143" s="19" t="str">
        <f t="shared" si="19"/>
        <v/>
      </c>
      <c r="J143" s="19" t="str">
        <f t="shared" si="20"/>
        <v/>
      </c>
      <c r="K143" s="19" t="str">
        <f>IF(B143="","",IF(C143="DIA", (SUMIFS('📋 Detalle Diario'!$D$5:$D$489, '📋 Detalle Diario'!$B$5:$B$489, B143, '📋 Detalle Diario'!$C$5:$C$489, C143) * '⚙️ Supuestos'!$C$24) + '⚙️ Supuestos'!$C$23, (SUMIFS('📋 Detalle Diario'!$D$5:$D$489, '📋 Detalle Diario'!$B$5:$B$489, B143, '📋 Detalle Diario'!$C$5:$C$489, C143) * '⚙️ Supuestos'!$C$24) + '⚙️ Supuestos'!$C$33))</f>
        <v/>
      </c>
      <c r="L143" s="19" t="str">
        <f t="shared" si="21"/>
        <v/>
      </c>
      <c r="M143" s="20" t="str">
        <f t="shared" si="22"/>
        <v/>
      </c>
      <c r="N143" s="19" t="str">
        <f t="shared" si="23"/>
        <v/>
      </c>
      <c r="O143" s="25" t="str">
        <f t="shared" si="24"/>
        <v/>
      </c>
      <c r="P143" s="19" t="str">
        <f t="shared" si="25"/>
        <v/>
      </c>
      <c r="Q143" s="19" t="str">
        <f>IF(B143="","",J143-P143+(SUMIFS('📋 Detalle Diario'!$E$5:$E$489, '📋 Detalle Diario'!$B$5:$B$489, B143, '📋 Detalle Diario'!$C$5:$C$489, C143)*135)+(SUMIFS('📋 Detalle Diario'!$I$5:$I$489, '📋 Detalle Diario'!$B$5:$B$489, B143, '📋 Detalle Diario'!$C$5:$C$489, C143)*200))</f>
        <v/>
      </c>
      <c r="R143" s="20" t="str">
        <f t="shared" si="26"/>
        <v/>
      </c>
    </row>
    <row r="144" spans="2:18" ht="18" customHeight="1" x14ac:dyDescent="0.3">
      <c r="B144" s="26"/>
      <c r="C144" s="27"/>
      <c r="D144" s="18" t="str">
        <f>IF(B144="","",SUMIFS('📈 Datos Completos'!$E$7:$E$5000, '📈 Datos Completos'!$B$7:$B$5000, B144, '📈 Datos Completos'!$D$7:$D$5000, C144))</f>
        <v/>
      </c>
      <c r="E144" s="18" t="str">
        <f>IF(B144="","",SUMIFS('📈 Datos Completos'!$F$7:$F$5000, '📈 Datos Completos'!$B$7:$B$5000, B144, '📈 Datos Completos'!$D$7:$D$5000, C144))</f>
        <v/>
      </c>
      <c r="F144" s="18" t="str">
        <f>IF(B144="","",SUMIFS('📈 Datos Completos'!$G$7:$G$5000, '📈 Datos Completos'!$B$7:$B$5000, B144, '📈 Datos Completos'!$D$7:$D$5000, C144))</f>
        <v/>
      </c>
      <c r="G144" s="18" t="str">
        <f t="shared" si="18"/>
        <v/>
      </c>
      <c r="H144" s="19" t="str">
        <f>IF(B144="","",SUMIFS('📈 Datos Completos'!$I$7:$I$5000, '📈 Datos Completos'!$B$7:$B$5000, B144, '📈 Datos Completos'!$D$7:$D$5000, C144))</f>
        <v/>
      </c>
      <c r="I144" s="19" t="str">
        <f t="shared" si="19"/>
        <v/>
      </c>
      <c r="J144" s="19" t="str">
        <f t="shared" si="20"/>
        <v/>
      </c>
      <c r="K144" s="19" t="str">
        <f>IF(B144="","",IF(C144="DIA", (SUMIFS('📋 Detalle Diario'!$D$5:$D$489, '📋 Detalle Diario'!$B$5:$B$489, B144, '📋 Detalle Diario'!$C$5:$C$489, C144) * '⚙️ Supuestos'!$C$24) + '⚙️ Supuestos'!$C$23, (SUMIFS('📋 Detalle Diario'!$D$5:$D$489, '📋 Detalle Diario'!$B$5:$B$489, B144, '📋 Detalle Diario'!$C$5:$C$489, C144) * '⚙️ Supuestos'!$C$24) + '⚙️ Supuestos'!$C$33))</f>
        <v/>
      </c>
      <c r="L144" s="19" t="str">
        <f t="shared" si="21"/>
        <v/>
      </c>
      <c r="M144" s="20" t="str">
        <f t="shared" si="22"/>
        <v/>
      </c>
      <c r="N144" s="19" t="str">
        <f t="shared" si="23"/>
        <v/>
      </c>
      <c r="O144" s="27" t="str">
        <f t="shared" si="24"/>
        <v/>
      </c>
      <c r="P144" s="19" t="str">
        <f t="shared" si="25"/>
        <v/>
      </c>
      <c r="Q144" s="19" t="str">
        <f>IF(B144="","",J144-P144+(SUMIFS('📋 Detalle Diario'!$E$5:$E$489, '📋 Detalle Diario'!$B$5:$B$489, B144, '📋 Detalle Diario'!$C$5:$C$489, C144)*135)+(SUMIFS('📋 Detalle Diario'!$I$5:$I$489, '📋 Detalle Diario'!$B$5:$B$489, B144, '📋 Detalle Diario'!$C$5:$C$489, C144)*200))</f>
        <v/>
      </c>
      <c r="R144" s="20" t="str">
        <f t="shared" si="26"/>
        <v/>
      </c>
    </row>
    <row r="145" spans="2:18" ht="18" customHeight="1" x14ac:dyDescent="0.3">
      <c r="B145" s="24"/>
      <c r="C145" s="25"/>
      <c r="D145" s="18" t="str">
        <f>IF(B145="","",SUMIFS('📈 Datos Completos'!$E$7:$E$5000, '📈 Datos Completos'!$B$7:$B$5000, B145, '📈 Datos Completos'!$D$7:$D$5000, C145))</f>
        <v/>
      </c>
      <c r="E145" s="18" t="str">
        <f>IF(B145="","",SUMIFS('📈 Datos Completos'!$F$7:$F$5000, '📈 Datos Completos'!$B$7:$B$5000, B145, '📈 Datos Completos'!$D$7:$D$5000, C145))</f>
        <v/>
      </c>
      <c r="F145" s="18" t="str">
        <f>IF(B145="","",SUMIFS('📈 Datos Completos'!$G$7:$G$5000, '📈 Datos Completos'!$B$7:$B$5000, B145, '📈 Datos Completos'!$D$7:$D$5000, C145))</f>
        <v/>
      </c>
      <c r="G145" s="18" t="str">
        <f t="shared" si="18"/>
        <v/>
      </c>
      <c r="H145" s="19" t="str">
        <f>IF(B145="","",SUMIFS('📈 Datos Completos'!$I$7:$I$5000, '📈 Datos Completos'!$B$7:$B$5000, B145, '📈 Datos Completos'!$D$7:$D$5000, C145))</f>
        <v/>
      </c>
      <c r="I145" s="19" t="str">
        <f t="shared" si="19"/>
        <v/>
      </c>
      <c r="J145" s="19" t="str">
        <f t="shared" si="20"/>
        <v/>
      </c>
      <c r="K145" s="19" t="str">
        <f>IF(B145="","",IF(C145="DIA", (SUMIFS('📋 Detalle Diario'!$D$5:$D$489, '📋 Detalle Diario'!$B$5:$B$489, B145, '📋 Detalle Diario'!$C$5:$C$489, C145) * '⚙️ Supuestos'!$C$24) + '⚙️ Supuestos'!$C$23, (SUMIFS('📋 Detalle Diario'!$D$5:$D$489, '📋 Detalle Diario'!$B$5:$B$489, B145, '📋 Detalle Diario'!$C$5:$C$489, C145) * '⚙️ Supuestos'!$C$24) + '⚙️ Supuestos'!$C$33))</f>
        <v/>
      </c>
      <c r="L145" s="19" t="str">
        <f t="shared" si="21"/>
        <v/>
      </c>
      <c r="M145" s="20" t="str">
        <f t="shared" si="22"/>
        <v/>
      </c>
      <c r="N145" s="19" t="str">
        <f t="shared" si="23"/>
        <v/>
      </c>
      <c r="O145" s="25" t="str">
        <f t="shared" si="24"/>
        <v/>
      </c>
      <c r="P145" s="19" t="str">
        <f t="shared" si="25"/>
        <v/>
      </c>
      <c r="Q145" s="19" t="str">
        <f>IF(B145="","",J145-P145+(SUMIFS('📋 Detalle Diario'!$E$5:$E$489, '📋 Detalle Diario'!$B$5:$B$489, B145, '📋 Detalle Diario'!$C$5:$C$489, C145)*135)+(SUMIFS('📋 Detalle Diario'!$I$5:$I$489, '📋 Detalle Diario'!$B$5:$B$489, B145, '📋 Detalle Diario'!$C$5:$C$489, C145)*200))</f>
        <v/>
      </c>
      <c r="R145" s="20" t="str">
        <f t="shared" si="26"/>
        <v/>
      </c>
    </row>
    <row r="146" spans="2:18" ht="18" customHeight="1" x14ac:dyDescent="0.3">
      <c r="B146" s="26"/>
      <c r="C146" s="27"/>
      <c r="D146" s="18" t="str">
        <f>IF(B146="","",SUMIFS('📈 Datos Completos'!$E$7:$E$5000, '📈 Datos Completos'!$B$7:$B$5000, B146, '📈 Datos Completos'!$D$7:$D$5000, C146))</f>
        <v/>
      </c>
      <c r="E146" s="18" t="str">
        <f>IF(B146="","",SUMIFS('📈 Datos Completos'!$F$7:$F$5000, '📈 Datos Completos'!$B$7:$B$5000, B146, '📈 Datos Completos'!$D$7:$D$5000, C146))</f>
        <v/>
      </c>
      <c r="F146" s="18" t="str">
        <f>IF(B146="","",SUMIFS('📈 Datos Completos'!$G$7:$G$5000, '📈 Datos Completos'!$B$7:$B$5000, B146, '📈 Datos Completos'!$D$7:$D$5000, C146))</f>
        <v/>
      </c>
      <c r="G146" s="18" t="str">
        <f t="shared" si="18"/>
        <v/>
      </c>
      <c r="H146" s="19" t="str">
        <f>IF(B146="","",SUMIFS('📈 Datos Completos'!$I$7:$I$5000, '📈 Datos Completos'!$B$7:$B$5000, B146, '📈 Datos Completos'!$D$7:$D$5000, C146))</f>
        <v/>
      </c>
      <c r="I146" s="19" t="str">
        <f t="shared" si="19"/>
        <v/>
      </c>
      <c r="J146" s="19" t="str">
        <f t="shared" si="20"/>
        <v/>
      </c>
      <c r="K146" s="19" t="str">
        <f>IF(B146="","",IF(C146="DIA", (SUMIFS('📋 Detalle Diario'!$D$5:$D$489, '📋 Detalle Diario'!$B$5:$B$489, B146, '📋 Detalle Diario'!$C$5:$C$489, C146) * '⚙️ Supuestos'!$C$24) + '⚙️ Supuestos'!$C$23, (SUMIFS('📋 Detalle Diario'!$D$5:$D$489, '📋 Detalle Diario'!$B$5:$B$489, B146, '📋 Detalle Diario'!$C$5:$C$489, C146) * '⚙️ Supuestos'!$C$24) + '⚙️ Supuestos'!$C$33))</f>
        <v/>
      </c>
      <c r="L146" s="19" t="str">
        <f t="shared" si="21"/>
        <v/>
      </c>
      <c r="M146" s="20" t="str">
        <f t="shared" si="22"/>
        <v/>
      </c>
      <c r="N146" s="19" t="str">
        <f t="shared" si="23"/>
        <v/>
      </c>
      <c r="O146" s="27" t="str">
        <f t="shared" si="24"/>
        <v/>
      </c>
      <c r="P146" s="19" t="str">
        <f t="shared" si="25"/>
        <v/>
      </c>
      <c r="Q146" s="19" t="str">
        <f>IF(B146="","",J146-P146+(SUMIFS('📋 Detalle Diario'!$E$5:$E$489, '📋 Detalle Diario'!$B$5:$B$489, B146, '📋 Detalle Diario'!$C$5:$C$489, C146)*135)+(SUMIFS('📋 Detalle Diario'!$I$5:$I$489, '📋 Detalle Diario'!$B$5:$B$489, B146, '📋 Detalle Diario'!$C$5:$C$489, C146)*200))</f>
        <v/>
      </c>
      <c r="R146" s="20" t="str">
        <f t="shared" si="26"/>
        <v/>
      </c>
    </row>
    <row r="147" spans="2:18" ht="18" customHeight="1" x14ac:dyDescent="0.3">
      <c r="B147" s="24"/>
      <c r="C147" s="25"/>
      <c r="D147" s="18" t="str">
        <f>IF(B147="","",SUMIFS('📈 Datos Completos'!$E$7:$E$5000, '📈 Datos Completos'!$B$7:$B$5000, B147, '📈 Datos Completos'!$D$7:$D$5000, C147))</f>
        <v/>
      </c>
      <c r="E147" s="18" t="str">
        <f>IF(B147="","",SUMIFS('📈 Datos Completos'!$F$7:$F$5000, '📈 Datos Completos'!$B$7:$B$5000, B147, '📈 Datos Completos'!$D$7:$D$5000, C147))</f>
        <v/>
      </c>
      <c r="F147" s="18" t="str">
        <f>IF(B147="","",SUMIFS('📈 Datos Completos'!$G$7:$G$5000, '📈 Datos Completos'!$B$7:$B$5000, B147, '📈 Datos Completos'!$D$7:$D$5000, C147))</f>
        <v/>
      </c>
      <c r="G147" s="18" t="str">
        <f t="shared" si="18"/>
        <v/>
      </c>
      <c r="H147" s="19" t="str">
        <f>IF(B147="","",SUMIFS('📈 Datos Completos'!$I$7:$I$5000, '📈 Datos Completos'!$B$7:$B$5000, B147, '📈 Datos Completos'!$D$7:$D$5000, C147))</f>
        <v/>
      </c>
      <c r="I147" s="19" t="str">
        <f t="shared" si="19"/>
        <v/>
      </c>
      <c r="J147" s="19" t="str">
        <f t="shared" si="20"/>
        <v/>
      </c>
      <c r="K147" s="19" t="str">
        <f>IF(B147="","",IF(C147="DIA", (SUMIFS('📋 Detalle Diario'!$D$5:$D$489, '📋 Detalle Diario'!$B$5:$B$489, B147, '📋 Detalle Diario'!$C$5:$C$489, C147) * '⚙️ Supuestos'!$C$24) + '⚙️ Supuestos'!$C$23, (SUMIFS('📋 Detalle Diario'!$D$5:$D$489, '📋 Detalle Diario'!$B$5:$B$489, B147, '📋 Detalle Diario'!$C$5:$C$489, C147) * '⚙️ Supuestos'!$C$24) + '⚙️ Supuestos'!$C$33))</f>
        <v/>
      </c>
      <c r="L147" s="19" t="str">
        <f t="shared" si="21"/>
        <v/>
      </c>
      <c r="M147" s="20" t="str">
        <f t="shared" si="22"/>
        <v/>
      </c>
      <c r="N147" s="19" t="str">
        <f t="shared" si="23"/>
        <v/>
      </c>
      <c r="O147" s="25" t="str">
        <f t="shared" si="24"/>
        <v/>
      </c>
      <c r="P147" s="19" t="str">
        <f t="shared" si="25"/>
        <v/>
      </c>
      <c r="Q147" s="19" t="str">
        <f>IF(B147="","",J147-P147+(SUMIFS('📋 Detalle Diario'!$E$5:$E$489, '📋 Detalle Diario'!$B$5:$B$489, B147, '📋 Detalle Diario'!$C$5:$C$489, C147)*135)+(SUMIFS('📋 Detalle Diario'!$I$5:$I$489, '📋 Detalle Diario'!$B$5:$B$489, B147, '📋 Detalle Diario'!$C$5:$C$489, C147)*200))</f>
        <v/>
      </c>
      <c r="R147" s="20" t="str">
        <f t="shared" si="26"/>
        <v/>
      </c>
    </row>
    <row r="148" spans="2:18" ht="18" customHeight="1" x14ac:dyDescent="0.3">
      <c r="B148" s="26"/>
      <c r="C148" s="27"/>
      <c r="D148" s="18" t="str">
        <f>IF(B148="","",SUMIFS('📈 Datos Completos'!$E$7:$E$5000, '📈 Datos Completos'!$B$7:$B$5000, B148, '📈 Datos Completos'!$D$7:$D$5000, C148))</f>
        <v/>
      </c>
      <c r="E148" s="18" t="str">
        <f>IF(B148="","",SUMIFS('📈 Datos Completos'!$F$7:$F$5000, '📈 Datos Completos'!$B$7:$B$5000, B148, '📈 Datos Completos'!$D$7:$D$5000, C148))</f>
        <v/>
      </c>
      <c r="F148" s="18" t="str">
        <f>IF(B148="","",SUMIFS('📈 Datos Completos'!$G$7:$G$5000, '📈 Datos Completos'!$B$7:$B$5000, B148, '📈 Datos Completos'!$D$7:$D$5000, C148))</f>
        <v/>
      </c>
      <c r="G148" s="18" t="str">
        <f t="shared" si="18"/>
        <v/>
      </c>
      <c r="H148" s="19" t="str">
        <f>IF(B148="","",SUMIFS('📈 Datos Completos'!$I$7:$I$5000, '📈 Datos Completos'!$B$7:$B$5000, B148, '📈 Datos Completos'!$D$7:$D$5000, C148))</f>
        <v/>
      </c>
      <c r="I148" s="19" t="str">
        <f t="shared" si="19"/>
        <v/>
      </c>
      <c r="J148" s="19" t="str">
        <f t="shared" si="20"/>
        <v/>
      </c>
      <c r="K148" s="19" t="str">
        <f>IF(B148="","",IF(C148="DIA", (SUMIFS('📋 Detalle Diario'!$D$5:$D$489, '📋 Detalle Diario'!$B$5:$B$489, B148, '📋 Detalle Diario'!$C$5:$C$489, C148) * '⚙️ Supuestos'!$C$24) + '⚙️ Supuestos'!$C$23, (SUMIFS('📋 Detalle Diario'!$D$5:$D$489, '📋 Detalle Diario'!$B$5:$B$489, B148, '📋 Detalle Diario'!$C$5:$C$489, C148) * '⚙️ Supuestos'!$C$24) + '⚙️ Supuestos'!$C$33))</f>
        <v/>
      </c>
      <c r="L148" s="19" t="str">
        <f t="shared" si="21"/>
        <v/>
      </c>
      <c r="M148" s="20" t="str">
        <f t="shared" si="22"/>
        <v/>
      </c>
      <c r="N148" s="19" t="str">
        <f t="shared" si="23"/>
        <v/>
      </c>
      <c r="O148" s="27" t="str">
        <f t="shared" si="24"/>
        <v/>
      </c>
      <c r="P148" s="19" t="str">
        <f t="shared" si="25"/>
        <v/>
      </c>
      <c r="Q148" s="19" t="str">
        <f>IF(B148="","",J148-P148+(SUMIFS('📋 Detalle Diario'!$E$5:$E$489, '📋 Detalle Diario'!$B$5:$B$489, B148, '📋 Detalle Diario'!$C$5:$C$489, C148)*135)+(SUMIFS('📋 Detalle Diario'!$I$5:$I$489, '📋 Detalle Diario'!$B$5:$B$489, B148, '📋 Detalle Diario'!$C$5:$C$489, C148)*200))</f>
        <v/>
      </c>
      <c r="R148" s="20" t="str">
        <f t="shared" si="26"/>
        <v/>
      </c>
    </row>
    <row r="149" spans="2:18" ht="18" customHeight="1" x14ac:dyDescent="0.3">
      <c r="B149" s="24"/>
      <c r="C149" s="25"/>
      <c r="D149" s="18" t="str">
        <f>IF(B149="","",SUMIFS('📈 Datos Completos'!$E$7:$E$5000, '📈 Datos Completos'!$B$7:$B$5000, B149, '📈 Datos Completos'!$D$7:$D$5000, C149))</f>
        <v/>
      </c>
      <c r="E149" s="18" t="str">
        <f>IF(B149="","",SUMIFS('📈 Datos Completos'!$F$7:$F$5000, '📈 Datos Completos'!$B$7:$B$5000, B149, '📈 Datos Completos'!$D$7:$D$5000, C149))</f>
        <v/>
      </c>
      <c r="F149" s="18" t="str">
        <f>IF(B149="","",SUMIFS('📈 Datos Completos'!$G$7:$G$5000, '📈 Datos Completos'!$B$7:$B$5000, B149, '📈 Datos Completos'!$D$7:$D$5000, C149))</f>
        <v/>
      </c>
      <c r="G149" s="18" t="str">
        <f t="shared" si="18"/>
        <v/>
      </c>
      <c r="H149" s="19" t="str">
        <f>IF(B149="","",SUMIFS('📈 Datos Completos'!$I$7:$I$5000, '📈 Datos Completos'!$B$7:$B$5000, B149, '📈 Datos Completos'!$D$7:$D$5000, C149))</f>
        <v/>
      </c>
      <c r="I149" s="19" t="str">
        <f t="shared" si="19"/>
        <v/>
      </c>
      <c r="J149" s="19" t="str">
        <f t="shared" si="20"/>
        <v/>
      </c>
      <c r="K149" s="19" t="str">
        <f>IF(B149="","",IF(C149="DIA", (SUMIFS('📋 Detalle Diario'!$D$5:$D$489, '📋 Detalle Diario'!$B$5:$B$489, B149, '📋 Detalle Diario'!$C$5:$C$489, C149) * '⚙️ Supuestos'!$C$24) + '⚙️ Supuestos'!$C$23, (SUMIFS('📋 Detalle Diario'!$D$5:$D$489, '📋 Detalle Diario'!$B$5:$B$489, B149, '📋 Detalle Diario'!$C$5:$C$489, C149) * '⚙️ Supuestos'!$C$24) + '⚙️ Supuestos'!$C$33))</f>
        <v/>
      </c>
      <c r="L149" s="19" t="str">
        <f t="shared" si="21"/>
        <v/>
      </c>
      <c r="M149" s="20" t="str">
        <f t="shared" si="22"/>
        <v/>
      </c>
      <c r="N149" s="19" t="str">
        <f t="shared" si="23"/>
        <v/>
      </c>
      <c r="O149" s="25" t="str">
        <f t="shared" si="24"/>
        <v/>
      </c>
      <c r="P149" s="19" t="str">
        <f t="shared" si="25"/>
        <v/>
      </c>
      <c r="Q149" s="19" t="str">
        <f>IF(B149="","",J149-P149+(SUMIFS('📋 Detalle Diario'!$E$5:$E$489, '📋 Detalle Diario'!$B$5:$B$489, B149, '📋 Detalle Diario'!$C$5:$C$489, C149)*135)+(SUMIFS('📋 Detalle Diario'!$I$5:$I$489, '📋 Detalle Diario'!$B$5:$B$489, B149, '📋 Detalle Diario'!$C$5:$C$489, C149)*200))</f>
        <v/>
      </c>
      <c r="R149" s="20" t="str">
        <f t="shared" si="26"/>
        <v/>
      </c>
    </row>
    <row r="150" spans="2:18" ht="18" customHeight="1" x14ac:dyDescent="0.3">
      <c r="B150" s="26"/>
      <c r="C150" s="27"/>
      <c r="D150" s="18" t="str">
        <f>IF(B150="","",SUMIFS('📈 Datos Completos'!$E$7:$E$5000, '📈 Datos Completos'!$B$7:$B$5000, B150, '📈 Datos Completos'!$D$7:$D$5000, C150))</f>
        <v/>
      </c>
      <c r="E150" s="18" t="str">
        <f>IF(B150="","",SUMIFS('📈 Datos Completos'!$F$7:$F$5000, '📈 Datos Completos'!$B$7:$B$5000, B150, '📈 Datos Completos'!$D$7:$D$5000, C150))</f>
        <v/>
      </c>
      <c r="F150" s="18" t="str">
        <f>IF(B150="","",SUMIFS('📈 Datos Completos'!$G$7:$G$5000, '📈 Datos Completos'!$B$7:$B$5000, B150, '📈 Datos Completos'!$D$7:$D$5000, C150))</f>
        <v/>
      </c>
      <c r="G150" s="18" t="str">
        <f t="shared" si="18"/>
        <v/>
      </c>
      <c r="H150" s="19" t="str">
        <f>IF(B150="","",SUMIFS('📈 Datos Completos'!$I$7:$I$5000, '📈 Datos Completos'!$B$7:$B$5000, B150, '📈 Datos Completos'!$D$7:$D$5000, C150))</f>
        <v/>
      </c>
      <c r="I150" s="19" t="str">
        <f t="shared" si="19"/>
        <v/>
      </c>
      <c r="J150" s="19" t="str">
        <f t="shared" si="20"/>
        <v/>
      </c>
      <c r="K150" s="19" t="str">
        <f>IF(B150="","",IF(C150="DIA", (SUMIFS('📋 Detalle Diario'!$D$5:$D$489, '📋 Detalle Diario'!$B$5:$B$489, B150, '📋 Detalle Diario'!$C$5:$C$489, C150) * '⚙️ Supuestos'!$C$24) + '⚙️ Supuestos'!$C$23, (SUMIFS('📋 Detalle Diario'!$D$5:$D$489, '📋 Detalle Diario'!$B$5:$B$489, B150, '📋 Detalle Diario'!$C$5:$C$489, C150) * '⚙️ Supuestos'!$C$24) + '⚙️ Supuestos'!$C$33))</f>
        <v/>
      </c>
      <c r="L150" s="19" t="str">
        <f t="shared" si="21"/>
        <v/>
      </c>
      <c r="M150" s="20" t="str">
        <f t="shared" si="22"/>
        <v/>
      </c>
      <c r="N150" s="19" t="str">
        <f t="shared" si="23"/>
        <v/>
      </c>
      <c r="O150" s="27" t="str">
        <f t="shared" si="24"/>
        <v/>
      </c>
      <c r="P150" s="19" t="str">
        <f t="shared" si="25"/>
        <v/>
      </c>
      <c r="Q150" s="19" t="str">
        <f>IF(B150="","",J150-P150+(SUMIFS('📋 Detalle Diario'!$E$5:$E$489, '📋 Detalle Diario'!$B$5:$B$489, B150, '📋 Detalle Diario'!$C$5:$C$489, C150)*135)+(SUMIFS('📋 Detalle Diario'!$I$5:$I$489, '📋 Detalle Diario'!$B$5:$B$489, B150, '📋 Detalle Diario'!$C$5:$C$489, C150)*200))</f>
        <v/>
      </c>
      <c r="R150" s="20" t="str">
        <f t="shared" si="26"/>
        <v/>
      </c>
    </row>
    <row r="151" spans="2:18" ht="18" customHeight="1" x14ac:dyDescent="0.3">
      <c r="B151" s="24"/>
      <c r="C151" s="25"/>
      <c r="D151" s="18" t="str">
        <f>IF(B151="","",SUMIFS('📈 Datos Completos'!$E$7:$E$5000, '📈 Datos Completos'!$B$7:$B$5000, B151, '📈 Datos Completos'!$D$7:$D$5000, C151))</f>
        <v/>
      </c>
      <c r="E151" s="18" t="str">
        <f>IF(B151="","",SUMIFS('📈 Datos Completos'!$F$7:$F$5000, '📈 Datos Completos'!$B$7:$B$5000, B151, '📈 Datos Completos'!$D$7:$D$5000, C151))</f>
        <v/>
      </c>
      <c r="F151" s="18" t="str">
        <f>IF(B151="","",SUMIFS('📈 Datos Completos'!$G$7:$G$5000, '📈 Datos Completos'!$B$7:$B$5000, B151, '📈 Datos Completos'!$D$7:$D$5000, C151))</f>
        <v/>
      </c>
      <c r="G151" s="18" t="str">
        <f t="shared" si="18"/>
        <v/>
      </c>
      <c r="H151" s="19" t="str">
        <f>IF(B151="","",SUMIFS('📈 Datos Completos'!$I$7:$I$5000, '📈 Datos Completos'!$B$7:$B$5000, B151, '📈 Datos Completos'!$D$7:$D$5000, C151))</f>
        <v/>
      </c>
      <c r="I151" s="19" t="str">
        <f t="shared" si="19"/>
        <v/>
      </c>
      <c r="J151" s="19" t="str">
        <f t="shared" si="20"/>
        <v/>
      </c>
      <c r="K151" s="19" t="str">
        <f>IF(B151="","",IF(C151="DIA", (SUMIFS('📋 Detalle Diario'!$D$5:$D$489, '📋 Detalle Diario'!$B$5:$B$489, B151, '📋 Detalle Diario'!$C$5:$C$489, C151) * '⚙️ Supuestos'!$C$24) + '⚙️ Supuestos'!$C$23, (SUMIFS('📋 Detalle Diario'!$D$5:$D$489, '📋 Detalle Diario'!$B$5:$B$489, B151, '📋 Detalle Diario'!$C$5:$C$489, C151) * '⚙️ Supuestos'!$C$24) + '⚙️ Supuestos'!$C$33))</f>
        <v/>
      </c>
      <c r="L151" s="19" t="str">
        <f t="shared" si="21"/>
        <v/>
      </c>
      <c r="M151" s="20" t="str">
        <f t="shared" si="22"/>
        <v/>
      </c>
      <c r="N151" s="19" t="str">
        <f t="shared" si="23"/>
        <v/>
      </c>
      <c r="O151" s="25" t="str">
        <f t="shared" si="24"/>
        <v/>
      </c>
      <c r="P151" s="19" t="str">
        <f t="shared" si="25"/>
        <v/>
      </c>
      <c r="Q151" s="19" t="str">
        <f>IF(B151="","",J151-P151+(SUMIFS('📋 Detalle Diario'!$E$5:$E$489, '📋 Detalle Diario'!$B$5:$B$489, B151, '📋 Detalle Diario'!$C$5:$C$489, C151)*135)+(SUMIFS('📋 Detalle Diario'!$I$5:$I$489, '📋 Detalle Diario'!$B$5:$B$489, B151, '📋 Detalle Diario'!$C$5:$C$489, C151)*200))</f>
        <v/>
      </c>
      <c r="R151" s="20" t="str">
        <f t="shared" si="26"/>
        <v/>
      </c>
    </row>
    <row r="152" spans="2:18" ht="18" customHeight="1" x14ac:dyDescent="0.3">
      <c r="B152" s="26"/>
      <c r="C152" s="27"/>
      <c r="D152" s="18" t="str">
        <f>IF(B152="","",SUMIFS('📈 Datos Completos'!$E$7:$E$5000, '📈 Datos Completos'!$B$7:$B$5000, B152, '📈 Datos Completos'!$D$7:$D$5000, C152))</f>
        <v/>
      </c>
      <c r="E152" s="18" t="str">
        <f>IF(B152="","",SUMIFS('📈 Datos Completos'!$F$7:$F$5000, '📈 Datos Completos'!$B$7:$B$5000, B152, '📈 Datos Completos'!$D$7:$D$5000, C152))</f>
        <v/>
      </c>
      <c r="F152" s="18" t="str">
        <f>IF(B152="","",SUMIFS('📈 Datos Completos'!$G$7:$G$5000, '📈 Datos Completos'!$B$7:$B$5000, B152, '📈 Datos Completos'!$D$7:$D$5000, C152))</f>
        <v/>
      </c>
      <c r="G152" s="18" t="str">
        <f t="shared" si="18"/>
        <v/>
      </c>
      <c r="H152" s="19" t="str">
        <f>IF(B152="","",SUMIFS('📈 Datos Completos'!$I$7:$I$5000, '📈 Datos Completos'!$B$7:$B$5000, B152, '📈 Datos Completos'!$D$7:$D$5000, C152))</f>
        <v/>
      </c>
      <c r="I152" s="19" t="str">
        <f t="shared" si="19"/>
        <v/>
      </c>
      <c r="J152" s="19" t="str">
        <f t="shared" si="20"/>
        <v/>
      </c>
      <c r="K152" s="19" t="str">
        <f>IF(B152="","",IF(C152="DIA", (SUMIFS('📋 Detalle Diario'!$D$5:$D$489, '📋 Detalle Diario'!$B$5:$B$489, B152, '📋 Detalle Diario'!$C$5:$C$489, C152) * '⚙️ Supuestos'!$C$24) + '⚙️ Supuestos'!$C$23, (SUMIFS('📋 Detalle Diario'!$D$5:$D$489, '📋 Detalle Diario'!$B$5:$B$489, B152, '📋 Detalle Diario'!$C$5:$C$489, C152) * '⚙️ Supuestos'!$C$24) + '⚙️ Supuestos'!$C$33))</f>
        <v/>
      </c>
      <c r="L152" s="19" t="str">
        <f t="shared" si="21"/>
        <v/>
      </c>
      <c r="M152" s="20" t="str">
        <f t="shared" si="22"/>
        <v/>
      </c>
      <c r="N152" s="19" t="str">
        <f t="shared" si="23"/>
        <v/>
      </c>
      <c r="O152" s="27" t="str">
        <f t="shared" si="24"/>
        <v/>
      </c>
      <c r="P152" s="19" t="str">
        <f t="shared" si="25"/>
        <v/>
      </c>
      <c r="Q152" s="19" t="str">
        <f>IF(B152="","",J152-P152+(SUMIFS('📋 Detalle Diario'!$E$5:$E$489, '📋 Detalle Diario'!$B$5:$B$489, B152, '📋 Detalle Diario'!$C$5:$C$489, C152)*135)+(SUMIFS('📋 Detalle Diario'!$I$5:$I$489, '📋 Detalle Diario'!$B$5:$B$489, B152, '📋 Detalle Diario'!$C$5:$C$489, C152)*200))</f>
        <v/>
      </c>
      <c r="R152" s="20" t="str">
        <f t="shared" si="26"/>
        <v/>
      </c>
    </row>
    <row r="153" spans="2:18" ht="18" customHeight="1" x14ac:dyDescent="0.3">
      <c r="B153" s="24"/>
      <c r="C153" s="25"/>
      <c r="D153" s="18" t="str">
        <f>IF(B153="","",SUMIFS('📈 Datos Completos'!$E$7:$E$5000, '📈 Datos Completos'!$B$7:$B$5000, B153, '📈 Datos Completos'!$D$7:$D$5000, C153))</f>
        <v/>
      </c>
      <c r="E153" s="18" t="str">
        <f>IF(B153="","",SUMIFS('📈 Datos Completos'!$F$7:$F$5000, '📈 Datos Completos'!$B$7:$B$5000, B153, '📈 Datos Completos'!$D$7:$D$5000, C153))</f>
        <v/>
      </c>
      <c r="F153" s="18" t="str">
        <f>IF(B153="","",SUMIFS('📈 Datos Completos'!$G$7:$G$5000, '📈 Datos Completos'!$B$7:$B$5000, B153, '📈 Datos Completos'!$D$7:$D$5000, C153))</f>
        <v/>
      </c>
      <c r="G153" s="18" t="str">
        <f t="shared" si="18"/>
        <v/>
      </c>
      <c r="H153" s="19" t="str">
        <f>IF(B153="","",SUMIFS('📈 Datos Completos'!$I$7:$I$5000, '📈 Datos Completos'!$B$7:$B$5000, B153, '📈 Datos Completos'!$D$7:$D$5000, C153))</f>
        <v/>
      </c>
      <c r="I153" s="19" t="str">
        <f t="shared" si="19"/>
        <v/>
      </c>
      <c r="J153" s="19" t="str">
        <f t="shared" si="20"/>
        <v/>
      </c>
      <c r="K153" s="19" t="str">
        <f>IF(B153="","",IF(C153="DIA", (SUMIFS('📋 Detalle Diario'!$D$5:$D$489, '📋 Detalle Diario'!$B$5:$B$489, B153, '📋 Detalle Diario'!$C$5:$C$489, C153) * '⚙️ Supuestos'!$C$24) + '⚙️ Supuestos'!$C$23, (SUMIFS('📋 Detalle Diario'!$D$5:$D$489, '📋 Detalle Diario'!$B$5:$B$489, B153, '📋 Detalle Diario'!$C$5:$C$489, C153) * '⚙️ Supuestos'!$C$24) + '⚙️ Supuestos'!$C$33))</f>
        <v/>
      </c>
      <c r="L153" s="19" t="str">
        <f t="shared" si="21"/>
        <v/>
      </c>
      <c r="M153" s="20" t="str">
        <f t="shared" si="22"/>
        <v/>
      </c>
      <c r="N153" s="19" t="str">
        <f t="shared" si="23"/>
        <v/>
      </c>
      <c r="O153" s="25" t="str">
        <f t="shared" si="24"/>
        <v/>
      </c>
      <c r="P153" s="19" t="str">
        <f t="shared" si="25"/>
        <v/>
      </c>
      <c r="Q153" s="19" t="str">
        <f>IF(B153="","",J153-P153+(SUMIFS('📋 Detalle Diario'!$E$5:$E$489, '📋 Detalle Diario'!$B$5:$B$489, B153, '📋 Detalle Diario'!$C$5:$C$489, C153)*135)+(SUMIFS('📋 Detalle Diario'!$I$5:$I$489, '📋 Detalle Diario'!$B$5:$B$489, B153, '📋 Detalle Diario'!$C$5:$C$489, C153)*200))</f>
        <v/>
      </c>
      <c r="R153" s="20" t="str">
        <f t="shared" si="26"/>
        <v/>
      </c>
    </row>
    <row r="154" spans="2:18" ht="18" customHeight="1" x14ac:dyDescent="0.3">
      <c r="B154" s="26"/>
      <c r="C154" s="27"/>
      <c r="D154" s="18" t="str">
        <f>IF(B154="","",SUMIFS('📈 Datos Completos'!$E$7:$E$5000, '📈 Datos Completos'!$B$7:$B$5000, B154, '📈 Datos Completos'!$D$7:$D$5000, C154))</f>
        <v/>
      </c>
      <c r="E154" s="18" t="str">
        <f>IF(B154="","",SUMIFS('📈 Datos Completos'!$F$7:$F$5000, '📈 Datos Completos'!$B$7:$B$5000, B154, '📈 Datos Completos'!$D$7:$D$5000, C154))</f>
        <v/>
      </c>
      <c r="F154" s="18" t="str">
        <f>IF(B154="","",SUMIFS('📈 Datos Completos'!$G$7:$G$5000, '📈 Datos Completos'!$B$7:$B$5000, B154, '📈 Datos Completos'!$D$7:$D$5000, C154))</f>
        <v/>
      </c>
      <c r="G154" s="18" t="str">
        <f t="shared" si="18"/>
        <v/>
      </c>
      <c r="H154" s="19" t="str">
        <f>IF(B154="","",SUMIFS('📈 Datos Completos'!$I$7:$I$5000, '📈 Datos Completos'!$B$7:$B$5000, B154, '📈 Datos Completos'!$D$7:$D$5000, C154))</f>
        <v/>
      </c>
      <c r="I154" s="19" t="str">
        <f t="shared" si="19"/>
        <v/>
      </c>
      <c r="J154" s="19" t="str">
        <f t="shared" si="20"/>
        <v/>
      </c>
      <c r="K154" s="19" t="str">
        <f>IF(B154="","",IF(C154="DIA", (SUMIFS('📋 Detalle Diario'!$D$5:$D$489, '📋 Detalle Diario'!$B$5:$B$489, B154, '📋 Detalle Diario'!$C$5:$C$489, C154) * '⚙️ Supuestos'!$C$24) + '⚙️ Supuestos'!$C$23, (SUMIFS('📋 Detalle Diario'!$D$5:$D$489, '📋 Detalle Diario'!$B$5:$B$489, B154, '📋 Detalle Diario'!$C$5:$C$489, C154) * '⚙️ Supuestos'!$C$24) + '⚙️ Supuestos'!$C$33))</f>
        <v/>
      </c>
      <c r="L154" s="19" t="str">
        <f t="shared" si="21"/>
        <v/>
      </c>
      <c r="M154" s="20" t="str">
        <f t="shared" si="22"/>
        <v/>
      </c>
      <c r="N154" s="19" t="str">
        <f t="shared" si="23"/>
        <v/>
      </c>
      <c r="O154" s="27" t="str">
        <f t="shared" si="24"/>
        <v/>
      </c>
      <c r="P154" s="19" t="str">
        <f t="shared" si="25"/>
        <v/>
      </c>
      <c r="Q154" s="19" t="str">
        <f>IF(B154="","",J154-P154+(SUMIFS('📋 Detalle Diario'!$E$5:$E$489, '📋 Detalle Diario'!$B$5:$B$489, B154, '📋 Detalle Diario'!$C$5:$C$489, C154)*135)+(SUMIFS('📋 Detalle Diario'!$I$5:$I$489, '📋 Detalle Diario'!$B$5:$B$489, B154, '📋 Detalle Diario'!$C$5:$C$489, C154)*200))</f>
        <v/>
      </c>
      <c r="R154" s="20" t="str">
        <f t="shared" si="26"/>
        <v/>
      </c>
    </row>
    <row r="155" spans="2:18" ht="18" customHeight="1" x14ac:dyDescent="0.3">
      <c r="B155" s="24"/>
      <c r="C155" s="25"/>
      <c r="D155" s="18" t="str">
        <f>IF(B155="","",SUMIFS('📈 Datos Completos'!$E$7:$E$5000, '📈 Datos Completos'!$B$7:$B$5000, B155, '📈 Datos Completos'!$D$7:$D$5000, C155))</f>
        <v/>
      </c>
      <c r="E155" s="18" t="str">
        <f>IF(B155="","",SUMIFS('📈 Datos Completos'!$F$7:$F$5000, '📈 Datos Completos'!$B$7:$B$5000, B155, '📈 Datos Completos'!$D$7:$D$5000, C155))</f>
        <v/>
      </c>
      <c r="F155" s="18" t="str">
        <f>IF(B155="","",SUMIFS('📈 Datos Completos'!$G$7:$G$5000, '📈 Datos Completos'!$B$7:$B$5000, B155, '📈 Datos Completos'!$D$7:$D$5000, C155))</f>
        <v/>
      </c>
      <c r="G155" s="18" t="str">
        <f t="shared" si="18"/>
        <v/>
      </c>
      <c r="H155" s="19" t="str">
        <f>IF(B155="","",SUMIFS('📈 Datos Completos'!$I$7:$I$5000, '📈 Datos Completos'!$B$7:$B$5000, B155, '📈 Datos Completos'!$D$7:$D$5000, C155))</f>
        <v/>
      </c>
      <c r="I155" s="19" t="str">
        <f t="shared" si="19"/>
        <v/>
      </c>
      <c r="J155" s="19" t="str">
        <f t="shared" si="20"/>
        <v/>
      </c>
      <c r="K155" s="19" t="str">
        <f>IF(B155="","",IF(C155="DIA", (SUMIFS('📋 Detalle Diario'!$D$5:$D$489, '📋 Detalle Diario'!$B$5:$B$489, B155, '📋 Detalle Diario'!$C$5:$C$489, C155) * '⚙️ Supuestos'!$C$24) + '⚙️ Supuestos'!$C$23, (SUMIFS('📋 Detalle Diario'!$D$5:$D$489, '📋 Detalle Diario'!$B$5:$B$489, B155, '📋 Detalle Diario'!$C$5:$C$489, C155) * '⚙️ Supuestos'!$C$24) + '⚙️ Supuestos'!$C$33))</f>
        <v/>
      </c>
      <c r="L155" s="19" t="str">
        <f t="shared" si="21"/>
        <v/>
      </c>
      <c r="M155" s="20" t="str">
        <f t="shared" si="22"/>
        <v/>
      </c>
      <c r="N155" s="19" t="str">
        <f t="shared" si="23"/>
        <v/>
      </c>
      <c r="O155" s="25" t="str">
        <f t="shared" si="24"/>
        <v/>
      </c>
      <c r="P155" s="19" t="str">
        <f t="shared" si="25"/>
        <v/>
      </c>
      <c r="Q155" s="19" t="str">
        <f>IF(B155="","",J155-P155+(SUMIFS('📋 Detalle Diario'!$E$5:$E$489, '📋 Detalle Diario'!$B$5:$B$489, B155, '📋 Detalle Diario'!$C$5:$C$489, C155)*135)+(SUMIFS('📋 Detalle Diario'!$I$5:$I$489, '📋 Detalle Diario'!$B$5:$B$489, B155, '📋 Detalle Diario'!$C$5:$C$489, C155)*200))</f>
        <v/>
      </c>
      <c r="R155" s="20" t="str">
        <f t="shared" si="26"/>
        <v/>
      </c>
    </row>
    <row r="156" spans="2:18" ht="18" customHeight="1" x14ac:dyDescent="0.3">
      <c r="B156" s="26"/>
      <c r="C156" s="27"/>
      <c r="D156" s="18" t="str">
        <f>IF(B156="","",SUMIFS('📈 Datos Completos'!$E$7:$E$5000, '📈 Datos Completos'!$B$7:$B$5000, B156, '📈 Datos Completos'!$D$7:$D$5000, C156))</f>
        <v/>
      </c>
      <c r="E156" s="18" t="str">
        <f>IF(B156="","",SUMIFS('📈 Datos Completos'!$F$7:$F$5000, '📈 Datos Completos'!$B$7:$B$5000, B156, '📈 Datos Completos'!$D$7:$D$5000, C156))</f>
        <v/>
      </c>
      <c r="F156" s="18" t="str">
        <f>IF(B156="","",SUMIFS('📈 Datos Completos'!$G$7:$G$5000, '📈 Datos Completos'!$B$7:$B$5000, B156, '📈 Datos Completos'!$D$7:$D$5000, C156))</f>
        <v/>
      </c>
      <c r="G156" s="18" t="str">
        <f t="shared" si="18"/>
        <v/>
      </c>
      <c r="H156" s="19" t="str">
        <f>IF(B156="","",SUMIFS('📈 Datos Completos'!$I$7:$I$5000, '📈 Datos Completos'!$B$7:$B$5000, B156, '📈 Datos Completos'!$D$7:$D$5000, C156))</f>
        <v/>
      </c>
      <c r="I156" s="19" t="str">
        <f t="shared" si="19"/>
        <v/>
      </c>
      <c r="J156" s="19" t="str">
        <f t="shared" si="20"/>
        <v/>
      </c>
      <c r="K156" s="19" t="str">
        <f>IF(B156="","",IF(C156="DIA", (SUMIFS('📋 Detalle Diario'!$D$5:$D$489, '📋 Detalle Diario'!$B$5:$B$489, B156, '📋 Detalle Diario'!$C$5:$C$489, C156) * '⚙️ Supuestos'!$C$24) + '⚙️ Supuestos'!$C$23, (SUMIFS('📋 Detalle Diario'!$D$5:$D$489, '📋 Detalle Diario'!$B$5:$B$489, B156, '📋 Detalle Diario'!$C$5:$C$489, C156) * '⚙️ Supuestos'!$C$24) + '⚙️ Supuestos'!$C$33))</f>
        <v/>
      </c>
      <c r="L156" s="19" t="str">
        <f t="shared" si="21"/>
        <v/>
      </c>
      <c r="M156" s="20" t="str">
        <f t="shared" si="22"/>
        <v/>
      </c>
      <c r="N156" s="19" t="str">
        <f t="shared" si="23"/>
        <v/>
      </c>
      <c r="O156" s="27" t="str">
        <f t="shared" si="24"/>
        <v/>
      </c>
      <c r="P156" s="19" t="str">
        <f t="shared" si="25"/>
        <v/>
      </c>
      <c r="Q156" s="19" t="str">
        <f>IF(B156="","",J156-P156+(SUMIFS('📋 Detalle Diario'!$E$5:$E$489, '📋 Detalle Diario'!$B$5:$B$489, B156, '📋 Detalle Diario'!$C$5:$C$489, C156)*135)+(SUMIFS('📋 Detalle Diario'!$I$5:$I$489, '📋 Detalle Diario'!$B$5:$B$489, B156, '📋 Detalle Diario'!$C$5:$C$489, C156)*200))</f>
        <v/>
      </c>
      <c r="R156" s="20" t="str">
        <f t="shared" si="26"/>
        <v/>
      </c>
    </row>
    <row r="157" spans="2:18" ht="18" customHeight="1" x14ac:dyDescent="0.3">
      <c r="B157" s="24"/>
      <c r="C157" s="25"/>
      <c r="D157" s="18" t="str">
        <f>IF(B157="","",SUMIFS('📈 Datos Completos'!$E$7:$E$5000, '📈 Datos Completos'!$B$7:$B$5000, B157, '📈 Datos Completos'!$D$7:$D$5000, C157))</f>
        <v/>
      </c>
      <c r="E157" s="18" t="str">
        <f>IF(B157="","",SUMIFS('📈 Datos Completos'!$F$7:$F$5000, '📈 Datos Completos'!$B$7:$B$5000, B157, '📈 Datos Completos'!$D$7:$D$5000, C157))</f>
        <v/>
      </c>
      <c r="F157" s="18" t="str">
        <f>IF(B157="","",SUMIFS('📈 Datos Completos'!$G$7:$G$5000, '📈 Datos Completos'!$B$7:$B$5000, B157, '📈 Datos Completos'!$D$7:$D$5000, C157))</f>
        <v/>
      </c>
      <c r="G157" s="18" t="str">
        <f t="shared" si="18"/>
        <v/>
      </c>
      <c r="H157" s="19" t="str">
        <f>IF(B157="","",SUMIFS('📈 Datos Completos'!$I$7:$I$5000, '📈 Datos Completos'!$B$7:$B$5000, B157, '📈 Datos Completos'!$D$7:$D$5000, C157))</f>
        <v/>
      </c>
      <c r="I157" s="19" t="str">
        <f t="shared" si="19"/>
        <v/>
      </c>
      <c r="J157" s="19" t="str">
        <f t="shared" si="20"/>
        <v/>
      </c>
      <c r="K157" s="19" t="str">
        <f>IF(B157="","",IF(C157="DIA", (SUMIFS('📋 Detalle Diario'!$D$5:$D$489, '📋 Detalle Diario'!$B$5:$B$489, B157, '📋 Detalle Diario'!$C$5:$C$489, C157) * '⚙️ Supuestos'!$C$24) + '⚙️ Supuestos'!$C$23, (SUMIFS('📋 Detalle Diario'!$D$5:$D$489, '📋 Detalle Diario'!$B$5:$B$489, B157, '📋 Detalle Diario'!$C$5:$C$489, C157) * '⚙️ Supuestos'!$C$24) + '⚙️ Supuestos'!$C$33))</f>
        <v/>
      </c>
      <c r="L157" s="19" t="str">
        <f t="shared" si="21"/>
        <v/>
      </c>
      <c r="M157" s="20" t="str">
        <f t="shared" si="22"/>
        <v/>
      </c>
      <c r="N157" s="19" t="str">
        <f t="shared" si="23"/>
        <v/>
      </c>
      <c r="O157" s="25" t="str">
        <f t="shared" si="24"/>
        <v/>
      </c>
      <c r="P157" s="19" t="str">
        <f t="shared" si="25"/>
        <v/>
      </c>
      <c r="Q157" s="19" t="str">
        <f>IF(B157="","",J157-P157+(SUMIFS('📋 Detalle Diario'!$E$5:$E$489, '📋 Detalle Diario'!$B$5:$B$489, B157, '📋 Detalle Diario'!$C$5:$C$489, C157)*135)+(SUMIFS('📋 Detalle Diario'!$I$5:$I$489, '📋 Detalle Diario'!$B$5:$B$489, B157, '📋 Detalle Diario'!$C$5:$C$489, C157)*200))</f>
        <v/>
      </c>
      <c r="R157" s="20" t="str">
        <f t="shared" si="26"/>
        <v/>
      </c>
    </row>
    <row r="158" spans="2:18" ht="18" customHeight="1" x14ac:dyDescent="0.3">
      <c r="B158" s="26"/>
      <c r="C158" s="27"/>
      <c r="D158" s="18" t="str">
        <f>IF(B158="","",SUMIFS('📈 Datos Completos'!$E$7:$E$5000, '📈 Datos Completos'!$B$7:$B$5000, B158, '📈 Datos Completos'!$D$7:$D$5000, C158))</f>
        <v/>
      </c>
      <c r="E158" s="18" t="str">
        <f>IF(B158="","",SUMIFS('📈 Datos Completos'!$F$7:$F$5000, '📈 Datos Completos'!$B$7:$B$5000, B158, '📈 Datos Completos'!$D$7:$D$5000, C158))</f>
        <v/>
      </c>
      <c r="F158" s="18" t="str">
        <f>IF(B158="","",SUMIFS('📈 Datos Completos'!$G$7:$G$5000, '📈 Datos Completos'!$B$7:$B$5000, B158, '📈 Datos Completos'!$D$7:$D$5000, C158))</f>
        <v/>
      </c>
      <c r="G158" s="18" t="str">
        <f t="shared" si="18"/>
        <v/>
      </c>
      <c r="H158" s="19" t="str">
        <f>IF(B158="","",SUMIFS('📈 Datos Completos'!$I$7:$I$5000, '📈 Datos Completos'!$B$7:$B$5000, B158, '📈 Datos Completos'!$D$7:$D$5000, C158))</f>
        <v/>
      </c>
      <c r="I158" s="19" t="str">
        <f t="shared" si="19"/>
        <v/>
      </c>
      <c r="J158" s="19" t="str">
        <f t="shared" si="20"/>
        <v/>
      </c>
      <c r="K158" s="19" t="str">
        <f>IF(B158="","",IF(C158="DIA", (SUMIFS('📋 Detalle Diario'!$D$5:$D$489, '📋 Detalle Diario'!$B$5:$B$489, B158, '📋 Detalle Diario'!$C$5:$C$489, C158) * '⚙️ Supuestos'!$C$24) + '⚙️ Supuestos'!$C$23, (SUMIFS('📋 Detalle Diario'!$D$5:$D$489, '📋 Detalle Diario'!$B$5:$B$489, B158, '📋 Detalle Diario'!$C$5:$C$489, C158) * '⚙️ Supuestos'!$C$24) + '⚙️ Supuestos'!$C$33))</f>
        <v/>
      </c>
      <c r="L158" s="19" t="str">
        <f t="shared" si="21"/>
        <v/>
      </c>
      <c r="M158" s="20" t="str">
        <f t="shared" si="22"/>
        <v/>
      </c>
      <c r="N158" s="19" t="str">
        <f t="shared" si="23"/>
        <v/>
      </c>
      <c r="O158" s="27" t="str">
        <f t="shared" si="24"/>
        <v/>
      </c>
      <c r="P158" s="19" t="str">
        <f t="shared" si="25"/>
        <v/>
      </c>
      <c r="Q158" s="19" t="str">
        <f>IF(B158="","",J158-P158+(SUMIFS('📋 Detalle Diario'!$E$5:$E$489, '📋 Detalle Diario'!$B$5:$B$489, B158, '📋 Detalle Diario'!$C$5:$C$489, C158)*135)+(SUMIFS('📋 Detalle Diario'!$I$5:$I$489, '📋 Detalle Diario'!$B$5:$B$489, B158, '📋 Detalle Diario'!$C$5:$C$489, C158)*200))</f>
        <v/>
      </c>
      <c r="R158" s="20" t="str">
        <f t="shared" si="26"/>
        <v/>
      </c>
    </row>
    <row r="159" spans="2:18" ht="18" customHeight="1" x14ac:dyDescent="0.3">
      <c r="B159" s="24"/>
      <c r="C159" s="25"/>
      <c r="D159" s="18" t="str">
        <f>IF(B159="","",SUMIFS('📈 Datos Completos'!$E$7:$E$5000, '📈 Datos Completos'!$B$7:$B$5000, B159, '📈 Datos Completos'!$D$7:$D$5000, C159))</f>
        <v/>
      </c>
      <c r="E159" s="18" t="str">
        <f>IF(B159="","",SUMIFS('📈 Datos Completos'!$F$7:$F$5000, '📈 Datos Completos'!$B$7:$B$5000, B159, '📈 Datos Completos'!$D$7:$D$5000, C159))</f>
        <v/>
      </c>
      <c r="F159" s="18" t="str">
        <f>IF(B159="","",SUMIFS('📈 Datos Completos'!$G$7:$G$5000, '📈 Datos Completos'!$B$7:$B$5000, B159, '📈 Datos Completos'!$D$7:$D$5000, C159))</f>
        <v/>
      </c>
      <c r="G159" s="18" t="str">
        <f t="shared" si="18"/>
        <v/>
      </c>
      <c r="H159" s="19" t="str">
        <f>IF(B159="","",SUMIFS('📈 Datos Completos'!$I$7:$I$5000, '📈 Datos Completos'!$B$7:$B$5000, B159, '📈 Datos Completos'!$D$7:$D$5000, C159))</f>
        <v/>
      </c>
      <c r="I159" s="19" t="str">
        <f t="shared" si="19"/>
        <v/>
      </c>
      <c r="J159" s="19" t="str">
        <f t="shared" si="20"/>
        <v/>
      </c>
      <c r="K159" s="19" t="str">
        <f>IF(B159="","",IF(C159="DIA", (SUMIFS('📋 Detalle Diario'!$D$5:$D$489, '📋 Detalle Diario'!$B$5:$B$489, B159, '📋 Detalle Diario'!$C$5:$C$489, C159) * '⚙️ Supuestos'!$C$24) + '⚙️ Supuestos'!$C$23, (SUMIFS('📋 Detalle Diario'!$D$5:$D$489, '📋 Detalle Diario'!$B$5:$B$489, B159, '📋 Detalle Diario'!$C$5:$C$489, C159) * '⚙️ Supuestos'!$C$24) + '⚙️ Supuestos'!$C$33))</f>
        <v/>
      </c>
      <c r="L159" s="19" t="str">
        <f t="shared" si="21"/>
        <v/>
      </c>
      <c r="M159" s="20" t="str">
        <f t="shared" si="22"/>
        <v/>
      </c>
      <c r="N159" s="19" t="str">
        <f t="shared" si="23"/>
        <v/>
      </c>
      <c r="O159" s="25" t="str">
        <f t="shared" si="24"/>
        <v/>
      </c>
      <c r="P159" s="19" t="str">
        <f t="shared" si="25"/>
        <v/>
      </c>
      <c r="Q159" s="19" t="str">
        <f>IF(B159="","",J159-P159+(SUMIFS('📋 Detalle Diario'!$E$5:$E$489, '📋 Detalle Diario'!$B$5:$B$489, B159, '📋 Detalle Diario'!$C$5:$C$489, C159)*135)+(SUMIFS('📋 Detalle Diario'!$I$5:$I$489, '📋 Detalle Diario'!$B$5:$B$489, B159, '📋 Detalle Diario'!$C$5:$C$489, C159)*200))</f>
        <v/>
      </c>
      <c r="R159" s="20" t="str">
        <f t="shared" si="26"/>
        <v/>
      </c>
    </row>
    <row r="160" spans="2:18" ht="18" customHeight="1" x14ac:dyDescent="0.3">
      <c r="B160" s="26"/>
      <c r="C160" s="27"/>
      <c r="D160" s="18" t="str">
        <f>IF(B160="","",SUMIFS('📈 Datos Completos'!$E$7:$E$5000, '📈 Datos Completos'!$B$7:$B$5000, B160, '📈 Datos Completos'!$D$7:$D$5000, C160))</f>
        <v/>
      </c>
      <c r="E160" s="18" t="str">
        <f>IF(B160="","",SUMIFS('📈 Datos Completos'!$F$7:$F$5000, '📈 Datos Completos'!$B$7:$B$5000, B160, '📈 Datos Completos'!$D$7:$D$5000, C160))</f>
        <v/>
      </c>
      <c r="F160" s="18" t="str">
        <f>IF(B160="","",SUMIFS('📈 Datos Completos'!$G$7:$G$5000, '📈 Datos Completos'!$B$7:$B$5000, B160, '📈 Datos Completos'!$D$7:$D$5000, C160))</f>
        <v/>
      </c>
      <c r="G160" s="18" t="str">
        <f t="shared" si="18"/>
        <v/>
      </c>
      <c r="H160" s="19" t="str">
        <f>IF(B160="","",SUMIFS('📈 Datos Completos'!$I$7:$I$5000, '📈 Datos Completos'!$B$7:$B$5000, B160, '📈 Datos Completos'!$D$7:$D$5000, C160))</f>
        <v/>
      </c>
      <c r="I160" s="19" t="str">
        <f t="shared" si="19"/>
        <v/>
      </c>
      <c r="J160" s="19" t="str">
        <f t="shared" si="20"/>
        <v/>
      </c>
      <c r="K160" s="19" t="str">
        <f>IF(B160="","",IF(C160="DIA", (SUMIFS('📋 Detalle Diario'!$D$5:$D$489, '📋 Detalle Diario'!$B$5:$B$489, B160, '📋 Detalle Diario'!$C$5:$C$489, C160) * '⚙️ Supuestos'!$C$24) + '⚙️ Supuestos'!$C$23, (SUMIFS('📋 Detalle Diario'!$D$5:$D$489, '📋 Detalle Diario'!$B$5:$B$489, B160, '📋 Detalle Diario'!$C$5:$C$489, C160) * '⚙️ Supuestos'!$C$24) + '⚙️ Supuestos'!$C$33))</f>
        <v/>
      </c>
      <c r="L160" s="19" t="str">
        <f t="shared" si="21"/>
        <v/>
      </c>
      <c r="M160" s="20" t="str">
        <f t="shared" si="22"/>
        <v/>
      </c>
      <c r="N160" s="19" t="str">
        <f t="shared" si="23"/>
        <v/>
      </c>
      <c r="O160" s="27" t="str">
        <f t="shared" si="24"/>
        <v/>
      </c>
      <c r="P160" s="19" t="str">
        <f t="shared" si="25"/>
        <v/>
      </c>
      <c r="Q160" s="19" t="str">
        <f>IF(B160="","",J160-P160+(SUMIFS('📋 Detalle Diario'!$E$5:$E$489, '📋 Detalle Diario'!$B$5:$B$489, B160, '📋 Detalle Diario'!$C$5:$C$489, C160)*135)+(SUMIFS('📋 Detalle Diario'!$I$5:$I$489, '📋 Detalle Diario'!$B$5:$B$489, B160, '📋 Detalle Diario'!$C$5:$C$489, C160)*200))</f>
        <v/>
      </c>
      <c r="R160" s="20" t="str">
        <f t="shared" si="26"/>
        <v/>
      </c>
    </row>
    <row r="161" spans="2:18" ht="18" customHeight="1" x14ac:dyDescent="0.3">
      <c r="B161" s="24"/>
      <c r="C161" s="25"/>
      <c r="D161" s="18" t="str">
        <f>IF(B161="","",SUMIFS('📈 Datos Completos'!$E$7:$E$5000, '📈 Datos Completos'!$B$7:$B$5000, B161, '📈 Datos Completos'!$D$7:$D$5000, C161))</f>
        <v/>
      </c>
      <c r="E161" s="18" t="str">
        <f>IF(B161="","",SUMIFS('📈 Datos Completos'!$F$7:$F$5000, '📈 Datos Completos'!$B$7:$B$5000, B161, '📈 Datos Completos'!$D$7:$D$5000, C161))</f>
        <v/>
      </c>
      <c r="F161" s="18" t="str">
        <f>IF(B161="","",SUMIFS('📈 Datos Completos'!$G$7:$G$5000, '📈 Datos Completos'!$B$7:$B$5000, B161, '📈 Datos Completos'!$D$7:$D$5000, C161))</f>
        <v/>
      </c>
      <c r="G161" s="18" t="str">
        <f t="shared" si="18"/>
        <v/>
      </c>
      <c r="H161" s="19" t="str">
        <f>IF(B161="","",SUMIFS('📈 Datos Completos'!$I$7:$I$5000, '📈 Datos Completos'!$B$7:$B$5000, B161, '📈 Datos Completos'!$D$7:$D$5000, C161))</f>
        <v/>
      </c>
      <c r="I161" s="19" t="str">
        <f t="shared" si="19"/>
        <v/>
      </c>
      <c r="J161" s="19" t="str">
        <f t="shared" si="20"/>
        <v/>
      </c>
      <c r="K161" s="19" t="str">
        <f>IF(B161="","",IF(C161="DIA", (SUMIFS('📋 Detalle Diario'!$D$5:$D$489, '📋 Detalle Diario'!$B$5:$B$489, B161, '📋 Detalle Diario'!$C$5:$C$489, C161) * '⚙️ Supuestos'!$C$24) + '⚙️ Supuestos'!$C$23, (SUMIFS('📋 Detalle Diario'!$D$5:$D$489, '📋 Detalle Diario'!$B$5:$B$489, B161, '📋 Detalle Diario'!$C$5:$C$489, C161) * '⚙️ Supuestos'!$C$24) + '⚙️ Supuestos'!$C$33))</f>
        <v/>
      </c>
      <c r="L161" s="19" t="str">
        <f t="shared" si="21"/>
        <v/>
      </c>
      <c r="M161" s="20" t="str">
        <f t="shared" si="22"/>
        <v/>
      </c>
      <c r="N161" s="19" t="str">
        <f t="shared" si="23"/>
        <v/>
      </c>
      <c r="O161" s="25" t="str">
        <f t="shared" si="24"/>
        <v/>
      </c>
      <c r="P161" s="19" t="str">
        <f t="shared" si="25"/>
        <v/>
      </c>
      <c r="Q161" s="19" t="str">
        <f>IF(B161="","",J161-P161+(SUMIFS('📋 Detalle Diario'!$E$5:$E$489, '📋 Detalle Diario'!$B$5:$B$489, B161, '📋 Detalle Diario'!$C$5:$C$489, C161)*135)+(SUMIFS('📋 Detalle Diario'!$I$5:$I$489, '📋 Detalle Diario'!$B$5:$B$489, B161, '📋 Detalle Diario'!$C$5:$C$489, C161)*200))</f>
        <v/>
      </c>
      <c r="R161" s="20" t="str">
        <f t="shared" si="26"/>
        <v/>
      </c>
    </row>
    <row r="162" spans="2:18" ht="18" customHeight="1" x14ac:dyDescent="0.3">
      <c r="B162" s="26"/>
      <c r="C162" s="27"/>
      <c r="D162" s="18" t="str">
        <f>IF(B162="","",SUMIFS('📈 Datos Completos'!$E$7:$E$5000, '📈 Datos Completos'!$B$7:$B$5000, B162, '📈 Datos Completos'!$D$7:$D$5000, C162))</f>
        <v/>
      </c>
      <c r="E162" s="18" t="str">
        <f>IF(B162="","",SUMIFS('📈 Datos Completos'!$F$7:$F$5000, '📈 Datos Completos'!$B$7:$B$5000, B162, '📈 Datos Completos'!$D$7:$D$5000, C162))</f>
        <v/>
      </c>
      <c r="F162" s="18" t="str">
        <f>IF(B162="","",SUMIFS('📈 Datos Completos'!$G$7:$G$5000, '📈 Datos Completos'!$B$7:$B$5000, B162, '📈 Datos Completos'!$D$7:$D$5000, C162))</f>
        <v/>
      </c>
      <c r="G162" s="18" t="str">
        <f t="shared" si="18"/>
        <v/>
      </c>
      <c r="H162" s="19" t="str">
        <f>IF(B162="","",SUMIFS('📈 Datos Completos'!$I$7:$I$5000, '📈 Datos Completos'!$B$7:$B$5000, B162, '📈 Datos Completos'!$D$7:$D$5000, C162))</f>
        <v/>
      </c>
      <c r="I162" s="19" t="str">
        <f t="shared" si="19"/>
        <v/>
      </c>
      <c r="J162" s="19" t="str">
        <f t="shared" si="20"/>
        <v/>
      </c>
      <c r="K162" s="19" t="str">
        <f>IF(B162="","",IF(C162="DIA", (SUMIFS('📋 Detalle Diario'!$D$5:$D$489, '📋 Detalle Diario'!$B$5:$B$489, B162, '📋 Detalle Diario'!$C$5:$C$489, C162) * '⚙️ Supuestos'!$C$24) + '⚙️ Supuestos'!$C$23, (SUMIFS('📋 Detalle Diario'!$D$5:$D$489, '📋 Detalle Diario'!$B$5:$B$489, B162, '📋 Detalle Diario'!$C$5:$C$489, C162) * '⚙️ Supuestos'!$C$24) + '⚙️ Supuestos'!$C$33))</f>
        <v/>
      </c>
      <c r="L162" s="19" t="str">
        <f t="shared" si="21"/>
        <v/>
      </c>
      <c r="M162" s="20" t="str">
        <f t="shared" si="22"/>
        <v/>
      </c>
      <c r="N162" s="19" t="str">
        <f t="shared" si="23"/>
        <v/>
      </c>
      <c r="O162" s="27" t="str">
        <f t="shared" si="24"/>
        <v/>
      </c>
      <c r="P162" s="19" t="str">
        <f t="shared" si="25"/>
        <v/>
      </c>
      <c r="Q162" s="19" t="str">
        <f>IF(B162="","",J162-P162+(SUMIFS('📋 Detalle Diario'!$E$5:$E$489, '📋 Detalle Diario'!$B$5:$B$489, B162, '📋 Detalle Diario'!$C$5:$C$489, C162)*135)+(SUMIFS('📋 Detalle Diario'!$I$5:$I$489, '📋 Detalle Diario'!$B$5:$B$489, B162, '📋 Detalle Diario'!$C$5:$C$489, C162)*200))</f>
        <v/>
      </c>
      <c r="R162" s="20" t="str">
        <f t="shared" si="26"/>
        <v/>
      </c>
    </row>
    <row r="163" spans="2:18" ht="18" customHeight="1" x14ac:dyDescent="0.3">
      <c r="B163" s="24"/>
      <c r="C163" s="25"/>
      <c r="D163" s="18" t="str">
        <f>IF(B163="","",SUMIFS('📈 Datos Completos'!$E$7:$E$5000, '📈 Datos Completos'!$B$7:$B$5000, B163, '📈 Datos Completos'!$D$7:$D$5000, C163))</f>
        <v/>
      </c>
      <c r="E163" s="18" t="str">
        <f>IF(B163="","",SUMIFS('📈 Datos Completos'!$F$7:$F$5000, '📈 Datos Completos'!$B$7:$B$5000, B163, '📈 Datos Completos'!$D$7:$D$5000, C163))</f>
        <v/>
      </c>
      <c r="F163" s="18" t="str">
        <f>IF(B163="","",SUMIFS('📈 Datos Completos'!$G$7:$G$5000, '📈 Datos Completos'!$B$7:$B$5000, B163, '📈 Datos Completos'!$D$7:$D$5000, C163))</f>
        <v/>
      </c>
      <c r="G163" s="18" t="str">
        <f t="shared" si="18"/>
        <v/>
      </c>
      <c r="H163" s="19" t="str">
        <f>IF(B163="","",SUMIFS('📈 Datos Completos'!$I$7:$I$5000, '📈 Datos Completos'!$B$7:$B$5000, B163, '📈 Datos Completos'!$D$7:$D$5000, C163))</f>
        <v/>
      </c>
      <c r="I163" s="19" t="str">
        <f t="shared" si="19"/>
        <v/>
      </c>
      <c r="J163" s="19" t="str">
        <f t="shared" si="20"/>
        <v/>
      </c>
      <c r="K163" s="19" t="str">
        <f>IF(B163="","",IF(C163="DIA", (SUMIFS('📋 Detalle Diario'!$D$5:$D$489, '📋 Detalle Diario'!$B$5:$B$489, B163, '📋 Detalle Diario'!$C$5:$C$489, C163) * '⚙️ Supuestos'!$C$24) + '⚙️ Supuestos'!$C$23, (SUMIFS('📋 Detalle Diario'!$D$5:$D$489, '📋 Detalle Diario'!$B$5:$B$489, B163, '📋 Detalle Diario'!$C$5:$C$489, C163) * '⚙️ Supuestos'!$C$24) + '⚙️ Supuestos'!$C$33))</f>
        <v/>
      </c>
      <c r="L163" s="19" t="str">
        <f t="shared" si="21"/>
        <v/>
      </c>
      <c r="M163" s="20" t="str">
        <f t="shared" si="22"/>
        <v/>
      </c>
      <c r="N163" s="19" t="str">
        <f t="shared" si="23"/>
        <v/>
      </c>
      <c r="O163" s="25" t="str">
        <f t="shared" si="24"/>
        <v/>
      </c>
      <c r="P163" s="19" t="str">
        <f t="shared" si="25"/>
        <v/>
      </c>
      <c r="Q163" s="19" t="str">
        <f>IF(B163="","",J163-P163+(SUMIFS('📋 Detalle Diario'!$E$5:$E$489, '📋 Detalle Diario'!$B$5:$B$489, B163, '📋 Detalle Diario'!$C$5:$C$489, C163)*135)+(SUMIFS('📋 Detalle Diario'!$I$5:$I$489, '📋 Detalle Diario'!$B$5:$B$489, B163, '📋 Detalle Diario'!$C$5:$C$489, C163)*200))</f>
        <v/>
      </c>
      <c r="R163" s="20" t="str">
        <f t="shared" si="26"/>
        <v/>
      </c>
    </row>
    <row r="164" spans="2:18" ht="18" customHeight="1" x14ac:dyDescent="0.3">
      <c r="B164" s="26"/>
      <c r="C164" s="27"/>
      <c r="D164" s="18" t="str">
        <f>IF(B164="","",SUMIFS('📈 Datos Completos'!$E$7:$E$5000, '📈 Datos Completos'!$B$7:$B$5000, B164, '📈 Datos Completos'!$D$7:$D$5000, C164))</f>
        <v/>
      </c>
      <c r="E164" s="18" t="str">
        <f>IF(B164="","",SUMIFS('📈 Datos Completos'!$F$7:$F$5000, '📈 Datos Completos'!$B$7:$B$5000, B164, '📈 Datos Completos'!$D$7:$D$5000, C164))</f>
        <v/>
      </c>
      <c r="F164" s="18" t="str">
        <f>IF(B164="","",SUMIFS('📈 Datos Completos'!$G$7:$G$5000, '📈 Datos Completos'!$B$7:$B$5000, B164, '📈 Datos Completos'!$D$7:$D$5000, C164))</f>
        <v/>
      </c>
      <c r="G164" s="18" t="str">
        <f t="shared" si="18"/>
        <v/>
      </c>
      <c r="H164" s="19" t="str">
        <f>IF(B164="","",SUMIFS('📈 Datos Completos'!$I$7:$I$5000, '📈 Datos Completos'!$B$7:$B$5000, B164, '📈 Datos Completos'!$D$7:$D$5000, C164))</f>
        <v/>
      </c>
      <c r="I164" s="19" t="str">
        <f t="shared" si="19"/>
        <v/>
      </c>
      <c r="J164" s="19" t="str">
        <f t="shared" si="20"/>
        <v/>
      </c>
      <c r="K164" s="19" t="str">
        <f>IF(B164="","",IF(C164="DIA", (SUMIFS('📋 Detalle Diario'!$D$5:$D$489, '📋 Detalle Diario'!$B$5:$B$489, B164, '📋 Detalle Diario'!$C$5:$C$489, C164) * '⚙️ Supuestos'!$C$24) + '⚙️ Supuestos'!$C$23, (SUMIFS('📋 Detalle Diario'!$D$5:$D$489, '📋 Detalle Diario'!$B$5:$B$489, B164, '📋 Detalle Diario'!$C$5:$C$489, C164) * '⚙️ Supuestos'!$C$24) + '⚙️ Supuestos'!$C$33))</f>
        <v/>
      </c>
      <c r="L164" s="19" t="str">
        <f t="shared" si="21"/>
        <v/>
      </c>
      <c r="M164" s="20" t="str">
        <f t="shared" si="22"/>
        <v/>
      </c>
      <c r="N164" s="19" t="str">
        <f t="shared" si="23"/>
        <v/>
      </c>
      <c r="O164" s="27" t="str">
        <f t="shared" si="24"/>
        <v/>
      </c>
      <c r="P164" s="19" t="str">
        <f t="shared" si="25"/>
        <v/>
      </c>
      <c r="Q164" s="19" t="str">
        <f>IF(B164="","",J164-P164+(SUMIFS('📋 Detalle Diario'!$E$5:$E$489, '📋 Detalle Diario'!$B$5:$B$489, B164, '📋 Detalle Diario'!$C$5:$C$489, C164)*135)+(SUMIFS('📋 Detalle Diario'!$I$5:$I$489, '📋 Detalle Diario'!$B$5:$B$489, B164, '📋 Detalle Diario'!$C$5:$C$489, C164)*200))</f>
        <v/>
      </c>
      <c r="R164" s="20" t="str">
        <f t="shared" si="26"/>
        <v/>
      </c>
    </row>
    <row r="165" spans="2:18" ht="18" customHeight="1" x14ac:dyDescent="0.3">
      <c r="B165" s="24"/>
      <c r="C165" s="25"/>
      <c r="D165" s="18" t="str">
        <f>IF(B165="","",SUMIFS('📈 Datos Completos'!$E$7:$E$5000, '📈 Datos Completos'!$B$7:$B$5000, B165, '📈 Datos Completos'!$D$7:$D$5000, C165))</f>
        <v/>
      </c>
      <c r="E165" s="18" t="str">
        <f>IF(B165="","",SUMIFS('📈 Datos Completos'!$F$7:$F$5000, '📈 Datos Completos'!$B$7:$B$5000, B165, '📈 Datos Completos'!$D$7:$D$5000, C165))</f>
        <v/>
      </c>
      <c r="F165" s="18" t="str">
        <f>IF(B165="","",SUMIFS('📈 Datos Completos'!$G$7:$G$5000, '📈 Datos Completos'!$B$7:$B$5000, B165, '📈 Datos Completos'!$D$7:$D$5000, C165))</f>
        <v/>
      </c>
      <c r="G165" s="18" t="str">
        <f t="shared" si="18"/>
        <v/>
      </c>
      <c r="H165" s="19" t="str">
        <f>IF(B165="","",SUMIFS('📈 Datos Completos'!$I$7:$I$5000, '📈 Datos Completos'!$B$7:$B$5000, B165, '📈 Datos Completos'!$D$7:$D$5000, C165))</f>
        <v/>
      </c>
      <c r="I165" s="19" t="str">
        <f t="shared" si="19"/>
        <v/>
      </c>
      <c r="J165" s="19" t="str">
        <f t="shared" si="20"/>
        <v/>
      </c>
      <c r="K165" s="19" t="str">
        <f>IF(B165="","",IF(C165="DIA", (SUMIFS('📋 Detalle Diario'!$D$5:$D$489, '📋 Detalle Diario'!$B$5:$B$489, B165, '📋 Detalle Diario'!$C$5:$C$489, C165) * '⚙️ Supuestos'!$C$24) + '⚙️ Supuestos'!$C$23, (SUMIFS('📋 Detalle Diario'!$D$5:$D$489, '📋 Detalle Diario'!$B$5:$B$489, B165, '📋 Detalle Diario'!$C$5:$C$489, C165) * '⚙️ Supuestos'!$C$24) + '⚙️ Supuestos'!$C$33))</f>
        <v/>
      </c>
      <c r="L165" s="19" t="str">
        <f t="shared" si="21"/>
        <v/>
      </c>
      <c r="M165" s="20" t="str">
        <f t="shared" si="22"/>
        <v/>
      </c>
      <c r="N165" s="19" t="str">
        <f t="shared" si="23"/>
        <v/>
      </c>
      <c r="O165" s="25" t="str">
        <f t="shared" si="24"/>
        <v/>
      </c>
      <c r="P165" s="19" t="str">
        <f t="shared" si="25"/>
        <v/>
      </c>
      <c r="Q165" s="19" t="str">
        <f>IF(B165="","",J165-P165+(SUMIFS('📋 Detalle Diario'!$E$5:$E$489, '📋 Detalle Diario'!$B$5:$B$489, B165, '📋 Detalle Diario'!$C$5:$C$489, C165)*135)+(SUMIFS('📋 Detalle Diario'!$I$5:$I$489, '📋 Detalle Diario'!$B$5:$B$489, B165, '📋 Detalle Diario'!$C$5:$C$489, C165)*200))</f>
        <v/>
      </c>
      <c r="R165" s="20" t="str">
        <f t="shared" si="26"/>
        <v/>
      </c>
    </row>
    <row r="166" spans="2:18" ht="18" customHeight="1" x14ac:dyDescent="0.3">
      <c r="B166" s="26"/>
      <c r="C166" s="27"/>
      <c r="D166" s="18" t="str">
        <f>IF(B166="","",SUMIFS('📈 Datos Completos'!$E$7:$E$5000, '📈 Datos Completos'!$B$7:$B$5000, B166, '📈 Datos Completos'!$D$7:$D$5000, C166))</f>
        <v/>
      </c>
      <c r="E166" s="18" t="str">
        <f>IF(B166="","",SUMIFS('📈 Datos Completos'!$F$7:$F$5000, '📈 Datos Completos'!$B$7:$B$5000, B166, '📈 Datos Completos'!$D$7:$D$5000, C166))</f>
        <v/>
      </c>
      <c r="F166" s="18" t="str">
        <f>IF(B166="","",SUMIFS('📈 Datos Completos'!$G$7:$G$5000, '📈 Datos Completos'!$B$7:$B$5000, B166, '📈 Datos Completos'!$D$7:$D$5000, C166))</f>
        <v/>
      </c>
      <c r="G166" s="18" t="str">
        <f t="shared" si="18"/>
        <v/>
      </c>
      <c r="H166" s="19" t="str">
        <f>IF(B166="","",SUMIFS('📈 Datos Completos'!$I$7:$I$5000, '📈 Datos Completos'!$B$7:$B$5000, B166, '📈 Datos Completos'!$D$7:$D$5000, C166))</f>
        <v/>
      </c>
      <c r="I166" s="19" t="str">
        <f t="shared" si="19"/>
        <v/>
      </c>
      <c r="J166" s="19" t="str">
        <f t="shared" si="20"/>
        <v/>
      </c>
      <c r="K166" s="19" t="str">
        <f>IF(B166="","",IF(C166="DIA", (SUMIFS('📋 Detalle Diario'!$D$5:$D$489, '📋 Detalle Diario'!$B$5:$B$489, B166, '📋 Detalle Diario'!$C$5:$C$489, C166) * '⚙️ Supuestos'!$C$24) + '⚙️ Supuestos'!$C$23, (SUMIFS('📋 Detalle Diario'!$D$5:$D$489, '📋 Detalle Diario'!$B$5:$B$489, B166, '📋 Detalle Diario'!$C$5:$C$489, C166) * '⚙️ Supuestos'!$C$24) + '⚙️ Supuestos'!$C$33))</f>
        <v/>
      </c>
      <c r="L166" s="19" t="str">
        <f t="shared" si="21"/>
        <v/>
      </c>
      <c r="M166" s="20" t="str">
        <f t="shared" si="22"/>
        <v/>
      </c>
      <c r="N166" s="19" t="str">
        <f t="shared" si="23"/>
        <v/>
      </c>
      <c r="O166" s="27" t="str">
        <f t="shared" si="24"/>
        <v/>
      </c>
      <c r="P166" s="19" t="str">
        <f t="shared" si="25"/>
        <v/>
      </c>
      <c r="Q166" s="19" t="str">
        <f>IF(B166="","",J166-P166+(SUMIFS('📋 Detalle Diario'!$E$5:$E$489, '📋 Detalle Diario'!$B$5:$B$489, B166, '📋 Detalle Diario'!$C$5:$C$489, C166)*135)+(SUMIFS('📋 Detalle Diario'!$I$5:$I$489, '📋 Detalle Diario'!$B$5:$B$489, B166, '📋 Detalle Diario'!$C$5:$C$489, C166)*200))</f>
        <v/>
      </c>
      <c r="R166" s="20" t="str">
        <f t="shared" si="26"/>
        <v/>
      </c>
    </row>
    <row r="167" spans="2:18" ht="18" customHeight="1" x14ac:dyDescent="0.3">
      <c r="B167" s="24"/>
      <c r="C167" s="25"/>
      <c r="D167" s="18" t="str">
        <f>IF(B167="","",SUMIFS('📈 Datos Completos'!$E$7:$E$5000, '📈 Datos Completos'!$B$7:$B$5000, B167, '📈 Datos Completos'!$D$7:$D$5000, C167))</f>
        <v/>
      </c>
      <c r="E167" s="18" t="str">
        <f>IF(B167="","",SUMIFS('📈 Datos Completos'!$F$7:$F$5000, '📈 Datos Completos'!$B$7:$B$5000, B167, '📈 Datos Completos'!$D$7:$D$5000, C167))</f>
        <v/>
      </c>
      <c r="F167" s="18" t="str">
        <f>IF(B167="","",SUMIFS('📈 Datos Completos'!$G$7:$G$5000, '📈 Datos Completos'!$B$7:$B$5000, B167, '📈 Datos Completos'!$D$7:$D$5000, C167))</f>
        <v/>
      </c>
      <c r="G167" s="18" t="str">
        <f t="shared" si="18"/>
        <v/>
      </c>
      <c r="H167" s="19" t="str">
        <f>IF(B167="","",SUMIFS('📈 Datos Completos'!$I$7:$I$5000, '📈 Datos Completos'!$B$7:$B$5000, B167, '📈 Datos Completos'!$D$7:$D$5000, C167))</f>
        <v/>
      </c>
      <c r="I167" s="19" t="str">
        <f t="shared" si="19"/>
        <v/>
      </c>
      <c r="J167" s="19" t="str">
        <f t="shared" si="20"/>
        <v/>
      </c>
      <c r="K167" s="19" t="str">
        <f>IF(B167="","",IF(C167="DIA", (SUMIFS('📋 Detalle Diario'!$D$5:$D$489, '📋 Detalle Diario'!$B$5:$B$489, B167, '📋 Detalle Diario'!$C$5:$C$489, C167) * '⚙️ Supuestos'!$C$24) + '⚙️ Supuestos'!$C$23, (SUMIFS('📋 Detalle Diario'!$D$5:$D$489, '📋 Detalle Diario'!$B$5:$B$489, B167, '📋 Detalle Diario'!$C$5:$C$489, C167) * '⚙️ Supuestos'!$C$24) + '⚙️ Supuestos'!$C$33))</f>
        <v/>
      </c>
      <c r="L167" s="19" t="str">
        <f t="shared" si="21"/>
        <v/>
      </c>
      <c r="M167" s="20" t="str">
        <f t="shared" si="22"/>
        <v/>
      </c>
      <c r="N167" s="19" t="str">
        <f t="shared" si="23"/>
        <v/>
      </c>
      <c r="O167" s="25" t="str">
        <f t="shared" si="24"/>
        <v/>
      </c>
      <c r="P167" s="19" t="str">
        <f t="shared" si="25"/>
        <v/>
      </c>
      <c r="Q167" s="19" t="str">
        <f>IF(B167="","",J167-P167+(SUMIFS('📋 Detalle Diario'!$E$5:$E$489, '📋 Detalle Diario'!$B$5:$B$489, B167, '📋 Detalle Diario'!$C$5:$C$489, C167)*135)+(SUMIFS('📋 Detalle Diario'!$I$5:$I$489, '📋 Detalle Diario'!$B$5:$B$489, B167, '📋 Detalle Diario'!$C$5:$C$489, C167)*200))</f>
        <v/>
      </c>
      <c r="R167" s="20" t="str">
        <f t="shared" si="26"/>
        <v/>
      </c>
    </row>
    <row r="168" spans="2:18" ht="18" customHeight="1" x14ac:dyDescent="0.3">
      <c r="B168" s="26"/>
      <c r="C168" s="27"/>
      <c r="D168" s="18" t="str">
        <f>IF(B168="","",SUMIFS('📈 Datos Completos'!$E$7:$E$5000, '📈 Datos Completos'!$B$7:$B$5000, B168, '📈 Datos Completos'!$D$7:$D$5000, C168))</f>
        <v/>
      </c>
      <c r="E168" s="18" t="str">
        <f>IF(B168="","",SUMIFS('📈 Datos Completos'!$F$7:$F$5000, '📈 Datos Completos'!$B$7:$B$5000, B168, '📈 Datos Completos'!$D$7:$D$5000, C168))</f>
        <v/>
      </c>
      <c r="F168" s="18" t="str">
        <f>IF(B168="","",SUMIFS('📈 Datos Completos'!$G$7:$G$5000, '📈 Datos Completos'!$B$7:$B$5000, B168, '📈 Datos Completos'!$D$7:$D$5000, C168))</f>
        <v/>
      </c>
      <c r="G168" s="18" t="str">
        <f t="shared" si="18"/>
        <v/>
      </c>
      <c r="H168" s="19" t="str">
        <f>IF(B168="","",SUMIFS('📈 Datos Completos'!$I$7:$I$5000, '📈 Datos Completos'!$B$7:$B$5000, B168, '📈 Datos Completos'!$D$7:$D$5000, C168))</f>
        <v/>
      </c>
      <c r="I168" s="19" t="str">
        <f t="shared" si="19"/>
        <v/>
      </c>
      <c r="J168" s="19" t="str">
        <f t="shared" si="20"/>
        <v/>
      </c>
      <c r="K168" s="19" t="str">
        <f>IF(B168="","",IF(C168="DIA", (SUMIFS('📋 Detalle Diario'!$D$5:$D$489, '📋 Detalle Diario'!$B$5:$B$489, B168, '📋 Detalle Diario'!$C$5:$C$489, C168) * '⚙️ Supuestos'!$C$24) + '⚙️ Supuestos'!$C$23, (SUMIFS('📋 Detalle Diario'!$D$5:$D$489, '📋 Detalle Diario'!$B$5:$B$489, B168, '📋 Detalle Diario'!$C$5:$C$489, C168) * '⚙️ Supuestos'!$C$24) + '⚙️ Supuestos'!$C$33))</f>
        <v/>
      </c>
      <c r="L168" s="19" t="str">
        <f t="shared" si="21"/>
        <v/>
      </c>
      <c r="M168" s="20" t="str">
        <f t="shared" si="22"/>
        <v/>
      </c>
      <c r="N168" s="19" t="str">
        <f t="shared" si="23"/>
        <v/>
      </c>
      <c r="O168" s="27" t="str">
        <f t="shared" si="24"/>
        <v/>
      </c>
      <c r="P168" s="19" t="str">
        <f t="shared" si="25"/>
        <v/>
      </c>
      <c r="Q168" s="19" t="str">
        <f>IF(B168="","",J168-P168+(SUMIFS('📋 Detalle Diario'!$E$5:$E$489, '📋 Detalle Diario'!$B$5:$B$489, B168, '📋 Detalle Diario'!$C$5:$C$489, C168)*135)+(SUMIFS('📋 Detalle Diario'!$I$5:$I$489, '📋 Detalle Diario'!$B$5:$B$489, B168, '📋 Detalle Diario'!$C$5:$C$489, C168)*200))</f>
        <v/>
      </c>
      <c r="R168" s="20" t="str">
        <f t="shared" si="26"/>
        <v/>
      </c>
    </row>
    <row r="169" spans="2:18" ht="18" customHeight="1" x14ac:dyDescent="0.3">
      <c r="B169" s="24"/>
      <c r="C169" s="25"/>
      <c r="D169" s="18" t="str">
        <f>IF(B169="","",SUMIFS('📈 Datos Completos'!$E$7:$E$5000, '📈 Datos Completos'!$B$7:$B$5000, B169, '📈 Datos Completos'!$D$7:$D$5000, C169))</f>
        <v/>
      </c>
      <c r="E169" s="18" t="str">
        <f>IF(B169="","",SUMIFS('📈 Datos Completos'!$F$7:$F$5000, '📈 Datos Completos'!$B$7:$B$5000, B169, '📈 Datos Completos'!$D$7:$D$5000, C169))</f>
        <v/>
      </c>
      <c r="F169" s="18" t="str">
        <f>IF(B169="","",SUMIFS('📈 Datos Completos'!$G$7:$G$5000, '📈 Datos Completos'!$B$7:$B$5000, B169, '📈 Datos Completos'!$D$7:$D$5000, C169))</f>
        <v/>
      </c>
      <c r="G169" s="18" t="str">
        <f t="shared" si="18"/>
        <v/>
      </c>
      <c r="H169" s="19" t="str">
        <f>IF(B169="","",SUMIFS('📈 Datos Completos'!$I$7:$I$5000, '📈 Datos Completos'!$B$7:$B$5000, B169, '📈 Datos Completos'!$D$7:$D$5000, C169))</f>
        <v/>
      </c>
      <c r="I169" s="19" t="str">
        <f t="shared" si="19"/>
        <v/>
      </c>
      <c r="J169" s="19" t="str">
        <f t="shared" si="20"/>
        <v/>
      </c>
      <c r="K169" s="19" t="str">
        <f>IF(B169="","",IF(C169="DIA", (SUMIFS('📋 Detalle Diario'!$D$5:$D$489, '📋 Detalle Diario'!$B$5:$B$489, B169, '📋 Detalle Diario'!$C$5:$C$489, C169) * '⚙️ Supuestos'!$C$24) + '⚙️ Supuestos'!$C$23, (SUMIFS('📋 Detalle Diario'!$D$5:$D$489, '📋 Detalle Diario'!$B$5:$B$489, B169, '📋 Detalle Diario'!$C$5:$C$489, C169) * '⚙️ Supuestos'!$C$24) + '⚙️ Supuestos'!$C$33))</f>
        <v/>
      </c>
      <c r="L169" s="19" t="str">
        <f t="shared" si="21"/>
        <v/>
      </c>
      <c r="M169" s="20" t="str">
        <f t="shared" si="22"/>
        <v/>
      </c>
      <c r="N169" s="19" t="str">
        <f t="shared" si="23"/>
        <v/>
      </c>
      <c r="O169" s="25" t="str">
        <f t="shared" si="24"/>
        <v/>
      </c>
      <c r="P169" s="19" t="str">
        <f t="shared" si="25"/>
        <v/>
      </c>
      <c r="Q169" s="19" t="str">
        <f>IF(B169="","",J169-P169+(SUMIFS('📋 Detalle Diario'!$E$5:$E$489, '📋 Detalle Diario'!$B$5:$B$489, B169, '📋 Detalle Diario'!$C$5:$C$489, C169)*135)+(SUMIFS('📋 Detalle Diario'!$I$5:$I$489, '📋 Detalle Diario'!$B$5:$B$489, B169, '📋 Detalle Diario'!$C$5:$C$489, C169)*200))</f>
        <v/>
      </c>
      <c r="R169" s="20" t="str">
        <f t="shared" si="26"/>
        <v/>
      </c>
    </row>
    <row r="170" spans="2:18" ht="18" customHeight="1" x14ac:dyDescent="0.3">
      <c r="B170" s="26"/>
      <c r="C170" s="27"/>
      <c r="D170" s="18" t="str">
        <f>IF(B170="","",SUMIFS('📈 Datos Completos'!$E$7:$E$5000, '📈 Datos Completos'!$B$7:$B$5000, B170, '📈 Datos Completos'!$D$7:$D$5000, C170))</f>
        <v/>
      </c>
      <c r="E170" s="18" t="str">
        <f>IF(B170="","",SUMIFS('📈 Datos Completos'!$F$7:$F$5000, '📈 Datos Completos'!$B$7:$B$5000, B170, '📈 Datos Completos'!$D$7:$D$5000, C170))</f>
        <v/>
      </c>
      <c r="F170" s="18" t="str">
        <f>IF(B170="","",SUMIFS('📈 Datos Completos'!$G$7:$G$5000, '📈 Datos Completos'!$B$7:$B$5000, B170, '📈 Datos Completos'!$D$7:$D$5000, C170))</f>
        <v/>
      </c>
      <c r="G170" s="18" t="str">
        <f t="shared" si="18"/>
        <v/>
      </c>
      <c r="H170" s="19" t="str">
        <f>IF(B170="","",SUMIFS('📈 Datos Completos'!$I$7:$I$5000, '📈 Datos Completos'!$B$7:$B$5000, B170, '📈 Datos Completos'!$D$7:$D$5000, C170))</f>
        <v/>
      </c>
      <c r="I170" s="19" t="str">
        <f t="shared" si="19"/>
        <v/>
      </c>
      <c r="J170" s="19" t="str">
        <f t="shared" si="20"/>
        <v/>
      </c>
      <c r="K170" s="19" t="str">
        <f>IF(B170="","",IF(C170="DIA", (SUMIFS('📋 Detalle Diario'!$D$5:$D$489, '📋 Detalle Diario'!$B$5:$B$489, B170, '📋 Detalle Diario'!$C$5:$C$489, C170) * '⚙️ Supuestos'!$C$24) + '⚙️ Supuestos'!$C$23, (SUMIFS('📋 Detalle Diario'!$D$5:$D$489, '📋 Detalle Diario'!$B$5:$B$489, B170, '📋 Detalle Diario'!$C$5:$C$489, C170) * '⚙️ Supuestos'!$C$24) + '⚙️ Supuestos'!$C$33))</f>
        <v/>
      </c>
      <c r="L170" s="19" t="str">
        <f t="shared" si="21"/>
        <v/>
      </c>
      <c r="M170" s="20" t="str">
        <f t="shared" si="22"/>
        <v/>
      </c>
      <c r="N170" s="19" t="str">
        <f t="shared" si="23"/>
        <v/>
      </c>
      <c r="O170" s="27" t="str">
        <f t="shared" si="24"/>
        <v/>
      </c>
      <c r="P170" s="19" t="str">
        <f t="shared" si="25"/>
        <v/>
      </c>
      <c r="Q170" s="19" t="str">
        <f>IF(B170="","",J170-P170+(SUMIFS('📋 Detalle Diario'!$E$5:$E$489, '📋 Detalle Diario'!$B$5:$B$489, B170, '📋 Detalle Diario'!$C$5:$C$489, C170)*135)+(SUMIFS('📋 Detalle Diario'!$I$5:$I$489, '📋 Detalle Diario'!$B$5:$B$489, B170, '📋 Detalle Diario'!$C$5:$C$489, C170)*200))</f>
        <v/>
      </c>
      <c r="R170" s="20" t="str">
        <f t="shared" si="26"/>
        <v/>
      </c>
    </row>
    <row r="171" spans="2:18" ht="18" customHeight="1" x14ac:dyDescent="0.3">
      <c r="B171" s="24"/>
      <c r="C171" s="25"/>
      <c r="D171" s="18" t="str">
        <f>IF(B171="","",SUMIFS('📈 Datos Completos'!$E$7:$E$5000, '📈 Datos Completos'!$B$7:$B$5000, B171, '📈 Datos Completos'!$D$7:$D$5000, C171))</f>
        <v/>
      </c>
      <c r="E171" s="18" t="str">
        <f>IF(B171="","",SUMIFS('📈 Datos Completos'!$F$7:$F$5000, '📈 Datos Completos'!$B$7:$B$5000, B171, '📈 Datos Completos'!$D$7:$D$5000, C171))</f>
        <v/>
      </c>
      <c r="F171" s="18" t="str">
        <f>IF(B171="","",SUMIFS('📈 Datos Completos'!$G$7:$G$5000, '📈 Datos Completos'!$B$7:$B$5000, B171, '📈 Datos Completos'!$D$7:$D$5000, C171))</f>
        <v/>
      </c>
      <c r="G171" s="18" t="str">
        <f t="shared" si="18"/>
        <v/>
      </c>
      <c r="H171" s="19" t="str">
        <f>IF(B171="","",SUMIFS('📈 Datos Completos'!$I$7:$I$5000, '📈 Datos Completos'!$B$7:$B$5000, B171, '📈 Datos Completos'!$D$7:$D$5000, C171))</f>
        <v/>
      </c>
      <c r="I171" s="19" t="str">
        <f t="shared" si="19"/>
        <v/>
      </c>
      <c r="J171" s="19" t="str">
        <f t="shared" si="20"/>
        <v/>
      </c>
      <c r="K171" s="19" t="str">
        <f>IF(B171="","",IF(C171="DIA", (SUMIFS('📋 Detalle Diario'!$D$5:$D$489, '📋 Detalle Diario'!$B$5:$B$489, B171, '📋 Detalle Diario'!$C$5:$C$489, C171) * '⚙️ Supuestos'!$C$24) + '⚙️ Supuestos'!$C$23, (SUMIFS('📋 Detalle Diario'!$D$5:$D$489, '📋 Detalle Diario'!$B$5:$B$489, B171, '📋 Detalle Diario'!$C$5:$C$489, C171) * '⚙️ Supuestos'!$C$24) + '⚙️ Supuestos'!$C$33))</f>
        <v/>
      </c>
      <c r="L171" s="19" t="str">
        <f t="shared" si="21"/>
        <v/>
      </c>
      <c r="M171" s="20" t="str">
        <f t="shared" si="22"/>
        <v/>
      </c>
      <c r="N171" s="19" t="str">
        <f t="shared" si="23"/>
        <v/>
      </c>
      <c r="O171" s="25" t="str">
        <f t="shared" si="24"/>
        <v/>
      </c>
      <c r="P171" s="19" t="str">
        <f t="shared" si="25"/>
        <v/>
      </c>
      <c r="Q171" s="19" t="str">
        <f>IF(B171="","",J171-P171+(SUMIFS('📋 Detalle Diario'!$E$5:$E$489, '📋 Detalle Diario'!$B$5:$B$489, B171, '📋 Detalle Diario'!$C$5:$C$489, C171)*135)+(SUMIFS('📋 Detalle Diario'!$I$5:$I$489, '📋 Detalle Diario'!$B$5:$B$489, B171, '📋 Detalle Diario'!$C$5:$C$489, C171)*200))</f>
        <v/>
      </c>
      <c r="R171" s="20" t="str">
        <f t="shared" si="26"/>
        <v/>
      </c>
    </row>
    <row r="172" spans="2:18" ht="18" customHeight="1" x14ac:dyDescent="0.3">
      <c r="B172" s="26"/>
      <c r="C172" s="27"/>
      <c r="D172" s="18" t="str">
        <f>IF(B172="","",SUMIFS('📈 Datos Completos'!$E$7:$E$5000, '📈 Datos Completos'!$B$7:$B$5000, B172, '📈 Datos Completos'!$D$7:$D$5000, C172))</f>
        <v/>
      </c>
      <c r="E172" s="18" t="str">
        <f>IF(B172="","",SUMIFS('📈 Datos Completos'!$F$7:$F$5000, '📈 Datos Completos'!$B$7:$B$5000, B172, '📈 Datos Completos'!$D$7:$D$5000, C172))</f>
        <v/>
      </c>
      <c r="F172" s="18" t="str">
        <f>IF(B172="","",SUMIFS('📈 Datos Completos'!$G$7:$G$5000, '📈 Datos Completos'!$B$7:$B$5000, B172, '📈 Datos Completos'!$D$7:$D$5000, C172))</f>
        <v/>
      </c>
      <c r="G172" s="18" t="str">
        <f t="shared" si="18"/>
        <v/>
      </c>
      <c r="H172" s="19" t="str">
        <f>IF(B172="","",SUMIFS('📈 Datos Completos'!$I$7:$I$5000, '📈 Datos Completos'!$B$7:$B$5000, B172, '📈 Datos Completos'!$D$7:$D$5000, C172))</f>
        <v/>
      </c>
      <c r="I172" s="19" t="str">
        <f t="shared" si="19"/>
        <v/>
      </c>
      <c r="J172" s="19" t="str">
        <f t="shared" si="20"/>
        <v/>
      </c>
      <c r="K172" s="19" t="str">
        <f>IF(B172="","",IF(C172="DIA", (SUMIFS('📋 Detalle Diario'!$D$5:$D$489, '📋 Detalle Diario'!$B$5:$B$489, B172, '📋 Detalle Diario'!$C$5:$C$489, C172) * '⚙️ Supuestos'!$C$24) + '⚙️ Supuestos'!$C$23, (SUMIFS('📋 Detalle Diario'!$D$5:$D$489, '📋 Detalle Diario'!$B$5:$B$489, B172, '📋 Detalle Diario'!$C$5:$C$489, C172) * '⚙️ Supuestos'!$C$24) + '⚙️ Supuestos'!$C$33))</f>
        <v/>
      </c>
      <c r="L172" s="19" t="str">
        <f t="shared" si="21"/>
        <v/>
      </c>
      <c r="M172" s="20" t="str">
        <f t="shared" si="22"/>
        <v/>
      </c>
      <c r="N172" s="19" t="str">
        <f t="shared" si="23"/>
        <v/>
      </c>
      <c r="O172" s="27" t="str">
        <f t="shared" si="24"/>
        <v/>
      </c>
      <c r="P172" s="19" t="str">
        <f t="shared" si="25"/>
        <v/>
      </c>
      <c r="Q172" s="19" t="str">
        <f>IF(B172="","",J172-P172+(SUMIFS('📋 Detalle Diario'!$E$5:$E$489, '📋 Detalle Diario'!$B$5:$B$489, B172, '📋 Detalle Diario'!$C$5:$C$489, C172)*135)+(SUMIFS('📋 Detalle Diario'!$I$5:$I$489, '📋 Detalle Diario'!$B$5:$B$489, B172, '📋 Detalle Diario'!$C$5:$C$489, C172)*200))</f>
        <v/>
      </c>
      <c r="R172" s="20" t="str">
        <f t="shared" si="26"/>
        <v/>
      </c>
    </row>
    <row r="173" spans="2:18" ht="18" customHeight="1" x14ac:dyDescent="0.3">
      <c r="B173" s="24"/>
      <c r="C173" s="25"/>
      <c r="D173" s="18" t="str">
        <f>IF(B173="","",SUMIFS('📈 Datos Completos'!$E$7:$E$5000, '📈 Datos Completos'!$B$7:$B$5000, B173, '📈 Datos Completos'!$D$7:$D$5000, C173))</f>
        <v/>
      </c>
      <c r="E173" s="18" t="str">
        <f>IF(B173="","",SUMIFS('📈 Datos Completos'!$F$7:$F$5000, '📈 Datos Completos'!$B$7:$B$5000, B173, '📈 Datos Completos'!$D$7:$D$5000, C173))</f>
        <v/>
      </c>
      <c r="F173" s="18" t="str">
        <f>IF(B173="","",SUMIFS('📈 Datos Completos'!$G$7:$G$5000, '📈 Datos Completos'!$B$7:$B$5000, B173, '📈 Datos Completos'!$D$7:$D$5000, C173))</f>
        <v/>
      </c>
      <c r="G173" s="18" t="str">
        <f t="shared" si="18"/>
        <v/>
      </c>
      <c r="H173" s="19" t="str">
        <f>IF(B173="","",SUMIFS('📈 Datos Completos'!$I$7:$I$5000, '📈 Datos Completos'!$B$7:$B$5000, B173, '📈 Datos Completos'!$D$7:$D$5000, C173))</f>
        <v/>
      </c>
      <c r="I173" s="19" t="str">
        <f t="shared" si="19"/>
        <v/>
      </c>
      <c r="J173" s="19" t="str">
        <f t="shared" si="20"/>
        <v/>
      </c>
      <c r="K173" s="19" t="str">
        <f>IF(B173="","",IF(C173="DIA", (SUMIFS('📋 Detalle Diario'!$D$5:$D$489, '📋 Detalle Diario'!$B$5:$B$489, B173, '📋 Detalle Diario'!$C$5:$C$489, C173) * '⚙️ Supuestos'!$C$24) + '⚙️ Supuestos'!$C$23, (SUMIFS('📋 Detalle Diario'!$D$5:$D$489, '📋 Detalle Diario'!$B$5:$B$489, B173, '📋 Detalle Diario'!$C$5:$C$489, C173) * '⚙️ Supuestos'!$C$24) + '⚙️ Supuestos'!$C$33))</f>
        <v/>
      </c>
      <c r="L173" s="19" t="str">
        <f t="shared" si="21"/>
        <v/>
      </c>
      <c r="M173" s="20" t="str">
        <f t="shared" si="22"/>
        <v/>
      </c>
      <c r="N173" s="19" t="str">
        <f t="shared" si="23"/>
        <v/>
      </c>
      <c r="O173" s="25" t="str">
        <f t="shared" si="24"/>
        <v/>
      </c>
      <c r="P173" s="19" t="str">
        <f t="shared" si="25"/>
        <v/>
      </c>
      <c r="Q173" s="19" t="str">
        <f>IF(B173="","",J173-P173+(SUMIFS('📋 Detalle Diario'!$E$5:$E$489, '📋 Detalle Diario'!$B$5:$B$489, B173, '📋 Detalle Diario'!$C$5:$C$489, C173)*135)+(SUMIFS('📋 Detalle Diario'!$I$5:$I$489, '📋 Detalle Diario'!$B$5:$B$489, B173, '📋 Detalle Diario'!$C$5:$C$489, C173)*200))</f>
        <v/>
      </c>
      <c r="R173" s="20" t="str">
        <f t="shared" si="26"/>
        <v/>
      </c>
    </row>
    <row r="174" spans="2:18" ht="18" customHeight="1" x14ac:dyDescent="0.3">
      <c r="B174" s="26"/>
      <c r="C174" s="27"/>
      <c r="D174" s="18" t="str">
        <f>IF(B174="","",SUMIFS('📈 Datos Completos'!$E$7:$E$5000, '📈 Datos Completos'!$B$7:$B$5000, B174, '📈 Datos Completos'!$D$7:$D$5000, C174))</f>
        <v/>
      </c>
      <c r="E174" s="18" t="str">
        <f>IF(B174="","",SUMIFS('📈 Datos Completos'!$F$7:$F$5000, '📈 Datos Completos'!$B$7:$B$5000, B174, '📈 Datos Completos'!$D$7:$D$5000, C174))</f>
        <v/>
      </c>
      <c r="F174" s="18" t="str">
        <f>IF(B174="","",SUMIFS('📈 Datos Completos'!$G$7:$G$5000, '📈 Datos Completos'!$B$7:$B$5000, B174, '📈 Datos Completos'!$D$7:$D$5000, C174))</f>
        <v/>
      </c>
      <c r="G174" s="18" t="str">
        <f t="shared" si="18"/>
        <v/>
      </c>
      <c r="H174" s="19" t="str">
        <f>IF(B174="","",SUMIFS('📈 Datos Completos'!$I$7:$I$5000, '📈 Datos Completos'!$B$7:$B$5000, B174, '📈 Datos Completos'!$D$7:$D$5000, C174))</f>
        <v/>
      </c>
      <c r="I174" s="19" t="str">
        <f t="shared" si="19"/>
        <v/>
      </c>
      <c r="J174" s="19" t="str">
        <f t="shared" si="20"/>
        <v/>
      </c>
      <c r="K174" s="19" t="str">
        <f>IF(B174="","",IF(C174="DIA", (SUMIFS('📋 Detalle Diario'!$D$5:$D$489, '📋 Detalle Diario'!$B$5:$B$489, B174, '📋 Detalle Diario'!$C$5:$C$489, C174) * '⚙️ Supuestos'!$C$24) + '⚙️ Supuestos'!$C$23, (SUMIFS('📋 Detalle Diario'!$D$5:$D$489, '📋 Detalle Diario'!$B$5:$B$489, B174, '📋 Detalle Diario'!$C$5:$C$489, C174) * '⚙️ Supuestos'!$C$24) + '⚙️ Supuestos'!$C$33))</f>
        <v/>
      </c>
      <c r="L174" s="19" t="str">
        <f t="shared" si="21"/>
        <v/>
      </c>
      <c r="M174" s="20" t="str">
        <f t="shared" si="22"/>
        <v/>
      </c>
      <c r="N174" s="19" t="str">
        <f t="shared" si="23"/>
        <v/>
      </c>
      <c r="O174" s="27" t="str">
        <f t="shared" si="24"/>
        <v/>
      </c>
      <c r="P174" s="19" t="str">
        <f t="shared" si="25"/>
        <v/>
      </c>
      <c r="Q174" s="19" t="str">
        <f>IF(B174="","",J174-P174+(SUMIFS('📋 Detalle Diario'!$E$5:$E$489, '📋 Detalle Diario'!$B$5:$B$489, B174, '📋 Detalle Diario'!$C$5:$C$489, C174)*135)+(SUMIFS('📋 Detalle Diario'!$I$5:$I$489, '📋 Detalle Diario'!$B$5:$B$489, B174, '📋 Detalle Diario'!$C$5:$C$489, C174)*200))</f>
        <v/>
      </c>
      <c r="R174" s="20" t="str">
        <f t="shared" si="26"/>
        <v/>
      </c>
    </row>
    <row r="175" spans="2:18" ht="18" customHeight="1" x14ac:dyDescent="0.3">
      <c r="B175" s="24"/>
      <c r="C175" s="25"/>
      <c r="D175" s="18" t="str">
        <f>IF(B175="","",SUMIFS('📈 Datos Completos'!$E$7:$E$5000, '📈 Datos Completos'!$B$7:$B$5000, B175, '📈 Datos Completos'!$D$7:$D$5000, C175))</f>
        <v/>
      </c>
      <c r="E175" s="18" t="str">
        <f>IF(B175="","",SUMIFS('📈 Datos Completos'!$F$7:$F$5000, '📈 Datos Completos'!$B$7:$B$5000, B175, '📈 Datos Completos'!$D$7:$D$5000, C175))</f>
        <v/>
      </c>
      <c r="F175" s="18" t="str">
        <f>IF(B175="","",SUMIFS('📈 Datos Completos'!$G$7:$G$5000, '📈 Datos Completos'!$B$7:$B$5000, B175, '📈 Datos Completos'!$D$7:$D$5000, C175))</f>
        <v/>
      </c>
      <c r="G175" s="18" t="str">
        <f t="shared" si="18"/>
        <v/>
      </c>
      <c r="H175" s="19" t="str">
        <f>IF(B175="","",SUMIFS('📈 Datos Completos'!$I$7:$I$5000, '📈 Datos Completos'!$B$7:$B$5000, B175, '📈 Datos Completos'!$D$7:$D$5000, C175))</f>
        <v/>
      </c>
      <c r="I175" s="19" t="str">
        <f t="shared" si="19"/>
        <v/>
      </c>
      <c r="J175" s="19" t="str">
        <f t="shared" si="20"/>
        <v/>
      </c>
      <c r="K175" s="19" t="str">
        <f>IF(B175="","",IF(C175="DIA", (SUMIFS('📋 Detalle Diario'!$D$5:$D$489, '📋 Detalle Diario'!$B$5:$B$489, B175, '📋 Detalle Diario'!$C$5:$C$489, C175) * '⚙️ Supuestos'!$C$24) + '⚙️ Supuestos'!$C$23, (SUMIFS('📋 Detalle Diario'!$D$5:$D$489, '📋 Detalle Diario'!$B$5:$B$489, B175, '📋 Detalle Diario'!$C$5:$C$489, C175) * '⚙️ Supuestos'!$C$24) + '⚙️ Supuestos'!$C$33))</f>
        <v/>
      </c>
      <c r="L175" s="19" t="str">
        <f t="shared" si="21"/>
        <v/>
      </c>
      <c r="M175" s="20" t="str">
        <f t="shared" si="22"/>
        <v/>
      </c>
      <c r="N175" s="19" t="str">
        <f t="shared" si="23"/>
        <v/>
      </c>
      <c r="O175" s="25" t="str">
        <f t="shared" si="24"/>
        <v/>
      </c>
      <c r="P175" s="19" t="str">
        <f t="shared" si="25"/>
        <v/>
      </c>
      <c r="Q175" s="19" t="str">
        <f>IF(B175="","",J175-P175+(SUMIFS('📋 Detalle Diario'!$E$5:$E$489, '📋 Detalle Diario'!$B$5:$B$489, B175, '📋 Detalle Diario'!$C$5:$C$489, C175)*135)+(SUMIFS('📋 Detalle Diario'!$I$5:$I$489, '📋 Detalle Diario'!$B$5:$B$489, B175, '📋 Detalle Diario'!$C$5:$C$489, C175)*200))</f>
        <v/>
      </c>
      <c r="R175" s="20" t="str">
        <f t="shared" si="26"/>
        <v/>
      </c>
    </row>
    <row r="176" spans="2:18" ht="18" customHeight="1" x14ac:dyDescent="0.3">
      <c r="B176" s="26"/>
      <c r="C176" s="27"/>
      <c r="D176" s="18" t="str">
        <f>IF(B176="","",SUMIFS('📈 Datos Completos'!$E$7:$E$5000, '📈 Datos Completos'!$B$7:$B$5000, B176, '📈 Datos Completos'!$D$7:$D$5000, C176))</f>
        <v/>
      </c>
      <c r="E176" s="18" t="str">
        <f>IF(B176="","",SUMIFS('📈 Datos Completos'!$F$7:$F$5000, '📈 Datos Completos'!$B$7:$B$5000, B176, '📈 Datos Completos'!$D$7:$D$5000, C176))</f>
        <v/>
      </c>
      <c r="F176" s="18" t="str">
        <f>IF(B176="","",SUMIFS('📈 Datos Completos'!$G$7:$G$5000, '📈 Datos Completos'!$B$7:$B$5000, B176, '📈 Datos Completos'!$D$7:$D$5000, C176))</f>
        <v/>
      </c>
      <c r="G176" s="18" t="str">
        <f t="shared" si="18"/>
        <v/>
      </c>
      <c r="H176" s="19" t="str">
        <f>IF(B176="","",SUMIFS('📈 Datos Completos'!$I$7:$I$5000, '📈 Datos Completos'!$B$7:$B$5000, B176, '📈 Datos Completos'!$D$7:$D$5000, C176))</f>
        <v/>
      </c>
      <c r="I176" s="19" t="str">
        <f t="shared" si="19"/>
        <v/>
      </c>
      <c r="J176" s="19" t="str">
        <f t="shared" si="20"/>
        <v/>
      </c>
      <c r="K176" s="19" t="str">
        <f>IF(B176="","",IF(C176="DIA", (SUMIFS('📋 Detalle Diario'!$D$5:$D$489, '📋 Detalle Diario'!$B$5:$B$489, B176, '📋 Detalle Diario'!$C$5:$C$489, C176) * '⚙️ Supuestos'!$C$24) + '⚙️ Supuestos'!$C$23, (SUMIFS('📋 Detalle Diario'!$D$5:$D$489, '📋 Detalle Diario'!$B$5:$B$489, B176, '📋 Detalle Diario'!$C$5:$C$489, C176) * '⚙️ Supuestos'!$C$24) + '⚙️ Supuestos'!$C$33))</f>
        <v/>
      </c>
      <c r="L176" s="19" t="str">
        <f t="shared" si="21"/>
        <v/>
      </c>
      <c r="M176" s="20" t="str">
        <f t="shared" si="22"/>
        <v/>
      </c>
      <c r="N176" s="19" t="str">
        <f t="shared" si="23"/>
        <v/>
      </c>
      <c r="O176" s="27" t="str">
        <f t="shared" si="24"/>
        <v/>
      </c>
      <c r="P176" s="19" t="str">
        <f t="shared" si="25"/>
        <v/>
      </c>
      <c r="Q176" s="19" t="str">
        <f>IF(B176="","",J176-P176+(SUMIFS('📋 Detalle Diario'!$E$5:$E$489, '📋 Detalle Diario'!$B$5:$B$489, B176, '📋 Detalle Diario'!$C$5:$C$489, C176)*135)+(SUMIFS('📋 Detalle Diario'!$I$5:$I$489, '📋 Detalle Diario'!$B$5:$B$489, B176, '📋 Detalle Diario'!$C$5:$C$489, C176)*200))</f>
        <v/>
      </c>
      <c r="R176" s="20" t="str">
        <f t="shared" si="26"/>
        <v/>
      </c>
    </row>
    <row r="177" spans="2:18" ht="18" customHeight="1" x14ac:dyDescent="0.3">
      <c r="B177" s="24"/>
      <c r="C177" s="25"/>
      <c r="D177" s="18" t="str">
        <f>IF(B177="","",SUMIFS('📈 Datos Completos'!$E$7:$E$5000, '📈 Datos Completos'!$B$7:$B$5000, B177, '📈 Datos Completos'!$D$7:$D$5000, C177))</f>
        <v/>
      </c>
      <c r="E177" s="18" t="str">
        <f>IF(B177="","",SUMIFS('📈 Datos Completos'!$F$7:$F$5000, '📈 Datos Completos'!$B$7:$B$5000, B177, '📈 Datos Completos'!$D$7:$D$5000, C177))</f>
        <v/>
      </c>
      <c r="F177" s="18" t="str">
        <f>IF(B177="","",SUMIFS('📈 Datos Completos'!$G$7:$G$5000, '📈 Datos Completos'!$B$7:$B$5000, B177, '📈 Datos Completos'!$D$7:$D$5000, C177))</f>
        <v/>
      </c>
      <c r="G177" s="18" t="str">
        <f t="shared" si="18"/>
        <v/>
      </c>
      <c r="H177" s="19" t="str">
        <f>IF(B177="","",SUMIFS('📈 Datos Completos'!$I$7:$I$5000, '📈 Datos Completos'!$B$7:$B$5000, B177, '📈 Datos Completos'!$D$7:$D$5000, C177))</f>
        <v/>
      </c>
      <c r="I177" s="19" t="str">
        <f t="shared" si="19"/>
        <v/>
      </c>
      <c r="J177" s="19" t="str">
        <f t="shared" si="20"/>
        <v/>
      </c>
      <c r="K177" s="19" t="str">
        <f>IF(B177="","",IF(C177="DIA", (SUMIFS('📋 Detalle Diario'!$D$5:$D$489, '📋 Detalle Diario'!$B$5:$B$489, B177, '📋 Detalle Diario'!$C$5:$C$489, C177) * '⚙️ Supuestos'!$C$24) + '⚙️ Supuestos'!$C$23, (SUMIFS('📋 Detalle Diario'!$D$5:$D$489, '📋 Detalle Diario'!$B$5:$B$489, B177, '📋 Detalle Diario'!$C$5:$C$489, C177) * '⚙️ Supuestos'!$C$24) + '⚙️ Supuestos'!$C$33))</f>
        <v/>
      </c>
      <c r="L177" s="19" t="str">
        <f t="shared" si="21"/>
        <v/>
      </c>
      <c r="M177" s="20" t="str">
        <f t="shared" si="22"/>
        <v/>
      </c>
      <c r="N177" s="19" t="str">
        <f t="shared" si="23"/>
        <v/>
      </c>
      <c r="O177" s="25" t="str">
        <f t="shared" si="24"/>
        <v/>
      </c>
      <c r="P177" s="19" t="str">
        <f t="shared" si="25"/>
        <v/>
      </c>
      <c r="Q177" s="19" t="str">
        <f>IF(B177="","",J177-P177+(SUMIFS('📋 Detalle Diario'!$E$5:$E$489, '📋 Detalle Diario'!$B$5:$B$489, B177, '📋 Detalle Diario'!$C$5:$C$489, C177)*135)+(SUMIFS('📋 Detalle Diario'!$I$5:$I$489, '📋 Detalle Diario'!$B$5:$B$489, B177, '📋 Detalle Diario'!$C$5:$C$489, C177)*200))</f>
        <v/>
      </c>
      <c r="R177" s="20" t="str">
        <f t="shared" si="26"/>
        <v/>
      </c>
    </row>
    <row r="178" spans="2:18" ht="18" customHeight="1" x14ac:dyDescent="0.3">
      <c r="B178" s="26"/>
      <c r="C178" s="27"/>
      <c r="D178" s="18" t="str">
        <f>IF(B178="","",SUMIFS('📈 Datos Completos'!$E$7:$E$5000, '📈 Datos Completos'!$B$7:$B$5000, B178, '📈 Datos Completos'!$D$7:$D$5000, C178))</f>
        <v/>
      </c>
      <c r="E178" s="18" t="str">
        <f>IF(B178="","",SUMIFS('📈 Datos Completos'!$F$7:$F$5000, '📈 Datos Completos'!$B$7:$B$5000, B178, '📈 Datos Completos'!$D$7:$D$5000, C178))</f>
        <v/>
      </c>
      <c r="F178" s="18" t="str">
        <f>IF(B178="","",SUMIFS('📈 Datos Completos'!$G$7:$G$5000, '📈 Datos Completos'!$B$7:$B$5000, B178, '📈 Datos Completos'!$D$7:$D$5000, C178))</f>
        <v/>
      </c>
      <c r="G178" s="18" t="str">
        <f t="shared" si="18"/>
        <v/>
      </c>
      <c r="H178" s="19" t="str">
        <f>IF(B178="","",SUMIFS('📈 Datos Completos'!$I$7:$I$5000, '📈 Datos Completos'!$B$7:$B$5000, B178, '📈 Datos Completos'!$D$7:$D$5000, C178))</f>
        <v/>
      </c>
      <c r="I178" s="19" t="str">
        <f t="shared" si="19"/>
        <v/>
      </c>
      <c r="J178" s="19" t="str">
        <f t="shared" si="20"/>
        <v/>
      </c>
      <c r="K178" s="19" t="str">
        <f>IF(B178="","",IF(C178="DIA", (SUMIFS('📋 Detalle Diario'!$D$5:$D$489, '📋 Detalle Diario'!$B$5:$B$489, B178, '📋 Detalle Diario'!$C$5:$C$489, C178) * '⚙️ Supuestos'!$C$24) + '⚙️ Supuestos'!$C$23, (SUMIFS('📋 Detalle Diario'!$D$5:$D$489, '📋 Detalle Diario'!$B$5:$B$489, B178, '📋 Detalle Diario'!$C$5:$C$489, C178) * '⚙️ Supuestos'!$C$24) + '⚙️ Supuestos'!$C$33))</f>
        <v/>
      </c>
      <c r="L178" s="19" t="str">
        <f t="shared" si="21"/>
        <v/>
      </c>
      <c r="M178" s="20" t="str">
        <f t="shared" si="22"/>
        <v/>
      </c>
      <c r="N178" s="19" t="str">
        <f t="shared" si="23"/>
        <v/>
      </c>
      <c r="O178" s="27" t="str">
        <f t="shared" si="24"/>
        <v/>
      </c>
      <c r="P178" s="19" t="str">
        <f t="shared" si="25"/>
        <v/>
      </c>
      <c r="Q178" s="19" t="str">
        <f>IF(B178="","",J178-P178+(SUMIFS('📋 Detalle Diario'!$E$5:$E$489, '📋 Detalle Diario'!$B$5:$B$489, B178, '📋 Detalle Diario'!$C$5:$C$489, C178)*135)+(SUMIFS('📋 Detalle Diario'!$I$5:$I$489, '📋 Detalle Diario'!$B$5:$B$489, B178, '📋 Detalle Diario'!$C$5:$C$489, C178)*200))</f>
        <v/>
      </c>
      <c r="R178" s="20" t="str">
        <f t="shared" si="26"/>
        <v/>
      </c>
    </row>
    <row r="179" spans="2:18" ht="18" customHeight="1" x14ac:dyDescent="0.3">
      <c r="B179" s="24"/>
      <c r="C179" s="25"/>
      <c r="D179" s="18" t="str">
        <f>IF(B179="","",SUMIFS('📈 Datos Completos'!$E$7:$E$5000, '📈 Datos Completos'!$B$7:$B$5000, B179, '📈 Datos Completos'!$D$7:$D$5000, C179))</f>
        <v/>
      </c>
      <c r="E179" s="18" t="str">
        <f>IF(B179="","",SUMIFS('📈 Datos Completos'!$F$7:$F$5000, '📈 Datos Completos'!$B$7:$B$5000, B179, '📈 Datos Completos'!$D$7:$D$5000, C179))</f>
        <v/>
      </c>
      <c r="F179" s="18" t="str">
        <f>IF(B179="","",SUMIFS('📈 Datos Completos'!$G$7:$G$5000, '📈 Datos Completos'!$B$7:$B$5000, B179, '📈 Datos Completos'!$D$7:$D$5000, C179))</f>
        <v/>
      </c>
      <c r="G179" s="18" t="str">
        <f t="shared" si="18"/>
        <v/>
      </c>
      <c r="H179" s="19" t="str">
        <f>IF(B179="","",SUMIFS('📈 Datos Completos'!$I$7:$I$5000, '📈 Datos Completos'!$B$7:$B$5000, B179, '📈 Datos Completos'!$D$7:$D$5000, C179))</f>
        <v/>
      </c>
      <c r="I179" s="19" t="str">
        <f t="shared" si="19"/>
        <v/>
      </c>
      <c r="J179" s="19" t="str">
        <f t="shared" si="20"/>
        <v/>
      </c>
      <c r="K179" s="19" t="str">
        <f>IF(B179="","",IF(C179="DIA", (SUMIFS('📋 Detalle Diario'!$D$5:$D$489, '📋 Detalle Diario'!$B$5:$B$489, B179, '📋 Detalle Diario'!$C$5:$C$489, C179) * '⚙️ Supuestos'!$C$24) + '⚙️ Supuestos'!$C$23, (SUMIFS('📋 Detalle Diario'!$D$5:$D$489, '📋 Detalle Diario'!$B$5:$B$489, B179, '📋 Detalle Diario'!$C$5:$C$489, C179) * '⚙️ Supuestos'!$C$24) + '⚙️ Supuestos'!$C$33))</f>
        <v/>
      </c>
      <c r="L179" s="19" t="str">
        <f t="shared" si="21"/>
        <v/>
      </c>
      <c r="M179" s="20" t="str">
        <f t="shared" si="22"/>
        <v/>
      </c>
      <c r="N179" s="19" t="str">
        <f t="shared" si="23"/>
        <v/>
      </c>
      <c r="O179" s="25" t="str">
        <f t="shared" si="24"/>
        <v/>
      </c>
      <c r="P179" s="19" t="str">
        <f t="shared" si="25"/>
        <v/>
      </c>
      <c r="Q179" s="19" t="str">
        <f>IF(B179="","",J179-P179+(SUMIFS('📋 Detalle Diario'!$E$5:$E$489, '📋 Detalle Diario'!$B$5:$B$489, B179, '📋 Detalle Diario'!$C$5:$C$489, C179)*135)+(SUMIFS('📋 Detalle Diario'!$I$5:$I$489, '📋 Detalle Diario'!$B$5:$B$489, B179, '📋 Detalle Diario'!$C$5:$C$489, C179)*200))</f>
        <v/>
      </c>
      <c r="R179" s="20" t="str">
        <f t="shared" si="26"/>
        <v/>
      </c>
    </row>
    <row r="180" spans="2:18" ht="18" customHeight="1" x14ac:dyDescent="0.3">
      <c r="B180" s="26"/>
      <c r="C180" s="27"/>
      <c r="D180" s="18" t="str">
        <f>IF(B180="","",SUMIFS('📈 Datos Completos'!$E$7:$E$5000, '📈 Datos Completos'!$B$7:$B$5000, B180, '📈 Datos Completos'!$D$7:$D$5000, C180))</f>
        <v/>
      </c>
      <c r="E180" s="18" t="str">
        <f>IF(B180="","",SUMIFS('📈 Datos Completos'!$F$7:$F$5000, '📈 Datos Completos'!$B$7:$B$5000, B180, '📈 Datos Completos'!$D$7:$D$5000, C180))</f>
        <v/>
      </c>
      <c r="F180" s="18" t="str">
        <f>IF(B180="","",SUMIFS('📈 Datos Completos'!$G$7:$G$5000, '📈 Datos Completos'!$B$7:$B$5000, B180, '📈 Datos Completos'!$D$7:$D$5000, C180))</f>
        <v/>
      </c>
      <c r="G180" s="18" t="str">
        <f t="shared" si="18"/>
        <v/>
      </c>
      <c r="H180" s="19" t="str">
        <f>IF(B180="","",SUMIFS('📈 Datos Completos'!$I$7:$I$5000, '📈 Datos Completos'!$B$7:$B$5000, B180, '📈 Datos Completos'!$D$7:$D$5000, C180))</f>
        <v/>
      </c>
      <c r="I180" s="19" t="str">
        <f t="shared" si="19"/>
        <v/>
      </c>
      <c r="J180" s="19" t="str">
        <f t="shared" si="20"/>
        <v/>
      </c>
      <c r="K180" s="19" t="str">
        <f>IF(B180="","",IF(C180="DIA", (SUMIFS('📋 Detalle Diario'!$D$5:$D$489, '📋 Detalle Diario'!$B$5:$B$489, B180, '📋 Detalle Diario'!$C$5:$C$489, C180) * '⚙️ Supuestos'!$C$24) + '⚙️ Supuestos'!$C$23, (SUMIFS('📋 Detalle Diario'!$D$5:$D$489, '📋 Detalle Diario'!$B$5:$B$489, B180, '📋 Detalle Diario'!$C$5:$C$489, C180) * '⚙️ Supuestos'!$C$24) + '⚙️ Supuestos'!$C$33))</f>
        <v/>
      </c>
      <c r="L180" s="19" t="str">
        <f t="shared" si="21"/>
        <v/>
      </c>
      <c r="M180" s="20" t="str">
        <f t="shared" si="22"/>
        <v/>
      </c>
      <c r="N180" s="19" t="str">
        <f t="shared" si="23"/>
        <v/>
      </c>
      <c r="O180" s="27" t="str">
        <f t="shared" si="24"/>
        <v/>
      </c>
      <c r="P180" s="19" t="str">
        <f t="shared" si="25"/>
        <v/>
      </c>
      <c r="Q180" s="19" t="str">
        <f>IF(B180="","",J180-P180+(SUMIFS('📋 Detalle Diario'!$E$5:$E$489, '📋 Detalle Diario'!$B$5:$B$489, B180, '📋 Detalle Diario'!$C$5:$C$489, C180)*135)+(SUMIFS('📋 Detalle Diario'!$I$5:$I$489, '📋 Detalle Diario'!$B$5:$B$489, B180, '📋 Detalle Diario'!$C$5:$C$489, C180)*200))</f>
        <v/>
      </c>
      <c r="R180" s="20" t="str">
        <f t="shared" si="26"/>
        <v/>
      </c>
    </row>
    <row r="181" spans="2:18" ht="18" customHeight="1" x14ac:dyDescent="0.3">
      <c r="B181" s="24"/>
      <c r="C181" s="25"/>
      <c r="D181" s="18" t="str">
        <f>IF(B181="","",SUMIFS('📈 Datos Completos'!$E$7:$E$5000, '📈 Datos Completos'!$B$7:$B$5000, B181, '📈 Datos Completos'!$D$7:$D$5000, C181))</f>
        <v/>
      </c>
      <c r="E181" s="18" t="str">
        <f>IF(B181="","",SUMIFS('📈 Datos Completos'!$F$7:$F$5000, '📈 Datos Completos'!$B$7:$B$5000, B181, '📈 Datos Completos'!$D$7:$D$5000, C181))</f>
        <v/>
      </c>
      <c r="F181" s="18" t="str">
        <f>IF(B181="","",SUMIFS('📈 Datos Completos'!$G$7:$G$5000, '📈 Datos Completos'!$B$7:$B$5000, B181, '📈 Datos Completos'!$D$7:$D$5000, C181))</f>
        <v/>
      </c>
      <c r="G181" s="18" t="str">
        <f t="shared" si="18"/>
        <v/>
      </c>
      <c r="H181" s="19" t="str">
        <f>IF(B181="","",SUMIFS('📈 Datos Completos'!$I$7:$I$5000, '📈 Datos Completos'!$B$7:$B$5000, B181, '📈 Datos Completos'!$D$7:$D$5000, C181))</f>
        <v/>
      </c>
      <c r="I181" s="19" t="str">
        <f t="shared" si="19"/>
        <v/>
      </c>
      <c r="J181" s="19" t="str">
        <f t="shared" si="20"/>
        <v/>
      </c>
      <c r="K181" s="19" t="str">
        <f>IF(B181="","",IF(C181="DIA", (SUMIFS('📋 Detalle Diario'!$D$5:$D$489, '📋 Detalle Diario'!$B$5:$B$489, B181, '📋 Detalle Diario'!$C$5:$C$489, C181) * '⚙️ Supuestos'!$C$24) + '⚙️ Supuestos'!$C$23, (SUMIFS('📋 Detalle Diario'!$D$5:$D$489, '📋 Detalle Diario'!$B$5:$B$489, B181, '📋 Detalle Diario'!$C$5:$C$489, C181) * '⚙️ Supuestos'!$C$24) + '⚙️ Supuestos'!$C$33))</f>
        <v/>
      </c>
      <c r="L181" s="19" t="str">
        <f t="shared" si="21"/>
        <v/>
      </c>
      <c r="M181" s="20" t="str">
        <f t="shared" si="22"/>
        <v/>
      </c>
      <c r="N181" s="19" t="str">
        <f t="shared" si="23"/>
        <v/>
      </c>
      <c r="O181" s="25" t="str">
        <f t="shared" si="24"/>
        <v/>
      </c>
      <c r="P181" s="19" t="str">
        <f t="shared" si="25"/>
        <v/>
      </c>
      <c r="Q181" s="19" t="str">
        <f>IF(B181="","",J181-P181+(SUMIFS('📋 Detalle Diario'!$E$5:$E$489, '📋 Detalle Diario'!$B$5:$B$489, B181, '📋 Detalle Diario'!$C$5:$C$489, C181)*135)+(SUMIFS('📋 Detalle Diario'!$I$5:$I$489, '📋 Detalle Diario'!$B$5:$B$489, B181, '📋 Detalle Diario'!$C$5:$C$489, C181)*200))</f>
        <v/>
      </c>
      <c r="R181" s="20" t="str">
        <f t="shared" si="26"/>
        <v/>
      </c>
    </row>
    <row r="182" spans="2:18" ht="18" customHeight="1" x14ac:dyDescent="0.3">
      <c r="B182" s="26"/>
      <c r="C182" s="27"/>
      <c r="D182" s="18" t="str">
        <f>IF(B182="","",SUMIFS('📈 Datos Completos'!$E$7:$E$5000, '📈 Datos Completos'!$B$7:$B$5000, B182, '📈 Datos Completos'!$D$7:$D$5000, C182))</f>
        <v/>
      </c>
      <c r="E182" s="18" t="str">
        <f>IF(B182="","",SUMIFS('📈 Datos Completos'!$F$7:$F$5000, '📈 Datos Completos'!$B$7:$B$5000, B182, '📈 Datos Completos'!$D$7:$D$5000, C182))</f>
        <v/>
      </c>
      <c r="F182" s="18" t="str">
        <f>IF(B182="","",SUMIFS('📈 Datos Completos'!$G$7:$G$5000, '📈 Datos Completos'!$B$7:$B$5000, B182, '📈 Datos Completos'!$D$7:$D$5000, C182))</f>
        <v/>
      </c>
      <c r="G182" s="18" t="str">
        <f t="shared" si="18"/>
        <v/>
      </c>
      <c r="H182" s="19" t="str">
        <f>IF(B182="","",SUMIFS('📈 Datos Completos'!$I$7:$I$5000, '📈 Datos Completos'!$B$7:$B$5000, B182, '📈 Datos Completos'!$D$7:$D$5000, C182))</f>
        <v/>
      </c>
      <c r="I182" s="19" t="str">
        <f t="shared" si="19"/>
        <v/>
      </c>
      <c r="J182" s="19" t="str">
        <f t="shared" si="20"/>
        <v/>
      </c>
      <c r="K182" s="19" t="str">
        <f>IF(B182="","",IF(C182="DIA", (SUMIFS('📋 Detalle Diario'!$D$5:$D$489, '📋 Detalle Diario'!$B$5:$B$489, B182, '📋 Detalle Diario'!$C$5:$C$489, C182) * '⚙️ Supuestos'!$C$24) + '⚙️ Supuestos'!$C$23, (SUMIFS('📋 Detalle Diario'!$D$5:$D$489, '📋 Detalle Diario'!$B$5:$B$489, B182, '📋 Detalle Diario'!$C$5:$C$489, C182) * '⚙️ Supuestos'!$C$24) + '⚙️ Supuestos'!$C$33))</f>
        <v/>
      </c>
      <c r="L182" s="19" t="str">
        <f t="shared" si="21"/>
        <v/>
      </c>
      <c r="M182" s="20" t="str">
        <f t="shared" si="22"/>
        <v/>
      </c>
      <c r="N182" s="19" t="str">
        <f t="shared" si="23"/>
        <v/>
      </c>
      <c r="O182" s="27" t="str">
        <f t="shared" si="24"/>
        <v/>
      </c>
      <c r="P182" s="19" t="str">
        <f t="shared" si="25"/>
        <v/>
      </c>
      <c r="Q182" s="19" t="str">
        <f>IF(B182="","",J182-P182+(SUMIFS('📋 Detalle Diario'!$E$5:$E$489, '📋 Detalle Diario'!$B$5:$B$489, B182, '📋 Detalle Diario'!$C$5:$C$489, C182)*135)+(SUMIFS('📋 Detalle Diario'!$I$5:$I$489, '📋 Detalle Diario'!$B$5:$B$489, B182, '📋 Detalle Diario'!$C$5:$C$489, C182)*200))</f>
        <v/>
      </c>
      <c r="R182" s="20" t="str">
        <f t="shared" si="26"/>
        <v/>
      </c>
    </row>
    <row r="183" spans="2:18" ht="18" customHeight="1" x14ac:dyDescent="0.3">
      <c r="B183" s="24"/>
      <c r="C183" s="25"/>
      <c r="D183" s="18" t="str">
        <f>IF(B183="","",SUMIFS('📈 Datos Completos'!$E$7:$E$5000, '📈 Datos Completos'!$B$7:$B$5000, B183, '📈 Datos Completos'!$D$7:$D$5000, C183))</f>
        <v/>
      </c>
      <c r="E183" s="18" t="str">
        <f>IF(B183="","",SUMIFS('📈 Datos Completos'!$F$7:$F$5000, '📈 Datos Completos'!$B$7:$B$5000, B183, '📈 Datos Completos'!$D$7:$D$5000, C183))</f>
        <v/>
      </c>
      <c r="F183" s="18" t="str">
        <f>IF(B183="","",SUMIFS('📈 Datos Completos'!$G$7:$G$5000, '📈 Datos Completos'!$B$7:$B$5000, B183, '📈 Datos Completos'!$D$7:$D$5000, C183))</f>
        <v/>
      </c>
      <c r="G183" s="18" t="str">
        <f t="shared" si="18"/>
        <v/>
      </c>
      <c r="H183" s="19" t="str">
        <f>IF(B183="","",SUMIFS('📈 Datos Completos'!$I$7:$I$5000, '📈 Datos Completos'!$B$7:$B$5000, B183, '📈 Datos Completos'!$D$7:$D$5000, C183))</f>
        <v/>
      </c>
      <c r="I183" s="19" t="str">
        <f t="shared" si="19"/>
        <v/>
      </c>
      <c r="J183" s="19" t="str">
        <f t="shared" si="20"/>
        <v/>
      </c>
      <c r="K183" s="19" t="str">
        <f>IF(B183="","",IF(C183="DIA", (SUMIFS('📋 Detalle Diario'!$D$5:$D$489, '📋 Detalle Diario'!$B$5:$B$489, B183, '📋 Detalle Diario'!$C$5:$C$489, C183) * '⚙️ Supuestos'!$C$24) + '⚙️ Supuestos'!$C$23, (SUMIFS('📋 Detalle Diario'!$D$5:$D$489, '📋 Detalle Diario'!$B$5:$B$489, B183, '📋 Detalle Diario'!$C$5:$C$489, C183) * '⚙️ Supuestos'!$C$24) + '⚙️ Supuestos'!$C$33))</f>
        <v/>
      </c>
      <c r="L183" s="19" t="str">
        <f t="shared" si="21"/>
        <v/>
      </c>
      <c r="M183" s="20" t="str">
        <f t="shared" si="22"/>
        <v/>
      </c>
      <c r="N183" s="19" t="str">
        <f t="shared" si="23"/>
        <v/>
      </c>
      <c r="O183" s="25" t="str">
        <f t="shared" si="24"/>
        <v/>
      </c>
      <c r="P183" s="19" t="str">
        <f t="shared" si="25"/>
        <v/>
      </c>
      <c r="Q183" s="19" t="str">
        <f>IF(B183="","",J183-P183+(SUMIFS('📋 Detalle Diario'!$E$5:$E$489, '📋 Detalle Diario'!$B$5:$B$489, B183, '📋 Detalle Diario'!$C$5:$C$489, C183)*135)+(SUMIFS('📋 Detalle Diario'!$I$5:$I$489, '📋 Detalle Diario'!$B$5:$B$489, B183, '📋 Detalle Diario'!$C$5:$C$489, C183)*200))</f>
        <v/>
      </c>
      <c r="R183" s="20" t="str">
        <f t="shared" si="26"/>
        <v/>
      </c>
    </row>
    <row r="184" spans="2:18" ht="18" customHeight="1" x14ac:dyDescent="0.3">
      <c r="B184" s="26"/>
      <c r="C184" s="27"/>
      <c r="D184" s="18" t="str">
        <f>IF(B184="","",SUMIFS('📈 Datos Completos'!$E$7:$E$5000, '📈 Datos Completos'!$B$7:$B$5000, B184, '📈 Datos Completos'!$D$7:$D$5000, C184))</f>
        <v/>
      </c>
      <c r="E184" s="18" t="str">
        <f>IF(B184="","",SUMIFS('📈 Datos Completos'!$F$7:$F$5000, '📈 Datos Completos'!$B$7:$B$5000, B184, '📈 Datos Completos'!$D$7:$D$5000, C184))</f>
        <v/>
      </c>
      <c r="F184" s="18" t="str">
        <f>IF(B184="","",SUMIFS('📈 Datos Completos'!$G$7:$G$5000, '📈 Datos Completos'!$B$7:$B$5000, B184, '📈 Datos Completos'!$D$7:$D$5000, C184))</f>
        <v/>
      </c>
      <c r="G184" s="18" t="str">
        <f t="shared" si="18"/>
        <v/>
      </c>
      <c r="H184" s="19" t="str">
        <f>IF(B184="","",SUMIFS('📈 Datos Completos'!$I$7:$I$5000, '📈 Datos Completos'!$B$7:$B$5000, B184, '📈 Datos Completos'!$D$7:$D$5000, C184))</f>
        <v/>
      </c>
      <c r="I184" s="19" t="str">
        <f t="shared" si="19"/>
        <v/>
      </c>
      <c r="J184" s="19" t="str">
        <f t="shared" si="20"/>
        <v/>
      </c>
      <c r="K184" s="19" t="str">
        <f>IF(B184="","",IF(C184="DIA", (SUMIFS('📋 Detalle Diario'!$D$5:$D$489, '📋 Detalle Diario'!$B$5:$B$489, B184, '📋 Detalle Diario'!$C$5:$C$489, C184) * '⚙️ Supuestos'!$C$24) + '⚙️ Supuestos'!$C$23, (SUMIFS('📋 Detalle Diario'!$D$5:$D$489, '📋 Detalle Diario'!$B$5:$B$489, B184, '📋 Detalle Diario'!$C$5:$C$489, C184) * '⚙️ Supuestos'!$C$24) + '⚙️ Supuestos'!$C$33))</f>
        <v/>
      </c>
      <c r="L184" s="19" t="str">
        <f t="shared" si="21"/>
        <v/>
      </c>
      <c r="M184" s="20" t="str">
        <f t="shared" si="22"/>
        <v/>
      </c>
      <c r="N184" s="19" t="str">
        <f t="shared" si="23"/>
        <v/>
      </c>
      <c r="O184" s="27" t="str">
        <f t="shared" si="24"/>
        <v/>
      </c>
      <c r="P184" s="19" t="str">
        <f t="shared" si="25"/>
        <v/>
      </c>
      <c r="Q184" s="19" t="str">
        <f>IF(B184="","",J184-P184+(SUMIFS('📋 Detalle Diario'!$E$5:$E$489, '📋 Detalle Diario'!$B$5:$B$489, B184, '📋 Detalle Diario'!$C$5:$C$489, C184)*135)+(SUMIFS('📋 Detalle Diario'!$I$5:$I$489, '📋 Detalle Diario'!$B$5:$B$489, B184, '📋 Detalle Diario'!$C$5:$C$489, C184)*200))</f>
        <v/>
      </c>
      <c r="R184" s="20" t="str">
        <f t="shared" si="26"/>
        <v/>
      </c>
    </row>
    <row r="185" spans="2:18" ht="18" customHeight="1" x14ac:dyDescent="0.3">
      <c r="B185" s="24"/>
      <c r="C185" s="25"/>
      <c r="D185" s="18" t="str">
        <f>IF(B185="","",SUMIFS('📈 Datos Completos'!$E$7:$E$5000, '📈 Datos Completos'!$B$7:$B$5000, B185, '📈 Datos Completos'!$D$7:$D$5000, C185))</f>
        <v/>
      </c>
      <c r="E185" s="18" t="str">
        <f>IF(B185="","",SUMIFS('📈 Datos Completos'!$F$7:$F$5000, '📈 Datos Completos'!$B$7:$B$5000, B185, '📈 Datos Completos'!$D$7:$D$5000, C185))</f>
        <v/>
      </c>
      <c r="F185" s="18" t="str">
        <f>IF(B185="","",SUMIFS('📈 Datos Completos'!$G$7:$G$5000, '📈 Datos Completos'!$B$7:$B$5000, B185, '📈 Datos Completos'!$D$7:$D$5000, C185))</f>
        <v/>
      </c>
      <c r="G185" s="18" t="str">
        <f t="shared" si="18"/>
        <v/>
      </c>
      <c r="H185" s="19" t="str">
        <f>IF(B185="","",SUMIFS('📈 Datos Completos'!$I$7:$I$5000, '📈 Datos Completos'!$B$7:$B$5000, B185, '📈 Datos Completos'!$D$7:$D$5000, C185))</f>
        <v/>
      </c>
      <c r="I185" s="19" t="str">
        <f t="shared" si="19"/>
        <v/>
      </c>
      <c r="J185" s="19" t="str">
        <f t="shared" si="20"/>
        <v/>
      </c>
      <c r="K185" s="19" t="str">
        <f>IF(B185="","",IF(C185="DIA", (SUMIFS('📋 Detalle Diario'!$D$5:$D$489, '📋 Detalle Diario'!$B$5:$B$489, B185, '📋 Detalle Diario'!$C$5:$C$489, C185) * '⚙️ Supuestos'!$C$24) + '⚙️ Supuestos'!$C$23, (SUMIFS('📋 Detalle Diario'!$D$5:$D$489, '📋 Detalle Diario'!$B$5:$B$489, B185, '📋 Detalle Diario'!$C$5:$C$489, C185) * '⚙️ Supuestos'!$C$24) + '⚙️ Supuestos'!$C$33))</f>
        <v/>
      </c>
      <c r="L185" s="19" t="str">
        <f t="shared" si="21"/>
        <v/>
      </c>
      <c r="M185" s="20" t="str">
        <f t="shared" si="22"/>
        <v/>
      </c>
      <c r="N185" s="19" t="str">
        <f t="shared" si="23"/>
        <v/>
      </c>
      <c r="O185" s="25" t="str">
        <f t="shared" si="24"/>
        <v/>
      </c>
      <c r="P185" s="19" t="str">
        <f t="shared" si="25"/>
        <v/>
      </c>
      <c r="Q185" s="19" t="str">
        <f>IF(B185="","",J185-P185+(SUMIFS('📋 Detalle Diario'!$E$5:$E$489, '📋 Detalle Diario'!$B$5:$B$489, B185, '📋 Detalle Diario'!$C$5:$C$489, C185)*135)+(SUMIFS('📋 Detalle Diario'!$I$5:$I$489, '📋 Detalle Diario'!$B$5:$B$489, B185, '📋 Detalle Diario'!$C$5:$C$489, C185)*200))</f>
        <v/>
      </c>
      <c r="R185" s="20" t="str">
        <f t="shared" si="26"/>
        <v/>
      </c>
    </row>
    <row r="186" spans="2:18" ht="18" customHeight="1" x14ac:dyDescent="0.3">
      <c r="B186" s="26"/>
      <c r="C186" s="27"/>
      <c r="D186" s="18" t="str">
        <f>IF(B186="","",SUMIFS('📈 Datos Completos'!$E$7:$E$5000, '📈 Datos Completos'!$B$7:$B$5000, B186, '📈 Datos Completos'!$D$7:$D$5000, C186))</f>
        <v/>
      </c>
      <c r="E186" s="18" t="str">
        <f>IF(B186="","",SUMIFS('📈 Datos Completos'!$F$7:$F$5000, '📈 Datos Completos'!$B$7:$B$5000, B186, '📈 Datos Completos'!$D$7:$D$5000, C186))</f>
        <v/>
      </c>
      <c r="F186" s="18" t="str">
        <f>IF(B186="","",SUMIFS('📈 Datos Completos'!$G$7:$G$5000, '📈 Datos Completos'!$B$7:$B$5000, B186, '📈 Datos Completos'!$D$7:$D$5000, C186))</f>
        <v/>
      </c>
      <c r="G186" s="18" t="str">
        <f t="shared" si="18"/>
        <v/>
      </c>
      <c r="H186" s="19" t="str">
        <f>IF(B186="","",SUMIFS('📈 Datos Completos'!$I$7:$I$5000, '📈 Datos Completos'!$B$7:$B$5000, B186, '📈 Datos Completos'!$D$7:$D$5000, C186))</f>
        <v/>
      </c>
      <c r="I186" s="19" t="str">
        <f t="shared" si="19"/>
        <v/>
      </c>
      <c r="J186" s="19" t="str">
        <f t="shared" si="20"/>
        <v/>
      </c>
      <c r="K186" s="19" t="str">
        <f>IF(B186="","",IF(C186="DIA", (SUMIFS('📋 Detalle Diario'!$D$5:$D$489, '📋 Detalle Diario'!$B$5:$B$489, B186, '📋 Detalle Diario'!$C$5:$C$489, C186) * '⚙️ Supuestos'!$C$24) + '⚙️ Supuestos'!$C$23, (SUMIFS('📋 Detalle Diario'!$D$5:$D$489, '📋 Detalle Diario'!$B$5:$B$489, B186, '📋 Detalle Diario'!$C$5:$C$489, C186) * '⚙️ Supuestos'!$C$24) + '⚙️ Supuestos'!$C$33))</f>
        <v/>
      </c>
      <c r="L186" s="19" t="str">
        <f t="shared" si="21"/>
        <v/>
      </c>
      <c r="M186" s="20" t="str">
        <f t="shared" si="22"/>
        <v/>
      </c>
      <c r="N186" s="19" t="str">
        <f t="shared" si="23"/>
        <v/>
      </c>
      <c r="O186" s="27" t="str">
        <f t="shared" si="24"/>
        <v/>
      </c>
      <c r="P186" s="19" t="str">
        <f t="shared" si="25"/>
        <v/>
      </c>
      <c r="Q186" s="19" t="str">
        <f>IF(B186="","",J186-P186+(SUMIFS('📋 Detalle Diario'!$E$5:$E$489, '📋 Detalle Diario'!$B$5:$B$489, B186, '📋 Detalle Diario'!$C$5:$C$489, C186)*135)+(SUMIFS('📋 Detalle Diario'!$I$5:$I$489, '📋 Detalle Diario'!$B$5:$B$489, B186, '📋 Detalle Diario'!$C$5:$C$489, C186)*200))</f>
        <v/>
      </c>
      <c r="R186" s="20" t="str">
        <f t="shared" si="26"/>
        <v/>
      </c>
    </row>
    <row r="187" spans="2:18" ht="18" customHeight="1" x14ac:dyDescent="0.3">
      <c r="B187" s="24"/>
      <c r="C187" s="25"/>
      <c r="D187" s="18" t="str">
        <f>IF(B187="","",SUMIFS('📈 Datos Completos'!$E$7:$E$5000, '📈 Datos Completos'!$B$7:$B$5000, B187, '📈 Datos Completos'!$D$7:$D$5000, C187))</f>
        <v/>
      </c>
      <c r="E187" s="18" t="str">
        <f>IF(B187="","",SUMIFS('📈 Datos Completos'!$F$7:$F$5000, '📈 Datos Completos'!$B$7:$B$5000, B187, '📈 Datos Completos'!$D$7:$D$5000, C187))</f>
        <v/>
      </c>
      <c r="F187" s="18" t="str">
        <f>IF(B187="","",SUMIFS('📈 Datos Completos'!$G$7:$G$5000, '📈 Datos Completos'!$B$7:$B$5000, B187, '📈 Datos Completos'!$D$7:$D$5000, C187))</f>
        <v/>
      </c>
      <c r="G187" s="18" t="str">
        <f t="shared" si="18"/>
        <v/>
      </c>
      <c r="H187" s="19" t="str">
        <f>IF(B187="","",SUMIFS('📈 Datos Completos'!$I$7:$I$5000, '📈 Datos Completos'!$B$7:$B$5000, B187, '📈 Datos Completos'!$D$7:$D$5000, C187))</f>
        <v/>
      </c>
      <c r="I187" s="19" t="str">
        <f t="shared" si="19"/>
        <v/>
      </c>
      <c r="J187" s="19" t="str">
        <f t="shared" si="20"/>
        <v/>
      </c>
      <c r="K187" s="19" t="str">
        <f>IF(B187="","",IF(C187="DIA", (SUMIFS('📋 Detalle Diario'!$D$5:$D$489, '📋 Detalle Diario'!$B$5:$B$489, B187, '📋 Detalle Diario'!$C$5:$C$489, C187) * '⚙️ Supuestos'!$C$24) + '⚙️ Supuestos'!$C$23, (SUMIFS('📋 Detalle Diario'!$D$5:$D$489, '📋 Detalle Diario'!$B$5:$B$489, B187, '📋 Detalle Diario'!$C$5:$C$489, C187) * '⚙️ Supuestos'!$C$24) + '⚙️ Supuestos'!$C$33))</f>
        <v/>
      </c>
      <c r="L187" s="19" t="str">
        <f t="shared" si="21"/>
        <v/>
      </c>
      <c r="M187" s="20" t="str">
        <f t="shared" si="22"/>
        <v/>
      </c>
      <c r="N187" s="19" t="str">
        <f t="shared" si="23"/>
        <v/>
      </c>
      <c r="O187" s="25" t="str">
        <f t="shared" si="24"/>
        <v/>
      </c>
      <c r="P187" s="19" t="str">
        <f t="shared" si="25"/>
        <v/>
      </c>
      <c r="Q187" s="19" t="str">
        <f>IF(B187="","",J187-P187+(SUMIFS('📋 Detalle Diario'!$E$5:$E$489, '📋 Detalle Diario'!$B$5:$B$489, B187, '📋 Detalle Diario'!$C$5:$C$489, C187)*135)+(SUMIFS('📋 Detalle Diario'!$I$5:$I$489, '📋 Detalle Diario'!$B$5:$B$489, B187, '📋 Detalle Diario'!$C$5:$C$489, C187)*200))</f>
        <v/>
      </c>
      <c r="R187" s="20" t="str">
        <f t="shared" si="26"/>
        <v/>
      </c>
    </row>
    <row r="188" spans="2:18" ht="18" customHeight="1" x14ac:dyDescent="0.3">
      <c r="B188" s="26"/>
      <c r="C188" s="27"/>
      <c r="D188" s="18" t="str">
        <f>IF(B188="","",SUMIFS('📈 Datos Completos'!$E$7:$E$5000, '📈 Datos Completos'!$B$7:$B$5000, B188, '📈 Datos Completos'!$D$7:$D$5000, C188))</f>
        <v/>
      </c>
      <c r="E188" s="18" t="str">
        <f>IF(B188="","",SUMIFS('📈 Datos Completos'!$F$7:$F$5000, '📈 Datos Completos'!$B$7:$B$5000, B188, '📈 Datos Completos'!$D$7:$D$5000, C188))</f>
        <v/>
      </c>
      <c r="F188" s="18" t="str">
        <f>IF(B188="","",SUMIFS('📈 Datos Completos'!$G$7:$G$5000, '📈 Datos Completos'!$B$7:$B$5000, B188, '📈 Datos Completos'!$D$7:$D$5000, C188))</f>
        <v/>
      </c>
      <c r="G188" s="18" t="str">
        <f t="shared" si="18"/>
        <v/>
      </c>
      <c r="H188" s="19" t="str">
        <f>IF(B188="","",SUMIFS('📈 Datos Completos'!$I$7:$I$5000, '📈 Datos Completos'!$B$7:$B$5000, B188, '📈 Datos Completos'!$D$7:$D$5000, C188))</f>
        <v/>
      </c>
      <c r="I188" s="19" t="str">
        <f t="shared" si="19"/>
        <v/>
      </c>
      <c r="J188" s="19" t="str">
        <f t="shared" si="20"/>
        <v/>
      </c>
      <c r="K188" s="19" t="str">
        <f>IF(B188="","",IF(C188="DIA", (SUMIFS('📋 Detalle Diario'!$D$5:$D$489, '📋 Detalle Diario'!$B$5:$B$489, B188, '📋 Detalle Diario'!$C$5:$C$489, C188) * '⚙️ Supuestos'!$C$24) + '⚙️ Supuestos'!$C$23, (SUMIFS('📋 Detalle Diario'!$D$5:$D$489, '📋 Detalle Diario'!$B$5:$B$489, B188, '📋 Detalle Diario'!$C$5:$C$489, C188) * '⚙️ Supuestos'!$C$24) + '⚙️ Supuestos'!$C$33))</f>
        <v/>
      </c>
      <c r="L188" s="19" t="str">
        <f t="shared" si="21"/>
        <v/>
      </c>
      <c r="M188" s="20" t="str">
        <f t="shared" si="22"/>
        <v/>
      </c>
      <c r="N188" s="19" t="str">
        <f t="shared" si="23"/>
        <v/>
      </c>
      <c r="O188" s="27" t="str">
        <f t="shared" si="24"/>
        <v/>
      </c>
      <c r="P188" s="19" t="str">
        <f t="shared" si="25"/>
        <v/>
      </c>
      <c r="Q188" s="19" t="str">
        <f>IF(B188="","",J188-P188+(SUMIFS('📋 Detalle Diario'!$E$5:$E$489, '📋 Detalle Diario'!$B$5:$B$489, B188, '📋 Detalle Diario'!$C$5:$C$489, C188)*135)+(SUMIFS('📋 Detalle Diario'!$I$5:$I$489, '📋 Detalle Diario'!$B$5:$B$489, B188, '📋 Detalle Diario'!$C$5:$C$489, C188)*200))</f>
        <v/>
      </c>
      <c r="R188" s="20" t="str">
        <f t="shared" si="26"/>
        <v/>
      </c>
    </row>
    <row r="189" spans="2:18" ht="18" customHeight="1" x14ac:dyDescent="0.3">
      <c r="B189" s="24"/>
      <c r="C189" s="25"/>
      <c r="D189" s="18" t="str">
        <f>IF(B189="","",SUMIFS('📈 Datos Completos'!$E$7:$E$5000, '📈 Datos Completos'!$B$7:$B$5000, B189, '📈 Datos Completos'!$D$7:$D$5000, C189))</f>
        <v/>
      </c>
      <c r="E189" s="18" t="str">
        <f>IF(B189="","",SUMIFS('📈 Datos Completos'!$F$7:$F$5000, '📈 Datos Completos'!$B$7:$B$5000, B189, '📈 Datos Completos'!$D$7:$D$5000, C189))</f>
        <v/>
      </c>
      <c r="F189" s="18" t="str">
        <f>IF(B189="","",SUMIFS('📈 Datos Completos'!$G$7:$G$5000, '📈 Datos Completos'!$B$7:$B$5000, B189, '📈 Datos Completos'!$D$7:$D$5000, C189))</f>
        <v/>
      </c>
      <c r="G189" s="18" t="str">
        <f t="shared" si="18"/>
        <v/>
      </c>
      <c r="H189" s="19" t="str">
        <f>IF(B189="","",SUMIFS('📈 Datos Completos'!$I$7:$I$5000, '📈 Datos Completos'!$B$7:$B$5000, B189, '📈 Datos Completos'!$D$7:$D$5000, C189))</f>
        <v/>
      </c>
      <c r="I189" s="19" t="str">
        <f t="shared" si="19"/>
        <v/>
      </c>
      <c r="J189" s="19" t="str">
        <f t="shared" si="20"/>
        <v/>
      </c>
      <c r="K189" s="19" t="str">
        <f>IF(B189="","",IF(C189="DIA", (SUMIFS('📋 Detalle Diario'!$D$5:$D$489, '📋 Detalle Diario'!$B$5:$B$489, B189, '📋 Detalle Diario'!$C$5:$C$489, C189) * '⚙️ Supuestos'!$C$24) + '⚙️ Supuestos'!$C$23, (SUMIFS('📋 Detalle Diario'!$D$5:$D$489, '📋 Detalle Diario'!$B$5:$B$489, B189, '📋 Detalle Diario'!$C$5:$C$489, C189) * '⚙️ Supuestos'!$C$24) + '⚙️ Supuestos'!$C$33))</f>
        <v/>
      </c>
      <c r="L189" s="19" t="str">
        <f t="shared" si="21"/>
        <v/>
      </c>
      <c r="M189" s="20" t="str">
        <f t="shared" si="22"/>
        <v/>
      </c>
      <c r="N189" s="19" t="str">
        <f t="shared" si="23"/>
        <v/>
      </c>
      <c r="O189" s="25" t="str">
        <f t="shared" si="24"/>
        <v/>
      </c>
      <c r="P189" s="19" t="str">
        <f t="shared" si="25"/>
        <v/>
      </c>
      <c r="Q189" s="19" t="str">
        <f>IF(B189="","",J189-P189+(SUMIFS('📋 Detalle Diario'!$E$5:$E$489, '📋 Detalle Diario'!$B$5:$B$489, B189, '📋 Detalle Diario'!$C$5:$C$489, C189)*135)+(SUMIFS('📋 Detalle Diario'!$I$5:$I$489, '📋 Detalle Diario'!$B$5:$B$489, B189, '📋 Detalle Diario'!$C$5:$C$489, C189)*200))</f>
        <v/>
      </c>
      <c r="R189" s="20" t="str">
        <f t="shared" si="26"/>
        <v/>
      </c>
    </row>
    <row r="190" spans="2:18" ht="18" customHeight="1" x14ac:dyDescent="0.3">
      <c r="B190" s="26"/>
      <c r="C190" s="27"/>
      <c r="D190" s="18" t="str">
        <f>IF(B190="","",SUMIFS('📈 Datos Completos'!$E$7:$E$5000, '📈 Datos Completos'!$B$7:$B$5000, B190, '📈 Datos Completos'!$D$7:$D$5000, C190))</f>
        <v/>
      </c>
      <c r="E190" s="18" t="str">
        <f>IF(B190="","",SUMIFS('📈 Datos Completos'!$F$7:$F$5000, '📈 Datos Completos'!$B$7:$B$5000, B190, '📈 Datos Completos'!$D$7:$D$5000, C190))</f>
        <v/>
      </c>
      <c r="F190" s="18" t="str">
        <f>IF(B190="","",SUMIFS('📈 Datos Completos'!$G$7:$G$5000, '📈 Datos Completos'!$B$7:$B$5000, B190, '📈 Datos Completos'!$D$7:$D$5000, C190))</f>
        <v/>
      </c>
      <c r="G190" s="18" t="str">
        <f t="shared" si="18"/>
        <v/>
      </c>
      <c r="H190" s="19" t="str">
        <f>IF(B190="","",SUMIFS('📈 Datos Completos'!$I$7:$I$5000, '📈 Datos Completos'!$B$7:$B$5000, B190, '📈 Datos Completos'!$D$7:$D$5000, C190))</f>
        <v/>
      </c>
      <c r="I190" s="19" t="str">
        <f t="shared" si="19"/>
        <v/>
      </c>
      <c r="J190" s="19" t="str">
        <f t="shared" si="20"/>
        <v/>
      </c>
      <c r="K190" s="19" t="str">
        <f>IF(B190="","",IF(C190="DIA", (SUMIFS('📋 Detalle Diario'!$D$5:$D$489, '📋 Detalle Diario'!$B$5:$B$489, B190, '📋 Detalle Diario'!$C$5:$C$489, C190) * '⚙️ Supuestos'!$C$24) + '⚙️ Supuestos'!$C$23, (SUMIFS('📋 Detalle Diario'!$D$5:$D$489, '📋 Detalle Diario'!$B$5:$B$489, B190, '📋 Detalle Diario'!$C$5:$C$489, C190) * '⚙️ Supuestos'!$C$24) + '⚙️ Supuestos'!$C$33))</f>
        <v/>
      </c>
      <c r="L190" s="19" t="str">
        <f t="shared" si="21"/>
        <v/>
      </c>
      <c r="M190" s="20" t="str">
        <f t="shared" si="22"/>
        <v/>
      </c>
      <c r="N190" s="19" t="str">
        <f t="shared" si="23"/>
        <v/>
      </c>
      <c r="O190" s="27" t="str">
        <f t="shared" si="24"/>
        <v/>
      </c>
      <c r="P190" s="19" t="str">
        <f t="shared" si="25"/>
        <v/>
      </c>
      <c r="Q190" s="19" t="str">
        <f>IF(B190="","",J190-P190+(SUMIFS('📋 Detalle Diario'!$E$5:$E$489, '📋 Detalle Diario'!$B$5:$B$489, B190, '📋 Detalle Diario'!$C$5:$C$489, C190)*135)+(SUMIFS('📋 Detalle Diario'!$I$5:$I$489, '📋 Detalle Diario'!$B$5:$B$489, B190, '📋 Detalle Diario'!$C$5:$C$489, C190)*200))</f>
        <v/>
      </c>
      <c r="R190" s="20" t="str">
        <f t="shared" si="26"/>
        <v/>
      </c>
    </row>
    <row r="191" spans="2:18" ht="18" customHeight="1" x14ac:dyDescent="0.3">
      <c r="B191" s="24"/>
      <c r="C191" s="25"/>
      <c r="D191" s="18" t="str">
        <f>IF(B191="","",SUMIFS('📈 Datos Completos'!$E$7:$E$5000, '📈 Datos Completos'!$B$7:$B$5000, B191, '📈 Datos Completos'!$D$7:$D$5000, C191))</f>
        <v/>
      </c>
      <c r="E191" s="18" t="str">
        <f>IF(B191="","",SUMIFS('📈 Datos Completos'!$F$7:$F$5000, '📈 Datos Completos'!$B$7:$B$5000, B191, '📈 Datos Completos'!$D$7:$D$5000, C191))</f>
        <v/>
      </c>
      <c r="F191" s="18" t="str">
        <f>IF(B191="","",SUMIFS('📈 Datos Completos'!$G$7:$G$5000, '📈 Datos Completos'!$B$7:$B$5000, B191, '📈 Datos Completos'!$D$7:$D$5000, C191))</f>
        <v/>
      </c>
      <c r="G191" s="18" t="str">
        <f t="shared" si="18"/>
        <v/>
      </c>
      <c r="H191" s="19" t="str">
        <f>IF(B191="","",SUMIFS('📈 Datos Completos'!$I$7:$I$5000, '📈 Datos Completos'!$B$7:$B$5000, B191, '📈 Datos Completos'!$D$7:$D$5000, C191))</f>
        <v/>
      </c>
      <c r="I191" s="19" t="str">
        <f t="shared" si="19"/>
        <v/>
      </c>
      <c r="J191" s="19" t="str">
        <f t="shared" si="20"/>
        <v/>
      </c>
      <c r="K191" s="19" t="str">
        <f>IF(B191="","",IF(C191="DIA", (SUMIFS('📋 Detalle Diario'!$D$5:$D$489, '📋 Detalle Diario'!$B$5:$B$489, B191, '📋 Detalle Diario'!$C$5:$C$489, C191) * '⚙️ Supuestos'!$C$24) + '⚙️ Supuestos'!$C$23, (SUMIFS('📋 Detalle Diario'!$D$5:$D$489, '📋 Detalle Diario'!$B$5:$B$489, B191, '📋 Detalle Diario'!$C$5:$C$489, C191) * '⚙️ Supuestos'!$C$24) + '⚙️ Supuestos'!$C$33))</f>
        <v/>
      </c>
      <c r="L191" s="19" t="str">
        <f t="shared" si="21"/>
        <v/>
      </c>
      <c r="M191" s="20" t="str">
        <f t="shared" si="22"/>
        <v/>
      </c>
      <c r="N191" s="19" t="str">
        <f t="shared" si="23"/>
        <v/>
      </c>
      <c r="O191" s="25" t="str">
        <f t="shared" si="24"/>
        <v/>
      </c>
      <c r="P191" s="19" t="str">
        <f t="shared" si="25"/>
        <v/>
      </c>
      <c r="Q191" s="19" t="str">
        <f>IF(B191="","",J191-P191+(SUMIFS('📋 Detalle Diario'!$E$5:$E$489, '📋 Detalle Diario'!$B$5:$B$489, B191, '📋 Detalle Diario'!$C$5:$C$489, C191)*135)+(SUMIFS('📋 Detalle Diario'!$I$5:$I$489, '📋 Detalle Diario'!$B$5:$B$489, B191, '📋 Detalle Diario'!$C$5:$C$489, C191)*200))</f>
        <v/>
      </c>
      <c r="R191" s="20" t="str">
        <f t="shared" si="26"/>
        <v/>
      </c>
    </row>
    <row r="192" spans="2:18" ht="18" customHeight="1" x14ac:dyDescent="0.3">
      <c r="B192" s="26"/>
      <c r="C192" s="27"/>
      <c r="D192" s="18" t="str">
        <f>IF(B192="","",SUMIFS('📈 Datos Completos'!$E$7:$E$5000, '📈 Datos Completos'!$B$7:$B$5000, B192, '📈 Datos Completos'!$D$7:$D$5000, C192))</f>
        <v/>
      </c>
      <c r="E192" s="18" t="str">
        <f>IF(B192="","",SUMIFS('📈 Datos Completos'!$F$7:$F$5000, '📈 Datos Completos'!$B$7:$B$5000, B192, '📈 Datos Completos'!$D$7:$D$5000, C192))</f>
        <v/>
      </c>
      <c r="F192" s="18" t="str">
        <f>IF(B192="","",SUMIFS('📈 Datos Completos'!$G$7:$G$5000, '📈 Datos Completos'!$B$7:$B$5000, B192, '📈 Datos Completos'!$D$7:$D$5000, C192))</f>
        <v/>
      </c>
      <c r="G192" s="18" t="str">
        <f t="shared" si="18"/>
        <v/>
      </c>
      <c r="H192" s="19" t="str">
        <f>IF(B192="","",SUMIFS('📈 Datos Completos'!$I$7:$I$5000, '📈 Datos Completos'!$B$7:$B$5000, B192, '📈 Datos Completos'!$D$7:$D$5000, C192))</f>
        <v/>
      </c>
      <c r="I192" s="19" t="str">
        <f t="shared" si="19"/>
        <v/>
      </c>
      <c r="J192" s="19" t="str">
        <f t="shared" si="20"/>
        <v/>
      </c>
      <c r="K192" s="19" t="str">
        <f>IF(B192="","",IF(C192="DIA", (SUMIFS('📋 Detalle Diario'!$D$5:$D$489, '📋 Detalle Diario'!$B$5:$B$489, B192, '📋 Detalle Diario'!$C$5:$C$489, C192) * '⚙️ Supuestos'!$C$24) + '⚙️ Supuestos'!$C$23, (SUMIFS('📋 Detalle Diario'!$D$5:$D$489, '📋 Detalle Diario'!$B$5:$B$489, B192, '📋 Detalle Diario'!$C$5:$C$489, C192) * '⚙️ Supuestos'!$C$24) + '⚙️ Supuestos'!$C$33))</f>
        <v/>
      </c>
      <c r="L192" s="19" t="str">
        <f t="shared" si="21"/>
        <v/>
      </c>
      <c r="M192" s="20" t="str">
        <f t="shared" si="22"/>
        <v/>
      </c>
      <c r="N192" s="19" t="str">
        <f t="shared" si="23"/>
        <v/>
      </c>
      <c r="O192" s="27" t="str">
        <f t="shared" si="24"/>
        <v/>
      </c>
      <c r="P192" s="19" t="str">
        <f t="shared" si="25"/>
        <v/>
      </c>
      <c r="Q192" s="19" t="str">
        <f>IF(B192="","",J192-P192+(SUMIFS('📋 Detalle Diario'!$E$5:$E$489, '📋 Detalle Diario'!$B$5:$B$489, B192, '📋 Detalle Diario'!$C$5:$C$489, C192)*135)+(SUMIFS('📋 Detalle Diario'!$I$5:$I$489, '📋 Detalle Diario'!$B$5:$B$489, B192, '📋 Detalle Diario'!$C$5:$C$489, C192)*200))</f>
        <v/>
      </c>
      <c r="R192" s="20" t="str">
        <f t="shared" si="26"/>
        <v/>
      </c>
    </row>
    <row r="193" spans="2:18" ht="18" customHeight="1" x14ac:dyDescent="0.3">
      <c r="B193" s="24"/>
      <c r="C193" s="25"/>
      <c r="D193" s="18" t="str">
        <f>IF(B193="","",SUMIFS('📈 Datos Completos'!$E$7:$E$5000, '📈 Datos Completos'!$B$7:$B$5000, B193, '📈 Datos Completos'!$D$7:$D$5000, C193))</f>
        <v/>
      </c>
      <c r="E193" s="18" t="str">
        <f>IF(B193="","",SUMIFS('📈 Datos Completos'!$F$7:$F$5000, '📈 Datos Completos'!$B$7:$B$5000, B193, '📈 Datos Completos'!$D$7:$D$5000, C193))</f>
        <v/>
      </c>
      <c r="F193" s="18" t="str">
        <f>IF(B193="","",SUMIFS('📈 Datos Completos'!$G$7:$G$5000, '📈 Datos Completos'!$B$7:$B$5000, B193, '📈 Datos Completos'!$D$7:$D$5000, C193))</f>
        <v/>
      </c>
      <c r="G193" s="18" t="str">
        <f t="shared" si="18"/>
        <v/>
      </c>
      <c r="H193" s="19" t="str">
        <f>IF(B193="","",SUMIFS('📈 Datos Completos'!$I$7:$I$5000, '📈 Datos Completos'!$B$7:$B$5000, B193, '📈 Datos Completos'!$D$7:$D$5000, C193))</f>
        <v/>
      </c>
      <c r="I193" s="19" t="str">
        <f t="shared" si="19"/>
        <v/>
      </c>
      <c r="J193" s="19" t="str">
        <f t="shared" si="20"/>
        <v/>
      </c>
      <c r="K193" s="19" t="str">
        <f>IF(B193="","",IF(C193="DIA", (SUMIFS('📋 Detalle Diario'!$D$5:$D$489, '📋 Detalle Diario'!$B$5:$B$489, B193, '📋 Detalle Diario'!$C$5:$C$489, C193) * '⚙️ Supuestos'!$C$24) + '⚙️ Supuestos'!$C$23, (SUMIFS('📋 Detalle Diario'!$D$5:$D$489, '📋 Detalle Diario'!$B$5:$B$489, B193, '📋 Detalle Diario'!$C$5:$C$489, C193) * '⚙️ Supuestos'!$C$24) + '⚙️ Supuestos'!$C$33))</f>
        <v/>
      </c>
      <c r="L193" s="19" t="str">
        <f t="shared" si="21"/>
        <v/>
      </c>
      <c r="M193" s="20" t="str">
        <f t="shared" si="22"/>
        <v/>
      </c>
      <c r="N193" s="19" t="str">
        <f t="shared" si="23"/>
        <v/>
      </c>
      <c r="O193" s="25" t="str">
        <f t="shared" si="24"/>
        <v/>
      </c>
      <c r="P193" s="19" t="str">
        <f t="shared" si="25"/>
        <v/>
      </c>
      <c r="Q193" s="19" t="str">
        <f>IF(B193="","",J193-P193+(SUMIFS('📋 Detalle Diario'!$E$5:$E$489, '📋 Detalle Diario'!$B$5:$B$489, B193, '📋 Detalle Diario'!$C$5:$C$489, C193)*135)+(SUMIFS('📋 Detalle Diario'!$I$5:$I$489, '📋 Detalle Diario'!$B$5:$B$489, B193, '📋 Detalle Diario'!$C$5:$C$489, C193)*200))</f>
        <v/>
      </c>
      <c r="R193" s="20" t="str">
        <f t="shared" si="26"/>
        <v/>
      </c>
    </row>
    <row r="194" spans="2:18" ht="18" customHeight="1" x14ac:dyDescent="0.3">
      <c r="B194" s="26"/>
      <c r="C194" s="27"/>
      <c r="D194" s="18" t="str">
        <f>IF(B194="","",SUMIFS('📈 Datos Completos'!$E$7:$E$5000, '📈 Datos Completos'!$B$7:$B$5000, B194, '📈 Datos Completos'!$D$7:$D$5000, C194))</f>
        <v/>
      </c>
      <c r="E194" s="18" t="str">
        <f>IF(B194="","",SUMIFS('📈 Datos Completos'!$F$7:$F$5000, '📈 Datos Completos'!$B$7:$B$5000, B194, '📈 Datos Completos'!$D$7:$D$5000, C194))</f>
        <v/>
      </c>
      <c r="F194" s="18" t="str">
        <f>IF(B194="","",SUMIFS('📈 Datos Completos'!$G$7:$G$5000, '📈 Datos Completos'!$B$7:$B$5000, B194, '📈 Datos Completos'!$D$7:$D$5000, C194))</f>
        <v/>
      </c>
      <c r="G194" s="18" t="str">
        <f t="shared" si="18"/>
        <v/>
      </c>
      <c r="H194" s="19" t="str">
        <f>IF(B194="","",SUMIFS('📈 Datos Completos'!$I$7:$I$5000, '📈 Datos Completos'!$B$7:$B$5000, B194, '📈 Datos Completos'!$D$7:$D$5000, C194))</f>
        <v/>
      </c>
      <c r="I194" s="19" t="str">
        <f t="shared" si="19"/>
        <v/>
      </c>
      <c r="J194" s="19" t="str">
        <f t="shared" si="20"/>
        <v/>
      </c>
      <c r="K194" s="19" t="str">
        <f>IF(B194="","",IF(C194="DIA", (SUMIFS('📋 Detalle Diario'!$D$5:$D$489, '📋 Detalle Diario'!$B$5:$B$489, B194, '📋 Detalle Diario'!$C$5:$C$489, C194) * '⚙️ Supuestos'!$C$24) + '⚙️ Supuestos'!$C$23, (SUMIFS('📋 Detalle Diario'!$D$5:$D$489, '📋 Detalle Diario'!$B$5:$B$489, B194, '📋 Detalle Diario'!$C$5:$C$489, C194) * '⚙️ Supuestos'!$C$24) + '⚙️ Supuestos'!$C$33))</f>
        <v/>
      </c>
      <c r="L194" s="19" t="str">
        <f t="shared" si="21"/>
        <v/>
      </c>
      <c r="M194" s="20" t="str">
        <f t="shared" si="22"/>
        <v/>
      </c>
      <c r="N194" s="19" t="str">
        <f t="shared" si="23"/>
        <v/>
      </c>
      <c r="O194" s="27" t="str">
        <f t="shared" si="24"/>
        <v/>
      </c>
      <c r="P194" s="19" t="str">
        <f t="shared" si="25"/>
        <v/>
      </c>
      <c r="Q194" s="19" t="str">
        <f>IF(B194="","",J194-P194+(SUMIFS('📋 Detalle Diario'!$E$5:$E$489, '📋 Detalle Diario'!$B$5:$B$489, B194, '📋 Detalle Diario'!$C$5:$C$489, C194)*135)+(SUMIFS('📋 Detalle Diario'!$I$5:$I$489, '📋 Detalle Diario'!$B$5:$B$489, B194, '📋 Detalle Diario'!$C$5:$C$489, C194)*200))</f>
        <v/>
      </c>
      <c r="R194" s="20" t="str">
        <f t="shared" si="26"/>
        <v/>
      </c>
    </row>
    <row r="195" spans="2:18" ht="18" customHeight="1" x14ac:dyDescent="0.3">
      <c r="B195" s="24"/>
      <c r="C195" s="25"/>
      <c r="D195" s="18" t="str">
        <f>IF(B195="","",SUMIFS('📈 Datos Completos'!$E$7:$E$5000, '📈 Datos Completos'!$B$7:$B$5000, B195, '📈 Datos Completos'!$D$7:$D$5000, C195))</f>
        <v/>
      </c>
      <c r="E195" s="18" t="str">
        <f>IF(B195="","",SUMIFS('📈 Datos Completos'!$F$7:$F$5000, '📈 Datos Completos'!$B$7:$B$5000, B195, '📈 Datos Completos'!$D$7:$D$5000, C195))</f>
        <v/>
      </c>
      <c r="F195" s="18" t="str">
        <f>IF(B195="","",SUMIFS('📈 Datos Completos'!$G$7:$G$5000, '📈 Datos Completos'!$B$7:$B$5000, B195, '📈 Datos Completos'!$D$7:$D$5000, C195))</f>
        <v/>
      </c>
      <c r="G195" s="18" t="str">
        <f t="shared" si="18"/>
        <v/>
      </c>
      <c r="H195" s="19" t="str">
        <f>IF(B195="","",SUMIFS('📈 Datos Completos'!$I$7:$I$5000, '📈 Datos Completos'!$B$7:$B$5000, B195, '📈 Datos Completos'!$D$7:$D$5000, C195))</f>
        <v/>
      </c>
      <c r="I195" s="19" t="str">
        <f t="shared" si="19"/>
        <v/>
      </c>
      <c r="J195" s="19" t="str">
        <f t="shared" si="20"/>
        <v/>
      </c>
      <c r="K195" s="19" t="str">
        <f>IF(B195="","",IF(C195="DIA", (SUMIFS('📋 Detalle Diario'!$D$5:$D$489, '📋 Detalle Diario'!$B$5:$B$489, B195, '📋 Detalle Diario'!$C$5:$C$489, C195) * '⚙️ Supuestos'!$C$24) + '⚙️ Supuestos'!$C$23, (SUMIFS('📋 Detalle Diario'!$D$5:$D$489, '📋 Detalle Diario'!$B$5:$B$489, B195, '📋 Detalle Diario'!$C$5:$C$489, C195) * '⚙️ Supuestos'!$C$24) + '⚙️ Supuestos'!$C$33))</f>
        <v/>
      </c>
      <c r="L195" s="19" t="str">
        <f t="shared" si="21"/>
        <v/>
      </c>
      <c r="M195" s="20" t="str">
        <f t="shared" si="22"/>
        <v/>
      </c>
      <c r="N195" s="19" t="str">
        <f t="shared" si="23"/>
        <v/>
      </c>
      <c r="O195" s="25" t="str">
        <f t="shared" si="24"/>
        <v/>
      </c>
      <c r="P195" s="19" t="str">
        <f t="shared" si="25"/>
        <v/>
      </c>
      <c r="Q195" s="19" t="str">
        <f>IF(B195="","",J195-P195+(SUMIFS('📋 Detalle Diario'!$E$5:$E$489, '📋 Detalle Diario'!$B$5:$B$489, B195, '📋 Detalle Diario'!$C$5:$C$489, C195)*135)+(SUMIFS('📋 Detalle Diario'!$I$5:$I$489, '📋 Detalle Diario'!$B$5:$B$489, B195, '📋 Detalle Diario'!$C$5:$C$489, C195)*200))</f>
        <v/>
      </c>
      <c r="R195" s="20" t="str">
        <f t="shared" si="26"/>
        <v/>
      </c>
    </row>
    <row r="196" spans="2:18" ht="18" customHeight="1" x14ac:dyDescent="0.3">
      <c r="B196" s="26"/>
      <c r="C196" s="27"/>
      <c r="D196" s="18" t="str">
        <f>IF(B196="","",SUMIFS('📈 Datos Completos'!$E$7:$E$5000, '📈 Datos Completos'!$B$7:$B$5000, B196, '📈 Datos Completos'!$D$7:$D$5000, C196))</f>
        <v/>
      </c>
      <c r="E196" s="18" t="str">
        <f>IF(B196="","",SUMIFS('📈 Datos Completos'!$F$7:$F$5000, '📈 Datos Completos'!$B$7:$B$5000, B196, '📈 Datos Completos'!$D$7:$D$5000, C196))</f>
        <v/>
      </c>
      <c r="F196" s="18" t="str">
        <f>IF(B196="","",SUMIFS('📈 Datos Completos'!$G$7:$G$5000, '📈 Datos Completos'!$B$7:$B$5000, B196, '📈 Datos Completos'!$D$7:$D$5000, C196))</f>
        <v/>
      </c>
      <c r="G196" s="18" t="str">
        <f t="shared" si="18"/>
        <v/>
      </c>
      <c r="H196" s="19" t="str">
        <f>IF(B196="","",SUMIFS('📈 Datos Completos'!$I$7:$I$5000, '📈 Datos Completos'!$B$7:$B$5000, B196, '📈 Datos Completos'!$D$7:$D$5000, C196))</f>
        <v/>
      </c>
      <c r="I196" s="19" t="str">
        <f t="shared" si="19"/>
        <v/>
      </c>
      <c r="J196" s="19" t="str">
        <f t="shared" si="20"/>
        <v/>
      </c>
      <c r="K196" s="19" t="str">
        <f>IF(B196="","",IF(C196="DIA", (SUMIFS('📋 Detalle Diario'!$D$5:$D$489, '📋 Detalle Diario'!$B$5:$B$489, B196, '📋 Detalle Diario'!$C$5:$C$489, C196) * '⚙️ Supuestos'!$C$24) + '⚙️ Supuestos'!$C$23, (SUMIFS('📋 Detalle Diario'!$D$5:$D$489, '📋 Detalle Diario'!$B$5:$B$489, B196, '📋 Detalle Diario'!$C$5:$C$489, C196) * '⚙️ Supuestos'!$C$24) + '⚙️ Supuestos'!$C$33))</f>
        <v/>
      </c>
      <c r="L196" s="19" t="str">
        <f t="shared" si="21"/>
        <v/>
      </c>
      <c r="M196" s="20" t="str">
        <f t="shared" si="22"/>
        <v/>
      </c>
      <c r="N196" s="19" t="str">
        <f t="shared" si="23"/>
        <v/>
      </c>
      <c r="O196" s="27" t="str">
        <f t="shared" si="24"/>
        <v/>
      </c>
      <c r="P196" s="19" t="str">
        <f t="shared" si="25"/>
        <v/>
      </c>
      <c r="Q196" s="19" t="str">
        <f>IF(B196="","",J196-P196+(SUMIFS('📋 Detalle Diario'!$E$5:$E$489, '📋 Detalle Diario'!$B$5:$B$489, B196, '📋 Detalle Diario'!$C$5:$C$489, C196)*135)+(SUMIFS('📋 Detalle Diario'!$I$5:$I$489, '📋 Detalle Diario'!$B$5:$B$489, B196, '📋 Detalle Diario'!$C$5:$C$489, C196)*200))</f>
        <v/>
      </c>
      <c r="R196" s="20" t="str">
        <f t="shared" si="26"/>
        <v/>
      </c>
    </row>
    <row r="197" spans="2:18" ht="18" customHeight="1" x14ac:dyDescent="0.3">
      <c r="B197" s="24"/>
      <c r="C197" s="25"/>
      <c r="D197" s="18" t="str">
        <f>IF(B197="","",SUMIFS('📈 Datos Completos'!$E$7:$E$5000, '📈 Datos Completos'!$B$7:$B$5000, B197, '📈 Datos Completos'!$D$7:$D$5000, C197))</f>
        <v/>
      </c>
      <c r="E197" s="18" t="str">
        <f>IF(B197="","",SUMIFS('📈 Datos Completos'!$F$7:$F$5000, '📈 Datos Completos'!$B$7:$B$5000, B197, '📈 Datos Completos'!$D$7:$D$5000, C197))</f>
        <v/>
      </c>
      <c r="F197" s="18" t="str">
        <f>IF(B197="","",SUMIFS('📈 Datos Completos'!$G$7:$G$5000, '📈 Datos Completos'!$B$7:$B$5000, B197, '📈 Datos Completos'!$D$7:$D$5000, C197))</f>
        <v/>
      </c>
      <c r="G197" s="18" t="str">
        <f t="shared" ref="G197:G260" si="27">IF(B197="","",E197+F197)</f>
        <v/>
      </c>
      <c r="H197" s="19" t="str">
        <f>IF(B197="","",SUMIFS('📈 Datos Completos'!$I$7:$I$5000, '📈 Datos Completos'!$B$7:$B$5000, B197, '📈 Datos Completos'!$D$7:$D$5000, C197))</f>
        <v/>
      </c>
      <c r="I197" s="19" t="str">
        <f t="shared" ref="I197:I260" si="28">IF(B197="","",IF(C197="DIA", G197*1.01, G197*1.35))</f>
        <v/>
      </c>
      <c r="J197" s="19" t="str">
        <f t="shared" ref="J197:J260" si="29">IF(B197="","",H197+I197)</f>
        <v/>
      </c>
      <c r="K197" s="19" t="str">
        <f>IF(B197="","",IF(C197="DIA", (SUMIFS('📋 Detalle Diario'!$D$5:$D$489, '📋 Detalle Diario'!$B$5:$B$489, B197, '📋 Detalle Diario'!$C$5:$C$489, C197) * '⚙️ Supuestos'!$C$24) + '⚙️ Supuestos'!$C$23, (SUMIFS('📋 Detalle Diario'!$D$5:$D$489, '📋 Detalle Diario'!$B$5:$B$489, B197, '📋 Detalle Diario'!$C$5:$C$489, C197) * '⚙️ Supuestos'!$C$24) + '⚙️ Supuestos'!$C$33))</f>
        <v/>
      </c>
      <c r="L197" s="19" t="str">
        <f t="shared" ref="L197:L260" si="30">IF(B197="","",J197-K197)</f>
        <v/>
      </c>
      <c r="M197" s="20" t="str">
        <f t="shared" ref="M197:M260" si="31">IF(B197="","",IF(J197=0, 0, L197/J197))</f>
        <v/>
      </c>
      <c r="N197" s="19" t="str">
        <f t="shared" ref="N197:N260" si="32">IF(B197="","",IF(D197=0, 0, K197/D197))</f>
        <v/>
      </c>
      <c r="O197" s="25" t="str">
        <f t="shared" ref="O197:O260" si="33">IF(B197="","",IF(ISNUMBER(B197),YEAR(B197)&amp;"-"&amp;IF(MONTH(B197)&lt;10,"0","")&amp;MONTH(B197),LEFT(B197,7)))</f>
        <v/>
      </c>
      <c r="P197" s="19" t="str">
        <f t="shared" ref="P197:P260" si="34">IF(B197="","",K197+(G197*0.09))</f>
        <v/>
      </c>
      <c r="Q197" s="19" t="str">
        <f>IF(B197="","",J197-P197+(SUMIFS('📋 Detalle Diario'!$E$5:$E$489, '📋 Detalle Diario'!$B$5:$B$489, B197, '📋 Detalle Diario'!$C$5:$C$489, C197)*135)+(SUMIFS('📋 Detalle Diario'!$I$5:$I$489, '📋 Detalle Diario'!$B$5:$B$489, B197, '📋 Detalle Diario'!$C$5:$C$489, C197)*200))</f>
        <v/>
      </c>
      <c r="R197" s="20" t="str">
        <f t="shared" ref="R197:R260" si="35">IF(B197="","",IF(J197=0, 0, Q197/J197))</f>
        <v/>
      </c>
    </row>
    <row r="198" spans="2:18" ht="18" customHeight="1" x14ac:dyDescent="0.3">
      <c r="B198" s="26"/>
      <c r="C198" s="27"/>
      <c r="D198" s="18" t="str">
        <f>IF(B198="","",SUMIFS('📈 Datos Completos'!$E$7:$E$5000, '📈 Datos Completos'!$B$7:$B$5000, B198, '📈 Datos Completos'!$D$7:$D$5000, C198))</f>
        <v/>
      </c>
      <c r="E198" s="18" t="str">
        <f>IF(B198="","",SUMIFS('📈 Datos Completos'!$F$7:$F$5000, '📈 Datos Completos'!$B$7:$B$5000, B198, '📈 Datos Completos'!$D$7:$D$5000, C198))</f>
        <v/>
      </c>
      <c r="F198" s="18" t="str">
        <f>IF(B198="","",SUMIFS('📈 Datos Completos'!$G$7:$G$5000, '📈 Datos Completos'!$B$7:$B$5000, B198, '📈 Datos Completos'!$D$7:$D$5000, C198))</f>
        <v/>
      </c>
      <c r="G198" s="18" t="str">
        <f t="shared" si="27"/>
        <v/>
      </c>
      <c r="H198" s="19" t="str">
        <f>IF(B198="","",SUMIFS('📈 Datos Completos'!$I$7:$I$5000, '📈 Datos Completos'!$B$7:$B$5000, B198, '📈 Datos Completos'!$D$7:$D$5000, C198))</f>
        <v/>
      </c>
      <c r="I198" s="19" t="str">
        <f t="shared" si="28"/>
        <v/>
      </c>
      <c r="J198" s="19" t="str">
        <f t="shared" si="29"/>
        <v/>
      </c>
      <c r="K198" s="19" t="str">
        <f>IF(B198="","",IF(C198="DIA", (SUMIFS('📋 Detalle Diario'!$D$5:$D$489, '📋 Detalle Diario'!$B$5:$B$489, B198, '📋 Detalle Diario'!$C$5:$C$489, C198) * '⚙️ Supuestos'!$C$24) + '⚙️ Supuestos'!$C$23, (SUMIFS('📋 Detalle Diario'!$D$5:$D$489, '📋 Detalle Diario'!$B$5:$B$489, B198, '📋 Detalle Diario'!$C$5:$C$489, C198) * '⚙️ Supuestos'!$C$24) + '⚙️ Supuestos'!$C$33))</f>
        <v/>
      </c>
      <c r="L198" s="19" t="str">
        <f t="shared" si="30"/>
        <v/>
      </c>
      <c r="M198" s="20" t="str">
        <f t="shared" si="31"/>
        <v/>
      </c>
      <c r="N198" s="19" t="str">
        <f t="shared" si="32"/>
        <v/>
      </c>
      <c r="O198" s="27" t="str">
        <f t="shared" si="33"/>
        <v/>
      </c>
      <c r="P198" s="19" t="str">
        <f t="shared" si="34"/>
        <v/>
      </c>
      <c r="Q198" s="19" t="str">
        <f>IF(B198="","",J198-P198+(SUMIFS('📋 Detalle Diario'!$E$5:$E$489, '📋 Detalle Diario'!$B$5:$B$489, B198, '📋 Detalle Diario'!$C$5:$C$489, C198)*135)+(SUMIFS('📋 Detalle Diario'!$I$5:$I$489, '📋 Detalle Diario'!$B$5:$B$489, B198, '📋 Detalle Diario'!$C$5:$C$489, C198)*200))</f>
        <v/>
      </c>
      <c r="R198" s="20" t="str">
        <f t="shared" si="35"/>
        <v/>
      </c>
    </row>
    <row r="199" spans="2:18" ht="18" customHeight="1" x14ac:dyDescent="0.3">
      <c r="B199" s="24"/>
      <c r="C199" s="25"/>
      <c r="D199" s="18" t="str">
        <f>IF(B199="","",SUMIFS('📈 Datos Completos'!$E$7:$E$5000, '📈 Datos Completos'!$B$7:$B$5000, B199, '📈 Datos Completos'!$D$7:$D$5000, C199))</f>
        <v/>
      </c>
      <c r="E199" s="18" t="str">
        <f>IF(B199="","",SUMIFS('📈 Datos Completos'!$F$7:$F$5000, '📈 Datos Completos'!$B$7:$B$5000, B199, '📈 Datos Completos'!$D$7:$D$5000, C199))</f>
        <v/>
      </c>
      <c r="F199" s="18" t="str">
        <f>IF(B199="","",SUMIFS('📈 Datos Completos'!$G$7:$G$5000, '📈 Datos Completos'!$B$7:$B$5000, B199, '📈 Datos Completos'!$D$7:$D$5000, C199))</f>
        <v/>
      </c>
      <c r="G199" s="18" t="str">
        <f t="shared" si="27"/>
        <v/>
      </c>
      <c r="H199" s="19" t="str">
        <f>IF(B199="","",SUMIFS('📈 Datos Completos'!$I$7:$I$5000, '📈 Datos Completos'!$B$7:$B$5000, B199, '📈 Datos Completos'!$D$7:$D$5000, C199))</f>
        <v/>
      </c>
      <c r="I199" s="19" t="str">
        <f t="shared" si="28"/>
        <v/>
      </c>
      <c r="J199" s="19" t="str">
        <f t="shared" si="29"/>
        <v/>
      </c>
      <c r="K199" s="19" t="str">
        <f>IF(B199="","",IF(C199="DIA", (SUMIFS('📋 Detalle Diario'!$D$5:$D$489, '📋 Detalle Diario'!$B$5:$B$489, B199, '📋 Detalle Diario'!$C$5:$C$489, C199) * '⚙️ Supuestos'!$C$24) + '⚙️ Supuestos'!$C$23, (SUMIFS('📋 Detalle Diario'!$D$5:$D$489, '📋 Detalle Diario'!$B$5:$B$489, B199, '📋 Detalle Diario'!$C$5:$C$489, C199) * '⚙️ Supuestos'!$C$24) + '⚙️ Supuestos'!$C$33))</f>
        <v/>
      </c>
      <c r="L199" s="19" t="str">
        <f t="shared" si="30"/>
        <v/>
      </c>
      <c r="M199" s="20" t="str">
        <f t="shared" si="31"/>
        <v/>
      </c>
      <c r="N199" s="19" t="str">
        <f t="shared" si="32"/>
        <v/>
      </c>
      <c r="O199" s="25" t="str">
        <f t="shared" si="33"/>
        <v/>
      </c>
      <c r="P199" s="19" t="str">
        <f t="shared" si="34"/>
        <v/>
      </c>
      <c r="Q199" s="19" t="str">
        <f>IF(B199="","",J199-P199+(SUMIFS('📋 Detalle Diario'!$E$5:$E$489, '📋 Detalle Diario'!$B$5:$B$489, B199, '📋 Detalle Diario'!$C$5:$C$489, C199)*135)+(SUMIFS('📋 Detalle Diario'!$I$5:$I$489, '📋 Detalle Diario'!$B$5:$B$489, B199, '📋 Detalle Diario'!$C$5:$C$489, C199)*200))</f>
        <v/>
      </c>
      <c r="R199" s="20" t="str">
        <f t="shared" si="35"/>
        <v/>
      </c>
    </row>
    <row r="200" spans="2:18" ht="18" customHeight="1" x14ac:dyDescent="0.3">
      <c r="B200" s="26"/>
      <c r="C200" s="27"/>
      <c r="D200" s="18" t="str">
        <f>IF(B200="","",SUMIFS('📈 Datos Completos'!$E$7:$E$5000, '📈 Datos Completos'!$B$7:$B$5000, B200, '📈 Datos Completos'!$D$7:$D$5000, C200))</f>
        <v/>
      </c>
      <c r="E200" s="18" t="str">
        <f>IF(B200="","",SUMIFS('📈 Datos Completos'!$F$7:$F$5000, '📈 Datos Completos'!$B$7:$B$5000, B200, '📈 Datos Completos'!$D$7:$D$5000, C200))</f>
        <v/>
      </c>
      <c r="F200" s="18" t="str">
        <f>IF(B200="","",SUMIFS('📈 Datos Completos'!$G$7:$G$5000, '📈 Datos Completos'!$B$7:$B$5000, B200, '📈 Datos Completos'!$D$7:$D$5000, C200))</f>
        <v/>
      </c>
      <c r="G200" s="18" t="str">
        <f t="shared" si="27"/>
        <v/>
      </c>
      <c r="H200" s="19" t="str">
        <f>IF(B200="","",SUMIFS('📈 Datos Completos'!$I$7:$I$5000, '📈 Datos Completos'!$B$7:$B$5000, B200, '📈 Datos Completos'!$D$7:$D$5000, C200))</f>
        <v/>
      </c>
      <c r="I200" s="19" t="str">
        <f t="shared" si="28"/>
        <v/>
      </c>
      <c r="J200" s="19" t="str">
        <f t="shared" si="29"/>
        <v/>
      </c>
      <c r="K200" s="19" t="str">
        <f>IF(B200="","",IF(C200="DIA", (SUMIFS('📋 Detalle Diario'!$D$5:$D$489, '📋 Detalle Diario'!$B$5:$B$489, B200, '📋 Detalle Diario'!$C$5:$C$489, C200) * '⚙️ Supuestos'!$C$24) + '⚙️ Supuestos'!$C$23, (SUMIFS('📋 Detalle Diario'!$D$5:$D$489, '📋 Detalle Diario'!$B$5:$B$489, B200, '📋 Detalle Diario'!$C$5:$C$489, C200) * '⚙️ Supuestos'!$C$24) + '⚙️ Supuestos'!$C$33))</f>
        <v/>
      </c>
      <c r="L200" s="19" t="str">
        <f t="shared" si="30"/>
        <v/>
      </c>
      <c r="M200" s="20" t="str">
        <f t="shared" si="31"/>
        <v/>
      </c>
      <c r="N200" s="19" t="str">
        <f t="shared" si="32"/>
        <v/>
      </c>
      <c r="O200" s="27" t="str">
        <f t="shared" si="33"/>
        <v/>
      </c>
      <c r="P200" s="19" t="str">
        <f t="shared" si="34"/>
        <v/>
      </c>
      <c r="Q200" s="19" t="str">
        <f>IF(B200="","",J200-P200+(SUMIFS('📋 Detalle Diario'!$E$5:$E$489, '📋 Detalle Diario'!$B$5:$B$489, B200, '📋 Detalle Diario'!$C$5:$C$489, C200)*135)+(SUMIFS('📋 Detalle Diario'!$I$5:$I$489, '📋 Detalle Diario'!$B$5:$B$489, B200, '📋 Detalle Diario'!$C$5:$C$489, C200)*200))</f>
        <v/>
      </c>
      <c r="R200" s="20" t="str">
        <f t="shared" si="35"/>
        <v/>
      </c>
    </row>
    <row r="201" spans="2:18" ht="18" customHeight="1" x14ac:dyDescent="0.3">
      <c r="B201" s="24"/>
      <c r="C201" s="25"/>
      <c r="D201" s="18" t="str">
        <f>IF(B201="","",SUMIFS('📈 Datos Completos'!$E$7:$E$5000, '📈 Datos Completos'!$B$7:$B$5000, B201, '📈 Datos Completos'!$D$7:$D$5000, C201))</f>
        <v/>
      </c>
      <c r="E201" s="18" t="str">
        <f>IF(B201="","",SUMIFS('📈 Datos Completos'!$F$7:$F$5000, '📈 Datos Completos'!$B$7:$B$5000, B201, '📈 Datos Completos'!$D$7:$D$5000, C201))</f>
        <v/>
      </c>
      <c r="F201" s="18" t="str">
        <f>IF(B201="","",SUMIFS('📈 Datos Completos'!$G$7:$G$5000, '📈 Datos Completos'!$B$7:$B$5000, B201, '📈 Datos Completos'!$D$7:$D$5000, C201))</f>
        <v/>
      </c>
      <c r="G201" s="18" t="str">
        <f t="shared" si="27"/>
        <v/>
      </c>
      <c r="H201" s="19" t="str">
        <f>IF(B201="","",SUMIFS('📈 Datos Completos'!$I$7:$I$5000, '📈 Datos Completos'!$B$7:$B$5000, B201, '📈 Datos Completos'!$D$7:$D$5000, C201))</f>
        <v/>
      </c>
      <c r="I201" s="19" t="str">
        <f t="shared" si="28"/>
        <v/>
      </c>
      <c r="J201" s="19" t="str">
        <f t="shared" si="29"/>
        <v/>
      </c>
      <c r="K201" s="19" t="str">
        <f>IF(B201="","",IF(C201="DIA", (SUMIFS('📋 Detalle Diario'!$D$5:$D$489, '📋 Detalle Diario'!$B$5:$B$489, B201, '📋 Detalle Diario'!$C$5:$C$489, C201) * '⚙️ Supuestos'!$C$24) + '⚙️ Supuestos'!$C$23, (SUMIFS('📋 Detalle Diario'!$D$5:$D$489, '📋 Detalle Diario'!$B$5:$B$489, B201, '📋 Detalle Diario'!$C$5:$C$489, C201) * '⚙️ Supuestos'!$C$24) + '⚙️ Supuestos'!$C$33))</f>
        <v/>
      </c>
      <c r="L201" s="19" t="str">
        <f t="shared" si="30"/>
        <v/>
      </c>
      <c r="M201" s="20" t="str">
        <f t="shared" si="31"/>
        <v/>
      </c>
      <c r="N201" s="19" t="str">
        <f t="shared" si="32"/>
        <v/>
      </c>
      <c r="O201" s="25" t="str">
        <f t="shared" si="33"/>
        <v/>
      </c>
      <c r="P201" s="19" t="str">
        <f t="shared" si="34"/>
        <v/>
      </c>
      <c r="Q201" s="19" t="str">
        <f>IF(B201="","",J201-P201+(SUMIFS('📋 Detalle Diario'!$E$5:$E$489, '📋 Detalle Diario'!$B$5:$B$489, B201, '📋 Detalle Diario'!$C$5:$C$489, C201)*135)+(SUMIFS('📋 Detalle Diario'!$I$5:$I$489, '📋 Detalle Diario'!$B$5:$B$489, B201, '📋 Detalle Diario'!$C$5:$C$489, C201)*200))</f>
        <v/>
      </c>
      <c r="R201" s="20" t="str">
        <f t="shared" si="35"/>
        <v/>
      </c>
    </row>
    <row r="202" spans="2:18" ht="18" customHeight="1" x14ac:dyDescent="0.3">
      <c r="B202" s="26"/>
      <c r="C202" s="27"/>
      <c r="D202" s="18" t="str">
        <f>IF(B202="","",SUMIFS('📈 Datos Completos'!$E$7:$E$5000, '📈 Datos Completos'!$B$7:$B$5000, B202, '📈 Datos Completos'!$D$7:$D$5000, C202))</f>
        <v/>
      </c>
      <c r="E202" s="18" t="str">
        <f>IF(B202="","",SUMIFS('📈 Datos Completos'!$F$7:$F$5000, '📈 Datos Completos'!$B$7:$B$5000, B202, '📈 Datos Completos'!$D$7:$D$5000, C202))</f>
        <v/>
      </c>
      <c r="F202" s="18" t="str">
        <f>IF(B202="","",SUMIFS('📈 Datos Completos'!$G$7:$G$5000, '📈 Datos Completos'!$B$7:$B$5000, B202, '📈 Datos Completos'!$D$7:$D$5000, C202))</f>
        <v/>
      </c>
      <c r="G202" s="18" t="str">
        <f t="shared" si="27"/>
        <v/>
      </c>
      <c r="H202" s="19" t="str">
        <f>IF(B202="","",SUMIFS('📈 Datos Completos'!$I$7:$I$5000, '📈 Datos Completos'!$B$7:$B$5000, B202, '📈 Datos Completos'!$D$7:$D$5000, C202))</f>
        <v/>
      </c>
      <c r="I202" s="19" t="str">
        <f t="shared" si="28"/>
        <v/>
      </c>
      <c r="J202" s="19" t="str">
        <f t="shared" si="29"/>
        <v/>
      </c>
      <c r="K202" s="19" t="str">
        <f>IF(B202="","",IF(C202="DIA", (SUMIFS('📋 Detalle Diario'!$D$5:$D$489, '📋 Detalle Diario'!$B$5:$B$489, B202, '📋 Detalle Diario'!$C$5:$C$489, C202) * '⚙️ Supuestos'!$C$24) + '⚙️ Supuestos'!$C$23, (SUMIFS('📋 Detalle Diario'!$D$5:$D$489, '📋 Detalle Diario'!$B$5:$B$489, B202, '📋 Detalle Diario'!$C$5:$C$489, C202) * '⚙️ Supuestos'!$C$24) + '⚙️ Supuestos'!$C$33))</f>
        <v/>
      </c>
      <c r="L202" s="19" t="str">
        <f t="shared" si="30"/>
        <v/>
      </c>
      <c r="M202" s="20" t="str">
        <f t="shared" si="31"/>
        <v/>
      </c>
      <c r="N202" s="19" t="str">
        <f t="shared" si="32"/>
        <v/>
      </c>
      <c r="O202" s="27" t="str">
        <f t="shared" si="33"/>
        <v/>
      </c>
      <c r="P202" s="19" t="str">
        <f t="shared" si="34"/>
        <v/>
      </c>
      <c r="Q202" s="19" t="str">
        <f>IF(B202="","",J202-P202+(SUMIFS('📋 Detalle Diario'!$E$5:$E$489, '📋 Detalle Diario'!$B$5:$B$489, B202, '📋 Detalle Diario'!$C$5:$C$489, C202)*135)+(SUMIFS('📋 Detalle Diario'!$I$5:$I$489, '📋 Detalle Diario'!$B$5:$B$489, B202, '📋 Detalle Diario'!$C$5:$C$489, C202)*200))</f>
        <v/>
      </c>
      <c r="R202" s="20" t="str">
        <f t="shared" si="35"/>
        <v/>
      </c>
    </row>
    <row r="203" spans="2:18" ht="18" customHeight="1" x14ac:dyDescent="0.3">
      <c r="B203" s="24"/>
      <c r="C203" s="25"/>
      <c r="D203" s="18" t="str">
        <f>IF(B203="","",SUMIFS('📈 Datos Completos'!$E$7:$E$5000, '📈 Datos Completos'!$B$7:$B$5000, B203, '📈 Datos Completos'!$D$7:$D$5000, C203))</f>
        <v/>
      </c>
      <c r="E203" s="18" t="str">
        <f>IF(B203="","",SUMIFS('📈 Datos Completos'!$F$7:$F$5000, '📈 Datos Completos'!$B$7:$B$5000, B203, '📈 Datos Completos'!$D$7:$D$5000, C203))</f>
        <v/>
      </c>
      <c r="F203" s="18" t="str">
        <f>IF(B203="","",SUMIFS('📈 Datos Completos'!$G$7:$G$5000, '📈 Datos Completos'!$B$7:$B$5000, B203, '📈 Datos Completos'!$D$7:$D$5000, C203))</f>
        <v/>
      </c>
      <c r="G203" s="18" t="str">
        <f t="shared" si="27"/>
        <v/>
      </c>
      <c r="H203" s="19" t="str">
        <f>IF(B203="","",SUMIFS('📈 Datos Completos'!$I$7:$I$5000, '📈 Datos Completos'!$B$7:$B$5000, B203, '📈 Datos Completos'!$D$7:$D$5000, C203))</f>
        <v/>
      </c>
      <c r="I203" s="19" t="str">
        <f t="shared" si="28"/>
        <v/>
      </c>
      <c r="J203" s="19" t="str">
        <f t="shared" si="29"/>
        <v/>
      </c>
      <c r="K203" s="19" t="str">
        <f>IF(B203="","",IF(C203="DIA", (SUMIFS('📋 Detalle Diario'!$D$5:$D$489, '📋 Detalle Diario'!$B$5:$B$489, B203, '📋 Detalle Diario'!$C$5:$C$489, C203) * '⚙️ Supuestos'!$C$24) + '⚙️ Supuestos'!$C$23, (SUMIFS('📋 Detalle Diario'!$D$5:$D$489, '📋 Detalle Diario'!$B$5:$B$489, B203, '📋 Detalle Diario'!$C$5:$C$489, C203) * '⚙️ Supuestos'!$C$24) + '⚙️ Supuestos'!$C$33))</f>
        <v/>
      </c>
      <c r="L203" s="19" t="str">
        <f t="shared" si="30"/>
        <v/>
      </c>
      <c r="M203" s="20" t="str">
        <f t="shared" si="31"/>
        <v/>
      </c>
      <c r="N203" s="19" t="str">
        <f t="shared" si="32"/>
        <v/>
      </c>
      <c r="O203" s="25" t="str">
        <f t="shared" si="33"/>
        <v/>
      </c>
      <c r="P203" s="19" t="str">
        <f t="shared" si="34"/>
        <v/>
      </c>
      <c r="Q203" s="19" t="str">
        <f>IF(B203="","",J203-P203+(SUMIFS('📋 Detalle Diario'!$E$5:$E$489, '📋 Detalle Diario'!$B$5:$B$489, B203, '📋 Detalle Diario'!$C$5:$C$489, C203)*135)+(SUMIFS('📋 Detalle Diario'!$I$5:$I$489, '📋 Detalle Diario'!$B$5:$B$489, B203, '📋 Detalle Diario'!$C$5:$C$489, C203)*200))</f>
        <v/>
      </c>
      <c r="R203" s="20" t="str">
        <f t="shared" si="35"/>
        <v/>
      </c>
    </row>
    <row r="204" spans="2:18" ht="18" customHeight="1" x14ac:dyDescent="0.3">
      <c r="B204" s="26"/>
      <c r="C204" s="27"/>
      <c r="D204" s="18" t="str">
        <f>IF(B204="","",SUMIFS('📈 Datos Completos'!$E$7:$E$5000, '📈 Datos Completos'!$B$7:$B$5000, B204, '📈 Datos Completos'!$D$7:$D$5000, C204))</f>
        <v/>
      </c>
      <c r="E204" s="18" t="str">
        <f>IF(B204="","",SUMIFS('📈 Datos Completos'!$F$7:$F$5000, '📈 Datos Completos'!$B$7:$B$5000, B204, '📈 Datos Completos'!$D$7:$D$5000, C204))</f>
        <v/>
      </c>
      <c r="F204" s="18" t="str">
        <f>IF(B204="","",SUMIFS('📈 Datos Completos'!$G$7:$G$5000, '📈 Datos Completos'!$B$7:$B$5000, B204, '📈 Datos Completos'!$D$7:$D$5000, C204))</f>
        <v/>
      </c>
      <c r="G204" s="18" t="str">
        <f t="shared" si="27"/>
        <v/>
      </c>
      <c r="H204" s="19" t="str">
        <f>IF(B204="","",SUMIFS('📈 Datos Completos'!$I$7:$I$5000, '📈 Datos Completos'!$B$7:$B$5000, B204, '📈 Datos Completos'!$D$7:$D$5000, C204))</f>
        <v/>
      </c>
      <c r="I204" s="19" t="str">
        <f t="shared" si="28"/>
        <v/>
      </c>
      <c r="J204" s="19" t="str">
        <f t="shared" si="29"/>
        <v/>
      </c>
      <c r="K204" s="19" t="str">
        <f>IF(B204="","",IF(C204="DIA", (SUMIFS('📋 Detalle Diario'!$D$5:$D$489, '📋 Detalle Diario'!$B$5:$B$489, B204, '📋 Detalle Diario'!$C$5:$C$489, C204) * '⚙️ Supuestos'!$C$24) + '⚙️ Supuestos'!$C$23, (SUMIFS('📋 Detalle Diario'!$D$5:$D$489, '📋 Detalle Diario'!$B$5:$B$489, B204, '📋 Detalle Diario'!$C$5:$C$489, C204) * '⚙️ Supuestos'!$C$24) + '⚙️ Supuestos'!$C$33))</f>
        <v/>
      </c>
      <c r="L204" s="19" t="str">
        <f t="shared" si="30"/>
        <v/>
      </c>
      <c r="M204" s="20" t="str">
        <f t="shared" si="31"/>
        <v/>
      </c>
      <c r="N204" s="19" t="str">
        <f t="shared" si="32"/>
        <v/>
      </c>
      <c r="O204" s="27" t="str">
        <f t="shared" si="33"/>
        <v/>
      </c>
      <c r="P204" s="19" t="str">
        <f t="shared" si="34"/>
        <v/>
      </c>
      <c r="Q204" s="19" t="str">
        <f>IF(B204="","",J204-P204+(SUMIFS('📋 Detalle Diario'!$E$5:$E$489, '📋 Detalle Diario'!$B$5:$B$489, B204, '📋 Detalle Diario'!$C$5:$C$489, C204)*135)+(SUMIFS('📋 Detalle Diario'!$I$5:$I$489, '📋 Detalle Diario'!$B$5:$B$489, B204, '📋 Detalle Diario'!$C$5:$C$489, C204)*200))</f>
        <v/>
      </c>
      <c r="R204" s="20" t="str">
        <f t="shared" si="35"/>
        <v/>
      </c>
    </row>
    <row r="205" spans="2:18" ht="18" customHeight="1" x14ac:dyDescent="0.3">
      <c r="B205" s="24"/>
      <c r="C205" s="25"/>
      <c r="D205" s="18" t="str">
        <f>IF(B205="","",SUMIFS('📈 Datos Completos'!$E$7:$E$5000, '📈 Datos Completos'!$B$7:$B$5000, B205, '📈 Datos Completos'!$D$7:$D$5000, C205))</f>
        <v/>
      </c>
      <c r="E205" s="18" t="str">
        <f>IF(B205="","",SUMIFS('📈 Datos Completos'!$F$7:$F$5000, '📈 Datos Completos'!$B$7:$B$5000, B205, '📈 Datos Completos'!$D$7:$D$5000, C205))</f>
        <v/>
      </c>
      <c r="F205" s="18" t="str">
        <f>IF(B205="","",SUMIFS('📈 Datos Completos'!$G$7:$G$5000, '📈 Datos Completos'!$B$7:$B$5000, B205, '📈 Datos Completos'!$D$7:$D$5000, C205))</f>
        <v/>
      </c>
      <c r="G205" s="18" t="str">
        <f t="shared" si="27"/>
        <v/>
      </c>
      <c r="H205" s="19" t="str">
        <f>IF(B205="","",SUMIFS('📈 Datos Completos'!$I$7:$I$5000, '📈 Datos Completos'!$B$7:$B$5000, B205, '📈 Datos Completos'!$D$7:$D$5000, C205))</f>
        <v/>
      </c>
      <c r="I205" s="19" t="str">
        <f t="shared" si="28"/>
        <v/>
      </c>
      <c r="J205" s="19" t="str">
        <f t="shared" si="29"/>
        <v/>
      </c>
      <c r="K205" s="19" t="str">
        <f>IF(B205="","",IF(C205="DIA", (SUMIFS('📋 Detalle Diario'!$D$5:$D$489, '📋 Detalle Diario'!$B$5:$B$489, B205, '📋 Detalle Diario'!$C$5:$C$489, C205) * '⚙️ Supuestos'!$C$24) + '⚙️ Supuestos'!$C$23, (SUMIFS('📋 Detalle Diario'!$D$5:$D$489, '📋 Detalle Diario'!$B$5:$B$489, B205, '📋 Detalle Diario'!$C$5:$C$489, C205) * '⚙️ Supuestos'!$C$24) + '⚙️ Supuestos'!$C$33))</f>
        <v/>
      </c>
      <c r="L205" s="19" t="str">
        <f t="shared" si="30"/>
        <v/>
      </c>
      <c r="M205" s="20" t="str">
        <f t="shared" si="31"/>
        <v/>
      </c>
      <c r="N205" s="19" t="str">
        <f t="shared" si="32"/>
        <v/>
      </c>
      <c r="O205" s="25" t="str">
        <f t="shared" si="33"/>
        <v/>
      </c>
      <c r="P205" s="19" t="str">
        <f t="shared" si="34"/>
        <v/>
      </c>
      <c r="Q205" s="19" t="str">
        <f>IF(B205="","",J205-P205+(SUMIFS('📋 Detalle Diario'!$E$5:$E$489, '📋 Detalle Diario'!$B$5:$B$489, B205, '📋 Detalle Diario'!$C$5:$C$489, C205)*135)+(SUMIFS('📋 Detalle Diario'!$I$5:$I$489, '📋 Detalle Diario'!$B$5:$B$489, B205, '📋 Detalle Diario'!$C$5:$C$489, C205)*200))</f>
        <v/>
      </c>
      <c r="R205" s="20" t="str">
        <f t="shared" si="35"/>
        <v/>
      </c>
    </row>
    <row r="206" spans="2:18" ht="18" customHeight="1" x14ac:dyDescent="0.3">
      <c r="B206" s="26"/>
      <c r="C206" s="27"/>
      <c r="D206" s="18" t="str">
        <f>IF(B206="","",SUMIFS('📈 Datos Completos'!$E$7:$E$5000, '📈 Datos Completos'!$B$7:$B$5000, B206, '📈 Datos Completos'!$D$7:$D$5000, C206))</f>
        <v/>
      </c>
      <c r="E206" s="18" t="str">
        <f>IF(B206="","",SUMIFS('📈 Datos Completos'!$F$7:$F$5000, '📈 Datos Completos'!$B$7:$B$5000, B206, '📈 Datos Completos'!$D$7:$D$5000, C206))</f>
        <v/>
      </c>
      <c r="F206" s="18" t="str">
        <f>IF(B206="","",SUMIFS('📈 Datos Completos'!$G$7:$G$5000, '📈 Datos Completos'!$B$7:$B$5000, B206, '📈 Datos Completos'!$D$7:$D$5000, C206))</f>
        <v/>
      </c>
      <c r="G206" s="18" t="str">
        <f t="shared" si="27"/>
        <v/>
      </c>
      <c r="H206" s="19" t="str">
        <f>IF(B206="","",SUMIFS('📈 Datos Completos'!$I$7:$I$5000, '📈 Datos Completos'!$B$7:$B$5000, B206, '📈 Datos Completos'!$D$7:$D$5000, C206))</f>
        <v/>
      </c>
      <c r="I206" s="19" t="str">
        <f t="shared" si="28"/>
        <v/>
      </c>
      <c r="J206" s="19" t="str">
        <f t="shared" si="29"/>
        <v/>
      </c>
      <c r="K206" s="19" t="str">
        <f>IF(B206="","",IF(C206="DIA", (SUMIFS('📋 Detalle Diario'!$D$5:$D$489, '📋 Detalle Diario'!$B$5:$B$489, B206, '📋 Detalle Diario'!$C$5:$C$489, C206) * '⚙️ Supuestos'!$C$24) + '⚙️ Supuestos'!$C$23, (SUMIFS('📋 Detalle Diario'!$D$5:$D$489, '📋 Detalle Diario'!$B$5:$B$489, B206, '📋 Detalle Diario'!$C$5:$C$489, C206) * '⚙️ Supuestos'!$C$24) + '⚙️ Supuestos'!$C$33))</f>
        <v/>
      </c>
      <c r="L206" s="19" t="str">
        <f t="shared" si="30"/>
        <v/>
      </c>
      <c r="M206" s="20" t="str">
        <f t="shared" si="31"/>
        <v/>
      </c>
      <c r="N206" s="19" t="str">
        <f t="shared" si="32"/>
        <v/>
      </c>
      <c r="O206" s="27" t="str">
        <f t="shared" si="33"/>
        <v/>
      </c>
      <c r="P206" s="19" t="str">
        <f t="shared" si="34"/>
        <v/>
      </c>
      <c r="Q206" s="19" t="str">
        <f>IF(B206="","",J206-P206+(SUMIFS('📋 Detalle Diario'!$E$5:$E$489, '📋 Detalle Diario'!$B$5:$B$489, B206, '📋 Detalle Diario'!$C$5:$C$489, C206)*135)+(SUMIFS('📋 Detalle Diario'!$I$5:$I$489, '📋 Detalle Diario'!$B$5:$B$489, B206, '📋 Detalle Diario'!$C$5:$C$489, C206)*200))</f>
        <v/>
      </c>
      <c r="R206" s="20" t="str">
        <f t="shared" si="35"/>
        <v/>
      </c>
    </row>
    <row r="207" spans="2:18" ht="18" customHeight="1" x14ac:dyDescent="0.3">
      <c r="B207" s="24"/>
      <c r="C207" s="25"/>
      <c r="D207" s="18" t="str">
        <f>IF(B207="","",SUMIFS('📈 Datos Completos'!$E$7:$E$5000, '📈 Datos Completos'!$B$7:$B$5000, B207, '📈 Datos Completos'!$D$7:$D$5000, C207))</f>
        <v/>
      </c>
      <c r="E207" s="18" t="str">
        <f>IF(B207="","",SUMIFS('📈 Datos Completos'!$F$7:$F$5000, '📈 Datos Completos'!$B$7:$B$5000, B207, '📈 Datos Completos'!$D$7:$D$5000, C207))</f>
        <v/>
      </c>
      <c r="F207" s="18" t="str">
        <f>IF(B207="","",SUMIFS('📈 Datos Completos'!$G$7:$G$5000, '📈 Datos Completos'!$B$7:$B$5000, B207, '📈 Datos Completos'!$D$7:$D$5000, C207))</f>
        <v/>
      </c>
      <c r="G207" s="18" t="str">
        <f t="shared" si="27"/>
        <v/>
      </c>
      <c r="H207" s="19" t="str">
        <f>IF(B207="","",SUMIFS('📈 Datos Completos'!$I$7:$I$5000, '📈 Datos Completos'!$B$7:$B$5000, B207, '📈 Datos Completos'!$D$7:$D$5000, C207))</f>
        <v/>
      </c>
      <c r="I207" s="19" t="str">
        <f t="shared" si="28"/>
        <v/>
      </c>
      <c r="J207" s="19" t="str">
        <f t="shared" si="29"/>
        <v/>
      </c>
      <c r="K207" s="19" t="str">
        <f>IF(B207="","",IF(C207="DIA", (SUMIFS('📋 Detalle Diario'!$D$5:$D$489, '📋 Detalle Diario'!$B$5:$B$489, B207, '📋 Detalle Diario'!$C$5:$C$489, C207) * '⚙️ Supuestos'!$C$24) + '⚙️ Supuestos'!$C$23, (SUMIFS('📋 Detalle Diario'!$D$5:$D$489, '📋 Detalle Diario'!$B$5:$B$489, B207, '📋 Detalle Diario'!$C$5:$C$489, C207) * '⚙️ Supuestos'!$C$24) + '⚙️ Supuestos'!$C$33))</f>
        <v/>
      </c>
      <c r="L207" s="19" t="str">
        <f t="shared" si="30"/>
        <v/>
      </c>
      <c r="M207" s="20" t="str">
        <f t="shared" si="31"/>
        <v/>
      </c>
      <c r="N207" s="19" t="str">
        <f t="shared" si="32"/>
        <v/>
      </c>
      <c r="O207" s="25" t="str">
        <f t="shared" si="33"/>
        <v/>
      </c>
      <c r="P207" s="19" t="str">
        <f t="shared" si="34"/>
        <v/>
      </c>
      <c r="Q207" s="19" t="str">
        <f>IF(B207="","",J207-P207+(SUMIFS('📋 Detalle Diario'!$E$5:$E$489, '📋 Detalle Diario'!$B$5:$B$489, B207, '📋 Detalle Diario'!$C$5:$C$489, C207)*135)+(SUMIFS('📋 Detalle Diario'!$I$5:$I$489, '📋 Detalle Diario'!$B$5:$B$489, B207, '📋 Detalle Diario'!$C$5:$C$489, C207)*200))</f>
        <v/>
      </c>
      <c r="R207" s="20" t="str">
        <f t="shared" si="35"/>
        <v/>
      </c>
    </row>
    <row r="208" spans="2:18" ht="18" customHeight="1" x14ac:dyDescent="0.3">
      <c r="B208" s="26"/>
      <c r="C208" s="27"/>
      <c r="D208" s="18" t="str">
        <f>IF(B208="","",SUMIFS('📈 Datos Completos'!$E$7:$E$5000, '📈 Datos Completos'!$B$7:$B$5000, B208, '📈 Datos Completos'!$D$7:$D$5000, C208))</f>
        <v/>
      </c>
      <c r="E208" s="18" t="str">
        <f>IF(B208="","",SUMIFS('📈 Datos Completos'!$F$7:$F$5000, '📈 Datos Completos'!$B$7:$B$5000, B208, '📈 Datos Completos'!$D$7:$D$5000, C208))</f>
        <v/>
      </c>
      <c r="F208" s="18" t="str">
        <f>IF(B208="","",SUMIFS('📈 Datos Completos'!$G$7:$G$5000, '📈 Datos Completos'!$B$7:$B$5000, B208, '📈 Datos Completos'!$D$7:$D$5000, C208))</f>
        <v/>
      </c>
      <c r="G208" s="18" t="str">
        <f t="shared" si="27"/>
        <v/>
      </c>
      <c r="H208" s="19" t="str">
        <f>IF(B208="","",SUMIFS('📈 Datos Completos'!$I$7:$I$5000, '📈 Datos Completos'!$B$7:$B$5000, B208, '📈 Datos Completos'!$D$7:$D$5000, C208))</f>
        <v/>
      </c>
      <c r="I208" s="19" t="str">
        <f t="shared" si="28"/>
        <v/>
      </c>
      <c r="J208" s="19" t="str">
        <f t="shared" si="29"/>
        <v/>
      </c>
      <c r="K208" s="19" t="str">
        <f>IF(B208="","",IF(C208="DIA", (SUMIFS('📋 Detalle Diario'!$D$5:$D$489, '📋 Detalle Diario'!$B$5:$B$489, B208, '📋 Detalle Diario'!$C$5:$C$489, C208) * '⚙️ Supuestos'!$C$24) + '⚙️ Supuestos'!$C$23, (SUMIFS('📋 Detalle Diario'!$D$5:$D$489, '📋 Detalle Diario'!$B$5:$B$489, B208, '📋 Detalle Diario'!$C$5:$C$489, C208) * '⚙️ Supuestos'!$C$24) + '⚙️ Supuestos'!$C$33))</f>
        <v/>
      </c>
      <c r="L208" s="19" t="str">
        <f t="shared" si="30"/>
        <v/>
      </c>
      <c r="M208" s="20" t="str">
        <f t="shared" si="31"/>
        <v/>
      </c>
      <c r="N208" s="19" t="str">
        <f t="shared" si="32"/>
        <v/>
      </c>
      <c r="O208" s="27" t="str">
        <f t="shared" si="33"/>
        <v/>
      </c>
      <c r="P208" s="19" t="str">
        <f t="shared" si="34"/>
        <v/>
      </c>
      <c r="Q208" s="19" t="str">
        <f>IF(B208="","",J208-P208+(SUMIFS('📋 Detalle Diario'!$E$5:$E$489, '📋 Detalle Diario'!$B$5:$B$489, B208, '📋 Detalle Diario'!$C$5:$C$489, C208)*135)+(SUMIFS('📋 Detalle Diario'!$I$5:$I$489, '📋 Detalle Diario'!$B$5:$B$489, B208, '📋 Detalle Diario'!$C$5:$C$489, C208)*200))</f>
        <v/>
      </c>
      <c r="R208" s="20" t="str">
        <f t="shared" si="35"/>
        <v/>
      </c>
    </row>
    <row r="209" spans="2:18" ht="18" customHeight="1" x14ac:dyDescent="0.3">
      <c r="B209" s="24"/>
      <c r="C209" s="25"/>
      <c r="D209" s="18" t="str">
        <f>IF(B209="","",SUMIFS('📈 Datos Completos'!$E$7:$E$5000, '📈 Datos Completos'!$B$7:$B$5000, B209, '📈 Datos Completos'!$D$7:$D$5000, C209))</f>
        <v/>
      </c>
      <c r="E209" s="18" t="str">
        <f>IF(B209="","",SUMIFS('📈 Datos Completos'!$F$7:$F$5000, '📈 Datos Completos'!$B$7:$B$5000, B209, '📈 Datos Completos'!$D$7:$D$5000, C209))</f>
        <v/>
      </c>
      <c r="F209" s="18" t="str">
        <f>IF(B209="","",SUMIFS('📈 Datos Completos'!$G$7:$G$5000, '📈 Datos Completos'!$B$7:$B$5000, B209, '📈 Datos Completos'!$D$7:$D$5000, C209))</f>
        <v/>
      </c>
      <c r="G209" s="18" t="str">
        <f t="shared" si="27"/>
        <v/>
      </c>
      <c r="H209" s="19" t="str">
        <f>IF(B209="","",SUMIFS('📈 Datos Completos'!$I$7:$I$5000, '📈 Datos Completos'!$B$7:$B$5000, B209, '📈 Datos Completos'!$D$7:$D$5000, C209))</f>
        <v/>
      </c>
      <c r="I209" s="19" t="str">
        <f t="shared" si="28"/>
        <v/>
      </c>
      <c r="J209" s="19" t="str">
        <f t="shared" si="29"/>
        <v/>
      </c>
      <c r="K209" s="19" t="str">
        <f>IF(B209="","",IF(C209="DIA", (SUMIFS('📋 Detalle Diario'!$D$5:$D$489, '📋 Detalle Diario'!$B$5:$B$489, B209, '📋 Detalle Diario'!$C$5:$C$489, C209) * '⚙️ Supuestos'!$C$24) + '⚙️ Supuestos'!$C$23, (SUMIFS('📋 Detalle Diario'!$D$5:$D$489, '📋 Detalle Diario'!$B$5:$B$489, B209, '📋 Detalle Diario'!$C$5:$C$489, C209) * '⚙️ Supuestos'!$C$24) + '⚙️ Supuestos'!$C$33))</f>
        <v/>
      </c>
      <c r="L209" s="19" t="str">
        <f t="shared" si="30"/>
        <v/>
      </c>
      <c r="M209" s="20" t="str">
        <f t="shared" si="31"/>
        <v/>
      </c>
      <c r="N209" s="19" t="str">
        <f t="shared" si="32"/>
        <v/>
      </c>
      <c r="O209" s="25" t="str">
        <f t="shared" si="33"/>
        <v/>
      </c>
      <c r="P209" s="19" t="str">
        <f t="shared" si="34"/>
        <v/>
      </c>
      <c r="Q209" s="19" t="str">
        <f>IF(B209="","",J209-P209+(SUMIFS('📋 Detalle Diario'!$E$5:$E$489, '📋 Detalle Diario'!$B$5:$B$489, B209, '📋 Detalle Diario'!$C$5:$C$489, C209)*135)+(SUMIFS('📋 Detalle Diario'!$I$5:$I$489, '📋 Detalle Diario'!$B$5:$B$489, B209, '📋 Detalle Diario'!$C$5:$C$489, C209)*200))</f>
        <v/>
      </c>
      <c r="R209" s="20" t="str">
        <f t="shared" si="35"/>
        <v/>
      </c>
    </row>
    <row r="210" spans="2:18" ht="18" customHeight="1" x14ac:dyDescent="0.3">
      <c r="B210" s="26"/>
      <c r="C210" s="27"/>
      <c r="D210" s="18" t="str">
        <f>IF(B210="","",SUMIFS('📈 Datos Completos'!$E$7:$E$5000, '📈 Datos Completos'!$B$7:$B$5000, B210, '📈 Datos Completos'!$D$7:$D$5000, C210))</f>
        <v/>
      </c>
      <c r="E210" s="18" t="str">
        <f>IF(B210="","",SUMIFS('📈 Datos Completos'!$F$7:$F$5000, '📈 Datos Completos'!$B$7:$B$5000, B210, '📈 Datos Completos'!$D$7:$D$5000, C210))</f>
        <v/>
      </c>
      <c r="F210" s="18" t="str">
        <f>IF(B210="","",SUMIFS('📈 Datos Completos'!$G$7:$G$5000, '📈 Datos Completos'!$B$7:$B$5000, B210, '📈 Datos Completos'!$D$7:$D$5000, C210))</f>
        <v/>
      </c>
      <c r="G210" s="18" t="str">
        <f t="shared" si="27"/>
        <v/>
      </c>
      <c r="H210" s="19" t="str">
        <f>IF(B210="","",SUMIFS('📈 Datos Completos'!$I$7:$I$5000, '📈 Datos Completos'!$B$7:$B$5000, B210, '📈 Datos Completos'!$D$7:$D$5000, C210))</f>
        <v/>
      </c>
      <c r="I210" s="19" t="str">
        <f t="shared" si="28"/>
        <v/>
      </c>
      <c r="J210" s="19" t="str">
        <f t="shared" si="29"/>
        <v/>
      </c>
      <c r="K210" s="19" t="str">
        <f>IF(B210="","",IF(C210="DIA", (SUMIFS('📋 Detalle Diario'!$D$5:$D$489, '📋 Detalle Diario'!$B$5:$B$489, B210, '📋 Detalle Diario'!$C$5:$C$489, C210) * '⚙️ Supuestos'!$C$24) + '⚙️ Supuestos'!$C$23, (SUMIFS('📋 Detalle Diario'!$D$5:$D$489, '📋 Detalle Diario'!$B$5:$B$489, B210, '📋 Detalle Diario'!$C$5:$C$489, C210) * '⚙️ Supuestos'!$C$24) + '⚙️ Supuestos'!$C$33))</f>
        <v/>
      </c>
      <c r="L210" s="19" t="str">
        <f t="shared" si="30"/>
        <v/>
      </c>
      <c r="M210" s="20" t="str">
        <f t="shared" si="31"/>
        <v/>
      </c>
      <c r="N210" s="19" t="str">
        <f t="shared" si="32"/>
        <v/>
      </c>
      <c r="O210" s="27" t="str">
        <f t="shared" si="33"/>
        <v/>
      </c>
      <c r="P210" s="19" t="str">
        <f t="shared" si="34"/>
        <v/>
      </c>
      <c r="Q210" s="19" t="str">
        <f>IF(B210="","",J210-P210+(SUMIFS('📋 Detalle Diario'!$E$5:$E$489, '📋 Detalle Diario'!$B$5:$B$489, B210, '📋 Detalle Diario'!$C$5:$C$489, C210)*135)+(SUMIFS('📋 Detalle Diario'!$I$5:$I$489, '📋 Detalle Diario'!$B$5:$B$489, B210, '📋 Detalle Diario'!$C$5:$C$489, C210)*200))</f>
        <v/>
      </c>
      <c r="R210" s="20" t="str">
        <f t="shared" si="35"/>
        <v/>
      </c>
    </row>
    <row r="211" spans="2:18" ht="18" customHeight="1" x14ac:dyDescent="0.3">
      <c r="B211" s="24"/>
      <c r="C211" s="25"/>
      <c r="D211" s="18" t="str">
        <f>IF(B211="","",SUMIFS('📈 Datos Completos'!$E$7:$E$5000, '📈 Datos Completos'!$B$7:$B$5000, B211, '📈 Datos Completos'!$D$7:$D$5000, C211))</f>
        <v/>
      </c>
      <c r="E211" s="18" t="str">
        <f>IF(B211="","",SUMIFS('📈 Datos Completos'!$F$7:$F$5000, '📈 Datos Completos'!$B$7:$B$5000, B211, '📈 Datos Completos'!$D$7:$D$5000, C211))</f>
        <v/>
      </c>
      <c r="F211" s="18" t="str">
        <f>IF(B211="","",SUMIFS('📈 Datos Completos'!$G$7:$G$5000, '📈 Datos Completos'!$B$7:$B$5000, B211, '📈 Datos Completos'!$D$7:$D$5000, C211))</f>
        <v/>
      </c>
      <c r="G211" s="18" t="str">
        <f t="shared" si="27"/>
        <v/>
      </c>
      <c r="H211" s="19" t="str">
        <f>IF(B211="","",SUMIFS('📈 Datos Completos'!$I$7:$I$5000, '📈 Datos Completos'!$B$7:$B$5000, B211, '📈 Datos Completos'!$D$7:$D$5000, C211))</f>
        <v/>
      </c>
      <c r="I211" s="19" t="str">
        <f t="shared" si="28"/>
        <v/>
      </c>
      <c r="J211" s="19" t="str">
        <f t="shared" si="29"/>
        <v/>
      </c>
      <c r="K211" s="19" t="str">
        <f>IF(B211="","",IF(C211="DIA", (SUMIFS('📋 Detalle Diario'!$D$5:$D$489, '📋 Detalle Diario'!$B$5:$B$489, B211, '📋 Detalle Diario'!$C$5:$C$489, C211) * '⚙️ Supuestos'!$C$24) + '⚙️ Supuestos'!$C$23, (SUMIFS('📋 Detalle Diario'!$D$5:$D$489, '📋 Detalle Diario'!$B$5:$B$489, B211, '📋 Detalle Diario'!$C$5:$C$489, C211) * '⚙️ Supuestos'!$C$24) + '⚙️ Supuestos'!$C$33))</f>
        <v/>
      </c>
      <c r="L211" s="19" t="str">
        <f t="shared" si="30"/>
        <v/>
      </c>
      <c r="M211" s="20" t="str">
        <f t="shared" si="31"/>
        <v/>
      </c>
      <c r="N211" s="19" t="str">
        <f t="shared" si="32"/>
        <v/>
      </c>
      <c r="O211" s="25" t="str">
        <f t="shared" si="33"/>
        <v/>
      </c>
      <c r="P211" s="19" t="str">
        <f t="shared" si="34"/>
        <v/>
      </c>
      <c r="Q211" s="19" t="str">
        <f>IF(B211="","",J211-P211+(SUMIFS('📋 Detalle Diario'!$E$5:$E$489, '📋 Detalle Diario'!$B$5:$B$489, B211, '📋 Detalle Diario'!$C$5:$C$489, C211)*135)+(SUMIFS('📋 Detalle Diario'!$I$5:$I$489, '📋 Detalle Diario'!$B$5:$B$489, B211, '📋 Detalle Diario'!$C$5:$C$489, C211)*200))</f>
        <v/>
      </c>
      <c r="R211" s="20" t="str">
        <f t="shared" si="35"/>
        <v/>
      </c>
    </row>
    <row r="212" spans="2:18" ht="18" customHeight="1" x14ac:dyDescent="0.3">
      <c r="B212" s="26"/>
      <c r="C212" s="27"/>
      <c r="D212" s="18" t="str">
        <f>IF(B212="","",SUMIFS('📈 Datos Completos'!$E$7:$E$5000, '📈 Datos Completos'!$B$7:$B$5000, B212, '📈 Datos Completos'!$D$7:$D$5000, C212))</f>
        <v/>
      </c>
      <c r="E212" s="18" t="str">
        <f>IF(B212="","",SUMIFS('📈 Datos Completos'!$F$7:$F$5000, '📈 Datos Completos'!$B$7:$B$5000, B212, '📈 Datos Completos'!$D$7:$D$5000, C212))</f>
        <v/>
      </c>
      <c r="F212" s="18" t="str">
        <f>IF(B212="","",SUMIFS('📈 Datos Completos'!$G$7:$G$5000, '📈 Datos Completos'!$B$7:$B$5000, B212, '📈 Datos Completos'!$D$7:$D$5000, C212))</f>
        <v/>
      </c>
      <c r="G212" s="18" t="str">
        <f t="shared" si="27"/>
        <v/>
      </c>
      <c r="H212" s="19" t="str">
        <f>IF(B212="","",SUMIFS('📈 Datos Completos'!$I$7:$I$5000, '📈 Datos Completos'!$B$7:$B$5000, B212, '📈 Datos Completos'!$D$7:$D$5000, C212))</f>
        <v/>
      </c>
      <c r="I212" s="19" t="str">
        <f t="shared" si="28"/>
        <v/>
      </c>
      <c r="J212" s="19" t="str">
        <f t="shared" si="29"/>
        <v/>
      </c>
      <c r="K212" s="19" t="str">
        <f>IF(B212="","",IF(C212="DIA", (SUMIFS('📋 Detalle Diario'!$D$5:$D$489, '📋 Detalle Diario'!$B$5:$B$489, B212, '📋 Detalle Diario'!$C$5:$C$489, C212) * '⚙️ Supuestos'!$C$24) + '⚙️ Supuestos'!$C$23, (SUMIFS('📋 Detalle Diario'!$D$5:$D$489, '📋 Detalle Diario'!$B$5:$B$489, B212, '📋 Detalle Diario'!$C$5:$C$489, C212) * '⚙️ Supuestos'!$C$24) + '⚙️ Supuestos'!$C$33))</f>
        <v/>
      </c>
      <c r="L212" s="19" t="str">
        <f t="shared" si="30"/>
        <v/>
      </c>
      <c r="M212" s="20" t="str">
        <f t="shared" si="31"/>
        <v/>
      </c>
      <c r="N212" s="19" t="str">
        <f t="shared" si="32"/>
        <v/>
      </c>
      <c r="O212" s="27" t="str">
        <f t="shared" si="33"/>
        <v/>
      </c>
      <c r="P212" s="19" t="str">
        <f t="shared" si="34"/>
        <v/>
      </c>
      <c r="Q212" s="19" t="str">
        <f>IF(B212="","",J212-P212+(SUMIFS('📋 Detalle Diario'!$E$5:$E$489, '📋 Detalle Diario'!$B$5:$B$489, B212, '📋 Detalle Diario'!$C$5:$C$489, C212)*135)+(SUMIFS('📋 Detalle Diario'!$I$5:$I$489, '📋 Detalle Diario'!$B$5:$B$489, B212, '📋 Detalle Diario'!$C$5:$C$489, C212)*200))</f>
        <v/>
      </c>
      <c r="R212" s="20" t="str">
        <f t="shared" si="35"/>
        <v/>
      </c>
    </row>
    <row r="213" spans="2:18" ht="18" customHeight="1" x14ac:dyDescent="0.3">
      <c r="B213" s="24"/>
      <c r="C213" s="25"/>
      <c r="D213" s="18" t="str">
        <f>IF(B213="","",SUMIFS('📈 Datos Completos'!$E$7:$E$5000, '📈 Datos Completos'!$B$7:$B$5000, B213, '📈 Datos Completos'!$D$7:$D$5000, C213))</f>
        <v/>
      </c>
      <c r="E213" s="18" t="str">
        <f>IF(B213="","",SUMIFS('📈 Datos Completos'!$F$7:$F$5000, '📈 Datos Completos'!$B$7:$B$5000, B213, '📈 Datos Completos'!$D$7:$D$5000, C213))</f>
        <v/>
      </c>
      <c r="F213" s="18" t="str">
        <f>IF(B213="","",SUMIFS('📈 Datos Completos'!$G$7:$G$5000, '📈 Datos Completos'!$B$7:$B$5000, B213, '📈 Datos Completos'!$D$7:$D$5000, C213))</f>
        <v/>
      </c>
      <c r="G213" s="18" t="str">
        <f t="shared" si="27"/>
        <v/>
      </c>
      <c r="H213" s="19" t="str">
        <f>IF(B213="","",SUMIFS('📈 Datos Completos'!$I$7:$I$5000, '📈 Datos Completos'!$B$7:$B$5000, B213, '📈 Datos Completos'!$D$7:$D$5000, C213))</f>
        <v/>
      </c>
      <c r="I213" s="19" t="str">
        <f t="shared" si="28"/>
        <v/>
      </c>
      <c r="J213" s="19" t="str">
        <f t="shared" si="29"/>
        <v/>
      </c>
      <c r="K213" s="19" t="str">
        <f>IF(B213="","",IF(C213="DIA", (SUMIFS('📋 Detalle Diario'!$D$5:$D$489, '📋 Detalle Diario'!$B$5:$B$489, B213, '📋 Detalle Diario'!$C$5:$C$489, C213) * '⚙️ Supuestos'!$C$24) + '⚙️ Supuestos'!$C$23, (SUMIFS('📋 Detalle Diario'!$D$5:$D$489, '📋 Detalle Diario'!$B$5:$B$489, B213, '📋 Detalle Diario'!$C$5:$C$489, C213) * '⚙️ Supuestos'!$C$24) + '⚙️ Supuestos'!$C$33))</f>
        <v/>
      </c>
      <c r="L213" s="19" t="str">
        <f t="shared" si="30"/>
        <v/>
      </c>
      <c r="M213" s="20" t="str">
        <f t="shared" si="31"/>
        <v/>
      </c>
      <c r="N213" s="19" t="str">
        <f t="shared" si="32"/>
        <v/>
      </c>
      <c r="O213" s="25" t="str">
        <f t="shared" si="33"/>
        <v/>
      </c>
      <c r="P213" s="19" t="str">
        <f t="shared" si="34"/>
        <v/>
      </c>
      <c r="Q213" s="19" t="str">
        <f>IF(B213="","",J213-P213+(SUMIFS('📋 Detalle Diario'!$E$5:$E$489, '📋 Detalle Diario'!$B$5:$B$489, B213, '📋 Detalle Diario'!$C$5:$C$489, C213)*135)+(SUMIFS('📋 Detalle Diario'!$I$5:$I$489, '📋 Detalle Diario'!$B$5:$B$489, B213, '📋 Detalle Diario'!$C$5:$C$489, C213)*200))</f>
        <v/>
      </c>
      <c r="R213" s="20" t="str">
        <f t="shared" si="35"/>
        <v/>
      </c>
    </row>
    <row r="214" spans="2:18" ht="18" customHeight="1" x14ac:dyDescent="0.3">
      <c r="B214" s="26"/>
      <c r="C214" s="27"/>
      <c r="D214" s="18" t="str">
        <f>IF(B214="","",SUMIFS('📈 Datos Completos'!$E$7:$E$5000, '📈 Datos Completos'!$B$7:$B$5000, B214, '📈 Datos Completos'!$D$7:$D$5000, C214))</f>
        <v/>
      </c>
      <c r="E214" s="18" t="str">
        <f>IF(B214="","",SUMIFS('📈 Datos Completos'!$F$7:$F$5000, '📈 Datos Completos'!$B$7:$B$5000, B214, '📈 Datos Completos'!$D$7:$D$5000, C214))</f>
        <v/>
      </c>
      <c r="F214" s="18" t="str">
        <f>IF(B214="","",SUMIFS('📈 Datos Completos'!$G$7:$G$5000, '📈 Datos Completos'!$B$7:$B$5000, B214, '📈 Datos Completos'!$D$7:$D$5000, C214))</f>
        <v/>
      </c>
      <c r="G214" s="18" t="str">
        <f t="shared" si="27"/>
        <v/>
      </c>
      <c r="H214" s="19" t="str">
        <f>IF(B214="","",SUMIFS('📈 Datos Completos'!$I$7:$I$5000, '📈 Datos Completos'!$B$7:$B$5000, B214, '📈 Datos Completos'!$D$7:$D$5000, C214))</f>
        <v/>
      </c>
      <c r="I214" s="19" t="str">
        <f t="shared" si="28"/>
        <v/>
      </c>
      <c r="J214" s="19" t="str">
        <f t="shared" si="29"/>
        <v/>
      </c>
      <c r="K214" s="19" t="str">
        <f>IF(B214="","",IF(C214="DIA", (SUMIFS('📋 Detalle Diario'!$D$5:$D$489, '📋 Detalle Diario'!$B$5:$B$489, B214, '📋 Detalle Diario'!$C$5:$C$489, C214) * '⚙️ Supuestos'!$C$24) + '⚙️ Supuestos'!$C$23, (SUMIFS('📋 Detalle Diario'!$D$5:$D$489, '📋 Detalle Diario'!$B$5:$B$489, B214, '📋 Detalle Diario'!$C$5:$C$489, C214) * '⚙️ Supuestos'!$C$24) + '⚙️ Supuestos'!$C$33))</f>
        <v/>
      </c>
      <c r="L214" s="19" t="str">
        <f t="shared" si="30"/>
        <v/>
      </c>
      <c r="M214" s="20" t="str">
        <f t="shared" si="31"/>
        <v/>
      </c>
      <c r="N214" s="19" t="str">
        <f t="shared" si="32"/>
        <v/>
      </c>
      <c r="O214" s="27" t="str">
        <f t="shared" si="33"/>
        <v/>
      </c>
      <c r="P214" s="19" t="str">
        <f t="shared" si="34"/>
        <v/>
      </c>
      <c r="Q214" s="19" t="str">
        <f>IF(B214="","",J214-P214+(SUMIFS('📋 Detalle Diario'!$E$5:$E$489, '📋 Detalle Diario'!$B$5:$B$489, B214, '📋 Detalle Diario'!$C$5:$C$489, C214)*135)+(SUMIFS('📋 Detalle Diario'!$I$5:$I$489, '📋 Detalle Diario'!$B$5:$B$489, B214, '📋 Detalle Diario'!$C$5:$C$489, C214)*200))</f>
        <v/>
      </c>
      <c r="R214" s="20" t="str">
        <f t="shared" si="35"/>
        <v/>
      </c>
    </row>
    <row r="215" spans="2:18" ht="18" customHeight="1" x14ac:dyDescent="0.3">
      <c r="B215" s="24"/>
      <c r="C215" s="25"/>
      <c r="D215" s="18" t="str">
        <f>IF(B215="","",SUMIFS('📈 Datos Completos'!$E$7:$E$5000, '📈 Datos Completos'!$B$7:$B$5000, B215, '📈 Datos Completos'!$D$7:$D$5000, C215))</f>
        <v/>
      </c>
      <c r="E215" s="18" t="str">
        <f>IF(B215="","",SUMIFS('📈 Datos Completos'!$F$7:$F$5000, '📈 Datos Completos'!$B$7:$B$5000, B215, '📈 Datos Completos'!$D$7:$D$5000, C215))</f>
        <v/>
      </c>
      <c r="F215" s="18" t="str">
        <f>IF(B215="","",SUMIFS('📈 Datos Completos'!$G$7:$G$5000, '📈 Datos Completos'!$B$7:$B$5000, B215, '📈 Datos Completos'!$D$7:$D$5000, C215))</f>
        <v/>
      </c>
      <c r="G215" s="18" t="str">
        <f t="shared" si="27"/>
        <v/>
      </c>
      <c r="H215" s="19" t="str">
        <f>IF(B215="","",SUMIFS('📈 Datos Completos'!$I$7:$I$5000, '📈 Datos Completos'!$B$7:$B$5000, B215, '📈 Datos Completos'!$D$7:$D$5000, C215))</f>
        <v/>
      </c>
      <c r="I215" s="19" t="str">
        <f t="shared" si="28"/>
        <v/>
      </c>
      <c r="J215" s="19" t="str">
        <f t="shared" si="29"/>
        <v/>
      </c>
      <c r="K215" s="19" t="str">
        <f>IF(B215="","",IF(C215="DIA", (SUMIFS('📋 Detalle Diario'!$D$5:$D$489, '📋 Detalle Diario'!$B$5:$B$489, B215, '📋 Detalle Diario'!$C$5:$C$489, C215) * '⚙️ Supuestos'!$C$24) + '⚙️ Supuestos'!$C$23, (SUMIFS('📋 Detalle Diario'!$D$5:$D$489, '📋 Detalle Diario'!$B$5:$B$489, B215, '📋 Detalle Diario'!$C$5:$C$489, C215) * '⚙️ Supuestos'!$C$24) + '⚙️ Supuestos'!$C$33))</f>
        <v/>
      </c>
      <c r="L215" s="19" t="str">
        <f t="shared" si="30"/>
        <v/>
      </c>
      <c r="M215" s="20" t="str">
        <f t="shared" si="31"/>
        <v/>
      </c>
      <c r="N215" s="19" t="str">
        <f t="shared" si="32"/>
        <v/>
      </c>
      <c r="O215" s="25" t="str">
        <f t="shared" si="33"/>
        <v/>
      </c>
      <c r="P215" s="19" t="str">
        <f t="shared" si="34"/>
        <v/>
      </c>
      <c r="Q215" s="19" t="str">
        <f>IF(B215="","",J215-P215+(SUMIFS('📋 Detalle Diario'!$E$5:$E$489, '📋 Detalle Diario'!$B$5:$B$489, B215, '📋 Detalle Diario'!$C$5:$C$489, C215)*135)+(SUMIFS('📋 Detalle Diario'!$I$5:$I$489, '📋 Detalle Diario'!$B$5:$B$489, B215, '📋 Detalle Diario'!$C$5:$C$489, C215)*200))</f>
        <v/>
      </c>
      <c r="R215" s="20" t="str">
        <f t="shared" si="35"/>
        <v/>
      </c>
    </row>
    <row r="216" spans="2:18" ht="18" customHeight="1" x14ac:dyDescent="0.3">
      <c r="B216" s="26"/>
      <c r="C216" s="27"/>
      <c r="D216" s="18" t="str">
        <f>IF(B216="","",SUMIFS('📈 Datos Completos'!$E$7:$E$5000, '📈 Datos Completos'!$B$7:$B$5000, B216, '📈 Datos Completos'!$D$7:$D$5000, C216))</f>
        <v/>
      </c>
      <c r="E216" s="18" t="str">
        <f>IF(B216="","",SUMIFS('📈 Datos Completos'!$F$7:$F$5000, '📈 Datos Completos'!$B$7:$B$5000, B216, '📈 Datos Completos'!$D$7:$D$5000, C216))</f>
        <v/>
      </c>
      <c r="F216" s="18" t="str">
        <f>IF(B216="","",SUMIFS('📈 Datos Completos'!$G$7:$G$5000, '📈 Datos Completos'!$B$7:$B$5000, B216, '📈 Datos Completos'!$D$7:$D$5000, C216))</f>
        <v/>
      </c>
      <c r="G216" s="18" t="str">
        <f t="shared" si="27"/>
        <v/>
      </c>
      <c r="H216" s="19" t="str">
        <f>IF(B216="","",SUMIFS('📈 Datos Completos'!$I$7:$I$5000, '📈 Datos Completos'!$B$7:$B$5000, B216, '📈 Datos Completos'!$D$7:$D$5000, C216))</f>
        <v/>
      </c>
      <c r="I216" s="19" t="str">
        <f t="shared" si="28"/>
        <v/>
      </c>
      <c r="J216" s="19" t="str">
        <f t="shared" si="29"/>
        <v/>
      </c>
      <c r="K216" s="19" t="str">
        <f>IF(B216="","",IF(C216="DIA", (SUMIFS('📋 Detalle Diario'!$D$5:$D$489, '📋 Detalle Diario'!$B$5:$B$489, B216, '📋 Detalle Diario'!$C$5:$C$489, C216) * '⚙️ Supuestos'!$C$24) + '⚙️ Supuestos'!$C$23, (SUMIFS('📋 Detalle Diario'!$D$5:$D$489, '📋 Detalle Diario'!$B$5:$B$489, B216, '📋 Detalle Diario'!$C$5:$C$489, C216) * '⚙️ Supuestos'!$C$24) + '⚙️ Supuestos'!$C$33))</f>
        <v/>
      </c>
      <c r="L216" s="19" t="str">
        <f t="shared" si="30"/>
        <v/>
      </c>
      <c r="M216" s="20" t="str">
        <f t="shared" si="31"/>
        <v/>
      </c>
      <c r="N216" s="19" t="str">
        <f t="shared" si="32"/>
        <v/>
      </c>
      <c r="O216" s="27" t="str">
        <f t="shared" si="33"/>
        <v/>
      </c>
      <c r="P216" s="19" t="str">
        <f t="shared" si="34"/>
        <v/>
      </c>
      <c r="Q216" s="19" t="str">
        <f>IF(B216="","",J216-P216+(SUMIFS('📋 Detalle Diario'!$E$5:$E$489, '📋 Detalle Diario'!$B$5:$B$489, B216, '📋 Detalle Diario'!$C$5:$C$489, C216)*135)+(SUMIFS('📋 Detalle Diario'!$I$5:$I$489, '📋 Detalle Diario'!$B$5:$B$489, B216, '📋 Detalle Diario'!$C$5:$C$489, C216)*200))</f>
        <v/>
      </c>
      <c r="R216" s="20" t="str">
        <f t="shared" si="35"/>
        <v/>
      </c>
    </row>
    <row r="217" spans="2:18" ht="18" customHeight="1" x14ac:dyDescent="0.3">
      <c r="B217" s="24"/>
      <c r="C217" s="25"/>
      <c r="D217" s="18" t="str">
        <f>IF(B217="","",SUMIFS('📈 Datos Completos'!$E$7:$E$5000, '📈 Datos Completos'!$B$7:$B$5000, B217, '📈 Datos Completos'!$D$7:$D$5000, C217))</f>
        <v/>
      </c>
      <c r="E217" s="18" t="str">
        <f>IF(B217="","",SUMIFS('📈 Datos Completos'!$F$7:$F$5000, '📈 Datos Completos'!$B$7:$B$5000, B217, '📈 Datos Completos'!$D$7:$D$5000, C217))</f>
        <v/>
      </c>
      <c r="F217" s="18" t="str">
        <f>IF(B217="","",SUMIFS('📈 Datos Completos'!$G$7:$G$5000, '📈 Datos Completos'!$B$7:$B$5000, B217, '📈 Datos Completos'!$D$7:$D$5000, C217))</f>
        <v/>
      </c>
      <c r="G217" s="18" t="str">
        <f t="shared" si="27"/>
        <v/>
      </c>
      <c r="H217" s="19" t="str">
        <f>IF(B217="","",SUMIFS('📈 Datos Completos'!$I$7:$I$5000, '📈 Datos Completos'!$B$7:$B$5000, B217, '📈 Datos Completos'!$D$7:$D$5000, C217))</f>
        <v/>
      </c>
      <c r="I217" s="19" t="str">
        <f t="shared" si="28"/>
        <v/>
      </c>
      <c r="J217" s="19" t="str">
        <f t="shared" si="29"/>
        <v/>
      </c>
      <c r="K217" s="19" t="str">
        <f>IF(B217="","",IF(C217="DIA", (SUMIFS('📋 Detalle Diario'!$D$5:$D$489, '📋 Detalle Diario'!$B$5:$B$489, B217, '📋 Detalle Diario'!$C$5:$C$489, C217) * '⚙️ Supuestos'!$C$24) + '⚙️ Supuestos'!$C$23, (SUMIFS('📋 Detalle Diario'!$D$5:$D$489, '📋 Detalle Diario'!$B$5:$B$489, B217, '📋 Detalle Diario'!$C$5:$C$489, C217) * '⚙️ Supuestos'!$C$24) + '⚙️ Supuestos'!$C$33))</f>
        <v/>
      </c>
      <c r="L217" s="19" t="str">
        <f t="shared" si="30"/>
        <v/>
      </c>
      <c r="M217" s="20" t="str">
        <f t="shared" si="31"/>
        <v/>
      </c>
      <c r="N217" s="19" t="str">
        <f t="shared" si="32"/>
        <v/>
      </c>
      <c r="O217" s="25" t="str">
        <f t="shared" si="33"/>
        <v/>
      </c>
      <c r="P217" s="19" t="str">
        <f t="shared" si="34"/>
        <v/>
      </c>
      <c r="Q217" s="19" t="str">
        <f>IF(B217="","",J217-P217+(SUMIFS('📋 Detalle Diario'!$E$5:$E$489, '📋 Detalle Diario'!$B$5:$B$489, B217, '📋 Detalle Diario'!$C$5:$C$489, C217)*135)+(SUMIFS('📋 Detalle Diario'!$I$5:$I$489, '📋 Detalle Diario'!$B$5:$B$489, B217, '📋 Detalle Diario'!$C$5:$C$489, C217)*200))</f>
        <v/>
      </c>
      <c r="R217" s="20" t="str">
        <f t="shared" si="35"/>
        <v/>
      </c>
    </row>
    <row r="218" spans="2:18" ht="18" customHeight="1" x14ac:dyDescent="0.3">
      <c r="B218" s="26"/>
      <c r="C218" s="27"/>
      <c r="D218" s="18" t="str">
        <f>IF(B218="","",SUMIFS('📈 Datos Completos'!$E$7:$E$5000, '📈 Datos Completos'!$B$7:$B$5000, B218, '📈 Datos Completos'!$D$7:$D$5000, C218))</f>
        <v/>
      </c>
      <c r="E218" s="18" t="str">
        <f>IF(B218="","",SUMIFS('📈 Datos Completos'!$F$7:$F$5000, '📈 Datos Completos'!$B$7:$B$5000, B218, '📈 Datos Completos'!$D$7:$D$5000, C218))</f>
        <v/>
      </c>
      <c r="F218" s="18" t="str">
        <f>IF(B218="","",SUMIFS('📈 Datos Completos'!$G$7:$G$5000, '📈 Datos Completos'!$B$7:$B$5000, B218, '📈 Datos Completos'!$D$7:$D$5000, C218))</f>
        <v/>
      </c>
      <c r="G218" s="18" t="str">
        <f t="shared" si="27"/>
        <v/>
      </c>
      <c r="H218" s="19" t="str">
        <f>IF(B218="","",SUMIFS('📈 Datos Completos'!$I$7:$I$5000, '📈 Datos Completos'!$B$7:$B$5000, B218, '📈 Datos Completos'!$D$7:$D$5000, C218))</f>
        <v/>
      </c>
      <c r="I218" s="19" t="str">
        <f t="shared" si="28"/>
        <v/>
      </c>
      <c r="J218" s="19" t="str">
        <f t="shared" si="29"/>
        <v/>
      </c>
      <c r="K218" s="19" t="str">
        <f>IF(B218="","",IF(C218="DIA", (SUMIFS('📋 Detalle Diario'!$D$5:$D$489, '📋 Detalle Diario'!$B$5:$B$489, B218, '📋 Detalle Diario'!$C$5:$C$489, C218) * '⚙️ Supuestos'!$C$24) + '⚙️ Supuestos'!$C$23, (SUMIFS('📋 Detalle Diario'!$D$5:$D$489, '📋 Detalle Diario'!$B$5:$B$489, B218, '📋 Detalle Diario'!$C$5:$C$489, C218) * '⚙️ Supuestos'!$C$24) + '⚙️ Supuestos'!$C$33))</f>
        <v/>
      </c>
      <c r="L218" s="19" t="str">
        <f t="shared" si="30"/>
        <v/>
      </c>
      <c r="M218" s="20" t="str">
        <f t="shared" si="31"/>
        <v/>
      </c>
      <c r="N218" s="19" t="str">
        <f t="shared" si="32"/>
        <v/>
      </c>
      <c r="O218" s="27" t="str">
        <f t="shared" si="33"/>
        <v/>
      </c>
      <c r="P218" s="19" t="str">
        <f t="shared" si="34"/>
        <v/>
      </c>
      <c r="Q218" s="19" t="str">
        <f>IF(B218="","",J218-P218+(SUMIFS('📋 Detalle Diario'!$E$5:$E$489, '📋 Detalle Diario'!$B$5:$B$489, B218, '📋 Detalle Diario'!$C$5:$C$489, C218)*135)+(SUMIFS('📋 Detalle Diario'!$I$5:$I$489, '📋 Detalle Diario'!$B$5:$B$489, B218, '📋 Detalle Diario'!$C$5:$C$489, C218)*200))</f>
        <v/>
      </c>
      <c r="R218" s="20" t="str">
        <f t="shared" si="35"/>
        <v/>
      </c>
    </row>
    <row r="219" spans="2:18" ht="18" customHeight="1" x14ac:dyDescent="0.3">
      <c r="B219" s="24"/>
      <c r="C219" s="25"/>
      <c r="D219" s="18" t="str">
        <f>IF(B219="","",SUMIFS('📈 Datos Completos'!$E$7:$E$5000, '📈 Datos Completos'!$B$7:$B$5000, B219, '📈 Datos Completos'!$D$7:$D$5000, C219))</f>
        <v/>
      </c>
      <c r="E219" s="18" t="str">
        <f>IF(B219="","",SUMIFS('📈 Datos Completos'!$F$7:$F$5000, '📈 Datos Completos'!$B$7:$B$5000, B219, '📈 Datos Completos'!$D$7:$D$5000, C219))</f>
        <v/>
      </c>
      <c r="F219" s="18" t="str">
        <f>IF(B219="","",SUMIFS('📈 Datos Completos'!$G$7:$G$5000, '📈 Datos Completos'!$B$7:$B$5000, B219, '📈 Datos Completos'!$D$7:$D$5000, C219))</f>
        <v/>
      </c>
      <c r="G219" s="18" t="str">
        <f t="shared" si="27"/>
        <v/>
      </c>
      <c r="H219" s="19" t="str">
        <f>IF(B219="","",SUMIFS('📈 Datos Completos'!$I$7:$I$5000, '📈 Datos Completos'!$B$7:$B$5000, B219, '📈 Datos Completos'!$D$7:$D$5000, C219))</f>
        <v/>
      </c>
      <c r="I219" s="19" t="str">
        <f t="shared" si="28"/>
        <v/>
      </c>
      <c r="J219" s="19" t="str">
        <f t="shared" si="29"/>
        <v/>
      </c>
      <c r="K219" s="19" t="str">
        <f>IF(B219="","",IF(C219="DIA", (SUMIFS('📋 Detalle Diario'!$D$5:$D$489, '📋 Detalle Diario'!$B$5:$B$489, B219, '📋 Detalle Diario'!$C$5:$C$489, C219) * '⚙️ Supuestos'!$C$24) + '⚙️ Supuestos'!$C$23, (SUMIFS('📋 Detalle Diario'!$D$5:$D$489, '📋 Detalle Diario'!$B$5:$B$489, B219, '📋 Detalle Diario'!$C$5:$C$489, C219) * '⚙️ Supuestos'!$C$24) + '⚙️ Supuestos'!$C$33))</f>
        <v/>
      </c>
      <c r="L219" s="19" t="str">
        <f t="shared" si="30"/>
        <v/>
      </c>
      <c r="M219" s="20" t="str">
        <f t="shared" si="31"/>
        <v/>
      </c>
      <c r="N219" s="19" t="str">
        <f t="shared" si="32"/>
        <v/>
      </c>
      <c r="O219" s="25" t="str">
        <f t="shared" si="33"/>
        <v/>
      </c>
      <c r="P219" s="19" t="str">
        <f t="shared" si="34"/>
        <v/>
      </c>
      <c r="Q219" s="19" t="str">
        <f>IF(B219="","",J219-P219+(SUMIFS('📋 Detalle Diario'!$E$5:$E$489, '📋 Detalle Diario'!$B$5:$B$489, B219, '📋 Detalle Diario'!$C$5:$C$489, C219)*135)+(SUMIFS('📋 Detalle Diario'!$I$5:$I$489, '📋 Detalle Diario'!$B$5:$B$489, B219, '📋 Detalle Diario'!$C$5:$C$489, C219)*200))</f>
        <v/>
      </c>
      <c r="R219" s="20" t="str">
        <f t="shared" si="35"/>
        <v/>
      </c>
    </row>
    <row r="220" spans="2:18" ht="18" customHeight="1" x14ac:dyDescent="0.3">
      <c r="B220" s="26"/>
      <c r="C220" s="27"/>
      <c r="D220" s="18" t="str">
        <f>IF(B220="","",SUMIFS('📈 Datos Completos'!$E$7:$E$5000, '📈 Datos Completos'!$B$7:$B$5000, B220, '📈 Datos Completos'!$D$7:$D$5000, C220))</f>
        <v/>
      </c>
      <c r="E220" s="18" t="str">
        <f>IF(B220="","",SUMIFS('📈 Datos Completos'!$F$7:$F$5000, '📈 Datos Completos'!$B$7:$B$5000, B220, '📈 Datos Completos'!$D$7:$D$5000, C220))</f>
        <v/>
      </c>
      <c r="F220" s="18" t="str">
        <f>IF(B220="","",SUMIFS('📈 Datos Completos'!$G$7:$G$5000, '📈 Datos Completos'!$B$7:$B$5000, B220, '📈 Datos Completos'!$D$7:$D$5000, C220))</f>
        <v/>
      </c>
      <c r="G220" s="18" t="str">
        <f t="shared" si="27"/>
        <v/>
      </c>
      <c r="H220" s="19" t="str">
        <f>IF(B220="","",SUMIFS('📈 Datos Completos'!$I$7:$I$5000, '📈 Datos Completos'!$B$7:$B$5000, B220, '📈 Datos Completos'!$D$7:$D$5000, C220))</f>
        <v/>
      </c>
      <c r="I220" s="19" t="str">
        <f t="shared" si="28"/>
        <v/>
      </c>
      <c r="J220" s="19" t="str">
        <f t="shared" si="29"/>
        <v/>
      </c>
      <c r="K220" s="19" t="str">
        <f>IF(B220="","",IF(C220="DIA", (SUMIFS('📋 Detalle Diario'!$D$5:$D$489, '📋 Detalle Diario'!$B$5:$B$489, B220, '📋 Detalle Diario'!$C$5:$C$489, C220) * '⚙️ Supuestos'!$C$24) + '⚙️ Supuestos'!$C$23, (SUMIFS('📋 Detalle Diario'!$D$5:$D$489, '📋 Detalle Diario'!$B$5:$B$489, B220, '📋 Detalle Diario'!$C$5:$C$489, C220) * '⚙️ Supuestos'!$C$24) + '⚙️ Supuestos'!$C$33))</f>
        <v/>
      </c>
      <c r="L220" s="19" t="str">
        <f t="shared" si="30"/>
        <v/>
      </c>
      <c r="M220" s="20" t="str">
        <f t="shared" si="31"/>
        <v/>
      </c>
      <c r="N220" s="19" t="str">
        <f t="shared" si="32"/>
        <v/>
      </c>
      <c r="O220" s="27" t="str">
        <f t="shared" si="33"/>
        <v/>
      </c>
      <c r="P220" s="19" t="str">
        <f t="shared" si="34"/>
        <v/>
      </c>
      <c r="Q220" s="19" t="str">
        <f>IF(B220="","",J220-P220+(SUMIFS('📋 Detalle Diario'!$E$5:$E$489, '📋 Detalle Diario'!$B$5:$B$489, B220, '📋 Detalle Diario'!$C$5:$C$489, C220)*135)+(SUMIFS('📋 Detalle Diario'!$I$5:$I$489, '📋 Detalle Diario'!$B$5:$B$489, B220, '📋 Detalle Diario'!$C$5:$C$489, C220)*200))</f>
        <v/>
      </c>
      <c r="R220" s="20" t="str">
        <f t="shared" si="35"/>
        <v/>
      </c>
    </row>
    <row r="221" spans="2:18" ht="18" customHeight="1" x14ac:dyDescent="0.3">
      <c r="B221" s="24"/>
      <c r="C221" s="25"/>
      <c r="D221" s="18" t="str">
        <f>IF(B221="","",SUMIFS('📈 Datos Completos'!$E$7:$E$5000, '📈 Datos Completos'!$B$7:$B$5000, B221, '📈 Datos Completos'!$D$7:$D$5000, C221))</f>
        <v/>
      </c>
      <c r="E221" s="18" t="str">
        <f>IF(B221="","",SUMIFS('📈 Datos Completos'!$F$7:$F$5000, '📈 Datos Completos'!$B$7:$B$5000, B221, '📈 Datos Completos'!$D$7:$D$5000, C221))</f>
        <v/>
      </c>
      <c r="F221" s="18" t="str">
        <f>IF(B221="","",SUMIFS('📈 Datos Completos'!$G$7:$G$5000, '📈 Datos Completos'!$B$7:$B$5000, B221, '📈 Datos Completos'!$D$7:$D$5000, C221))</f>
        <v/>
      </c>
      <c r="G221" s="18" t="str">
        <f t="shared" si="27"/>
        <v/>
      </c>
      <c r="H221" s="19" t="str">
        <f>IF(B221="","",SUMIFS('📈 Datos Completos'!$I$7:$I$5000, '📈 Datos Completos'!$B$7:$B$5000, B221, '📈 Datos Completos'!$D$7:$D$5000, C221))</f>
        <v/>
      </c>
      <c r="I221" s="19" t="str">
        <f t="shared" si="28"/>
        <v/>
      </c>
      <c r="J221" s="19" t="str">
        <f t="shared" si="29"/>
        <v/>
      </c>
      <c r="K221" s="19" t="str">
        <f>IF(B221="","",IF(C221="DIA", (SUMIFS('📋 Detalle Diario'!$D$5:$D$489, '📋 Detalle Diario'!$B$5:$B$489, B221, '📋 Detalle Diario'!$C$5:$C$489, C221) * '⚙️ Supuestos'!$C$24) + '⚙️ Supuestos'!$C$23, (SUMIFS('📋 Detalle Diario'!$D$5:$D$489, '📋 Detalle Diario'!$B$5:$B$489, B221, '📋 Detalle Diario'!$C$5:$C$489, C221) * '⚙️ Supuestos'!$C$24) + '⚙️ Supuestos'!$C$33))</f>
        <v/>
      </c>
      <c r="L221" s="19" t="str">
        <f t="shared" si="30"/>
        <v/>
      </c>
      <c r="M221" s="20" t="str">
        <f t="shared" si="31"/>
        <v/>
      </c>
      <c r="N221" s="19" t="str">
        <f t="shared" si="32"/>
        <v/>
      </c>
      <c r="O221" s="25" t="str">
        <f t="shared" si="33"/>
        <v/>
      </c>
      <c r="P221" s="19" t="str">
        <f t="shared" si="34"/>
        <v/>
      </c>
      <c r="Q221" s="19" t="str">
        <f>IF(B221="","",J221-P221+(SUMIFS('📋 Detalle Diario'!$E$5:$E$489, '📋 Detalle Diario'!$B$5:$B$489, B221, '📋 Detalle Diario'!$C$5:$C$489, C221)*135)+(SUMIFS('📋 Detalle Diario'!$I$5:$I$489, '📋 Detalle Diario'!$B$5:$B$489, B221, '📋 Detalle Diario'!$C$5:$C$489, C221)*200))</f>
        <v/>
      </c>
      <c r="R221" s="20" t="str">
        <f t="shared" si="35"/>
        <v/>
      </c>
    </row>
    <row r="222" spans="2:18" ht="18" customHeight="1" x14ac:dyDescent="0.3">
      <c r="B222" s="26"/>
      <c r="C222" s="27"/>
      <c r="D222" s="18" t="str">
        <f>IF(B222="","",SUMIFS('📈 Datos Completos'!$E$7:$E$5000, '📈 Datos Completos'!$B$7:$B$5000, B222, '📈 Datos Completos'!$D$7:$D$5000, C222))</f>
        <v/>
      </c>
      <c r="E222" s="18" t="str">
        <f>IF(B222="","",SUMIFS('📈 Datos Completos'!$F$7:$F$5000, '📈 Datos Completos'!$B$7:$B$5000, B222, '📈 Datos Completos'!$D$7:$D$5000, C222))</f>
        <v/>
      </c>
      <c r="F222" s="18" t="str">
        <f>IF(B222="","",SUMIFS('📈 Datos Completos'!$G$7:$G$5000, '📈 Datos Completos'!$B$7:$B$5000, B222, '📈 Datos Completos'!$D$7:$D$5000, C222))</f>
        <v/>
      </c>
      <c r="G222" s="18" t="str">
        <f t="shared" si="27"/>
        <v/>
      </c>
      <c r="H222" s="19" t="str">
        <f>IF(B222="","",SUMIFS('📈 Datos Completos'!$I$7:$I$5000, '📈 Datos Completos'!$B$7:$B$5000, B222, '📈 Datos Completos'!$D$7:$D$5000, C222))</f>
        <v/>
      </c>
      <c r="I222" s="19" t="str">
        <f t="shared" si="28"/>
        <v/>
      </c>
      <c r="J222" s="19" t="str">
        <f t="shared" si="29"/>
        <v/>
      </c>
      <c r="K222" s="19" t="str">
        <f>IF(B222="","",IF(C222="DIA", (SUMIFS('📋 Detalle Diario'!$D$5:$D$489, '📋 Detalle Diario'!$B$5:$B$489, B222, '📋 Detalle Diario'!$C$5:$C$489, C222) * '⚙️ Supuestos'!$C$24) + '⚙️ Supuestos'!$C$23, (SUMIFS('📋 Detalle Diario'!$D$5:$D$489, '📋 Detalle Diario'!$B$5:$B$489, B222, '📋 Detalle Diario'!$C$5:$C$489, C222) * '⚙️ Supuestos'!$C$24) + '⚙️ Supuestos'!$C$33))</f>
        <v/>
      </c>
      <c r="L222" s="19" t="str">
        <f t="shared" si="30"/>
        <v/>
      </c>
      <c r="M222" s="20" t="str">
        <f t="shared" si="31"/>
        <v/>
      </c>
      <c r="N222" s="19" t="str">
        <f t="shared" si="32"/>
        <v/>
      </c>
      <c r="O222" s="27" t="str">
        <f t="shared" si="33"/>
        <v/>
      </c>
      <c r="P222" s="19" t="str">
        <f t="shared" si="34"/>
        <v/>
      </c>
      <c r="Q222" s="19" t="str">
        <f>IF(B222="","",J222-P222+(SUMIFS('📋 Detalle Diario'!$E$5:$E$489, '📋 Detalle Diario'!$B$5:$B$489, B222, '📋 Detalle Diario'!$C$5:$C$489, C222)*135)+(SUMIFS('📋 Detalle Diario'!$I$5:$I$489, '📋 Detalle Diario'!$B$5:$B$489, B222, '📋 Detalle Diario'!$C$5:$C$489, C222)*200))</f>
        <v/>
      </c>
      <c r="R222" s="20" t="str">
        <f t="shared" si="35"/>
        <v/>
      </c>
    </row>
    <row r="223" spans="2:18" ht="18" customHeight="1" x14ac:dyDescent="0.3">
      <c r="B223" s="24"/>
      <c r="C223" s="25"/>
      <c r="D223" s="18" t="str">
        <f>IF(B223="","",SUMIFS('📈 Datos Completos'!$E$7:$E$5000, '📈 Datos Completos'!$B$7:$B$5000, B223, '📈 Datos Completos'!$D$7:$D$5000, C223))</f>
        <v/>
      </c>
      <c r="E223" s="18" t="str">
        <f>IF(B223="","",SUMIFS('📈 Datos Completos'!$F$7:$F$5000, '📈 Datos Completos'!$B$7:$B$5000, B223, '📈 Datos Completos'!$D$7:$D$5000, C223))</f>
        <v/>
      </c>
      <c r="F223" s="18" t="str">
        <f>IF(B223="","",SUMIFS('📈 Datos Completos'!$G$7:$G$5000, '📈 Datos Completos'!$B$7:$B$5000, B223, '📈 Datos Completos'!$D$7:$D$5000, C223))</f>
        <v/>
      </c>
      <c r="G223" s="18" t="str">
        <f t="shared" si="27"/>
        <v/>
      </c>
      <c r="H223" s="19" t="str">
        <f>IF(B223="","",SUMIFS('📈 Datos Completos'!$I$7:$I$5000, '📈 Datos Completos'!$B$7:$B$5000, B223, '📈 Datos Completos'!$D$7:$D$5000, C223))</f>
        <v/>
      </c>
      <c r="I223" s="19" t="str">
        <f t="shared" si="28"/>
        <v/>
      </c>
      <c r="J223" s="19" t="str">
        <f t="shared" si="29"/>
        <v/>
      </c>
      <c r="K223" s="19" t="str">
        <f>IF(B223="","",IF(C223="DIA", (SUMIFS('📋 Detalle Diario'!$D$5:$D$489, '📋 Detalle Diario'!$B$5:$B$489, B223, '📋 Detalle Diario'!$C$5:$C$489, C223) * '⚙️ Supuestos'!$C$24) + '⚙️ Supuestos'!$C$23, (SUMIFS('📋 Detalle Diario'!$D$5:$D$489, '📋 Detalle Diario'!$B$5:$B$489, B223, '📋 Detalle Diario'!$C$5:$C$489, C223) * '⚙️ Supuestos'!$C$24) + '⚙️ Supuestos'!$C$33))</f>
        <v/>
      </c>
      <c r="L223" s="19" t="str">
        <f t="shared" si="30"/>
        <v/>
      </c>
      <c r="M223" s="20" t="str">
        <f t="shared" si="31"/>
        <v/>
      </c>
      <c r="N223" s="19" t="str">
        <f t="shared" si="32"/>
        <v/>
      </c>
      <c r="O223" s="25" t="str">
        <f t="shared" si="33"/>
        <v/>
      </c>
      <c r="P223" s="19" t="str">
        <f t="shared" si="34"/>
        <v/>
      </c>
      <c r="Q223" s="19" t="str">
        <f>IF(B223="","",J223-P223+(SUMIFS('📋 Detalle Diario'!$E$5:$E$489, '📋 Detalle Diario'!$B$5:$B$489, B223, '📋 Detalle Diario'!$C$5:$C$489, C223)*135)+(SUMIFS('📋 Detalle Diario'!$I$5:$I$489, '📋 Detalle Diario'!$B$5:$B$489, B223, '📋 Detalle Diario'!$C$5:$C$489, C223)*200))</f>
        <v/>
      </c>
      <c r="R223" s="20" t="str">
        <f t="shared" si="35"/>
        <v/>
      </c>
    </row>
    <row r="224" spans="2:18" ht="18" customHeight="1" x14ac:dyDescent="0.3">
      <c r="B224" s="26"/>
      <c r="C224" s="27"/>
      <c r="D224" s="18" t="str">
        <f>IF(B224="","",SUMIFS('📈 Datos Completos'!$E$7:$E$5000, '📈 Datos Completos'!$B$7:$B$5000, B224, '📈 Datos Completos'!$D$7:$D$5000, C224))</f>
        <v/>
      </c>
      <c r="E224" s="18" t="str">
        <f>IF(B224="","",SUMIFS('📈 Datos Completos'!$F$7:$F$5000, '📈 Datos Completos'!$B$7:$B$5000, B224, '📈 Datos Completos'!$D$7:$D$5000, C224))</f>
        <v/>
      </c>
      <c r="F224" s="18" t="str">
        <f>IF(B224="","",SUMIFS('📈 Datos Completos'!$G$7:$G$5000, '📈 Datos Completos'!$B$7:$B$5000, B224, '📈 Datos Completos'!$D$7:$D$5000, C224))</f>
        <v/>
      </c>
      <c r="G224" s="18" t="str">
        <f t="shared" si="27"/>
        <v/>
      </c>
      <c r="H224" s="19" t="str">
        <f>IF(B224="","",SUMIFS('📈 Datos Completos'!$I$7:$I$5000, '📈 Datos Completos'!$B$7:$B$5000, B224, '📈 Datos Completos'!$D$7:$D$5000, C224))</f>
        <v/>
      </c>
      <c r="I224" s="19" t="str">
        <f t="shared" si="28"/>
        <v/>
      </c>
      <c r="J224" s="19" t="str">
        <f t="shared" si="29"/>
        <v/>
      </c>
      <c r="K224" s="19" t="str">
        <f>IF(B224="","",IF(C224="DIA", (SUMIFS('📋 Detalle Diario'!$D$5:$D$489, '📋 Detalle Diario'!$B$5:$B$489, B224, '📋 Detalle Diario'!$C$5:$C$489, C224) * '⚙️ Supuestos'!$C$24) + '⚙️ Supuestos'!$C$23, (SUMIFS('📋 Detalle Diario'!$D$5:$D$489, '📋 Detalle Diario'!$B$5:$B$489, B224, '📋 Detalle Diario'!$C$5:$C$489, C224) * '⚙️ Supuestos'!$C$24) + '⚙️ Supuestos'!$C$33))</f>
        <v/>
      </c>
      <c r="L224" s="19" t="str">
        <f t="shared" si="30"/>
        <v/>
      </c>
      <c r="M224" s="20" t="str">
        <f t="shared" si="31"/>
        <v/>
      </c>
      <c r="N224" s="19" t="str">
        <f t="shared" si="32"/>
        <v/>
      </c>
      <c r="O224" s="27" t="str">
        <f t="shared" si="33"/>
        <v/>
      </c>
      <c r="P224" s="19" t="str">
        <f t="shared" si="34"/>
        <v/>
      </c>
      <c r="Q224" s="19" t="str">
        <f>IF(B224="","",J224-P224+(SUMIFS('📋 Detalle Diario'!$E$5:$E$489, '📋 Detalle Diario'!$B$5:$B$489, B224, '📋 Detalle Diario'!$C$5:$C$489, C224)*135)+(SUMIFS('📋 Detalle Diario'!$I$5:$I$489, '📋 Detalle Diario'!$B$5:$B$489, B224, '📋 Detalle Diario'!$C$5:$C$489, C224)*200))</f>
        <v/>
      </c>
      <c r="R224" s="20" t="str">
        <f t="shared" si="35"/>
        <v/>
      </c>
    </row>
    <row r="225" spans="2:18" ht="18" customHeight="1" x14ac:dyDescent="0.3">
      <c r="B225" s="24"/>
      <c r="C225" s="25"/>
      <c r="D225" s="18" t="str">
        <f>IF(B225="","",SUMIFS('📈 Datos Completos'!$E$7:$E$5000, '📈 Datos Completos'!$B$7:$B$5000, B225, '📈 Datos Completos'!$D$7:$D$5000, C225))</f>
        <v/>
      </c>
      <c r="E225" s="18" t="str">
        <f>IF(B225="","",SUMIFS('📈 Datos Completos'!$F$7:$F$5000, '📈 Datos Completos'!$B$7:$B$5000, B225, '📈 Datos Completos'!$D$7:$D$5000, C225))</f>
        <v/>
      </c>
      <c r="F225" s="18" t="str">
        <f>IF(B225="","",SUMIFS('📈 Datos Completos'!$G$7:$G$5000, '📈 Datos Completos'!$B$7:$B$5000, B225, '📈 Datos Completos'!$D$7:$D$5000, C225))</f>
        <v/>
      </c>
      <c r="G225" s="18" t="str">
        <f t="shared" si="27"/>
        <v/>
      </c>
      <c r="H225" s="19" t="str">
        <f>IF(B225="","",SUMIFS('📈 Datos Completos'!$I$7:$I$5000, '📈 Datos Completos'!$B$7:$B$5000, B225, '📈 Datos Completos'!$D$7:$D$5000, C225))</f>
        <v/>
      </c>
      <c r="I225" s="19" t="str">
        <f t="shared" si="28"/>
        <v/>
      </c>
      <c r="J225" s="19" t="str">
        <f t="shared" si="29"/>
        <v/>
      </c>
      <c r="K225" s="19" t="str">
        <f>IF(B225="","",IF(C225="DIA", (SUMIFS('📋 Detalle Diario'!$D$5:$D$489, '📋 Detalle Diario'!$B$5:$B$489, B225, '📋 Detalle Diario'!$C$5:$C$489, C225) * '⚙️ Supuestos'!$C$24) + '⚙️ Supuestos'!$C$23, (SUMIFS('📋 Detalle Diario'!$D$5:$D$489, '📋 Detalle Diario'!$B$5:$B$489, B225, '📋 Detalle Diario'!$C$5:$C$489, C225) * '⚙️ Supuestos'!$C$24) + '⚙️ Supuestos'!$C$33))</f>
        <v/>
      </c>
      <c r="L225" s="19" t="str">
        <f t="shared" si="30"/>
        <v/>
      </c>
      <c r="M225" s="20" t="str">
        <f t="shared" si="31"/>
        <v/>
      </c>
      <c r="N225" s="19" t="str">
        <f t="shared" si="32"/>
        <v/>
      </c>
      <c r="O225" s="25" t="str">
        <f t="shared" si="33"/>
        <v/>
      </c>
      <c r="P225" s="19" t="str">
        <f t="shared" si="34"/>
        <v/>
      </c>
      <c r="Q225" s="19" t="str">
        <f>IF(B225="","",J225-P225+(SUMIFS('📋 Detalle Diario'!$E$5:$E$489, '📋 Detalle Diario'!$B$5:$B$489, B225, '📋 Detalle Diario'!$C$5:$C$489, C225)*135)+(SUMIFS('📋 Detalle Diario'!$I$5:$I$489, '📋 Detalle Diario'!$B$5:$B$489, B225, '📋 Detalle Diario'!$C$5:$C$489, C225)*200))</f>
        <v/>
      </c>
      <c r="R225" s="20" t="str">
        <f t="shared" si="35"/>
        <v/>
      </c>
    </row>
    <row r="226" spans="2:18" ht="18" customHeight="1" x14ac:dyDescent="0.3">
      <c r="B226" s="26"/>
      <c r="C226" s="27"/>
      <c r="D226" s="18" t="str">
        <f>IF(B226="","",SUMIFS('📈 Datos Completos'!$E$7:$E$5000, '📈 Datos Completos'!$B$7:$B$5000, B226, '📈 Datos Completos'!$D$7:$D$5000, C226))</f>
        <v/>
      </c>
      <c r="E226" s="18" t="str">
        <f>IF(B226="","",SUMIFS('📈 Datos Completos'!$F$7:$F$5000, '📈 Datos Completos'!$B$7:$B$5000, B226, '📈 Datos Completos'!$D$7:$D$5000, C226))</f>
        <v/>
      </c>
      <c r="F226" s="18" t="str">
        <f>IF(B226="","",SUMIFS('📈 Datos Completos'!$G$7:$G$5000, '📈 Datos Completos'!$B$7:$B$5000, B226, '📈 Datos Completos'!$D$7:$D$5000, C226))</f>
        <v/>
      </c>
      <c r="G226" s="18" t="str">
        <f t="shared" si="27"/>
        <v/>
      </c>
      <c r="H226" s="19" t="str">
        <f>IF(B226="","",SUMIFS('📈 Datos Completos'!$I$7:$I$5000, '📈 Datos Completos'!$B$7:$B$5000, B226, '📈 Datos Completos'!$D$7:$D$5000, C226))</f>
        <v/>
      </c>
      <c r="I226" s="19" t="str">
        <f t="shared" si="28"/>
        <v/>
      </c>
      <c r="J226" s="19" t="str">
        <f t="shared" si="29"/>
        <v/>
      </c>
      <c r="K226" s="19" t="str">
        <f>IF(B226="","",IF(C226="DIA", (SUMIFS('📋 Detalle Diario'!$D$5:$D$489, '📋 Detalle Diario'!$B$5:$B$489, B226, '📋 Detalle Diario'!$C$5:$C$489, C226) * '⚙️ Supuestos'!$C$24) + '⚙️ Supuestos'!$C$23, (SUMIFS('📋 Detalle Diario'!$D$5:$D$489, '📋 Detalle Diario'!$B$5:$B$489, B226, '📋 Detalle Diario'!$C$5:$C$489, C226) * '⚙️ Supuestos'!$C$24) + '⚙️ Supuestos'!$C$33))</f>
        <v/>
      </c>
      <c r="L226" s="19" t="str">
        <f t="shared" si="30"/>
        <v/>
      </c>
      <c r="M226" s="20" t="str">
        <f t="shared" si="31"/>
        <v/>
      </c>
      <c r="N226" s="19" t="str">
        <f t="shared" si="32"/>
        <v/>
      </c>
      <c r="O226" s="27" t="str">
        <f t="shared" si="33"/>
        <v/>
      </c>
      <c r="P226" s="19" t="str">
        <f t="shared" si="34"/>
        <v/>
      </c>
      <c r="Q226" s="19" t="str">
        <f>IF(B226="","",J226-P226+(SUMIFS('📋 Detalle Diario'!$E$5:$E$489, '📋 Detalle Diario'!$B$5:$B$489, B226, '📋 Detalle Diario'!$C$5:$C$489, C226)*135)+(SUMIFS('📋 Detalle Diario'!$I$5:$I$489, '📋 Detalle Diario'!$B$5:$B$489, B226, '📋 Detalle Diario'!$C$5:$C$489, C226)*200))</f>
        <v/>
      </c>
      <c r="R226" s="20" t="str">
        <f t="shared" si="35"/>
        <v/>
      </c>
    </row>
    <row r="227" spans="2:18" ht="18" customHeight="1" x14ac:dyDescent="0.3">
      <c r="B227" s="24"/>
      <c r="C227" s="25"/>
      <c r="D227" s="18" t="str">
        <f>IF(B227="","",SUMIFS('📈 Datos Completos'!$E$7:$E$5000, '📈 Datos Completos'!$B$7:$B$5000, B227, '📈 Datos Completos'!$D$7:$D$5000, C227))</f>
        <v/>
      </c>
      <c r="E227" s="18" t="str">
        <f>IF(B227="","",SUMIFS('📈 Datos Completos'!$F$7:$F$5000, '📈 Datos Completos'!$B$7:$B$5000, B227, '📈 Datos Completos'!$D$7:$D$5000, C227))</f>
        <v/>
      </c>
      <c r="F227" s="18" t="str">
        <f>IF(B227="","",SUMIFS('📈 Datos Completos'!$G$7:$G$5000, '📈 Datos Completos'!$B$7:$B$5000, B227, '📈 Datos Completos'!$D$7:$D$5000, C227))</f>
        <v/>
      </c>
      <c r="G227" s="18" t="str">
        <f t="shared" si="27"/>
        <v/>
      </c>
      <c r="H227" s="19" t="str">
        <f>IF(B227="","",SUMIFS('📈 Datos Completos'!$I$7:$I$5000, '📈 Datos Completos'!$B$7:$B$5000, B227, '📈 Datos Completos'!$D$7:$D$5000, C227))</f>
        <v/>
      </c>
      <c r="I227" s="19" t="str">
        <f t="shared" si="28"/>
        <v/>
      </c>
      <c r="J227" s="19" t="str">
        <f t="shared" si="29"/>
        <v/>
      </c>
      <c r="K227" s="19" t="str">
        <f>IF(B227="","",IF(C227="DIA", (SUMIFS('📋 Detalle Diario'!$D$5:$D$489, '📋 Detalle Diario'!$B$5:$B$489, B227, '📋 Detalle Diario'!$C$5:$C$489, C227) * '⚙️ Supuestos'!$C$24) + '⚙️ Supuestos'!$C$23, (SUMIFS('📋 Detalle Diario'!$D$5:$D$489, '📋 Detalle Diario'!$B$5:$B$489, B227, '📋 Detalle Diario'!$C$5:$C$489, C227) * '⚙️ Supuestos'!$C$24) + '⚙️ Supuestos'!$C$33))</f>
        <v/>
      </c>
      <c r="L227" s="19" t="str">
        <f t="shared" si="30"/>
        <v/>
      </c>
      <c r="M227" s="20" t="str">
        <f t="shared" si="31"/>
        <v/>
      </c>
      <c r="N227" s="19" t="str">
        <f t="shared" si="32"/>
        <v/>
      </c>
      <c r="O227" s="25" t="str">
        <f t="shared" si="33"/>
        <v/>
      </c>
      <c r="P227" s="19" t="str">
        <f t="shared" si="34"/>
        <v/>
      </c>
      <c r="Q227" s="19" t="str">
        <f>IF(B227="","",J227-P227+(SUMIFS('📋 Detalle Diario'!$E$5:$E$489, '📋 Detalle Diario'!$B$5:$B$489, B227, '📋 Detalle Diario'!$C$5:$C$489, C227)*135)+(SUMIFS('📋 Detalle Diario'!$I$5:$I$489, '📋 Detalle Diario'!$B$5:$B$489, B227, '📋 Detalle Diario'!$C$5:$C$489, C227)*200))</f>
        <v/>
      </c>
      <c r="R227" s="20" t="str">
        <f t="shared" si="35"/>
        <v/>
      </c>
    </row>
    <row r="228" spans="2:18" ht="18" customHeight="1" x14ac:dyDescent="0.3">
      <c r="B228" s="26"/>
      <c r="C228" s="27"/>
      <c r="D228" s="18" t="str">
        <f>IF(B228="","",SUMIFS('📈 Datos Completos'!$E$7:$E$5000, '📈 Datos Completos'!$B$7:$B$5000, B228, '📈 Datos Completos'!$D$7:$D$5000, C228))</f>
        <v/>
      </c>
      <c r="E228" s="18" t="str">
        <f>IF(B228="","",SUMIFS('📈 Datos Completos'!$F$7:$F$5000, '📈 Datos Completos'!$B$7:$B$5000, B228, '📈 Datos Completos'!$D$7:$D$5000, C228))</f>
        <v/>
      </c>
      <c r="F228" s="18" t="str">
        <f>IF(B228="","",SUMIFS('📈 Datos Completos'!$G$7:$G$5000, '📈 Datos Completos'!$B$7:$B$5000, B228, '📈 Datos Completos'!$D$7:$D$5000, C228))</f>
        <v/>
      </c>
      <c r="G228" s="18" t="str">
        <f t="shared" si="27"/>
        <v/>
      </c>
      <c r="H228" s="19" t="str">
        <f>IF(B228="","",SUMIFS('📈 Datos Completos'!$I$7:$I$5000, '📈 Datos Completos'!$B$7:$B$5000, B228, '📈 Datos Completos'!$D$7:$D$5000, C228))</f>
        <v/>
      </c>
      <c r="I228" s="19" t="str">
        <f t="shared" si="28"/>
        <v/>
      </c>
      <c r="J228" s="19" t="str">
        <f t="shared" si="29"/>
        <v/>
      </c>
      <c r="K228" s="19" t="str">
        <f>IF(B228="","",IF(C228="DIA", (SUMIFS('📋 Detalle Diario'!$D$5:$D$489, '📋 Detalle Diario'!$B$5:$B$489, B228, '📋 Detalle Diario'!$C$5:$C$489, C228) * '⚙️ Supuestos'!$C$24) + '⚙️ Supuestos'!$C$23, (SUMIFS('📋 Detalle Diario'!$D$5:$D$489, '📋 Detalle Diario'!$B$5:$B$489, B228, '📋 Detalle Diario'!$C$5:$C$489, C228) * '⚙️ Supuestos'!$C$24) + '⚙️ Supuestos'!$C$33))</f>
        <v/>
      </c>
      <c r="L228" s="19" t="str">
        <f t="shared" si="30"/>
        <v/>
      </c>
      <c r="M228" s="20" t="str">
        <f t="shared" si="31"/>
        <v/>
      </c>
      <c r="N228" s="19" t="str">
        <f t="shared" si="32"/>
        <v/>
      </c>
      <c r="O228" s="27" t="str">
        <f t="shared" si="33"/>
        <v/>
      </c>
      <c r="P228" s="19" t="str">
        <f t="shared" si="34"/>
        <v/>
      </c>
      <c r="Q228" s="19" t="str">
        <f>IF(B228="","",J228-P228+(SUMIFS('📋 Detalle Diario'!$E$5:$E$489, '📋 Detalle Diario'!$B$5:$B$489, B228, '📋 Detalle Diario'!$C$5:$C$489, C228)*135)+(SUMIFS('📋 Detalle Diario'!$I$5:$I$489, '📋 Detalle Diario'!$B$5:$B$489, B228, '📋 Detalle Diario'!$C$5:$C$489, C228)*200))</f>
        <v/>
      </c>
      <c r="R228" s="20" t="str">
        <f t="shared" si="35"/>
        <v/>
      </c>
    </row>
    <row r="229" spans="2:18" ht="18" customHeight="1" x14ac:dyDescent="0.3">
      <c r="B229" s="24"/>
      <c r="C229" s="25"/>
      <c r="D229" s="18" t="str">
        <f>IF(B229="","",SUMIFS('📈 Datos Completos'!$E$7:$E$5000, '📈 Datos Completos'!$B$7:$B$5000, B229, '📈 Datos Completos'!$D$7:$D$5000, C229))</f>
        <v/>
      </c>
      <c r="E229" s="18" t="str">
        <f>IF(B229="","",SUMIFS('📈 Datos Completos'!$F$7:$F$5000, '📈 Datos Completos'!$B$7:$B$5000, B229, '📈 Datos Completos'!$D$7:$D$5000, C229))</f>
        <v/>
      </c>
      <c r="F229" s="18" t="str">
        <f>IF(B229="","",SUMIFS('📈 Datos Completos'!$G$7:$G$5000, '📈 Datos Completos'!$B$7:$B$5000, B229, '📈 Datos Completos'!$D$7:$D$5000, C229))</f>
        <v/>
      </c>
      <c r="G229" s="18" t="str">
        <f t="shared" si="27"/>
        <v/>
      </c>
      <c r="H229" s="19" t="str">
        <f>IF(B229="","",SUMIFS('📈 Datos Completos'!$I$7:$I$5000, '📈 Datos Completos'!$B$7:$B$5000, B229, '📈 Datos Completos'!$D$7:$D$5000, C229))</f>
        <v/>
      </c>
      <c r="I229" s="19" t="str">
        <f t="shared" si="28"/>
        <v/>
      </c>
      <c r="J229" s="19" t="str">
        <f t="shared" si="29"/>
        <v/>
      </c>
      <c r="K229" s="19" t="str">
        <f>IF(B229="","",IF(C229="DIA", (SUMIFS('📋 Detalle Diario'!$D$5:$D$489, '📋 Detalle Diario'!$B$5:$B$489, B229, '📋 Detalle Diario'!$C$5:$C$489, C229) * '⚙️ Supuestos'!$C$24) + '⚙️ Supuestos'!$C$23, (SUMIFS('📋 Detalle Diario'!$D$5:$D$489, '📋 Detalle Diario'!$B$5:$B$489, B229, '📋 Detalle Diario'!$C$5:$C$489, C229) * '⚙️ Supuestos'!$C$24) + '⚙️ Supuestos'!$C$33))</f>
        <v/>
      </c>
      <c r="L229" s="19" t="str">
        <f t="shared" si="30"/>
        <v/>
      </c>
      <c r="M229" s="20" t="str">
        <f t="shared" si="31"/>
        <v/>
      </c>
      <c r="N229" s="19" t="str">
        <f t="shared" si="32"/>
        <v/>
      </c>
      <c r="O229" s="25" t="str">
        <f t="shared" si="33"/>
        <v/>
      </c>
      <c r="P229" s="19" t="str">
        <f t="shared" si="34"/>
        <v/>
      </c>
      <c r="Q229" s="19" t="str">
        <f>IF(B229="","",J229-P229+(SUMIFS('📋 Detalle Diario'!$E$5:$E$489, '📋 Detalle Diario'!$B$5:$B$489, B229, '📋 Detalle Diario'!$C$5:$C$489, C229)*135)+(SUMIFS('📋 Detalle Diario'!$I$5:$I$489, '📋 Detalle Diario'!$B$5:$B$489, B229, '📋 Detalle Diario'!$C$5:$C$489, C229)*200))</f>
        <v/>
      </c>
      <c r="R229" s="20" t="str">
        <f t="shared" si="35"/>
        <v/>
      </c>
    </row>
    <row r="230" spans="2:18" ht="18" customHeight="1" x14ac:dyDescent="0.3">
      <c r="B230" s="26"/>
      <c r="C230" s="27"/>
      <c r="D230" s="18" t="str">
        <f>IF(B230="","",SUMIFS('📈 Datos Completos'!$E$7:$E$5000, '📈 Datos Completos'!$B$7:$B$5000, B230, '📈 Datos Completos'!$D$7:$D$5000, C230))</f>
        <v/>
      </c>
      <c r="E230" s="18" t="str">
        <f>IF(B230="","",SUMIFS('📈 Datos Completos'!$F$7:$F$5000, '📈 Datos Completos'!$B$7:$B$5000, B230, '📈 Datos Completos'!$D$7:$D$5000, C230))</f>
        <v/>
      </c>
      <c r="F230" s="18" t="str">
        <f>IF(B230="","",SUMIFS('📈 Datos Completos'!$G$7:$G$5000, '📈 Datos Completos'!$B$7:$B$5000, B230, '📈 Datos Completos'!$D$7:$D$5000, C230))</f>
        <v/>
      </c>
      <c r="G230" s="18" t="str">
        <f t="shared" si="27"/>
        <v/>
      </c>
      <c r="H230" s="19" t="str">
        <f>IF(B230="","",SUMIFS('📈 Datos Completos'!$I$7:$I$5000, '📈 Datos Completos'!$B$7:$B$5000, B230, '📈 Datos Completos'!$D$7:$D$5000, C230))</f>
        <v/>
      </c>
      <c r="I230" s="19" t="str">
        <f t="shared" si="28"/>
        <v/>
      </c>
      <c r="J230" s="19" t="str">
        <f t="shared" si="29"/>
        <v/>
      </c>
      <c r="K230" s="19" t="str">
        <f>IF(B230="","",IF(C230="DIA", (SUMIFS('📋 Detalle Diario'!$D$5:$D$489, '📋 Detalle Diario'!$B$5:$B$489, B230, '📋 Detalle Diario'!$C$5:$C$489, C230) * '⚙️ Supuestos'!$C$24) + '⚙️ Supuestos'!$C$23, (SUMIFS('📋 Detalle Diario'!$D$5:$D$489, '📋 Detalle Diario'!$B$5:$B$489, B230, '📋 Detalle Diario'!$C$5:$C$489, C230) * '⚙️ Supuestos'!$C$24) + '⚙️ Supuestos'!$C$33))</f>
        <v/>
      </c>
      <c r="L230" s="19" t="str">
        <f t="shared" si="30"/>
        <v/>
      </c>
      <c r="M230" s="20" t="str">
        <f t="shared" si="31"/>
        <v/>
      </c>
      <c r="N230" s="19" t="str">
        <f t="shared" si="32"/>
        <v/>
      </c>
      <c r="O230" s="27" t="str">
        <f t="shared" si="33"/>
        <v/>
      </c>
      <c r="P230" s="19" t="str">
        <f t="shared" si="34"/>
        <v/>
      </c>
      <c r="Q230" s="19" t="str">
        <f>IF(B230="","",J230-P230+(SUMIFS('📋 Detalle Diario'!$E$5:$E$489, '📋 Detalle Diario'!$B$5:$B$489, B230, '📋 Detalle Diario'!$C$5:$C$489, C230)*135)+(SUMIFS('📋 Detalle Diario'!$I$5:$I$489, '📋 Detalle Diario'!$B$5:$B$489, B230, '📋 Detalle Diario'!$C$5:$C$489, C230)*200))</f>
        <v/>
      </c>
      <c r="R230" s="20" t="str">
        <f t="shared" si="35"/>
        <v/>
      </c>
    </row>
    <row r="231" spans="2:18" ht="18" customHeight="1" x14ac:dyDescent="0.3">
      <c r="B231" s="24"/>
      <c r="C231" s="25"/>
      <c r="D231" s="18" t="str">
        <f>IF(B231="","",SUMIFS('📈 Datos Completos'!$E$7:$E$5000, '📈 Datos Completos'!$B$7:$B$5000, B231, '📈 Datos Completos'!$D$7:$D$5000, C231))</f>
        <v/>
      </c>
      <c r="E231" s="18" t="str">
        <f>IF(B231="","",SUMIFS('📈 Datos Completos'!$F$7:$F$5000, '📈 Datos Completos'!$B$7:$B$5000, B231, '📈 Datos Completos'!$D$7:$D$5000, C231))</f>
        <v/>
      </c>
      <c r="F231" s="18" t="str">
        <f>IF(B231="","",SUMIFS('📈 Datos Completos'!$G$7:$G$5000, '📈 Datos Completos'!$B$7:$B$5000, B231, '📈 Datos Completos'!$D$7:$D$5000, C231))</f>
        <v/>
      </c>
      <c r="G231" s="18" t="str">
        <f t="shared" si="27"/>
        <v/>
      </c>
      <c r="H231" s="19" t="str">
        <f>IF(B231="","",SUMIFS('📈 Datos Completos'!$I$7:$I$5000, '📈 Datos Completos'!$B$7:$B$5000, B231, '📈 Datos Completos'!$D$7:$D$5000, C231))</f>
        <v/>
      </c>
      <c r="I231" s="19" t="str">
        <f t="shared" si="28"/>
        <v/>
      </c>
      <c r="J231" s="19" t="str">
        <f t="shared" si="29"/>
        <v/>
      </c>
      <c r="K231" s="19" t="str">
        <f>IF(B231="","",IF(C231="DIA", (SUMIFS('📋 Detalle Diario'!$D$5:$D$489, '📋 Detalle Diario'!$B$5:$B$489, B231, '📋 Detalle Diario'!$C$5:$C$489, C231) * '⚙️ Supuestos'!$C$24) + '⚙️ Supuestos'!$C$23, (SUMIFS('📋 Detalle Diario'!$D$5:$D$489, '📋 Detalle Diario'!$B$5:$B$489, B231, '📋 Detalle Diario'!$C$5:$C$489, C231) * '⚙️ Supuestos'!$C$24) + '⚙️ Supuestos'!$C$33))</f>
        <v/>
      </c>
      <c r="L231" s="19" t="str">
        <f t="shared" si="30"/>
        <v/>
      </c>
      <c r="M231" s="20" t="str">
        <f t="shared" si="31"/>
        <v/>
      </c>
      <c r="N231" s="19" t="str">
        <f t="shared" si="32"/>
        <v/>
      </c>
      <c r="O231" s="25" t="str">
        <f t="shared" si="33"/>
        <v/>
      </c>
      <c r="P231" s="19" t="str">
        <f t="shared" si="34"/>
        <v/>
      </c>
      <c r="Q231" s="19" t="str">
        <f>IF(B231="","",J231-P231+(SUMIFS('📋 Detalle Diario'!$E$5:$E$489, '📋 Detalle Diario'!$B$5:$B$489, B231, '📋 Detalle Diario'!$C$5:$C$489, C231)*135)+(SUMIFS('📋 Detalle Diario'!$I$5:$I$489, '📋 Detalle Diario'!$B$5:$B$489, B231, '📋 Detalle Diario'!$C$5:$C$489, C231)*200))</f>
        <v/>
      </c>
      <c r="R231" s="20" t="str">
        <f t="shared" si="35"/>
        <v/>
      </c>
    </row>
    <row r="232" spans="2:18" ht="18" customHeight="1" x14ac:dyDescent="0.3">
      <c r="B232" s="26"/>
      <c r="C232" s="27"/>
      <c r="D232" s="18" t="str">
        <f>IF(B232="","",SUMIFS('📈 Datos Completos'!$E$7:$E$5000, '📈 Datos Completos'!$B$7:$B$5000, B232, '📈 Datos Completos'!$D$7:$D$5000, C232))</f>
        <v/>
      </c>
      <c r="E232" s="18" t="str">
        <f>IF(B232="","",SUMIFS('📈 Datos Completos'!$F$7:$F$5000, '📈 Datos Completos'!$B$7:$B$5000, B232, '📈 Datos Completos'!$D$7:$D$5000, C232))</f>
        <v/>
      </c>
      <c r="F232" s="18" t="str">
        <f>IF(B232="","",SUMIFS('📈 Datos Completos'!$G$7:$G$5000, '📈 Datos Completos'!$B$7:$B$5000, B232, '📈 Datos Completos'!$D$7:$D$5000, C232))</f>
        <v/>
      </c>
      <c r="G232" s="18" t="str">
        <f t="shared" si="27"/>
        <v/>
      </c>
      <c r="H232" s="19" t="str">
        <f>IF(B232="","",SUMIFS('📈 Datos Completos'!$I$7:$I$5000, '📈 Datos Completos'!$B$7:$B$5000, B232, '📈 Datos Completos'!$D$7:$D$5000, C232))</f>
        <v/>
      </c>
      <c r="I232" s="19" t="str">
        <f t="shared" si="28"/>
        <v/>
      </c>
      <c r="J232" s="19" t="str">
        <f t="shared" si="29"/>
        <v/>
      </c>
      <c r="K232" s="19" t="str">
        <f>IF(B232="","",IF(C232="DIA", (SUMIFS('📋 Detalle Diario'!$D$5:$D$489, '📋 Detalle Diario'!$B$5:$B$489, B232, '📋 Detalle Diario'!$C$5:$C$489, C232) * '⚙️ Supuestos'!$C$24) + '⚙️ Supuestos'!$C$23, (SUMIFS('📋 Detalle Diario'!$D$5:$D$489, '📋 Detalle Diario'!$B$5:$B$489, B232, '📋 Detalle Diario'!$C$5:$C$489, C232) * '⚙️ Supuestos'!$C$24) + '⚙️ Supuestos'!$C$33))</f>
        <v/>
      </c>
      <c r="L232" s="19" t="str">
        <f t="shared" si="30"/>
        <v/>
      </c>
      <c r="M232" s="20" t="str">
        <f t="shared" si="31"/>
        <v/>
      </c>
      <c r="N232" s="19" t="str">
        <f t="shared" si="32"/>
        <v/>
      </c>
      <c r="O232" s="27" t="str">
        <f t="shared" si="33"/>
        <v/>
      </c>
      <c r="P232" s="19" t="str">
        <f t="shared" si="34"/>
        <v/>
      </c>
      <c r="Q232" s="19" t="str">
        <f>IF(B232="","",J232-P232+(SUMIFS('📋 Detalle Diario'!$E$5:$E$489, '📋 Detalle Diario'!$B$5:$B$489, B232, '📋 Detalle Diario'!$C$5:$C$489, C232)*135)+(SUMIFS('📋 Detalle Diario'!$I$5:$I$489, '📋 Detalle Diario'!$B$5:$B$489, B232, '📋 Detalle Diario'!$C$5:$C$489, C232)*200))</f>
        <v/>
      </c>
      <c r="R232" s="20" t="str">
        <f t="shared" si="35"/>
        <v/>
      </c>
    </row>
    <row r="233" spans="2:18" ht="18" customHeight="1" x14ac:dyDescent="0.3">
      <c r="B233" s="24"/>
      <c r="C233" s="25"/>
      <c r="D233" s="18" t="str">
        <f>IF(B233="","",SUMIFS('📈 Datos Completos'!$E$7:$E$5000, '📈 Datos Completos'!$B$7:$B$5000, B233, '📈 Datos Completos'!$D$7:$D$5000, C233))</f>
        <v/>
      </c>
      <c r="E233" s="18" t="str">
        <f>IF(B233="","",SUMIFS('📈 Datos Completos'!$F$7:$F$5000, '📈 Datos Completos'!$B$7:$B$5000, B233, '📈 Datos Completos'!$D$7:$D$5000, C233))</f>
        <v/>
      </c>
      <c r="F233" s="18" t="str">
        <f>IF(B233="","",SUMIFS('📈 Datos Completos'!$G$7:$G$5000, '📈 Datos Completos'!$B$7:$B$5000, B233, '📈 Datos Completos'!$D$7:$D$5000, C233))</f>
        <v/>
      </c>
      <c r="G233" s="18" t="str">
        <f t="shared" si="27"/>
        <v/>
      </c>
      <c r="H233" s="19" t="str">
        <f>IF(B233="","",SUMIFS('📈 Datos Completos'!$I$7:$I$5000, '📈 Datos Completos'!$B$7:$B$5000, B233, '📈 Datos Completos'!$D$7:$D$5000, C233))</f>
        <v/>
      </c>
      <c r="I233" s="19" t="str">
        <f t="shared" si="28"/>
        <v/>
      </c>
      <c r="J233" s="19" t="str">
        <f t="shared" si="29"/>
        <v/>
      </c>
      <c r="K233" s="19" t="str">
        <f>IF(B233="","",IF(C233="DIA", (SUMIFS('📋 Detalle Diario'!$D$5:$D$489, '📋 Detalle Diario'!$B$5:$B$489, B233, '📋 Detalle Diario'!$C$5:$C$489, C233) * '⚙️ Supuestos'!$C$24) + '⚙️ Supuestos'!$C$23, (SUMIFS('📋 Detalle Diario'!$D$5:$D$489, '📋 Detalle Diario'!$B$5:$B$489, B233, '📋 Detalle Diario'!$C$5:$C$489, C233) * '⚙️ Supuestos'!$C$24) + '⚙️ Supuestos'!$C$33))</f>
        <v/>
      </c>
      <c r="L233" s="19" t="str">
        <f t="shared" si="30"/>
        <v/>
      </c>
      <c r="M233" s="20" t="str">
        <f t="shared" si="31"/>
        <v/>
      </c>
      <c r="N233" s="19" t="str">
        <f t="shared" si="32"/>
        <v/>
      </c>
      <c r="O233" s="25" t="str">
        <f t="shared" si="33"/>
        <v/>
      </c>
      <c r="P233" s="19" t="str">
        <f t="shared" si="34"/>
        <v/>
      </c>
      <c r="Q233" s="19" t="str">
        <f>IF(B233="","",J233-P233+(SUMIFS('📋 Detalle Diario'!$E$5:$E$489, '📋 Detalle Diario'!$B$5:$B$489, B233, '📋 Detalle Diario'!$C$5:$C$489, C233)*135)+(SUMIFS('📋 Detalle Diario'!$I$5:$I$489, '📋 Detalle Diario'!$B$5:$B$489, B233, '📋 Detalle Diario'!$C$5:$C$489, C233)*200))</f>
        <v/>
      </c>
      <c r="R233" s="20" t="str">
        <f t="shared" si="35"/>
        <v/>
      </c>
    </row>
    <row r="234" spans="2:18" ht="18" customHeight="1" x14ac:dyDescent="0.3">
      <c r="B234" s="26"/>
      <c r="C234" s="27"/>
      <c r="D234" s="18" t="str">
        <f>IF(B234="","",SUMIFS('📈 Datos Completos'!$E$7:$E$5000, '📈 Datos Completos'!$B$7:$B$5000, B234, '📈 Datos Completos'!$D$7:$D$5000, C234))</f>
        <v/>
      </c>
      <c r="E234" s="18" t="str">
        <f>IF(B234="","",SUMIFS('📈 Datos Completos'!$F$7:$F$5000, '📈 Datos Completos'!$B$7:$B$5000, B234, '📈 Datos Completos'!$D$7:$D$5000, C234))</f>
        <v/>
      </c>
      <c r="F234" s="18" t="str">
        <f>IF(B234="","",SUMIFS('📈 Datos Completos'!$G$7:$G$5000, '📈 Datos Completos'!$B$7:$B$5000, B234, '📈 Datos Completos'!$D$7:$D$5000, C234))</f>
        <v/>
      </c>
      <c r="G234" s="18" t="str">
        <f t="shared" si="27"/>
        <v/>
      </c>
      <c r="H234" s="19" t="str">
        <f>IF(B234="","",SUMIFS('📈 Datos Completos'!$I$7:$I$5000, '📈 Datos Completos'!$B$7:$B$5000, B234, '📈 Datos Completos'!$D$7:$D$5000, C234))</f>
        <v/>
      </c>
      <c r="I234" s="19" t="str">
        <f t="shared" si="28"/>
        <v/>
      </c>
      <c r="J234" s="19" t="str">
        <f t="shared" si="29"/>
        <v/>
      </c>
      <c r="K234" s="19" t="str">
        <f>IF(B234="","",IF(C234="DIA", (SUMIFS('📋 Detalle Diario'!$D$5:$D$489, '📋 Detalle Diario'!$B$5:$B$489, B234, '📋 Detalle Diario'!$C$5:$C$489, C234) * '⚙️ Supuestos'!$C$24) + '⚙️ Supuestos'!$C$23, (SUMIFS('📋 Detalle Diario'!$D$5:$D$489, '📋 Detalle Diario'!$B$5:$B$489, B234, '📋 Detalle Diario'!$C$5:$C$489, C234) * '⚙️ Supuestos'!$C$24) + '⚙️ Supuestos'!$C$33))</f>
        <v/>
      </c>
      <c r="L234" s="19" t="str">
        <f t="shared" si="30"/>
        <v/>
      </c>
      <c r="M234" s="20" t="str">
        <f t="shared" si="31"/>
        <v/>
      </c>
      <c r="N234" s="19" t="str">
        <f t="shared" si="32"/>
        <v/>
      </c>
      <c r="O234" s="27" t="str">
        <f t="shared" si="33"/>
        <v/>
      </c>
      <c r="P234" s="19" t="str">
        <f t="shared" si="34"/>
        <v/>
      </c>
      <c r="Q234" s="19" t="str">
        <f>IF(B234="","",J234-P234+(SUMIFS('📋 Detalle Diario'!$E$5:$E$489, '📋 Detalle Diario'!$B$5:$B$489, B234, '📋 Detalle Diario'!$C$5:$C$489, C234)*135)+(SUMIFS('📋 Detalle Diario'!$I$5:$I$489, '📋 Detalle Diario'!$B$5:$B$489, B234, '📋 Detalle Diario'!$C$5:$C$489, C234)*200))</f>
        <v/>
      </c>
      <c r="R234" s="20" t="str">
        <f t="shared" si="35"/>
        <v/>
      </c>
    </row>
    <row r="235" spans="2:18" ht="18" customHeight="1" x14ac:dyDescent="0.3">
      <c r="B235" s="24"/>
      <c r="C235" s="25"/>
      <c r="D235" s="18" t="str">
        <f>IF(B235="","",SUMIFS('📈 Datos Completos'!$E$7:$E$5000, '📈 Datos Completos'!$B$7:$B$5000, B235, '📈 Datos Completos'!$D$7:$D$5000, C235))</f>
        <v/>
      </c>
      <c r="E235" s="18" t="str">
        <f>IF(B235="","",SUMIFS('📈 Datos Completos'!$F$7:$F$5000, '📈 Datos Completos'!$B$7:$B$5000, B235, '📈 Datos Completos'!$D$7:$D$5000, C235))</f>
        <v/>
      </c>
      <c r="F235" s="18" t="str">
        <f>IF(B235="","",SUMIFS('📈 Datos Completos'!$G$7:$G$5000, '📈 Datos Completos'!$B$7:$B$5000, B235, '📈 Datos Completos'!$D$7:$D$5000, C235))</f>
        <v/>
      </c>
      <c r="G235" s="18" t="str">
        <f t="shared" si="27"/>
        <v/>
      </c>
      <c r="H235" s="19" t="str">
        <f>IF(B235="","",SUMIFS('📈 Datos Completos'!$I$7:$I$5000, '📈 Datos Completos'!$B$7:$B$5000, B235, '📈 Datos Completos'!$D$7:$D$5000, C235))</f>
        <v/>
      </c>
      <c r="I235" s="19" t="str">
        <f t="shared" si="28"/>
        <v/>
      </c>
      <c r="J235" s="19" t="str">
        <f t="shared" si="29"/>
        <v/>
      </c>
      <c r="K235" s="19" t="str">
        <f>IF(B235="","",IF(C235="DIA", (SUMIFS('📋 Detalle Diario'!$D$5:$D$489, '📋 Detalle Diario'!$B$5:$B$489, B235, '📋 Detalle Diario'!$C$5:$C$489, C235) * '⚙️ Supuestos'!$C$24) + '⚙️ Supuestos'!$C$23, (SUMIFS('📋 Detalle Diario'!$D$5:$D$489, '📋 Detalle Diario'!$B$5:$B$489, B235, '📋 Detalle Diario'!$C$5:$C$489, C235) * '⚙️ Supuestos'!$C$24) + '⚙️ Supuestos'!$C$33))</f>
        <v/>
      </c>
      <c r="L235" s="19" t="str">
        <f t="shared" si="30"/>
        <v/>
      </c>
      <c r="M235" s="20" t="str">
        <f t="shared" si="31"/>
        <v/>
      </c>
      <c r="N235" s="19" t="str">
        <f t="shared" si="32"/>
        <v/>
      </c>
      <c r="O235" s="25" t="str">
        <f t="shared" si="33"/>
        <v/>
      </c>
      <c r="P235" s="19" t="str">
        <f t="shared" si="34"/>
        <v/>
      </c>
      <c r="Q235" s="19" t="str">
        <f>IF(B235="","",J235-P235+(SUMIFS('📋 Detalle Diario'!$E$5:$E$489, '📋 Detalle Diario'!$B$5:$B$489, B235, '📋 Detalle Diario'!$C$5:$C$489, C235)*135)+(SUMIFS('📋 Detalle Diario'!$I$5:$I$489, '📋 Detalle Diario'!$B$5:$B$489, B235, '📋 Detalle Diario'!$C$5:$C$489, C235)*200))</f>
        <v/>
      </c>
      <c r="R235" s="20" t="str">
        <f t="shared" si="35"/>
        <v/>
      </c>
    </row>
    <row r="236" spans="2:18" ht="18" customHeight="1" x14ac:dyDescent="0.3">
      <c r="B236" s="26"/>
      <c r="C236" s="27"/>
      <c r="D236" s="18" t="str">
        <f>IF(B236="","",SUMIFS('📈 Datos Completos'!$E$7:$E$5000, '📈 Datos Completos'!$B$7:$B$5000, B236, '📈 Datos Completos'!$D$7:$D$5000, C236))</f>
        <v/>
      </c>
      <c r="E236" s="18" t="str">
        <f>IF(B236="","",SUMIFS('📈 Datos Completos'!$F$7:$F$5000, '📈 Datos Completos'!$B$7:$B$5000, B236, '📈 Datos Completos'!$D$7:$D$5000, C236))</f>
        <v/>
      </c>
      <c r="F236" s="18" t="str">
        <f>IF(B236="","",SUMIFS('📈 Datos Completos'!$G$7:$G$5000, '📈 Datos Completos'!$B$7:$B$5000, B236, '📈 Datos Completos'!$D$7:$D$5000, C236))</f>
        <v/>
      </c>
      <c r="G236" s="18" t="str">
        <f t="shared" si="27"/>
        <v/>
      </c>
      <c r="H236" s="19" t="str">
        <f>IF(B236="","",SUMIFS('📈 Datos Completos'!$I$7:$I$5000, '📈 Datos Completos'!$B$7:$B$5000, B236, '📈 Datos Completos'!$D$7:$D$5000, C236))</f>
        <v/>
      </c>
      <c r="I236" s="19" t="str">
        <f t="shared" si="28"/>
        <v/>
      </c>
      <c r="J236" s="19" t="str">
        <f t="shared" si="29"/>
        <v/>
      </c>
      <c r="K236" s="19" t="str">
        <f>IF(B236="","",IF(C236="DIA", (SUMIFS('📋 Detalle Diario'!$D$5:$D$489, '📋 Detalle Diario'!$B$5:$B$489, B236, '📋 Detalle Diario'!$C$5:$C$489, C236) * '⚙️ Supuestos'!$C$24) + '⚙️ Supuestos'!$C$23, (SUMIFS('📋 Detalle Diario'!$D$5:$D$489, '📋 Detalle Diario'!$B$5:$B$489, B236, '📋 Detalle Diario'!$C$5:$C$489, C236) * '⚙️ Supuestos'!$C$24) + '⚙️ Supuestos'!$C$33))</f>
        <v/>
      </c>
      <c r="L236" s="19" t="str">
        <f t="shared" si="30"/>
        <v/>
      </c>
      <c r="M236" s="20" t="str">
        <f t="shared" si="31"/>
        <v/>
      </c>
      <c r="N236" s="19" t="str">
        <f t="shared" si="32"/>
        <v/>
      </c>
      <c r="O236" s="27" t="str">
        <f t="shared" si="33"/>
        <v/>
      </c>
      <c r="P236" s="19" t="str">
        <f t="shared" si="34"/>
        <v/>
      </c>
      <c r="Q236" s="19" t="str">
        <f>IF(B236="","",J236-P236+(SUMIFS('📋 Detalle Diario'!$E$5:$E$489, '📋 Detalle Diario'!$B$5:$B$489, B236, '📋 Detalle Diario'!$C$5:$C$489, C236)*135)+(SUMIFS('📋 Detalle Diario'!$I$5:$I$489, '📋 Detalle Diario'!$B$5:$B$489, B236, '📋 Detalle Diario'!$C$5:$C$489, C236)*200))</f>
        <v/>
      </c>
      <c r="R236" s="20" t="str">
        <f t="shared" si="35"/>
        <v/>
      </c>
    </row>
    <row r="237" spans="2:18" ht="18" customHeight="1" x14ac:dyDescent="0.3">
      <c r="B237" s="24"/>
      <c r="C237" s="25"/>
      <c r="D237" s="18" t="str">
        <f>IF(B237="","",SUMIFS('📈 Datos Completos'!$E$7:$E$5000, '📈 Datos Completos'!$B$7:$B$5000, B237, '📈 Datos Completos'!$D$7:$D$5000, C237))</f>
        <v/>
      </c>
      <c r="E237" s="18" t="str">
        <f>IF(B237="","",SUMIFS('📈 Datos Completos'!$F$7:$F$5000, '📈 Datos Completos'!$B$7:$B$5000, B237, '📈 Datos Completos'!$D$7:$D$5000, C237))</f>
        <v/>
      </c>
      <c r="F237" s="18" t="str">
        <f>IF(B237="","",SUMIFS('📈 Datos Completos'!$G$7:$G$5000, '📈 Datos Completos'!$B$7:$B$5000, B237, '📈 Datos Completos'!$D$7:$D$5000, C237))</f>
        <v/>
      </c>
      <c r="G237" s="18" t="str">
        <f t="shared" si="27"/>
        <v/>
      </c>
      <c r="H237" s="19" t="str">
        <f>IF(B237="","",SUMIFS('📈 Datos Completos'!$I$7:$I$5000, '📈 Datos Completos'!$B$7:$B$5000, B237, '📈 Datos Completos'!$D$7:$D$5000, C237))</f>
        <v/>
      </c>
      <c r="I237" s="19" t="str">
        <f t="shared" si="28"/>
        <v/>
      </c>
      <c r="J237" s="19" t="str">
        <f t="shared" si="29"/>
        <v/>
      </c>
      <c r="K237" s="19" t="str">
        <f>IF(B237="","",IF(C237="DIA", (SUMIFS('📋 Detalle Diario'!$D$5:$D$489, '📋 Detalle Diario'!$B$5:$B$489, B237, '📋 Detalle Diario'!$C$5:$C$489, C237) * '⚙️ Supuestos'!$C$24) + '⚙️ Supuestos'!$C$23, (SUMIFS('📋 Detalle Diario'!$D$5:$D$489, '📋 Detalle Diario'!$B$5:$B$489, B237, '📋 Detalle Diario'!$C$5:$C$489, C237) * '⚙️ Supuestos'!$C$24) + '⚙️ Supuestos'!$C$33))</f>
        <v/>
      </c>
      <c r="L237" s="19" t="str">
        <f t="shared" si="30"/>
        <v/>
      </c>
      <c r="M237" s="20" t="str">
        <f t="shared" si="31"/>
        <v/>
      </c>
      <c r="N237" s="19" t="str">
        <f t="shared" si="32"/>
        <v/>
      </c>
      <c r="O237" s="25" t="str">
        <f t="shared" si="33"/>
        <v/>
      </c>
      <c r="P237" s="19" t="str">
        <f t="shared" si="34"/>
        <v/>
      </c>
      <c r="Q237" s="19" t="str">
        <f>IF(B237="","",J237-P237+(SUMIFS('📋 Detalle Diario'!$E$5:$E$489, '📋 Detalle Diario'!$B$5:$B$489, B237, '📋 Detalle Diario'!$C$5:$C$489, C237)*135)+(SUMIFS('📋 Detalle Diario'!$I$5:$I$489, '📋 Detalle Diario'!$B$5:$B$489, B237, '📋 Detalle Diario'!$C$5:$C$489, C237)*200))</f>
        <v/>
      </c>
      <c r="R237" s="20" t="str">
        <f t="shared" si="35"/>
        <v/>
      </c>
    </row>
    <row r="238" spans="2:18" ht="18" customHeight="1" x14ac:dyDescent="0.3">
      <c r="B238" s="26"/>
      <c r="C238" s="27"/>
      <c r="D238" s="18" t="str">
        <f>IF(B238="","",SUMIFS('📈 Datos Completos'!$E$7:$E$5000, '📈 Datos Completos'!$B$7:$B$5000, B238, '📈 Datos Completos'!$D$7:$D$5000, C238))</f>
        <v/>
      </c>
      <c r="E238" s="18" t="str">
        <f>IF(B238="","",SUMIFS('📈 Datos Completos'!$F$7:$F$5000, '📈 Datos Completos'!$B$7:$B$5000, B238, '📈 Datos Completos'!$D$7:$D$5000, C238))</f>
        <v/>
      </c>
      <c r="F238" s="18" t="str">
        <f>IF(B238="","",SUMIFS('📈 Datos Completos'!$G$7:$G$5000, '📈 Datos Completos'!$B$7:$B$5000, B238, '📈 Datos Completos'!$D$7:$D$5000, C238))</f>
        <v/>
      </c>
      <c r="G238" s="18" t="str">
        <f t="shared" si="27"/>
        <v/>
      </c>
      <c r="H238" s="19" t="str">
        <f>IF(B238="","",SUMIFS('📈 Datos Completos'!$I$7:$I$5000, '📈 Datos Completos'!$B$7:$B$5000, B238, '📈 Datos Completos'!$D$7:$D$5000, C238))</f>
        <v/>
      </c>
      <c r="I238" s="19" t="str">
        <f t="shared" si="28"/>
        <v/>
      </c>
      <c r="J238" s="19" t="str">
        <f t="shared" si="29"/>
        <v/>
      </c>
      <c r="K238" s="19" t="str">
        <f>IF(B238="","",IF(C238="DIA", (SUMIFS('📋 Detalle Diario'!$D$5:$D$489, '📋 Detalle Diario'!$B$5:$B$489, B238, '📋 Detalle Diario'!$C$5:$C$489, C238) * '⚙️ Supuestos'!$C$24) + '⚙️ Supuestos'!$C$23, (SUMIFS('📋 Detalle Diario'!$D$5:$D$489, '📋 Detalle Diario'!$B$5:$B$489, B238, '📋 Detalle Diario'!$C$5:$C$489, C238) * '⚙️ Supuestos'!$C$24) + '⚙️ Supuestos'!$C$33))</f>
        <v/>
      </c>
      <c r="L238" s="19" t="str">
        <f t="shared" si="30"/>
        <v/>
      </c>
      <c r="M238" s="20" t="str">
        <f t="shared" si="31"/>
        <v/>
      </c>
      <c r="N238" s="19" t="str">
        <f t="shared" si="32"/>
        <v/>
      </c>
      <c r="O238" s="27" t="str">
        <f t="shared" si="33"/>
        <v/>
      </c>
      <c r="P238" s="19" t="str">
        <f t="shared" si="34"/>
        <v/>
      </c>
      <c r="Q238" s="19" t="str">
        <f>IF(B238="","",J238-P238+(SUMIFS('📋 Detalle Diario'!$E$5:$E$489, '📋 Detalle Diario'!$B$5:$B$489, B238, '📋 Detalle Diario'!$C$5:$C$489, C238)*135)+(SUMIFS('📋 Detalle Diario'!$I$5:$I$489, '📋 Detalle Diario'!$B$5:$B$489, B238, '📋 Detalle Diario'!$C$5:$C$489, C238)*200))</f>
        <v/>
      </c>
      <c r="R238" s="20" t="str">
        <f t="shared" si="35"/>
        <v/>
      </c>
    </row>
    <row r="239" spans="2:18" ht="18" customHeight="1" x14ac:dyDescent="0.3">
      <c r="B239" s="24"/>
      <c r="C239" s="25"/>
      <c r="D239" s="18" t="str">
        <f>IF(B239="","",SUMIFS('📈 Datos Completos'!$E$7:$E$5000, '📈 Datos Completos'!$B$7:$B$5000, B239, '📈 Datos Completos'!$D$7:$D$5000, C239))</f>
        <v/>
      </c>
      <c r="E239" s="18" t="str">
        <f>IF(B239="","",SUMIFS('📈 Datos Completos'!$F$7:$F$5000, '📈 Datos Completos'!$B$7:$B$5000, B239, '📈 Datos Completos'!$D$7:$D$5000, C239))</f>
        <v/>
      </c>
      <c r="F239" s="18" t="str">
        <f>IF(B239="","",SUMIFS('📈 Datos Completos'!$G$7:$G$5000, '📈 Datos Completos'!$B$7:$B$5000, B239, '📈 Datos Completos'!$D$7:$D$5000, C239))</f>
        <v/>
      </c>
      <c r="G239" s="18" t="str">
        <f t="shared" si="27"/>
        <v/>
      </c>
      <c r="H239" s="19" t="str">
        <f>IF(B239="","",SUMIFS('📈 Datos Completos'!$I$7:$I$5000, '📈 Datos Completos'!$B$7:$B$5000, B239, '📈 Datos Completos'!$D$7:$D$5000, C239))</f>
        <v/>
      </c>
      <c r="I239" s="19" t="str">
        <f t="shared" si="28"/>
        <v/>
      </c>
      <c r="J239" s="19" t="str">
        <f t="shared" si="29"/>
        <v/>
      </c>
      <c r="K239" s="19" t="str">
        <f>IF(B239="","",IF(C239="DIA", (SUMIFS('📋 Detalle Diario'!$D$5:$D$489, '📋 Detalle Diario'!$B$5:$B$489, B239, '📋 Detalle Diario'!$C$5:$C$489, C239) * '⚙️ Supuestos'!$C$24) + '⚙️ Supuestos'!$C$23, (SUMIFS('📋 Detalle Diario'!$D$5:$D$489, '📋 Detalle Diario'!$B$5:$B$489, B239, '📋 Detalle Diario'!$C$5:$C$489, C239) * '⚙️ Supuestos'!$C$24) + '⚙️ Supuestos'!$C$33))</f>
        <v/>
      </c>
      <c r="L239" s="19" t="str">
        <f t="shared" si="30"/>
        <v/>
      </c>
      <c r="M239" s="20" t="str">
        <f t="shared" si="31"/>
        <v/>
      </c>
      <c r="N239" s="19" t="str">
        <f t="shared" si="32"/>
        <v/>
      </c>
      <c r="O239" s="25" t="str">
        <f t="shared" si="33"/>
        <v/>
      </c>
      <c r="P239" s="19" t="str">
        <f t="shared" si="34"/>
        <v/>
      </c>
      <c r="Q239" s="19" t="str">
        <f>IF(B239="","",J239-P239+(SUMIFS('📋 Detalle Diario'!$E$5:$E$489, '📋 Detalle Diario'!$B$5:$B$489, B239, '📋 Detalle Diario'!$C$5:$C$489, C239)*135)+(SUMIFS('📋 Detalle Diario'!$I$5:$I$489, '📋 Detalle Diario'!$B$5:$B$489, B239, '📋 Detalle Diario'!$C$5:$C$489, C239)*200))</f>
        <v/>
      </c>
      <c r="R239" s="20" t="str">
        <f t="shared" si="35"/>
        <v/>
      </c>
    </row>
    <row r="240" spans="2:18" ht="18" customHeight="1" x14ac:dyDescent="0.3">
      <c r="B240" s="26"/>
      <c r="C240" s="27"/>
      <c r="D240" s="18" t="str">
        <f>IF(B240="","",SUMIFS('📈 Datos Completos'!$E$7:$E$5000, '📈 Datos Completos'!$B$7:$B$5000, B240, '📈 Datos Completos'!$D$7:$D$5000, C240))</f>
        <v/>
      </c>
      <c r="E240" s="18" t="str">
        <f>IF(B240="","",SUMIFS('📈 Datos Completos'!$F$7:$F$5000, '📈 Datos Completos'!$B$7:$B$5000, B240, '📈 Datos Completos'!$D$7:$D$5000, C240))</f>
        <v/>
      </c>
      <c r="F240" s="18" t="str">
        <f>IF(B240="","",SUMIFS('📈 Datos Completos'!$G$7:$G$5000, '📈 Datos Completos'!$B$7:$B$5000, B240, '📈 Datos Completos'!$D$7:$D$5000, C240))</f>
        <v/>
      </c>
      <c r="G240" s="18" t="str">
        <f t="shared" si="27"/>
        <v/>
      </c>
      <c r="H240" s="19" t="str">
        <f>IF(B240="","",SUMIFS('📈 Datos Completos'!$I$7:$I$5000, '📈 Datos Completos'!$B$7:$B$5000, B240, '📈 Datos Completos'!$D$7:$D$5000, C240))</f>
        <v/>
      </c>
      <c r="I240" s="19" t="str">
        <f t="shared" si="28"/>
        <v/>
      </c>
      <c r="J240" s="19" t="str">
        <f t="shared" si="29"/>
        <v/>
      </c>
      <c r="K240" s="19" t="str">
        <f>IF(B240="","",IF(C240="DIA", (SUMIFS('📋 Detalle Diario'!$D$5:$D$489, '📋 Detalle Diario'!$B$5:$B$489, B240, '📋 Detalle Diario'!$C$5:$C$489, C240) * '⚙️ Supuestos'!$C$24) + '⚙️ Supuestos'!$C$23, (SUMIFS('📋 Detalle Diario'!$D$5:$D$489, '📋 Detalle Diario'!$B$5:$B$489, B240, '📋 Detalle Diario'!$C$5:$C$489, C240) * '⚙️ Supuestos'!$C$24) + '⚙️ Supuestos'!$C$33))</f>
        <v/>
      </c>
      <c r="L240" s="19" t="str">
        <f t="shared" si="30"/>
        <v/>
      </c>
      <c r="M240" s="20" t="str">
        <f t="shared" si="31"/>
        <v/>
      </c>
      <c r="N240" s="19" t="str">
        <f t="shared" si="32"/>
        <v/>
      </c>
      <c r="O240" s="27" t="str">
        <f t="shared" si="33"/>
        <v/>
      </c>
      <c r="P240" s="19" t="str">
        <f t="shared" si="34"/>
        <v/>
      </c>
      <c r="Q240" s="19" t="str">
        <f>IF(B240="","",J240-P240+(SUMIFS('📋 Detalle Diario'!$E$5:$E$489, '📋 Detalle Diario'!$B$5:$B$489, B240, '📋 Detalle Diario'!$C$5:$C$489, C240)*135)+(SUMIFS('📋 Detalle Diario'!$I$5:$I$489, '📋 Detalle Diario'!$B$5:$B$489, B240, '📋 Detalle Diario'!$C$5:$C$489, C240)*200))</f>
        <v/>
      </c>
      <c r="R240" s="20" t="str">
        <f t="shared" si="35"/>
        <v/>
      </c>
    </row>
    <row r="241" spans="2:18" ht="18" customHeight="1" x14ac:dyDescent="0.3">
      <c r="B241" s="24"/>
      <c r="C241" s="25"/>
      <c r="D241" s="18" t="str">
        <f>IF(B241="","",SUMIFS('📈 Datos Completos'!$E$7:$E$5000, '📈 Datos Completos'!$B$7:$B$5000, B241, '📈 Datos Completos'!$D$7:$D$5000, C241))</f>
        <v/>
      </c>
      <c r="E241" s="18" t="str">
        <f>IF(B241="","",SUMIFS('📈 Datos Completos'!$F$7:$F$5000, '📈 Datos Completos'!$B$7:$B$5000, B241, '📈 Datos Completos'!$D$7:$D$5000, C241))</f>
        <v/>
      </c>
      <c r="F241" s="18" t="str">
        <f>IF(B241="","",SUMIFS('📈 Datos Completos'!$G$7:$G$5000, '📈 Datos Completos'!$B$7:$B$5000, B241, '📈 Datos Completos'!$D$7:$D$5000, C241))</f>
        <v/>
      </c>
      <c r="G241" s="18" t="str">
        <f t="shared" si="27"/>
        <v/>
      </c>
      <c r="H241" s="19" t="str">
        <f>IF(B241="","",SUMIFS('📈 Datos Completos'!$I$7:$I$5000, '📈 Datos Completos'!$B$7:$B$5000, B241, '📈 Datos Completos'!$D$7:$D$5000, C241))</f>
        <v/>
      </c>
      <c r="I241" s="19" t="str">
        <f t="shared" si="28"/>
        <v/>
      </c>
      <c r="J241" s="19" t="str">
        <f t="shared" si="29"/>
        <v/>
      </c>
      <c r="K241" s="19" t="str">
        <f>IF(B241="","",IF(C241="DIA", (SUMIFS('📋 Detalle Diario'!$D$5:$D$489, '📋 Detalle Diario'!$B$5:$B$489, B241, '📋 Detalle Diario'!$C$5:$C$489, C241) * '⚙️ Supuestos'!$C$24) + '⚙️ Supuestos'!$C$23, (SUMIFS('📋 Detalle Diario'!$D$5:$D$489, '📋 Detalle Diario'!$B$5:$B$489, B241, '📋 Detalle Diario'!$C$5:$C$489, C241) * '⚙️ Supuestos'!$C$24) + '⚙️ Supuestos'!$C$33))</f>
        <v/>
      </c>
      <c r="L241" s="19" t="str">
        <f t="shared" si="30"/>
        <v/>
      </c>
      <c r="M241" s="20" t="str">
        <f t="shared" si="31"/>
        <v/>
      </c>
      <c r="N241" s="19" t="str">
        <f t="shared" si="32"/>
        <v/>
      </c>
      <c r="O241" s="25" t="str">
        <f t="shared" si="33"/>
        <v/>
      </c>
      <c r="P241" s="19" t="str">
        <f t="shared" si="34"/>
        <v/>
      </c>
      <c r="Q241" s="19" t="str">
        <f>IF(B241="","",J241-P241+(SUMIFS('📋 Detalle Diario'!$E$5:$E$489, '📋 Detalle Diario'!$B$5:$B$489, B241, '📋 Detalle Diario'!$C$5:$C$489, C241)*135)+(SUMIFS('📋 Detalle Diario'!$I$5:$I$489, '📋 Detalle Diario'!$B$5:$B$489, B241, '📋 Detalle Diario'!$C$5:$C$489, C241)*200))</f>
        <v/>
      </c>
      <c r="R241" s="20" t="str">
        <f t="shared" si="35"/>
        <v/>
      </c>
    </row>
    <row r="242" spans="2:18" ht="18" customHeight="1" x14ac:dyDescent="0.3">
      <c r="B242" s="26"/>
      <c r="C242" s="27"/>
      <c r="D242" s="18" t="str">
        <f>IF(B242="","",SUMIFS('📈 Datos Completos'!$E$7:$E$5000, '📈 Datos Completos'!$B$7:$B$5000, B242, '📈 Datos Completos'!$D$7:$D$5000, C242))</f>
        <v/>
      </c>
      <c r="E242" s="18" t="str">
        <f>IF(B242="","",SUMIFS('📈 Datos Completos'!$F$7:$F$5000, '📈 Datos Completos'!$B$7:$B$5000, B242, '📈 Datos Completos'!$D$7:$D$5000, C242))</f>
        <v/>
      </c>
      <c r="F242" s="18" t="str">
        <f>IF(B242="","",SUMIFS('📈 Datos Completos'!$G$7:$G$5000, '📈 Datos Completos'!$B$7:$B$5000, B242, '📈 Datos Completos'!$D$7:$D$5000, C242))</f>
        <v/>
      </c>
      <c r="G242" s="18" t="str">
        <f t="shared" si="27"/>
        <v/>
      </c>
      <c r="H242" s="19" t="str">
        <f>IF(B242="","",SUMIFS('📈 Datos Completos'!$I$7:$I$5000, '📈 Datos Completos'!$B$7:$B$5000, B242, '📈 Datos Completos'!$D$7:$D$5000, C242))</f>
        <v/>
      </c>
      <c r="I242" s="19" t="str">
        <f t="shared" si="28"/>
        <v/>
      </c>
      <c r="J242" s="19" t="str">
        <f t="shared" si="29"/>
        <v/>
      </c>
      <c r="K242" s="19" t="str">
        <f>IF(B242="","",IF(C242="DIA", (SUMIFS('📋 Detalle Diario'!$D$5:$D$489, '📋 Detalle Diario'!$B$5:$B$489, B242, '📋 Detalle Diario'!$C$5:$C$489, C242) * '⚙️ Supuestos'!$C$24) + '⚙️ Supuestos'!$C$23, (SUMIFS('📋 Detalle Diario'!$D$5:$D$489, '📋 Detalle Diario'!$B$5:$B$489, B242, '📋 Detalle Diario'!$C$5:$C$489, C242) * '⚙️ Supuestos'!$C$24) + '⚙️ Supuestos'!$C$33))</f>
        <v/>
      </c>
      <c r="L242" s="19" t="str">
        <f t="shared" si="30"/>
        <v/>
      </c>
      <c r="M242" s="20" t="str">
        <f t="shared" si="31"/>
        <v/>
      </c>
      <c r="N242" s="19" t="str">
        <f t="shared" si="32"/>
        <v/>
      </c>
      <c r="O242" s="27" t="str">
        <f t="shared" si="33"/>
        <v/>
      </c>
      <c r="P242" s="19" t="str">
        <f t="shared" si="34"/>
        <v/>
      </c>
      <c r="Q242" s="19" t="str">
        <f>IF(B242="","",J242-P242+(SUMIFS('📋 Detalle Diario'!$E$5:$E$489, '📋 Detalle Diario'!$B$5:$B$489, B242, '📋 Detalle Diario'!$C$5:$C$489, C242)*135)+(SUMIFS('📋 Detalle Diario'!$I$5:$I$489, '📋 Detalle Diario'!$B$5:$B$489, B242, '📋 Detalle Diario'!$C$5:$C$489, C242)*200))</f>
        <v/>
      </c>
      <c r="R242" s="20" t="str">
        <f t="shared" si="35"/>
        <v/>
      </c>
    </row>
    <row r="243" spans="2:18" ht="18" customHeight="1" x14ac:dyDescent="0.3">
      <c r="B243" s="24"/>
      <c r="C243" s="25"/>
      <c r="D243" s="18" t="str">
        <f>IF(B243="","",SUMIFS('📈 Datos Completos'!$E$7:$E$5000, '📈 Datos Completos'!$B$7:$B$5000, B243, '📈 Datos Completos'!$D$7:$D$5000, C243))</f>
        <v/>
      </c>
      <c r="E243" s="18" t="str">
        <f>IF(B243="","",SUMIFS('📈 Datos Completos'!$F$7:$F$5000, '📈 Datos Completos'!$B$7:$B$5000, B243, '📈 Datos Completos'!$D$7:$D$5000, C243))</f>
        <v/>
      </c>
      <c r="F243" s="18" t="str">
        <f>IF(B243="","",SUMIFS('📈 Datos Completos'!$G$7:$G$5000, '📈 Datos Completos'!$B$7:$B$5000, B243, '📈 Datos Completos'!$D$7:$D$5000, C243))</f>
        <v/>
      </c>
      <c r="G243" s="18" t="str">
        <f t="shared" si="27"/>
        <v/>
      </c>
      <c r="H243" s="19" t="str">
        <f>IF(B243="","",SUMIFS('📈 Datos Completos'!$I$7:$I$5000, '📈 Datos Completos'!$B$7:$B$5000, B243, '📈 Datos Completos'!$D$7:$D$5000, C243))</f>
        <v/>
      </c>
      <c r="I243" s="19" t="str">
        <f t="shared" si="28"/>
        <v/>
      </c>
      <c r="J243" s="19" t="str">
        <f t="shared" si="29"/>
        <v/>
      </c>
      <c r="K243" s="19" t="str">
        <f>IF(B243="","",IF(C243="DIA", (SUMIFS('📋 Detalle Diario'!$D$5:$D$489, '📋 Detalle Diario'!$B$5:$B$489, B243, '📋 Detalle Diario'!$C$5:$C$489, C243) * '⚙️ Supuestos'!$C$24) + '⚙️ Supuestos'!$C$23, (SUMIFS('📋 Detalle Diario'!$D$5:$D$489, '📋 Detalle Diario'!$B$5:$B$489, B243, '📋 Detalle Diario'!$C$5:$C$489, C243) * '⚙️ Supuestos'!$C$24) + '⚙️ Supuestos'!$C$33))</f>
        <v/>
      </c>
      <c r="L243" s="19" t="str">
        <f t="shared" si="30"/>
        <v/>
      </c>
      <c r="M243" s="20" t="str">
        <f t="shared" si="31"/>
        <v/>
      </c>
      <c r="N243" s="19" t="str">
        <f t="shared" si="32"/>
        <v/>
      </c>
      <c r="O243" s="25" t="str">
        <f t="shared" si="33"/>
        <v/>
      </c>
      <c r="P243" s="19" t="str">
        <f t="shared" si="34"/>
        <v/>
      </c>
      <c r="Q243" s="19" t="str">
        <f>IF(B243="","",J243-P243+(SUMIFS('📋 Detalle Diario'!$E$5:$E$489, '📋 Detalle Diario'!$B$5:$B$489, B243, '📋 Detalle Diario'!$C$5:$C$489, C243)*135)+(SUMIFS('📋 Detalle Diario'!$I$5:$I$489, '📋 Detalle Diario'!$B$5:$B$489, B243, '📋 Detalle Diario'!$C$5:$C$489, C243)*200))</f>
        <v/>
      </c>
      <c r="R243" s="20" t="str">
        <f t="shared" si="35"/>
        <v/>
      </c>
    </row>
    <row r="244" spans="2:18" ht="18" customHeight="1" x14ac:dyDescent="0.3">
      <c r="B244" s="26"/>
      <c r="C244" s="27"/>
      <c r="D244" s="18" t="str">
        <f>IF(B244="","",SUMIFS('📈 Datos Completos'!$E$7:$E$5000, '📈 Datos Completos'!$B$7:$B$5000, B244, '📈 Datos Completos'!$D$7:$D$5000, C244))</f>
        <v/>
      </c>
      <c r="E244" s="18" t="str">
        <f>IF(B244="","",SUMIFS('📈 Datos Completos'!$F$7:$F$5000, '📈 Datos Completos'!$B$7:$B$5000, B244, '📈 Datos Completos'!$D$7:$D$5000, C244))</f>
        <v/>
      </c>
      <c r="F244" s="18" t="str">
        <f>IF(B244="","",SUMIFS('📈 Datos Completos'!$G$7:$G$5000, '📈 Datos Completos'!$B$7:$B$5000, B244, '📈 Datos Completos'!$D$7:$D$5000, C244))</f>
        <v/>
      </c>
      <c r="G244" s="18" t="str">
        <f t="shared" si="27"/>
        <v/>
      </c>
      <c r="H244" s="19" t="str">
        <f>IF(B244="","",SUMIFS('📈 Datos Completos'!$I$7:$I$5000, '📈 Datos Completos'!$B$7:$B$5000, B244, '📈 Datos Completos'!$D$7:$D$5000, C244))</f>
        <v/>
      </c>
      <c r="I244" s="19" t="str">
        <f t="shared" si="28"/>
        <v/>
      </c>
      <c r="J244" s="19" t="str">
        <f t="shared" si="29"/>
        <v/>
      </c>
      <c r="K244" s="19" t="str">
        <f>IF(B244="","",IF(C244="DIA", (SUMIFS('📋 Detalle Diario'!$D$5:$D$489, '📋 Detalle Diario'!$B$5:$B$489, B244, '📋 Detalle Diario'!$C$5:$C$489, C244) * '⚙️ Supuestos'!$C$24) + '⚙️ Supuestos'!$C$23, (SUMIFS('📋 Detalle Diario'!$D$5:$D$489, '📋 Detalle Diario'!$B$5:$B$489, B244, '📋 Detalle Diario'!$C$5:$C$489, C244) * '⚙️ Supuestos'!$C$24) + '⚙️ Supuestos'!$C$33))</f>
        <v/>
      </c>
      <c r="L244" s="19" t="str">
        <f t="shared" si="30"/>
        <v/>
      </c>
      <c r="M244" s="20" t="str">
        <f t="shared" si="31"/>
        <v/>
      </c>
      <c r="N244" s="19" t="str">
        <f t="shared" si="32"/>
        <v/>
      </c>
      <c r="O244" s="27" t="str">
        <f t="shared" si="33"/>
        <v/>
      </c>
      <c r="P244" s="19" t="str">
        <f t="shared" si="34"/>
        <v/>
      </c>
      <c r="Q244" s="19" t="str">
        <f>IF(B244="","",J244-P244+(SUMIFS('📋 Detalle Diario'!$E$5:$E$489, '📋 Detalle Diario'!$B$5:$B$489, B244, '📋 Detalle Diario'!$C$5:$C$489, C244)*135)+(SUMIFS('📋 Detalle Diario'!$I$5:$I$489, '📋 Detalle Diario'!$B$5:$B$489, B244, '📋 Detalle Diario'!$C$5:$C$489, C244)*200))</f>
        <v/>
      </c>
      <c r="R244" s="20" t="str">
        <f t="shared" si="35"/>
        <v/>
      </c>
    </row>
    <row r="245" spans="2:18" ht="18" customHeight="1" x14ac:dyDescent="0.3">
      <c r="B245" s="24"/>
      <c r="C245" s="25"/>
      <c r="D245" s="18" t="str">
        <f>IF(B245="","",SUMIFS('📈 Datos Completos'!$E$7:$E$5000, '📈 Datos Completos'!$B$7:$B$5000, B245, '📈 Datos Completos'!$D$7:$D$5000, C245))</f>
        <v/>
      </c>
      <c r="E245" s="18" t="str">
        <f>IF(B245="","",SUMIFS('📈 Datos Completos'!$F$7:$F$5000, '📈 Datos Completos'!$B$7:$B$5000, B245, '📈 Datos Completos'!$D$7:$D$5000, C245))</f>
        <v/>
      </c>
      <c r="F245" s="18" t="str">
        <f>IF(B245="","",SUMIFS('📈 Datos Completos'!$G$7:$G$5000, '📈 Datos Completos'!$B$7:$B$5000, B245, '📈 Datos Completos'!$D$7:$D$5000, C245))</f>
        <v/>
      </c>
      <c r="G245" s="18" t="str">
        <f t="shared" si="27"/>
        <v/>
      </c>
      <c r="H245" s="19" t="str">
        <f>IF(B245="","",SUMIFS('📈 Datos Completos'!$I$7:$I$5000, '📈 Datos Completos'!$B$7:$B$5000, B245, '📈 Datos Completos'!$D$7:$D$5000, C245))</f>
        <v/>
      </c>
      <c r="I245" s="19" t="str">
        <f t="shared" si="28"/>
        <v/>
      </c>
      <c r="J245" s="19" t="str">
        <f t="shared" si="29"/>
        <v/>
      </c>
      <c r="K245" s="19" t="str">
        <f>IF(B245="","",IF(C245="DIA", (SUMIFS('📋 Detalle Diario'!$D$5:$D$489, '📋 Detalle Diario'!$B$5:$B$489, B245, '📋 Detalle Diario'!$C$5:$C$489, C245) * '⚙️ Supuestos'!$C$24) + '⚙️ Supuestos'!$C$23, (SUMIFS('📋 Detalle Diario'!$D$5:$D$489, '📋 Detalle Diario'!$B$5:$B$489, B245, '📋 Detalle Diario'!$C$5:$C$489, C245) * '⚙️ Supuestos'!$C$24) + '⚙️ Supuestos'!$C$33))</f>
        <v/>
      </c>
      <c r="L245" s="19" t="str">
        <f t="shared" si="30"/>
        <v/>
      </c>
      <c r="M245" s="20" t="str">
        <f t="shared" si="31"/>
        <v/>
      </c>
      <c r="N245" s="19" t="str">
        <f t="shared" si="32"/>
        <v/>
      </c>
      <c r="O245" s="25" t="str">
        <f t="shared" si="33"/>
        <v/>
      </c>
      <c r="P245" s="19" t="str">
        <f t="shared" si="34"/>
        <v/>
      </c>
      <c r="Q245" s="19" t="str">
        <f>IF(B245="","",J245-P245+(SUMIFS('📋 Detalle Diario'!$E$5:$E$489, '📋 Detalle Diario'!$B$5:$B$489, B245, '📋 Detalle Diario'!$C$5:$C$489, C245)*135)+(SUMIFS('📋 Detalle Diario'!$I$5:$I$489, '📋 Detalle Diario'!$B$5:$B$489, B245, '📋 Detalle Diario'!$C$5:$C$489, C245)*200))</f>
        <v/>
      </c>
      <c r="R245" s="20" t="str">
        <f t="shared" si="35"/>
        <v/>
      </c>
    </row>
    <row r="246" spans="2:18" ht="18" customHeight="1" x14ac:dyDescent="0.3">
      <c r="B246" s="26"/>
      <c r="C246" s="27"/>
      <c r="D246" s="18" t="str">
        <f>IF(B246="","",SUMIFS('📈 Datos Completos'!$E$7:$E$5000, '📈 Datos Completos'!$B$7:$B$5000, B246, '📈 Datos Completos'!$D$7:$D$5000, C246))</f>
        <v/>
      </c>
      <c r="E246" s="18" t="str">
        <f>IF(B246="","",SUMIFS('📈 Datos Completos'!$F$7:$F$5000, '📈 Datos Completos'!$B$7:$B$5000, B246, '📈 Datos Completos'!$D$7:$D$5000, C246))</f>
        <v/>
      </c>
      <c r="F246" s="18" t="str">
        <f>IF(B246="","",SUMIFS('📈 Datos Completos'!$G$7:$G$5000, '📈 Datos Completos'!$B$7:$B$5000, B246, '📈 Datos Completos'!$D$7:$D$5000, C246))</f>
        <v/>
      </c>
      <c r="G246" s="18" t="str">
        <f t="shared" si="27"/>
        <v/>
      </c>
      <c r="H246" s="19" t="str">
        <f>IF(B246="","",SUMIFS('📈 Datos Completos'!$I$7:$I$5000, '📈 Datos Completos'!$B$7:$B$5000, B246, '📈 Datos Completos'!$D$7:$D$5000, C246))</f>
        <v/>
      </c>
      <c r="I246" s="19" t="str">
        <f t="shared" si="28"/>
        <v/>
      </c>
      <c r="J246" s="19" t="str">
        <f t="shared" si="29"/>
        <v/>
      </c>
      <c r="K246" s="19" t="str">
        <f>IF(B246="","",IF(C246="DIA", (SUMIFS('📋 Detalle Diario'!$D$5:$D$489, '📋 Detalle Diario'!$B$5:$B$489, B246, '📋 Detalle Diario'!$C$5:$C$489, C246) * '⚙️ Supuestos'!$C$24) + '⚙️ Supuestos'!$C$23, (SUMIFS('📋 Detalle Diario'!$D$5:$D$489, '📋 Detalle Diario'!$B$5:$B$489, B246, '📋 Detalle Diario'!$C$5:$C$489, C246) * '⚙️ Supuestos'!$C$24) + '⚙️ Supuestos'!$C$33))</f>
        <v/>
      </c>
      <c r="L246" s="19" t="str">
        <f t="shared" si="30"/>
        <v/>
      </c>
      <c r="M246" s="20" t="str">
        <f t="shared" si="31"/>
        <v/>
      </c>
      <c r="N246" s="19" t="str">
        <f t="shared" si="32"/>
        <v/>
      </c>
      <c r="O246" s="27" t="str">
        <f t="shared" si="33"/>
        <v/>
      </c>
      <c r="P246" s="19" t="str">
        <f t="shared" si="34"/>
        <v/>
      </c>
      <c r="Q246" s="19" t="str">
        <f>IF(B246="","",J246-P246+(SUMIFS('📋 Detalle Diario'!$E$5:$E$489, '📋 Detalle Diario'!$B$5:$B$489, B246, '📋 Detalle Diario'!$C$5:$C$489, C246)*135)+(SUMIFS('📋 Detalle Diario'!$I$5:$I$489, '📋 Detalle Diario'!$B$5:$B$489, B246, '📋 Detalle Diario'!$C$5:$C$489, C246)*200))</f>
        <v/>
      </c>
      <c r="R246" s="20" t="str">
        <f t="shared" si="35"/>
        <v/>
      </c>
    </row>
    <row r="247" spans="2:18" ht="18" customHeight="1" x14ac:dyDescent="0.3">
      <c r="B247" s="24"/>
      <c r="C247" s="25"/>
      <c r="D247" s="18" t="str">
        <f>IF(B247="","",SUMIFS('📈 Datos Completos'!$E$7:$E$5000, '📈 Datos Completos'!$B$7:$B$5000, B247, '📈 Datos Completos'!$D$7:$D$5000, C247))</f>
        <v/>
      </c>
      <c r="E247" s="18" t="str">
        <f>IF(B247="","",SUMIFS('📈 Datos Completos'!$F$7:$F$5000, '📈 Datos Completos'!$B$7:$B$5000, B247, '📈 Datos Completos'!$D$7:$D$5000, C247))</f>
        <v/>
      </c>
      <c r="F247" s="18" t="str">
        <f>IF(B247="","",SUMIFS('📈 Datos Completos'!$G$7:$G$5000, '📈 Datos Completos'!$B$7:$B$5000, B247, '📈 Datos Completos'!$D$7:$D$5000, C247))</f>
        <v/>
      </c>
      <c r="G247" s="18" t="str">
        <f t="shared" si="27"/>
        <v/>
      </c>
      <c r="H247" s="19" t="str">
        <f>IF(B247="","",SUMIFS('📈 Datos Completos'!$I$7:$I$5000, '📈 Datos Completos'!$B$7:$B$5000, B247, '📈 Datos Completos'!$D$7:$D$5000, C247))</f>
        <v/>
      </c>
      <c r="I247" s="19" t="str">
        <f t="shared" si="28"/>
        <v/>
      </c>
      <c r="J247" s="19" t="str">
        <f t="shared" si="29"/>
        <v/>
      </c>
      <c r="K247" s="19" t="str">
        <f>IF(B247="","",IF(C247="DIA", (SUMIFS('📋 Detalle Diario'!$D$5:$D$489, '📋 Detalle Diario'!$B$5:$B$489, B247, '📋 Detalle Diario'!$C$5:$C$489, C247) * '⚙️ Supuestos'!$C$24) + '⚙️ Supuestos'!$C$23, (SUMIFS('📋 Detalle Diario'!$D$5:$D$489, '📋 Detalle Diario'!$B$5:$B$489, B247, '📋 Detalle Diario'!$C$5:$C$489, C247) * '⚙️ Supuestos'!$C$24) + '⚙️ Supuestos'!$C$33))</f>
        <v/>
      </c>
      <c r="L247" s="19" t="str">
        <f t="shared" si="30"/>
        <v/>
      </c>
      <c r="M247" s="20" t="str">
        <f t="shared" si="31"/>
        <v/>
      </c>
      <c r="N247" s="19" t="str">
        <f t="shared" si="32"/>
        <v/>
      </c>
      <c r="O247" s="25" t="str">
        <f t="shared" si="33"/>
        <v/>
      </c>
      <c r="P247" s="19" t="str">
        <f t="shared" si="34"/>
        <v/>
      </c>
      <c r="Q247" s="19" t="str">
        <f>IF(B247="","",J247-P247+(SUMIFS('📋 Detalle Diario'!$E$5:$E$489, '📋 Detalle Diario'!$B$5:$B$489, B247, '📋 Detalle Diario'!$C$5:$C$489, C247)*135)+(SUMIFS('📋 Detalle Diario'!$I$5:$I$489, '📋 Detalle Diario'!$B$5:$B$489, B247, '📋 Detalle Diario'!$C$5:$C$489, C247)*200))</f>
        <v/>
      </c>
      <c r="R247" s="20" t="str">
        <f t="shared" si="35"/>
        <v/>
      </c>
    </row>
    <row r="248" spans="2:18" ht="18" customHeight="1" x14ac:dyDescent="0.3">
      <c r="B248" s="26"/>
      <c r="C248" s="27"/>
      <c r="D248" s="18" t="str">
        <f>IF(B248="","",SUMIFS('📈 Datos Completos'!$E$7:$E$5000, '📈 Datos Completos'!$B$7:$B$5000, B248, '📈 Datos Completos'!$D$7:$D$5000, C248))</f>
        <v/>
      </c>
      <c r="E248" s="18" t="str">
        <f>IF(B248="","",SUMIFS('📈 Datos Completos'!$F$7:$F$5000, '📈 Datos Completos'!$B$7:$B$5000, B248, '📈 Datos Completos'!$D$7:$D$5000, C248))</f>
        <v/>
      </c>
      <c r="F248" s="18" t="str">
        <f>IF(B248="","",SUMIFS('📈 Datos Completos'!$G$7:$G$5000, '📈 Datos Completos'!$B$7:$B$5000, B248, '📈 Datos Completos'!$D$7:$D$5000, C248))</f>
        <v/>
      </c>
      <c r="G248" s="18" t="str">
        <f t="shared" si="27"/>
        <v/>
      </c>
      <c r="H248" s="19" t="str">
        <f>IF(B248="","",SUMIFS('📈 Datos Completos'!$I$7:$I$5000, '📈 Datos Completos'!$B$7:$B$5000, B248, '📈 Datos Completos'!$D$7:$D$5000, C248))</f>
        <v/>
      </c>
      <c r="I248" s="19" t="str">
        <f t="shared" si="28"/>
        <v/>
      </c>
      <c r="J248" s="19" t="str">
        <f t="shared" si="29"/>
        <v/>
      </c>
      <c r="K248" s="19" t="str">
        <f>IF(B248="","",IF(C248="DIA", (SUMIFS('📋 Detalle Diario'!$D$5:$D$489, '📋 Detalle Diario'!$B$5:$B$489, B248, '📋 Detalle Diario'!$C$5:$C$489, C248) * '⚙️ Supuestos'!$C$24) + '⚙️ Supuestos'!$C$23, (SUMIFS('📋 Detalle Diario'!$D$5:$D$489, '📋 Detalle Diario'!$B$5:$B$489, B248, '📋 Detalle Diario'!$C$5:$C$489, C248) * '⚙️ Supuestos'!$C$24) + '⚙️ Supuestos'!$C$33))</f>
        <v/>
      </c>
      <c r="L248" s="19" t="str">
        <f t="shared" si="30"/>
        <v/>
      </c>
      <c r="M248" s="20" t="str">
        <f t="shared" si="31"/>
        <v/>
      </c>
      <c r="N248" s="19" t="str">
        <f t="shared" si="32"/>
        <v/>
      </c>
      <c r="O248" s="27" t="str">
        <f t="shared" si="33"/>
        <v/>
      </c>
      <c r="P248" s="19" t="str">
        <f t="shared" si="34"/>
        <v/>
      </c>
      <c r="Q248" s="19" t="str">
        <f>IF(B248="","",J248-P248+(SUMIFS('📋 Detalle Diario'!$E$5:$E$489, '📋 Detalle Diario'!$B$5:$B$489, B248, '📋 Detalle Diario'!$C$5:$C$489, C248)*135)+(SUMIFS('📋 Detalle Diario'!$I$5:$I$489, '📋 Detalle Diario'!$B$5:$B$489, B248, '📋 Detalle Diario'!$C$5:$C$489, C248)*200))</f>
        <v/>
      </c>
      <c r="R248" s="20" t="str">
        <f t="shared" si="35"/>
        <v/>
      </c>
    </row>
    <row r="249" spans="2:18" ht="18" customHeight="1" x14ac:dyDescent="0.3">
      <c r="B249" s="24"/>
      <c r="C249" s="25"/>
      <c r="D249" s="18" t="str">
        <f>IF(B249="","",SUMIFS('📈 Datos Completos'!$E$7:$E$5000, '📈 Datos Completos'!$B$7:$B$5000, B249, '📈 Datos Completos'!$D$7:$D$5000, C249))</f>
        <v/>
      </c>
      <c r="E249" s="18" t="str">
        <f>IF(B249="","",SUMIFS('📈 Datos Completos'!$F$7:$F$5000, '📈 Datos Completos'!$B$7:$B$5000, B249, '📈 Datos Completos'!$D$7:$D$5000, C249))</f>
        <v/>
      </c>
      <c r="F249" s="18" t="str">
        <f>IF(B249="","",SUMIFS('📈 Datos Completos'!$G$7:$G$5000, '📈 Datos Completos'!$B$7:$B$5000, B249, '📈 Datos Completos'!$D$7:$D$5000, C249))</f>
        <v/>
      </c>
      <c r="G249" s="18" t="str">
        <f t="shared" si="27"/>
        <v/>
      </c>
      <c r="H249" s="19" t="str">
        <f>IF(B249="","",SUMIFS('📈 Datos Completos'!$I$7:$I$5000, '📈 Datos Completos'!$B$7:$B$5000, B249, '📈 Datos Completos'!$D$7:$D$5000, C249))</f>
        <v/>
      </c>
      <c r="I249" s="19" t="str">
        <f t="shared" si="28"/>
        <v/>
      </c>
      <c r="J249" s="19" t="str">
        <f t="shared" si="29"/>
        <v/>
      </c>
      <c r="K249" s="19" t="str">
        <f>IF(B249="","",IF(C249="DIA", (SUMIFS('📋 Detalle Diario'!$D$5:$D$489, '📋 Detalle Diario'!$B$5:$B$489, B249, '📋 Detalle Diario'!$C$5:$C$489, C249) * '⚙️ Supuestos'!$C$24) + '⚙️ Supuestos'!$C$23, (SUMIFS('📋 Detalle Diario'!$D$5:$D$489, '📋 Detalle Diario'!$B$5:$B$489, B249, '📋 Detalle Diario'!$C$5:$C$489, C249) * '⚙️ Supuestos'!$C$24) + '⚙️ Supuestos'!$C$33))</f>
        <v/>
      </c>
      <c r="L249" s="19" t="str">
        <f t="shared" si="30"/>
        <v/>
      </c>
      <c r="M249" s="20" t="str">
        <f t="shared" si="31"/>
        <v/>
      </c>
      <c r="N249" s="19" t="str">
        <f t="shared" si="32"/>
        <v/>
      </c>
      <c r="O249" s="25" t="str">
        <f t="shared" si="33"/>
        <v/>
      </c>
      <c r="P249" s="19" t="str">
        <f t="shared" si="34"/>
        <v/>
      </c>
      <c r="Q249" s="19" t="str">
        <f>IF(B249="","",J249-P249+(SUMIFS('📋 Detalle Diario'!$E$5:$E$489, '📋 Detalle Diario'!$B$5:$B$489, B249, '📋 Detalle Diario'!$C$5:$C$489, C249)*135)+(SUMIFS('📋 Detalle Diario'!$I$5:$I$489, '📋 Detalle Diario'!$B$5:$B$489, B249, '📋 Detalle Diario'!$C$5:$C$489, C249)*200))</f>
        <v/>
      </c>
      <c r="R249" s="20" t="str">
        <f t="shared" si="35"/>
        <v/>
      </c>
    </row>
    <row r="250" spans="2:18" ht="18" customHeight="1" x14ac:dyDescent="0.3">
      <c r="B250" s="26"/>
      <c r="C250" s="27"/>
      <c r="D250" s="18" t="str">
        <f>IF(B250="","",SUMIFS('📈 Datos Completos'!$E$7:$E$5000, '📈 Datos Completos'!$B$7:$B$5000, B250, '📈 Datos Completos'!$D$7:$D$5000, C250))</f>
        <v/>
      </c>
      <c r="E250" s="18" t="str">
        <f>IF(B250="","",SUMIFS('📈 Datos Completos'!$F$7:$F$5000, '📈 Datos Completos'!$B$7:$B$5000, B250, '📈 Datos Completos'!$D$7:$D$5000, C250))</f>
        <v/>
      </c>
      <c r="F250" s="18" t="str">
        <f>IF(B250="","",SUMIFS('📈 Datos Completos'!$G$7:$G$5000, '📈 Datos Completos'!$B$7:$B$5000, B250, '📈 Datos Completos'!$D$7:$D$5000, C250))</f>
        <v/>
      </c>
      <c r="G250" s="18" t="str">
        <f t="shared" si="27"/>
        <v/>
      </c>
      <c r="H250" s="19" t="str">
        <f>IF(B250="","",SUMIFS('📈 Datos Completos'!$I$7:$I$5000, '📈 Datos Completos'!$B$7:$B$5000, B250, '📈 Datos Completos'!$D$7:$D$5000, C250))</f>
        <v/>
      </c>
      <c r="I250" s="19" t="str">
        <f t="shared" si="28"/>
        <v/>
      </c>
      <c r="J250" s="19" t="str">
        <f t="shared" si="29"/>
        <v/>
      </c>
      <c r="K250" s="19" t="str">
        <f>IF(B250="","",IF(C250="DIA", (SUMIFS('📋 Detalle Diario'!$D$5:$D$489, '📋 Detalle Diario'!$B$5:$B$489, B250, '📋 Detalle Diario'!$C$5:$C$489, C250) * '⚙️ Supuestos'!$C$24) + '⚙️ Supuestos'!$C$23, (SUMIFS('📋 Detalle Diario'!$D$5:$D$489, '📋 Detalle Diario'!$B$5:$B$489, B250, '📋 Detalle Diario'!$C$5:$C$489, C250) * '⚙️ Supuestos'!$C$24) + '⚙️ Supuestos'!$C$33))</f>
        <v/>
      </c>
      <c r="L250" s="19" t="str">
        <f t="shared" si="30"/>
        <v/>
      </c>
      <c r="M250" s="20" t="str">
        <f t="shared" si="31"/>
        <v/>
      </c>
      <c r="N250" s="19" t="str">
        <f t="shared" si="32"/>
        <v/>
      </c>
      <c r="O250" s="27" t="str">
        <f t="shared" si="33"/>
        <v/>
      </c>
      <c r="P250" s="19" t="str">
        <f t="shared" si="34"/>
        <v/>
      </c>
      <c r="Q250" s="19" t="str">
        <f>IF(B250="","",J250-P250+(SUMIFS('📋 Detalle Diario'!$E$5:$E$489, '📋 Detalle Diario'!$B$5:$B$489, B250, '📋 Detalle Diario'!$C$5:$C$489, C250)*135)+(SUMIFS('📋 Detalle Diario'!$I$5:$I$489, '📋 Detalle Diario'!$B$5:$B$489, B250, '📋 Detalle Diario'!$C$5:$C$489, C250)*200))</f>
        <v/>
      </c>
      <c r="R250" s="20" t="str">
        <f t="shared" si="35"/>
        <v/>
      </c>
    </row>
    <row r="251" spans="2:18" ht="18" customHeight="1" x14ac:dyDescent="0.3">
      <c r="B251" s="24"/>
      <c r="C251" s="25"/>
      <c r="D251" s="18" t="str">
        <f>IF(B251="","",SUMIFS('📈 Datos Completos'!$E$7:$E$5000, '📈 Datos Completos'!$B$7:$B$5000, B251, '📈 Datos Completos'!$D$7:$D$5000, C251))</f>
        <v/>
      </c>
      <c r="E251" s="18" t="str">
        <f>IF(B251="","",SUMIFS('📈 Datos Completos'!$F$7:$F$5000, '📈 Datos Completos'!$B$7:$B$5000, B251, '📈 Datos Completos'!$D$7:$D$5000, C251))</f>
        <v/>
      </c>
      <c r="F251" s="18" t="str">
        <f>IF(B251="","",SUMIFS('📈 Datos Completos'!$G$7:$G$5000, '📈 Datos Completos'!$B$7:$B$5000, B251, '📈 Datos Completos'!$D$7:$D$5000, C251))</f>
        <v/>
      </c>
      <c r="G251" s="18" t="str">
        <f t="shared" si="27"/>
        <v/>
      </c>
      <c r="H251" s="19" t="str">
        <f>IF(B251="","",SUMIFS('📈 Datos Completos'!$I$7:$I$5000, '📈 Datos Completos'!$B$7:$B$5000, B251, '📈 Datos Completos'!$D$7:$D$5000, C251))</f>
        <v/>
      </c>
      <c r="I251" s="19" t="str">
        <f t="shared" si="28"/>
        <v/>
      </c>
      <c r="J251" s="19" t="str">
        <f t="shared" si="29"/>
        <v/>
      </c>
      <c r="K251" s="19" t="str">
        <f>IF(B251="","",IF(C251="DIA", (SUMIFS('📋 Detalle Diario'!$D$5:$D$489, '📋 Detalle Diario'!$B$5:$B$489, B251, '📋 Detalle Diario'!$C$5:$C$489, C251) * '⚙️ Supuestos'!$C$24) + '⚙️ Supuestos'!$C$23, (SUMIFS('📋 Detalle Diario'!$D$5:$D$489, '📋 Detalle Diario'!$B$5:$B$489, B251, '📋 Detalle Diario'!$C$5:$C$489, C251) * '⚙️ Supuestos'!$C$24) + '⚙️ Supuestos'!$C$33))</f>
        <v/>
      </c>
      <c r="L251" s="19" t="str">
        <f t="shared" si="30"/>
        <v/>
      </c>
      <c r="M251" s="20" t="str">
        <f t="shared" si="31"/>
        <v/>
      </c>
      <c r="N251" s="19" t="str">
        <f t="shared" si="32"/>
        <v/>
      </c>
      <c r="O251" s="25" t="str">
        <f t="shared" si="33"/>
        <v/>
      </c>
      <c r="P251" s="19" t="str">
        <f t="shared" si="34"/>
        <v/>
      </c>
      <c r="Q251" s="19" t="str">
        <f>IF(B251="","",J251-P251+(SUMIFS('📋 Detalle Diario'!$E$5:$E$489, '📋 Detalle Diario'!$B$5:$B$489, B251, '📋 Detalle Diario'!$C$5:$C$489, C251)*135)+(SUMIFS('📋 Detalle Diario'!$I$5:$I$489, '📋 Detalle Diario'!$B$5:$B$489, B251, '📋 Detalle Diario'!$C$5:$C$489, C251)*200))</f>
        <v/>
      </c>
      <c r="R251" s="20" t="str">
        <f t="shared" si="35"/>
        <v/>
      </c>
    </row>
    <row r="252" spans="2:18" ht="18" customHeight="1" x14ac:dyDescent="0.3">
      <c r="B252" s="26"/>
      <c r="C252" s="27"/>
      <c r="D252" s="18" t="str">
        <f>IF(B252="","",SUMIFS('📈 Datos Completos'!$E$7:$E$5000, '📈 Datos Completos'!$B$7:$B$5000, B252, '📈 Datos Completos'!$D$7:$D$5000, C252))</f>
        <v/>
      </c>
      <c r="E252" s="18" t="str">
        <f>IF(B252="","",SUMIFS('📈 Datos Completos'!$F$7:$F$5000, '📈 Datos Completos'!$B$7:$B$5000, B252, '📈 Datos Completos'!$D$7:$D$5000, C252))</f>
        <v/>
      </c>
      <c r="F252" s="18" t="str">
        <f>IF(B252="","",SUMIFS('📈 Datos Completos'!$G$7:$G$5000, '📈 Datos Completos'!$B$7:$B$5000, B252, '📈 Datos Completos'!$D$7:$D$5000, C252))</f>
        <v/>
      </c>
      <c r="G252" s="18" t="str">
        <f t="shared" si="27"/>
        <v/>
      </c>
      <c r="H252" s="19" t="str">
        <f>IF(B252="","",SUMIFS('📈 Datos Completos'!$I$7:$I$5000, '📈 Datos Completos'!$B$7:$B$5000, B252, '📈 Datos Completos'!$D$7:$D$5000, C252))</f>
        <v/>
      </c>
      <c r="I252" s="19" t="str">
        <f t="shared" si="28"/>
        <v/>
      </c>
      <c r="J252" s="19" t="str">
        <f t="shared" si="29"/>
        <v/>
      </c>
      <c r="K252" s="19" t="str">
        <f>IF(B252="","",IF(C252="DIA", (SUMIFS('📋 Detalle Diario'!$D$5:$D$489, '📋 Detalle Diario'!$B$5:$B$489, B252, '📋 Detalle Diario'!$C$5:$C$489, C252) * '⚙️ Supuestos'!$C$24) + '⚙️ Supuestos'!$C$23, (SUMIFS('📋 Detalle Diario'!$D$5:$D$489, '📋 Detalle Diario'!$B$5:$B$489, B252, '📋 Detalle Diario'!$C$5:$C$489, C252) * '⚙️ Supuestos'!$C$24) + '⚙️ Supuestos'!$C$33))</f>
        <v/>
      </c>
      <c r="L252" s="19" t="str">
        <f t="shared" si="30"/>
        <v/>
      </c>
      <c r="M252" s="20" t="str">
        <f t="shared" si="31"/>
        <v/>
      </c>
      <c r="N252" s="19" t="str">
        <f t="shared" si="32"/>
        <v/>
      </c>
      <c r="O252" s="27" t="str">
        <f t="shared" si="33"/>
        <v/>
      </c>
      <c r="P252" s="19" t="str">
        <f t="shared" si="34"/>
        <v/>
      </c>
      <c r="Q252" s="19" t="str">
        <f>IF(B252="","",J252-P252+(SUMIFS('📋 Detalle Diario'!$E$5:$E$489, '📋 Detalle Diario'!$B$5:$B$489, B252, '📋 Detalle Diario'!$C$5:$C$489, C252)*135)+(SUMIFS('📋 Detalle Diario'!$I$5:$I$489, '📋 Detalle Diario'!$B$5:$B$489, B252, '📋 Detalle Diario'!$C$5:$C$489, C252)*200))</f>
        <v/>
      </c>
      <c r="R252" s="20" t="str">
        <f t="shared" si="35"/>
        <v/>
      </c>
    </row>
    <row r="253" spans="2:18" ht="18" customHeight="1" x14ac:dyDescent="0.3">
      <c r="B253" s="24"/>
      <c r="C253" s="25"/>
      <c r="D253" s="18" t="str">
        <f>IF(B253="","",SUMIFS('📈 Datos Completos'!$E$7:$E$5000, '📈 Datos Completos'!$B$7:$B$5000, B253, '📈 Datos Completos'!$D$7:$D$5000, C253))</f>
        <v/>
      </c>
      <c r="E253" s="18" t="str">
        <f>IF(B253="","",SUMIFS('📈 Datos Completos'!$F$7:$F$5000, '📈 Datos Completos'!$B$7:$B$5000, B253, '📈 Datos Completos'!$D$7:$D$5000, C253))</f>
        <v/>
      </c>
      <c r="F253" s="18" t="str">
        <f>IF(B253="","",SUMIFS('📈 Datos Completos'!$G$7:$G$5000, '📈 Datos Completos'!$B$7:$B$5000, B253, '📈 Datos Completos'!$D$7:$D$5000, C253))</f>
        <v/>
      </c>
      <c r="G253" s="18" t="str">
        <f t="shared" si="27"/>
        <v/>
      </c>
      <c r="H253" s="19" t="str">
        <f>IF(B253="","",SUMIFS('📈 Datos Completos'!$I$7:$I$5000, '📈 Datos Completos'!$B$7:$B$5000, B253, '📈 Datos Completos'!$D$7:$D$5000, C253))</f>
        <v/>
      </c>
      <c r="I253" s="19" t="str">
        <f t="shared" si="28"/>
        <v/>
      </c>
      <c r="J253" s="19" t="str">
        <f t="shared" si="29"/>
        <v/>
      </c>
      <c r="K253" s="19" t="str">
        <f>IF(B253="","",IF(C253="DIA", (SUMIFS('📋 Detalle Diario'!$D$5:$D$489, '📋 Detalle Diario'!$B$5:$B$489, B253, '📋 Detalle Diario'!$C$5:$C$489, C253) * '⚙️ Supuestos'!$C$24) + '⚙️ Supuestos'!$C$23, (SUMIFS('📋 Detalle Diario'!$D$5:$D$489, '📋 Detalle Diario'!$B$5:$B$489, B253, '📋 Detalle Diario'!$C$5:$C$489, C253) * '⚙️ Supuestos'!$C$24) + '⚙️ Supuestos'!$C$33))</f>
        <v/>
      </c>
      <c r="L253" s="19" t="str">
        <f t="shared" si="30"/>
        <v/>
      </c>
      <c r="M253" s="20" t="str">
        <f t="shared" si="31"/>
        <v/>
      </c>
      <c r="N253" s="19" t="str">
        <f t="shared" si="32"/>
        <v/>
      </c>
      <c r="O253" s="25" t="str">
        <f t="shared" si="33"/>
        <v/>
      </c>
      <c r="P253" s="19" t="str">
        <f t="shared" si="34"/>
        <v/>
      </c>
      <c r="Q253" s="19" t="str">
        <f>IF(B253="","",J253-P253+(SUMIFS('📋 Detalle Diario'!$E$5:$E$489, '📋 Detalle Diario'!$B$5:$B$489, B253, '📋 Detalle Diario'!$C$5:$C$489, C253)*135)+(SUMIFS('📋 Detalle Diario'!$I$5:$I$489, '📋 Detalle Diario'!$B$5:$B$489, B253, '📋 Detalle Diario'!$C$5:$C$489, C253)*200))</f>
        <v/>
      </c>
      <c r="R253" s="20" t="str">
        <f t="shared" si="35"/>
        <v/>
      </c>
    </row>
    <row r="254" spans="2:18" ht="18" customHeight="1" x14ac:dyDescent="0.3">
      <c r="B254" s="26"/>
      <c r="C254" s="27"/>
      <c r="D254" s="18" t="str">
        <f>IF(B254="","",SUMIFS('📈 Datos Completos'!$E$7:$E$5000, '📈 Datos Completos'!$B$7:$B$5000, B254, '📈 Datos Completos'!$D$7:$D$5000, C254))</f>
        <v/>
      </c>
      <c r="E254" s="18" t="str">
        <f>IF(B254="","",SUMIFS('📈 Datos Completos'!$F$7:$F$5000, '📈 Datos Completos'!$B$7:$B$5000, B254, '📈 Datos Completos'!$D$7:$D$5000, C254))</f>
        <v/>
      </c>
      <c r="F254" s="18" t="str">
        <f>IF(B254="","",SUMIFS('📈 Datos Completos'!$G$7:$G$5000, '📈 Datos Completos'!$B$7:$B$5000, B254, '📈 Datos Completos'!$D$7:$D$5000, C254))</f>
        <v/>
      </c>
      <c r="G254" s="18" t="str">
        <f t="shared" si="27"/>
        <v/>
      </c>
      <c r="H254" s="19" t="str">
        <f>IF(B254="","",SUMIFS('📈 Datos Completos'!$I$7:$I$5000, '📈 Datos Completos'!$B$7:$B$5000, B254, '📈 Datos Completos'!$D$7:$D$5000, C254))</f>
        <v/>
      </c>
      <c r="I254" s="19" t="str">
        <f t="shared" si="28"/>
        <v/>
      </c>
      <c r="J254" s="19" t="str">
        <f t="shared" si="29"/>
        <v/>
      </c>
      <c r="K254" s="19" t="str">
        <f>IF(B254="","",IF(C254="DIA", (SUMIFS('📋 Detalle Diario'!$D$5:$D$489, '📋 Detalle Diario'!$B$5:$B$489, B254, '📋 Detalle Diario'!$C$5:$C$489, C254) * '⚙️ Supuestos'!$C$24) + '⚙️ Supuestos'!$C$23, (SUMIFS('📋 Detalle Diario'!$D$5:$D$489, '📋 Detalle Diario'!$B$5:$B$489, B254, '📋 Detalle Diario'!$C$5:$C$489, C254) * '⚙️ Supuestos'!$C$24) + '⚙️ Supuestos'!$C$33))</f>
        <v/>
      </c>
      <c r="L254" s="19" t="str">
        <f t="shared" si="30"/>
        <v/>
      </c>
      <c r="M254" s="20" t="str">
        <f t="shared" si="31"/>
        <v/>
      </c>
      <c r="N254" s="19" t="str">
        <f t="shared" si="32"/>
        <v/>
      </c>
      <c r="O254" s="27" t="str">
        <f t="shared" si="33"/>
        <v/>
      </c>
      <c r="P254" s="19" t="str">
        <f t="shared" si="34"/>
        <v/>
      </c>
      <c r="Q254" s="19" t="str">
        <f>IF(B254="","",J254-P254+(SUMIFS('📋 Detalle Diario'!$E$5:$E$489, '📋 Detalle Diario'!$B$5:$B$489, B254, '📋 Detalle Diario'!$C$5:$C$489, C254)*135)+(SUMIFS('📋 Detalle Diario'!$I$5:$I$489, '📋 Detalle Diario'!$B$5:$B$489, B254, '📋 Detalle Diario'!$C$5:$C$489, C254)*200))</f>
        <v/>
      </c>
      <c r="R254" s="20" t="str">
        <f t="shared" si="35"/>
        <v/>
      </c>
    </row>
    <row r="255" spans="2:18" ht="18" customHeight="1" x14ac:dyDescent="0.3">
      <c r="B255" s="24"/>
      <c r="C255" s="25"/>
      <c r="D255" s="18" t="str">
        <f>IF(B255="","",SUMIFS('📈 Datos Completos'!$E$7:$E$5000, '📈 Datos Completos'!$B$7:$B$5000, B255, '📈 Datos Completos'!$D$7:$D$5000, C255))</f>
        <v/>
      </c>
      <c r="E255" s="18" t="str">
        <f>IF(B255="","",SUMIFS('📈 Datos Completos'!$F$7:$F$5000, '📈 Datos Completos'!$B$7:$B$5000, B255, '📈 Datos Completos'!$D$7:$D$5000, C255))</f>
        <v/>
      </c>
      <c r="F255" s="18" t="str">
        <f>IF(B255="","",SUMIFS('📈 Datos Completos'!$G$7:$G$5000, '📈 Datos Completos'!$B$7:$B$5000, B255, '📈 Datos Completos'!$D$7:$D$5000, C255))</f>
        <v/>
      </c>
      <c r="G255" s="18" t="str">
        <f t="shared" si="27"/>
        <v/>
      </c>
      <c r="H255" s="19" t="str">
        <f>IF(B255="","",SUMIFS('📈 Datos Completos'!$I$7:$I$5000, '📈 Datos Completos'!$B$7:$B$5000, B255, '📈 Datos Completos'!$D$7:$D$5000, C255))</f>
        <v/>
      </c>
      <c r="I255" s="19" t="str">
        <f t="shared" si="28"/>
        <v/>
      </c>
      <c r="J255" s="19" t="str">
        <f t="shared" si="29"/>
        <v/>
      </c>
      <c r="K255" s="19" t="str">
        <f>IF(B255="","",IF(C255="DIA", (SUMIFS('📋 Detalle Diario'!$D$5:$D$489, '📋 Detalle Diario'!$B$5:$B$489, B255, '📋 Detalle Diario'!$C$5:$C$489, C255) * '⚙️ Supuestos'!$C$24) + '⚙️ Supuestos'!$C$23, (SUMIFS('📋 Detalle Diario'!$D$5:$D$489, '📋 Detalle Diario'!$B$5:$B$489, B255, '📋 Detalle Diario'!$C$5:$C$489, C255) * '⚙️ Supuestos'!$C$24) + '⚙️ Supuestos'!$C$33))</f>
        <v/>
      </c>
      <c r="L255" s="19" t="str">
        <f t="shared" si="30"/>
        <v/>
      </c>
      <c r="M255" s="20" t="str">
        <f t="shared" si="31"/>
        <v/>
      </c>
      <c r="N255" s="19" t="str">
        <f t="shared" si="32"/>
        <v/>
      </c>
      <c r="O255" s="25" t="str">
        <f t="shared" si="33"/>
        <v/>
      </c>
      <c r="P255" s="19" t="str">
        <f t="shared" si="34"/>
        <v/>
      </c>
      <c r="Q255" s="19" t="str">
        <f>IF(B255="","",J255-P255+(SUMIFS('📋 Detalle Diario'!$E$5:$E$489, '📋 Detalle Diario'!$B$5:$B$489, B255, '📋 Detalle Diario'!$C$5:$C$489, C255)*135)+(SUMIFS('📋 Detalle Diario'!$I$5:$I$489, '📋 Detalle Diario'!$B$5:$B$489, B255, '📋 Detalle Diario'!$C$5:$C$489, C255)*200))</f>
        <v/>
      </c>
      <c r="R255" s="20" t="str">
        <f t="shared" si="35"/>
        <v/>
      </c>
    </row>
    <row r="256" spans="2:18" ht="18" customHeight="1" x14ac:dyDescent="0.3">
      <c r="B256" s="26"/>
      <c r="C256" s="27"/>
      <c r="D256" s="18" t="str">
        <f>IF(B256="","",SUMIFS('📈 Datos Completos'!$E$7:$E$5000, '📈 Datos Completos'!$B$7:$B$5000, B256, '📈 Datos Completos'!$D$7:$D$5000, C256))</f>
        <v/>
      </c>
      <c r="E256" s="18" t="str">
        <f>IF(B256="","",SUMIFS('📈 Datos Completos'!$F$7:$F$5000, '📈 Datos Completos'!$B$7:$B$5000, B256, '📈 Datos Completos'!$D$7:$D$5000, C256))</f>
        <v/>
      </c>
      <c r="F256" s="18" t="str">
        <f>IF(B256="","",SUMIFS('📈 Datos Completos'!$G$7:$G$5000, '📈 Datos Completos'!$B$7:$B$5000, B256, '📈 Datos Completos'!$D$7:$D$5000, C256))</f>
        <v/>
      </c>
      <c r="G256" s="18" t="str">
        <f t="shared" si="27"/>
        <v/>
      </c>
      <c r="H256" s="19" t="str">
        <f>IF(B256="","",SUMIFS('📈 Datos Completos'!$I$7:$I$5000, '📈 Datos Completos'!$B$7:$B$5000, B256, '📈 Datos Completos'!$D$7:$D$5000, C256))</f>
        <v/>
      </c>
      <c r="I256" s="19" t="str">
        <f t="shared" si="28"/>
        <v/>
      </c>
      <c r="J256" s="19" t="str">
        <f t="shared" si="29"/>
        <v/>
      </c>
      <c r="K256" s="19" t="str">
        <f>IF(B256="","",IF(C256="DIA", (SUMIFS('📋 Detalle Diario'!$D$5:$D$489, '📋 Detalle Diario'!$B$5:$B$489, B256, '📋 Detalle Diario'!$C$5:$C$489, C256) * '⚙️ Supuestos'!$C$24) + '⚙️ Supuestos'!$C$23, (SUMIFS('📋 Detalle Diario'!$D$5:$D$489, '📋 Detalle Diario'!$B$5:$B$489, B256, '📋 Detalle Diario'!$C$5:$C$489, C256) * '⚙️ Supuestos'!$C$24) + '⚙️ Supuestos'!$C$33))</f>
        <v/>
      </c>
      <c r="L256" s="19" t="str">
        <f t="shared" si="30"/>
        <v/>
      </c>
      <c r="M256" s="20" t="str">
        <f t="shared" si="31"/>
        <v/>
      </c>
      <c r="N256" s="19" t="str">
        <f t="shared" si="32"/>
        <v/>
      </c>
      <c r="O256" s="27" t="str">
        <f t="shared" si="33"/>
        <v/>
      </c>
      <c r="P256" s="19" t="str">
        <f t="shared" si="34"/>
        <v/>
      </c>
      <c r="Q256" s="19" t="str">
        <f>IF(B256="","",J256-P256+(SUMIFS('📋 Detalle Diario'!$E$5:$E$489, '📋 Detalle Diario'!$B$5:$B$489, B256, '📋 Detalle Diario'!$C$5:$C$489, C256)*135)+(SUMIFS('📋 Detalle Diario'!$I$5:$I$489, '📋 Detalle Diario'!$B$5:$B$489, B256, '📋 Detalle Diario'!$C$5:$C$489, C256)*200))</f>
        <v/>
      </c>
      <c r="R256" s="20" t="str">
        <f t="shared" si="35"/>
        <v/>
      </c>
    </row>
    <row r="257" spans="2:18" ht="18" customHeight="1" x14ac:dyDescent="0.3">
      <c r="B257" s="24"/>
      <c r="C257" s="25"/>
      <c r="D257" s="18" t="str">
        <f>IF(B257="","",SUMIFS('📈 Datos Completos'!$E$7:$E$5000, '📈 Datos Completos'!$B$7:$B$5000, B257, '📈 Datos Completos'!$D$7:$D$5000, C257))</f>
        <v/>
      </c>
      <c r="E257" s="18" t="str">
        <f>IF(B257="","",SUMIFS('📈 Datos Completos'!$F$7:$F$5000, '📈 Datos Completos'!$B$7:$B$5000, B257, '📈 Datos Completos'!$D$7:$D$5000, C257))</f>
        <v/>
      </c>
      <c r="F257" s="18" t="str">
        <f>IF(B257="","",SUMIFS('📈 Datos Completos'!$G$7:$G$5000, '📈 Datos Completos'!$B$7:$B$5000, B257, '📈 Datos Completos'!$D$7:$D$5000, C257))</f>
        <v/>
      </c>
      <c r="G257" s="18" t="str">
        <f t="shared" si="27"/>
        <v/>
      </c>
      <c r="H257" s="19" t="str">
        <f>IF(B257="","",SUMIFS('📈 Datos Completos'!$I$7:$I$5000, '📈 Datos Completos'!$B$7:$B$5000, B257, '📈 Datos Completos'!$D$7:$D$5000, C257))</f>
        <v/>
      </c>
      <c r="I257" s="19" t="str">
        <f t="shared" si="28"/>
        <v/>
      </c>
      <c r="J257" s="19" t="str">
        <f t="shared" si="29"/>
        <v/>
      </c>
      <c r="K257" s="19" t="str">
        <f>IF(B257="","",IF(C257="DIA", (SUMIFS('📋 Detalle Diario'!$D$5:$D$489, '📋 Detalle Diario'!$B$5:$B$489, B257, '📋 Detalle Diario'!$C$5:$C$489, C257) * '⚙️ Supuestos'!$C$24) + '⚙️ Supuestos'!$C$23, (SUMIFS('📋 Detalle Diario'!$D$5:$D$489, '📋 Detalle Diario'!$B$5:$B$489, B257, '📋 Detalle Diario'!$C$5:$C$489, C257) * '⚙️ Supuestos'!$C$24) + '⚙️ Supuestos'!$C$33))</f>
        <v/>
      </c>
      <c r="L257" s="19" t="str">
        <f t="shared" si="30"/>
        <v/>
      </c>
      <c r="M257" s="20" t="str">
        <f t="shared" si="31"/>
        <v/>
      </c>
      <c r="N257" s="19" t="str">
        <f t="shared" si="32"/>
        <v/>
      </c>
      <c r="O257" s="25" t="str">
        <f t="shared" si="33"/>
        <v/>
      </c>
      <c r="P257" s="19" t="str">
        <f t="shared" si="34"/>
        <v/>
      </c>
      <c r="Q257" s="19" t="str">
        <f>IF(B257="","",J257-P257+(SUMIFS('📋 Detalle Diario'!$E$5:$E$489, '📋 Detalle Diario'!$B$5:$B$489, B257, '📋 Detalle Diario'!$C$5:$C$489, C257)*135)+(SUMIFS('📋 Detalle Diario'!$I$5:$I$489, '📋 Detalle Diario'!$B$5:$B$489, B257, '📋 Detalle Diario'!$C$5:$C$489, C257)*200))</f>
        <v/>
      </c>
      <c r="R257" s="20" t="str">
        <f t="shared" si="35"/>
        <v/>
      </c>
    </row>
    <row r="258" spans="2:18" ht="18" customHeight="1" x14ac:dyDescent="0.3">
      <c r="B258" s="26"/>
      <c r="C258" s="27"/>
      <c r="D258" s="18" t="str">
        <f>IF(B258="","",SUMIFS('📈 Datos Completos'!$E$7:$E$5000, '📈 Datos Completos'!$B$7:$B$5000, B258, '📈 Datos Completos'!$D$7:$D$5000, C258))</f>
        <v/>
      </c>
      <c r="E258" s="18" t="str">
        <f>IF(B258="","",SUMIFS('📈 Datos Completos'!$F$7:$F$5000, '📈 Datos Completos'!$B$7:$B$5000, B258, '📈 Datos Completos'!$D$7:$D$5000, C258))</f>
        <v/>
      </c>
      <c r="F258" s="18" t="str">
        <f>IF(B258="","",SUMIFS('📈 Datos Completos'!$G$7:$G$5000, '📈 Datos Completos'!$B$7:$B$5000, B258, '📈 Datos Completos'!$D$7:$D$5000, C258))</f>
        <v/>
      </c>
      <c r="G258" s="18" t="str">
        <f t="shared" si="27"/>
        <v/>
      </c>
      <c r="H258" s="19" t="str">
        <f>IF(B258="","",SUMIFS('📈 Datos Completos'!$I$7:$I$5000, '📈 Datos Completos'!$B$7:$B$5000, B258, '📈 Datos Completos'!$D$7:$D$5000, C258))</f>
        <v/>
      </c>
      <c r="I258" s="19" t="str">
        <f t="shared" si="28"/>
        <v/>
      </c>
      <c r="J258" s="19" t="str">
        <f t="shared" si="29"/>
        <v/>
      </c>
      <c r="K258" s="19" t="str">
        <f>IF(B258="","",IF(C258="DIA", (SUMIFS('📋 Detalle Diario'!$D$5:$D$489, '📋 Detalle Diario'!$B$5:$B$489, B258, '📋 Detalle Diario'!$C$5:$C$489, C258) * '⚙️ Supuestos'!$C$24) + '⚙️ Supuestos'!$C$23, (SUMIFS('📋 Detalle Diario'!$D$5:$D$489, '📋 Detalle Diario'!$B$5:$B$489, B258, '📋 Detalle Diario'!$C$5:$C$489, C258) * '⚙️ Supuestos'!$C$24) + '⚙️ Supuestos'!$C$33))</f>
        <v/>
      </c>
      <c r="L258" s="19" t="str">
        <f t="shared" si="30"/>
        <v/>
      </c>
      <c r="M258" s="20" t="str">
        <f t="shared" si="31"/>
        <v/>
      </c>
      <c r="N258" s="19" t="str">
        <f t="shared" si="32"/>
        <v/>
      </c>
      <c r="O258" s="27" t="str">
        <f t="shared" si="33"/>
        <v/>
      </c>
      <c r="P258" s="19" t="str">
        <f t="shared" si="34"/>
        <v/>
      </c>
      <c r="Q258" s="19" t="str">
        <f>IF(B258="","",J258-P258+(SUMIFS('📋 Detalle Diario'!$E$5:$E$489, '📋 Detalle Diario'!$B$5:$B$489, B258, '📋 Detalle Diario'!$C$5:$C$489, C258)*135)+(SUMIFS('📋 Detalle Diario'!$I$5:$I$489, '📋 Detalle Diario'!$B$5:$B$489, B258, '📋 Detalle Diario'!$C$5:$C$489, C258)*200))</f>
        <v/>
      </c>
      <c r="R258" s="20" t="str">
        <f t="shared" si="35"/>
        <v/>
      </c>
    </row>
    <row r="259" spans="2:18" ht="18" customHeight="1" x14ac:dyDescent="0.3">
      <c r="B259" s="24"/>
      <c r="C259" s="25"/>
      <c r="D259" s="18" t="str">
        <f>IF(B259="","",SUMIFS('📈 Datos Completos'!$E$7:$E$5000, '📈 Datos Completos'!$B$7:$B$5000, B259, '📈 Datos Completos'!$D$7:$D$5000, C259))</f>
        <v/>
      </c>
      <c r="E259" s="18" t="str">
        <f>IF(B259="","",SUMIFS('📈 Datos Completos'!$F$7:$F$5000, '📈 Datos Completos'!$B$7:$B$5000, B259, '📈 Datos Completos'!$D$7:$D$5000, C259))</f>
        <v/>
      </c>
      <c r="F259" s="18" t="str">
        <f>IF(B259="","",SUMIFS('📈 Datos Completos'!$G$7:$G$5000, '📈 Datos Completos'!$B$7:$B$5000, B259, '📈 Datos Completos'!$D$7:$D$5000, C259))</f>
        <v/>
      </c>
      <c r="G259" s="18" t="str">
        <f t="shared" si="27"/>
        <v/>
      </c>
      <c r="H259" s="19" t="str">
        <f>IF(B259="","",SUMIFS('📈 Datos Completos'!$I$7:$I$5000, '📈 Datos Completos'!$B$7:$B$5000, B259, '📈 Datos Completos'!$D$7:$D$5000, C259))</f>
        <v/>
      </c>
      <c r="I259" s="19" t="str">
        <f t="shared" si="28"/>
        <v/>
      </c>
      <c r="J259" s="19" t="str">
        <f t="shared" si="29"/>
        <v/>
      </c>
      <c r="K259" s="19" t="str">
        <f>IF(B259="","",IF(C259="DIA", (SUMIFS('📋 Detalle Diario'!$D$5:$D$489, '📋 Detalle Diario'!$B$5:$B$489, B259, '📋 Detalle Diario'!$C$5:$C$489, C259) * '⚙️ Supuestos'!$C$24) + '⚙️ Supuestos'!$C$23, (SUMIFS('📋 Detalle Diario'!$D$5:$D$489, '📋 Detalle Diario'!$B$5:$B$489, B259, '📋 Detalle Diario'!$C$5:$C$489, C259) * '⚙️ Supuestos'!$C$24) + '⚙️ Supuestos'!$C$33))</f>
        <v/>
      </c>
      <c r="L259" s="19" t="str">
        <f t="shared" si="30"/>
        <v/>
      </c>
      <c r="M259" s="20" t="str">
        <f t="shared" si="31"/>
        <v/>
      </c>
      <c r="N259" s="19" t="str">
        <f t="shared" si="32"/>
        <v/>
      </c>
      <c r="O259" s="25" t="str">
        <f t="shared" si="33"/>
        <v/>
      </c>
      <c r="P259" s="19" t="str">
        <f t="shared" si="34"/>
        <v/>
      </c>
      <c r="Q259" s="19" t="str">
        <f>IF(B259="","",J259-P259+(SUMIFS('📋 Detalle Diario'!$E$5:$E$489, '📋 Detalle Diario'!$B$5:$B$489, B259, '📋 Detalle Diario'!$C$5:$C$489, C259)*135)+(SUMIFS('📋 Detalle Diario'!$I$5:$I$489, '📋 Detalle Diario'!$B$5:$B$489, B259, '📋 Detalle Diario'!$C$5:$C$489, C259)*200))</f>
        <v/>
      </c>
      <c r="R259" s="20" t="str">
        <f t="shared" si="35"/>
        <v/>
      </c>
    </row>
    <row r="260" spans="2:18" ht="18" customHeight="1" x14ac:dyDescent="0.3">
      <c r="B260" s="26"/>
      <c r="C260" s="27"/>
      <c r="D260" s="18" t="str">
        <f>IF(B260="","",SUMIFS('📈 Datos Completos'!$E$7:$E$5000, '📈 Datos Completos'!$B$7:$B$5000, B260, '📈 Datos Completos'!$D$7:$D$5000, C260))</f>
        <v/>
      </c>
      <c r="E260" s="18" t="str">
        <f>IF(B260="","",SUMIFS('📈 Datos Completos'!$F$7:$F$5000, '📈 Datos Completos'!$B$7:$B$5000, B260, '📈 Datos Completos'!$D$7:$D$5000, C260))</f>
        <v/>
      </c>
      <c r="F260" s="18" t="str">
        <f>IF(B260="","",SUMIFS('📈 Datos Completos'!$G$7:$G$5000, '📈 Datos Completos'!$B$7:$B$5000, B260, '📈 Datos Completos'!$D$7:$D$5000, C260))</f>
        <v/>
      </c>
      <c r="G260" s="18" t="str">
        <f t="shared" si="27"/>
        <v/>
      </c>
      <c r="H260" s="19" t="str">
        <f>IF(B260="","",SUMIFS('📈 Datos Completos'!$I$7:$I$5000, '📈 Datos Completos'!$B$7:$B$5000, B260, '📈 Datos Completos'!$D$7:$D$5000, C260))</f>
        <v/>
      </c>
      <c r="I260" s="19" t="str">
        <f t="shared" si="28"/>
        <v/>
      </c>
      <c r="J260" s="19" t="str">
        <f t="shared" si="29"/>
        <v/>
      </c>
      <c r="K260" s="19" t="str">
        <f>IF(B260="","",IF(C260="DIA", (SUMIFS('📋 Detalle Diario'!$D$5:$D$489, '📋 Detalle Diario'!$B$5:$B$489, B260, '📋 Detalle Diario'!$C$5:$C$489, C260) * '⚙️ Supuestos'!$C$24) + '⚙️ Supuestos'!$C$23, (SUMIFS('📋 Detalle Diario'!$D$5:$D$489, '📋 Detalle Diario'!$B$5:$B$489, B260, '📋 Detalle Diario'!$C$5:$C$489, C260) * '⚙️ Supuestos'!$C$24) + '⚙️ Supuestos'!$C$33))</f>
        <v/>
      </c>
      <c r="L260" s="19" t="str">
        <f t="shared" si="30"/>
        <v/>
      </c>
      <c r="M260" s="20" t="str">
        <f t="shared" si="31"/>
        <v/>
      </c>
      <c r="N260" s="19" t="str">
        <f t="shared" si="32"/>
        <v/>
      </c>
      <c r="O260" s="27" t="str">
        <f t="shared" si="33"/>
        <v/>
      </c>
      <c r="P260" s="19" t="str">
        <f t="shared" si="34"/>
        <v/>
      </c>
      <c r="Q260" s="19" t="str">
        <f>IF(B260="","",J260-P260+(SUMIFS('📋 Detalle Diario'!$E$5:$E$489, '📋 Detalle Diario'!$B$5:$B$489, B260, '📋 Detalle Diario'!$C$5:$C$489, C260)*135)+(SUMIFS('📋 Detalle Diario'!$I$5:$I$489, '📋 Detalle Diario'!$B$5:$B$489, B260, '📋 Detalle Diario'!$C$5:$C$489, C260)*200))</f>
        <v/>
      </c>
      <c r="R260" s="20" t="str">
        <f t="shared" si="35"/>
        <v/>
      </c>
    </row>
    <row r="261" spans="2:18" ht="18" customHeight="1" x14ac:dyDescent="0.3">
      <c r="B261" s="24"/>
      <c r="C261" s="25"/>
      <c r="D261" s="18" t="str">
        <f>IF(B261="","",SUMIFS('📈 Datos Completos'!$E$7:$E$5000, '📈 Datos Completos'!$B$7:$B$5000, B261, '📈 Datos Completos'!$D$7:$D$5000, C261))</f>
        <v/>
      </c>
      <c r="E261" s="18" t="str">
        <f>IF(B261="","",SUMIFS('📈 Datos Completos'!$F$7:$F$5000, '📈 Datos Completos'!$B$7:$B$5000, B261, '📈 Datos Completos'!$D$7:$D$5000, C261))</f>
        <v/>
      </c>
      <c r="F261" s="18" t="str">
        <f>IF(B261="","",SUMIFS('📈 Datos Completos'!$G$7:$G$5000, '📈 Datos Completos'!$B$7:$B$5000, B261, '📈 Datos Completos'!$D$7:$D$5000, C261))</f>
        <v/>
      </c>
      <c r="G261" s="18" t="str">
        <f t="shared" ref="G261:G324" si="36">IF(B261="","",E261+F261)</f>
        <v/>
      </c>
      <c r="H261" s="19" t="str">
        <f>IF(B261="","",SUMIFS('📈 Datos Completos'!$I$7:$I$5000, '📈 Datos Completos'!$B$7:$B$5000, B261, '📈 Datos Completos'!$D$7:$D$5000, C261))</f>
        <v/>
      </c>
      <c r="I261" s="19" t="str">
        <f t="shared" ref="I261:I324" si="37">IF(B261="","",IF(C261="DIA", G261*1.01, G261*1.35))</f>
        <v/>
      </c>
      <c r="J261" s="19" t="str">
        <f t="shared" ref="J261:J324" si="38">IF(B261="","",H261+I261)</f>
        <v/>
      </c>
      <c r="K261" s="19" t="str">
        <f>IF(B261="","",IF(C261="DIA", (SUMIFS('📋 Detalle Diario'!$D$5:$D$489, '📋 Detalle Diario'!$B$5:$B$489, B261, '📋 Detalle Diario'!$C$5:$C$489, C261) * '⚙️ Supuestos'!$C$24) + '⚙️ Supuestos'!$C$23, (SUMIFS('📋 Detalle Diario'!$D$5:$D$489, '📋 Detalle Diario'!$B$5:$B$489, B261, '📋 Detalle Diario'!$C$5:$C$489, C261) * '⚙️ Supuestos'!$C$24) + '⚙️ Supuestos'!$C$33))</f>
        <v/>
      </c>
      <c r="L261" s="19" t="str">
        <f t="shared" ref="L261:L324" si="39">IF(B261="","",J261-K261)</f>
        <v/>
      </c>
      <c r="M261" s="20" t="str">
        <f t="shared" ref="M261:M324" si="40">IF(B261="","",IF(J261=0, 0, L261/J261))</f>
        <v/>
      </c>
      <c r="N261" s="19" t="str">
        <f t="shared" ref="N261:N324" si="41">IF(B261="","",IF(D261=0, 0, K261/D261))</f>
        <v/>
      </c>
      <c r="O261" s="25" t="str">
        <f t="shared" ref="O261:O324" si="42">IF(B261="","",IF(ISNUMBER(B261),YEAR(B261)&amp;"-"&amp;IF(MONTH(B261)&lt;10,"0","")&amp;MONTH(B261),LEFT(B261,7)))</f>
        <v/>
      </c>
      <c r="P261" s="19" t="str">
        <f t="shared" ref="P261:P324" si="43">IF(B261="","",K261+(G261*0.09))</f>
        <v/>
      </c>
      <c r="Q261" s="19" t="str">
        <f>IF(B261="","",J261-P261+(SUMIFS('📋 Detalle Diario'!$E$5:$E$489, '📋 Detalle Diario'!$B$5:$B$489, B261, '📋 Detalle Diario'!$C$5:$C$489, C261)*135)+(SUMIFS('📋 Detalle Diario'!$I$5:$I$489, '📋 Detalle Diario'!$B$5:$B$489, B261, '📋 Detalle Diario'!$C$5:$C$489, C261)*200))</f>
        <v/>
      </c>
      <c r="R261" s="20" t="str">
        <f t="shared" ref="R261:R324" si="44">IF(B261="","",IF(J261=0, 0, Q261/J261))</f>
        <v/>
      </c>
    </row>
    <row r="262" spans="2:18" ht="18" customHeight="1" x14ac:dyDescent="0.3">
      <c r="B262" s="26"/>
      <c r="C262" s="27"/>
      <c r="D262" s="18" t="str">
        <f>IF(B262="","",SUMIFS('📈 Datos Completos'!$E$7:$E$5000, '📈 Datos Completos'!$B$7:$B$5000, B262, '📈 Datos Completos'!$D$7:$D$5000, C262))</f>
        <v/>
      </c>
      <c r="E262" s="18" t="str">
        <f>IF(B262="","",SUMIFS('📈 Datos Completos'!$F$7:$F$5000, '📈 Datos Completos'!$B$7:$B$5000, B262, '📈 Datos Completos'!$D$7:$D$5000, C262))</f>
        <v/>
      </c>
      <c r="F262" s="18" t="str">
        <f>IF(B262="","",SUMIFS('📈 Datos Completos'!$G$7:$G$5000, '📈 Datos Completos'!$B$7:$B$5000, B262, '📈 Datos Completos'!$D$7:$D$5000, C262))</f>
        <v/>
      </c>
      <c r="G262" s="18" t="str">
        <f t="shared" si="36"/>
        <v/>
      </c>
      <c r="H262" s="19" t="str">
        <f>IF(B262="","",SUMIFS('📈 Datos Completos'!$I$7:$I$5000, '📈 Datos Completos'!$B$7:$B$5000, B262, '📈 Datos Completos'!$D$7:$D$5000, C262))</f>
        <v/>
      </c>
      <c r="I262" s="19" t="str">
        <f t="shared" si="37"/>
        <v/>
      </c>
      <c r="J262" s="19" t="str">
        <f t="shared" si="38"/>
        <v/>
      </c>
      <c r="K262" s="19" t="str">
        <f>IF(B262="","",IF(C262="DIA", (SUMIFS('📋 Detalle Diario'!$D$5:$D$489, '📋 Detalle Diario'!$B$5:$B$489, B262, '📋 Detalle Diario'!$C$5:$C$489, C262) * '⚙️ Supuestos'!$C$24) + '⚙️ Supuestos'!$C$23, (SUMIFS('📋 Detalle Diario'!$D$5:$D$489, '📋 Detalle Diario'!$B$5:$B$489, B262, '📋 Detalle Diario'!$C$5:$C$489, C262) * '⚙️ Supuestos'!$C$24) + '⚙️ Supuestos'!$C$33))</f>
        <v/>
      </c>
      <c r="L262" s="19" t="str">
        <f t="shared" si="39"/>
        <v/>
      </c>
      <c r="M262" s="20" t="str">
        <f t="shared" si="40"/>
        <v/>
      </c>
      <c r="N262" s="19" t="str">
        <f t="shared" si="41"/>
        <v/>
      </c>
      <c r="O262" s="27" t="str">
        <f t="shared" si="42"/>
        <v/>
      </c>
      <c r="P262" s="19" t="str">
        <f t="shared" si="43"/>
        <v/>
      </c>
      <c r="Q262" s="19" t="str">
        <f>IF(B262="","",J262-P262+(SUMIFS('📋 Detalle Diario'!$E$5:$E$489, '📋 Detalle Diario'!$B$5:$B$489, B262, '📋 Detalle Diario'!$C$5:$C$489, C262)*135)+(SUMIFS('📋 Detalle Diario'!$I$5:$I$489, '📋 Detalle Diario'!$B$5:$B$489, B262, '📋 Detalle Diario'!$C$5:$C$489, C262)*200))</f>
        <v/>
      </c>
      <c r="R262" s="20" t="str">
        <f t="shared" si="44"/>
        <v/>
      </c>
    </row>
    <row r="263" spans="2:18" ht="18" customHeight="1" x14ac:dyDescent="0.3">
      <c r="B263" s="24"/>
      <c r="C263" s="25"/>
      <c r="D263" s="18" t="str">
        <f>IF(B263="","",SUMIFS('📈 Datos Completos'!$E$7:$E$5000, '📈 Datos Completos'!$B$7:$B$5000, B263, '📈 Datos Completos'!$D$7:$D$5000, C263))</f>
        <v/>
      </c>
      <c r="E263" s="18" t="str">
        <f>IF(B263="","",SUMIFS('📈 Datos Completos'!$F$7:$F$5000, '📈 Datos Completos'!$B$7:$B$5000, B263, '📈 Datos Completos'!$D$7:$D$5000, C263))</f>
        <v/>
      </c>
      <c r="F263" s="18" t="str">
        <f>IF(B263="","",SUMIFS('📈 Datos Completos'!$G$7:$G$5000, '📈 Datos Completos'!$B$7:$B$5000, B263, '📈 Datos Completos'!$D$7:$D$5000, C263))</f>
        <v/>
      </c>
      <c r="G263" s="18" t="str">
        <f t="shared" si="36"/>
        <v/>
      </c>
      <c r="H263" s="19" t="str">
        <f>IF(B263="","",SUMIFS('📈 Datos Completos'!$I$7:$I$5000, '📈 Datos Completos'!$B$7:$B$5000, B263, '📈 Datos Completos'!$D$7:$D$5000, C263))</f>
        <v/>
      </c>
      <c r="I263" s="19" t="str">
        <f t="shared" si="37"/>
        <v/>
      </c>
      <c r="J263" s="19" t="str">
        <f t="shared" si="38"/>
        <v/>
      </c>
      <c r="K263" s="19" t="str">
        <f>IF(B263="","",IF(C263="DIA", (SUMIFS('📋 Detalle Diario'!$D$5:$D$489, '📋 Detalle Diario'!$B$5:$B$489, B263, '📋 Detalle Diario'!$C$5:$C$489, C263) * '⚙️ Supuestos'!$C$24) + '⚙️ Supuestos'!$C$23, (SUMIFS('📋 Detalle Diario'!$D$5:$D$489, '📋 Detalle Diario'!$B$5:$B$489, B263, '📋 Detalle Diario'!$C$5:$C$489, C263) * '⚙️ Supuestos'!$C$24) + '⚙️ Supuestos'!$C$33))</f>
        <v/>
      </c>
      <c r="L263" s="19" t="str">
        <f t="shared" si="39"/>
        <v/>
      </c>
      <c r="M263" s="20" t="str">
        <f t="shared" si="40"/>
        <v/>
      </c>
      <c r="N263" s="19" t="str">
        <f t="shared" si="41"/>
        <v/>
      </c>
      <c r="O263" s="25" t="str">
        <f t="shared" si="42"/>
        <v/>
      </c>
      <c r="P263" s="19" t="str">
        <f t="shared" si="43"/>
        <v/>
      </c>
      <c r="Q263" s="19" t="str">
        <f>IF(B263="","",J263-P263+(SUMIFS('📋 Detalle Diario'!$E$5:$E$489, '📋 Detalle Diario'!$B$5:$B$489, B263, '📋 Detalle Diario'!$C$5:$C$489, C263)*135)+(SUMIFS('📋 Detalle Diario'!$I$5:$I$489, '📋 Detalle Diario'!$B$5:$B$489, B263, '📋 Detalle Diario'!$C$5:$C$489, C263)*200))</f>
        <v/>
      </c>
      <c r="R263" s="20" t="str">
        <f t="shared" si="44"/>
        <v/>
      </c>
    </row>
    <row r="264" spans="2:18" ht="18" customHeight="1" x14ac:dyDescent="0.3">
      <c r="B264" s="26"/>
      <c r="C264" s="27"/>
      <c r="D264" s="18" t="str">
        <f>IF(B264="","",SUMIFS('📈 Datos Completos'!$E$7:$E$5000, '📈 Datos Completos'!$B$7:$B$5000, B264, '📈 Datos Completos'!$D$7:$D$5000, C264))</f>
        <v/>
      </c>
      <c r="E264" s="18" t="str">
        <f>IF(B264="","",SUMIFS('📈 Datos Completos'!$F$7:$F$5000, '📈 Datos Completos'!$B$7:$B$5000, B264, '📈 Datos Completos'!$D$7:$D$5000, C264))</f>
        <v/>
      </c>
      <c r="F264" s="18" t="str">
        <f>IF(B264="","",SUMIFS('📈 Datos Completos'!$G$7:$G$5000, '📈 Datos Completos'!$B$7:$B$5000, B264, '📈 Datos Completos'!$D$7:$D$5000, C264))</f>
        <v/>
      </c>
      <c r="G264" s="18" t="str">
        <f t="shared" si="36"/>
        <v/>
      </c>
      <c r="H264" s="19" t="str">
        <f>IF(B264="","",SUMIFS('📈 Datos Completos'!$I$7:$I$5000, '📈 Datos Completos'!$B$7:$B$5000, B264, '📈 Datos Completos'!$D$7:$D$5000, C264))</f>
        <v/>
      </c>
      <c r="I264" s="19" t="str">
        <f t="shared" si="37"/>
        <v/>
      </c>
      <c r="J264" s="19" t="str">
        <f t="shared" si="38"/>
        <v/>
      </c>
      <c r="K264" s="19" t="str">
        <f>IF(B264="","",IF(C264="DIA", (SUMIFS('📋 Detalle Diario'!$D$5:$D$489, '📋 Detalle Diario'!$B$5:$B$489, B264, '📋 Detalle Diario'!$C$5:$C$489, C264) * '⚙️ Supuestos'!$C$24) + '⚙️ Supuestos'!$C$23, (SUMIFS('📋 Detalle Diario'!$D$5:$D$489, '📋 Detalle Diario'!$B$5:$B$489, B264, '📋 Detalle Diario'!$C$5:$C$489, C264) * '⚙️ Supuestos'!$C$24) + '⚙️ Supuestos'!$C$33))</f>
        <v/>
      </c>
      <c r="L264" s="19" t="str">
        <f t="shared" si="39"/>
        <v/>
      </c>
      <c r="M264" s="20" t="str">
        <f t="shared" si="40"/>
        <v/>
      </c>
      <c r="N264" s="19" t="str">
        <f t="shared" si="41"/>
        <v/>
      </c>
      <c r="O264" s="27" t="str">
        <f t="shared" si="42"/>
        <v/>
      </c>
      <c r="P264" s="19" t="str">
        <f t="shared" si="43"/>
        <v/>
      </c>
      <c r="Q264" s="19" t="str">
        <f>IF(B264="","",J264-P264+(SUMIFS('📋 Detalle Diario'!$E$5:$E$489, '📋 Detalle Diario'!$B$5:$B$489, B264, '📋 Detalle Diario'!$C$5:$C$489, C264)*135)+(SUMIFS('📋 Detalle Diario'!$I$5:$I$489, '📋 Detalle Diario'!$B$5:$B$489, B264, '📋 Detalle Diario'!$C$5:$C$489, C264)*200))</f>
        <v/>
      </c>
      <c r="R264" s="20" t="str">
        <f t="shared" si="44"/>
        <v/>
      </c>
    </row>
    <row r="265" spans="2:18" ht="18" customHeight="1" x14ac:dyDescent="0.3">
      <c r="B265" s="24"/>
      <c r="C265" s="25"/>
      <c r="D265" s="18" t="str">
        <f>IF(B265="","",SUMIFS('📈 Datos Completos'!$E$7:$E$5000, '📈 Datos Completos'!$B$7:$B$5000, B265, '📈 Datos Completos'!$D$7:$D$5000, C265))</f>
        <v/>
      </c>
      <c r="E265" s="18" t="str">
        <f>IF(B265="","",SUMIFS('📈 Datos Completos'!$F$7:$F$5000, '📈 Datos Completos'!$B$7:$B$5000, B265, '📈 Datos Completos'!$D$7:$D$5000, C265))</f>
        <v/>
      </c>
      <c r="F265" s="18" t="str">
        <f>IF(B265="","",SUMIFS('📈 Datos Completos'!$G$7:$G$5000, '📈 Datos Completos'!$B$7:$B$5000, B265, '📈 Datos Completos'!$D$7:$D$5000, C265))</f>
        <v/>
      </c>
      <c r="G265" s="18" t="str">
        <f t="shared" si="36"/>
        <v/>
      </c>
      <c r="H265" s="19" t="str">
        <f>IF(B265="","",SUMIFS('📈 Datos Completos'!$I$7:$I$5000, '📈 Datos Completos'!$B$7:$B$5000, B265, '📈 Datos Completos'!$D$7:$D$5000, C265))</f>
        <v/>
      </c>
      <c r="I265" s="19" t="str">
        <f t="shared" si="37"/>
        <v/>
      </c>
      <c r="J265" s="19" t="str">
        <f t="shared" si="38"/>
        <v/>
      </c>
      <c r="K265" s="19" t="str">
        <f>IF(B265="","",IF(C265="DIA", (SUMIFS('📋 Detalle Diario'!$D$5:$D$489, '📋 Detalle Diario'!$B$5:$B$489, B265, '📋 Detalle Diario'!$C$5:$C$489, C265) * '⚙️ Supuestos'!$C$24) + '⚙️ Supuestos'!$C$23, (SUMIFS('📋 Detalle Diario'!$D$5:$D$489, '📋 Detalle Diario'!$B$5:$B$489, B265, '📋 Detalle Diario'!$C$5:$C$489, C265) * '⚙️ Supuestos'!$C$24) + '⚙️ Supuestos'!$C$33))</f>
        <v/>
      </c>
      <c r="L265" s="19" t="str">
        <f t="shared" si="39"/>
        <v/>
      </c>
      <c r="M265" s="20" t="str">
        <f t="shared" si="40"/>
        <v/>
      </c>
      <c r="N265" s="19" t="str">
        <f t="shared" si="41"/>
        <v/>
      </c>
      <c r="O265" s="25" t="str">
        <f t="shared" si="42"/>
        <v/>
      </c>
      <c r="P265" s="19" t="str">
        <f t="shared" si="43"/>
        <v/>
      </c>
      <c r="Q265" s="19" t="str">
        <f>IF(B265="","",J265-P265+(SUMIFS('📋 Detalle Diario'!$E$5:$E$489, '📋 Detalle Diario'!$B$5:$B$489, B265, '📋 Detalle Diario'!$C$5:$C$489, C265)*135)+(SUMIFS('📋 Detalle Diario'!$I$5:$I$489, '📋 Detalle Diario'!$B$5:$B$489, B265, '📋 Detalle Diario'!$C$5:$C$489, C265)*200))</f>
        <v/>
      </c>
      <c r="R265" s="20" t="str">
        <f t="shared" si="44"/>
        <v/>
      </c>
    </row>
    <row r="266" spans="2:18" ht="18" customHeight="1" x14ac:dyDescent="0.3">
      <c r="B266" s="26"/>
      <c r="C266" s="27"/>
      <c r="D266" s="18" t="str">
        <f>IF(B266="","",SUMIFS('📈 Datos Completos'!$E$7:$E$5000, '📈 Datos Completos'!$B$7:$B$5000, B266, '📈 Datos Completos'!$D$7:$D$5000, C266))</f>
        <v/>
      </c>
      <c r="E266" s="18" t="str">
        <f>IF(B266="","",SUMIFS('📈 Datos Completos'!$F$7:$F$5000, '📈 Datos Completos'!$B$7:$B$5000, B266, '📈 Datos Completos'!$D$7:$D$5000, C266))</f>
        <v/>
      </c>
      <c r="F266" s="18" t="str">
        <f>IF(B266="","",SUMIFS('📈 Datos Completos'!$G$7:$G$5000, '📈 Datos Completos'!$B$7:$B$5000, B266, '📈 Datos Completos'!$D$7:$D$5000, C266))</f>
        <v/>
      </c>
      <c r="G266" s="18" t="str">
        <f t="shared" si="36"/>
        <v/>
      </c>
      <c r="H266" s="19" t="str">
        <f>IF(B266="","",SUMIFS('📈 Datos Completos'!$I$7:$I$5000, '📈 Datos Completos'!$B$7:$B$5000, B266, '📈 Datos Completos'!$D$7:$D$5000, C266))</f>
        <v/>
      </c>
      <c r="I266" s="19" t="str">
        <f t="shared" si="37"/>
        <v/>
      </c>
      <c r="J266" s="19" t="str">
        <f t="shared" si="38"/>
        <v/>
      </c>
      <c r="K266" s="19" t="str">
        <f>IF(B266="","",IF(C266="DIA", (SUMIFS('📋 Detalle Diario'!$D$5:$D$489, '📋 Detalle Diario'!$B$5:$B$489, B266, '📋 Detalle Diario'!$C$5:$C$489, C266) * '⚙️ Supuestos'!$C$24) + '⚙️ Supuestos'!$C$23, (SUMIFS('📋 Detalle Diario'!$D$5:$D$489, '📋 Detalle Diario'!$B$5:$B$489, B266, '📋 Detalle Diario'!$C$5:$C$489, C266) * '⚙️ Supuestos'!$C$24) + '⚙️ Supuestos'!$C$33))</f>
        <v/>
      </c>
      <c r="L266" s="19" t="str">
        <f t="shared" si="39"/>
        <v/>
      </c>
      <c r="M266" s="20" t="str">
        <f t="shared" si="40"/>
        <v/>
      </c>
      <c r="N266" s="19" t="str">
        <f t="shared" si="41"/>
        <v/>
      </c>
      <c r="O266" s="27" t="str">
        <f t="shared" si="42"/>
        <v/>
      </c>
      <c r="P266" s="19" t="str">
        <f t="shared" si="43"/>
        <v/>
      </c>
      <c r="Q266" s="19" t="str">
        <f>IF(B266="","",J266-P266+(SUMIFS('📋 Detalle Diario'!$E$5:$E$489, '📋 Detalle Diario'!$B$5:$B$489, B266, '📋 Detalle Diario'!$C$5:$C$489, C266)*135)+(SUMIFS('📋 Detalle Diario'!$I$5:$I$489, '📋 Detalle Diario'!$B$5:$B$489, B266, '📋 Detalle Diario'!$C$5:$C$489, C266)*200))</f>
        <v/>
      </c>
      <c r="R266" s="20" t="str">
        <f t="shared" si="44"/>
        <v/>
      </c>
    </row>
    <row r="267" spans="2:18" ht="18" customHeight="1" x14ac:dyDescent="0.3">
      <c r="B267" s="24"/>
      <c r="C267" s="25"/>
      <c r="D267" s="18" t="str">
        <f>IF(B267="","",SUMIFS('📈 Datos Completos'!$E$7:$E$5000, '📈 Datos Completos'!$B$7:$B$5000, B267, '📈 Datos Completos'!$D$7:$D$5000, C267))</f>
        <v/>
      </c>
      <c r="E267" s="18" t="str">
        <f>IF(B267="","",SUMIFS('📈 Datos Completos'!$F$7:$F$5000, '📈 Datos Completos'!$B$7:$B$5000, B267, '📈 Datos Completos'!$D$7:$D$5000, C267))</f>
        <v/>
      </c>
      <c r="F267" s="18" t="str">
        <f>IF(B267="","",SUMIFS('📈 Datos Completos'!$G$7:$G$5000, '📈 Datos Completos'!$B$7:$B$5000, B267, '📈 Datos Completos'!$D$7:$D$5000, C267))</f>
        <v/>
      </c>
      <c r="G267" s="18" t="str">
        <f t="shared" si="36"/>
        <v/>
      </c>
      <c r="H267" s="19" t="str">
        <f>IF(B267="","",SUMIFS('📈 Datos Completos'!$I$7:$I$5000, '📈 Datos Completos'!$B$7:$B$5000, B267, '📈 Datos Completos'!$D$7:$D$5000, C267))</f>
        <v/>
      </c>
      <c r="I267" s="19" t="str">
        <f t="shared" si="37"/>
        <v/>
      </c>
      <c r="J267" s="19" t="str">
        <f t="shared" si="38"/>
        <v/>
      </c>
      <c r="K267" s="19" t="str">
        <f>IF(B267="","",IF(C267="DIA", (SUMIFS('📋 Detalle Diario'!$D$5:$D$489, '📋 Detalle Diario'!$B$5:$B$489, B267, '📋 Detalle Diario'!$C$5:$C$489, C267) * '⚙️ Supuestos'!$C$24) + '⚙️ Supuestos'!$C$23, (SUMIFS('📋 Detalle Diario'!$D$5:$D$489, '📋 Detalle Diario'!$B$5:$B$489, B267, '📋 Detalle Diario'!$C$5:$C$489, C267) * '⚙️ Supuestos'!$C$24) + '⚙️ Supuestos'!$C$33))</f>
        <v/>
      </c>
      <c r="L267" s="19" t="str">
        <f t="shared" si="39"/>
        <v/>
      </c>
      <c r="M267" s="20" t="str">
        <f t="shared" si="40"/>
        <v/>
      </c>
      <c r="N267" s="19" t="str">
        <f t="shared" si="41"/>
        <v/>
      </c>
      <c r="O267" s="25" t="str">
        <f t="shared" si="42"/>
        <v/>
      </c>
      <c r="P267" s="19" t="str">
        <f t="shared" si="43"/>
        <v/>
      </c>
      <c r="Q267" s="19" t="str">
        <f>IF(B267="","",J267-P267+(SUMIFS('📋 Detalle Diario'!$E$5:$E$489, '📋 Detalle Diario'!$B$5:$B$489, B267, '📋 Detalle Diario'!$C$5:$C$489, C267)*135)+(SUMIFS('📋 Detalle Diario'!$I$5:$I$489, '📋 Detalle Diario'!$B$5:$B$489, B267, '📋 Detalle Diario'!$C$5:$C$489, C267)*200))</f>
        <v/>
      </c>
      <c r="R267" s="20" t="str">
        <f t="shared" si="44"/>
        <v/>
      </c>
    </row>
    <row r="268" spans="2:18" ht="18" customHeight="1" x14ac:dyDescent="0.3">
      <c r="B268" s="26"/>
      <c r="C268" s="27"/>
      <c r="D268" s="18" t="str">
        <f>IF(B268="","",SUMIFS('📈 Datos Completos'!$E$7:$E$5000, '📈 Datos Completos'!$B$7:$B$5000, B268, '📈 Datos Completos'!$D$7:$D$5000, C268))</f>
        <v/>
      </c>
      <c r="E268" s="18" t="str">
        <f>IF(B268="","",SUMIFS('📈 Datos Completos'!$F$7:$F$5000, '📈 Datos Completos'!$B$7:$B$5000, B268, '📈 Datos Completos'!$D$7:$D$5000, C268))</f>
        <v/>
      </c>
      <c r="F268" s="18" t="str">
        <f>IF(B268="","",SUMIFS('📈 Datos Completos'!$G$7:$G$5000, '📈 Datos Completos'!$B$7:$B$5000, B268, '📈 Datos Completos'!$D$7:$D$5000, C268))</f>
        <v/>
      </c>
      <c r="G268" s="18" t="str">
        <f t="shared" si="36"/>
        <v/>
      </c>
      <c r="H268" s="19" t="str">
        <f>IF(B268="","",SUMIFS('📈 Datos Completos'!$I$7:$I$5000, '📈 Datos Completos'!$B$7:$B$5000, B268, '📈 Datos Completos'!$D$7:$D$5000, C268))</f>
        <v/>
      </c>
      <c r="I268" s="19" t="str">
        <f t="shared" si="37"/>
        <v/>
      </c>
      <c r="J268" s="19" t="str">
        <f t="shared" si="38"/>
        <v/>
      </c>
      <c r="K268" s="19" t="str">
        <f>IF(B268="","",IF(C268="DIA", (SUMIFS('📋 Detalle Diario'!$D$5:$D$489, '📋 Detalle Diario'!$B$5:$B$489, B268, '📋 Detalle Diario'!$C$5:$C$489, C268) * '⚙️ Supuestos'!$C$24) + '⚙️ Supuestos'!$C$23, (SUMIFS('📋 Detalle Diario'!$D$5:$D$489, '📋 Detalle Diario'!$B$5:$B$489, B268, '📋 Detalle Diario'!$C$5:$C$489, C268) * '⚙️ Supuestos'!$C$24) + '⚙️ Supuestos'!$C$33))</f>
        <v/>
      </c>
      <c r="L268" s="19" t="str">
        <f t="shared" si="39"/>
        <v/>
      </c>
      <c r="M268" s="20" t="str">
        <f t="shared" si="40"/>
        <v/>
      </c>
      <c r="N268" s="19" t="str">
        <f t="shared" si="41"/>
        <v/>
      </c>
      <c r="O268" s="27" t="str">
        <f t="shared" si="42"/>
        <v/>
      </c>
      <c r="P268" s="19" t="str">
        <f t="shared" si="43"/>
        <v/>
      </c>
      <c r="Q268" s="19" t="str">
        <f>IF(B268="","",J268-P268+(SUMIFS('📋 Detalle Diario'!$E$5:$E$489, '📋 Detalle Diario'!$B$5:$B$489, B268, '📋 Detalle Diario'!$C$5:$C$489, C268)*135)+(SUMIFS('📋 Detalle Diario'!$I$5:$I$489, '📋 Detalle Diario'!$B$5:$B$489, B268, '📋 Detalle Diario'!$C$5:$C$489, C268)*200))</f>
        <v/>
      </c>
      <c r="R268" s="20" t="str">
        <f t="shared" si="44"/>
        <v/>
      </c>
    </row>
    <row r="269" spans="2:18" ht="18" customHeight="1" x14ac:dyDescent="0.3">
      <c r="B269" s="24"/>
      <c r="C269" s="25"/>
      <c r="D269" s="18" t="str">
        <f>IF(B269="","",SUMIFS('📈 Datos Completos'!$E$7:$E$5000, '📈 Datos Completos'!$B$7:$B$5000, B269, '📈 Datos Completos'!$D$7:$D$5000, C269))</f>
        <v/>
      </c>
      <c r="E269" s="18" t="str">
        <f>IF(B269="","",SUMIFS('📈 Datos Completos'!$F$7:$F$5000, '📈 Datos Completos'!$B$7:$B$5000, B269, '📈 Datos Completos'!$D$7:$D$5000, C269))</f>
        <v/>
      </c>
      <c r="F269" s="18" t="str">
        <f>IF(B269="","",SUMIFS('📈 Datos Completos'!$G$7:$G$5000, '📈 Datos Completos'!$B$7:$B$5000, B269, '📈 Datos Completos'!$D$7:$D$5000, C269))</f>
        <v/>
      </c>
      <c r="G269" s="18" t="str">
        <f t="shared" si="36"/>
        <v/>
      </c>
      <c r="H269" s="19" t="str">
        <f>IF(B269="","",SUMIFS('📈 Datos Completos'!$I$7:$I$5000, '📈 Datos Completos'!$B$7:$B$5000, B269, '📈 Datos Completos'!$D$7:$D$5000, C269))</f>
        <v/>
      </c>
      <c r="I269" s="19" t="str">
        <f t="shared" si="37"/>
        <v/>
      </c>
      <c r="J269" s="19" t="str">
        <f t="shared" si="38"/>
        <v/>
      </c>
      <c r="K269" s="19" t="str">
        <f>IF(B269="","",IF(C269="DIA", (SUMIFS('📋 Detalle Diario'!$D$5:$D$489, '📋 Detalle Diario'!$B$5:$B$489, B269, '📋 Detalle Diario'!$C$5:$C$489, C269) * '⚙️ Supuestos'!$C$24) + '⚙️ Supuestos'!$C$23, (SUMIFS('📋 Detalle Diario'!$D$5:$D$489, '📋 Detalle Diario'!$B$5:$B$489, B269, '📋 Detalle Diario'!$C$5:$C$489, C269) * '⚙️ Supuestos'!$C$24) + '⚙️ Supuestos'!$C$33))</f>
        <v/>
      </c>
      <c r="L269" s="19" t="str">
        <f t="shared" si="39"/>
        <v/>
      </c>
      <c r="M269" s="20" t="str">
        <f t="shared" si="40"/>
        <v/>
      </c>
      <c r="N269" s="19" t="str">
        <f t="shared" si="41"/>
        <v/>
      </c>
      <c r="O269" s="25" t="str">
        <f t="shared" si="42"/>
        <v/>
      </c>
      <c r="P269" s="19" t="str">
        <f t="shared" si="43"/>
        <v/>
      </c>
      <c r="Q269" s="19" t="str">
        <f>IF(B269="","",J269-P269+(SUMIFS('📋 Detalle Diario'!$E$5:$E$489, '📋 Detalle Diario'!$B$5:$B$489, B269, '📋 Detalle Diario'!$C$5:$C$489, C269)*135)+(SUMIFS('📋 Detalle Diario'!$I$5:$I$489, '📋 Detalle Diario'!$B$5:$B$489, B269, '📋 Detalle Diario'!$C$5:$C$489, C269)*200))</f>
        <v/>
      </c>
      <c r="R269" s="20" t="str">
        <f t="shared" si="44"/>
        <v/>
      </c>
    </row>
    <row r="270" spans="2:18" ht="18" customHeight="1" x14ac:dyDescent="0.3">
      <c r="B270" s="26"/>
      <c r="C270" s="27"/>
      <c r="D270" s="18" t="str">
        <f>IF(B270="","",SUMIFS('📈 Datos Completos'!$E$7:$E$5000, '📈 Datos Completos'!$B$7:$B$5000, B270, '📈 Datos Completos'!$D$7:$D$5000, C270))</f>
        <v/>
      </c>
      <c r="E270" s="18" t="str">
        <f>IF(B270="","",SUMIFS('📈 Datos Completos'!$F$7:$F$5000, '📈 Datos Completos'!$B$7:$B$5000, B270, '📈 Datos Completos'!$D$7:$D$5000, C270))</f>
        <v/>
      </c>
      <c r="F270" s="18" t="str">
        <f>IF(B270="","",SUMIFS('📈 Datos Completos'!$G$7:$G$5000, '📈 Datos Completos'!$B$7:$B$5000, B270, '📈 Datos Completos'!$D$7:$D$5000, C270))</f>
        <v/>
      </c>
      <c r="G270" s="18" t="str">
        <f t="shared" si="36"/>
        <v/>
      </c>
      <c r="H270" s="19" t="str">
        <f>IF(B270="","",SUMIFS('📈 Datos Completos'!$I$7:$I$5000, '📈 Datos Completos'!$B$7:$B$5000, B270, '📈 Datos Completos'!$D$7:$D$5000, C270))</f>
        <v/>
      </c>
      <c r="I270" s="19" t="str">
        <f t="shared" si="37"/>
        <v/>
      </c>
      <c r="J270" s="19" t="str">
        <f t="shared" si="38"/>
        <v/>
      </c>
      <c r="K270" s="19" t="str">
        <f>IF(B270="","",IF(C270="DIA", (SUMIFS('📋 Detalle Diario'!$D$5:$D$489, '📋 Detalle Diario'!$B$5:$B$489, B270, '📋 Detalle Diario'!$C$5:$C$489, C270) * '⚙️ Supuestos'!$C$24) + '⚙️ Supuestos'!$C$23, (SUMIFS('📋 Detalle Diario'!$D$5:$D$489, '📋 Detalle Diario'!$B$5:$B$489, B270, '📋 Detalle Diario'!$C$5:$C$489, C270) * '⚙️ Supuestos'!$C$24) + '⚙️ Supuestos'!$C$33))</f>
        <v/>
      </c>
      <c r="L270" s="19" t="str">
        <f t="shared" si="39"/>
        <v/>
      </c>
      <c r="M270" s="20" t="str">
        <f t="shared" si="40"/>
        <v/>
      </c>
      <c r="N270" s="19" t="str">
        <f t="shared" si="41"/>
        <v/>
      </c>
      <c r="O270" s="27" t="str">
        <f t="shared" si="42"/>
        <v/>
      </c>
      <c r="P270" s="19" t="str">
        <f t="shared" si="43"/>
        <v/>
      </c>
      <c r="Q270" s="19" t="str">
        <f>IF(B270="","",J270-P270+(SUMIFS('📋 Detalle Diario'!$E$5:$E$489, '📋 Detalle Diario'!$B$5:$B$489, B270, '📋 Detalle Diario'!$C$5:$C$489, C270)*135)+(SUMIFS('📋 Detalle Diario'!$I$5:$I$489, '📋 Detalle Diario'!$B$5:$B$489, B270, '📋 Detalle Diario'!$C$5:$C$489, C270)*200))</f>
        <v/>
      </c>
      <c r="R270" s="20" t="str">
        <f t="shared" si="44"/>
        <v/>
      </c>
    </row>
    <row r="271" spans="2:18" ht="18" customHeight="1" x14ac:dyDescent="0.3">
      <c r="B271" s="24"/>
      <c r="C271" s="25"/>
      <c r="D271" s="18" t="str">
        <f>IF(B271="","",SUMIFS('📈 Datos Completos'!$E$7:$E$5000, '📈 Datos Completos'!$B$7:$B$5000, B271, '📈 Datos Completos'!$D$7:$D$5000, C271))</f>
        <v/>
      </c>
      <c r="E271" s="18" t="str">
        <f>IF(B271="","",SUMIFS('📈 Datos Completos'!$F$7:$F$5000, '📈 Datos Completos'!$B$7:$B$5000, B271, '📈 Datos Completos'!$D$7:$D$5000, C271))</f>
        <v/>
      </c>
      <c r="F271" s="18" t="str">
        <f>IF(B271="","",SUMIFS('📈 Datos Completos'!$G$7:$G$5000, '📈 Datos Completos'!$B$7:$B$5000, B271, '📈 Datos Completos'!$D$7:$D$5000, C271))</f>
        <v/>
      </c>
      <c r="G271" s="18" t="str">
        <f t="shared" si="36"/>
        <v/>
      </c>
      <c r="H271" s="19" t="str">
        <f>IF(B271="","",SUMIFS('📈 Datos Completos'!$I$7:$I$5000, '📈 Datos Completos'!$B$7:$B$5000, B271, '📈 Datos Completos'!$D$7:$D$5000, C271))</f>
        <v/>
      </c>
      <c r="I271" s="19" t="str">
        <f t="shared" si="37"/>
        <v/>
      </c>
      <c r="J271" s="19" t="str">
        <f t="shared" si="38"/>
        <v/>
      </c>
      <c r="K271" s="19" t="str">
        <f>IF(B271="","",IF(C271="DIA", (SUMIFS('📋 Detalle Diario'!$D$5:$D$489, '📋 Detalle Diario'!$B$5:$B$489, B271, '📋 Detalle Diario'!$C$5:$C$489, C271) * '⚙️ Supuestos'!$C$24) + '⚙️ Supuestos'!$C$23, (SUMIFS('📋 Detalle Diario'!$D$5:$D$489, '📋 Detalle Diario'!$B$5:$B$489, B271, '📋 Detalle Diario'!$C$5:$C$489, C271) * '⚙️ Supuestos'!$C$24) + '⚙️ Supuestos'!$C$33))</f>
        <v/>
      </c>
      <c r="L271" s="19" t="str">
        <f t="shared" si="39"/>
        <v/>
      </c>
      <c r="M271" s="20" t="str">
        <f t="shared" si="40"/>
        <v/>
      </c>
      <c r="N271" s="19" t="str">
        <f t="shared" si="41"/>
        <v/>
      </c>
      <c r="O271" s="25" t="str">
        <f t="shared" si="42"/>
        <v/>
      </c>
      <c r="P271" s="19" t="str">
        <f t="shared" si="43"/>
        <v/>
      </c>
      <c r="Q271" s="19" t="str">
        <f>IF(B271="","",J271-P271+(SUMIFS('📋 Detalle Diario'!$E$5:$E$489, '📋 Detalle Diario'!$B$5:$B$489, B271, '📋 Detalle Diario'!$C$5:$C$489, C271)*135)+(SUMIFS('📋 Detalle Diario'!$I$5:$I$489, '📋 Detalle Diario'!$B$5:$B$489, B271, '📋 Detalle Diario'!$C$5:$C$489, C271)*200))</f>
        <v/>
      </c>
      <c r="R271" s="20" t="str">
        <f t="shared" si="44"/>
        <v/>
      </c>
    </row>
    <row r="272" spans="2:18" ht="18" customHeight="1" x14ac:dyDescent="0.3">
      <c r="B272" s="26"/>
      <c r="C272" s="27"/>
      <c r="D272" s="18" t="str">
        <f>IF(B272="","",SUMIFS('📈 Datos Completos'!$E$7:$E$5000, '📈 Datos Completos'!$B$7:$B$5000, B272, '📈 Datos Completos'!$D$7:$D$5000, C272))</f>
        <v/>
      </c>
      <c r="E272" s="18" t="str">
        <f>IF(B272="","",SUMIFS('📈 Datos Completos'!$F$7:$F$5000, '📈 Datos Completos'!$B$7:$B$5000, B272, '📈 Datos Completos'!$D$7:$D$5000, C272))</f>
        <v/>
      </c>
      <c r="F272" s="18" t="str">
        <f>IF(B272="","",SUMIFS('📈 Datos Completos'!$G$7:$G$5000, '📈 Datos Completos'!$B$7:$B$5000, B272, '📈 Datos Completos'!$D$7:$D$5000, C272))</f>
        <v/>
      </c>
      <c r="G272" s="18" t="str">
        <f t="shared" si="36"/>
        <v/>
      </c>
      <c r="H272" s="19" t="str">
        <f>IF(B272="","",SUMIFS('📈 Datos Completos'!$I$7:$I$5000, '📈 Datos Completos'!$B$7:$B$5000, B272, '📈 Datos Completos'!$D$7:$D$5000, C272))</f>
        <v/>
      </c>
      <c r="I272" s="19" t="str">
        <f t="shared" si="37"/>
        <v/>
      </c>
      <c r="J272" s="19" t="str">
        <f t="shared" si="38"/>
        <v/>
      </c>
      <c r="K272" s="19" t="str">
        <f>IF(B272="","",IF(C272="DIA", (SUMIFS('📋 Detalle Diario'!$D$5:$D$489, '📋 Detalle Diario'!$B$5:$B$489, B272, '📋 Detalle Diario'!$C$5:$C$489, C272) * '⚙️ Supuestos'!$C$24) + '⚙️ Supuestos'!$C$23, (SUMIFS('📋 Detalle Diario'!$D$5:$D$489, '📋 Detalle Diario'!$B$5:$B$489, B272, '📋 Detalle Diario'!$C$5:$C$489, C272) * '⚙️ Supuestos'!$C$24) + '⚙️ Supuestos'!$C$33))</f>
        <v/>
      </c>
      <c r="L272" s="19" t="str">
        <f t="shared" si="39"/>
        <v/>
      </c>
      <c r="M272" s="20" t="str">
        <f t="shared" si="40"/>
        <v/>
      </c>
      <c r="N272" s="19" t="str">
        <f t="shared" si="41"/>
        <v/>
      </c>
      <c r="O272" s="27" t="str">
        <f t="shared" si="42"/>
        <v/>
      </c>
      <c r="P272" s="19" t="str">
        <f t="shared" si="43"/>
        <v/>
      </c>
      <c r="Q272" s="19" t="str">
        <f>IF(B272="","",J272-P272+(SUMIFS('📋 Detalle Diario'!$E$5:$E$489, '📋 Detalle Diario'!$B$5:$B$489, B272, '📋 Detalle Diario'!$C$5:$C$489, C272)*135)+(SUMIFS('📋 Detalle Diario'!$I$5:$I$489, '📋 Detalle Diario'!$B$5:$B$489, B272, '📋 Detalle Diario'!$C$5:$C$489, C272)*200))</f>
        <v/>
      </c>
      <c r="R272" s="20" t="str">
        <f t="shared" si="44"/>
        <v/>
      </c>
    </row>
    <row r="273" spans="2:18" ht="18" customHeight="1" x14ac:dyDescent="0.3">
      <c r="B273" s="24"/>
      <c r="C273" s="25"/>
      <c r="D273" s="18" t="str">
        <f>IF(B273="","",SUMIFS('📈 Datos Completos'!$E$7:$E$5000, '📈 Datos Completos'!$B$7:$B$5000, B273, '📈 Datos Completos'!$D$7:$D$5000, C273))</f>
        <v/>
      </c>
      <c r="E273" s="18" t="str">
        <f>IF(B273="","",SUMIFS('📈 Datos Completos'!$F$7:$F$5000, '📈 Datos Completos'!$B$7:$B$5000, B273, '📈 Datos Completos'!$D$7:$D$5000, C273))</f>
        <v/>
      </c>
      <c r="F273" s="18" t="str">
        <f>IF(B273="","",SUMIFS('📈 Datos Completos'!$G$7:$G$5000, '📈 Datos Completos'!$B$7:$B$5000, B273, '📈 Datos Completos'!$D$7:$D$5000, C273))</f>
        <v/>
      </c>
      <c r="G273" s="18" t="str">
        <f t="shared" si="36"/>
        <v/>
      </c>
      <c r="H273" s="19" t="str">
        <f>IF(B273="","",SUMIFS('📈 Datos Completos'!$I$7:$I$5000, '📈 Datos Completos'!$B$7:$B$5000, B273, '📈 Datos Completos'!$D$7:$D$5000, C273))</f>
        <v/>
      </c>
      <c r="I273" s="19" t="str">
        <f t="shared" si="37"/>
        <v/>
      </c>
      <c r="J273" s="19" t="str">
        <f t="shared" si="38"/>
        <v/>
      </c>
      <c r="K273" s="19" t="str">
        <f>IF(B273="","",IF(C273="DIA", (SUMIFS('📋 Detalle Diario'!$D$5:$D$489, '📋 Detalle Diario'!$B$5:$B$489, B273, '📋 Detalle Diario'!$C$5:$C$489, C273) * '⚙️ Supuestos'!$C$24) + '⚙️ Supuestos'!$C$23, (SUMIFS('📋 Detalle Diario'!$D$5:$D$489, '📋 Detalle Diario'!$B$5:$B$489, B273, '📋 Detalle Diario'!$C$5:$C$489, C273) * '⚙️ Supuestos'!$C$24) + '⚙️ Supuestos'!$C$33))</f>
        <v/>
      </c>
      <c r="L273" s="19" t="str">
        <f t="shared" si="39"/>
        <v/>
      </c>
      <c r="M273" s="20" t="str">
        <f t="shared" si="40"/>
        <v/>
      </c>
      <c r="N273" s="19" t="str">
        <f t="shared" si="41"/>
        <v/>
      </c>
      <c r="O273" s="25" t="str">
        <f t="shared" si="42"/>
        <v/>
      </c>
      <c r="P273" s="19" t="str">
        <f t="shared" si="43"/>
        <v/>
      </c>
      <c r="Q273" s="19" t="str">
        <f>IF(B273="","",J273-P273+(SUMIFS('📋 Detalle Diario'!$E$5:$E$489, '📋 Detalle Diario'!$B$5:$B$489, B273, '📋 Detalle Diario'!$C$5:$C$489, C273)*135)+(SUMIFS('📋 Detalle Diario'!$I$5:$I$489, '📋 Detalle Diario'!$B$5:$B$489, B273, '📋 Detalle Diario'!$C$5:$C$489, C273)*200))</f>
        <v/>
      </c>
      <c r="R273" s="20" t="str">
        <f t="shared" si="44"/>
        <v/>
      </c>
    </row>
    <row r="274" spans="2:18" ht="18" customHeight="1" x14ac:dyDescent="0.3">
      <c r="B274" s="26"/>
      <c r="C274" s="27"/>
      <c r="D274" s="18" t="str">
        <f>IF(B274="","",SUMIFS('📈 Datos Completos'!$E$7:$E$5000, '📈 Datos Completos'!$B$7:$B$5000, B274, '📈 Datos Completos'!$D$7:$D$5000, C274))</f>
        <v/>
      </c>
      <c r="E274" s="18" t="str">
        <f>IF(B274="","",SUMIFS('📈 Datos Completos'!$F$7:$F$5000, '📈 Datos Completos'!$B$7:$B$5000, B274, '📈 Datos Completos'!$D$7:$D$5000, C274))</f>
        <v/>
      </c>
      <c r="F274" s="18" t="str">
        <f>IF(B274="","",SUMIFS('📈 Datos Completos'!$G$7:$G$5000, '📈 Datos Completos'!$B$7:$B$5000, B274, '📈 Datos Completos'!$D$7:$D$5000, C274))</f>
        <v/>
      </c>
      <c r="G274" s="18" t="str">
        <f t="shared" si="36"/>
        <v/>
      </c>
      <c r="H274" s="19" t="str">
        <f>IF(B274="","",SUMIFS('📈 Datos Completos'!$I$7:$I$5000, '📈 Datos Completos'!$B$7:$B$5000, B274, '📈 Datos Completos'!$D$7:$D$5000, C274))</f>
        <v/>
      </c>
      <c r="I274" s="19" t="str">
        <f t="shared" si="37"/>
        <v/>
      </c>
      <c r="J274" s="19" t="str">
        <f t="shared" si="38"/>
        <v/>
      </c>
      <c r="K274" s="19" t="str">
        <f>IF(B274="","",IF(C274="DIA", (SUMIFS('📋 Detalle Diario'!$D$5:$D$489, '📋 Detalle Diario'!$B$5:$B$489, B274, '📋 Detalle Diario'!$C$5:$C$489, C274) * '⚙️ Supuestos'!$C$24) + '⚙️ Supuestos'!$C$23, (SUMIFS('📋 Detalle Diario'!$D$5:$D$489, '📋 Detalle Diario'!$B$5:$B$489, B274, '📋 Detalle Diario'!$C$5:$C$489, C274) * '⚙️ Supuestos'!$C$24) + '⚙️ Supuestos'!$C$33))</f>
        <v/>
      </c>
      <c r="L274" s="19" t="str">
        <f t="shared" si="39"/>
        <v/>
      </c>
      <c r="M274" s="20" t="str">
        <f t="shared" si="40"/>
        <v/>
      </c>
      <c r="N274" s="19" t="str">
        <f t="shared" si="41"/>
        <v/>
      </c>
      <c r="O274" s="27" t="str">
        <f t="shared" si="42"/>
        <v/>
      </c>
      <c r="P274" s="19" t="str">
        <f t="shared" si="43"/>
        <v/>
      </c>
      <c r="Q274" s="19" t="str">
        <f>IF(B274="","",J274-P274+(SUMIFS('📋 Detalle Diario'!$E$5:$E$489, '📋 Detalle Diario'!$B$5:$B$489, B274, '📋 Detalle Diario'!$C$5:$C$489, C274)*135)+(SUMIFS('📋 Detalle Diario'!$I$5:$I$489, '📋 Detalle Diario'!$B$5:$B$489, B274, '📋 Detalle Diario'!$C$5:$C$489, C274)*200))</f>
        <v/>
      </c>
      <c r="R274" s="20" t="str">
        <f t="shared" si="44"/>
        <v/>
      </c>
    </row>
    <row r="275" spans="2:18" ht="18" customHeight="1" x14ac:dyDescent="0.3">
      <c r="B275" s="24"/>
      <c r="C275" s="25"/>
      <c r="D275" s="18" t="str">
        <f>IF(B275="","",SUMIFS('📈 Datos Completos'!$E$7:$E$5000, '📈 Datos Completos'!$B$7:$B$5000, B275, '📈 Datos Completos'!$D$7:$D$5000, C275))</f>
        <v/>
      </c>
      <c r="E275" s="18" t="str">
        <f>IF(B275="","",SUMIFS('📈 Datos Completos'!$F$7:$F$5000, '📈 Datos Completos'!$B$7:$B$5000, B275, '📈 Datos Completos'!$D$7:$D$5000, C275))</f>
        <v/>
      </c>
      <c r="F275" s="18" t="str">
        <f>IF(B275="","",SUMIFS('📈 Datos Completos'!$G$7:$G$5000, '📈 Datos Completos'!$B$7:$B$5000, B275, '📈 Datos Completos'!$D$7:$D$5000, C275))</f>
        <v/>
      </c>
      <c r="G275" s="18" t="str">
        <f t="shared" si="36"/>
        <v/>
      </c>
      <c r="H275" s="19" t="str">
        <f>IF(B275="","",SUMIFS('📈 Datos Completos'!$I$7:$I$5000, '📈 Datos Completos'!$B$7:$B$5000, B275, '📈 Datos Completos'!$D$7:$D$5000, C275))</f>
        <v/>
      </c>
      <c r="I275" s="19" t="str">
        <f t="shared" si="37"/>
        <v/>
      </c>
      <c r="J275" s="19" t="str">
        <f t="shared" si="38"/>
        <v/>
      </c>
      <c r="K275" s="19" t="str">
        <f>IF(B275="","",IF(C275="DIA", (SUMIFS('📋 Detalle Diario'!$D$5:$D$489, '📋 Detalle Diario'!$B$5:$B$489, B275, '📋 Detalle Diario'!$C$5:$C$489, C275) * '⚙️ Supuestos'!$C$24) + '⚙️ Supuestos'!$C$23, (SUMIFS('📋 Detalle Diario'!$D$5:$D$489, '📋 Detalle Diario'!$B$5:$B$489, B275, '📋 Detalle Diario'!$C$5:$C$489, C275) * '⚙️ Supuestos'!$C$24) + '⚙️ Supuestos'!$C$33))</f>
        <v/>
      </c>
      <c r="L275" s="19" t="str">
        <f t="shared" si="39"/>
        <v/>
      </c>
      <c r="M275" s="20" t="str">
        <f t="shared" si="40"/>
        <v/>
      </c>
      <c r="N275" s="19" t="str">
        <f t="shared" si="41"/>
        <v/>
      </c>
      <c r="O275" s="25" t="str">
        <f t="shared" si="42"/>
        <v/>
      </c>
      <c r="P275" s="19" t="str">
        <f t="shared" si="43"/>
        <v/>
      </c>
      <c r="Q275" s="19" t="str">
        <f>IF(B275="","",J275-P275+(SUMIFS('📋 Detalle Diario'!$E$5:$E$489, '📋 Detalle Diario'!$B$5:$B$489, B275, '📋 Detalle Diario'!$C$5:$C$489, C275)*135)+(SUMIFS('📋 Detalle Diario'!$I$5:$I$489, '📋 Detalle Diario'!$B$5:$B$489, B275, '📋 Detalle Diario'!$C$5:$C$489, C275)*200))</f>
        <v/>
      </c>
      <c r="R275" s="20" t="str">
        <f t="shared" si="44"/>
        <v/>
      </c>
    </row>
    <row r="276" spans="2:18" ht="18" customHeight="1" x14ac:dyDescent="0.3">
      <c r="B276" s="26"/>
      <c r="C276" s="27"/>
      <c r="D276" s="18" t="str">
        <f>IF(B276="","",SUMIFS('📈 Datos Completos'!$E$7:$E$5000, '📈 Datos Completos'!$B$7:$B$5000, B276, '📈 Datos Completos'!$D$7:$D$5000, C276))</f>
        <v/>
      </c>
      <c r="E276" s="18" t="str">
        <f>IF(B276="","",SUMIFS('📈 Datos Completos'!$F$7:$F$5000, '📈 Datos Completos'!$B$7:$B$5000, B276, '📈 Datos Completos'!$D$7:$D$5000, C276))</f>
        <v/>
      </c>
      <c r="F276" s="18" t="str">
        <f>IF(B276="","",SUMIFS('📈 Datos Completos'!$G$7:$G$5000, '📈 Datos Completos'!$B$7:$B$5000, B276, '📈 Datos Completos'!$D$7:$D$5000, C276))</f>
        <v/>
      </c>
      <c r="G276" s="18" t="str">
        <f t="shared" si="36"/>
        <v/>
      </c>
      <c r="H276" s="19" t="str">
        <f>IF(B276="","",SUMIFS('📈 Datos Completos'!$I$7:$I$5000, '📈 Datos Completos'!$B$7:$B$5000, B276, '📈 Datos Completos'!$D$7:$D$5000, C276))</f>
        <v/>
      </c>
      <c r="I276" s="19" t="str">
        <f t="shared" si="37"/>
        <v/>
      </c>
      <c r="J276" s="19" t="str">
        <f t="shared" si="38"/>
        <v/>
      </c>
      <c r="K276" s="19" t="str">
        <f>IF(B276="","",IF(C276="DIA", (SUMIFS('📋 Detalle Diario'!$D$5:$D$489, '📋 Detalle Diario'!$B$5:$B$489, B276, '📋 Detalle Diario'!$C$5:$C$489, C276) * '⚙️ Supuestos'!$C$24) + '⚙️ Supuestos'!$C$23, (SUMIFS('📋 Detalle Diario'!$D$5:$D$489, '📋 Detalle Diario'!$B$5:$B$489, B276, '📋 Detalle Diario'!$C$5:$C$489, C276) * '⚙️ Supuestos'!$C$24) + '⚙️ Supuestos'!$C$33))</f>
        <v/>
      </c>
      <c r="L276" s="19" t="str">
        <f t="shared" si="39"/>
        <v/>
      </c>
      <c r="M276" s="20" t="str">
        <f t="shared" si="40"/>
        <v/>
      </c>
      <c r="N276" s="19" t="str">
        <f t="shared" si="41"/>
        <v/>
      </c>
      <c r="O276" s="27" t="str">
        <f t="shared" si="42"/>
        <v/>
      </c>
      <c r="P276" s="19" t="str">
        <f t="shared" si="43"/>
        <v/>
      </c>
      <c r="Q276" s="19" t="str">
        <f>IF(B276="","",J276-P276+(SUMIFS('📋 Detalle Diario'!$E$5:$E$489, '📋 Detalle Diario'!$B$5:$B$489, B276, '📋 Detalle Diario'!$C$5:$C$489, C276)*135)+(SUMIFS('📋 Detalle Diario'!$I$5:$I$489, '📋 Detalle Diario'!$B$5:$B$489, B276, '📋 Detalle Diario'!$C$5:$C$489, C276)*200))</f>
        <v/>
      </c>
      <c r="R276" s="20" t="str">
        <f t="shared" si="44"/>
        <v/>
      </c>
    </row>
    <row r="277" spans="2:18" ht="18" customHeight="1" x14ac:dyDescent="0.3">
      <c r="B277" s="24"/>
      <c r="C277" s="25"/>
      <c r="D277" s="18" t="str">
        <f>IF(B277="","",SUMIFS('📈 Datos Completos'!$E$7:$E$5000, '📈 Datos Completos'!$B$7:$B$5000, B277, '📈 Datos Completos'!$D$7:$D$5000, C277))</f>
        <v/>
      </c>
      <c r="E277" s="18" t="str">
        <f>IF(B277="","",SUMIFS('📈 Datos Completos'!$F$7:$F$5000, '📈 Datos Completos'!$B$7:$B$5000, B277, '📈 Datos Completos'!$D$7:$D$5000, C277))</f>
        <v/>
      </c>
      <c r="F277" s="18" t="str">
        <f>IF(B277="","",SUMIFS('📈 Datos Completos'!$G$7:$G$5000, '📈 Datos Completos'!$B$7:$B$5000, B277, '📈 Datos Completos'!$D$7:$D$5000, C277))</f>
        <v/>
      </c>
      <c r="G277" s="18" t="str">
        <f t="shared" si="36"/>
        <v/>
      </c>
      <c r="H277" s="19" t="str">
        <f>IF(B277="","",SUMIFS('📈 Datos Completos'!$I$7:$I$5000, '📈 Datos Completos'!$B$7:$B$5000, B277, '📈 Datos Completos'!$D$7:$D$5000, C277))</f>
        <v/>
      </c>
      <c r="I277" s="19" t="str">
        <f t="shared" si="37"/>
        <v/>
      </c>
      <c r="J277" s="19" t="str">
        <f t="shared" si="38"/>
        <v/>
      </c>
      <c r="K277" s="19" t="str">
        <f>IF(B277="","",IF(C277="DIA", (SUMIFS('📋 Detalle Diario'!$D$5:$D$489, '📋 Detalle Diario'!$B$5:$B$489, B277, '📋 Detalle Diario'!$C$5:$C$489, C277) * '⚙️ Supuestos'!$C$24) + '⚙️ Supuestos'!$C$23, (SUMIFS('📋 Detalle Diario'!$D$5:$D$489, '📋 Detalle Diario'!$B$5:$B$489, B277, '📋 Detalle Diario'!$C$5:$C$489, C277) * '⚙️ Supuestos'!$C$24) + '⚙️ Supuestos'!$C$33))</f>
        <v/>
      </c>
      <c r="L277" s="19" t="str">
        <f t="shared" si="39"/>
        <v/>
      </c>
      <c r="M277" s="20" t="str">
        <f t="shared" si="40"/>
        <v/>
      </c>
      <c r="N277" s="19" t="str">
        <f t="shared" si="41"/>
        <v/>
      </c>
      <c r="O277" s="25" t="str">
        <f t="shared" si="42"/>
        <v/>
      </c>
      <c r="P277" s="19" t="str">
        <f t="shared" si="43"/>
        <v/>
      </c>
      <c r="Q277" s="19" t="str">
        <f>IF(B277="","",J277-P277+(SUMIFS('📋 Detalle Diario'!$E$5:$E$489, '📋 Detalle Diario'!$B$5:$B$489, B277, '📋 Detalle Diario'!$C$5:$C$489, C277)*135)+(SUMIFS('📋 Detalle Diario'!$I$5:$I$489, '📋 Detalle Diario'!$B$5:$B$489, B277, '📋 Detalle Diario'!$C$5:$C$489, C277)*200))</f>
        <v/>
      </c>
      <c r="R277" s="20" t="str">
        <f t="shared" si="44"/>
        <v/>
      </c>
    </row>
    <row r="278" spans="2:18" ht="18" customHeight="1" x14ac:dyDescent="0.3">
      <c r="B278" s="26"/>
      <c r="C278" s="27"/>
      <c r="D278" s="18" t="str">
        <f>IF(B278="","",SUMIFS('📈 Datos Completos'!$E$7:$E$5000, '📈 Datos Completos'!$B$7:$B$5000, B278, '📈 Datos Completos'!$D$7:$D$5000, C278))</f>
        <v/>
      </c>
      <c r="E278" s="18" t="str">
        <f>IF(B278="","",SUMIFS('📈 Datos Completos'!$F$7:$F$5000, '📈 Datos Completos'!$B$7:$B$5000, B278, '📈 Datos Completos'!$D$7:$D$5000, C278))</f>
        <v/>
      </c>
      <c r="F278" s="18" t="str">
        <f>IF(B278="","",SUMIFS('📈 Datos Completos'!$G$7:$G$5000, '📈 Datos Completos'!$B$7:$B$5000, B278, '📈 Datos Completos'!$D$7:$D$5000, C278))</f>
        <v/>
      </c>
      <c r="G278" s="18" t="str">
        <f t="shared" si="36"/>
        <v/>
      </c>
      <c r="H278" s="19" t="str">
        <f>IF(B278="","",SUMIFS('📈 Datos Completos'!$I$7:$I$5000, '📈 Datos Completos'!$B$7:$B$5000, B278, '📈 Datos Completos'!$D$7:$D$5000, C278))</f>
        <v/>
      </c>
      <c r="I278" s="19" t="str">
        <f t="shared" si="37"/>
        <v/>
      </c>
      <c r="J278" s="19" t="str">
        <f t="shared" si="38"/>
        <v/>
      </c>
      <c r="K278" s="19" t="str">
        <f>IF(B278="","",IF(C278="DIA", (SUMIFS('📋 Detalle Diario'!$D$5:$D$489, '📋 Detalle Diario'!$B$5:$B$489, B278, '📋 Detalle Diario'!$C$5:$C$489, C278) * '⚙️ Supuestos'!$C$24) + '⚙️ Supuestos'!$C$23, (SUMIFS('📋 Detalle Diario'!$D$5:$D$489, '📋 Detalle Diario'!$B$5:$B$489, B278, '📋 Detalle Diario'!$C$5:$C$489, C278) * '⚙️ Supuestos'!$C$24) + '⚙️ Supuestos'!$C$33))</f>
        <v/>
      </c>
      <c r="L278" s="19" t="str">
        <f t="shared" si="39"/>
        <v/>
      </c>
      <c r="M278" s="20" t="str">
        <f t="shared" si="40"/>
        <v/>
      </c>
      <c r="N278" s="19" t="str">
        <f t="shared" si="41"/>
        <v/>
      </c>
      <c r="O278" s="27" t="str">
        <f t="shared" si="42"/>
        <v/>
      </c>
      <c r="P278" s="19" t="str">
        <f t="shared" si="43"/>
        <v/>
      </c>
      <c r="Q278" s="19" t="str">
        <f>IF(B278="","",J278-P278+(SUMIFS('📋 Detalle Diario'!$E$5:$E$489, '📋 Detalle Diario'!$B$5:$B$489, B278, '📋 Detalle Diario'!$C$5:$C$489, C278)*135)+(SUMIFS('📋 Detalle Diario'!$I$5:$I$489, '📋 Detalle Diario'!$B$5:$B$489, B278, '📋 Detalle Diario'!$C$5:$C$489, C278)*200))</f>
        <v/>
      </c>
      <c r="R278" s="20" t="str">
        <f t="shared" si="44"/>
        <v/>
      </c>
    </row>
    <row r="279" spans="2:18" ht="18" customHeight="1" x14ac:dyDescent="0.3">
      <c r="B279" s="24"/>
      <c r="C279" s="25"/>
      <c r="D279" s="18" t="str">
        <f>IF(B279="","",SUMIFS('📈 Datos Completos'!$E$7:$E$5000, '📈 Datos Completos'!$B$7:$B$5000, B279, '📈 Datos Completos'!$D$7:$D$5000, C279))</f>
        <v/>
      </c>
      <c r="E279" s="18" t="str">
        <f>IF(B279="","",SUMIFS('📈 Datos Completos'!$F$7:$F$5000, '📈 Datos Completos'!$B$7:$B$5000, B279, '📈 Datos Completos'!$D$7:$D$5000, C279))</f>
        <v/>
      </c>
      <c r="F279" s="18" t="str">
        <f>IF(B279="","",SUMIFS('📈 Datos Completos'!$G$7:$G$5000, '📈 Datos Completos'!$B$7:$B$5000, B279, '📈 Datos Completos'!$D$7:$D$5000, C279))</f>
        <v/>
      </c>
      <c r="G279" s="18" t="str">
        <f t="shared" si="36"/>
        <v/>
      </c>
      <c r="H279" s="19" t="str">
        <f>IF(B279="","",SUMIFS('📈 Datos Completos'!$I$7:$I$5000, '📈 Datos Completos'!$B$7:$B$5000, B279, '📈 Datos Completos'!$D$7:$D$5000, C279))</f>
        <v/>
      </c>
      <c r="I279" s="19" t="str">
        <f t="shared" si="37"/>
        <v/>
      </c>
      <c r="J279" s="19" t="str">
        <f t="shared" si="38"/>
        <v/>
      </c>
      <c r="K279" s="19" t="str">
        <f>IF(B279="","",IF(C279="DIA", (SUMIFS('📋 Detalle Diario'!$D$5:$D$489, '📋 Detalle Diario'!$B$5:$B$489, B279, '📋 Detalle Diario'!$C$5:$C$489, C279) * '⚙️ Supuestos'!$C$24) + '⚙️ Supuestos'!$C$23, (SUMIFS('📋 Detalle Diario'!$D$5:$D$489, '📋 Detalle Diario'!$B$5:$B$489, B279, '📋 Detalle Diario'!$C$5:$C$489, C279) * '⚙️ Supuestos'!$C$24) + '⚙️ Supuestos'!$C$33))</f>
        <v/>
      </c>
      <c r="L279" s="19" t="str">
        <f t="shared" si="39"/>
        <v/>
      </c>
      <c r="M279" s="20" t="str">
        <f t="shared" si="40"/>
        <v/>
      </c>
      <c r="N279" s="19" t="str">
        <f t="shared" si="41"/>
        <v/>
      </c>
      <c r="O279" s="25" t="str">
        <f t="shared" si="42"/>
        <v/>
      </c>
      <c r="P279" s="19" t="str">
        <f t="shared" si="43"/>
        <v/>
      </c>
      <c r="Q279" s="19" t="str">
        <f>IF(B279="","",J279-P279+(SUMIFS('📋 Detalle Diario'!$E$5:$E$489, '📋 Detalle Diario'!$B$5:$B$489, B279, '📋 Detalle Diario'!$C$5:$C$489, C279)*135)+(SUMIFS('📋 Detalle Diario'!$I$5:$I$489, '📋 Detalle Diario'!$B$5:$B$489, B279, '📋 Detalle Diario'!$C$5:$C$489, C279)*200))</f>
        <v/>
      </c>
      <c r="R279" s="20" t="str">
        <f t="shared" si="44"/>
        <v/>
      </c>
    </row>
    <row r="280" spans="2:18" ht="18" customHeight="1" x14ac:dyDescent="0.3">
      <c r="B280" s="26"/>
      <c r="C280" s="27"/>
      <c r="D280" s="18" t="str">
        <f>IF(B280="","",SUMIFS('📈 Datos Completos'!$E$7:$E$5000, '📈 Datos Completos'!$B$7:$B$5000, B280, '📈 Datos Completos'!$D$7:$D$5000, C280))</f>
        <v/>
      </c>
      <c r="E280" s="18" t="str">
        <f>IF(B280="","",SUMIFS('📈 Datos Completos'!$F$7:$F$5000, '📈 Datos Completos'!$B$7:$B$5000, B280, '📈 Datos Completos'!$D$7:$D$5000, C280))</f>
        <v/>
      </c>
      <c r="F280" s="18" t="str">
        <f>IF(B280="","",SUMIFS('📈 Datos Completos'!$G$7:$G$5000, '📈 Datos Completos'!$B$7:$B$5000, B280, '📈 Datos Completos'!$D$7:$D$5000, C280))</f>
        <v/>
      </c>
      <c r="G280" s="18" t="str">
        <f t="shared" si="36"/>
        <v/>
      </c>
      <c r="H280" s="19" t="str">
        <f>IF(B280="","",SUMIFS('📈 Datos Completos'!$I$7:$I$5000, '📈 Datos Completos'!$B$7:$B$5000, B280, '📈 Datos Completos'!$D$7:$D$5000, C280))</f>
        <v/>
      </c>
      <c r="I280" s="19" t="str">
        <f t="shared" si="37"/>
        <v/>
      </c>
      <c r="J280" s="19" t="str">
        <f t="shared" si="38"/>
        <v/>
      </c>
      <c r="K280" s="19" t="str">
        <f>IF(B280="","",IF(C280="DIA", (SUMIFS('📋 Detalle Diario'!$D$5:$D$489, '📋 Detalle Diario'!$B$5:$B$489, B280, '📋 Detalle Diario'!$C$5:$C$489, C280) * '⚙️ Supuestos'!$C$24) + '⚙️ Supuestos'!$C$23, (SUMIFS('📋 Detalle Diario'!$D$5:$D$489, '📋 Detalle Diario'!$B$5:$B$489, B280, '📋 Detalle Diario'!$C$5:$C$489, C280) * '⚙️ Supuestos'!$C$24) + '⚙️ Supuestos'!$C$33))</f>
        <v/>
      </c>
      <c r="L280" s="19" t="str">
        <f t="shared" si="39"/>
        <v/>
      </c>
      <c r="M280" s="20" t="str">
        <f t="shared" si="40"/>
        <v/>
      </c>
      <c r="N280" s="19" t="str">
        <f t="shared" si="41"/>
        <v/>
      </c>
      <c r="O280" s="27" t="str">
        <f t="shared" si="42"/>
        <v/>
      </c>
      <c r="P280" s="19" t="str">
        <f t="shared" si="43"/>
        <v/>
      </c>
      <c r="Q280" s="19" t="str">
        <f>IF(B280="","",J280-P280+(SUMIFS('📋 Detalle Diario'!$E$5:$E$489, '📋 Detalle Diario'!$B$5:$B$489, B280, '📋 Detalle Diario'!$C$5:$C$489, C280)*135)+(SUMIFS('📋 Detalle Diario'!$I$5:$I$489, '📋 Detalle Diario'!$B$5:$B$489, B280, '📋 Detalle Diario'!$C$5:$C$489, C280)*200))</f>
        <v/>
      </c>
      <c r="R280" s="20" t="str">
        <f t="shared" si="44"/>
        <v/>
      </c>
    </row>
    <row r="281" spans="2:18" ht="18" customHeight="1" x14ac:dyDescent="0.3">
      <c r="B281" s="24"/>
      <c r="C281" s="25"/>
      <c r="D281" s="18" t="str">
        <f>IF(B281="","",SUMIFS('📈 Datos Completos'!$E$7:$E$5000, '📈 Datos Completos'!$B$7:$B$5000, B281, '📈 Datos Completos'!$D$7:$D$5000, C281))</f>
        <v/>
      </c>
      <c r="E281" s="18" t="str">
        <f>IF(B281="","",SUMIFS('📈 Datos Completos'!$F$7:$F$5000, '📈 Datos Completos'!$B$7:$B$5000, B281, '📈 Datos Completos'!$D$7:$D$5000, C281))</f>
        <v/>
      </c>
      <c r="F281" s="18" t="str">
        <f>IF(B281="","",SUMIFS('📈 Datos Completos'!$G$7:$G$5000, '📈 Datos Completos'!$B$7:$B$5000, B281, '📈 Datos Completos'!$D$7:$D$5000, C281))</f>
        <v/>
      </c>
      <c r="G281" s="18" t="str">
        <f t="shared" si="36"/>
        <v/>
      </c>
      <c r="H281" s="19" t="str">
        <f>IF(B281="","",SUMIFS('📈 Datos Completos'!$I$7:$I$5000, '📈 Datos Completos'!$B$7:$B$5000, B281, '📈 Datos Completos'!$D$7:$D$5000, C281))</f>
        <v/>
      </c>
      <c r="I281" s="19" t="str">
        <f t="shared" si="37"/>
        <v/>
      </c>
      <c r="J281" s="19" t="str">
        <f t="shared" si="38"/>
        <v/>
      </c>
      <c r="K281" s="19" t="str">
        <f>IF(B281="","",IF(C281="DIA", (SUMIFS('📋 Detalle Diario'!$D$5:$D$489, '📋 Detalle Diario'!$B$5:$B$489, B281, '📋 Detalle Diario'!$C$5:$C$489, C281) * '⚙️ Supuestos'!$C$24) + '⚙️ Supuestos'!$C$23, (SUMIFS('📋 Detalle Diario'!$D$5:$D$489, '📋 Detalle Diario'!$B$5:$B$489, B281, '📋 Detalle Diario'!$C$5:$C$489, C281) * '⚙️ Supuestos'!$C$24) + '⚙️ Supuestos'!$C$33))</f>
        <v/>
      </c>
      <c r="L281" s="19" t="str">
        <f t="shared" si="39"/>
        <v/>
      </c>
      <c r="M281" s="20" t="str">
        <f t="shared" si="40"/>
        <v/>
      </c>
      <c r="N281" s="19" t="str">
        <f t="shared" si="41"/>
        <v/>
      </c>
      <c r="O281" s="25" t="str">
        <f t="shared" si="42"/>
        <v/>
      </c>
      <c r="P281" s="19" t="str">
        <f t="shared" si="43"/>
        <v/>
      </c>
      <c r="Q281" s="19" t="str">
        <f>IF(B281="","",J281-P281+(SUMIFS('📋 Detalle Diario'!$E$5:$E$489, '📋 Detalle Diario'!$B$5:$B$489, B281, '📋 Detalle Diario'!$C$5:$C$489, C281)*135)+(SUMIFS('📋 Detalle Diario'!$I$5:$I$489, '📋 Detalle Diario'!$B$5:$B$489, B281, '📋 Detalle Diario'!$C$5:$C$489, C281)*200))</f>
        <v/>
      </c>
      <c r="R281" s="20" t="str">
        <f t="shared" si="44"/>
        <v/>
      </c>
    </row>
    <row r="282" spans="2:18" ht="18" customHeight="1" x14ac:dyDescent="0.3">
      <c r="B282" s="26"/>
      <c r="C282" s="27"/>
      <c r="D282" s="18" t="str">
        <f>IF(B282="","",SUMIFS('📈 Datos Completos'!$E$7:$E$5000, '📈 Datos Completos'!$B$7:$B$5000, B282, '📈 Datos Completos'!$D$7:$D$5000, C282))</f>
        <v/>
      </c>
      <c r="E282" s="18" t="str">
        <f>IF(B282="","",SUMIFS('📈 Datos Completos'!$F$7:$F$5000, '📈 Datos Completos'!$B$7:$B$5000, B282, '📈 Datos Completos'!$D$7:$D$5000, C282))</f>
        <v/>
      </c>
      <c r="F282" s="18" t="str">
        <f>IF(B282="","",SUMIFS('📈 Datos Completos'!$G$7:$G$5000, '📈 Datos Completos'!$B$7:$B$5000, B282, '📈 Datos Completos'!$D$7:$D$5000, C282))</f>
        <v/>
      </c>
      <c r="G282" s="18" t="str">
        <f t="shared" si="36"/>
        <v/>
      </c>
      <c r="H282" s="19" t="str">
        <f>IF(B282="","",SUMIFS('📈 Datos Completos'!$I$7:$I$5000, '📈 Datos Completos'!$B$7:$B$5000, B282, '📈 Datos Completos'!$D$7:$D$5000, C282))</f>
        <v/>
      </c>
      <c r="I282" s="19" t="str">
        <f t="shared" si="37"/>
        <v/>
      </c>
      <c r="J282" s="19" t="str">
        <f t="shared" si="38"/>
        <v/>
      </c>
      <c r="K282" s="19" t="str">
        <f>IF(B282="","",IF(C282="DIA", (SUMIFS('📋 Detalle Diario'!$D$5:$D$489, '📋 Detalle Diario'!$B$5:$B$489, B282, '📋 Detalle Diario'!$C$5:$C$489, C282) * '⚙️ Supuestos'!$C$24) + '⚙️ Supuestos'!$C$23, (SUMIFS('📋 Detalle Diario'!$D$5:$D$489, '📋 Detalle Diario'!$B$5:$B$489, B282, '📋 Detalle Diario'!$C$5:$C$489, C282) * '⚙️ Supuestos'!$C$24) + '⚙️ Supuestos'!$C$33))</f>
        <v/>
      </c>
      <c r="L282" s="19" t="str">
        <f t="shared" si="39"/>
        <v/>
      </c>
      <c r="M282" s="20" t="str">
        <f t="shared" si="40"/>
        <v/>
      </c>
      <c r="N282" s="19" t="str">
        <f t="shared" si="41"/>
        <v/>
      </c>
      <c r="O282" s="27" t="str">
        <f t="shared" si="42"/>
        <v/>
      </c>
      <c r="P282" s="19" t="str">
        <f t="shared" si="43"/>
        <v/>
      </c>
      <c r="Q282" s="19" t="str">
        <f>IF(B282="","",J282-P282+(SUMIFS('📋 Detalle Diario'!$E$5:$E$489, '📋 Detalle Diario'!$B$5:$B$489, B282, '📋 Detalle Diario'!$C$5:$C$489, C282)*135)+(SUMIFS('📋 Detalle Diario'!$I$5:$I$489, '📋 Detalle Diario'!$B$5:$B$489, B282, '📋 Detalle Diario'!$C$5:$C$489, C282)*200))</f>
        <v/>
      </c>
      <c r="R282" s="20" t="str">
        <f t="shared" si="44"/>
        <v/>
      </c>
    </row>
    <row r="283" spans="2:18" ht="18" customHeight="1" x14ac:dyDescent="0.3">
      <c r="B283" s="24"/>
      <c r="C283" s="25"/>
      <c r="D283" s="18" t="str">
        <f>IF(B283="","",SUMIFS('📈 Datos Completos'!$E$7:$E$5000, '📈 Datos Completos'!$B$7:$B$5000, B283, '📈 Datos Completos'!$D$7:$D$5000, C283))</f>
        <v/>
      </c>
      <c r="E283" s="18" t="str">
        <f>IF(B283="","",SUMIFS('📈 Datos Completos'!$F$7:$F$5000, '📈 Datos Completos'!$B$7:$B$5000, B283, '📈 Datos Completos'!$D$7:$D$5000, C283))</f>
        <v/>
      </c>
      <c r="F283" s="18" t="str">
        <f>IF(B283="","",SUMIFS('📈 Datos Completos'!$G$7:$G$5000, '📈 Datos Completos'!$B$7:$B$5000, B283, '📈 Datos Completos'!$D$7:$D$5000, C283))</f>
        <v/>
      </c>
      <c r="G283" s="18" t="str">
        <f t="shared" si="36"/>
        <v/>
      </c>
      <c r="H283" s="19" t="str">
        <f>IF(B283="","",SUMIFS('📈 Datos Completos'!$I$7:$I$5000, '📈 Datos Completos'!$B$7:$B$5000, B283, '📈 Datos Completos'!$D$7:$D$5000, C283))</f>
        <v/>
      </c>
      <c r="I283" s="19" t="str">
        <f t="shared" si="37"/>
        <v/>
      </c>
      <c r="J283" s="19" t="str">
        <f t="shared" si="38"/>
        <v/>
      </c>
      <c r="K283" s="19" t="str">
        <f>IF(B283="","",IF(C283="DIA", (SUMIFS('📋 Detalle Diario'!$D$5:$D$489, '📋 Detalle Diario'!$B$5:$B$489, B283, '📋 Detalle Diario'!$C$5:$C$489, C283) * '⚙️ Supuestos'!$C$24) + '⚙️ Supuestos'!$C$23, (SUMIFS('📋 Detalle Diario'!$D$5:$D$489, '📋 Detalle Diario'!$B$5:$B$489, B283, '📋 Detalle Diario'!$C$5:$C$489, C283) * '⚙️ Supuestos'!$C$24) + '⚙️ Supuestos'!$C$33))</f>
        <v/>
      </c>
      <c r="L283" s="19" t="str">
        <f t="shared" si="39"/>
        <v/>
      </c>
      <c r="M283" s="20" t="str">
        <f t="shared" si="40"/>
        <v/>
      </c>
      <c r="N283" s="19" t="str">
        <f t="shared" si="41"/>
        <v/>
      </c>
      <c r="O283" s="25" t="str">
        <f t="shared" si="42"/>
        <v/>
      </c>
      <c r="P283" s="19" t="str">
        <f t="shared" si="43"/>
        <v/>
      </c>
      <c r="Q283" s="19" t="str">
        <f>IF(B283="","",J283-P283+(SUMIFS('📋 Detalle Diario'!$E$5:$E$489, '📋 Detalle Diario'!$B$5:$B$489, B283, '📋 Detalle Diario'!$C$5:$C$489, C283)*135)+(SUMIFS('📋 Detalle Diario'!$I$5:$I$489, '📋 Detalle Diario'!$B$5:$B$489, B283, '📋 Detalle Diario'!$C$5:$C$489, C283)*200))</f>
        <v/>
      </c>
      <c r="R283" s="20" t="str">
        <f t="shared" si="44"/>
        <v/>
      </c>
    </row>
    <row r="284" spans="2:18" ht="18" customHeight="1" x14ac:dyDescent="0.3">
      <c r="B284" s="26"/>
      <c r="C284" s="27"/>
      <c r="D284" s="18" t="str">
        <f>IF(B284="","",SUMIFS('📈 Datos Completos'!$E$7:$E$5000, '📈 Datos Completos'!$B$7:$B$5000, B284, '📈 Datos Completos'!$D$7:$D$5000, C284))</f>
        <v/>
      </c>
      <c r="E284" s="18" t="str">
        <f>IF(B284="","",SUMIFS('📈 Datos Completos'!$F$7:$F$5000, '📈 Datos Completos'!$B$7:$B$5000, B284, '📈 Datos Completos'!$D$7:$D$5000, C284))</f>
        <v/>
      </c>
      <c r="F284" s="18" t="str">
        <f>IF(B284="","",SUMIFS('📈 Datos Completos'!$G$7:$G$5000, '📈 Datos Completos'!$B$7:$B$5000, B284, '📈 Datos Completos'!$D$7:$D$5000, C284))</f>
        <v/>
      </c>
      <c r="G284" s="18" t="str">
        <f t="shared" si="36"/>
        <v/>
      </c>
      <c r="H284" s="19" t="str">
        <f>IF(B284="","",SUMIFS('📈 Datos Completos'!$I$7:$I$5000, '📈 Datos Completos'!$B$7:$B$5000, B284, '📈 Datos Completos'!$D$7:$D$5000, C284))</f>
        <v/>
      </c>
      <c r="I284" s="19" t="str">
        <f t="shared" si="37"/>
        <v/>
      </c>
      <c r="J284" s="19" t="str">
        <f t="shared" si="38"/>
        <v/>
      </c>
      <c r="K284" s="19" t="str">
        <f>IF(B284="","",IF(C284="DIA", (SUMIFS('📋 Detalle Diario'!$D$5:$D$489, '📋 Detalle Diario'!$B$5:$B$489, B284, '📋 Detalle Diario'!$C$5:$C$489, C284) * '⚙️ Supuestos'!$C$24) + '⚙️ Supuestos'!$C$23, (SUMIFS('📋 Detalle Diario'!$D$5:$D$489, '📋 Detalle Diario'!$B$5:$B$489, B284, '📋 Detalle Diario'!$C$5:$C$489, C284) * '⚙️ Supuestos'!$C$24) + '⚙️ Supuestos'!$C$33))</f>
        <v/>
      </c>
      <c r="L284" s="19" t="str">
        <f t="shared" si="39"/>
        <v/>
      </c>
      <c r="M284" s="20" t="str">
        <f t="shared" si="40"/>
        <v/>
      </c>
      <c r="N284" s="19" t="str">
        <f t="shared" si="41"/>
        <v/>
      </c>
      <c r="O284" s="27" t="str">
        <f t="shared" si="42"/>
        <v/>
      </c>
      <c r="P284" s="19" t="str">
        <f t="shared" si="43"/>
        <v/>
      </c>
      <c r="Q284" s="19" t="str">
        <f>IF(B284="","",J284-P284+(SUMIFS('📋 Detalle Diario'!$E$5:$E$489, '📋 Detalle Diario'!$B$5:$B$489, B284, '📋 Detalle Diario'!$C$5:$C$489, C284)*135)+(SUMIFS('📋 Detalle Diario'!$I$5:$I$489, '📋 Detalle Diario'!$B$5:$B$489, B284, '📋 Detalle Diario'!$C$5:$C$489, C284)*200))</f>
        <v/>
      </c>
      <c r="R284" s="20" t="str">
        <f t="shared" si="44"/>
        <v/>
      </c>
    </row>
    <row r="285" spans="2:18" ht="18" customHeight="1" x14ac:dyDescent="0.3">
      <c r="B285" s="24"/>
      <c r="C285" s="25"/>
      <c r="D285" s="18" t="str">
        <f>IF(B285="","",SUMIFS('📈 Datos Completos'!$E$7:$E$5000, '📈 Datos Completos'!$B$7:$B$5000, B285, '📈 Datos Completos'!$D$7:$D$5000, C285))</f>
        <v/>
      </c>
      <c r="E285" s="18" t="str">
        <f>IF(B285="","",SUMIFS('📈 Datos Completos'!$F$7:$F$5000, '📈 Datos Completos'!$B$7:$B$5000, B285, '📈 Datos Completos'!$D$7:$D$5000, C285))</f>
        <v/>
      </c>
      <c r="F285" s="18" t="str">
        <f>IF(B285="","",SUMIFS('📈 Datos Completos'!$G$7:$G$5000, '📈 Datos Completos'!$B$7:$B$5000, B285, '📈 Datos Completos'!$D$7:$D$5000, C285))</f>
        <v/>
      </c>
      <c r="G285" s="18" t="str">
        <f t="shared" si="36"/>
        <v/>
      </c>
      <c r="H285" s="19" t="str">
        <f>IF(B285="","",SUMIFS('📈 Datos Completos'!$I$7:$I$5000, '📈 Datos Completos'!$B$7:$B$5000, B285, '📈 Datos Completos'!$D$7:$D$5000, C285))</f>
        <v/>
      </c>
      <c r="I285" s="19" t="str">
        <f t="shared" si="37"/>
        <v/>
      </c>
      <c r="J285" s="19" t="str">
        <f t="shared" si="38"/>
        <v/>
      </c>
      <c r="K285" s="19" t="str">
        <f>IF(B285="","",IF(C285="DIA", (SUMIFS('📋 Detalle Diario'!$D$5:$D$489, '📋 Detalle Diario'!$B$5:$B$489, B285, '📋 Detalle Diario'!$C$5:$C$489, C285) * '⚙️ Supuestos'!$C$24) + '⚙️ Supuestos'!$C$23, (SUMIFS('📋 Detalle Diario'!$D$5:$D$489, '📋 Detalle Diario'!$B$5:$B$489, B285, '📋 Detalle Diario'!$C$5:$C$489, C285) * '⚙️ Supuestos'!$C$24) + '⚙️ Supuestos'!$C$33))</f>
        <v/>
      </c>
      <c r="L285" s="19" t="str">
        <f t="shared" si="39"/>
        <v/>
      </c>
      <c r="M285" s="20" t="str">
        <f t="shared" si="40"/>
        <v/>
      </c>
      <c r="N285" s="19" t="str">
        <f t="shared" si="41"/>
        <v/>
      </c>
      <c r="O285" s="25" t="str">
        <f t="shared" si="42"/>
        <v/>
      </c>
      <c r="P285" s="19" t="str">
        <f t="shared" si="43"/>
        <v/>
      </c>
      <c r="Q285" s="19" t="str">
        <f>IF(B285="","",J285-P285+(SUMIFS('📋 Detalle Diario'!$E$5:$E$489, '📋 Detalle Diario'!$B$5:$B$489, B285, '📋 Detalle Diario'!$C$5:$C$489, C285)*135)+(SUMIFS('📋 Detalle Diario'!$I$5:$I$489, '📋 Detalle Diario'!$B$5:$B$489, B285, '📋 Detalle Diario'!$C$5:$C$489, C285)*200))</f>
        <v/>
      </c>
      <c r="R285" s="20" t="str">
        <f t="shared" si="44"/>
        <v/>
      </c>
    </row>
    <row r="286" spans="2:18" ht="18" customHeight="1" x14ac:dyDescent="0.3">
      <c r="B286" s="26"/>
      <c r="C286" s="27"/>
      <c r="D286" s="18" t="str">
        <f>IF(B286="","",SUMIFS('📈 Datos Completos'!$E$7:$E$5000, '📈 Datos Completos'!$B$7:$B$5000, B286, '📈 Datos Completos'!$D$7:$D$5000, C286))</f>
        <v/>
      </c>
      <c r="E286" s="18" t="str">
        <f>IF(B286="","",SUMIFS('📈 Datos Completos'!$F$7:$F$5000, '📈 Datos Completos'!$B$7:$B$5000, B286, '📈 Datos Completos'!$D$7:$D$5000, C286))</f>
        <v/>
      </c>
      <c r="F286" s="18" t="str">
        <f>IF(B286="","",SUMIFS('📈 Datos Completos'!$G$7:$G$5000, '📈 Datos Completos'!$B$7:$B$5000, B286, '📈 Datos Completos'!$D$7:$D$5000, C286))</f>
        <v/>
      </c>
      <c r="G286" s="18" t="str">
        <f t="shared" si="36"/>
        <v/>
      </c>
      <c r="H286" s="19" t="str">
        <f>IF(B286="","",SUMIFS('📈 Datos Completos'!$I$7:$I$5000, '📈 Datos Completos'!$B$7:$B$5000, B286, '📈 Datos Completos'!$D$7:$D$5000, C286))</f>
        <v/>
      </c>
      <c r="I286" s="19" t="str">
        <f t="shared" si="37"/>
        <v/>
      </c>
      <c r="J286" s="19" t="str">
        <f t="shared" si="38"/>
        <v/>
      </c>
      <c r="K286" s="19" t="str">
        <f>IF(B286="","",IF(C286="DIA", (SUMIFS('📋 Detalle Diario'!$D$5:$D$489, '📋 Detalle Diario'!$B$5:$B$489, B286, '📋 Detalle Diario'!$C$5:$C$489, C286) * '⚙️ Supuestos'!$C$24) + '⚙️ Supuestos'!$C$23, (SUMIFS('📋 Detalle Diario'!$D$5:$D$489, '📋 Detalle Diario'!$B$5:$B$489, B286, '📋 Detalle Diario'!$C$5:$C$489, C286) * '⚙️ Supuestos'!$C$24) + '⚙️ Supuestos'!$C$33))</f>
        <v/>
      </c>
      <c r="L286" s="19" t="str">
        <f t="shared" si="39"/>
        <v/>
      </c>
      <c r="M286" s="20" t="str">
        <f t="shared" si="40"/>
        <v/>
      </c>
      <c r="N286" s="19" t="str">
        <f t="shared" si="41"/>
        <v/>
      </c>
      <c r="O286" s="27" t="str">
        <f t="shared" si="42"/>
        <v/>
      </c>
      <c r="P286" s="19" t="str">
        <f t="shared" si="43"/>
        <v/>
      </c>
      <c r="Q286" s="19" t="str">
        <f>IF(B286="","",J286-P286+(SUMIFS('📋 Detalle Diario'!$E$5:$E$489, '📋 Detalle Diario'!$B$5:$B$489, B286, '📋 Detalle Diario'!$C$5:$C$489, C286)*135)+(SUMIFS('📋 Detalle Diario'!$I$5:$I$489, '📋 Detalle Diario'!$B$5:$B$489, B286, '📋 Detalle Diario'!$C$5:$C$489, C286)*200))</f>
        <v/>
      </c>
      <c r="R286" s="20" t="str">
        <f t="shared" si="44"/>
        <v/>
      </c>
    </row>
    <row r="287" spans="2:18" ht="18" customHeight="1" x14ac:dyDescent="0.3">
      <c r="B287" s="24"/>
      <c r="C287" s="25"/>
      <c r="D287" s="18" t="str">
        <f>IF(B287="","",SUMIFS('📈 Datos Completos'!$E$7:$E$5000, '📈 Datos Completos'!$B$7:$B$5000, B287, '📈 Datos Completos'!$D$7:$D$5000, C287))</f>
        <v/>
      </c>
      <c r="E287" s="18" t="str">
        <f>IF(B287="","",SUMIFS('📈 Datos Completos'!$F$7:$F$5000, '📈 Datos Completos'!$B$7:$B$5000, B287, '📈 Datos Completos'!$D$7:$D$5000, C287))</f>
        <v/>
      </c>
      <c r="F287" s="18" t="str">
        <f>IF(B287="","",SUMIFS('📈 Datos Completos'!$G$7:$G$5000, '📈 Datos Completos'!$B$7:$B$5000, B287, '📈 Datos Completos'!$D$7:$D$5000, C287))</f>
        <v/>
      </c>
      <c r="G287" s="18" t="str">
        <f t="shared" si="36"/>
        <v/>
      </c>
      <c r="H287" s="19" t="str">
        <f>IF(B287="","",SUMIFS('📈 Datos Completos'!$I$7:$I$5000, '📈 Datos Completos'!$B$7:$B$5000, B287, '📈 Datos Completos'!$D$7:$D$5000, C287))</f>
        <v/>
      </c>
      <c r="I287" s="19" t="str">
        <f t="shared" si="37"/>
        <v/>
      </c>
      <c r="J287" s="19" t="str">
        <f t="shared" si="38"/>
        <v/>
      </c>
      <c r="K287" s="19" t="str">
        <f>IF(B287="","",IF(C287="DIA", (SUMIFS('📋 Detalle Diario'!$D$5:$D$489, '📋 Detalle Diario'!$B$5:$B$489, B287, '📋 Detalle Diario'!$C$5:$C$489, C287) * '⚙️ Supuestos'!$C$24) + '⚙️ Supuestos'!$C$23, (SUMIFS('📋 Detalle Diario'!$D$5:$D$489, '📋 Detalle Diario'!$B$5:$B$489, B287, '📋 Detalle Diario'!$C$5:$C$489, C287) * '⚙️ Supuestos'!$C$24) + '⚙️ Supuestos'!$C$33))</f>
        <v/>
      </c>
      <c r="L287" s="19" t="str">
        <f t="shared" si="39"/>
        <v/>
      </c>
      <c r="M287" s="20" t="str">
        <f t="shared" si="40"/>
        <v/>
      </c>
      <c r="N287" s="19" t="str">
        <f t="shared" si="41"/>
        <v/>
      </c>
      <c r="O287" s="25" t="str">
        <f t="shared" si="42"/>
        <v/>
      </c>
      <c r="P287" s="19" t="str">
        <f t="shared" si="43"/>
        <v/>
      </c>
      <c r="Q287" s="19" t="str">
        <f>IF(B287="","",J287-P287+(SUMIFS('📋 Detalle Diario'!$E$5:$E$489, '📋 Detalle Diario'!$B$5:$B$489, B287, '📋 Detalle Diario'!$C$5:$C$489, C287)*135)+(SUMIFS('📋 Detalle Diario'!$I$5:$I$489, '📋 Detalle Diario'!$B$5:$B$489, B287, '📋 Detalle Diario'!$C$5:$C$489, C287)*200))</f>
        <v/>
      </c>
      <c r="R287" s="20" t="str">
        <f t="shared" si="44"/>
        <v/>
      </c>
    </row>
    <row r="288" spans="2:18" ht="18" customHeight="1" x14ac:dyDescent="0.3">
      <c r="B288" s="26"/>
      <c r="C288" s="27"/>
      <c r="D288" s="18" t="str">
        <f>IF(B288="","",SUMIFS('📈 Datos Completos'!$E$7:$E$5000, '📈 Datos Completos'!$B$7:$B$5000, B288, '📈 Datos Completos'!$D$7:$D$5000, C288))</f>
        <v/>
      </c>
      <c r="E288" s="18" t="str">
        <f>IF(B288="","",SUMIFS('📈 Datos Completos'!$F$7:$F$5000, '📈 Datos Completos'!$B$7:$B$5000, B288, '📈 Datos Completos'!$D$7:$D$5000, C288))</f>
        <v/>
      </c>
      <c r="F288" s="18" t="str">
        <f>IF(B288="","",SUMIFS('📈 Datos Completos'!$G$7:$G$5000, '📈 Datos Completos'!$B$7:$B$5000, B288, '📈 Datos Completos'!$D$7:$D$5000, C288))</f>
        <v/>
      </c>
      <c r="G288" s="18" t="str">
        <f t="shared" si="36"/>
        <v/>
      </c>
      <c r="H288" s="19" t="str">
        <f>IF(B288="","",SUMIFS('📈 Datos Completos'!$I$7:$I$5000, '📈 Datos Completos'!$B$7:$B$5000, B288, '📈 Datos Completos'!$D$7:$D$5000, C288))</f>
        <v/>
      </c>
      <c r="I288" s="19" t="str">
        <f t="shared" si="37"/>
        <v/>
      </c>
      <c r="J288" s="19" t="str">
        <f t="shared" si="38"/>
        <v/>
      </c>
      <c r="K288" s="19" t="str">
        <f>IF(B288="","",IF(C288="DIA", (SUMIFS('📋 Detalle Diario'!$D$5:$D$489, '📋 Detalle Diario'!$B$5:$B$489, B288, '📋 Detalle Diario'!$C$5:$C$489, C288) * '⚙️ Supuestos'!$C$24) + '⚙️ Supuestos'!$C$23, (SUMIFS('📋 Detalle Diario'!$D$5:$D$489, '📋 Detalle Diario'!$B$5:$B$489, B288, '📋 Detalle Diario'!$C$5:$C$489, C288) * '⚙️ Supuestos'!$C$24) + '⚙️ Supuestos'!$C$33))</f>
        <v/>
      </c>
      <c r="L288" s="19" t="str">
        <f t="shared" si="39"/>
        <v/>
      </c>
      <c r="M288" s="20" t="str">
        <f t="shared" si="40"/>
        <v/>
      </c>
      <c r="N288" s="19" t="str">
        <f t="shared" si="41"/>
        <v/>
      </c>
      <c r="O288" s="27" t="str">
        <f t="shared" si="42"/>
        <v/>
      </c>
      <c r="P288" s="19" t="str">
        <f t="shared" si="43"/>
        <v/>
      </c>
      <c r="Q288" s="19" t="str">
        <f>IF(B288="","",J288-P288+(SUMIFS('📋 Detalle Diario'!$E$5:$E$489, '📋 Detalle Diario'!$B$5:$B$489, B288, '📋 Detalle Diario'!$C$5:$C$489, C288)*135)+(SUMIFS('📋 Detalle Diario'!$I$5:$I$489, '📋 Detalle Diario'!$B$5:$B$489, B288, '📋 Detalle Diario'!$C$5:$C$489, C288)*200))</f>
        <v/>
      </c>
      <c r="R288" s="20" t="str">
        <f t="shared" si="44"/>
        <v/>
      </c>
    </row>
    <row r="289" spans="2:18" ht="18" customHeight="1" x14ac:dyDescent="0.3">
      <c r="B289" s="24"/>
      <c r="C289" s="25"/>
      <c r="D289" s="18" t="str">
        <f>IF(B289="","",SUMIFS('📈 Datos Completos'!$E$7:$E$5000, '📈 Datos Completos'!$B$7:$B$5000, B289, '📈 Datos Completos'!$D$7:$D$5000, C289))</f>
        <v/>
      </c>
      <c r="E289" s="18" t="str">
        <f>IF(B289="","",SUMIFS('📈 Datos Completos'!$F$7:$F$5000, '📈 Datos Completos'!$B$7:$B$5000, B289, '📈 Datos Completos'!$D$7:$D$5000, C289))</f>
        <v/>
      </c>
      <c r="F289" s="18" t="str">
        <f>IF(B289="","",SUMIFS('📈 Datos Completos'!$G$7:$G$5000, '📈 Datos Completos'!$B$7:$B$5000, B289, '📈 Datos Completos'!$D$7:$D$5000, C289))</f>
        <v/>
      </c>
      <c r="G289" s="18" t="str">
        <f t="shared" si="36"/>
        <v/>
      </c>
      <c r="H289" s="19" t="str">
        <f>IF(B289="","",SUMIFS('📈 Datos Completos'!$I$7:$I$5000, '📈 Datos Completos'!$B$7:$B$5000, B289, '📈 Datos Completos'!$D$7:$D$5000, C289))</f>
        <v/>
      </c>
      <c r="I289" s="19" t="str">
        <f t="shared" si="37"/>
        <v/>
      </c>
      <c r="J289" s="19" t="str">
        <f t="shared" si="38"/>
        <v/>
      </c>
      <c r="K289" s="19" t="str">
        <f>IF(B289="","",IF(C289="DIA", (SUMIFS('📋 Detalle Diario'!$D$5:$D$489, '📋 Detalle Diario'!$B$5:$B$489, B289, '📋 Detalle Diario'!$C$5:$C$489, C289) * '⚙️ Supuestos'!$C$24) + '⚙️ Supuestos'!$C$23, (SUMIFS('📋 Detalle Diario'!$D$5:$D$489, '📋 Detalle Diario'!$B$5:$B$489, B289, '📋 Detalle Diario'!$C$5:$C$489, C289) * '⚙️ Supuestos'!$C$24) + '⚙️ Supuestos'!$C$33))</f>
        <v/>
      </c>
      <c r="L289" s="19" t="str">
        <f t="shared" si="39"/>
        <v/>
      </c>
      <c r="M289" s="20" t="str">
        <f t="shared" si="40"/>
        <v/>
      </c>
      <c r="N289" s="19" t="str">
        <f t="shared" si="41"/>
        <v/>
      </c>
      <c r="O289" s="25" t="str">
        <f t="shared" si="42"/>
        <v/>
      </c>
      <c r="P289" s="19" t="str">
        <f t="shared" si="43"/>
        <v/>
      </c>
      <c r="Q289" s="19" t="str">
        <f>IF(B289="","",J289-P289+(SUMIFS('📋 Detalle Diario'!$E$5:$E$489, '📋 Detalle Diario'!$B$5:$B$489, B289, '📋 Detalle Diario'!$C$5:$C$489, C289)*135)+(SUMIFS('📋 Detalle Diario'!$I$5:$I$489, '📋 Detalle Diario'!$B$5:$B$489, B289, '📋 Detalle Diario'!$C$5:$C$489, C289)*200))</f>
        <v/>
      </c>
      <c r="R289" s="20" t="str">
        <f t="shared" si="44"/>
        <v/>
      </c>
    </row>
    <row r="290" spans="2:18" ht="18" customHeight="1" x14ac:dyDescent="0.3">
      <c r="B290" s="26"/>
      <c r="C290" s="27"/>
      <c r="D290" s="18" t="str">
        <f>IF(B290="","",SUMIFS('📈 Datos Completos'!$E$7:$E$5000, '📈 Datos Completos'!$B$7:$B$5000, B290, '📈 Datos Completos'!$D$7:$D$5000, C290))</f>
        <v/>
      </c>
      <c r="E290" s="18" t="str">
        <f>IF(B290="","",SUMIFS('📈 Datos Completos'!$F$7:$F$5000, '📈 Datos Completos'!$B$7:$B$5000, B290, '📈 Datos Completos'!$D$7:$D$5000, C290))</f>
        <v/>
      </c>
      <c r="F290" s="18" t="str">
        <f>IF(B290="","",SUMIFS('📈 Datos Completos'!$G$7:$G$5000, '📈 Datos Completos'!$B$7:$B$5000, B290, '📈 Datos Completos'!$D$7:$D$5000, C290))</f>
        <v/>
      </c>
      <c r="G290" s="18" t="str">
        <f t="shared" si="36"/>
        <v/>
      </c>
      <c r="H290" s="19" t="str">
        <f>IF(B290="","",SUMIFS('📈 Datos Completos'!$I$7:$I$5000, '📈 Datos Completos'!$B$7:$B$5000, B290, '📈 Datos Completos'!$D$7:$D$5000, C290))</f>
        <v/>
      </c>
      <c r="I290" s="19" t="str">
        <f t="shared" si="37"/>
        <v/>
      </c>
      <c r="J290" s="19" t="str">
        <f t="shared" si="38"/>
        <v/>
      </c>
      <c r="K290" s="19" t="str">
        <f>IF(B290="","",IF(C290="DIA", (SUMIFS('📋 Detalle Diario'!$D$5:$D$489, '📋 Detalle Diario'!$B$5:$B$489, B290, '📋 Detalle Diario'!$C$5:$C$489, C290) * '⚙️ Supuestos'!$C$24) + '⚙️ Supuestos'!$C$23, (SUMIFS('📋 Detalle Diario'!$D$5:$D$489, '📋 Detalle Diario'!$B$5:$B$489, B290, '📋 Detalle Diario'!$C$5:$C$489, C290) * '⚙️ Supuestos'!$C$24) + '⚙️ Supuestos'!$C$33))</f>
        <v/>
      </c>
      <c r="L290" s="19" t="str">
        <f t="shared" si="39"/>
        <v/>
      </c>
      <c r="M290" s="20" t="str">
        <f t="shared" si="40"/>
        <v/>
      </c>
      <c r="N290" s="19" t="str">
        <f t="shared" si="41"/>
        <v/>
      </c>
      <c r="O290" s="27" t="str">
        <f t="shared" si="42"/>
        <v/>
      </c>
      <c r="P290" s="19" t="str">
        <f t="shared" si="43"/>
        <v/>
      </c>
      <c r="Q290" s="19" t="str">
        <f>IF(B290="","",J290-P290+(SUMIFS('📋 Detalle Diario'!$E$5:$E$489, '📋 Detalle Diario'!$B$5:$B$489, B290, '📋 Detalle Diario'!$C$5:$C$489, C290)*135)+(SUMIFS('📋 Detalle Diario'!$I$5:$I$489, '📋 Detalle Diario'!$B$5:$B$489, B290, '📋 Detalle Diario'!$C$5:$C$489, C290)*200))</f>
        <v/>
      </c>
      <c r="R290" s="20" t="str">
        <f t="shared" si="44"/>
        <v/>
      </c>
    </row>
    <row r="291" spans="2:18" ht="18" customHeight="1" x14ac:dyDescent="0.3">
      <c r="B291" s="24"/>
      <c r="C291" s="25"/>
      <c r="D291" s="18" t="str">
        <f>IF(B291="","",SUMIFS('📈 Datos Completos'!$E$7:$E$5000, '📈 Datos Completos'!$B$7:$B$5000, B291, '📈 Datos Completos'!$D$7:$D$5000, C291))</f>
        <v/>
      </c>
      <c r="E291" s="18" t="str">
        <f>IF(B291="","",SUMIFS('📈 Datos Completos'!$F$7:$F$5000, '📈 Datos Completos'!$B$7:$B$5000, B291, '📈 Datos Completos'!$D$7:$D$5000, C291))</f>
        <v/>
      </c>
      <c r="F291" s="18" t="str">
        <f>IF(B291="","",SUMIFS('📈 Datos Completos'!$G$7:$G$5000, '📈 Datos Completos'!$B$7:$B$5000, B291, '📈 Datos Completos'!$D$7:$D$5000, C291))</f>
        <v/>
      </c>
      <c r="G291" s="18" t="str">
        <f t="shared" si="36"/>
        <v/>
      </c>
      <c r="H291" s="19" t="str">
        <f>IF(B291="","",SUMIFS('📈 Datos Completos'!$I$7:$I$5000, '📈 Datos Completos'!$B$7:$B$5000, B291, '📈 Datos Completos'!$D$7:$D$5000, C291))</f>
        <v/>
      </c>
      <c r="I291" s="19" t="str">
        <f t="shared" si="37"/>
        <v/>
      </c>
      <c r="J291" s="19" t="str">
        <f t="shared" si="38"/>
        <v/>
      </c>
      <c r="K291" s="19" t="str">
        <f>IF(B291="","",IF(C291="DIA", (SUMIFS('📋 Detalle Diario'!$D$5:$D$489, '📋 Detalle Diario'!$B$5:$B$489, B291, '📋 Detalle Diario'!$C$5:$C$489, C291) * '⚙️ Supuestos'!$C$24) + '⚙️ Supuestos'!$C$23, (SUMIFS('📋 Detalle Diario'!$D$5:$D$489, '📋 Detalle Diario'!$B$5:$B$489, B291, '📋 Detalle Diario'!$C$5:$C$489, C291) * '⚙️ Supuestos'!$C$24) + '⚙️ Supuestos'!$C$33))</f>
        <v/>
      </c>
      <c r="L291" s="19" t="str">
        <f t="shared" si="39"/>
        <v/>
      </c>
      <c r="M291" s="20" t="str">
        <f t="shared" si="40"/>
        <v/>
      </c>
      <c r="N291" s="19" t="str">
        <f t="shared" si="41"/>
        <v/>
      </c>
      <c r="O291" s="25" t="str">
        <f t="shared" si="42"/>
        <v/>
      </c>
      <c r="P291" s="19" t="str">
        <f t="shared" si="43"/>
        <v/>
      </c>
      <c r="Q291" s="19" t="str">
        <f>IF(B291="","",J291-P291+(SUMIFS('📋 Detalle Diario'!$E$5:$E$489, '📋 Detalle Diario'!$B$5:$B$489, B291, '📋 Detalle Diario'!$C$5:$C$489, C291)*135)+(SUMIFS('📋 Detalle Diario'!$I$5:$I$489, '📋 Detalle Diario'!$B$5:$B$489, B291, '📋 Detalle Diario'!$C$5:$C$489, C291)*200))</f>
        <v/>
      </c>
      <c r="R291" s="20" t="str">
        <f t="shared" si="44"/>
        <v/>
      </c>
    </row>
    <row r="292" spans="2:18" ht="18" customHeight="1" x14ac:dyDescent="0.3">
      <c r="B292" s="26"/>
      <c r="C292" s="27"/>
      <c r="D292" s="18" t="str">
        <f>IF(B292="","",SUMIFS('📈 Datos Completos'!$E$7:$E$5000, '📈 Datos Completos'!$B$7:$B$5000, B292, '📈 Datos Completos'!$D$7:$D$5000, C292))</f>
        <v/>
      </c>
      <c r="E292" s="18" t="str">
        <f>IF(B292="","",SUMIFS('📈 Datos Completos'!$F$7:$F$5000, '📈 Datos Completos'!$B$7:$B$5000, B292, '📈 Datos Completos'!$D$7:$D$5000, C292))</f>
        <v/>
      </c>
      <c r="F292" s="18" t="str">
        <f>IF(B292="","",SUMIFS('📈 Datos Completos'!$G$7:$G$5000, '📈 Datos Completos'!$B$7:$B$5000, B292, '📈 Datos Completos'!$D$7:$D$5000, C292))</f>
        <v/>
      </c>
      <c r="G292" s="18" t="str">
        <f t="shared" si="36"/>
        <v/>
      </c>
      <c r="H292" s="19" t="str">
        <f>IF(B292="","",SUMIFS('📈 Datos Completos'!$I$7:$I$5000, '📈 Datos Completos'!$B$7:$B$5000, B292, '📈 Datos Completos'!$D$7:$D$5000, C292))</f>
        <v/>
      </c>
      <c r="I292" s="19" t="str">
        <f t="shared" si="37"/>
        <v/>
      </c>
      <c r="J292" s="19" t="str">
        <f t="shared" si="38"/>
        <v/>
      </c>
      <c r="K292" s="19" t="str">
        <f>IF(B292="","",IF(C292="DIA", (SUMIFS('📋 Detalle Diario'!$D$5:$D$489, '📋 Detalle Diario'!$B$5:$B$489, B292, '📋 Detalle Diario'!$C$5:$C$489, C292) * '⚙️ Supuestos'!$C$24) + '⚙️ Supuestos'!$C$23, (SUMIFS('📋 Detalle Diario'!$D$5:$D$489, '📋 Detalle Diario'!$B$5:$B$489, B292, '📋 Detalle Diario'!$C$5:$C$489, C292) * '⚙️ Supuestos'!$C$24) + '⚙️ Supuestos'!$C$33))</f>
        <v/>
      </c>
      <c r="L292" s="19" t="str">
        <f t="shared" si="39"/>
        <v/>
      </c>
      <c r="M292" s="20" t="str">
        <f t="shared" si="40"/>
        <v/>
      </c>
      <c r="N292" s="19" t="str">
        <f t="shared" si="41"/>
        <v/>
      </c>
      <c r="O292" s="27" t="str">
        <f t="shared" si="42"/>
        <v/>
      </c>
      <c r="P292" s="19" t="str">
        <f t="shared" si="43"/>
        <v/>
      </c>
      <c r="Q292" s="19" t="str">
        <f>IF(B292="","",J292-P292+(SUMIFS('📋 Detalle Diario'!$E$5:$E$489, '📋 Detalle Diario'!$B$5:$B$489, B292, '📋 Detalle Diario'!$C$5:$C$489, C292)*135)+(SUMIFS('📋 Detalle Diario'!$I$5:$I$489, '📋 Detalle Diario'!$B$5:$B$489, B292, '📋 Detalle Diario'!$C$5:$C$489, C292)*200))</f>
        <v/>
      </c>
      <c r="R292" s="20" t="str">
        <f t="shared" si="44"/>
        <v/>
      </c>
    </row>
    <row r="293" spans="2:18" ht="18" customHeight="1" x14ac:dyDescent="0.3">
      <c r="B293" s="24"/>
      <c r="C293" s="25"/>
      <c r="D293" s="18" t="str">
        <f>IF(B293="","",SUMIFS('📈 Datos Completos'!$E$7:$E$5000, '📈 Datos Completos'!$B$7:$B$5000, B293, '📈 Datos Completos'!$D$7:$D$5000, C293))</f>
        <v/>
      </c>
      <c r="E293" s="18" t="str">
        <f>IF(B293="","",SUMIFS('📈 Datos Completos'!$F$7:$F$5000, '📈 Datos Completos'!$B$7:$B$5000, B293, '📈 Datos Completos'!$D$7:$D$5000, C293))</f>
        <v/>
      </c>
      <c r="F293" s="18" t="str">
        <f>IF(B293="","",SUMIFS('📈 Datos Completos'!$G$7:$G$5000, '📈 Datos Completos'!$B$7:$B$5000, B293, '📈 Datos Completos'!$D$7:$D$5000, C293))</f>
        <v/>
      </c>
      <c r="G293" s="18" t="str">
        <f t="shared" si="36"/>
        <v/>
      </c>
      <c r="H293" s="19" t="str">
        <f>IF(B293="","",SUMIFS('📈 Datos Completos'!$I$7:$I$5000, '📈 Datos Completos'!$B$7:$B$5000, B293, '📈 Datos Completos'!$D$7:$D$5000, C293))</f>
        <v/>
      </c>
      <c r="I293" s="19" t="str">
        <f t="shared" si="37"/>
        <v/>
      </c>
      <c r="J293" s="19" t="str">
        <f t="shared" si="38"/>
        <v/>
      </c>
      <c r="K293" s="19" t="str">
        <f>IF(B293="","",IF(C293="DIA", (SUMIFS('📋 Detalle Diario'!$D$5:$D$489, '📋 Detalle Diario'!$B$5:$B$489, B293, '📋 Detalle Diario'!$C$5:$C$489, C293) * '⚙️ Supuestos'!$C$24) + '⚙️ Supuestos'!$C$23, (SUMIFS('📋 Detalle Diario'!$D$5:$D$489, '📋 Detalle Diario'!$B$5:$B$489, B293, '📋 Detalle Diario'!$C$5:$C$489, C293) * '⚙️ Supuestos'!$C$24) + '⚙️ Supuestos'!$C$33))</f>
        <v/>
      </c>
      <c r="L293" s="19" t="str">
        <f t="shared" si="39"/>
        <v/>
      </c>
      <c r="M293" s="20" t="str">
        <f t="shared" si="40"/>
        <v/>
      </c>
      <c r="N293" s="19" t="str">
        <f t="shared" si="41"/>
        <v/>
      </c>
      <c r="O293" s="25" t="str">
        <f t="shared" si="42"/>
        <v/>
      </c>
      <c r="P293" s="19" t="str">
        <f t="shared" si="43"/>
        <v/>
      </c>
      <c r="Q293" s="19" t="str">
        <f>IF(B293="","",J293-P293+(SUMIFS('📋 Detalle Diario'!$E$5:$E$489, '📋 Detalle Diario'!$B$5:$B$489, B293, '📋 Detalle Diario'!$C$5:$C$489, C293)*135)+(SUMIFS('📋 Detalle Diario'!$I$5:$I$489, '📋 Detalle Diario'!$B$5:$B$489, B293, '📋 Detalle Diario'!$C$5:$C$489, C293)*200))</f>
        <v/>
      </c>
      <c r="R293" s="20" t="str">
        <f t="shared" si="44"/>
        <v/>
      </c>
    </row>
    <row r="294" spans="2:18" ht="18" customHeight="1" x14ac:dyDescent="0.3">
      <c r="B294" s="26"/>
      <c r="C294" s="27"/>
      <c r="D294" s="18" t="str">
        <f>IF(B294="","",SUMIFS('📈 Datos Completos'!$E$7:$E$5000, '📈 Datos Completos'!$B$7:$B$5000, B294, '📈 Datos Completos'!$D$7:$D$5000, C294))</f>
        <v/>
      </c>
      <c r="E294" s="18" t="str">
        <f>IF(B294="","",SUMIFS('📈 Datos Completos'!$F$7:$F$5000, '📈 Datos Completos'!$B$7:$B$5000, B294, '📈 Datos Completos'!$D$7:$D$5000, C294))</f>
        <v/>
      </c>
      <c r="F294" s="18" t="str">
        <f>IF(B294="","",SUMIFS('📈 Datos Completos'!$G$7:$G$5000, '📈 Datos Completos'!$B$7:$B$5000, B294, '📈 Datos Completos'!$D$7:$D$5000, C294))</f>
        <v/>
      </c>
      <c r="G294" s="18" t="str">
        <f t="shared" si="36"/>
        <v/>
      </c>
      <c r="H294" s="19" t="str">
        <f>IF(B294="","",SUMIFS('📈 Datos Completos'!$I$7:$I$5000, '📈 Datos Completos'!$B$7:$B$5000, B294, '📈 Datos Completos'!$D$7:$D$5000, C294))</f>
        <v/>
      </c>
      <c r="I294" s="19" t="str">
        <f t="shared" si="37"/>
        <v/>
      </c>
      <c r="J294" s="19" t="str">
        <f t="shared" si="38"/>
        <v/>
      </c>
      <c r="K294" s="19" t="str">
        <f>IF(B294="","",IF(C294="DIA", (SUMIFS('📋 Detalle Diario'!$D$5:$D$489, '📋 Detalle Diario'!$B$5:$B$489, B294, '📋 Detalle Diario'!$C$5:$C$489, C294) * '⚙️ Supuestos'!$C$24) + '⚙️ Supuestos'!$C$23, (SUMIFS('📋 Detalle Diario'!$D$5:$D$489, '📋 Detalle Diario'!$B$5:$B$489, B294, '📋 Detalle Diario'!$C$5:$C$489, C294) * '⚙️ Supuestos'!$C$24) + '⚙️ Supuestos'!$C$33))</f>
        <v/>
      </c>
      <c r="L294" s="19" t="str">
        <f t="shared" si="39"/>
        <v/>
      </c>
      <c r="M294" s="20" t="str">
        <f t="shared" si="40"/>
        <v/>
      </c>
      <c r="N294" s="19" t="str">
        <f t="shared" si="41"/>
        <v/>
      </c>
      <c r="O294" s="27" t="str">
        <f t="shared" si="42"/>
        <v/>
      </c>
      <c r="P294" s="19" t="str">
        <f t="shared" si="43"/>
        <v/>
      </c>
      <c r="Q294" s="19" t="str">
        <f>IF(B294="","",J294-P294+(SUMIFS('📋 Detalle Diario'!$E$5:$E$489, '📋 Detalle Diario'!$B$5:$B$489, B294, '📋 Detalle Diario'!$C$5:$C$489, C294)*135)+(SUMIFS('📋 Detalle Diario'!$I$5:$I$489, '📋 Detalle Diario'!$B$5:$B$489, B294, '📋 Detalle Diario'!$C$5:$C$489, C294)*200))</f>
        <v/>
      </c>
      <c r="R294" s="20" t="str">
        <f t="shared" si="44"/>
        <v/>
      </c>
    </row>
    <row r="295" spans="2:18" ht="18" customHeight="1" x14ac:dyDescent="0.3">
      <c r="B295" s="24"/>
      <c r="C295" s="25"/>
      <c r="D295" s="18" t="str">
        <f>IF(B295="","",SUMIFS('📈 Datos Completos'!$E$7:$E$5000, '📈 Datos Completos'!$B$7:$B$5000, B295, '📈 Datos Completos'!$D$7:$D$5000, C295))</f>
        <v/>
      </c>
      <c r="E295" s="18" t="str">
        <f>IF(B295="","",SUMIFS('📈 Datos Completos'!$F$7:$F$5000, '📈 Datos Completos'!$B$7:$B$5000, B295, '📈 Datos Completos'!$D$7:$D$5000, C295))</f>
        <v/>
      </c>
      <c r="F295" s="18" t="str">
        <f>IF(B295="","",SUMIFS('📈 Datos Completos'!$G$7:$G$5000, '📈 Datos Completos'!$B$7:$B$5000, B295, '📈 Datos Completos'!$D$7:$D$5000, C295))</f>
        <v/>
      </c>
      <c r="G295" s="18" t="str">
        <f t="shared" si="36"/>
        <v/>
      </c>
      <c r="H295" s="19" t="str">
        <f>IF(B295="","",SUMIFS('📈 Datos Completos'!$I$7:$I$5000, '📈 Datos Completos'!$B$7:$B$5000, B295, '📈 Datos Completos'!$D$7:$D$5000, C295))</f>
        <v/>
      </c>
      <c r="I295" s="19" t="str">
        <f t="shared" si="37"/>
        <v/>
      </c>
      <c r="J295" s="19" t="str">
        <f t="shared" si="38"/>
        <v/>
      </c>
      <c r="K295" s="19" t="str">
        <f>IF(B295="","",IF(C295="DIA", (SUMIFS('📋 Detalle Diario'!$D$5:$D$489, '📋 Detalle Diario'!$B$5:$B$489, B295, '📋 Detalle Diario'!$C$5:$C$489, C295) * '⚙️ Supuestos'!$C$24) + '⚙️ Supuestos'!$C$23, (SUMIFS('📋 Detalle Diario'!$D$5:$D$489, '📋 Detalle Diario'!$B$5:$B$489, B295, '📋 Detalle Diario'!$C$5:$C$489, C295) * '⚙️ Supuestos'!$C$24) + '⚙️ Supuestos'!$C$33))</f>
        <v/>
      </c>
      <c r="L295" s="19" t="str">
        <f t="shared" si="39"/>
        <v/>
      </c>
      <c r="M295" s="20" t="str">
        <f t="shared" si="40"/>
        <v/>
      </c>
      <c r="N295" s="19" t="str">
        <f t="shared" si="41"/>
        <v/>
      </c>
      <c r="O295" s="25" t="str">
        <f t="shared" si="42"/>
        <v/>
      </c>
      <c r="P295" s="19" t="str">
        <f t="shared" si="43"/>
        <v/>
      </c>
      <c r="Q295" s="19" t="str">
        <f>IF(B295="","",J295-P295+(SUMIFS('📋 Detalle Diario'!$E$5:$E$489, '📋 Detalle Diario'!$B$5:$B$489, B295, '📋 Detalle Diario'!$C$5:$C$489, C295)*135)+(SUMIFS('📋 Detalle Diario'!$I$5:$I$489, '📋 Detalle Diario'!$B$5:$B$489, B295, '📋 Detalle Diario'!$C$5:$C$489, C295)*200))</f>
        <v/>
      </c>
      <c r="R295" s="20" t="str">
        <f t="shared" si="44"/>
        <v/>
      </c>
    </row>
    <row r="296" spans="2:18" ht="18" customHeight="1" x14ac:dyDescent="0.3">
      <c r="B296" s="26"/>
      <c r="C296" s="27"/>
      <c r="D296" s="18" t="str">
        <f>IF(B296="","",SUMIFS('📈 Datos Completos'!$E$7:$E$5000, '📈 Datos Completos'!$B$7:$B$5000, B296, '📈 Datos Completos'!$D$7:$D$5000, C296))</f>
        <v/>
      </c>
      <c r="E296" s="18" t="str">
        <f>IF(B296="","",SUMIFS('📈 Datos Completos'!$F$7:$F$5000, '📈 Datos Completos'!$B$7:$B$5000, B296, '📈 Datos Completos'!$D$7:$D$5000, C296))</f>
        <v/>
      </c>
      <c r="F296" s="18" t="str">
        <f>IF(B296="","",SUMIFS('📈 Datos Completos'!$G$7:$G$5000, '📈 Datos Completos'!$B$7:$B$5000, B296, '📈 Datos Completos'!$D$7:$D$5000, C296))</f>
        <v/>
      </c>
      <c r="G296" s="18" t="str">
        <f t="shared" si="36"/>
        <v/>
      </c>
      <c r="H296" s="19" t="str">
        <f>IF(B296="","",SUMIFS('📈 Datos Completos'!$I$7:$I$5000, '📈 Datos Completos'!$B$7:$B$5000, B296, '📈 Datos Completos'!$D$7:$D$5000, C296))</f>
        <v/>
      </c>
      <c r="I296" s="19" t="str">
        <f t="shared" si="37"/>
        <v/>
      </c>
      <c r="J296" s="19" t="str">
        <f t="shared" si="38"/>
        <v/>
      </c>
      <c r="K296" s="19" t="str">
        <f>IF(B296="","",IF(C296="DIA", (SUMIFS('📋 Detalle Diario'!$D$5:$D$489, '📋 Detalle Diario'!$B$5:$B$489, B296, '📋 Detalle Diario'!$C$5:$C$489, C296) * '⚙️ Supuestos'!$C$24) + '⚙️ Supuestos'!$C$23, (SUMIFS('📋 Detalle Diario'!$D$5:$D$489, '📋 Detalle Diario'!$B$5:$B$489, B296, '📋 Detalle Diario'!$C$5:$C$489, C296) * '⚙️ Supuestos'!$C$24) + '⚙️ Supuestos'!$C$33))</f>
        <v/>
      </c>
      <c r="L296" s="19" t="str">
        <f t="shared" si="39"/>
        <v/>
      </c>
      <c r="M296" s="20" t="str">
        <f t="shared" si="40"/>
        <v/>
      </c>
      <c r="N296" s="19" t="str">
        <f t="shared" si="41"/>
        <v/>
      </c>
      <c r="O296" s="27" t="str">
        <f t="shared" si="42"/>
        <v/>
      </c>
      <c r="P296" s="19" t="str">
        <f t="shared" si="43"/>
        <v/>
      </c>
      <c r="Q296" s="19" t="str">
        <f>IF(B296="","",J296-P296+(SUMIFS('📋 Detalle Diario'!$E$5:$E$489, '📋 Detalle Diario'!$B$5:$B$489, B296, '📋 Detalle Diario'!$C$5:$C$489, C296)*135)+(SUMIFS('📋 Detalle Diario'!$I$5:$I$489, '📋 Detalle Diario'!$B$5:$B$489, B296, '📋 Detalle Diario'!$C$5:$C$489, C296)*200))</f>
        <v/>
      </c>
      <c r="R296" s="20" t="str">
        <f t="shared" si="44"/>
        <v/>
      </c>
    </row>
    <row r="297" spans="2:18" ht="18" customHeight="1" x14ac:dyDescent="0.3">
      <c r="B297" s="24"/>
      <c r="C297" s="25"/>
      <c r="D297" s="18" t="str">
        <f>IF(B297="","",SUMIFS('📈 Datos Completos'!$E$7:$E$5000, '📈 Datos Completos'!$B$7:$B$5000, B297, '📈 Datos Completos'!$D$7:$D$5000, C297))</f>
        <v/>
      </c>
      <c r="E297" s="18" t="str">
        <f>IF(B297="","",SUMIFS('📈 Datos Completos'!$F$7:$F$5000, '📈 Datos Completos'!$B$7:$B$5000, B297, '📈 Datos Completos'!$D$7:$D$5000, C297))</f>
        <v/>
      </c>
      <c r="F297" s="18" t="str">
        <f>IF(B297="","",SUMIFS('📈 Datos Completos'!$G$7:$G$5000, '📈 Datos Completos'!$B$7:$B$5000, B297, '📈 Datos Completos'!$D$7:$D$5000, C297))</f>
        <v/>
      </c>
      <c r="G297" s="18" t="str">
        <f t="shared" si="36"/>
        <v/>
      </c>
      <c r="H297" s="19" t="str">
        <f>IF(B297="","",SUMIFS('📈 Datos Completos'!$I$7:$I$5000, '📈 Datos Completos'!$B$7:$B$5000, B297, '📈 Datos Completos'!$D$7:$D$5000, C297))</f>
        <v/>
      </c>
      <c r="I297" s="19" t="str">
        <f t="shared" si="37"/>
        <v/>
      </c>
      <c r="J297" s="19" t="str">
        <f t="shared" si="38"/>
        <v/>
      </c>
      <c r="K297" s="19" t="str">
        <f>IF(B297="","",IF(C297="DIA", (SUMIFS('📋 Detalle Diario'!$D$5:$D$489, '📋 Detalle Diario'!$B$5:$B$489, B297, '📋 Detalle Diario'!$C$5:$C$489, C297) * '⚙️ Supuestos'!$C$24) + '⚙️ Supuestos'!$C$23, (SUMIFS('📋 Detalle Diario'!$D$5:$D$489, '📋 Detalle Diario'!$B$5:$B$489, B297, '📋 Detalle Diario'!$C$5:$C$489, C297) * '⚙️ Supuestos'!$C$24) + '⚙️ Supuestos'!$C$33))</f>
        <v/>
      </c>
      <c r="L297" s="19" t="str">
        <f t="shared" si="39"/>
        <v/>
      </c>
      <c r="M297" s="20" t="str">
        <f t="shared" si="40"/>
        <v/>
      </c>
      <c r="N297" s="19" t="str">
        <f t="shared" si="41"/>
        <v/>
      </c>
      <c r="O297" s="25" t="str">
        <f t="shared" si="42"/>
        <v/>
      </c>
      <c r="P297" s="19" t="str">
        <f t="shared" si="43"/>
        <v/>
      </c>
      <c r="Q297" s="19" t="str">
        <f>IF(B297="","",J297-P297+(SUMIFS('📋 Detalle Diario'!$E$5:$E$489, '📋 Detalle Diario'!$B$5:$B$489, B297, '📋 Detalle Diario'!$C$5:$C$489, C297)*135)+(SUMIFS('📋 Detalle Diario'!$I$5:$I$489, '📋 Detalle Diario'!$B$5:$B$489, B297, '📋 Detalle Diario'!$C$5:$C$489, C297)*200))</f>
        <v/>
      </c>
      <c r="R297" s="20" t="str">
        <f t="shared" si="44"/>
        <v/>
      </c>
    </row>
    <row r="298" spans="2:18" ht="18" customHeight="1" x14ac:dyDescent="0.3">
      <c r="B298" s="26"/>
      <c r="C298" s="27"/>
      <c r="D298" s="18" t="str">
        <f>IF(B298="","",SUMIFS('📈 Datos Completos'!$E$7:$E$5000, '📈 Datos Completos'!$B$7:$B$5000, B298, '📈 Datos Completos'!$D$7:$D$5000, C298))</f>
        <v/>
      </c>
      <c r="E298" s="18" t="str">
        <f>IF(B298="","",SUMIFS('📈 Datos Completos'!$F$7:$F$5000, '📈 Datos Completos'!$B$7:$B$5000, B298, '📈 Datos Completos'!$D$7:$D$5000, C298))</f>
        <v/>
      </c>
      <c r="F298" s="18" t="str">
        <f>IF(B298="","",SUMIFS('📈 Datos Completos'!$G$7:$G$5000, '📈 Datos Completos'!$B$7:$B$5000, B298, '📈 Datos Completos'!$D$7:$D$5000, C298))</f>
        <v/>
      </c>
      <c r="G298" s="18" t="str">
        <f t="shared" si="36"/>
        <v/>
      </c>
      <c r="H298" s="19" t="str">
        <f>IF(B298="","",SUMIFS('📈 Datos Completos'!$I$7:$I$5000, '📈 Datos Completos'!$B$7:$B$5000, B298, '📈 Datos Completos'!$D$7:$D$5000, C298))</f>
        <v/>
      </c>
      <c r="I298" s="19" t="str">
        <f t="shared" si="37"/>
        <v/>
      </c>
      <c r="J298" s="19" t="str">
        <f t="shared" si="38"/>
        <v/>
      </c>
      <c r="K298" s="19" t="str">
        <f>IF(B298="","",IF(C298="DIA", (SUMIFS('📋 Detalle Diario'!$D$5:$D$489, '📋 Detalle Diario'!$B$5:$B$489, B298, '📋 Detalle Diario'!$C$5:$C$489, C298) * '⚙️ Supuestos'!$C$24) + '⚙️ Supuestos'!$C$23, (SUMIFS('📋 Detalle Diario'!$D$5:$D$489, '📋 Detalle Diario'!$B$5:$B$489, B298, '📋 Detalle Diario'!$C$5:$C$489, C298) * '⚙️ Supuestos'!$C$24) + '⚙️ Supuestos'!$C$33))</f>
        <v/>
      </c>
      <c r="L298" s="19" t="str">
        <f t="shared" si="39"/>
        <v/>
      </c>
      <c r="M298" s="20" t="str">
        <f t="shared" si="40"/>
        <v/>
      </c>
      <c r="N298" s="19" t="str">
        <f t="shared" si="41"/>
        <v/>
      </c>
      <c r="O298" s="27" t="str">
        <f t="shared" si="42"/>
        <v/>
      </c>
      <c r="P298" s="19" t="str">
        <f t="shared" si="43"/>
        <v/>
      </c>
      <c r="Q298" s="19" t="str">
        <f>IF(B298="","",J298-P298+(SUMIFS('📋 Detalle Diario'!$E$5:$E$489, '📋 Detalle Diario'!$B$5:$B$489, B298, '📋 Detalle Diario'!$C$5:$C$489, C298)*135)+(SUMIFS('📋 Detalle Diario'!$I$5:$I$489, '📋 Detalle Diario'!$B$5:$B$489, B298, '📋 Detalle Diario'!$C$5:$C$489, C298)*200))</f>
        <v/>
      </c>
      <c r="R298" s="20" t="str">
        <f t="shared" si="44"/>
        <v/>
      </c>
    </row>
    <row r="299" spans="2:18" ht="18" customHeight="1" x14ac:dyDescent="0.3">
      <c r="B299" s="24"/>
      <c r="C299" s="25"/>
      <c r="D299" s="18" t="str">
        <f>IF(B299="","",SUMIFS('📈 Datos Completos'!$E$7:$E$5000, '📈 Datos Completos'!$B$7:$B$5000, B299, '📈 Datos Completos'!$D$7:$D$5000, C299))</f>
        <v/>
      </c>
      <c r="E299" s="18" t="str">
        <f>IF(B299="","",SUMIFS('📈 Datos Completos'!$F$7:$F$5000, '📈 Datos Completos'!$B$7:$B$5000, B299, '📈 Datos Completos'!$D$7:$D$5000, C299))</f>
        <v/>
      </c>
      <c r="F299" s="18" t="str">
        <f>IF(B299="","",SUMIFS('📈 Datos Completos'!$G$7:$G$5000, '📈 Datos Completos'!$B$7:$B$5000, B299, '📈 Datos Completos'!$D$7:$D$5000, C299))</f>
        <v/>
      </c>
      <c r="G299" s="18" t="str">
        <f t="shared" si="36"/>
        <v/>
      </c>
      <c r="H299" s="19" t="str">
        <f>IF(B299="","",SUMIFS('📈 Datos Completos'!$I$7:$I$5000, '📈 Datos Completos'!$B$7:$B$5000, B299, '📈 Datos Completos'!$D$7:$D$5000, C299))</f>
        <v/>
      </c>
      <c r="I299" s="19" t="str">
        <f t="shared" si="37"/>
        <v/>
      </c>
      <c r="J299" s="19" t="str">
        <f t="shared" si="38"/>
        <v/>
      </c>
      <c r="K299" s="19" t="str">
        <f>IF(B299="","",IF(C299="DIA", (SUMIFS('📋 Detalle Diario'!$D$5:$D$489, '📋 Detalle Diario'!$B$5:$B$489, B299, '📋 Detalle Diario'!$C$5:$C$489, C299) * '⚙️ Supuestos'!$C$24) + '⚙️ Supuestos'!$C$23, (SUMIFS('📋 Detalle Diario'!$D$5:$D$489, '📋 Detalle Diario'!$B$5:$B$489, B299, '📋 Detalle Diario'!$C$5:$C$489, C299) * '⚙️ Supuestos'!$C$24) + '⚙️ Supuestos'!$C$33))</f>
        <v/>
      </c>
      <c r="L299" s="19" t="str">
        <f t="shared" si="39"/>
        <v/>
      </c>
      <c r="M299" s="20" t="str">
        <f t="shared" si="40"/>
        <v/>
      </c>
      <c r="N299" s="19" t="str">
        <f t="shared" si="41"/>
        <v/>
      </c>
      <c r="O299" s="25" t="str">
        <f t="shared" si="42"/>
        <v/>
      </c>
      <c r="P299" s="19" t="str">
        <f t="shared" si="43"/>
        <v/>
      </c>
      <c r="Q299" s="19" t="str">
        <f>IF(B299="","",J299-P299+(SUMIFS('📋 Detalle Diario'!$E$5:$E$489, '📋 Detalle Diario'!$B$5:$B$489, B299, '📋 Detalle Diario'!$C$5:$C$489, C299)*135)+(SUMIFS('📋 Detalle Diario'!$I$5:$I$489, '📋 Detalle Diario'!$B$5:$B$489, B299, '📋 Detalle Diario'!$C$5:$C$489, C299)*200))</f>
        <v/>
      </c>
      <c r="R299" s="20" t="str">
        <f t="shared" si="44"/>
        <v/>
      </c>
    </row>
    <row r="300" spans="2:18" ht="18" customHeight="1" x14ac:dyDescent="0.3">
      <c r="B300" s="26"/>
      <c r="C300" s="27"/>
      <c r="D300" s="18" t="str">
        <f>IF(B300="","",SUMIFS('📈 Datos Completos'!$E$7:$E$5000, '📈 Datos Completos'!$B$7:$B$5000, B300, '📈 Datos Completos'!$D$7:$D$5000, C300))</f>
        <v/>
      </c>
      <c r="E300" s="18" t="str">
        <f>IF(B300="","",SUMIFS('📈 Datos Completos'!$F$7:$F$5000, '📈 Datos Completos'!$B$7:$B$5000, B300, '📈 Datos Completos'!$D$7:$D$5000, C300))</f>
        <v/>
      </c>
      <c r="F300" s="18" t="str">
        <f>IF(B300="","",SUMIFS('📈 Datos Completos'!$G$7:$G$5000, '📈 Datos Completos'!$B$7:$B$5000, B300, '📈 Datos Completos'!$D$7:$D$5000, C300))</f>
        <v/>
      </c>
      <c r="G300" s="18" t="str">
        <f t="shared" si="36"/>
        <v/>
      </c>
      <c r="H300" s="19" t="str">
        <f>IF(B300="","",SUMIFS('📈 Datos Completos'!$I$7:$I$5000, '📈 Datos Completos'!$B$7:$B$5000, B300, '📈 Datos Completos'!$D$7:$D$5000, C300))</f>
        <v/>
      </c>
      <c r="I300" s="19" t="str">
        <f t="shared" si="37"/>
        <v/>
      </c>
      <c r="J300" s="19" t="str">
        <f t="shared" si="38"/>
        <v/>
      </c>
      <c r="K300" s="19" t="str">
        <f>IF(B300="","",IF(C300="DIA", (SUMIFS('📋 Detalle Diario'!$D$5:$D$489, '📋 Detalle Diario'!$B$5:$B$489, B300, '📋 Detalle Diario'!$C$5:$C$489, C300) * '⚙️ Supuestos'!$C$24) + '⚙️ Supuestos'!$C$23, (SUMIFS('📋 Detalle Diario'!$D$5:$D$489, '📋 Detalle Diario'!$B$5:$B$489, B300, '📋 Detalle Diario'!$C$5:$C$489, C300) * '⚙️ Supuestos'!$C$24) + '⚙️ Supuestos'!$C$33))</f>
        <v/>
      </c>
      <c r="L300" s="19" t="str">
        <f t="shared" si="39"/>
        <v/>
      </c>
      <c r="M300" s="20" t="str">
        <f t="shared" si="40"/>
        <v/>
      </c>
      <c r="N300" s="19" t="str">
        <f t="shared" si="41"/>
        <v/>
      </c>
      <c r="O300" s="27" t="str">
        <f t="shared" si="42"/>
        <v/>
      </c>
      <c r="P300" s="19" t="str">
        <f t="shared" si="43"/>
        <v/>
      </c>
      <c r="Q300" s="19" t="str">
        <f>IF(B300="","",J300-P300+(SUMIFS('📋 Detalle Diario'!$E$5:$E$489, '📋 Detalle Diario'!$B$5:$B$489, B300, '📋 Detalle Diario'!$C$5:$C$489, C300)*135)+(SUMIFS('📋 Detalle Diario'!$I$5:$I$489, '📋 Detalle Diario'!$B$5:$B$489, B300, '📋 Detalle Diario'!$C$5:$C$489, C300)*200))</f>
        <v/>
      </c>
      <c r="R300" s="20" t="str">
        <f t="shared" si="44"/>
        <v/>
      </c>
    </row>
    <row r="301" spans="2:18" ht="18" customHeight="1" x14ac:dyDescent="0.3">
      <c r="B301" s="24"/>
      <c r="C301" s="25"/>
      <c r="D301" s="18" t="str">
        <f>IF(B301="","",SUMIFS('📈 Datos Completos'!$E$7:$E$5000, '📈 Datos Completos'!$B$7:$B$5000, B301, '📈 Datos Completos'!$D$7:$D$5000, C301))</f>
        <v/>
      </c>
      <c r="E301" s="18" t="str">
        <f>IF(B301="","",SUMIFS('📈 Datos Completos'!$F$7:$F$5000, '📈 Datos Completos'!$B$7:$B$5000, B301, '📈 Datos Completos'!$D$7:$D$5000, C301))</f>
        <v/>
      </c>
      <c r="F301" s="18" t="str">
        <f>IF(B301="","",SUMIFS('📈 Datos Completos'!$G$7:$G$5000, '📈 Datos Completos'!$B$7:$B$5000, B301, '📈 Datos Completos'!$D$7:$D$5000, C301))</f>
        <v/>
      </c>
      <c r="G301" s="18" t="str">
        <f t="shared" si="36"/>
        <v/>
      </c>
      <c r="H301" s="19" t="str">
        <f>IF(B301="","",SUMIFS('📈 Datos Completos'!$I$7:$I$5000, '📈 Datos Completos'!$B$7:$B$5000, B301, '📈 Datos Completos'!$D$7:$D$5000, C301))</f>
        <v/>
      </c>
      <c r="I301" s="19" t="str">
        <f t="shared" si="37"/>
        <v/>
      </c>
      <c r="J301" s="19" t="str">
        <f t="shared" si="38"/>
        <v/>
      </c>
      <c r="K301" s="19" t="str">
        <f>IF(B301="","",IF(C301="DIA", (SUMIFS('📋 Detalle Diario'!$D$5:$D$489, '📋 Detalle Diario'!$B$5:$B$489, B301, '📋 Detalle Diario'!$C$5:$C$489, C301) * '⚙️ Supuestos'!$C$24) + '⚙️ Supuestos'!$C$23, (SUMIFS('📋 Detalle Diario'!$D$5:$D$489, '📋 Detalle Diario'!$B$5:$B$489, B301, '📋 Detalle Diario'!$C$5:$C$489, C301) * '⚙️ Supuestos'!$C$24) + '⚙️ Supuestos'!$C$33))</f>
        <v/>
      </c>
      <c r="L301" s="19" t="str">
        <f t="shared" si="39"/>
        <v/>
      </c>
      <c r="M301" s="20" t="str">
        <f t="shared" si="40"/>
        <v/>
      </c>
      <c r="N301" s="19" t="str">
        <f t="shared" si="41"/>
        <v/>
      </c>
      <c r="O301" s="25" t="str">
        <f t="shared" si="42"/>
        <v/>
      </c>
      <c r="P301" s="19" t="str">
        <f t="shared" si="43"/>
        <v/>
      </c>
      <c r="Q301" s="19" t="str">
        <f>IF(B301="","",J301-P301+(SUMIFS('📋 Detalle Diario'!$E$5:$E$489, '📋 Detalle Diario'!$B$5:$B$489, B301, '📋 Detalle Diario'!$C$5:$C$489, C301)*135)+(SUMIFS('📋 Detalle Diario'!$I$5:$I$489, '📋 Detalle Diario'!$B$5:$B$489, B301, '📋 Detalle Diario'!$C$5:$C$489, C301)*200))</f>
        <v/>
      </c>
      <c r="R301" s="20" t="str">
        <f t="shared" si="44"/>
        <v/>
      </c>
    </row>
    <row r="302" spans="2:18" ht="18" customHeight="1" x14ac:dyDescent="0.3">
      <c r="B302" s="26"/>
      <c r="C302" s="27"/>
      <c r="D302" s="18" t="str">
        <f>IF(B302="","",SUMIFS('📈 Datos Completos'!$E$7:$E$5000, '📈 Datos Completos'!$B$7:$B$5000, B302, '📈 Datos Completos'!$D$7:$D$5000, C302))</f>
        <v/>
      </c>
      <c r="E302" s="18" t="str">
        <f>IF(B302="","",SUMIFS('📈 Datos Completos'!$F$7:$F$5000, '📈 Datos Completos'!$B$7:$B$5000, B302, '📈 Datos Completos'!$D$7:$D$5000, C302))</f>
        <v/>
      </c>
      <c r="F302" s="18" t="str">
        <f>IF(B302="","",SUMIFS('📈 Datos Completos'!$G$7:$G$5000, '📈 Datos Completos'!$B$7:$B$5000, B302, '📈 Datos Completos'!$D$7:$D$5000, C302))</f>
        <v/>
      </c>
      <c r="G302" s="18" t="str">
        <f t="shared" si="36"/>
        <v/>
      </c>
      <c r="H302" s="19" t="str">
        <f>IF(B302="","",SUMIFS('📈 Datos Completos'!$I$7:$I$5000, '📈 Datos Completos'!$B$7:$B$5000, B302, '📈 Datos Completos'!$D$7:$D$5000, C302))</f>
        <v/>
      </c>
      <c r="I302" s="19" t="str">
        <f t="shared" si="37"/>
        <v/>
      </c>
      <c r="J302" s="19" t="str">
        <f t="shared" si="38"/>
        <v/>
      </c>
      <c r="K302" s="19" t="str">
        <f>IF(B302="","",IF(C302="DIA", (SUMIFS('📋 Detalle Diario'!$D$5:$D$489, '📋 Detalle Diario'!$B$5:$B$489, B302, '📋 Detalle Diario'!$C$5:$C$489, C302) * '⚙️ Supuestos'!$C$24) + '⚙️ Supuestos'!$C$23, (SUMIFS('📋 Detalle Diario'!$D$5:$D$489, '📋 Detalle Diario'!$B$5:$B$489, B302, '📋 Detalle Diario'!$C$5:$C$489, C302) * '⚙️ Supuestos'!$C$24) + '⚙️ Supuestos'!$C$33))</f>
        <v/>
      </c>
      <c r="L302" s="19" t="str">
        <f t="shared" si="39"/>
        <v/>
      </c>
      <c r="M302" s="20" t="str">
        <f t="shared" si="40"/>
        <v/>
      </c>
      <c r="N302" s="19" t="str">
        <f t="shared" si="41"/>
        <v/>
      </c>
      <c r="O302" s="27" t="str">
        <f t="shared" si="42"/>
        <v/>
      </c>
      <c r="P302" s="19" t="str">
        <f t="shared" si="43"/>
        <v/>
      </c>
      <c r="Q302" s="19" t="str">
        <f>IF(B302="","",J302-P302+(SUMIFS('📋 Detalle Diario'!$E$5:$E$489, '📋 Detalle Diario'!$B$5:$B$489, B302, '📋 Detalle Diario'!$C$5:$C$489, C302)*135)+(SUMIFS('📋 Detalle Diario'!$I$5:$I$489, '📋 Detalle Diario'!$B$5:$B$489, B302, '📋 Detalle Diario'!$C$5:$C$489, C302)*200))</f>
        <v/>
      </c>
      <c r="R302" s="20" t="str">
        <f t="shared" si="44"/>
        <v/>
      </c>
    </row>
    <row r="303" spans="2:18" ht="18" customHeight="1" x14ac:dyDescent="0.3">
      <c r="B303" s="24"/>
      <c r="C303" s="25"/>
      <c r="D303" s="18" t="str">
        <f>IF(B303="","",SUMIFS('📈 Datos Completos'!$E$7:$E$5000, '📈 Datos Completos'!$B$7:$B$5000, B303, '📈 Datos Completos'!$D$7:$D$5000, C303))</f>
        <v/>
      </c>
      <c r="E303" s="18" t="str">
        <f>IF(B303="","",SUMIFS('📈 Datos Completos'!$F$7:$F$5000, '📈 Datos Completos'!$B$7:$B$5000, B303, '📈 Datos Completos'!$D$7:$D$5000, C303))</f>
        <v/>
      </c>
      <c r="F303" s="18" t="str">
        <f>IF(B303="","",SUMIFS('📈 Datos Completos'!$G$7:$G$5000, '📈 Datos Completos'!$B$7:$B$5000, B303, '📈 Datos Completos'!$D$7:$D$5000, C303))</f>
        <v/>
      </c>
      <c r="G303" s="18" t="str">
        <f t="shared" si="36"/>
        <v/>
      </c>
      <c r="H303" s="19" t="str">
        <f>IF(B303="","",SUMIFS('📈 Datos Completos'!$I$7:$I$5000, '📈 Datos Completos'!$B$7:$B$5000, B303, '📈 Datos Completos'!$D$7:$D$5000, C303))</f>
        <v/>
      </c>
      <c r="I303" s="19" t="str">
        <f t="shared" si="37"/>
        <v/>
      </c>
      <c r="J303" s="19" t="str">
        <f t="shared" si="38"/>
        <v/>
      </c>
      <c r="K303" s="19" t="str">
        <f>IF(B303="","",IF(C303="DIA", (SUMIFS('📋 Detalle Diario'!$D$5:$D$489, '📋 Detalle Diario'!$B$5:$B$489, B303, '📋 Detalle Diario'!$C$5:$C$489, C303) * '⚙️ Supuestos'!$C$24) + '⚙️ Supuestos'!$C$23, (SUMIFS('📋 Detalle Diario'!$D$5:$D$489, '📋 Detalle Diario'!$B$5:$B$489, B303, '📋 Detalle Diario'!$C$5:$C$489, C303) * '⚙️ Supuestos'!$C$24) + '⚙️ Supuestos'!$C$33))</f>
        <v/>
      </c>
      <c r="L303" s="19" t="str">
        <f t="shared" si="39"/>
        <v/>
      </c>
      <c r="M303" s="20" t="str">
        <f t="shared" si="40"/>
        <v/>
      </c>
      <c r="N303" s="19" t="str">
        <f t="shared" si="41"/>
        <v/>
      </c>
      <c r="O303" s="25" t="str">
        <f t="shared" si="42"/>
        <v/>
      </c>
      <c r="P303" s="19" t="str">
        <f t="shared" si="43"/>
        <v/>
      </c>
      <c r="Q303" s="19" t="str">
        <f>IF(B303="","",J303-P303+(SUMIFS('📋 Detalle Diario'!$E$5:$E$489, '📋 Detalle Diario'!$B$5:$B$489, B303, '📋 Detalle Diario'!$C$5:$C$489, C303)*135)+(SUMIFS('📋 Detalle Diario'!$I$5:$I$489, '📋 Detalle Diario'!$B$5:$B$489, B303, '📋 Detalle Diario'!$C$5:$C$489, C303)*200))</f>
        <v/>
      </c>
      <c r="R303" s="20" t="str">
        <f t="shared" si="44"/>
        <v/>
      </c>
    </row>
    <row r="304" spans="2:18" ht="18" customHeight="1" x14ac:dyDescent="0.3">
      <c r="B304" s="26"/>
      <c r="C304" s="27"/>
      <c r="D304" s="18" t="str">
        <f>IF(B304="","",SUMIFS('📈 Datos Completos'!$E$7:$E$5000, '📈 Datos Completos'!$B$7:$B$5000, B304, '📈 Datos Completos'!$D$7:$D$5000, C304))</f>
        <v/>
      </c>
      <c r="E304" s="18" t="str">
        <f>IF(B304="","",SUMIFS('📈 Datos Completos'!$F$7:$F$5000, '📈 Datos Completos'!$B$7:$B$5000, B304, '📈 Datos Completos'!$D$7:$D$5000, C304))</f>
        <v/>
      </c>
      <c r="F304" s="18" t="str">
        <f>IF(B304="","",SUMIFS('📈 Datos Completos'!$G$7:$G$5000, '📈 Datos Completos'!$B$7:$B$5000, B304, '📈 Datos Completos'!$D$7:$D$5000, C304))</f>
        <v/>
      </c>
      <c r="G304" s="18" t="str">
        <f t="shared" si="36"/>
        <v/>
      </c>
      <c r="H304" s="19" t="str">
        <f>IF(B304="","",SUMIFS('📈 Datos Completos'!$I$7:$I$5000, '📈 Datos Completos'!$B$7:$B$5000, B304, '📈 Datos Completos'!$D$7:$D$5000, C304))</f>
        <v/>
      </c>
      <c r="I304" s="19" t="str">
        <f t="shared" si="37"/>
        <v/>
      </c>
      <c r="J304" s="19" t="str">
        <f t="shared" si="38"/>
        <v/>
      </c>
      <c r="K304" s="19" t="str">
        <f>IF(B304="","",IF(C304="DIA", (SUMIFS('📋 Detalle Diario'!$D$5:$D$489, '📋 Detalle Diario'!$B$5:$B$489, B304, '📋 Detalle Diario'!$C$5:$C$489, C304) * '⚙️ Supuestos'!$C$24) + '⚙️ Supuestos'!$C$23, (SUMIFS('📋 Detalle Diario'!$D$5:$D$489, '📋 Detalle Diario'!$B$5:$B$489, B304, '📋 Detalle Diario'!$C$5:$C$489, C304) * '⚙️ Supuestos'!$C$24) + '⚙️ Supuestos'!$C$33))</f>
        <v/>
      </c>
      <c r="L304" s="19" t="str">
        <f t="shared" si="39"/>
        <v/>
      </c>
      <c r="M304" s="20" t="str">
        <f t="shared" si="40"/>
        <v/>
      </c>
      <c r="N304" s="19" t="str">
        <f t="shared" si="41"/>
        <v/>
      </c>
      <c r="O304" s="27" t="str">
        <f t="shared" si="42"/>
        <v/>
      </c>
      <c r="P304" s="19" t="str">
        <f t="shared" si="43"/>
        <v/>
      </c>
      <c r="Q304" s="19" t="str">
        <f>IF(B304="","",J304-P304+(SUMIFS('📋 Detalle Diario'!$E$5:$E$489, '📋 Detalle Diario'!$B$5:$B$489, B304, '📋 Detalle Diario'!$C$5:$C$489, C304)*135)+(SUMIFS('📋 Detalle Diario'!$I$5:$I$489, '📋 Detalle Diario'!$B$5:$B$489, B304, '📋 Detalle Diario'!$C$5:$C$489, C304)*200))</f>
        <v/>
      </c>
      <c r="R304" s="20" t="str">
        <f t="shared" si="44"/>
        <v/>
      </c>
    </row>
    <row r="305" spans="2:18" ht="18" customHeight="1" x14ac:dyDescent="0.3">
      <c r="B305" s="24"/>
      <c r="C305" s="25"/>
      <c r="D305" s="18" t="str">
        <f>IF(B305="","",SUMIFS('📈 Datos Completos'!$E$7:$E$5000, '📈 Datos Completos'!$B$7:$B$5000, B305, '📈 Datos Completos'!$D$7:$D$5000, C305))</f>
        <v/>
      </c>
      <c r="E305" s="18" t="str">
        <f>IF(B305="","",SUMIFS('📈 Datos Completos'!$F$7:$F$5000, '📈 Datos Completos'!$B$7:$B$5000, B305, '📈 Datos Completos'!$D$7:$D$5000, C305))</f>
        <v/>
      </c>
      <c r="F305" s="18" t="str">
        <f>IF(B305="","",SUMIFS('📈 Datos Completos'!$G$7:$G$5000, '📈 Datos Completos'!$B$7:$B$5000, B305, '📈 Datos Completos'!$D$7:$D$5000, C305))</f>
        <v/>
      </c>
      <c r="G305" s="18" t="str">
        <f t="shared" si="36"/>
        <v/>
      </c>
      <c r="H305" s="19" t="str">
        <f>IF(B305="","",SUMIFS('📈 Datos Completos'!$I$7:$I$5000, '📈 Datos Completos'!$B$7:$B$5000, B305, '📈 Datos Completos'!$D$7:$D$5000, C305))</f>
        <v/>
      </c>
      <c r="I305" s="19" t="str">
        <f t="shared" si="37"/>
        <v/>
      </c>
      <c r="J305" s="19" t="str">
        <f t="shared" si="38"/>
        <v/>
      </c>
      <c r="K305" s="19" t="str">
        <f>IF(B305="","",IF(C305="DIA", (SUMIFS('📋 Detalle Diario'!$D$5:$D$489, '📋 Detalle Diario'!$B$5:$B$489, B305, '📋 Detalle Diario'!$C$5:$C$489, C305) * '⚙️ Supuestos'!$C$24) + '⚙️ Supuestos'!$C$23, (SUMIFS('📋 Detalle Diario'!$D$5:$D$489, '📋 Detalle Diario'!$B$5:$B$489, B305, '📋 Detalle Diario'!$C$5:$C$489, C305) * '⚙️ Supuestos'!$C$24) + '⚙️ Supuestos'!$C$33))</f>
        <v/>
      </c>
      <c r="L305" s="19" t="str">
        <f t="shared" si="39"/>
        <v/>
      </c>
      <c r="M305" s="20" t="str">
        <f t="shared" si="40"/>
        <v/>
      </c>
      <c r="N305" s="19" t="str">
        <f t="shared" si="41"/>
        <v/>
      </c>
      <c r="O305" s="25" t="str">
        <f t="shared" si="42"/>
        <v/>
      </c>
      <c r="P305" s="19" t="str">
        <f t="shared" si="43"/>
        <v/>
      </c>
      <c r="Q305" s="19" t="str">
        <f>IF(B305="","",J305-P305+(SUMIFS('📋 Detalle Diario'!$E$5:$E$489, '📋 Detalle Diario'!$B$5:$B$489, B305, '📋 Detalle Diario'!$C$5:$C$489, C305)*135)+(SUMIFS('📋 Detalle Diario'!$I$5:$I$489, '📋 Detalle Diario'!$B$5:$B$489, B305, '📋 Detalle Diario'!$C$5:$C$489, C305)*200))</f>
        <v/>
      </c>
      <c r="R305" s="20" t="str">
        <f t="shared" si="44"/>
        <v/>
      </c>
    </row>
    <row r="306" spans="2:18" ht="18" customHeight="1" x14ac:dyDescent="0.3">
      <c r="B306" s="26"/>
      <c r="C306" s="27"/>
      <c r="D306" s="18" t="str">
        <f>IF(B306="","",SUMIFS('📈 Datos Completos'!$E$7:$E$5000, '📈 Datos Completos'!$B$7:$B$5000, B306, '📈 Datos Completos'!$D$7:$D$5000, C306))</f>
        <v/>
      </c>
      <c r="E306" s="18" t="str">
        <f>IF(B306="","",SUMIFS('📈 Datos Completos'!$F$7:$F$5000, '📈 Datos Completos'!$B$7:$B$5000, B306, '📈 Datos Completos'!$D$7:$D$5000, C306))</f>
        <v/>
      </c>
      <c r="F306" s="18" t="str">
        <f>IF(B306="","",SUMIFS('📈 Datos Completos'!$G$7:$G$5000, '📈 Datos Completos'!$B$7:$B$5000, B306, '📈 Datos Completos'!$D$7:$D$5000, C306))</f>
        <v/>
      </c>
      <c r="G306" s="18" t="str">
        <f t="shared" si="36"/>
        <v/>
      </c>
      <c r="H306" s="19" t="str">
        <f>IF(B306="","",SUMIFS('📈 Datos Completos'!$I$7:$I$5000, '📈 Datos Completos'!$B$7:$B$5000, B306, '📈 Datos Completos'!$D$7:$D$5000, C306))</f>
        <v/>
      </c>
      <c r="I306" s="19" t="str">
        <f t="shared" si="37"/>
        <v/>
      </c>
      <c r="J306" s="19" t="str">
        <f t="shared" si="38"/>
        <v/>
      </c>
      <c r="K306" s="19" t="str">
        <f>IF(B306="","",IF(C306="DIA", (SUMIFS('📋 Detalle Diario'!$D$5:$D$489, '📋 Detalle Diario'!$B$5:$B$489, B306, '📋 Detalle Diario'!$C$5:$C$489, C306) * '⚙️ Supuestos'!$C$24) + '⚙️ Supuestos'!$C$23, (SUMIFS('📋 Detalle Diario'!$D$5:$D$489, '📋 Detalle Diario'!$B$5:$B$489, B306, '📋 Detalle Diario'!$C$5:$C$489, C306) * '⚙️ Supuestos'!$C$24) + '⚙️ Supuestos'!$C$33))</f>
        <v/>
      </c>
      <c r="L306" s="19" t="str">
        <f t="shared" si="39"/>
        <v/>
      </c>
      <c r="M306" s="20" t="str">
        <f t="shared" si="40"/>
        <v/>
      </c>
      <c r="N306" s="19" t="str">
        <f t="shared" si="41"/>
        <v/>
      </c>
      <c r="O306" s="27" t="str">
        <f t="shared" si="42"/>
        <v/>
      </c>
      <c r="P306" s="19" t="str">
        <f t="shared" si="43"/>
        <v/>
      </c>
      <c r="Q306" s="19" t="str">
        <f>IF(B306="","",J306-P306+(SUMIFS('📋 Detalle Diario'!$E$5:$E$489, '📋 Detalle Diario'!$B$5:$B$489, B306, '📋 Detalle Diario'!$C$5:$C$489, C306)*135)+(SUMIFS('📋 Detalle Diario'!$I$5:$I$489, '📋 Detalle Diario'!$B$5:$B$489, B306, '📋 Detalle Diario'!$C$5:$C$489, C306)*200))</f>
        <v/>
      </c>
      <c r="R306" s="20" t="str">
        <f t="shared" si="44"/>
        <v/>
      </c>
    </row>
    <row r="307" spans="2:18" ht="18" customHeight="1" x14ac:dyDescent="0.3">
      <c r="B307" s="24"/>
      <c r="C307" s="25"/>
      <c r="D307" s="18" t="str">
        <f>IF(B307="","",SUMIFS('📈 Datos Completos'!$E$7:$E$5000, '📈 Datos Completos'!$B$7:$B$5000, B307, '📈 Datos Completos'!$D$7:$D$5000, C307))</f>
        <v/>
      </c>
      <c r="E307" s="18" t="str">
        <f>IF(B307="","",SUMIFS('📈 Datos Completos'!$F$7:$F$5000, '📈 Datos Completos'!$B$7:$B$5000, B307, '📈 Datos Completos'!$D$7:$D$5000, C307))</f>
        <v/>
      </c>
      <c r="F307" s="18" t="str">
        <f>IF(B307="","",SUMIFS('📈 Datos Completos'!$G$7:$G$5000, '📈 Datos Completos'!$B$7:$B$5000, B307, '📈 Datos Completos'!$D$7:$D$5000, C307))</f>
        <v/>
      </c>
      <c r="G307" s="18" t="str">
        <f t="shared" si="36"/>
        <v/>
      </c>
      <c r="H307" s="19" t="str">
        <f>IF(B307="","",SUMIFS('📈 Datos Completos'!$I$7:$I$5000, '📈 Datos Completos'!$B$7:$B$5000, B307, '📈 Datos Completos'!$D$7:$D$5000, C307))</f>
        <v/>
      </c>
      <c r="I307" s="19" t="str">
        <f t="shared" si="37"/>
        <v/>
      </c>
      <c r="J307" s="19" t="str">
        <f t="shared" si="38"/>
        <v/>
      </c>
      <c r="K307" s="19" t="str">
        <f>IF(B307="","",IF(C307="DIA", (SUMIFS('📋 Detalle Diario'!$D$5:$D$489, '📋 Detalle Diario'!$B$5:$B$489, B307, '📋 Detalle Diario'!$C$5:$C$489, C307) * '⚙️ Supuestos'!$C$24) + '⚙️ Supuestos'!$C$23, (SUMIFS('📋 Detalle Diario'!$D$5:$D$489, '📋 Detalle Diario'!$B$5:$B$489, B307, '📋 Detalle Diario'!$C$5:$C$489, C307) * '⚙️ Supuestos'!$C$24) + '⚙️ Supuestos'!$C$33))</f>
        <v/>
      </c>
      <c r="L307" s="19" t="str">
        <f t="shared" si="39"/>
        <v/>
      </c>
      <c r="M307" s="20" t="str">
        <f t="shared" si="40"/>
        <v/>
      </c>
      <c r="N307" s="19" t="str">
        <f t="shared" si="41"/>
        <v/>
      </c>
      <c r="O307" s="25" t="str">
        <f t="shared" si="42"/>
        <v/>
      </c>
      <c r="P307" s="19" t="str">
        <f t="shared" si="43"/>
        <v/>
      </c>
      <c r="Q307" s="19" t="str">
        <f>IF(B307="","",J307-P307+(SUMIFS('📋 Detalle Diario'!$E$5:$E$489, '📋 Detalle Diario'!$B$5:$B$489, B307, '📋 Detalle Diario'!$C$5:$C$489, C307)*135)+(SUMIFS('📋 Detalle Diario'!$I$5:$I$489, '📋 Detalle Diario'!$B$5:$B$489, B307, '📋 Detalle Diario'!$C$5:$C$489, C307)*200))</f>
        <v/>
      </c>
      <c r="R307" s="20" t="str">
        <f t="shared" si="44"/>
        <v/>
      </c>
    </row>
    <row r="308" spans="2:18" ht="18" customHeight="1" x14ac:dyDescent="0.3">
      <c r="B308" s="26"/>
      <c r="C308" s="27"/>
      <c r="D308" s="18" t="str">
        <f>IF(B308="","",SUMIFS('📈 Datos Completos'!$E$7:$E$5000, '📈 Datos Completos'!$B$7:$B$5000, B308, '📈 Datos Completos'!$D$7:$D$5000, C308))</f>
        <v/>
      </c>
      <c r="E308" s="18" t="str">
        <f>IF(B308="","",SUMIFS('📈 Datos Completos'!$F$7:$F$5000, '📈 Datos Completos'!$B$7:$B$5000, B308, '📈 Datos Completos'!$D$7:$D$5000, C308))</f>
        <v/>
      </c>
      <c r="F308" s="18" t="str">
        <f>IF(B308="","",SUMIFS('📈 Datos Completos'!$G$7:$G$5000, '📈 Datos Completos'!$B$7:$B$5000, B308, '📈 Datos Completos'!$D$7:$D$5000, C308))</f>
        <v/>
      </c>
      <c r="G308" s="18" t="str">
        <f t="shared" si="36"/>
        <v/>
      </c>
      <c r="H308" s="19" t="str">
        <f>IF(B308="","",SUMIFS('📈 Datos Completos'!$I$7:$I$5000, '📈 Datos Completos'!$B$7:$B$5000, B308, '📈 Datos Completos'!$D$7:$D$5000, C308))</f>
        <v/>
      </c>
      <c r="I308" s="19" t="str">
        <f t="shared" si="37"/>
        <v/>
      </c>
      <c r="J308" s="19" t="str">
        <f t="shared" si="38"/>
        <v/>
      </c>
      <c r="K308" s="19" t="str">
        <f>IF(B308="","",IF(C308="DIA", (SUMIFS('📋 Detalle Diario'!$D$5:$D$489, '📋 Detalle Diario'!$B$5:$B$489, B308, '📋 Detalle Diario'!$C$5:$C$489, C308) * '⚙️ Supuestos'!$C$24) + '⚙️ Supuestos'!$C$23, (SUMIFS('📋 Detalle Diario'!$D$5:$D$489, '📋 Detalle Diario'!$B$5:$B$489, B308, '📋 Detalle Diario'!$C$5:$C$489, C308) * '⚙️ Supuestos'!$C$24) + '⚙️ Supuestos'!$C$33))</f>
        <v/>
      </c>
      <c r="L308" s="19" t="str">
        <f t="shared" si="39"/>
        <v/>
      </c>
      <c r="M308" s="20" t="str">
        <f t="shared" si="40"/>
        <v/>
      </c>
      <c r="N308" s="19" t="str">
        <f t="shared" si="41"/>
        <v/>
      </c>
      <c r="O308" s="27" t="str">
        <f t="shared" si="42"/>
        <v/>
      </c>
      <c r="P308" s="19" t="str">
        <f t="shared" si="43"/>
        <v/>
      </c>
      <c r="Q308" s="19" t="str">
        <f>IF(B308="","",J308-P308+(SUMIFS('📋 Detalle Diario'!$E$5:$E$489, '📋 Detalle Diario'!$B$5:$B$489, B308, '📋 Detalle Diario'!$C$5:$C$489, C308)*135)+(SUMIFS('📋 Detalle Diario'!$I$5:$I$489, '📋 Detalle Diario'!$B$5:$B$489, B308, '📋 Detalle Diario'!$C$5:$C$489, C308)*200))</f>
        <v/>
      </c>
      <c r="R308" s="20" t="str">
        <f t="shared" si="44"/>
        <v/>
      </c>
    </row>
    <row r="309" spans="2:18" ht="18" customHeight="1" x14ac:dyDescent="0.3">
      <c r="B309" s="24"/>
      <c r="C309" s="25"/>
      <c r="D309" s="18" t="str">
        <f>IF(B309="","",SUMIFS('📈 Datos Completos'!$E$7:$E$5000, '📈 Datos Completos'!$B$7:$B$5000, B309, '📈 Datos Completos'!$D$7:$D$5000, C309))</f>
        <v/>
      </c>
      <c r="E309" s="18" t="str">
        <f>IF(B309="","",SUMIFS('📈 Datos Completos'!$F$7:$F$5000, '📈 Datos Completos'!$B$7:$B$5000, B309, '📈 Datos Completos'!$D$7:$D$5000, C309))</f>
        <v/>
      </c>
      <c r="F309" s="18" t="str">
        <f>IF(B309="","",SUMIFS('📈 Datos Completos'!$G$7:$G$5000, '📈 Datos Completos'!$B$7:$B$5000, B309, '📈 Datos Completos'!$D$7:$D$5000, C309))</f>
        <v/>
      </c>
      <c r="G309" s="18" t="str">
        <f t="shared" si="36"/>
        <v/>
      </c>
      <c r="H309" s="19" t="str">
        <f>IF(B309="","",SUMIFS('📈 Datos Completos'!$I$7:$I$5000, '📈 Datos Completos'!$B$7:$B$5000, B309, '📈 Datos Completos'!$D$7:$D$5000, C309))</f>
        <v/>
      </c>
      <c r="I309" s="19" t="str">
        <f t="shared" si="37"/>
        <v/>
      </c>
      <c r="J309" s="19" t="str">
        <f t="shared" si="38"/>
        <v/>
      </c>
      <c r="K309" s="19" t="str">
        <f>IF(B309="","",IF(C309="DIA", (SUMIFS('📋 Detalle Diario'!$D$5:$D$489, '📋 Detalle Diario'!$B$5:$B$489, B309, '📋 Detalle Diario'!$C$5:$C$489, C309) * '⚙️ Supuestos'!$C$24) + '⚙️ Supuestos'!$C$23, (SUMIFS('📋 Detalle Diario'!$D$5:$D$489, '📋 Detalle Diario'!$B$5:$B$489, B309, '📋 Detalle Diario'!$C$5:$C$489, C309) * '⚙️ Supuestos'!$C$24) + '⚙️ Supuestos'!$C$33))</f>
        <v/>
      </c>
      <c r="L309" s="19" t="str">
        <f t="shared" si="39"/>
        <v/>
      </c>
      <c r="M309" s="20" t="str">
        <f t="shared" si="40"/>
        <v/>
      </c>
      <c r="N309" s="19" t="str">
        <f t="shared" si="41"/>
        <v/>
      </c>
      <c r="O309" s="25" t="str">
        <f t="shared" si="42"/>
        <v/>
      </c>
      <c r="P309" s="19" t="str">
        <f t="shared" si="43"/>
        <v/>
      </c>
      <c r="Q309" s="19" t="str">
        <f>IF(B309="","",J309-P309+(SUMIFS('📋 Detalle Diario'!$E$5:$E$489, '📋 Detalle Diario'!$B$5:$B$489, B309, '📋 Detalle Diario'!$C$5:$C$489, C309)*135)+(SUMIFS('📋 Detalle Diario'!$I$5:$I$489, '📋 Detalle Diario'!$B$5:$B$489, B309, '📋 Detalle Diario'!$C$5:$C$489, C309)*200))</f>
        <v/>
      </c>
      <c r="R309" s="20" t="str">
        <f t="shared" si="44"/>
        <v/>
      </c>
    </row>
    <row r="310" spans="2:18" ht="18" customHeight="1" x14ac:dyDescent="0.3">
      <c r="B310" s="26"/>
      <c r="C310" s="27"/>
      <c r="D310" s="18" t="str">
        <f>IF(B310="","",SUMIFS('📈 Datos Completos'!$E$7:$E$5000, '📈 Datos Completos'!$B$7:$B$5000, B310, '📈 Datos Completos'!$D$7:$D$5000, C310))</f>
        <v/>
      </c>
      <c r="E310" s="18" t="str">
        <f>IF(B310="","",SUMIFS('📈 Datos Completos'!$F$7:$F$5000, '📈 Datos Completos'!$B$7:$B$5000, B310, '📈 Datos Completos'!$D$7:$D$5000, C310))</f>
        <v/>
      </c>
      <c r="F310" s="18" t="str">
        <f>IF(B310="","",SUMIFS('📈 Datos Completos'!$G$7:$G$5000, '📈 Datos Completos'!$B$7:$B$5000, B310, '📈 Datos Completos'!$D$7:$D$5000, C310))</f>
        <v/>
      </c>
      <c r="G310" s="18" t="str">
        <f t="shared" si="36"/>
        <v/>
      </c>
      <c r="H310" s="19" t="str">
        <f>IF(B310="","",SUMIFS('📈 Datos Completos'!$I$7:$I$5000, '📈 Datos Completos'!$B$7:$B$5000, B310, '📈 Datos Completos'!$D$7:$D$5000, C310))</f>
        <v/>
      </c>
      <c r="I310" s="19" t="str">
        <f t="shared" si="37"/>
        <v/>
      </c>
      <c r="J310" s="19" t="str">
        <f t="shared" si="38"/>
        <v/>
      </c>
      <c r="K310" s="19" t="str">
        <f>IF(B310="","",IF(C310="DIA", (SUMIFS('📋 Detalle Diario'!$D$5:$D$489, '📋 Detalle Diario'!$B$5:$B$489, B310, '📋 Detalle Diario'!$C$5:$C$489, C310) * '⚙️ Supuestos'!$C$24) + '⚙️ Supuestos'!$C$23, (SUMIFS('📋 Detalle Diario'!$D$5:$D$489, '📋 Detalle Diario'!$B$5:$B$489, B310, '📋 Detalle Diario'!$C$5:$C$489, C310) * '⚙️ Supuestos'!$C$24) + '⚙️ Supuestos'!$C$33))</f>
        <v/>
      </c>
      <c r="L310" s="19" t="str">
        <f t="shared" si="39"/>
        <v/>
      </c>
      <c r="M310" s="20" t="str">
        <f t="shared" si="40"/>
        <v/>
      </c>
      <c r="N310" s="19" t="str">
        <f t="shared" si="41"/>
        <v/>
      </c>
      <c r="O310" s="27" t="str">
        <f t="shared" si="42"/>
        <v/>
      </c>
      <c r="P310" s="19" t="str">
        <f t="shared" si="43"/>
        <v/>
      </c>
      <c r="Q310" s="19" t="str">
        <f>IF(B310="","",J310-P310+(SUMIFS('📋 Detalle Diario'!$E$5:$E$489, '📋 Detalle Diario'!$B$5:$B$489, B310, '📋 Detalle Diario'!$C$5:$C$489, C310)*135)+(SUMIFS('📋 Detalle Diario'!$I$5:$I$489, '📋 Detalle Diario'!$B$5:$B$489, B310, '📋 Detalle Diario'!$C$5:$C$489, C310)*200))</f>
        <v/>
      </c>
      <c r="R310" s="20" t="str">
        <f t="shared" si="44"/>
        <v/>
      </c>
    </row>
    <row r="311" spans="2:18" ht="18" customHeight="1" x14ac:dyDescent="0.3">
      <c r="B311" s="24"/>
      <c r="C311" s="25"/>
      <c r="D311" s="18" t="str">
        <f>IF(B311="","",SUMIFS('📈 Datos Completos'!$E$7:$E$5000, '📈 Datos Completos'!$B$7:$B$5000, B311, '📈 Datos Completos'!$D$7:$D$5000, C311))</f>
        <v/>
      </c>
      <c r="E311" s="18" t="str">
        <f>IF(B311="","",SUMIFS('📈 Datos Completos'!$F$7:$F$5000, '📈 Datos Completos'!$B$7:$B$5000, B311, '📈 Datos Completos'!$D$7:$D$5000, C311))</f>
        <v/>
      </c>
      <c r="F311" s="18" t="str">
        <f>IF(B311="","",SUMIFS('📈 Datos Completos'!$G$7:$G$5000, '📈 Datos Completos'!$B$7:$B$5000, B311, '📈 Datos Completos'!$D$7:$D$5000, C311))</f>
        <v/>
      </c>
      <c r="G311" s="18" t="str">
        <f t="shared" si="36"/>
        <v/>
      </c>
      <c r="H311" s="19" t="str">
        <f>IF(B311="","",SUMIFS('📈 Datos Completos'!$I$7:$I$5000, '📈 Datos Completos'!$B$7:$B$5000, B311, '📈 Datos Completos'!$D$7:$D$5000, C311))</f>
        <v/>
      </c>
      <c r="I311" s="19" t="str">
        <f t="shared" si="37"/>
        <v/>
      </c>
      <c r="J311" s="19" t="str">
        <f t="shared" si="38"/>
        <v/>
      </c>
      <c r="K311" s="19" t="str">
        <f>IF(B311="","",IF(C311="DIA", (SUMIFS('📋 Detalle Diario'!$D$5:$D$489, '📋 Detalle Diario'!$B$5:$B$489, B311, '📋 Detalle Diario'!$C$5:$C$489, C311) * '⚙️ Supuestos'!$C$24) + '⚙️ Supuestos'!$C$23, (SUMIFS('📋 Detalle Diario'!$D$5:$D$489, '📋 Detalle Diario'!$B$5:$B$489, B311, '📋 Detalle Diario'!$C$5:$C$489, C311) * '⚙️ Supuestos'!$C$24) + '⚙️ Supuestos'!$C$33))</f>
        <v/>
      </c>
      <c r="L311" s="19" t="str">
        <f t="shared" si="39"/>
        <v/>
      </c>
      <c r="M311" s="20" t="str">
        <f t="shared" si="40"/>
        <v/>
      </c>
      <c r="N311" s="19" t="str">
        <f t="shared" si="41"/>
        <v/>
      </c>
      <c r="O311" s="25" t="str">
        <f t="shared" si="42"/>
        <v/>
      </c>
      <c r="P311" s="19" t="str">
        <f t="shared" si="43"/>
        <v/>
      </c>
      <c r="Q311" s="19" t="str">
        <f>IF(B311="","",J311-P311+(SUMIFS('📋 Detalle Diario'!$E$5:$E$489, '📋 Detalle Diario'!$B$5:$B$489, B311, '📋 Detalle Diario'!$C$5:$C$489, C311)*135)+(SUMIFS('📋 Detalle Diario'!$I$5:$I$489, '📋 Detalle Diario'!$B$5:$B$489, B311, '📋 Detalle Diario'!$C$5:$C$489, C311)*200))</f>
        <v/>
      </c>
      <c r="R311" s="20" t="str">
        <f t="shared" si="44"/>
        <v/>
      </c>
    </row>
    <row r="312" spans="2:18" ht="18" customHeight="1" x14ac:dyDescent="0.3">
      <c r="B312" s="26"/>
      <c r="C312" s="27"/>
      <c r="D312" s="18" t="str">
        <f>IF(B312="","",SUMIFS('📈 Datos Completos'!$E$7:$E$5000, '📈 Datos Completos'!$B$7:$B$5000, B312, '📈 Datos Completos'!$D$7:$D$5000, C312))</f>
        <v/>
      </c>
      <c r="E312" s="18" t="str">
        <f>IF(B312="","",SUMIFS('📈 Datos Completos'!$F$7:$F$5000, '📈 Datos Completos'!$B$7:$B$5000, B312, '📈 Datos Completos'!$D$7:$D$5000, C312))</f>
        <v/>
      </c>
      <c r="F312" s="18" t="str">
        <f>IF(B312="","",SUMIFS('📈 Datos Completos'!$G$7:$G$5000, '📈 Datos Completos'!$B$7:$B$5000, B312, '📈 Datos Completos'!$D$7:$D$5000, C312))</f>
        <v/>
      </c>
      <c r="G312" s="18" t="str">
        <f t="shared" si="36"/>
        <v/>
      </c>
      <c r="H312" s="19" t="str">
        <f>IF(B312="","",SUMIFS('📈 Datos Completos'!$I$7:$I$5000, '📈 Datos Completos'!$B$7:$B$5000, B312, '📈 Datos Completos'!$D$7:$D$5000, C312))</f>
        <v/>
      </c>
      <c r="I312" s="19" t="str">
        <f t="shared" si="37"/>
        <v/>
      </c>
      <c r="J312" s="19" t="str">
        <f t="shared" si="38"/>
        <v/>
      </c>
      <c r="K312" s="19" t="str">
        <f>IF(B312="","",IF(C312="DIA", (SUMIFS('📋 Detalle Diario'!$D$5:$D$489, '📋 Detalle Diario'!$B$5:$B$489, B312, '📋 Detalle Diario'!$C$5:$C$489, C312) * '⚙️ Supuestos'!$C$24) + '⚙️ Supuestos'!$C$23, (SUMIFS('📋 Detalle Diario'!$D$5:$D$489, '📋 Detalle Diario'!$B$5:$B$489, B312, '📋 Detalle Diario'!$C$5:$C$489, C312) * '⚙️ Supuestos'!$C$24) + '⚙️ Supuestos'!$C$33))</f>
        <v/>
      </c>
      <c r="L312" s="19" t="str">
        <f t="shared" si="39"/>
        <v/>
      </c>
      <c r="M312" s="20" t="str">
        <f t="shared" si="40"/>
        <v/>
      </c>
      <c r="N312" s="19" t="str">
        <f t="shared" si="41"/>
        <v/>
      </c>
      <c r="O312" s="27" t="str">
        <f t="shared" si="42"/>
        <v/>
      </c>
      <c r="P312" s="19" t="str">
        <f t="shared" si="43"/>
        <v/>
      </c>
      <c r="Q312" s="19" t="str">
        <f>IF(B312="","",J312-P312+(SUMIFS('📋 Detalle Diario'!$E$5:$E$489, '📋 Detalle Diario'!$B$5:$B$489, B312, '📋 Detalle Diario'!$C$5:$C$489, C312)*135)+(SUMIFS('📋 Detalle Diario'!$I$5:$I$489, '📋 Detalle Diario'!$B$5:$B$489, B312, '📋 Detalle Diario'!$C$5:$C$489, C312)*200))</f>
        <v/>
      </c>
      <c r="R312" s="20" t="str">
        <f t="shared" si="44"/>
        <v/>
      </c>
    </row>
    <row r="313" spans="2:18" ht="18" customHeight="1" x14ac:dyDescent="0.3">
      <c r="B313" s="24"/>
      <c r="C313" s="25"/>
      <c r="D313" s="18" t="str">
        <f>IF(B313="","",SUMIFS('📈 Datos Completos'!$E$7:$E$5000, '📈 Datos Completos'!$B$7:$B$5000, B313, '📈 Datos Completos'!$D$7:$D$5000, C313))</f>
        <v/>
      </c>
      <c r="E313" s="18" t="str">
        <f>IF(B313="","",SUMIFS('📈 Datos Completos'!$F$7:$F$5000, '📈 Datos Completos'!$B$7:$B$5000, B313, '📈 Datos Completos'!$D$7:$D$5000, C313))</f>
        <v/>
      </c>
      <c r="F313" s="18" t="str">
        <f>IF(B313="","",SUMIFS('📈 Datos Completos'!$G$7:$G$5000, '📈 Datos Completos'!$B$7:$B$5000, B313, '📈 Datos Completos'!$D$7:$D$5000, C313))</f>
        <v/>
      </c>
      <c r="G313" s="18" t="str">
        <f t="shared" si="36"/>
        <v/>
      </c>
      <c r="H313" s="19" t="str">
        <f>IF(B313="","",SUMIFS('📈 Datos Completos'!$I$7:$I$5000, '📈 Datos Completos'!$B$7:$B$5000, B313, '📈 Datos Completos'!$D$7:$D$5000, C313))</f>
        <v/>
      </c>
      <c r="I313" s="19" t="str">
        <f t="shared" si="37"/>
        <v/>
      </c>
      <c r="J313" s="19" t="str">
        <f t="shared" si="38"/>
        <v/>
      </c>
      <c r="K313" s="19" t="str">
        <f>IF(B313="","",IF(C313="DIA", (SUMIFS('📋 Detalle Diario'!$D$5:$D$489, '📋 Detalle Diario'!$B$5:$B$489, B313, '📋 Detalle Diario'!$C$5:$C$489, C313) * '⚙️ Supuestos'!$C$24) + '⚙️ Supuestos'!$C$23, (SUMIFS('📋 Detalle Diario'!$D$5:$D$489, '📋 Detalle Diario'!$B$5:$B$489, B313, '📋 Detalle Diario'!$C$5:$C$489, C313) * '⚙️ Supuestos'!$C$24) + '⚙️ Supuestos'!$C$33))</f>
        <v/>
      </c>
      <c r="L313" s="19" t="str">
        <f t="shared" si="39"/>
        <v/>
      </c>
      <c r="M313" s="20" t="str">
        <f t="shared" si="40"/>
        <v/>
      </c>
      <c r="N313" s="19" t="str">
        <f t="shared" si="41"/>
        <v/>
      </c>
      <c r="O313" s="25" t="str">
        <f t="shared" si="42"/>
        <v/>
      </c>
      <c r="P313" s="19" t="str">
        <f t="shared" si="43"/>
        <v/>
      </c>
      <c r="Q313" s="19" t="str">
        <f>IF(B313="","",J313-P313+(SUMIFS('📋 Detalle Diario'!$E$5:$E$489, '📋 Detalle Diario'!$B$5:$B$489, B313, '📋 Detalle Diario'!$C$5:$C$489, C313)*135)+(SUMIFS('📋 Detalle Diario'!$I$5:$I$489, '📋 Detalle Diario'!$B$5:$B$489, B313, '📋 Detalle Diario'!$C$5:$C$489, C313)*200))</f>
        <v/>
      </c>
      <c r="R313" s="20" t="str">
        <f t="shared" si="44"/>
        <v/>
      </c>
    </row>
    <row r="314" spans="2:18" ht="18" customHeight="1" x14ac:dyDescent="0.3">
      <c r="B314" s="26"/>
      <c r="C314" s="27"/>
      <c r="D314" s="18" t="str">
        <f>IF(B314="","",SUMIFS('📈 Datos Completos'!$E$7:$E$5000, '📈 Datos Completos'!$B$7:$B$5000, B314, '📈 Datos Completos'!$D$7:$D$5000, C314))</f>
        <v/>
      </c>
      <c r="E314" s="18" t="str">
        <f>IF(B314="","",SUMIFS('📈 Datos Completos'!$F$7:$F$5000, '📈 Datos Completos'!$B$7:$B$5000, B314, '📈 Datos Completos'!$D$7:$D$5000, C314))</f>
        <v/>
      </c>
      <c r="F314" s="18" t="str">
        <f>IF(B314="","",SUMIFS('📈 Datos Completos'!$G$7:$G$5000, '📈 Datos Completos'!$B$7:$B$5000, B314, '📈 Datos Completos'!$D$7:$D$5000, C314))</f>
        <v/>
      </c>
      <c r="G314" s="18" t="str">
        <f t="shared" si="36"/>
        <v/>
      </c>
      <c r="H314" s="19" t="str">
        <f>IF(B314="","",SUMIFS('📈 Datos Completos'!$I$7:$I$5000, '📈 Datos Completos'!$B$7:$B$5000, B314, '📈 Datos Completos'!$D$7:$D$5000, C314))</f>
        <v/>
      </c>
      <c r="I314" s="19" t="str">
        <f t="shared" si="37"/>
        <v/>
      </c>
      <c r="J314" s="19" t="str">
        <f t="shared" si="38"/>
        <v/>
      </c>
      <c r="K314" s="19" t="str">
        <f>IF(B314="","",IF(C314="DIA", (SUMIFS('📋 Detalle Diario'!$D$5:$D$489, '📋 Detalle Diario'!$B$5:$B$489, B314, '📋 Detalle Diario'!$C$5:$C$489, C314) * '⚙️ Supuestos'!$C$24) + '⚙️ Supuestos'!$C$23, (SUMIFS('📋 Detalle Diario'!$D$5:$D$489, '📋 Detalle Diario'!$B$5:$B$489, B314, '📋 Detalle Diario'!$C$5:$C$489, C314) * '⚙️ Supuestos'!$C$24) + '⚙️ Supuestos'!$C$33))</f>
        <v/>
      </c>
      <c r="L314" s="19" t="str">
        <f t="shared" si="39"/>
        <v/>
      </c>
      <c r="M314" s="20" t="str">
        <f t="shared" si="40"/>
        <v/>
      </c>
      <c r="N314" s="19" t="str">
        <f t="shared" si="41"/>
        <v/>
      </c>
      <c r="O314" s="27" t="str">
        <f t="shared" si="42"/>
        <v/>
      </c>
      <c r="P314" s="19" t="str">
        <f t="shared" si="43"/>
        <v/>
      </c>
      <c r="Q314" s="19" t="str">
        <f>IF(B314="","",J314-P314+(SUMIFS('📋 Detalle Diario'!$E$5:$E$489, '📋 Detalle Diario'!$B$5:$B$489, B314, '📋 Detalle Diario'!$C$5:$C$489, C314)*135)+(SUMIFS('📋 Detalle Diario'!$I$5:$I$489, '📋 Detalle Diario'!$B$5:$B$489, B314, '📋 Detalle Diario'!$C$5:$C$489, C314)*200))</f>
        <v/>
      </c>
      <c r="R314" s="20" t="str">
        <f t="shared" si="44"/>
        <v/>
      </c>
    </row>
    <row r="315" spans="2:18" ht="18" customHeight="1" x14ac:dyDescent="0.3">
      <c r="B315" s="24"/>
      <c r="C315" s="25"/>
      <c r="D315" s="18" t="str">
        <f>IF(B315="","",SUMIFS('📈 Datos Completos'!$E$7:$E$5000, '📈 Datos Completos'!$B$7:$B$5000, B315, '📈 Datos Completos'!$D$7:$D$5000, C315))</f>
        <v/>
      </c>
      <c r="E315" s="18" t="str">
        <f>IF(B315="","",SUMIFS('📈 Datos Completos'!$F$7:$F$5000, '📈 Datos Completos'!$B$7:$B$5000, B315, '📈 Datos Completos'!$D$7:$D$5000, C315))</f>
        <v/>
      </c>
      <c r="F315" s="18" t="str">
        <f>IF(B315="","",SUMIFS('📈 Datos Completos'!$G$7:$G$5000, '📈 Datos Completos'!$B$7:$B$5000, B315, '📈 Datos Completos'!$D$7:$D$5000, C315))</f>
        <v/>
      </c>
      <c r="G315" s="18" t="str">
        <f t="shared" si="36"/>
        <v/>
      </c>
      <c r="H315" s="19" t="str">
        <f>IF(B315="","",SUMIFS('📈 Datos Completos'!$I$7:$I$5000, '📈 Datos Completos'!$B$7:$B$5000, B315, '📈 Datos Completos'!$D$7:$D$5000, C315))</f>
        <v/>
      </c>
      <c r="I315" s="19" t="str">
        <f t="shared" si="37"/>
        <v/>
      </c>
      <c r="J315" s="19" t="str">
        <f t="shared" si="38"/>
        <v/>
      </c>
      <c r="K315" s="19" t="str">
        <f>IF(B315="","",IF(C315="DIA", (SUMIFS('📋 Detalle Diario'!$D$5:$D$489, '📋 Detalle Diario'!$B$5:$B$489, B315, '📋 Detalle Diario'!$C$5:$C$489, C315) * '⚙️ Supuestos'!$C$24) + '⚙️ Supuestos'!$C$23, (SUMIFS('📋 Detalle Diario'!$D$5:$D$489, '📋 Detalle Diario'!$B$5:$B$489, B315, '📋 Detalle Diario'!$C$5:$C$489, C315) * '⚙️ Supuestos'!$C$24) + '⚙️ Supuestos'!$C$33))</f>
        <v/>
      </c>
      <c r="L315" s="19" t="str">
        <f t="shared" si="39"/>
        <v/>
      </c>
      <c r="M315" s="20" t="str">
        <f t="shared" si="40"/>
        <v/>
      </c>
      <c r="N315" s="19" t="str">
        <f t="shared" si="41"/>
        <v/>
      </c>
      <c r="O315" s="25" t="str">
        <f t="shared" si="42"/>
        <v/>
      </c>
      <c r="P315" s="19" t="str">
        <f t="shared" si="43"/>
        <v/>
      </c>
      <c r="Q315" s="19" t="str">
        <f>IF(B315="","",J315-P315+(SUMIFS('📋 Detalle Diario'!$E$5:$E$489, '📋 Detalle Diario'!$B$5:$B$489, B315, '📋 Detalle Diario'!$C$5:$C$489, C315)*135)+(SUMIFS('📋 Detalle Diario'!$I$5:$I$489, '📋 Detalle Diario'!$B$5:$B$489, B315, '📋 Detalle Diario'!$C$5:$C$489, C315)*200))</f>
        <v/>
      </c>
      <c r="R315" s="20" t="str">
        <f t="shared" si="44"/>
        <v/>
      </c>
    </row>
    <row r="316" spans="2:18" ht="18" customHeight="1" x14ac:dyDescent="0.3">
      <c r="B316" s="26"/>
      <c r="C316" s="27"/>
      <c r="D316" s="18" t="str">
        <f>IF(B316="","",SUMIFS('📈 Datos Completos'!$E$7:$E$5000, '📈 Datos Completos'!$B$7:$B$5000, B316, '📈 Datos Completos'!$D$7:$D$5000, C316))</f>
        <v/>
      </c>
      <c r="E316" s="18" t="str">
        <f>IF(B316="","",SUMIFS('📈 Datos Completos'!$F$7:$F$5000, '📈 Datos Completos'!$B$7:$B$5000, B316, '📈 Datos Completos'!$D$7:$D$5000, C316))</f>
        <v/>
      </c>
      <c r="F316" s="18" t="str">
        <f>IF(B316="","",SUMIFS('📈 Datos Completos'!$G$7:$G$5000, '📈 Datos Completos'!$B$7:$B$5000, B316, '📈 Datos Completos'!$D$7:$D$5000, C316))</f>
        <v/>
      </c>
      <c r="G316" s="18" t="str">
        <f t="shared" si="36"/>
        <v/>
      </c>
      <c r="H316" s="19" t="str">
        <f>IF(B316="","",SUMIFS('📈 Datos Completos'!$I$7:$I$5000, '📈 Datos Completos'!$B$7:$B$5000, B316, '📈 Datos Completos'!$D$7:$D$5000, C316))</f>
        <v/>
      </c>
      <c r="I316" s="19" t="str">
        <f t="shared" si="37"/>
        <v/>
      </c>
      <c r="J316" s="19" t="str">
        <f t="shared" si="38"/>
        <v/>
      </c>
      <c r="K316" s="19" t="str">
        <f>IF(B316="","",IF(C316="DIA", (SUMIFS('📋 Detalle Diario'!$D$5:$D$489, '📋 Detalle Diario'!$B$5:$B$489, B316, '📋 Detalle Diario'!$C$5:$C$489, C316) * '⚙️ Supuestos'!$C$24) + '⚙️ Supuestos'!$C$23, (SUMIFS('📋 Detalle Diario'!$D$5:$D$489, '📋 Detalle Diario'!$B$5:$B$489, B316, '📋 Detalle Diario'!$C$5:$C$489, C316) * '⚙️ Supuestos'!$C$24) + '⚙️ Supuestos'!$C$33))</f>
        <v/>
      </c>
      <c r="L316" s="19" t="str">
        <f t="shared" si="39"/>
        <v/>
      </c>
      <c r="M316" s="20" t="str">
        <f t="shared" si="40"/>
        <v/>
      </c>
      <c r="N316" s="19" t="str">
        <f t="shared" si="41"/>
        <v/>
      </c>
      <c r="O316" s="27" t="str">
        <f t="shared" si="42"/>
        <v/>
      </c>
      <c r="P316" s="19" t="str">
        <f t="shared" si="43"/>
        <v/>
      </c>
      <c r="Q316" s="19" t="str">
        <f>IF(B316="","",J316-P316+(SUMIFS('📋 Detalle Diario'!$E$5:$E$489, '📋 Detalle Diario'!$B$5:$B$489, B316, '📋 Detalle Diario'!$C$5:$C$489, C316)*135)+(SUMIFS('📋 Detalle Diario'!$I$5:$I$489, '📋 Detalle Diario'!$B$5:$B$489, B316, '📋 Detalle Diario'!$C$5:$C$489, C316)*200))</f>
        <v/>
      </c>
      <c r="R316" s="20" t="str">
        <f t="shared" si="44"/>
        <v/>
      </c>
    </row>
    <row r="317" spans="2:18" ht="18" customHeight="1" x14ac:dyDescent="0.3">
      <c r="B317" s="24"/>
      <c r="C317" s="25"/>
      <c r="D317" s="18" t="str">
        <f>IF(B317="","",SUMIFS('📈 Datos Completos'!$E$7:$E$5000, '📈 Datos Completos'!$B$7:$B$5000, B317, '📈 Datos Completos'!$D$7:$D$5000, C317))</f>
        <v/>
      </c>
      <c r="E317" s="18" t="str">
        <f>IF(B317="","",SUMIFS('📈 Datos Completos'!$F$7:$F$5000, '📈 Datos Completos'!$B$7:$B$5000, B317, '📈 Datos Completos'!$D$7:$D$5000, C317))</f>
        <v/>
      </c>
      <c r="F317" s="18" t="str">
        <f>IF(B317="","",SUMIFS('📈 Datos Completos'!$G$7:$G$5000, '📈 Datos Completos'!$B$7:$B$5000, B317, '📈 Datos Completos'!$D$7:$D$5000, C317))</f>
        <v/>
      </c>
      <c r="G317" s="18" t="str">
        <f t="shared" si="36"/>
        <v/>
      </c>
      <c r="H317" s="19" t="str">
        <f>IF(B317="","",SUMIFS('📈 Datos Completos'!$I$7:$I$5000, '📈 Datos Completos'!$B$7:$B$5000, B317, '📈 Datos Completos'!$D$7:$D$5000, C317))</f>
        <v/>
      </c>
      <c r="I317" s="19" t="str">
        <f t="shared" si="37"/>
        <v/>
      </c>
      <c r="J317" s="19" t="str">
        <f t="shared" si="38"/>
        <v/>
      </c>
      <c r="K317" s="19" t="str">
        <f>IF(B317="","",IF(C317="DIA", (SUMIFS('📋 Detalle Diario'!$D$5:$D$489, '📋 Detalle Diario'!$B$5:$B$489, B317, '📋 Detalle Diario'!$C$5:$C$489, C317) * '⚙️ Supuestos'!$C$24) + '⚙️ Supuestos'!$C$23, (SUMIFS('📋 Detalle Diario'!$D$5:$D$489, '📋 Detalle Diario'!$B$5:$B$489, B317, '📋 Detalle Diario'!$C$5:$C$489, C317) * '⚙️ Supuestos'!$C$24) + '⚙️ Supuestos'!$C$33))</f>
        <v/>
      </c>
      <c r="L317" s="19" t="str">
        <f t="shared" si="39"/>
        <v/>
      </c>
      <c r="M317" s="20" t="str">
        <f t="shared" si="40"/>
        <v/>
      </c>
      <c r="N317" s="19" t="str">
        <f t="shared" si="41"/>
        <v/>
      </c>
      <c r="O317" s="25" t="str">
        <f t="shared" si="42"/>
        <v/>
      </c>
      <c r="P317" s="19" t="str">
        <f t="shared" si="43"/>
        <v/>
      </c>
      <c r="Q317" s="19" t="str">
        <f>IF(B317="","",J317-P317+(SUMIFS('📋 Detalle Diario'!$E$5:$E$489, '📋 Detalle Diario'!$B$5:$B$489, B317, '📋 Detalle Diario'!$C$5:$C$489, C317)*135)+(SUMIFS('📋 Detalle Diario'!$I$5:$I$489, '📋 Detalle Diario'!$B$5:$B$489, B317, '📋 Detalle Diario'!$C$5:$C$489, C317)*200))</f>
        <v/>
      </c>
      <c r="R317" s="20" t="str">
        <f t="shared" si="44"/>
        <v/>
      </c>
    </row>
    <row r="318" spans="2:18" ht="18" customHeight="1" x14ac:dyDescent="0.3">
      <c r="B318" s="26"/>
      <c r="C318" s="27"/>
      <c r="D318" s="18" t="str">
        <f>IF(B318="","",SUMIFS('📈 Datos Completos'!$E$7:$E$5000, '📈 Datos Completos'!$B$7:$B$5000, B318, '📈 Datos Completos'!$D$7:$D$5000, C318))</f>
        <v/>
      </c>
      <c r="E318" s="18" t="str">
        <f>IF(B318="","",SUMIFS('📈 Datos Completos'!$F$7:$F$5000, '📈 Datos Completos'!$B$7:$B$5000, B318, '📈 Datos Completos'!$D$7:$D$5000, C318))</f>
        <v/>
      </c>
      <c r="F318" s="18" t="str">
        <f>IF(B318="","",SUMIFS('📈 Datos Completos'!$G$7:$G$5000, '📈 Datos Completos'!$B$7:$B$5000, B318, '📈 Datos Completos'!$D$7:$D$5000, C318))</f>
        <v/>
      </c>
      <c r="G318" s="18" t="str">
        <f t="shared" si="36"/>
        <v/>
      </c>
      <c r="H318" s="19" t="str">
        <f>IF(B318="","",SUMIFS('📈 Datos Completos'!$I$7:$I$5000, '📈 Datos Completos'!$B$7:$B$5000, B318, '📈 Datos Completos'!$D$7:$D$5000, C318))</f>
        <v/>
      </c>
      <c r="I318" s="19" t="str">
        <f t="shared" si="37"/>
        <v/>
      </c>
      <c r="J318" s="19" t="str">
        <f t="shared" si="38"/>
        <v/>
      </c>
      <c r="K318" s="19" t="str">
        <f>IF(B318="","",IF(C318="DIA", (SUMIFS('📋 Detalle Diario'!$D$5:$D$489, '📋 Detalle Diario'!$B$5:$B$489, B318, '📋 Detalle Diario'!$C$5:$C$489, C318) * '⚙️ Supuestos'!$C$24) + '⚙️ Supuestos'!$C$23, (SUMIFS('📋 Detalle Diario'!$D$5:$D$489, '📋 Detalle Diario'!$B$5:$B$489, B318, '📋 Detalle Diario'!$C$5:$C$489, C318) * '⚙️ Supuestos'!$C$24) + '⚙️ Supuestos'!$C$33))</f>
        <v/>
      </c>
      <c r="L318" s="19" t="str">
        <f t="shared" si="39"/>
        <v/>
      </c>
      <c r="M318" s="20" t="str">
        <f t="shared" si="40"/>
        <v/>
      </c>
      <c r="N318" s="19" t="str">
        <f t="shared" si="41"/>
        <v/>
      </c>
      <c r="O318" s="27" t="str">
        <f t="shared" si="42"/>
        <v/>
      </c>
      <c r="P318" s="19" t="str">
        <f t="shared" si="43"/>
        <v/>
      </c>
      <c r="Q318" s="19" t="str">
        <f>IF(B318="","",J318-P318+(SUMIFS('📋 Detalle Diario'!$E$5:$E$489, '📋 Detalle Diario'!$B$5:$B$489, B318, '📋 Detalle Diario'!$C$5:$C$489, C318)*135)+(SUMIFS('📋 Detalle Diario'!$I$5:$I$489, '📋 Detalle Diario'!$B$5:$B$489, B318, '📋 Detalle Diario'!$C$5:$C$489, C318)*200))</f>
        <v/>
      </c>
      <c r="R318" s="20" t="str">
        <f t="shared" si="44"/>
        <v/>
      </c>
    </row>
    <row r="319" spans="2:18" ht="18" customHeight="1" x14ac:dyDescent="0.3">
      <c r="B319" s="24"/>
      <c r="C319" s="25"/>
      <c r="D319" s="18" t="str">
        <f>IF(B319="","",SUMIFS('📈 Datos Completos'!$E$7:$E$5000, '📈 Datos Completos'!$B$7:$B$5000, B319, '📈 Datos Completos'!$D$7:$D$5000, C319))</f>
        <v/>
      </c>
      <c r="E319" s="18" t="str">
        <f>IF(B319="","",SUMIFS('📈 Datos Completos'!$F$7:$F$5000, '📈 Datos Completos'!$B$7:$B$5000, B319, '📈 Datos Completos'!$D$7:$D$5000, C319))</f>
        <v/>
      </c>
      <c r="F319" s="18" t="str">
        <f>IF(B319="","",SUMIFS('📈 Datos Completos'!$G$7:$G$5000, '📈 Datos Completos'!$B$7:$B$5000, B319, '📈 Datos Completos'!$D$7:$D$5000, C319))</f>
        <v/>
      </c>
      <c r="G319" s="18" t="str">
        <f t="shared" si="36"/>
        <v/>
      </c>
      <c r="H319" s="19" t="str">
        <f>IF(B319="","",SUMIFS('📈 Datos Completos'!$I$7:$I$5000, '📈 Datos Completos'!$B$7:$B$5000, B319, '📈 Datos Completos'!$D$7:$D$5000, C319))</f>
        <v/>
      </c>
      <c r="I319" s="19" t="str">
        <f t="shared" si="37"/>
        <v/>
      </c>
      <c r="J319" s="19" t="str">
        <f t="shared" si="38"/>
        <v/>
      </c>
      <c r="K319" s="19" t="str">
        <f>IF(B319="","",IF(C319="DIA", (SUMIFS('📋 Detalle Diario'!$D$5:$D$489, '📋 Detalle Diario'!$B$5:$B$489, B319, '📋 Detalle Diario'!$C$5:$C$489, C319) * '⚙️ Supuestos'!$C$24) + '⚙️ Supuestos'!$C$23, (SUMIFS('📋 Detalle Diario'!$D$5:$D$489, '📋 Detalle Diario'!$B$5:$B$489, B319, '📋 Detalle Diario'!$C$5:$C$489, C319) * '⚙️ Supuestos'!$C$24) + '⚙️ Supuestos'!$C$33))</f>
        <v/>
      </c>
      <c r="L319" s="19" t="str">
        <f t="shared" si="39"/>
        <v/>
      </c>
      <c r="M319" s="20" t="str">
        <f t="shared" si="40"/>
        <v/>
      </c>
      <c r="N319" s="19" t="str">
        <f t="shared" si="41"/>
        <v/>
      </c>
      <c r="O319" s="25" t="str">
        <f t="shared" si="42"/>
        <v/>
      </c>
      <c r="P319" s="19" t="str">
        <f t="shared" si="43"/>
        <v/>
      </c>
      <c r="Q319" s="19" t="str">
        <f>IF(B319="","",J319-P319+(SUMIFS('📋 Detalle Diario'!$E$5:$E$489, '📋 Detalle Diario'!$B$5:$B$489, B319, '📋 Detalle Diario'!$C$5:$C$489, C319)*135)+(SUMIFS('📋 Detalle Diario'!$I$5:$I$489, '📋 Detalle Diario'!$B$5:$B$489, B319, '📋 Detalle Diario'!$C$5:$C$489, C319)*200))</f>
        <v/>
      </c>
      <c r="R319" s="20" t="str">
        <f t="shared" si="44"/>
        <v/>
      </c>
    </row>
    <row r="320" spans="2:18" ht="18" customHeight="1" x14ac:dyDescent="0.3">
      <c r="B320" s="26"/>
      <c r="C320" s="27"/>
      <c r="D320" s="18" t="str">
        <f>IF(B320="","",SUMIFS('📈 Datos Completos'!$E$7:$E$5000, '📈 Datos Completos'!$B$7:$B$5000, B320, '📈 Datos Completos'!$D$7:$D$5000, C320))</f>
        <v/>
      </c>
      <c r="E320" s="18" t="str">
        <f>IF(B320="","",SUMIFS('📈 Datos Completos'!$F$7:$F$5000, '📈 Datos Completos'!$B$7:$B$5000, B320, '📈 Datos Completos'!$D$7:$D$5000, C320))</f>
        <v/>
      </c>
      <c r="F320" s="18" t="str">
        <f>IF(B320="","",SUMIFS('📈 Datos Completos'!$G$7:$G$5000, '📈 Datos Completos'!$B$7:$B$5000, B320, '📈 Datos Completos'!$D$7:$D$5000, C320))</f>
        <v/>
      </c>
      <c r="G320" s="18" t="str">
        <f t="shared" si="36"/>
        <v/>
      </c>
      <c r="H320" s="19" t="str">
        <f>IF(B320="","",SUMIFS('📈 Datos Completos'!$I$7:$I$5000, '📈 Datos Completos'!$B$7:$B$5000, B320, '📈 Datos Completos'!$D$7:$D$5000, C320))</f>
        <v/>
      </c>
      <c r="I320" s="19" t="str">
        <f t="shared" si="37"/>
        <v/>
      </c>
      <c r="J320" s="19" t="str">
        <f t="shared" si="38"/>
        <v/>
      </c>
      <c r="K320" s="19" t="str">
        <f>IF(B320="","",IF(C320="DIA", (SUMIFS('📋 Detalle Diario'!$D$5:$D$489, '📋 Detalle Diario'!$B$5:$B$489, B320, '📋 Detalle Diario'!$C$5:$C$489, C320) * '⚙️ Supuestos'!$C$24) + '⚙️ Supuestos'!$C$23, (SUMIFS('📋 Detalle Diario'!$D$5:$D$489, '📋 Detalle Diario'!$B$5:$B$489, B320, '📋 Detalle Diario'!$C$5:$C$489, C320) * '⚙️ Supuestos'!$C$24) + '⚙️ Supuestos'!$C$33))</f>
        <v/>
      </c>
      <c r="L320" s="19" t="str">
        <f t="shared" si="39"/>
        <v/>
      </c>
      <c r="M320" s="20" t="str">
        <f t="shared" si="40"/>
        <v/>
      </c>
      <c r="N320" s="19" t="str">
        <f t="shared" si="41"/>
        <v/>
      </c>
      <c r="O320" s="27" t="str">
        <f t="shared" si="42"/>
        <v/>
      </c>
      <c r="P320" s="19" t="str">
        <f t="shared" si="43"/>
        <v/>
      </c>
      <c r="Q320" s="19" t="str">
        <f>IF(B320="","",J320-P320+(SUMIFS('📋 Detalle Diario'!$E$5:$E$489, '📋 Detalle Diario'!$B$5:$B$489, B320, '📋 Detalle Diario'!$C$5:$C$489, C320)*135)+(SUMIFS('📋 Detalle Diario'!$I$5:$I$489, '📋 Detalle Diario'!$B$5:$B$489, B320, '📋 Detalle Diario'!$C$5:$C$489, C320)*200))</f>
        <v/>
      </c>
      <c r="R320" s="20" t="str">
        <f t="shared" si="44"/>
        <v/>
      </c>
    </row>
    <row r="321" spans="2:18" ht="18" customHeight="1" x14ac:dyDescent="0.3">
      <c r="B321" s="24"/>
      <c r="C321" s="25"/>
      <c r="D321" s="18" t="str">
        <f>IF(B321="","",SUMIFS('📈 Datos Completos'!$E$7:$E$5000, '📈 Datos Completos'!$B$7:$B$5000, B321, '📈 Datos Completos'!$D$7:$D$5000, C321))</f>
        <v/>
      </c>
      <c r="E321" s="18" t="str">
        <f>IF(B321="","",SUMIFS('📈 Datos Completos'!$F$7:$F$5000, '📈 Datos Completos'!$B$7:$B$5000, B321, '📈 Datos Completos'!$D$7:$D$5000, C321))</f>
        <v/>
      </c>
      <c r="F321" s="18" t="str">
        <f>IF(B321="","",SUMIFS('📈 Datos Completos'!$G$7:$G$5000, '📈 Datos Completos'!$B$7:$B$5000, B321, '📈 Datos Completos'!$D$7:$D$5000, C321))</f>
        <v/>
      </c>
      <c r="G321" s="18" t="str">
        <f t="shared" si="36"/>
        <v/>
      </c>
      <c r="H321" s="19" t="str">
        <f>IF(B321="","",SUMIFS('📈 Datos Completos'!$I$7:$I$5000, '📈 Datos Completos'!$B$7:$B$5000, B321, '📈 Datos Completos'!$D$7:$D$5000, C321))</f>
        <v/>
      </c>
      <c r="I321" s="19" t="str">
        <f t="shared" si="37"/>
        <v/>
      </c>
      <c r="J321" s="19" t="str">
        <f t="shared" si="38"/>
        <v/>
      </c>
      <c r="K321" s="19" t="str">
        <f>IF(B321="","",IF(C321="DIA", (SUMIFS('📋 Detalle Diario'!$D$5:$D$489, '📋 Detalle Diario'!$B$5:$B$489, B321, '📋 Detalle Diario'!$C$5:$C$489, C321) * '⚙️ Supuestos'!$C$24) + '⚙️ Supuestos'!$C$23, (SUMIFS('📋 Detalle Diario'!$D$5:$D$489, '📋 Detalle Diario'!$B$5:$B$489, B321, '📋 Detalle Diario'!$C$5:$C$489, C321) * '⚙️ Supuestos'!$C$24) + '⚙️ Supuestos'!$C$33))</f>
        <v/>
      </c>
      <c r="L321" s="19" t="str">
        <f t="shared" si="39"/>
        <v/>
      </c>
      <c r="M321" s="20" t="str">
        <f t="shared" si="40"/>
        <v/>
      </c>
      <c r="N321" s="19" t="str">
        <f t="shared" si="41"/>
        <v/>
      </c>
      <c r="O321" s="25" t="str">
        <f t="shared" si="42"/>
        <v/>
      </c>
      <c r="P321" s="19" t="str">
        <f t="shared" si="43"/>
        <v/>
      </c>
      <c r="Q321" s="19" t="str">
        <f>IF(B321="","",J321-P321+(SUMIFS('📋 Detalle Diario'!$E$5:$E$489, '📋 Detalle Diario'!$B$5:$B$489, B321, '📋 Detalle Diario'!$C$5:$C$489, C321)*135)+(SUMIFS('📋 Detalle Diario'!$I$5:$I$489, '📋 Detalle Diario'!$B$5:$B$489, B321, '📋 Detalle Diario'!$C$5:$C$489, C321)*200))</f>
        <v/>
      </c>
      <c r="R321" s="20" t="str">
        <f t="shared" si="44"/>
        <v/>
      </c>
    </row>
    <row r="322" spans="2:18" ht="18" customHeight="1" x14ac:dyDescent="0.3">
      <c r="B322" s="26"/>
      <c r="C322" s="27"/>
      <c r="D322" s="18" t="str">
        <f>IF(B322="","",SUMIFS('📈 Datos Completos'!$E$7:$E$5000, '📈 Datos Completos'!$B$7:$B$5000, B322, '📈 Datos Completos'!$D$7:$D$5000, C322))</f>
        <v/>
      </c>
      <c r="E322" s="18" t="str">
        <f>IF(B322="","",SUMIFS('📈 Datos Completos'!$F$7:$F$5000, '📈 Datos Completos'!$B$7:$B$5000, B322, '📈 Datos Completos'!$D$7:$D$5000, C322))</f>
        <v/>
      </c>
      <c r="F322" s="18" t="str">
        <f>IF(B322="","",SUMIFS('📈 Datos Completos'!$G$7:$G$5000, '📈 Datos Completos'!$B$7:$B$5000, B322, '📈 Datos Completos'!$D$7:$D$5000, C322))</f>
        <v/>
      </c>
      <c r="G322" s="18" t="str">
        <f t="shared" si="36"/>
        <v/>
      </c>
      <c r="H322" s="19" t="str">
        <f>IF(B322="","",SUMIFS('📈 Datos Completos'!$I$7:$I$5000, '📈 Datos Completos'!$B$7:$B$5000, B322, '📈 Datos Completos'!$D$7:$D$5000, C322))</f>
        <v/>
      </c>
      <c r="I322" s="19" t="str">
        <f t="shared" si="37"/>
        <v/>
      </c>
      <c r="J322" s="19" t="str">
        <f t="shared" si="38"/>
        <v/>
      </c>
      <c r="K322" s="19" t="str">
        <f>IF(B322="","",IF(C322="DIA", (SUMIFS('📋 Detalle Diario'!$D$5:$D$489, '📋 Detalle Diario'!$B$5:$B$489, B322, '📋 Detalle Diario'!$C$5:$C$489, C322) * '⚙️ Supuestos'!$C$24) + '⚙️ Supuestos'!$C$23, (SUMIFS('📋 Detalle Diario'!$D$5:$D$489, '📋 Detalle Diario'!$B$5:$B$489, B322, '📋 Detalle Diario'!$C$5:$C$489, C322) * '⚙️ Supuestos'!$C$24) + '⚙️ Supuestos'!$C$33))</f>
        <v/>
      </c>
      <c r="L322" s="19" t="str">
        <f t="shared" si="39"/>
        <v/>
      </c>
      <c r="M322" s="20" t="str">
        <f t="shared" si="40"/>
        <v/>
      </c>
      <c r="N322" s="19" t="str">
        <f t="shared" si="41"/>
        <v/>
      </c>
      <c r="O322" s="27" t="str">
        <f t="shared" si="42"/>
        <v/>
      </c>
      <c r="P322" s="19" t="str">
        <f t="shared" si="43"/>
        <v/>
      </c>
      <c r="Q322" s="19" t="str">
        <f>IF(B322="","",J322-P322+(SUMIFS('📋 Detalle Diario'!$E$5:$E$489, '📋 Detalle Diario'!$B$5:$B$489, B322, '📋 Detalle Diario'!$C$5:$C$489, C322)*135)+(SUMIFS('📋 Detalle Diario'!$I$5:$I$489, '📋 Detalle Diario'!$B$5:$B$489, B322, '📋 Detalle Diario'!$C$5:$C$489, C322)*200))</f>
        <v/>
      </c>
      <c r="R322" s="20" t="str">
        <f t="shared" si="44"/>
        <v/>
      </c>
    </row>
    <row r="323" spans="2:18" ht="18" customHeight="1" x14ac:dyDescent="0.3">
      <c r="B323" s="24"/>
      <c r="C323" s="25"/>
      <c r="D323" s="18" t="str">
        <f>IF(B323="","",SUMIFS('📈 Datos Completos'!$E$7:$E$5000, '📈 Datos Completos'!$B$7:$B$5000, B323, '📈 Datos Completos'!$D$7:$D$5000, C323))</f>
        <v/>
      </c>
      <c r="E323" s="18" t="str">
        <f>IF(B323="","",SUMIFS('📈 Datos Completos'!$F$7:$F$5000, '📈 Datos Completos'!$B$7:$B$5000, B323, '📈 Datos Completos'!$D$7:$D$5000, C323))</f>
        <v/>
      </c>
      <c r="F323" s="18" t="str">
        <f>IF(B323="","",SUMIFS('📈 Datos Completos'!$G$7:$G$5000, '📈 Datos Completos'!$B$7:$B$5000, B323, '📈 Datos Completos'!$D$7:$D$5000, C323))</f>
        <v/>
      </c>
      <c r="G323" s="18" t="str">
        <f t="shared" si="36"/>
        <v/>
      </c>
      <c r="H323" s="19" t="str">
        <f>IF(B323="","",SUMIFS('📈 Datos Completos'!$I$7:$I$5000, '📈 Datos Completos'!$B$7:$B$5000, B323, '📈 Datos Completos'!$D$7:$D$5000, C323))</f>
        <v/>
      </c>
      <c r="I323" s="19" t="str">
        <f t="shared" si="37"/>
        <v/>
      </c>
      <c r="J323" s="19" t="str">
        <f t="shared" si="38"/>
        <v/>
      </c>
      <c r="K323" s="19" t="str">
        <f>IF(B323="","",IF(C323="DIA", (SUMIFS('📋 Detalle Diario'!$D$5:$D$489, '📋 Detalle Diario'!$B$5:$B$489, B323, '📋 Detalle Diario'!$C$5:$C$489, C323) * '⚙️ Supuestos'!$C$24) + '⚙️ Supuestos'!$C$23, (SUMIFS('📋 Detalle Diario'!$D$5:$D$489, '📋 Detalle Diario'!$B$5:$B$489, B323, '📋 Detalle Diario'!$C$5:$C$489, C323) * '⚙️ Supuestos'!$C$24) + '⚙️ Supuestos'!$C$33))</f>
        <v/>
      </c>
      <c r="L323" s="19" t="str">
        <f t="shared" si="39"/>
        <v/>
      </c>
      <c r="M323" s="20" t="str">
        <f t="shared" si="40"/>
        <v/>
      </c>
      <c r="N323" s="19" t="str">
        <f t="shared" si="41"/>
        <v/>
      </c>
      <c r="O323" s="25" t="str">
        <f t="shared" si="42"/>
        <v/>
      </c>
      <c r="P323" s="19" t="str">
        <f t="shared" si="43"/>
        <v/>
      </c>
      <c r="Q323" s="19" t="str">
        <f>IF(B323="","",J323-P323+(SUMIFS('📋 Detalle Diario'!$E$5:$E$489, '📋 Detalle Diario'!$B$5:$B$489, B323, '📋 Detalle Diario'!$C$5:$C$489, C323)*135)+(SUMIFS('📋 Detalle Diario'!$I$5:$I$489, '📋 Detalle Diario'!$B$5:$B$489, B323, '📋 Detalle Diario'!$C$5:$C$489, C323)*200))</f>
        <v/>
      </c>
      <c r="R323" s="20" t="str">
        <f t="shared" si="44"/>
        <v/>
      </c>
    </row>
    <row r="324" spans="2:18" ht="18" customHeight="1" x14ac:dyDescent="0.3">
      <c r="B324" s="26"/>
      <c r="C324" s="27"/>
      <c r="D324" s="18" t="str">
        <f>IF(B324="","",SUMIFS('📈 Datos Completos'!$E$7:$E$5000, '📈 Datos Completos'!$B$7:$B$5000, B324, '📈 Datos Completos'!$D$7:$D$5000, C324))</f>
        <v/>
      </c>
      <c r="E324" s="18" t="str">
        <f>IF(B324="","",SUMIFS('📈 Datos Completos'!$F$7:$F$5000, '📈 Datos Completos'!$B$7:$B$5000, B324, '📈 Datos Completos'!$D$7:$D$5000, C324))</f>
        <v/>
      </c>
      <c r="F324" s="18" t="str">
        <f>IF(B324="","",SUMIFS('📈 Datos Completos'!$G$7:$G$5000, '📈 Datos Completos'!$B$7:$B$5000, B324, '📈 Datos Completos'!$D$7:$D$5000, C324))</f>
        <v/>
      </c>
      <c r="G324" s="18" t="str">
        <f t="shared" si="36"/>
        <v/>
      </c>
      <c r="H324" s="19" t="str">
        <f>IF(B324="","",SUMIFS('📈 Datos Completos'!$I$7:$I$5000, '📈 Datos Completos'!$B$7:$B$5000, B324, '📈 Datos Completos'!$D$7:$D$5000, C324))</f>
        <v/>
      </c>
      <c r="I324" s="19" t="str">
        <f t="shared" si="37"/>
        <v/>
      </c>
      <c r="J324" s="19" t="str">
        <f t="shared" si="38"/>
        <v/>
      </c>
      <c r="K324" s="19" t="str">
        <f>IF(B324="","",IF(C324="DIA", (SUMIFS('📋 Detalle Diario'!$D$5:$D$489, '📋 Detalle Diario'!$B$5:$B$489, B324, '📋 Detalle Diario'!$C$5:$C$489, C324) * '⚙️ Supuestos'!$C$24) + '⚙️ Supuestos'!$C$23, (SUMIFS('📋 Detalle Diario'!$D$5:$D$489, '📋 Detalle Diario'!$B$5:$B$489, B324, '📋 Detalle Diario'!$C$5:$C$489, C324) * '⚙️ Supuestos'!$C$24) + '⚙️ Supuestos'!$C$33))</f>
        <v/>
      </c>
      <c r="L324" s="19" t="str">
        <f t="shared" si="39"/>
        <v/>
      </c>
      <c r="M324" s="20" t="str">
        <f t="shared" si="40"/>
        <v/>
      </c>
      <c r="N324" s="19" t="str">
        <f t="shared" si="41"/>
        <v/>
      </c>
      <c r="O324" s="27" t="str">
        <f t="shared" si="42"/>
        <v/>
      </c>
      <c r="P324" s="19" t="str">
        <f t="shared" si="43"/>
        <v/>
      </c>
      <c r="Q324" s="19" t="str">
        <f>IF(B324="","",J324-P324+(SUMIFS('📋 Detalle Diario'!$E$5:$E$489, '📋 Detalle Diario'!$B$5:$B$489, B324, '📋 Detalle Diario'!$C$5:$C$489, C324)*135)+(SUMIFS('📋 Detalle Diario'!$I$5:$I$489, '📋 Detalle Diario'!$B$5:$B$489, B324, '📋 Detalle Diario'!$C$5:$C$489, C324)*200))</f>
        <v/>
      </c>
      <c r="R324" s="20" t="str">
        <f t="shared" si="44"/>
        <v/>
      </c>
    </row>
    <row r="325" spans="2:18" ht="18" customHeight="1" x14ac:dyDescent="0.3">
      <c r="B325" s="24"/>
      <c r="C325" s="25"/>
      <c r="D325" s="18" t="str">
        <f>IF(B325="","",SUMIFS('📈 Datos Completos'!$E$7:$E$5000, '📈 Datos Completos'!$B$7:$B$5000, B325, '📈 Datos Completos'!$D$7:$D$5000, C325))</f>
        <v/>
      </c>
      <c r="E325" s="18" t="str">
        <f>IF(B325="","",SUMIFS('📈 Datos Completos'!$F$7:$F$5000, '📈 Datos Completos'!$B$7:$B$5000, B325, '📈 Datos Completos'!$D$7:$D$5000, C325))</f>
        <v/>
      </c>
      <c r="F325" s="18" t="str">
        <f>IF(B325="","",SUMIFS('📈 Datos Completos'!$G$7:$G$5000, '📈 Datos Completos'!$B$7:$B$5000, B325, '📈 Datos Completos'!$D$7:$D$5000, C325))</f>
        <v/>
      </c>
      <c r="G325" s="18" t="str">
        <f t="shared" ref="G325:G388" si="45">IF(B325="","",E325+F325)</f>
        <v/>
      </c>
      <c r="H325" s="19" t="str">
        <f>IF(B325="","",SUMIFS('📈 Datos Completos'!$I$7:$I$5000, '📈 Datos Completos'!$B$7:$B$5000, B325, '📈 Datos Completos'!$D$7:$D$5000, C325))</f>
        <v/>
      </c>
      <c r="I325" s="19" t="str">
        <f t="shared" ref="I325:I388" si="46">IF(B325="","",IF(C325="DIA", G325*1.01, G325*1.35))</f>
        <v/>
      </c>
      <c r="J325" s="19" t="str">
        <f t="shared" ref="J325:J388" si="47">IF(B325="","",H325+I325)</f>
        <v/>
      </c>
      <c r="K325" s="19" t="str">
        <f>IF(B325="","",IF(C325="DIA", (SUMIFS('📋 Detalle Diario'!$D$5:$D$489, '📋 Detalle Diario'!$B$5:$B$489, B325, '📋 Detalle Diario'!$C$5:$C$489, C325) * '⚙️ Supuestos'!$C$24) + '⚙️ Supuestos'!$C$23, (SUMIFS('📋 Detalle Diario'!$D$5:$D$489, '📋 Detalle Diario'!$B$5:$B$489, B325, '📋 Detalle Diario'!$C$5:$C$489, C325) * '⚙️ Supuestos'!$C$24) + '⚙️ Supuestos'!$C$33))</f>
        <v/>
      </c>
      <c r="L325" s="19" t="str">
        <f t="shared" ref="L325:L388" si="48">IF(B325="","",J325-K325)</f>
        <v/>
      </c>
      <c r="M325" s="20" t="str">
        <f t="shared" ref="M325:M388" si="49">IF(B325="","",IF(J325=0, 0, L325/J325))</f>
        <v/>
      </c>
      <c r="N325" s="19" t="str">
        <f t="shared" ref="N325:N388" si="50">IF(B325="","",IF(D325=0, 0, K325/D325))</f>
        <v/>
      </c>
      <c r="O325" s="25" t="str">
        <f t="shared" ref="O325:O388" si="51">IF(B325="","",IF(ISNUMBER(B325),YEAR(B325)&amp;"-"&amp;IF(MONTH(B325)&lt;10,"0","")&amp;MONTH(B325),LEFT(B325,7)))</f>
        <v/>
      </c>
      <c r="P325" s="19" t="str">
        <f t="shared" ref="P325:P388" si="52">IF(B325="","",K325+(G325*0.09))</f>
        <v/>
      </c>
      <c r="Q325" s="19" t="str">
        <f>IF(B325="","",J325-P325+(SUMIFS('📋 Detalle Diario'!$E$5:$E$489, '📋 Detalle Diario'!$B$5:$B$489, B325, '📋 Detalle Diario'!$C$5:$C$489, C325)*135)+(SUMIFS('📋 Detalle Diario'!$I$5:$I$489, '📋 Detalle Diario'!$B$5:$B$489, B325, '📋 Detalle Diario'!$C$5:$C$489, C325)*200))</f>
        <v/>
      </c>
      <c r="R325" s="20" t="str">
        <f t="shared" ref="R325:R388" si="53">IF(B325="","",IF(J325=0, 0, Q325/J325))</f>
        <v/>
      </c>
    </row>
    <row r="326" spans="2:18" ht="18" customHeight="1" x14ac:dyDescent="0.3">
      <c r="B326" s="26"/>
      <c r="C326" s="27"/>
      <c r="D326" s="18" t="str">
        <f>IF(B326="","",SUMIFS('📈 Datos Completos'!$E$7:$E$5000, '📈 Datos Completos'!$B$7:$B$5000, B326, '📈 Datos Completos'!$D$7:$D$5000, C326))</f>
        <v/>
      </c>
      <c r="E326" s="18" t="str">
        <f>IF(B326="","",SUMIFS('📈 Datos Completos'!$F$7:$F$5000, '📈 Datos Completos'!$B$7:$B$5000, B326, '📈 Datos Completos'!$D$7:$D$5000, C326))</f>
        <v/>
      </c>
      <c r="F326" s="18" t="str">
        <f>IF(B326="","",SUMIFS('📈 Datos Completos'!$G$7:$G$5000, '📈 Datos Completos'!$B$7:$B$5000, B326, '📈 Datos Completos'!$D$7:$D$5000, C326))</f>
        <v/>
      </c>
      <c r="G326" s="18" t="str">
        <f t="shared" si="45"/>
        <v/>
      </c>
      <c r="H326" s="19" t="str">
        <f>IF(B326="","",SUMIFS('📈 Datos Completos'!$I$7:$I$5000, '📈 Datos Completos'!$B$7:$B$5000, B326, '📈 Datos Completos'!$D$7:$D$5000, C326))</f>
        <v/>
      </c>
      <c r="I326" s="19" t="str">
        <f t="shared" si="46"/>
        <v/>
      </c>
      <c r="J326" s="19" t="str">
        <f t="shared" si="47"/>
        <v/>
      </c>
      <c r="K326" s="19" t="str">
        <f>IF(B326="","",IF(C326="DIA", (SUMIFS('📋 Detalle Diario'!$D$5:$D$489, '📋 Detalle Diario'!$B$5:$B$489, B326, '📋 Detalle Diario'!$C$5:$C$489, C326) * '⚙️ Supuestos'!$C$24) + '⚙️ Supuestos'!$C$23, (SUMIFS('📋 Detalle Diario'!$D$5:$D$489, '📋 Detalle Diario'!$B$5:$B$489, B326, '📋 Detalle Diario'!$C$5:$C$489, C326) * '⚙️ Supuestos'!$C$24) + '⚙️ Supuestos'!$C$33))</f>
        <v/>
      </c>
      <c r="L326" s="19" t="str">
        <f t="shared" si="48"/>
        <v/>
      </c>
      <c r="M326" s="20" t="str">
        <f t="shared" si="49"/>
        <v/>
      </c>
      <c r="N326" s="19" t="str">
        <f t="shared" si="50"/>
        <v/>
      </c>
      <c r="O326" s="27" t="str">
        <f t="shared" si="51"/>
        <v/>
      </c>
      <c r="P326" s="19" t="str">
        <f t="shared" si="52"/>
        <v/>
      </c>
      <c r="Q326" s="19" t="str">
        <f>IF(B326="","",J326-P326+(SUMIFS('📋 Detalle Diario'!$E$5:$E$489, '📋 Detalle Diario'!$B$5:$B$489, B326, '📋 Detalle Diario'!$C$5:$C$489, C326)*135)+(SUMIFS('📋 Detalle Diario'!$I$5:$I$489, '📋 Detalle Diario'!$B$5:$B$489, B326, '📋 Detalle Diario'!$C$5:$C$489, C326)*200))</f>
        <v/>
      </c>
      <c r="R326" s="20" t="str">
        <f t="shared" si="53"/>
        <v/>
      </c>
    </row>
    <row r="327" spans="2:18" ht="18" customHeight="1" x14ac:dyDescent="0.3">
      <c r="B327" s="24"/>
      <c r="C327" s="25"/>
      <c r="D327" s="18" t="str">
        <f>IF(B327="","",SUMIFS('📈 Datos Completos'!$E$7:$E$5000, '📈 Datos Completos'!$B$7:$B$5000, B327, '📈 Datos Completos'!$D$7:$D$5000, C327))</f>
        <v/>
      </c>
      <c r="E327" s="18" t="str">
        <f>IF(B327="","",SUMIFS('📈 Datos Completos'!$F$7:$F$5000, '📈 Datos Completos'!$B$7:$B$5000, B327, '📈 Datos Completos'!$D$7:$D$5000, C327))</f>
        <v/>
      </c>
      <c r="F327" s="18" t="str">
        <f>IF(B327="","",SUMIFS('📈 Datos Completos'!$G$7:$G$5000, '📈 Datos Completos'!$B$7:$B$5000, B327, '📈 Datos Completos'!$D$7:$D$5000, C327))</f>
        <v/>
      </c>
      <c r="G327" s="18" t="str">
        <f t="shared" si="45"/>
        <v/>
      </c>
      <c r="H327" s="19" t="str">
        <f>IF(B327="","",SUMIFS('📈 Datos Completos'!$I$7:$I$5000, '📈 Datos Completos'!$B$7:$B$5000, B327, '📈 Datos Completos'!$D$7:$D$5000, C327))</f>
        <v/>
      </c>
      <c r="I327" s="19" t="str">
        <f t="shared" si="46"/>
        <v/>
      </c>
      <c r="J327" s="19" t="str">
        <f t="shared" si="47"/>
        <v/>
      </c>
      <c r="K327" s="19" t="str">
        <f>IF(B327="","",IF(C327="DIA", (SUMIFS('📋 Detalle Diario'!$D$5:$D$489, '📋 Detalle Diario'!$B$5:$B$489, B327, '📋 Detalle Diario'!$C$5:$C$489, C327) * '⚙️ Supuestos'!$C$24) + '⚙️ Supuestos'!$C$23, (SUMIFS('📋 Detalle Diario'!$D$5:$D$489, '📋 Detalle Diario'!$B$5:$B$489, B327, '📋 Detalle Diario'!$C$5:$C$489, C327) * '⚙️ Supuestos'!$C$24) + '⚙️ Supuestos'!$C$33))</f>
        <v/>
      </c>
      <c r="L327" s="19" t="str">
        <f t="shared" si="48"/>
        <v/>
      </c>
      <c r="M327" s="20" t="str">
        <f t="shared" si="49"/>
        <v/>
      </c>
      <c r="N327" s="19" t="str">
        <f t="shared" si="50"/>
        <v/>
      </c>
      <c r="O327" s="25" t="str">
        <f t="shared" si="51"/>
        <v/>
      </c>
      <c r="P327" s="19" t="str">
        <f t="shared" si="52"/>
        <v/>
      </c>
      <c r="Q327" s="19" t="str">
        <f>IF(B327="","",J327-P327+(SUMIFS('📋 Detalle Diario'!$E$5:$E$489, '📋 Detalle Diario'!$B$5:$B$489, B327, '📋 Detalle Diario'!$C$5:$C$489, C327)*135)+(SUMIFS('📋 Detalle Diario'!$I$5:$I$489, '📋 Detalle Diario'!$B$5:$B$489, B327, '📋 Detalle Diario'!$C$5:$C$489, C327)*200))</f>
        <v/>
      </c>
      <c r="R327" s="20" t="str">
        <f t="shared" si="53"/>
        <v/>
      </c>
    </row>
    <row r="328" spans="2:18" ht="18" customHeight="1" x14ac:dyDescent="0.3">
      <c r="B328" s="26"/>
      <c r="C328" s="27"/>
      <c r="D328" s="18" t="str">
        <f>IF(B328="","",SUMIFS('📈 Datos Completos'!$E$7:$E$5000, '📈 Datos Completos'!$B$7:$B$5000, B328, '📈 Datos Completos'!$D$7:$D$5000, C328))</f>
        <v/>
      </c>
      <c r="E328" s="18" t="str">
        <f>IF(B328="","",SUMIFS('📈 Datos Completos'!$F$7:$F$5000, '📈 Datos Completos'!$B$7:$B$5000, B328, '📈 Datos Completos'!$D$7:$D$5000, C328))</f>
        <v/>
      </c>
      <c r="F328" s="18" t="str">
        <f>IF(B328="","",SUMIFS('📈 Datos Completos'!$G$7:$G$5000, '📈 Datos Completos'!$B$7:$B$5000, B328, '📈 Datos Completos'!$D$7:$D$5000, C328))</f>
        <v/>
      </c>
      <c r="G328" s="18" t="str">
        <f t="shared" si="45"/>
        <v/>
      </c>
      <c r="H328" s="19" t="str">
        <f>IF(B328="","",SUMIFS('📈 Datos Completos'!$I$7:$I$5000, '📈 Datos Completos'!$B$7:$B$5000, B328, '📈 Datos Completos'!$D$7:$D$5000, C328))</f>
        <v/>
      </c>
      <c r="I328" s="19" t="str">
        <f t="shared" si="46"/>
        <v/>
      </c>
      <c r="J328" s="19" t="str">
        <f t="shared" si="47"/>
        <v/>
      </c>
      <c r="K328" s="19" t="str">
        <f>IF(B328="","",IF(C328="DIA", (SUMIFS('📋 Detalle Diario'!$D$5:$D$489, '📋 Detalle Diario'!$B$5:$B$489, B328, '📋 Detalle Diario'!$C$5:$C$489, C328) * '⚙️ Supuestos'!$C$24) + '⚙️ Supuestos'!$C$23, (SUMIFS('📋 Detalle Diario'!$D$5:$D$489, '📋 Detalle Diario'!$B$5:$B$489, B328, '📋 Detalle Diario'!$C$5:$C$489, C328) * '⚙️ Supuestos'!$C$24) + '⚙️ Supuestos'!$C$33))</f>
        <v/>
      </c>
      <c r="L328" s="19" t="str">
        <f t="shared" si="48"/>
        <v/>
      </c>
      <c r="M328" s="20" t="str">
        <f t="shared" si="49"/>
        <v/>
      </c>
      <c r="N328" s="19" t="str">
        <f t="shared" si="50"/>
        <v/>
      </c>
      <c r="O328" s="27" t="str">
        <f t="shared" si="51"/>
        <v/>
      </c>
      <c r="P328" s="19" t="str">
        <f t="shared" si="52"/>
        <v/>
      </c>
      <c r="Q328" s="19" t="str">
        <f>IF(B328="","",J328-P328+(SUMIFS('📋 Detalle Diario'!$E$5:$E$489, '📋 Detalle Diario'!$B$5:$B$489, B328, '📋 Detalle Diario'!$C$5:$C$489, C328)*135)+(SUMIFS('📋 Detalle Diario'!$I$5:$I$489, '📋 Detalle Diario'!$B$5:$B$489, B328, '📋 Detalle Diario'!$C$5:$C$489, C328)*200))</f>
        <v/>
      </c>
      <c r="R328" s="20" t="str">
        <f t="shared" si="53"/>
        <v/>
      </c>
    </row>
    <row r="329" spans="2:18" ht="18" customHeight="1" x14ac:dyDescent="0.3">
      <c r="B329" s="24"/>
      <c r="C329" s="25"/>
      <c r="D329" s="18" t="str">
        <f>IF(B329="","",SUMIFS('📈 Datos Completos'!$E$7:$E$5000, '📈 Datos Completos'!$B$7:$B$5000, B329, '📈 Datos Completos'!$D$7:$D$5000, C329))</f>
        <v/>
      </c>
      <c r="E329" s="18" t="str">
        <f>IF(B329="","",SUMIFS('📈 Datos Completos'!$F$7:$F$5000, '📈 Datos Completos'!$B$7:$B$5000, B329, '📈 Datos Completos'!$D$7:$D$5000, C329))</f>
        <v/>
      </c>
      <c r="F329" s="18" t="str">
        <f>IF(B329="","",SUMIFS('📈 Datos Completos'!$G$7:$G$5000, '📈 Datos Completos'!$B$7:$B$5000, B329, '📈 Datos Completos'!$D$7:$D$5000, C329))</f>
        <v/>
      </c>
      <c r="G329" s="18" t="str">
        <f t="shared" si="45"/>
        <v/>
      </c>
      <c r="H329" s="19" t="str">
        <f>IF(B329="","",SUMIFS('📈 Datos Completos'!$I$7:$I$5000, '📈 Datos Completos'!$B$7:$B$5000, B329, '📈 Datos Completos'!$D$7:$D$5000, C329))</f>
        <v/>
      </c>
      <c r="I329" s="19" t="str">
        <f t="shared" si="46"/>
        <v/>
      </c>
      <c r="J329" s="19" t="str">
        <f t="shared" si="47"/>
        <v/>
      </c>
      <c r="K329" s="19" t="str">
        <f>IF(B329="","",IF(C329="DIA", (SUMIFS('📋 Detalle Diario'!$D$5:$D$489, '📋 Detalle Diario'!$B$5:$B$489, B329, '📋 Detalle Diario'!$C$5:$C$489, C329) * '⚙️ Supuestos'!$C$24) + '⚙️ Supuestos'!$C$23, (SUMIFS('📋 Detalle Diario'!$D$5:$D$489, '📋 Detalle Diario'!$B$5:$B$489, B329, '📋 Detalle Diario'!$C$5:$C$489, C329) * '⚙️ Supuestos'!$C$24) + '⚙️ Supuestos'!$C$33))</f>
        <v/>
      </c>
      <c r="L329" s="19" t="str">
        <f t="shared" si="48"/>
        <v/>
      </c>
      <c r="M329" s="20" t="str">
        <f t="shared" si="49"/>
        <v/>
      </c>
      <c r="N329" s="19" t="str">
        <f t="shared" si="50"/>
        <v/>
      </c>
      <c r="O329" s="25" t="str">
        <f t="shared" si="51"/>
        <v/>
      </c>
      <c r="P329" s="19" t="str">
        <f t="shared" si="52"/>
        <v/>
      </c>
      <c r="Q329" s="19" t="str">
        <f>IF(B329="","",J329-P329+(SUMIFS('📋 Detalle Diario'!$E$5:$E$489, '📋 Detalle Diario'!$B$5:$B$489, B329, '📋 Detalle Diario'!$C$5:$C$489, C329)*135)+(SUMIFS('📋 Detalle Diario'!$I$5:$I$489, '📋 Detalle Diario'!$B$5:$B$489, B329, '📋 Detalle Diario'!$C$5:$C$489, C329)*200))</f>
        <v/>
      </c>
      <c r="R329" s="20" t="str">
        <f t="shared" si="53"/>
        <v/>
      </c>
    </row>
    <row r="330" spans="2:18" ht="18" customHeight="1" x14ac:dyDescent="0.3">
      <c r="B330" s="26"/>
      <c r="C330" s="27"/>
      <c r="D330" s="18" t="str">
        <f>IF(B330="","",SUMIFS('📈 Datos Completos'!$E$7:$E$5000, '📈 Datos Completos'!$B$7:$B$5000, B330, '📈 Datos Completos'!$D$7:$D$5000, C330))</f>
        <v/>
      </c>
      <c r="E330" s="18" t="str">
        <f>IF(B330="","",SUMIFS('📈 Datos Completos'!$F$7:$F$5000, '📈 Datos Completos'!$B$7:$B$5000, B330, '📈 Datos Completos'!$D$7:$D$5000, C330))</f>
        <v/>
      </c>
      <c r="F330" s="18" t="str">
        <f>IF(B330="","",SUMIFS('📈 Datos Completos'!$G$7:$G$5000, '📈 Datos Completos'!$B$7:$B$5000, B330, '📈 Datos Completos'!$D$7:$D$5000, C330))</f>
        <v/>
      </c>
      <c r="G330" s="18" t="str">
        <f t="shared" si="45"/>
        <v/>
      </c>
      <c r="H330" s="19" t="str">
        <f>IF(B330="","",SUMIFS('📈 Datos Completos'!$I$7:$I$5000, '📈 Datos Completos'!$B$7:$B$5000, B330, '📈 Datos Completos'!$D$7:$D$5000, C330))</f>
        <v/>
      </c>
      <c r="I330" s="19" t="str">
        <f t="shared" si="46"/>
        <v/>
      </c>
      <c r="J330" s="19" t="str">
        <f t="shared" si="47"/>
        <v/>
      </c>
      <c r="K330" s="19" t="str">
        <f>IF(B330="","",IF(C330="DIA", (SUMIFS('📋 Detalle Diario'!$D$5:$D$489, '📋 Detalle Diario'!$B$5:$B$489, B330, '📋 Detalle Diario'!$C$5:$C$489, C330) * '⚙️ Supuestos'!$C$24) + '⚙️ Supuestos'!$C$23, (SUMIFS('📋 Detalle Diario'!$D$5:$D$489, '📋 Detalle Diario'!$B$5:$B$489, B330, '📋 Detalle Diario'!$C$5:$C$489, C330) * '⚙️ Supuestos'!$C$24) + '⚙️ Supuestos'!$C$33))</f>
        <v/>
      </c>
      <c r="L330" s="19" t="str">
        <f t="shared" si="48"/>
        <v/>
      </c>
      <c r="M330" s="20" t="str">
        <f t="shared" si="49"/>
        <v/>
      </c>
      <c r="N330" s="19" t="str">
        <f t="shared" si="50"/>
        <v/>
      </c>
      <c r="O330" s="27" t="str">
        <f t="shared" si="51"/>
        <v/>
      </c>
      <c r="P330" s="19" t="str">
        <f t="shared" si="52"/>
        <v/>
      </c>
      <c r="Q330" s="19" t="str">
        <f>IF(B330="","",J330-P330+(SUMIFS('📋 Detalle Diario'!$E$5:$E$489, '📋 Detalle Diario'!$B$5:$B$489, B330, '📋 Detalle Diario'!$C$5:$C$489, C330)*135)+(SUMIFS('📋 Detalle Diario'!$I$5:$I$489, '📋 Detalle Diario'!$B$5:$B$489, B330, '📋 Detalle Diario'!$C$5:$C$489, C330)*200))</f>
        <v/>
      </c>
      <c r="R330" s="20" t="str">
        <f t="shared" si="53"/>
        <v/>
      </c>
    </row>
    <row r="331" spans="2:18" ht="18" customHeight="1" x14ac:dyDescent="0.3">
      <c r="B331" s="24"/>
      <c r="C331" s="25"/>
      <c r="D331" s="18" t="str">
        <f>IF(B331="","",SUMIFS('📈 Datos Completos'!$E$7:$E$5000, '📈 Datos Completos'!$B$7:$B$5000, B331, '📈 Datos Completos'!$D$7:$D$5000, C331))</f>
        <v/>
      </c>
      <c r="E331" s="18" t="str">
        <f>IF(B331="","",SUMIFS('📈 Datos Completos'!$F$7:$F$5000, '📈 Datos Completos'!$B$7:$B$5000, B331, '📈 Datos Completos'!$D$7:$D$5000, C331))</f>
        <v/>
      </c>
      <c r="F331" s="18" t="str">
        <f>IF(B331="","",SUMIFS('📈 Datos Completos'!$G$7:$G$5000, '📈 Datos Completos'!$B$7:$B$5000, B331, '📈 Datos Completos'!$D$7:$D$5000, C331))</f>
        <v/>
      </c>
      <c r="G331" s="18" t="str">
        <f t="shared" si="45"/>
        <v/>
      </c>
      <c r="H331" s="19" t="str">
        <f>IF(B331="","",SUMIFS('📈 Datos Completos'!$I$7:$I$5000, '📈 Datos Completos'!$B$7:$B$5000, B331, '📈 Datos Completos'!$D$7:$D$5000, C331))</f>
        <v/>
      </c>
      <c r="I331" s="19" t="str">
        <f t="shared" si="46"/>
        <v/>
      </c>
      <c r="J331" s="19" t="str">
        <f t="shared" si="47"/>
        <v/>
      </c>
      <c r="K331" s="19" t="str">
        <f>IF(B331="","",IF(C331="DIA", (SUMIFS('📋 Detalle Diario'!$D$5:$D$489, '📋 Detalle Diario'!$B$5:$B$489, B331, '📋 Detalle Diario'!$C$5:$C$489, C331) * '⚙️ Supuestos'!$C$24) + '⚙️ Supuestos'!$C$23, (SUMIFS('📋 Detalle Diario'!$D$5:$D$489, '📋 Detalle Diario'!$B$5:$B$489, B331, '📋 Detalle Diario'!$C$5:$C$489, C331) * '⚙️ Supuestos'!$C$24) + '⚙️ Supuestos'!$C$33))</f>
        <v/>
      </c>
      <c r="L331" s="19" t="str">
        <f t="shared" si="48"/>
        <v/>
      </c>
      <c r="M331" s="20" t="str">
        <f t="shared" si="49"/>
        <v/>
      </c>
      <c r="N331" s="19" t="str">
        <f t="shared" si="50"/>
        <v/>
      </c>
      <c r="O331" s="25" t="str">
        <f t="shared" si="51"/>
        <v/>
      </c>
      <c r="P331" s="19" t="str">
        <f t="shared" si="52"/>
        <v/>
      </c>
      <c r="Q331" s="19" t="str">
        <f>IF(B331="","",J331-P331+(SUMIFS('📋 Detalle Diario'!$E$5:$E$489, '📋 Detalle Diario'!$B$5:$B$489, B331, '📋 Detalle Diario'!$C$5:$C$489, C331)*135)+(SUMIFS('📋 Detalle Diario'!$I$5:$I$489, '📋 Detalle Diario'!$B$5:$B$489, B331, '📋 Detalle Diario'!$C$5:$C$489, C331)*200))</f>
        <v/>
      </c>
      <c r="R331" s="20" t="str">
        <f t="shared" si="53"/>
        <v/>
      </c>
    </row>
    <row r="332" spans="2:18" ht="18" customHeight="1" x14ac:dyDescent="0.3">
      <c r="B332" s="26"/>
      <c r="C332" s="27"/>
      <c r="D332" s="18" t="str">
        <f>IF(B332="","",SUMIFS('📈 Datos Completos'!$E$7:$E$5000, '📈 Datos Completos'!$B$7:$B$5000, B332, '📈 Datos Completos'!$D$7:$D$5000, C332))</f>
        <v/>
      </c>
      <c r="E332" s="18" t="str">
        <f>IF(B332="","",SUMIFS('📈 Datos Completos'!$F$7:$F$5000, '📈 Datos Completos'!$B$7:$B$5000, B332, '📈 Datos Completos'!$D$7:$D$5000, C332))</f>
        <v/>
      </c>
      <c r="F332" s="18" t="str">
        <f>IF(B332="","",SUMIFS('📈 Datos Completos'!$G$7:$G$5000, '📈 Datos Completos'!$B$7:$B$5000, B332, '📈 Datos Completos'!$D$7:$D$5000, C332))</f>
        <v/>
      </c>
      <c r="G332" s="18" t="str">
        <f t="shared" si="45"/>
        <v/>
      </c>
      <c r="H332" s="19" t="str">
        <f>IF(B332="","",SUMIFS('📈 Datos Completos'!$I$7:$I$5000, '📈 Datos Completos'!$B$7:$B$5000, B332, '📈 Datos Completos'!$D$7:$D$5000, C332))</f>
        <v/>
      </c>
      <c r="I332" s="19" t="str">
        <f t="shared" si="46"/>
        <v/>
      </c>
      <c r="J332" s="19" t="str">
        <f t="shared" si="47"/>
        <v/>
      </c>
      <c r="K332" s="19" t="str">
        <f>IF(B332="","",IF(C332="DIA", (SUMIFS('📋 Detalle Diario'!$D$5:$D$489, '📋 Detalle Diario'!$B$5:$B$489, B332, '📋 Detalle Diario'!$C$5:$C$489, C332) * '⚙️ Supuestos'!$C$24) + '⚙️ Supuestos'!$C$23, (SUMIFS('📋 Detalle Diario'!$D$5:$D$489, '📋 Detalle Diario'!$B$5:$B$489, B332, '📋 Detalle Diario'!$C$5:$C$489, C332) * '⚙️ Supuestos'!$C$24) + '⚙️ Supuestos'!$C$33))</f>
        <v/>
      </c>
      <c r="L332" s="19" t="str">
        <f t="shared" si="48"/>
        <v/>
      </c>
      <c r="M332" s="20" t="str">
        <f t="shared" si="49"/>
        <v/>
      </c>
      <c r="N332" s="19" t="str">
        <f t="shared" si="50"/>
        <v/>
      </c>
      <c r="O332" s="27" t="str">
        <f t="shared" si="51"/>
        <v/>
      </c>
      <c r="P332" s="19" t="str">
        <f t="shared" si="52"/>
        <v/>
      </c>
      <c r="Q332" s="19" t="str">
        <f>IF(B332="","",J332-P332+(SUMIFS('📋 Detalle Diario'!$E$5:$E$489, '📋 Detalle Diario'!$B$5:$B$489, B332, '📋 Detalle Diario'!$C$5:$C$489, C332)*135)+(SUMIFS('📋 Detalle Diario'!$I$5:$I$489, '📋 Detalle Diario'!$B$5:$B$489, B332, '📋 Detalle Diario'!$C$5:$C$489, C332)*200))</f>
        <v/>
      </c>
      <c r="R332" s="20" t="str">
        <f t="shared" si="53"/>
        <v/>
      </c>
    </row>
    <row r="333" spans="2:18" ht="18" customHeight="1" x14ac:dyDescent="0.3">
      <c r="B333" s="24"/>
      <c r="C333" s="25"/>
      <c r="D333" s="18" t="str">
        <f>IF(B333="","",SUMIFS('📈 Datos Completos'!$E$7:$E$5000, '📈 Datos Completos'!$B$7:$B$5000, B333, '📈 Datos Completos'!$D$7:$D$5000, C333))</f>
        <v/>
      </c>
      <c r="E333" s="18" t="str">
        <f>IF(B333="","",SUMIFS('📈 Datos Completos'!$F$7:$F$5000, '📈 Datos Completos'!$B$7:$B$5000, B333, '📈 Datos Completos'!$D$7:$D$5000, C333))</f>
        <v/>
      </c>
      <c r="F333" s="18" t="str">
        <f>IF(B333="","",SUMIFS('📈 Datos Completos'!$G$7:$G$5000, '📈 Datos Completos'!$B$7:$B$5000, B333, '📈 Datos Completos'!$D$7:$D$5000, C333))</f>
        <v/>
      </c>
      <c r="G333" s="18" t="str">
        <f t="shared" si="45"/>
        <v/>
      </c>
      <c r="H333" s="19" t="str">
        <f>IF(B333="","",SUMIFS('📈 Datos Completos'!$I$7:$I$5000, '📈 Datos Completos'!$B$7:$B$5000, B333, '📈 Datos Completos'!$D$7:$D$5000, C333))</f>
        <v/>
      </c>
      <c r="I333" s="19" t="str">
        <f t="shared" si="46"/>
        <v/>
      </c>
      <c r="J333" s="19" t="str">
        <f t="shared" si="47"/>
        <v/>
      </c>
      <c r="K333" s="19" t="str">
        <f>IF(B333="","",IF(C333="DIA", (SUMIFS('📋 Detalle Diario'!$D$5:$D$489, '📋 Detalle Diario'!$B$5:$B$489, B333, '📋 Detalle Diario'!$C$5:$C$489, C333) * '⚙️ Supuestos'!$C$24) + '⚙️ Supuestos'!$C$23, (SUMIFS('📋 Detalle Diario'!$D$5:$D$489, '📋 Detalle Diario'!$B$5:$B$489, B333, '📋 Detalle Diario'!$C$5:$C$489, C333) * '⚙️ Supuestos'!$C$24) + '⚙️ Supuestos'!$C$33))</f>
        <v/>
      </c>
      <c r="L333" s="19" t="str">
        <f t="shared" si="48"/>
        <v/>
      </c>
      <c r="M333" s="20" t="str">
        <f t="shared" si="49"/>
        <v/>
      </c>
      <c r="N333" s="19" t="str">
        <f t="shared" si="50"/>
        <v/>
      </c>
      <c r="O333" s="25" t="str">
        <f t="shared" si="51"/>
        <v/>
      </c>
      <c r="P333" s="19" t="str">
        <f t="shared" si="52"/>
        <v/>
      </c>
      <c r="Q333" s="19" t="str">
        <f>IF(B333="","",J333-P333+(SUMIFS('📋 Detalle Diario'!$E$5:$E$489, '📋 Detalle Diario'!$B$5:$B$489, B333, '📋 Detalle Diario'!$C$5:$C$489, C333)*135)+(SUMIFS('📋 Detalle Diario'!$I$5:$I$489, '📋 Detalle Diario'!$B$5:$B$489, B333, '📋 Detalle Diario'!$C$5:$C$489, C333)*200))</f>
        <v/>
      </c>
      <c r="R333" s="20" t="str">
        <f t="shared" si="53"/>
        <v/>
      </c>
    </row>
    <row r="334" spans="2:18" ht="18" customHeight="1" x14ac:dyDescent="0.3">
      <c r="B334" s="26"/>
      <c r="C334" s="27"/>
      <c r="D334" s="18" t="str">
        <f>IF(B334="","",SUMIFS('📈 Datos Completos'!$E$7:$E$5000, '📈 Datos Completos'!$B$7:$B$5000, B334, '📈 Datos Completos'!$D$7:$D$5000, C334))</f>
        <v/>
      </c>
      <c r="E334" s="18" t="str">
        <f>IF(B334="","",SUMIFS('📈 Datos Completos'!$F$7:$F$5000, '📈 Datos Completos'!$B$7:$B$5000, B334, '📈 Datos Completos'!$D$7:$D$5000, C334))</f>
        <v/>
      </c>
      <c r="F334" s="18" t="str">
        <f>IF(B334="","",SUMIFS('📈 Datos Completos'!$G$7:$G$5000, '📈 Datos Completos'!$B$7:$B$5000, B334, '📈 Datos Completos'!$D$7:$D$5000, C334))</f>
        <v/>
      </c>
      <c r="G334" s="18" t="str">
        <f t="shared" si="45"/>
        <v/>
      </c>
      <c r="H334" s="19" t="str">
        <f>IF(B334="","",SUMIFS('📈 Datos Completos'!$I$7:$I$5000, '📈 Datos Completos'!$B$7:$B$5000, B334, '📈 Datos Completos'!$D$7:$D$5000, C334))</f>
        <v/>
      </c>
      <c r="I334" s="19" t="str">
        <f t="shared" si="46"/>
        <v/>
      </c>
      <c r="J334" s="19" t="str">
        <f t="shared" si="47"/>
        <v/>
      </c>
      <c r="K334" s="19" t="str">
        <f>IF(B334="","",IF(C334="DIA", (SUMIFS('📋 Detalle Diario'!$D$5:$D$489, '📋 Detalle Diario'!$B$5:$B$489, B334, '📋 Detalle Diario'!$C$5:$C$489, C334) * '⚙️ Supuestos'!$C$24) + '⚙️ Supuestos'!$C$23, (SUMIFS('📋 Detalle Diario'!$D$5:$D$489, '📋 Detalle Diario'!$B$5:$B$489, B334, '📋 Detalle Diario'!$C$5:$C$489, C334) * '⚙️ Supuestos'!$C$24) + '⚙️ Supuestos'!$C$33))</f>
        <v/>
      </c>
      <c r="L334" s="19" t="str">
        <f t="shared" si="48"/>
        <v/>
      </c>
      <c r="M334" s="20" t="str">
        <f t="shared" si="49"/>
        <v/>
      </c>
      <c r="N334" s="19" t="str">
        <f t="shared" si="50"/>
        <v/>
      </c>
      <c r="O334" s="27" t="str">
        <f t="shared" si="51"/>
        <v/>
      </c>
      <c r="P334" s="19" t="str">
        <f t="shared" si="52"/>
        <v/>
      </c>
      <c r="Q334" s="19" t="str">
        <f>IF(B334="","",J334-P334+(SUMIFS('📋 Detalle Diario'!$E$5:$E$489, '📋 Detalle Diario'!$B$5:$B$489, B334, '📋 Detalle Diario'!$C$5:$C$489, C334)*135)+(SUMIFS('📋 Detalle Diario'!$I$5:$I$489, '📋 Detalle Diario'!$B$5:$B$489, B334, '📋 Detalle Diario'!$C$5:$C$489, C334)*200))</f>
        <v/>
      </c>
      <c r="R334" s="20" t="str">
        <f t="shared" si="53"/>
        <v/>
      </c>
    </row>
    <row r="335" spans="2:18" ht="18" customHeight="1" x14ac:dyDescent="0.3">
      <c r="B335" s="24"/>
      <c r="C335" s="25"/>
      <c r="D335" s="18" t="str">
        <f>IF(B335="","",SUMIFS('📈 Datos Completos'!$E$7:$E$5000, '📈 Datos Completos'!$B$7:$B$5000, B335, '📈 Datos Completos'!$D$7:$D$5000, C335))</f>
        <v/>
      </c>
      <c r="E335" s="18" t="str">
        <f>IF(B335="","",SUMIFS('📈 Datos Completos'!$F$7:$F$5000, '📈 Datos Completos'!$B$7:$B$5000, B335, '📈 Datos Completos'!$D$7:$D$5000, C335))</f>
        <v/>
      </c>
      <c r="F335" s="18" t="str">
        <f>IF(B335="","",SUMIFS('📈 Datos Completos'!$G$7:$G$5000, '📈 Datos Completos'!$B$7:$B$5000, B335, '📈 Datos Completos'!$D$7:$D$5000, C335))</f>
        <v/>
      </c>
      <c r="G335" s="18" t="str">
        <f t="shared" si="45"/>
        <v/>
      </c>
      <c r="H335" s="19" t="str">
        <f>IF(B335="","",SUMIFS('📈 Datos Completos'!$I$7:$I$5000, '📈 Datos Completos'!$B$7:$B$5000, B335, '📈 Datos Completos'!$D$7:$D$5000, C335))</f>
        <v/>
      </c>
      <c r="I335" s="19" t="str">
        <f t="shared" si="46"/>
        <v/>
      </c>
      <c r="J335" s="19" t="str">
        <f t="shared" si="47"/>
        <v/>
      </c>
      <c r="K335" s="19" t="str">
        <f>IF(B335="","",IF(C335="DIA", (SUMIFS('📋 Detalle Diario'!$D$5:$D$489, '📋 Detalle Diario'!$B$5:$B$489, B335, '📋 Detalle Diario'!$C$5:$C$489, C335) * '⚙️ Supuestos'!$C$24) + '⚙️ Supuestos'!$C$23, (SUMIFS('📋 Detalle Diario'!$D$5:$D$489, '📋 Detalle Diario'!$B$5:$B$489, B335, '📋 Detalle Diario'!$C$5:$C$489, C335) * '⚙️ Supuestos'!$C$24) + '⚙️ Supuestos'!$C$33))</f>
        <v/>
      </c>
      <c r="L335" s="19" t="str">
        <f t="shared" si="48"/>
        <v/>
      </c>
      <c r="M335" s="20" t="str">
        <f t="shared" si="49"/>
        <v/>
      </c>
      <c r="N335" s="19" t="str">
        <f t="shared" si="50"/>
        <v/>
      </c>
      <c r="O335" s="25" t="str">
        <f t="shared" si="51"/>
        <v/>
      </c>
      <c r="P335" s="19" t="str">
        <f t="shared" si="52"/>
        <v/>
      </c>
      <c r="Q335" s="19" t="str">
        <f>IF(B335="","",J335-P335+(SUMIFS('📋 Detalle Diario'!$E$5:$E$489, '📋 Detalle Diario'!$B$5:$B$489, B335, '📋 Detalle Diario'!$C$5:$C$489, C335)*135)+(SUMIFS('📋 Detalle Diario'!$I$5:$I$489, '📋 Detalle Diario'!$B$5:$B$489, B335, '📋 Detalle Diario'!$C$5:$C$489, C335)*200))</f>
        <v/>
      </c>
      <c r="R335" s="20" t="str">
        <f t="shared" si="53"/>
        <v/>
      </c>
    </row>
    <row r="336" spans="2:18" ht="18" customHeight="1" x14ac:dyDescent="0.3">
      <c r="B336" s="26"/>
      <c r="C336" s="27"/>
      <c r="D336" s="18" t="str">
        <f>IF(B336="","",SUMIFS('📈 Datos Completos'!$E$7:$E$5000, '📈 Datos Completos'!$B$7:$B$5000, B336, '📈 Datos Completos'!$D$7:$D$5000, C336))</f>
        <v/>
      </c>
      <c r="E336" s="18" t="str">
        <f>IF(B336="","",SUMIFS('📈 Datos Completos'!$F$7:$F$5000, '📈 Datos Completos'!$B$7:$B$5000, B336, '📈 Datos Completos'!$D$7:$D$5000, C336))</f>
        <v/>
      </c>
      <c r="F336" s="18" t="str">
        <f>IF(B336="","",SUMIFS('📈 Datos Completos'!$G$7:$G$5000, '📈 Datos Completos'!$B$7:$B$5000, B336, '📈 Datos Completos'!$D$7:$D$5000, C336))</f>
        <v/>
      </c>
      <c r="G336" s="18" t="str">
        <f t="shared" si="45"/>
        <v/>
      </c>
      <c r="H336" s="19" t="str">
        <f>IF(B336="","",SUMIFS('📈 Datos Completos'!$I$7:$I$5000, '📈 Datos Completos'!$B$7:$B$5000, B336, '📈 Datos Completos'!$D$7:$D$5000, C336))</f>
        <v/>
      </c>
      <c r="I336" s="19" t="str">
        <f t="shared" si="46"/>
        <v/>
      </c>
      <c r="J336" s="19" t="str">
        <f t="shared" si="47"/>
        <v/>
      </c>
      <c r="K336" s="19" t="str">
        <f>IF(B336="","",IF(C336="DIA", (SUMIFS('📋 Detalle Diario'!$D$5:$D$489, '📋 Detalle Diario'!$B$5:$B$489, B336, '📋 Detalle Diario'!$C$5:$C$489, C336) * '⚙️ Supuestos'!$C$24) + '⚙️ Supuestos'!$C$23, (SUMIFS('📋 Detalle Diario'!$D$5:$D$489, '📋 Detalle Diario'!$B$5:$B$489, B336, '📋 Detalle Diario'!$C$5:$C$489, C336) * '⚙️ Supuestos'!$C$24) + '⚙️ Supuestos'!$C$33))</f>
        <v/>
      </c>
      <c r="L336" s="19" t="str">
        <f t="shared" si="48"/>
        <v/>
      </c>
      <c r="M336" s="20" t="str">
        <f t="shared" si="49"/>
        <v/>
      </c>
      <c r="N336" s="19" t="str">
        <f t="shared" si="50"/>
        <v/>
      </c>
      <c r="O336" s="27" t="str">
        <f t="shared" si="51"/>
        <v/>
      </c>
      <c r="P336" s="19" t="str">
        <f t="shared" si="52"/>
        <v/>
      </c>
      <c r="Q336" s="19" t="str">
        <f>IF(B336="","",J336-P336+(SUMIFS('📋 Detalle Diario'!$E$5:$E$489, '📋 Detalle Diario'!$B$5:$B$489, B336, '📋 Detalle Diario'!$C$5:$C$489, C336)*135)+(SUMIFS('📋 Detalle Diario'!$I$5:$I$489, '📋 Detalle Diario'!$B$5:$B$489, B336, '📋 Detalle Diario'!$C$5:$C$489, C336)*200))</f>
        <v/>
      </c>
      <c r="R336" s="20" t="str">
        <f t="shared" si="53"/>
        <v/>
      </c>
    </row>
    <row r="337" spans="2:18" ht="18" customHeight="1" x14ac:dyDescent="0.3">
      <c r="B337" s="24"/>
      <c r="C337" s="25"/>
      <c r="D337" s="18" t="str">
        <f>IF(B337="","",SUMIFS('📈 Datos Completos'!$E$7:$E$5000, '📈 Datos Completos'!$B$7:$B$5000, B337, '📈 Datos Completos'!$D$7:$D$5000, C337))</f>
        <v/>
      </c>
      <c r="E337" s="18" t="str">
        <f>IF(B337="","",SUMIFS('📈 Datos Completos'!$F$7:$F$5000, '📈 Datos Completos'!$B$7:$B$5000, B337, '📈 Datos Completos'!$D$7:$D$5000, C337))</f>
        <v/>
      </c>
      <c r="F337" s="18" t="str">
        <f>IF(B337="","",SUMIFS('📈 Datos Completos'!$G$7:$G$5000, '📈 Datos Completos'!$B$7:$B$5000, B337, '📈 Datos Completos'!$D$7:$D$5000, C337))</f>
        <v/>
      </c>
      <c r="G337" s="18" t="str">
        <f t="shared" si="45"/>
        <v/>
      </c>
      <c r="H337" s="19" t="str">
        <f>IF(B337="","",SUMIFS('📈 Datos Completos'!$I$7:$I$5000, '📈 Datos Completos'!$B$7:$B$5000, B337, '📈 Datos Completos'!$D$7:$D$5000, C337))</f>
        <v/>
      </c>
      <c r="I337" s="19" t="str">
        <f t="shared" si="46"/>
        <v/>
      </c>
      <c r="J337" s="19" t="str">
        <f t="shared" si="47"/>
        <v/>
      </c>
      <c r="K337" s="19" t="str">
        <f>IF(B337="","",IF(C337="DIA", (SUMIFS('📋 Detalle Diario'!$D$5:$D$489, '📋 Detalle Diario'!$B$5:$B$489, B337, '📋 Detalle Diario'!$C$5:$C$489, C337) * '⚙️ Supuestos'!$C$24) + '⚙️ Supuestos'!$C$23, (SUMIFS('📋 Detalle Diario'!$D$5:$D$489, '📋 Detalle Diario'!$B$5:$B$489, B337, '📋 Detalle Diario'!$C$5:$C$489, C337) * '⚙️ Supuestos'!$C$24) + '⚙️ Supuestos'!$C$33))</f>
        <v/>
      </c>
      <c r="L337" s="19" t="str">
        <f t="shared" si="48"/>
        <v/>
      </c>
      <c r="M337" s="20" t="str">
        <f t="shared" si="49"/>
        <v/>
      </c>
      <c r="N337" s="19" t="str">
        <f t="shared" si="50"/>
        <v/>
      </c>
      <c r="O337" s="25" t="str">
        <f t="shared" si="51"/>
        <v/>
      </c>
      <c r="P337" s="19" t="str">
        <f t="shared" si="52"/>
        <v/>
      </c>
      <c r="Q337" s="19" t="str">
        <f>IF(B337="","",J337-P337+(SUMIFS('📋 Detalle Diario'!$E$5:$E$489, '📋 Detalle Diario'!$B$5:$B$489, B337, '📋 Detalle Diario'!$C$5:$C$489, C337)*135)+(SUMIFS('📋 Detalle Diario'!$I$5:$I$489, '📋 Detalle Diario'!$B$5:$B$489, B337, '📋 Detalle Diario'!$C$5:$C$489, C337)*200))</f>
        <v/>
      </c>
      <c r="R337" s="20" t="str">
        <f t="shared" si="53"/>
        <v/>
      </c>
    </row>
    <row r="338" spans="2:18" ht="18" customHeight="1" x14ac:dyDescent="0.3">
      <c r="B338" s="26"/>
      <c r="C338" s="27"/>
      <c r="D338" s="18" t="str">
        <f>IF(B338="","",SUMIFS('📈 Datos Completos'!$E$7:$E$5000, '📈 Datos Completos'!$B$7:$B$5000, B338, '📈 Datos Completos'!$D$7:$D$5000, C338))</f>
        <v/>
      </c>
      <c r="E338" s="18" t="str">
        <f>IF(B338="","",SUMIFS('📈 Datos Completos'!$F$7:$F$5000, '📈 Datos Completos'!$B$7:$B$5000, B338, '📈 Datos Completos'!$D$7:$D$5000, C338))</f>
        <v/>
      </c>
      <c r="F338" s="18" t="str">
        <f>IF(B338="","",SUMIFS('📈 Datos Completos'!$G$7:$G$5000, '📈 Datos Completos'!$B$7:$B$5000, B338, '📈 Datos Completos'!$D$7:$D$5000, C338))</f>
        <v/>
      </c>
      <c r="G338" s="18" t="str">
        <f t="shared" si="45"/>
        <v/>
      </c>
      <c r="H338" s="19" t="str">
        <f>IF(B338="","",SUMIFS('📈 Datos Completos'!$I$7:$I$5000, '📈 Datos Completos'!$B$7:$B$5000, B338, '📈 Datos Completos'!$D$7:$D$5000, C338))</f>
        <v/>
      </c>
      <c r="I338" s="19" t="str">
        <f t="shared" si="46"/>
        <v/>
      </c>
      <c r="J338" s="19" t="str">
        <f t="shared" si="47"/>
        <v/>
      </c>
      <c r="K338" s="19" t="str">
        <f>IF(B338="","",IF(C338="DIA", (SUMIFS('📋 Detalle Diario'!$D$5:$D$489, '📋 Detalle Diario'!$B$5:$B$489, B338, '📋 Detalle Diario'!$C$5:$C$489, C338) * '⚙️ Supuestos'!$C$24) + '⚙️ Supuestos'!$C$23, (SUMIFS('📋 Detalle Diario'!$D$5:$D$489, '📋 Detalle Diario'!$B$5:$B$489, B338, '📋 Detalle Diario'!$C$5:$C$489, C338) * '⚙️ Supuestos'!$C$24) + '⚙️ Supuestos'!$C$33))</f>
        <v/>
      </c>
      <c r="L338" s="19" t="str">
        <f t="shared" si="48"/>
        <v/>
      </c>
      <c r="M338" s="20" t="str">
        <f t="shared" si="49"/>
        <v/>
      </c>
      <c r="N338" s="19" t="str">
        <f t="shared" si="50"/>
        <v/>
      </c>
      <c r="O338" s="27" t="str">
        <f t="shared" si="51"/>
        <v/>
      </c>
      <c r="P338" s="19" t="str">
        <f t="shared" si="52"/>
        <v/>
      </c>
      <c r="Q338" s="19" t="str">
        <f>IF(B338="","",J338-P338+(SUMIFS('📋 Detalle Diario'!$E$5:$E$489, '📋 Detalle Diario'!$B$5:$B$489, B338, '📋 Detalle Diario'!$C$5:$C$489, C338)*135)+(SUMIFS('📋 Detalle Diario'!$I$5:$I$489, '📋 Detalle Diario'!$B$5:$B$489, B338, '📋 Detalle Diario'!$C$5:$C$489, C338)*200))</f>
        <v/>
      </c>
      <c r="R338" s="20" t="str">
        <f t="shared" si="53"/>
        <v/>
      </c>
    </row>
    <row r="339" spans="2:18" ht="18" customHeight="1" x14ac:dyDescent="0.3">
      <c r="B339" s="24"/>
      <c r="C339" s="25"/>
      <c r="D339" s="18" t="str">
        <f>IF(B339="","",SUMIFS('📈 Datos Completos'!$E$7:$E$5000, '📈 Datos Completos'!$B$7:$B$5000, B339, '📈 Datos Completos'!$D$7:$D$5000, C339))</f>
        <v/>
      </c>
      <c r="E339" s="18" t="str">
        <f>IF(B339="","",SUMIFS('📈 Datos Completos'!$F$7:$F$5000, '📈 Datos Completos'!$B$7:$B$5000, B339, '📈 Datos Completos'!$D$7:$D$5000, C339))</f>
        <v/>
      </c>
      <c r="F339" s="18" t="str">
        <f>IF(B339="","",SUMIFS('📈 Datos Completos'!$G$7:$G$5000, '📈 Datos Completos'!$B$7:$B$5000, B339, '📈 Datos Completos'!$D$7:$D$5000, C339))</f>
        <v/>
      </c>
      <c r="G339" s="18" t="str">
        <f t="shared" si="45"/>
        <v/>
      </c>
      <c r="H339" s="19" t="str">
        <f>IF(B339="","",SUMIFS('📈 Datos Completos'!$I$7:$I$5000, '📈 Datos Completos'!$B$7:$B$5000, B339, '📈 Datos Completos'!$D$7:$D$5000, C339))</f>
        <v/>
      </c>
      <c r="I339" s="19" t="str">
        <f t="shared" si="46"/>
        <v/>
      </c>
      <c r="J339" s="19" t="str">
        <f t="shared" si="47"/>
        <v/>
      </c>
      <c r="K339" s="19" t="str">
        <f>IF(B339="","",IF(C339="DIA", (SUMIFS('📋 Detalle Diario'!$D$5:$D$489, '📋 Detalle Diario'!$B$5:$B$489, B339, '📋 Detalle Diario'!$C$5:$C$489, C339) * '⚙️ Supuestos'!$C$24) + '⚙️ Supuestos'!$C$23, (SUMIFS('📋 Detalle Diario'!$D$5:$D$489, '📋 Detalle Diario'!$B$5:$B$489, B339, '📋 Detalle Diario'!$C$5:$C$489, C339) * '⚙️ Supuestos'!$C$24) + '⚙️ Supuestos'!$C$33))</f>
        <v/>
      </c>
      <c r="L339" s="19" t="str">
        <f t="shared" si="48"/>
        <v/>
      </c>
      <c r="M339" s="20" t="str">
        <f t="shared" si="49"/>
        <v/>
      </c>
      <c r="N339" s="19" t="str">
        <f t="shared" si="50"/>
        <v/>
      </c>
      <c r="O339" s="25" t="str">
        <f t="shared" si="51"/>
        <v/>
      </c>
      <c r="P339" s="19" t="str">
        <f t="shared" si="52"/>
        <v/>
      </c>
      <c r="Q339" s="19" t="str">
        <f>IF(B339="","",J339-P339+(SUMIFS('📋 Detalle Diario'!$E$5:$E$489, '📋 Detalle Diario'!$B$5:$B$489, B339, '📋 Detalle Diario'!$C$5:$C$489, C339)*135)+(SUMIFS('📋 Detalle Diario'!$I$5:$I$489, '📋 Detalle Diario'!$B$5:$B$489, B339, '📋 Detalle Diario'!$C$5:$C$489, C339)*200))</f>
        <v/>
      </c>
      <c r="R339" s="20" t="str">
        <f t="shared" si="53"/>
        <v/>
      </c>
    </row>
    <row r="340" spans="2:18" ht="18" customHeight="1" x14ac:dyDescent="0.3">
      <c r="B340" s="26"/>
      <c r="C340" s="27"/>
      <c r="D340" s="18" t="str">
        <f>IF(B340="","",SUMIFS('📈 Datos Completos'!$E$7:$E$5000, '📈 Datos Completos'!$B$7:$B$5000, B340, '📈 Datos Completos'!$D$7:$D$5000, C340))</f>
        <v/>
      </c>
      <c r="E340" s="18" t="str">
        <f>IF(B340="","",SUMIFS('📈 Datos Completos'!$F$7:$F$5000, '📈 Datos Completos'!$B$7:$B$5000, B340, '📈 Datos Completos'!$D$7:$D$5000, C340))</f>
        <v/>
      </c>
      <c r="F340" s="18" t="str">
        <f>IF(B340="","",SUMIFS('📈 Datos Completos'!$G$7:$G$5000, '📈 Datos Completos'!$B$7:$B$5000, B340, '📈 Datos Completos'!$D$7:$D$5000, C340))</f>
        <v/>
      </c>
      <c r="G340" s="18" t="str">
        <f t="shared" si="45"/>
        <v/>
      </c>
      <c r="H340" s="19" t="str">
        <f>IF(B340="","",SUMIFS('📈 Datos Completos'!$I$7:$I$5000, '📈 Datos Completos'!$B$7:$B$5000, B340, '📈 Datos Completos'!$D$7:$D$5000, C340))</f>
        <v/>
      </c>
      <c r="I340" s="19" t="str">
        <f t="shared" si="46"/>
        <v/>
      </c>
      <c r="J340" s="19" t="str">
        <f t="shared" si="47"/>
        <v/>
      </c>
      <c r="K340" s="19" t="str">
        <f>IF(B340="","",IF(C340="DIA", (SUMIFS('📋 Detalle Diario'!$D$5:$D$489, '📋 Detalle Diario'!$B$5:$B$489, B340, '📋 Detalle Diario'!$C$5:$C$489, C340) * '⚙️ Supuestos'!$C$24) + '⚙️ Supuestos'!$C$23, (SUMIFS('📋 Detalle Diario'!$D$5:$D$489, '📋 Detalle Diario'!$B$5:$B$489, B340, '📋 Detalle Diario'!$C$5:$C$489, C340) * '⚙️ Supuestos'!$C$24) + '⚙️ Supuestos'!$C$33))</f>
        <v/>
      </c>
      <c r="L340" s="19" t="str">
        <f t="shared" si="48"/>
        <v/>
      </c>
      <c r="M340" s="20" t="str">
        <f t="shared" si="49"/>
        <v/>
      </c>
      <c r="N340" s="19" t="str">
        <f t="shared" si="50"/>
        <v/>
      </c>
      <c r="O340" s="27" t="str">
        <f t="shared" si="51"/>
        <v/>
      </c>
      <c r="P340" s="19" t="str">
        <f t="shared" si="52"/>
        <v/>
      </c>
      <c r="Q340" s="19" t="str">
        <f>IF(B340="","",J340-P340+(SUMIFS('📋 Detalle Diario'!$E$5:$E$489, '📋 Detalle Diario'!$B$5:$B$489, B340, '📋 Detalle Diario'!$C$5:$C$489, C340)*135)+(SUMIFS('📋 Detalle Diario'!$I$5:$I$489, '📋 Detalle Diario'!$B$5:$B$489, B340, '📋 Detalle Diario'!$C$5:$C$489, C340)*200))</f>
        <v/>
      </c>
      <c r="R340" s="20" t="str">
        <f t="shared" si="53"/>
        <v/>
      </c>
    </row>
    <row r="341" spans="2:18" ht="18" customHeight="1" x14ac:dyDescent="0.3">
      <c r="B341" s="24"/>
      <c r="C341" s="25"/>
      <c r="D341" s="18" t="str">
        <f>IF(B341="","",SUMIFS('📈 Datos Completos'!$E$7:$E$5000, '📈 Datos Completos'!$B$7:$B$5000, B341, '📈 Datos Completos'!$D$7:$D$5000, C341))</f>
        <v/>
      </c>
      <c r="E341" s="18" t="str">
        <f>IF(B341="","",SUMIFS('📈 Datos Completos'!$F$7:$F$5000, '📈 Datos Completos'!$B$7:$B$5000, B341, '📈 Datos Completos'!$D$7:$D$5000, C341))</f>
        <v/>
      </c>
      <c r="F341" s="18" t="str">
        <f>IF(B341="","",SUMIFS('📈 Datos Completos'!$G$7:$G$5000, '📈 Datos Completos'!$B$7:$B$5000, B341, '📈 Datos Completos'!$D$7:$D$5000, C341))</f>
        <v/>
      </c>
      <c r="G341" s="18" t="str">
        <f t="shared" si="45"/>
        <v/>
      </c>
      <c r="H341" s="19" t="str">
        <f>IF(B341="","",SUMIFS('📈 Datos Completos'!$I$7:$I$5000, '📈 Datos Completos'!$B$7:$B$5000, B341, '📈 Datos Completos'!$D$7:$D$5000, C341))</f>
        <v/>
      </c>
      <c r="I341" s="19" t="str">
        <f t="shared" si="46"/>
        <v/>
      </c>
      <c r="J341" s="19" t="str">
        <f t="shared" si="47"/>
        <v/>
      </c>
      <c r="K341" s="19" t="str">
        <f>IF(B341="","",IF(C341="DIA", (SUMIFS('📋 Detalle Diario'!$D$5:$D$489, '📋 Detalle Diario'!$B$5:$B$489, B341, '📋 Detalle Diario'!$C$5:$C$489, C341) * '⚙️ Supuestos'!$C$24) + '⚙️ Supuestos'!$C$23, (SUMIFS('📋 Detalle Diario'!$D$5:$D$489, '📋 Detalle Diario'!$B$5:$B$489, B341, '📋 Detalle Diario'!$C$5:$C$489, C341) * '⚙️ Supuestos'!$C$24) + '⚙️ Supuestos'!$C$33))</f>
        <v/>
      </c>
      <c r="L341" s="19" t="str">
        <f t="shared" si="48"/>
        <v/>
      </c>
      <c r="M341" s="20" t="str">
        <f t="shared" si="49"/>
        <v/>
      </c>
      <c r="N341" s="19" t="str">
        <f t="shared" si="50"/>
        <v/>
      </c>
      <c r="O341" s="25" t="str">
        <f t="shared" si="51"/>
        <v/>
      </c>
      <c r="P341" s="19" t="str">
        <f t="shared" si="52"/>
        <v/>
      </c>
      <c r="Q341" s="19" t="str">
        <f>IF(B341="","",J341-P341+(SUMIFS('📋 Detalle Diario'!$E$5:$E$489, '📋 Detalle Diario'!$B$5:$B$489, B341, '📋 Detalle Diario'!$C$5:$C$489, C341)*135)+(SUMIFS('📋 Detalle Diario'!$I$5:$I$489, '📋 Detalle Diario'!$B$5:$B$489, B341, '📋 Detalle Diario'!$C$5:$C$489, C341)*200))</f>
        <v/>
      </c>
      <c r="R341" s="20" t="str">
        <f t="shared" si="53"/>
        <v/>
      </c>
    </row>
    <row r="342" spans="2:18" ht="18" customHeight="1" x14ac:dyDescent="0.3">
      <c r="B342" s="26"/>
      <c r="C342" s="27"/>
      <c r="D342" s="18" t="str">
        <f>IF(B342="","",SUMIFS('📈 Datos Completos'!$E$7:$E$5000, '📈 Datos Completos'!$B$7:$B$5000, B342, '📈 Datos Completos'!$D$7:$D$5000, C342))</f>
        <v/>
      </c>
      <c r="E342" s="18" t="str">
        <f>IF(B342="","",SUMIFS('📈 Datos Completos'!$F$7:$F$5000, '📈 Datos Completos'!$B$7:$B$5000, B342, '📈 Datos Completos'!$D$7:$D$5000, C342))</f>
        <v/>
      </c>
      <c r="F342" s="18" t="str">
        <f>IF(B342="","",SUMIFS('📈 Datos Completos'!$G$7:$G$5000, '📈 Datos Completos'!$B$7:$B$5000, B342, '📈 Datos Completos'!$D$7:$D$5000, C342))</f>
        <v/>
      </c>
      <c r="G342" s="18" t="str">
        <f t="shared" si="45"/>
        <v/>
      </c>
      <c r="H342" s="19" t="str">
        <f>IF(B342="","",SUMIFS('📈 Datos Completos'!$I$7:$I$5000, '📈 Datos Completos'!$B$7:$B$5000, B342, '📈 Datos Completos'!$D$7:$D$5000, C342))</f>
        <v/>
      </c>
      <c r="I342" s="19" t="str">
        <f t="shared" si="46"/>
        <v/>
      </c>
      <c r="J342" s="19" t="str">
        <f t="shared" si="47"/>
        <v/>
      </c>
      <c r="K342" s="19" t="str">
        <f>IF(B342="","",IF(C342="DIA", (SUMIFS('📋 Detalle Diario'!$D$5:$D$489, '📋 Detalle Diario'!$B$5:$B$489, B342, '📋 Detalle Diario'!$C$5:$C$489, C342) * '⚙️ Supuestos'!$C$24) + '⚙️ Supuestos'!$C$23, (SUMIFS('📋 Detalle Diario'!$D$5:$D$489, '📋 Detalle Diario'!$B$5:$B$489, B342, '📋 Detalle Diario'!$C$5:$C$489, C342) * '⚙️ Supuestos'!$C$24) + '⚙️ Supuestos'!$C$33))</f>
        <v/>
      </c>
      <c r="L342" s="19" t="str">
        <f t="shared" si="48"/>
        <v/>
      </c>
      <c r="M342" s="20" t="str">
        <f t="shared" si="49"/>
        <v/>
      </c>
      <c r="N342" s="19" t="str">
        <f t="shared" si="50"/>
        <v/>
      </c>
      <c r="O342" s="27" t="str">
        <f t="shared" si="51"/>
        <v/>
      </c>
      <c r="P342" s="19" t="str">
        <f t="shared" si="52"/>
        <v/>
      </c>
      <c r="Q342" s="19" t="str">
        <f>IF(B342="","",J342-P342+(SUMIFS('📋 Detalle Diario'!$E$5:$E$489, '📋 Detalle Diario'!$B$5:$B$489, B342, '📋 Detalle Diario'!$C$5:$C$489, C342)*135)+(SUMIFS('📋 Detalle Diario'!$I$5:$I$489, '📋 Detalle Diario'!$B$5:$B$489, B342, '📋 Detalle Diario'!$C$5:$C$489, C342)*200))</f>
        <v/>
      </c>
      <c r="R342" s="20" t="str">
        <f t="shared" si="53"/>
        <v/>
      </c>
    </row>
    <row r="343" spans="2:18" ht="18" customHeight="1" x14ac:dyDescent="0.3">
      <c r="B343" s="24"/>
      <c r="C343" s="25"/>
      <c r="D343" s="18" t="str">
        <f>IF(B343="","",SUMIFS('📈 Datos Completos'!$E$7:$E$5000, '📈 Datos Completos'!$B$7:$B$5000, B343, '📈 Datos Completos'!$D$7:$D$5000, C343))</f>
        <v/>
      </c>
      <c r="E343" s="18" t="str">
        <f>IF(B343="","",SUMIFS('📈 Datos Completos'!$F$7:$F$5000, '📈 Datos Completos'!$B$7:$B$5000, B343, '📈 Datos Completos'!$D$7:$D$5000, C343))</f>
        <v/>
      </c>
      <c r="F343" s="18" t="str">
        <f>IF(B343="","",SUMIFS('📈 Datos Completos'!$G$7:$G$5000, '📈 Datos Completos'!$B$7:$B$5000, B343, '📈 Datos Completos'!$D$7:$D$5000, C343))</f>
        <v/>
      </c>
      <c r="G343" s="18" t="str">
        <f t="shared" si="45"/>
        <v/>
      </c>
      <c r="H343" s="19" t="str">
        <f>IF(B343="","",SUMIFS('📈 Datos Completos'!$I$7:$I$5000, '📈 Datos Completos'!$B$7:$B$5000, B343, '📈 Datos Completos'!$D$7:$D$5000, C343))</f>
        <v/>
      </c>
      <c r="I343" s="19" t="str">
        <f t="shared" si="46"/>
        <v/>
      </c>
      <c r="J343" s="19" t="str">
        <f t="shared" si="47"/>
        <v/>
      </c>
      <c r="K343" s="19" t="str">
        <f>IF(B343="","",IF(C343="DIA", (SUMIFS('📋 Detalle Diario'!$D$5:$D$489, '📋 Detalle Diario'!$B$5:$B$489, B343, '📋 Detalle Diario'!$C$5:$C$489, C343) * '⚙️ Supuestos'!$C$24) + '⚙️ Supuestos'!$C$23, (SUMIFS('📋 Detalle Diario'!$D$5:$D$489, '📋 Detalle Diario'!$B$5:$B$489, B343, '📋 Detalle Diario'!$C$5:$C$489, C343) * '⚙️ Supuestos'!$C$24) + '⚙️ Supuestos'!$C$33))</f>
        <v/>
      </c>
      <c r="L343" s="19" t="str">
        <f t="shared" si="48"/>
        <v/>
      </c>
      <c r="M343" s="20" t="str">
        <f t="shared" si="49"/>
        <v/>
      </c>
      <c r="N343" s="19" t="str">
        <f t="shared" si="50"/>
        <v/>
      </c>
      <c r="O343" s="25" t="str">
        <f t="shared" si="51"/>
        <v/>
      </c>
      <c r="P343" s="19" t="str">
        <f t="shared" si="52"/>
        <v/>
      </c>
      <c r="Q343" s="19" t="str">
        <f>IF(B343="","",J343-P343+(SUMIFS('📋 Detalle Diario'!$E$5:$E$489, '📋 Detalle Diario'!$B$5:$B$489, B343, '📋 Detalle Diario'!$C$5:$C$489, C343)*135)+(SUMIFS('📋 Detalle Diario'!$I$5:$I$489, '📋 Detalle Diario'!$B$5:$B$489, B343, '📋 Detalle Diario'!$C$5:$C$489, C343)*200))</f>
        <v/>
      </c>
      <c r="R343" s="20" t="str">
        <f t="shared" si="53"/>
        <v/>
      </c>
    </row>
    <row r="344" spans="2:18" ht="18" customHeight="1" x14ac:dyDescent="0.3">
      <c r="B344" s="26"/>
      <c r="C344" s="27"/>
      <c r="D344" s="18" t="str">
        <f>IF(B344="","",SUMIFS('📈 Datos Completos'!$E$7:$E$5000, '📈 Datos Completos'!$B$7:$B$5000, B344, '📈 Datos Completos'!$D$7:$D$5000, C344))</f>
        <v/>
      </c>
      <c r="E344" s="18" t="str">
        <f>IF(B344="","",SUMIFS('📈 Datos Completos'!$F$7:$F$5000, '📈 Datos Completos'!$B$7:$B$5000, B344, '📈 Datos Completos'!$D$7:$D$5000, C344))</f>
        <v/>
      </c>
      <c r="F344" s="18" t="str">
        <f>IF(B344="","",SUMIFS('📈 Datos Completos'!$G$7:$G$5000, '📈 Datos Completos'!$B$7:$B$5000, B344, '📈 Datos Completos'!$D$7:$D$5000, C344))</f>
        <v/>
      </c>
      <c r="G344" s="18" t="str">
        <f t="shared" si="45"/>
        <v/>
      </c>
      <c r="H344" s="19" t="str">
        <f>IF(B344="","",SUMIFS('📈 Datos Completos'!$I$7:$I$5000, '📈 Datos Completos'!$B$7:$B$5000, B344, '📈 Datos Completos'!$D$7:$D$5000, C344))</f>
        <v/>
      </c>
      <c r="I344" s="19" t="str">
        <f t="shared" si="46"/>
        <v/>
      </c>
      <c r="J344" s="19" t="str">
        <f t="shared" si="47"/>
        <v/>
      </c>
      <c r="K344" s="19" t="str">
        <f>IF(B344="","",IF(C344="DIA", (SUMIFS('📋 Detalle Diario'!$D$5:$D$489, '📋 Detalle Diario'!$B$5:$B$489, B344, '📋 Detalle Diario'!$C$5:$C$489, C344) * '⚙️ Supuestos'!$C$24) + '⚙️ Supuestos'!$C$23, (SUMIFS('📋 Detalle Diario'!$D$5:$D$489, '📋 Detalle Diario'!$B$5:$B$489, B344, '📋 Detalle Diario'!$C$5:$C$489, C344) * '⚙️ Supuestos'!$C$24) + '⚙️ Supuestos'!$C$33))</f>
        <v/>
      </c>
      <c r="L344" s="19" t="str">
        <f t="shared" si="48"/>
        <v/>
      </c>
      <c r="M344" s="20" t="str">
        <f t="shared" si="49"/>
        <v/>
      </c>
      <c r="N344" s="19" t="str">
        <f t="shared" si="50"/>
        <v/>
      </c>
      <c r="O344" s="27" t="str">
        <f t="shared" si="51"/>
        <v/>
      </c>
      <c r="P344" s="19" t="str">
        <f t="shared" si="52"/>
        <v/>
      </c>
      <c r="Q344" s="19" t="str">
        <f>IF(B344="","",J344-P344+(SUMIFS('📋 Detalle Diario'!$E$5:$E$489, '📋 Detalle Diario'!$B$5:$B$489, B344, '📋 Detalle Diario'!$C$5:$C$489, C344)*135)+(SUMIFS('📋 Detalle Diario'!$I$5:$I$489, '📋 Detalle Diario'!$B$5:$B$489, B344, '📋 Detalle Diario'!$C$5:$C$489, C344)*200))</f>
        <v/>
      </c>
      <c r="R344" s="20" t="str">
        <f t="shared" si="53"/>
        <v/>
      </c>
    </row>
    <row r="345" spans="2:18" ht="18" customHeight="1" x14ac:dyDescent="0.3">
      <c r="B345" s="24"/>
      <c r="C345" s="25"/>
      <c r="D345" s="18" t="str">
        <f>IF(B345="","",SUMIFS('📈 Datos Completos'!$E$7:$E$5000, '📈 Datos Completos'!$B$7:$B$5000, B345, '📈 Datos Completos'!$D$7:$D$5000, C345))</f>
        <v/>
      </c>
      <c r="E345" s="18" t="str">
        <f>IF(B345="","",SUMIFS('📈 Datos Completos'!$F$7:$F$5000, '📈 Datos Completos'!$B$7:$B$5000, B345, '📈 Datos Completos'!$D$7:$D$5000, C345))</f>
        <v/>
      </c>
      <c r="F345" s="18" t="str">
        <f>IF(B345="","",SUMIFS('📈 Datos Completos'!$G$7:$G$5000, '📈 Datos Completos'!$B$7:$B$5000, B345, '📈 Datos Completos'!$D$7:$D$5000, C345))</f>
        <v/>
      </c>
      <c r="G345" s="18" t="str">
        <f t="shared" si="45"/>
        <v/>
      </c>
      <c r="H345" s="19" t="str">
        <f>IF(B345="","",SUMIFS('📈 Datos Completos'!$I$7:$I$5000, '📈 Datos Completos'!$B$7:$B$5000, B345, '📈 Datos Completos'!$D$7:$D$5000, C345))</f>
        <v/>
      </c>
      <c r="I345" s="19" t="str">
        <f t="shared" si="46"/>
        <v/>
      </c>
      <c r="J345" s="19" t="str">
        <f t="shared" si="47"/>
        <v/>
      </c>
      <c r="K345" s="19" t="str">
        <f>IF(B345="","",IF(C345="DIA", (SUMIFS('📋 Detalle Diario'!$D$5:$D$489, '📋 Detalle Diario'!$B$5:$B$489, B345, '📋 Detalle Diario'!$C$5:$C$489, C345) * '⚙️ Supuestos'!$C$24) + '⚙️ Supuestos'!$C$23, (SUMIFS('📋 Detalle Diario'!$D$5:$D$489, '📋 Detalle Diario'!$B$5:$B$489, B345, '📋 Detalle Diario'!$C$5:$C$489, C345) * '⚙️ Supuestos'!$C$24) + '⚙️ Supuestos'!$C$33))</f>
        <v/>
      </c>
      <c r="L345" s="19" t="str">
        <f t="shared" si="48"/>
        <v/>
      </c>
      <c r="M345" s="20" t="str">
        <f t="shared" si="49"/>
        <v/>
      </c>
      <c r="N345" s="19" t="str">
        <f t="shared" si="50"/>
        <v/>
      </c>
      <c r="O345" s="25" t="str">
        <f t="shared" si="51"/>
        <v/>
      </c>
      <c r="P345" s="19" t="str">
        <f t="shared" si="52"/>
        <v/>
      </c>
      <c r="Q345" s="19" t="str">
        <f>IF(B345="","",J345-P345+(SUMIFS('📋 Detalle Diario'!$E$5:$E$489, '📋 Detalle Diario'!$B$5:$B$489, B345, '📋 Detalle Diario'!$C$5:$C$489, C345)*135)+(SUMIFS('📋 Detalle Diario'!$I$5:$I$489, '📋 Detalle Diario'!$B$5:$B$489, B345, '📋 Detalle Diario'!$C$5:$C$489, C345)*200))</f>
        <v/>
      </c>
      <c r="R345" s="20" t="str">
        <f t="shared" si="53"/>
        <v/>
      </c>
    </row>
    <row r="346" spans="2:18" ht="18" customHeight="1" x14ac:dyDescent="0.3">
      <c r="B346" s="26"/>
      <c r="C346" s="27"/>
      <c r="D346" s="18" t="str">
        <f>IF(B346="","",SUMIFS('📈 Datos Completos'!$E$7:$E$5000, '📈 Datos Completos'!$B$7:$B$5000, B346, '📈 Datos Completos'!$D$7:$D$5000, C346))</f>
        <v/>
      </c>
      <c r="E346" s="18" t="str">
        <f>IF(B346="","",SUMIFS('📈 Datos Completos'!$F$7:$F$5000, '📈 Datos Completos'!$B$7:$B$5000, B346, '📈 Datos Completos'!$D$7:$D$5000, C346))</f>
        <v/>
      </c>
      <c r="F346" s="18" t="str">
        <f>IF(B346="","",SUMIFS('📈 Datos Completos'!$G$7:$G$5000, '📈 Datos Completos'!$B$7:$B$5000, B346, '📈 Datos Completos'!$D$7:$D$5000, C346))</f>
        <v/>
      </c>
      <c r="G346" s="18" t="str">
        <f t="shared" si="45"/>
        <v/>
      </c>
      <c r="H346" s="19" t="str">
        <f>IF(B346="","",SUMIFS('📈 Datos Completos'!$I$7:$I$5000, '📈 Datos Completos'!$B$7:$B$5000, B346, '📈 Datos Completos'!$D$7:$D$5000, C346))</f>
        <v/>
      </c>
      <c r="I346" s="19" t="str">
        <f t="shared" si="46"/>
        <v/>
      </c>
      <c r="J346" s="19" t="str">
        <f t="shared" si="47"/>
        <v/>
      </c>
      <c r="K346" s="19" t="str">
        <f>IF(B346="","",IF(C346="DIA", (SUMIFS('📋 Detalle Diario'!$D$5:$D$489, '📋 Detalle Diario'!$B$5:$B$489, B346, '📋 Detalle Diario'!$C$5:$C$489, C346) * '⚙️ Supuestos'!$C$24) + '⚙️ Supuestos'!$C$23, (SUMIFS('📋 Detalle Diario'!$D$5:$D$489, '📋 Detalle Diario'!$B$5:$B$489, B346, '📋 Detalle Diario'!$C$5:$C$489, C346) * '⚙️ Supuestos'!$C$24) + '⚙️ Supuestos'!$C$33))</f>
        <v/>
      </c>
      <c r="L346" s="19" t="str">
        <f t="shared" si="48"/>
        <v/>
      </c>
      <c r="M346" s="20" t="str">
        <f t="shared" si="49"/>
        <v/>
      </c>
      <c r="N346" s="19" t="str">
        <f t="shared" si="50"/>
        <v/>
      </c>
      <c r="O346" s="27" t="str">
        <f t="shared" si="51"/>
        <v/>
      </c>
      <c r="P346" s="19" t="str">
        <f t="shared" si="52"/>
        <v/>
      </c>
      <c r="Q346" s="19" t="str">
        <f>IF(B346="","",J346-P346+(SUMIFS('📋 Detalle Diario'!$E$5:$E$489, '📋 Detalle Diario'!$B$5:$B$489, B346, '📋 Detalle Diario'!$C$5:$C$489, C346)*135)+(SUMIFS('📋 Detalle Diario'!$I$5:$I$489, '📋 Detalle Diario'!$B$5:$B$489, B346, '📋 Detalle Diario'!$C$5:$C$489, C346)*200))</f>
        <v/>
      </c>
      <c r="R346" s="20" t="str">
        <f t="shared" si="53"/>
        <v/>
      </c>
    </row>
    <row r="347" spans="2:18" ht="18" customHeight="1" x14ac:dyDescent="0.3">
      <c r="B347" s="24"/>
      <c r="C347" s="25"/>
      <c r="D347" s="18" t="str">
        <f>IF(B347="","",SUMIFS('📈 Datos Completos'!$E$7:$E$5000, '📈 Datos Completos'!$B$7:$B$5000, B347, '📈 Datos Completos'!$D$7:$D$5000, C347))</f>
        <v/>
      </c>
      <c r="E347" s="18" t="str">
        <f>IF(B347="","",SUMIFS('📈 Datos Completos'!$F$7:$F$5000, '📈 Datos Completos'!$B$7:$B$5000, B347, '📈 Datos Completos'!$D$7:$D$5000, C347))</f>
        <v/>
      </c>
      <c r="F347" s="18" t="str">
        <f>IF(B347="","",SUMIFS('📈 Datos Completos'!$G$7:$G$5000, '📈 Datos Completos'!$B$7:$B$5000, B347, '📈 Datos Completos'!$D$7:$D$5000, C347))</f>
        <v/>
      </c>
      <c r="G347" s="18" t="str">
        <f t="shared" si="45"/>
        <v/>
      </c>
      <c r="H347" s="19" t="str">
        <f>IF(B347="","",SUMIFS('📈 Datos Completos'!$I$7:$I$5000, '📈 Datos Completos'!$B$7:$B$5000, B347, '📈 Datos Completos'!$D$7:$D$5000, C347))</f>
        <v/>
      </c>
      <c r="I347" s="19" t="str">
        <f t="shared" si="46"/>
        <v/>
      </c>
      <c r="J347" s="19" t="str">
        <f t="shared" si="47"/>
        <v/>
      </c>
      <c r="K347" s="19" t="str">
        <f>IF(B347="","",IF(C347="DIA", (SUMIFS('📋 Detalle Diario'!$D$5:$D$489, '📋 Detalle Diario'!$B$5:$B$489, B347, '📋 Detalle Diario'!$C$5:$C$489, C347) * '⚙️ Supuestos'!$C$24) + '⚙️ Supuestos'!$C$23, (SUMIFS('📋 Detalle Diario'!$D$5:$D$489, '📋 Detalle Diario'!$B$5:$B$489, B347, '📋 Detalle Diario'!$C$5:$C$489, C347) * '⚙️ Supuestos'!$C$24) + '⚙️ Supuestos'!$C$33))</f>
        <v/>
      </c>
      <c r="L347" s="19" t="str">
        <f t="shared" si="48"/>
        <v/>
      </c>
      <c r="M347" s="20" t="str">
        <f t="shared" si="49"/>
        <v/>
      </c>
      <c r="N347" s="19" t="str">
        <f t="shared" si="50"/>
        <v/>
      </c>
      <c r="O347" s="25" t="str">
        <f t="shared" si="51"/>
        <v/>
      </c>
      <c r="P347" s="19" t="str">
        <f t="shared" si="52"/>
        <v/>
      </c>
      <c r="Q347" s="19" t="str">
        <f>IF(B347="","",J347-P347+(SUMIFS('📋 Detalle Diario'!$E$5:$E$489, '📋 Detalle Diario'!$B$5:$B$489, B347, '📋 Detalle Diario'!$C$5:$C$489, C347)*135)+(SUMIFS('📋 Detalle Diario'!$I$5:$I$489, '📋 Detalle Diario'!$B$5:$B$489, B347, '📋 Detalle Diario'!$C$5:$C$489, C347)*200))</f>
        <v/>
      </c>
      <c r="R347" s="20" t="str">
        <f t="shared" si="53"/>
        <v/>
      </c>
    </row>
    <row r="348" spans="2:18" ht="18" customHeight="1" x14ac:dyDescent="0.3">
      <c r="B348" s="26"/>
      <c r="C348" s="27"/>
      <c r="D348" s="18" t="str">
        <f>IF(B348="","",SUMIFS('📈 Datos Completos'!$E$7:$E$5000, '📈 Datos Completos'!$B$7:$B$5000, B348, '📈 Datos Completos'!$D$7:$D$5000, C348))</f>
        <v/>
      </c>
      <c r="E348" s="18" t="str">
        <f>IF(B348="","",SUMIFS('📈 Datos Completos'!$F$7:$F$5000, '📈 Datos Completos'!$B$7:$B$5000, B348, '📈 Datos Completos'!$D$7:$D$5000, C348))</f>
        <v/>
      </c>
      <c r="F348" s="18" t="str">
        <f>IF(B348="","",SUMIFS('📈 Datos Completos'!$G$7:$G$5000, '📈 Datos Completos'!$B$7:$B$5000, B348, '📈 Datos Completos'!$D$7:$D$5000, C348))</f>
        <v/>
      </c>
      <c r="G348" s="18" t="str">
        <f t="shared" si="45"/>
        <v/>
      </c>
      <c r="H348" s="19" t="str">
        <f>IF(B348="","",SUMIFS('📈 Datos Completos'!$I$7:$I$5000, '📈 Datos Completos'!$B$7:$B$5000, B348, '📈 Datos Completos'!$D$7:$D$5000, C348))</f>
        <v/>
      </c>
      <c r="I348" s="19" t="str">
        <f t="shared" si="46"/>
        <v/>
      </c>
      <c r="J348" s="19" t="str">
        <f t="shared" si="47"/>
        <v/>
      </c>
      <c r="K348" s="19" t="str">
        <f>IF(B348="","",IF(C348="DIA", (SUMIFS('📋 Detalle Diario'!$D$5:$D$489, '📋 Detalle Diario'!$B$5:$B$489, B348, '📋 Detalle Diario'!$C$5:$C$489, C348) * '⚙️ Supuestos'!$C$24) + '⚙️ Supuestos'!$C$23, (SUMIFS('📋 Detalle Diario'!$D$5:$D$489, '📋 Detalle Diario'!$B$5:$B$489, B348, '📋 Detalle Diario'!$C$5:$C$489, C348) * '⚙️ Supuestos'!$C$24) + '⚙️ Supuestos'!$C$33))</f>
        <v/>
      </c>
      <c r="L348" s="19" t="str">
        <f t="shared" si="48"/>
        <v/>
      </c>
      <c r="M348" s="20" t="str">
        <f t="shared" si="49"/>
        <v/>
      </c>
      <c r="N348" s="19" t="str">
        <f t="shared" si="50"/>
        <v/>
      </c>
      <c r="O348" s="27" t="str">
        <f t="shared" si="51"/>
        <v/>
      </c>
      <c r="P348" s="19" t="str">
        <f t="shared" si="52"/>
        <v/>
      </c>
      <c r="Q348" s="19" t="str">
        <f>IF(B348="","",J348-P348+(SUMIFS('📋 Detalle Diario'!$E$5:$E$489, '📋 Detalle Diario'!$B$5:$B$489, B348, '📋 Detalle Diario'!$C$5:$C$489, C348)*135)+(SUMIFS('📋 Detalle Diario'!$I$5:$I$489, '📋 Detalle Diario'!$B$5:$B$489, B348, '📋 Detalle Diario'!$C$5:$C$489, C348)*200))</f>
        <v/>
      </c>
      <c r="R348" s="20" t="str">
        <f t="shared" si="53"/>
        <v/>
      </c>
    </row>
    <row r="349" spans="2:18" ht="18" customHeight="1" x14ac:dyDescent="0.3">
      <c r="B349" s="24"/>
      <c r="C349" s="25"/>
      <c r="D349" s="18" t="str">
        <f>IF(B349="","",SUMIFS('📈 Datos Completos'!$E$7:$E$5000, '📈 Datos Completos'!$B$7:$B$5000, B349, '📈 Datos Completos'!$D$7:$D$5000, C349))</f>
        <v/>
      </c>
      <c r="E349" s="18" t="str">
        <f>IF(B349="","",SUMIFS('📈 Datos Completos'!$F$7:$F$5000, '📈 Datos Completos'!$B$7:$B$5000, B349, '📈 Datos Completos'!$D$7:$D$5000, C349))</f>
        <v/>
      </c>
      <c r="F349" s="18" t="str">
        <f>IF(B349="","",SUMIFS('📈 Datos Completos'!$G$7:$G$5000, '📈 Datos Completos'!$B$7:$B$5000, B349, '📈 Datos Completos'!$D$7:$D$5000, C349))</f>
        <v/>
      </c>
      <c r="G349" s="18" t="str">
        <f t="shared" si="45"/>
        <v/>
      </c>
      <c r="H349" s="19" t="str">
        <f>IF(B349="","",SUMIFS('📈 Datos Completos'!$I$7:$I$5000, '📈 Datos Completos'!$B$7:$B$5000, B349, '📈 Datos Completos'!$D$7:$D$5000, C349))</f>
        <v/>
      </c>
      <c r="I349" s="19" t="str">
        <f t="shared" si="46"/>
        <v/>
      </c>
      <c r="J349" s="19" t="str">
        <f t="shared" si="47"/>
        <v/>
      </c>
      <c r="K349" s="19" t="str">
        <f>IF(B349="","",IF(C349="DIA", (SUMIFS('📋 Detalle Diario'!$D$5:$D$489, '📋 Detalle Diario'!$B$5:$B$489, B349, '📋 Detalle Diario'!$C$5:$C$489, C349) * '⚙️ Supuestos'!$C$24) + '⚙️ Supuestos'!$C$23, (SUMIFS('📋 Detalle Diario'!$D$5:$D$489, '📋 Detalle Diario'!$B$5:$B$489, B349, '📋 Detalle Diario'!$C$5:$C$489, C349) * '⚙️ Supuestos'!$C$24) + '⚙️ Supuestos'!$C$33))</f>
        <v/>
      </c>
      <c r="L349" s="19" t="str">
        <f t="shared" si="48"/>
        <v/>
      </c>
      <c r="M349" s="20" t="str">
        <f t="shared" si="49"/>
        <v/>
      </c>
      <c r="N349" s="19" t="str">
        <f t="shared" si="50"/>
        <v/>
      </c>
      <c r="O349" s="25" t="str">
        <f t="shared" si="51"/>
        <v/>
      </c>
      <c r="P349" s="19" t="str">
        <f t="shared" si="52"/>
        <v/>
      </c>
      <c r="Q349" s="19" t="str">
        <f>IF(B349="","",J349-P349+(SUMIFS('📋 Detalle Diario'!$E$5:$E$489, '📋 Detalle Diario'!$B$5:$B$489, B349, '📋 Detalle Diario'!$C$5:$C$489, C349)*135)+(SUMIFS('📋 Detalle Diario'!$I$5:$I$489, '📋 Detalle Diario'!$B$5:$B$489, B349, '📋 Detalle Diario'!$C$5:$C$489, C349)*200))</f>
        <v/>
      </c>
      <c r="R349" s="20" t="str">
        <f t="shared" si="53"/>
        <v/>
      </c>
    </row>
    <row r="350" spans="2:18" ht="18" customHeight="1" x14ac:dyDescent="0.3">
      <c r="B350" s="26"/>
      <c r="C350" s="27"/>
      <c r="D350" s="18" t="str">
        <f>IF(B350="","",SUMIFS('📈 Datos Completos'!$E$7:$E$5000, '📈 Datos Completos'!$B$7:$B$5000, B350, '📈 Datos Completos'!$D$7:$D$5000, C350))</f>
        <v/>
      </c>
      <c r="E350" s="18" t="str">
        <f>IF(B350="","",SUMIFS('📈 Datos Completos'!$F$7:$F$5000, '📈 Datos Completos'!$B$7:$B$5000, B350, '📈 Datos Completos'!$D$7:$D$5000, C350))</f>
        <v/>
      </c>
      <c r="F350" s="18" t="str">
        <f>IF(B350="","",SUMIFS('📈 Datos Completos'!$G$7:$G$5000, '📈 Datos Completos'!$B$7:$B$5000, B350, '📈 Datos Completos'!$D$7:$D$5000, C350))</f>
        <v/>
      </c>
      <c r="G350" s="18" t="str">
        <f t="shared" si="45"/>
        <v/>
      </c>
      <c r="H350" s="19" t="str">
        <f>IF(B350="","",SUMIFS('📈 Datos Completos'!$I$7:$I$5000, '📈 Datos Completos'!$B$7:$B$5000, B350, '📈 Datos Completos'!$D$7:$D$5000, C350))</f>
        <v/>
      </c>
      <c r="I350" s="19" t="str">
        <f t="shared" si="46"/>
        <v/>
      </c>
      <c r="J350" s="19" t="str">
        <f t="shared" si="47"/>
        <v/>
      </c>
      <c r="K350" s="19" t="str">
        <f>IF(B350="","",IF(C350="DIA", (SUMIFS('📋 Detalle Diario'!$D$5:$D$489, '📋 Detalle Diario'!$B$5:$B$489, B350, '📋 Detalle Diario'!$C$5:$C$489, C350) * '⚙️ Supuestos'!$C$24) + '⚙️ Supuestos'!$C$23, (SUMIFS('📋 Detalle Diario'!$D$5:$D$489, '📋 Detalle Diario'!$B$5:$B$489, B350, '📋 Detalle Diario'!$C$5:$C$489, C350) * '⚙️ Supuestos'!$C$24) + '⚙️ Supuestos'!$C$33))</f>
        <v/>
      </c>
      <c r="L350" s="19" t="str">
        <f t="shared" si="48"/>
        <v/>
      </c>
      <c r="M350" s="20" t="str">
        <f t="shared" si="49"/>
        <v/>
      </c>
      <c r="N350" s="19" t="str">
        <f t="shared" si="50"/>
        <v/>
      </c>
      <c r="O350" s="27" t="str">
        <f t="shared" si="51"/>
        <v/>
      </c>
      <c r="P350" s="19" t="str">
        <f t="shared" si="52"/>
        <v/>
      </c>
      <c r="Q350" s="19" t="str">
        <f>IF(B350="","",J350-P350+(SUMIFS('📋 Detalle Diario'!$E$5:$E$489, '📋 Detalle Diario'!$B$5:$B$489, B350, '📋 Detalle Diario'!$C$5:$C$489, C350)*135)+(SUMIFS('📋 Detalle Diario'!$I$5:$I$489, '📋 Detalle Diario'!$B$5:$B$489, B350, '📋 Detalle Diario'!$C$5:$C$489, C350)*200))</f>
        <v/>
      </c>
      <c r="R350" s="20" t="str">
        <f t="shared" si="53"/>
        <v/>
      </c>
    </row>
    <row r="351" spans="2:18" ht="18" customHeight="1" x14ac:dyDescent="0.3">
      <c r="B351" s="24"/>
      <c r="C351" s="25"/>
      <c r="D351" s="18" t="str">
        <f>IF(B351="","",SUMIFS('📈 Datos Completos'!$E$7:$E$5000, '📈 Datos Completos'!$B$7:$B$5000, B351, '📈 Datos Completos'!$D$7:$D$5000, C351))</f>
        <v/>
      </c>
      <c r="E351" s="18" t="str">
        <f>IF(B351="","",SUMIFS('📈 Datos Completos'!$F$7:$F$5000, '📈 Datos Completos'!$B$7:$B$5000, B351, '📈 Datos Completos'!$D$7:$D$5000, C351))</f>
        <v/>
      </c>
      <c r="F351" s="18" t="str">
        <f>IF(B351="","",SUMIFS('📈 Datos Completos'!$G$7:$G$5000, '📈 Datos Completos'!$B$7:$B$5000, B351, '📈 Datos Completos'!$D$7:$D$5000, C351))</f>
        <v/>
      </c>
      <c r="G351" s="18" t="str">
        <f t="shared" si="45"/>
        <v/>
      </c>
      <c r="H351" s="19" t="str">
        <f>IF(B351="","",SUMIFS('📈 Datos Completos'!$I$7:$I$5000, '📈 Datos Completos'!$B$7:$B$5000, B351, '📈 Datos Completos'!$D$7:$D$5000, C351))</f>
        <v/>
      </c>
      <c r="I351" s="19" t="str">
        <f t="shared" si="46"/>
        <v/>
      </c>
      <c r="J351" s="19" t="str">
        <f t="shared" si="47"/>
        <v/>
      </c>
      <c r="K351" s="19" t="str">
        <f>IF(B351="","",IF(C351="DIA", (SUMIFS('📋 Detalle Diario'!$D$5:$D$489, '📋 Detalle Diario'!$B$5:$B$489, B351, '📋 Detalle Diario'!$C$5:$C$489, C351) * '⚙️ Supuestos'!$C$24) + '⚙️ Supuestos'!$C$23, (SUMIFS('📋 Detalle Diario'!$D$5:$D$489, '📋 Detalle Diario'!$B$5:$B$489, B351, '📋 Detalle Diario'!$C$5:$C$489, C351) * '⚙️ Supuestos'!$C$24) + '⚙️ Supuestos'!$C$33))</f>
        <v/>
      </c>
      <c r="L351" s="19" t="str">
        <f t="shared" si="48"/>
        <v/>
      </c>
      <c r="M351" s="20" t="str">
        <f t="shared" si="49"/>
        <v/>
      </c>
      <c r="N351" s="19" t="str">
        <f t="shared" si="50"/>
        <v/>
      </c>
      <c r="O351" s="25" t="str">
        <f t="shared" si="51"/>
        <v/>
      </c>
      <c r="P351" s="19" t="str">
        <f t="shared" si="52"/>
        <v/>
      </c>
      <c r="Q351" s="19" t="str">
        <f>IF(B351="","",J351-P351+(SUMIFS('📋 Detalle Diario'!$E$5:$E$489, '📋 Detalle Diario'!$B$5:$B$489, B351, '📋 Detalle Diario'!$C$5:$C$489, C351)*135)+(SUMIFS('📋 Detalle Diario'!$I$5:$I$489, '📋 Detalle Diario'!$B$5:$B$489, B351, '📋 Detalle Diario'!$C$5:$C$489, C351)*200))</f>
        <v/>
      </c>
      <c r="R351" s="20" t="str">
        <f t="shared" si="53"/>
        <v/>
      </c>
    </row>
    <row r="352" spans="2:18" ht="18" customHeight="1" x14ac:dyDescent="0.3">
      <c r="B352" s="26"/>
      <c r="C352" s="27"/>
      <c r="D352" s="18" t="str">
        <f>IF(B352="","",SUMIFS('📈 Datos Completos'!$E$7:$E$5000, '📈 Datos Completos'!$B$7:$B$5000, B352, '📈 Datos Completos'!$D$7:$D$5000, C352))</f>
        <v/>
      </c>
      <c r="E352" s="18" t="str">
        <f>IF(B352="","",SUMIFS('📈 Datos Completos'!$F$7:$F$5000, '📈 Datos Completos'!$B$7:$B$5000, B352, '📈 Datos Completos'!$D$7:$D$5000, C352))</f>
        <v/>
      </c>
      <c r="F352" s="18" t="str">
        <f>IF(B352="","",SUMIFS('📈 Datos Completos'!$G$7:$G$5000, '📈 Datos Completos'!$B$7:$B$5000, B352, '📈 Datos Completos'!$D$7:$D$5000, C352))</f>
        <v/>
      </c>
      <c r="G352" s="18" t="str">
        <f t="shared" si="45"/>
        <v/>
      </c>
      <c r="H352" s="19" t="str">
        <f>IF(B352="","",SUMIFS('📈 Datos Completos'!$I$7:$I$5000, '📈 Datos Completos'!$B$7:$B$5000, B352, '📈 Datos Completos'!$D$7:$D$5000, C352))</f>
        <v/>
      </c>
      <c r="I352" s="19" t="str">
        <f t="shared" si="46"/>
        <v/>
      </c>
      <c r="J352" s="19" t="str">
        <f t="shared" si="47"/>
        <v/>
      </c>
      <c r="K352" s="19" t="str">
        <f>IF(B352="","",IF(C352="DIA", (SUMIFS('📋 Detalle Diario'!$D$5:$D$489, '📋 Detalle Diario'!$B$5:$B$489, B352, '📋 Detalle Diario'!$C$5:$C$489, C352) * '⚙️ Supuestos'!$C$24) + '⚙️ Supuestos'!$C$23, (SUMIFS('📋 Detalle Diario'!$D$5:$D$489, '📋 Detalle Diario'!$B$5:$B$489, B352, '📋 Detalle Diario'!$C$5:$C$489, C352) * '⚙️ Supuestos'!$C$24) + '⚙️ Supuestos'!$C$33))</f>
        <v/>
      </c>
      <c r="L352" s="19" t="str">
        <f t="shared" si="48"/>
        <v/>
      </c>
      <c r="M352" s="20" t="str">
        <f t="shared" si="49"/>
        <v/>
      </c>
      <c r="N352" s="19" t="str">
        <f t="shared" si="50"/>
        <v/>
      </c>
      <c r="O352" s="27" t="str">
        <f t="shared" si="51"/>
        <v/>
      </c>
      <c r="P352" s="19" t="str">
        <f t="shared" si="52"/>
        <v/>
      </c>
      <c r="Q352" s="19" t="str">
        <f>IF(B352="","",J352-P352+(SUMIFS('📋 Detalle Diario'!$E$5:$E$489, '📋 Detalle Diario'!$B$5:$B$489, B352, '📋 Detalle Diario'!$C$5:$C$489, C352)*135)+(SUMIFS('📋 Detalle Diario'!$I$5:$I$489, '📋 Detalle Diario'!$B$5:$B$489, B352, '📋 Detalle Diario'!$C$5:$C$489, C352)*200))</f>
        <v/>
      </c>
      <c r="R352" s="20" t="str">
        <f t="shared" si="53"/>
        <v/>
      </c>
    </row>
    <row r="353" spans="2:18" ht="18" customHeight="1" x14ac:dyDescent="0.3">
      <c r="B353" s="24"/>
      <c r="C353" s="25"/>
      <c r="D353" s="18" t="str">
        <f>IF(B353="","",SUMIFS('📈 Datos Completos'!$E$7:$E$5000, '📈 Datos Completos'!$B$7:$B$5000, B353, '📈 Datos Completos'!$D$7:$D$5000, C353))</f>
        <v/>
      </c>
      <c r="E353" s="18" t="str">
        <f>IF(B353="","",SUMIFS('📈 Datos Completos'!$F$7:$F$5000, '📈 Datos Completos'!$B$7:$B$5000, B353, '📈 Datos Completos'!$D$7:$D$5000, C353))</f>
        <v/>
      </c>
      <c r="F353" s="18" t="str">
        <f>IF(B353="","",SUMIFS('📈 Datos Completos'!$G$7:$G$5000, '📈 Datos Completos'!$B$7:$B$5000, B353, '📈 Datos Completos'!$D$7:$D$5000, C353))</f>
        <v/>
      </c>
      <c r="G353" s="18" t="str">
        <f t="shared" si="45"/>
        <v/>
      </c>
      <c r="H353" s="19" t="str">
        <f>IF(B353="","",SUMIFS('📈 Datos Completos'!$I$7:$I$5000, '📈 Datos Completos'!$B$7:$B$5000, B353, '📈 Datos Completos'!$D$7:$D$5000, C353))</f>
        <v/>
      </c>
      <c r="I353" s="19" t="str">
        <f t="shared" si="46"/>
        <v/>
      </c>
      <c r="J353" s="19" t="str">
        <f t="shared" si="47"/>
        <v/>
      </c>
      <c r="K353" s="19" t="str">
        <f>IF(B353="","",IF(C353="DIA", (SUMIFS('📋 Detalle Diario'!$D$5:$D$489, '📋 Detalle Diario'!$B$5:$B$489, B353, '📋 Detalle Diario'!$C$5:$C$489, C353) * '⚙️ Supuestos'!$C$24) + '⚙️ Supuestos'!$C$23, (SUMIFS('📋 Detalle Diario'!$D$5:$D$489, '📋 Detalle Diario'!$B$5:$B$489, B353, '📋 Detalle Diario'!$C$5:$C$489, C353) * '⚙️ Supuestos'!$C$24) + '⚙️ Supuestos'!$C$33))</f>
        <v/>
      </c>
      <c r="L353" s="19" t="str">
        <f t="shared" si="48"/>
        <v/>
      </c>
      <c r="M353" s="20" t="str">
        <f t="shared" si="49"/>
        <v/>
      </c>
      <c r="N353" s="19" t="str">
        <f t="shared" si="50"/>
        <v/>
      </c>
      <c r="O353" s="25" t="str">
        <f t="shared" si="51"/>
        <v/>
      </c>
      <c r="P353" s="19" t="str">
        <f t="shared" si="52"/>
        <v/>
      </c>
      <c r="Q353" s="19" t="str">
        <f>IF(B353="","",J353-P353+(SUMIFS('📋 Detalle Diario'!$E$5:$E$489, '📋 Detalle Diario'!$B$5:$B$489, B353, '📋 Detalle Diario'!$C$5:$C$489, C353)*135)+(SUMIFS('📋 Detalle Diario'!$I$5:$I$489, '📋 Detalle Diario'!$B$5:$B$489, B353, '📋 Detalle Diario'!$C$5:$C$489, C353)*200))</f>
        <v/>
      </c>
      <c r="R353" s="20" t="str">
        <f t="shared" si="53"/>
        <v/>
      </c>
    </row>
    <row r="354" spans="2:18" ht="18" customHeight="1" x14ac:dyDescent="0.3">
      <c r="B354" s="26"/>
      <c r="C354" s="27"/>
      <c r="D354" s="18" t="str">
        <f>IF(B354="","",SUMIFS('📈 Datos Completos'!$E$7:$E$5000, '📈 Datos Completos'!$B$7:$B$5000, B354, '📈 Datos Completos'!$D$7:$D$5000, C354))</f>
        <v/>
      </c>
      <c r="E354" s="18" t="str">
        <f>IF(B354="","",SUMIFS('📈 Datos Completos'!$F$7:$F$5000, '📈 Datos Completos'!$B$7:$B$5000, B354, '📈 Datos Completos'!$D$7:$D$5000, C354))</f>
        <v/>
      </c>
      <c r="F354" s="18" t="str">
        <f>IF(B354="","",SUMIFS('📈 Datos Completos'!$G$7:$G$5000, '📈 Datos Completos'!$B$7:$B$5000, B354, '📈 Datos Completos'!$D$7:$D$5000, C354))</f>
        <v/>
      </c>
      <c r="G354" s="18" t="str">
        <f t="shared" si="45"/>
        <v/>
      </c>
      <c r="H354" s="19" t="str">
        <f>IF(B354="","",SUMIFS('📈 Datos Completos'!$I$7:$I$5000, '📈 Datos Completos'!$B$7:$B$5000, B354, '📈 Datos Completos'!$D$7:$D$5000, C354))</f>
        <v/>
      </c>
      <c r="I354" s="19" t="str">
        <f t="shared" si="46"/>
        <v/>
      </c>
      <c r="J354" s="19" t="str">
        <f t="shared" si="47"/>
        <v/>
      </c>
      <c r="K354" s="19" t="str">
        <f>IF(B354="","",IF(C354="DIA", (SUMIFS('📋 Detalle Diario'!$D$5:$D$489, '📋 Detalle Diario'!$B$5:$B$489, B354, '📋 Detalle Diario'!$C$5:$C$489, C354) * '⚙️ Supuestos'!$C$24) + '⚙️ Supuestos'!$C$23, (SUMIFS('📋 Detalle Diario'!$D$5:$D$489, '📋 Detalle Diario'!$B$5:$B$489, B354, '📋 Detalle Diario'!$C$5:$C$489, C354) * '⚙️ Supuestos'!$C$24) + '⚙️ Supuestos'!$C$33))</f>
        <v/>
      </c>
      <c r="L354" s="19" t="str">
        <f t="shared" si="48"/>
        <v/>
      </c>
      <c r="M354" s="20" t="str">
        <f t="shared" si="49"/>
        <v/>
      </c>
      <c r="N354" s="19" t="str">
        <f t="shared" si="50"/>
        <v/>
      </c>
      <c r="O354" s="27" t="str">
        <f t="shared" si="51"/>
        <v/>
      </c>
      <c r="P354" s="19" t="str">
        <f t="shared" si="52"/>
        <v/>
      </c>
      <c r="Q354" s="19" t="str">
        <f>IF(B354="","",J354-P354+(SUMIFS('📋 Detalle Diario'!$E$5:$E$489, '📋 Detalle Diario'!$B$5:$B$489, B354, '📋 Detalle Diario'!$C$5:$C$489, C354)*135)+(SUMIFS('📋 Detalle Diario'!$I$5:$I$489, '📋 Detalle Diario'!$B$5:$B$489, B354, '📋 Detalle Diario'!$C$5:$C$489, C354)*200))</f>
        <v/>
      </c>
      <c r="R354" s="20" t="str">
        <f t="shared" si="53"/>
        <v/>
      </c>
    </row>
    <row r="355" spans="2:18" ht="18" customHeight="1" x14ac:dyDescent="0.3">
      <c r="B355" s="24"/>
      <c r="C355" s="25"/>
      <c r="D355" s="18" t="str">
        <f>IF(B355="","",SUMIFS('📈 Datos Completos'!$E$7:$E$5000, '📈 Datos Completos'!$B$7:$B$5000, B355, '📈 Datos Completos'!$D$7:$D$5000, C355))</f>
        <v/>
      </c>
      <c r="E355" s="18" t="str">
        <f>IF(B355="","",SUMIFS('📈 Datos Completos'!$F$7:$F$5000, '📈 Datos Completos'!$B$7:$B$5000, B355, '📈 Datos Completos'!$D$7:$D$5000, C355))</f>
        <v/>
      </c>
      <c r="F355" s="18" t="str">
        <f>IF(B355="","",SUMIFS('📈 Datos Completos'!$G$7:$G$5000, '📈 Datos Completos'!$B$7:$B$5000, B355, '📈 Datos Completos'!$D$7:$D$5000, C355))</f>
        <v/>
      </c>
      <c r="G355" s="18" t="str">
        <f t="shared" si="45"/>
        <v/>
      </c>
      <c r="H355" s="19" t="str">
        <f>IF(B355="","",SUMIFS('📈 Datos Completos'!$I$7:$I$5000, '📈 Datos Completos'!$B$7:$B$5000, B355, '📈 Datos Completos'!$D$7:$D$5000, C355))</f>
        <v/>
      </c>
      <c r="I355" s="19" t="str">
        <f t="shared" si="46"/>
        <v/>
      </c>
      <c r="J355" s="19" t="str">
        <f t="shared" si="47"/>
        <v/>
      </c>
      <c r="K355" s="19" t="str">
        <f>IF(B355="","",IF(C355="DIA", (SUMIFS('📋 Detalle Diario'!$D$5:$D$489, '📋 Detalle Diario'!$B$5:$B$489, B355, '📋 Detalle Diario'!$C$5:$C$489, C355) * '⚙️ Supuestos'!$C$24) + '⚙️ Supuestos'!$C$23, (SUMIFS('📋 Detalle Diario'!$D$5:$D$489, '📋 Detalle Diario'!$B$5:$B$489, B355, '📋 Detalle Diario'!$C$5:$C$489, C355) * '⚙️ Supuestos'!$C$24) + '⚙️ Supuestos'!$C$33))</f>
        <v/>
      </c>
      <c r="L355" s="19" t="str">
        <f t="shared" si="48"/>
        <v/>
      </c>
      <c r="M355" s="20" t="str">
        <f t="shared" si="49"/>
        <v/>
      </c>
      <c r="N355" s="19" t="str">
        <f t="shared" si="50"/>
        <v/>
      </c>
      <c r="O355" s="25" t="str">
        <f t="shared" si="51"/>
        <v/>
      </c>
      <c r="P355" s="19" t="str">
        <f t="shared" si="52"/>
        <v/>
      </c>
      <c r="Q355" s="19" t="str">
        <f>IF(B355="","",J355-P355+(SUMIFS('📋 Detalle Diario'!$E$5:$E$489, '📋 Detalle Diario'!$B$5:$B$489, B355, '📋 Detalle Diario'!$C$5:$C$489, C355)*135)+(SUMIFS('📋 Detalle Diario'!$I$5:$I$489, '📋 Detalle Diario'!$B$5:$B$489, B355, '📋 Detalle Diario'!$C$5:$C$489, C355)*200))</f>
        <v/>
      </c>
      <c r="R355" s="20" t="str">
        <f t="shared" si="53"/>
        <v/>
      </c>
    </row>
    <row r="356" spans="2:18" ht="18" customHeight="1" x14ac:dyDescent="0.3">
      <c r="B356" s="26"/>
      <c r="C356" s="27"/>
      <c r="D356" s="18" t="str">
        <f>IF(B356="","",SUMIFS('📈 Datos Completos'!$E$7:$E$5000, '📈 Datos Completos'!$B$7:$B$5000, B356, '📈 Datos Completos'!$D$7:$D$5000, C356))</f>
        <v/>
      </c>
      <c r="E356" s="18" t="str">
        <f>IF(B356="","",SUMIFS('📈 Datos Completos'!$F$7:$F$5000, '📈 Datos Completos'!$B$7:$B$5000, B356, '📈 Datos Completos'!$D$7:$D$5000, C356))</f>
        <v/>
      </c>
      <c r="F356" s="18" t="str">
        <f>IF(B356="","",SUMIFS('📈 Datos Completos'!$G$7:$G$5000, '📈 Datos Completos'!$B$7:$B$5000, B356, '📈 Datos Completos'!$D$7:$D$5000, C356))</f>
        <v/>
      </c>
      <c r="G356" s="18" t="str">
        <f t="shared" si="45"/>
        <v/>
      </c>
      <c r="H356" s="19" t="str">
        <f>IF(B356="","",SUMIFS('📈 Datos Completos'!$I$7:$I$5000, '📈 Datos Completos'!$B$7:$B$5000, B356, '📈 Datos Completos'!$D$7:$D$5000, C356))</f>
        <v/>
      </c>
      <c r="I356" s="19" t="str">
        <f t="shared" si="46"/>
        <v/>
      </c>
      <c r="J356" s="19" t="str">
        <f t="shared" si="47"/>
        <v/>
      </c>
      <c r="K356" s="19" t="str">
        <f>IF(B356="","",IF(C356="DIA", (SUMIFS('📋 Detalle Diario'!$D$5:$D$489, '📋 Detalle Diario'!$B$5:$B$489, B356, '📋 Detalle Diario'!$C$5:$C$489, C356) * '⚙️ Supuestos'!$C$24) + '⚙️ Supuestos'!$C$23, (SUMIFS('📋 Detalle Diario'!$D$5:$D$489, '📋 Detalle Diario'!$B$5:$B$489, B356, '📋 Detalle Diario'!$C$5:$C$489, C356) * '⚙️ Supuestos'!$C$24) + '⚙️ Supuestos'!$C$33))</f>
        <v/>
      </c>
      <c r="L356" s="19" t="str">
        <f t="shared" si="48"/>
        <v/>
      </c>
      <c r="M356" s="20" t="str">
        <f t="shared" si="49"/>
        <v/>
      </c>
      <c r="N356" s="19" t="str">
        <f t="shared" si="50"/>
        <v/>
      </c>
      <c r="O356" s="27" t="str">
        <f t="shared" si="51"/>
        <v/>
      </c>
      <c r="P356" s="19" t="str">
        <f t="shared" si="52"/>
        <v/>
      </c>
      <c r="Q356" s="19" t="str">
        <f>IF(B356="","",J356-P356+(SUMIFS('📋 Detalle Diario'!$E$5:$E$489, '📋 Detalle Diario'!$B$5:$B$489, B356, '📋 Detalle Diario'!$C$5:$C$489, C356)*135)+(SUMIFS('📋 Detalle Diario'!$I$5:$I$489, '📋 Detalle Diario'!$B$5:$B$489, B356, '📋 Detalle Diario'!$C$5:$C$489, C356)*200))</f>
        <v/>
      </c>
      <c r="R356" s="20" t="str">
        <f t="shared" si="53"/>
        <v/>
      </c>
    </row>
    <row r="357" spans="2:18" ht="18" customHeight="1" x14ac:dyDescent="0.3">
      <c r="B357" s="24"/>
      <c r="C357" s="25"/>
      <c r="D357" s="18" t="str">
        <f>IF(B357="","",SUMIFS('📈 Datos Completos'!$E$7:$E$5000, '📈 Datos Completos'!$B$7:$B$5000, B357, '📈 Datos Completos'!$D$7:$D$5000, C357))</f>
        <v/>
      </c>
      <c r="E357" s="18" t="str">
        <f>IF(B357="","",SUMIFS('📈 Datos Completos'!$F$7:$F$5000, '📈 Datos Completos'!$B$7:$B$5000, B357, '📈 Datos Completos'!$D$7:$D$5000, C357))</f>
        <v/>
      </c>
      <c r="F357" s="18" t="str">
        <f>IF(B357="","",SUMIFS('📈 Datos Completos'!$G$7:$G$5000, '📈 Datos Completos'!$B$7:$B$5000, B357, '📈 Datos Completos'!$D$7:$D$5000, C357))</f>
        <v/>
      </c>
      <c r="G357" s="18" t="str">
        <f t="shared" si="45"/>
        <v/>
      </c>
      <c r="H357" s="19" t="str">
        <f>IF(B357="","",SUMIFS('📈 Datos Completos'!$I$7:$I$5000, '📈 Datos Completos'!$B$7:$B$5000, B357, '📈 Datos Completos'!$D$7:$D$5000, C357))</f>
        <v/>
      </c>
      <c r="I357" s="19" t="str">
        <f t="shared" si="46"/>
        <v/>
      </c>
      <c r="J357" s="19" t="str">
        <f t="shared" si="47"/>
        <v/>
      </c>
      <c r="K357" s="19" t="str">
        <f>IF(B357="","",IF(C357="DIA", (SUMIFS('📋 Detalle Diario'!$D$5:$D$489, '📋 Detalle Diario'!$B$5:$B$489, B357, '📋 Detalle Diario'!$C$5:$C$489, C357) * '⚙️ Supuestos'!$C$24) + '⚙️ Supuestos'!$C$23, (SUMIFS('📋 Detalle Diario'!$D$5:$D$489, '📋 Detalle Diario'!$B$5:$B$489, B357, '📋 Detalle Diario'!$C$5:$C$489, C357) * '⚙️ Supuestos'!$C$24) + '⚙️ Supuestos'!$C$33))</f>
        <v/>
      </c>
      <c r="L357" s="19" t="str">
        <f t="shared" si="48"/>
        <v/>
      </c>
      <c r="M357" s="20" t="str">
        <f t="shared" si="49"/>
        <v/>
      </c>
      <c r="N357" s="19" t="str">
        <f t="shared" si="50"/>
        <v/>
      </c>
      <c r="O357" s="25" t="str">
        <f t="shared" si="51"/>
        <v/>
      </c>
      <c r="P357" s="19" t="str">
        <f t="shared" si="52"/>
        <v/>
      </c>
      <c r="Q357" s="19" t="str">
        <f>IF(B357="","",J357-P357+(SUMIFS('📋 Detalle Diario'!$E$5:$E$489, '📋 Detalle Diario'!$B$5:$B$489, B357, '📋 Detalle Diario'!$C$5:$C$489, C357)*135)+(SUMIFS('📋 Detalle Diario'!$I$5:$I$489, '📋 Detalle Diario'!$B$5:$B$489, B357, '📋 Detalle Diario'!$C$5:$C$489, C357)*200))</f>
        <v/>
      </c>
      <c r="R357" s="20" t="str">
        <f t="shared" si="53"/>
        <v/>
      </c>
    </row>
    <row r="358" spans="2:18" ht="18" customHeight="1" x14ac:dyDescent="0.3">
      <c r="B358" s="26"/>
      <c r="C358" s="27"/>
      <c r="D358" s="18" t="str">
        <f>IF(B358="","",SUMIFS('📈 Datos Completos'!$E$7:$E$5000, '📈 Datos Completos'!$B$7:$B$5000, B358, '📈 Datos Completos'!$D$7:$D$5000, C358))</f>
        <v/>
      </c>
      <c r="E358" s="18" t="str">
        <f>IF(B358="","",SUMIFS('📈 Datos Completos'!$F$7:$F$5000, '📈 Datos Completos'!$B$7:$B$5000, B358, '📈 Datos Completos'!$D$7:$D$5000, C358))</f>
        <v/>
      </c>
      <c r="F358" s="18" t="str">
        <f>IF(B358="","",SUMIFS('📈 Datos Completos'!$G$7:$G$5000, '📈 Datos Completos'!$B$7:$B$5000, B358, '📈 Datos Completos'!$D$7:$D$5000, C358))</f>
        <v/>
      </c>
      <c r="G358" s="18" t="str">
        <f t="shared" si="45"/>
        <v/>
      </c>
      <c r="H358" s="19" t="str">
        <f>IF(B358="","",SUMIFS('📈 Datos Completos'!$I$7:$I$5000, '📈 Datos Completos'!$B$7:$B$5000, B358, '📈 Datos Completos'!$D$7:$D$5000, C358))</f>
        <v/>
      </c>
      <c r="I358" s="19" t="str">
        <f t="shared" si="46"/>
        <v/>
      </c>
      <c r="J358" s="19" t="str">
        <f t="shared" si="47"/>
        <v/>
      </c>
      <c r="K358" s="19" t="str">
        <f>IF(B358="","",IF(C358="DIA", (SUMIFS('📋 Detalle Diario'!$D$5:$D$489, '📋 Detalle Diario'!$B$5:$B$489, B358, '📋 Detalle Diario'!$C$5:$C$489, C358) * '⚙️ Supuestos'!$C$24) + '⚙️ Supuestos'!$C$23, (SUMIFS('📋 Detalle Diario'!$D$5:$D$489, '📋 Detalle Diario'!$B$5:$B$489, B358, '📋 Detalle Diario'!$C$5:$C$489, C358) * '⚙️ Supuestos'!$C$24) + '⚙️ Supuestos'!$C$33))</f>
        <v/>
      </c>
      <c r="L358" s="19" t="str">
        <f t="shared" si="48"/>
        <v/>
      </c>
      <c r="M358" s="20" t="str">
        <f t="shared" si="49"/>
        <v/>
      </c>
      <c r="N358" s="19" t="str">
        <f t="shared" si="50"/>
        <v/>
      </c>
      <c r="O358" s="27" t="str">
        <f t="shared" si="51"/>
        <v/>
      </c>
      <c r="P358" s="19" t="str">
        <f t="shared" si="52"/>
        <v/>
      </c>
      <c r="Q358" s="19" t="str">
        <f>IF(B358="","",J358-P358+(SUMIFS('📋 Detalle Diario'!$E$5:$E$489, '📋 Detalle Diario'!$B$5:$B$489, B358, '📋 Detalle Diario'!$C$5:$C$489, C358)*135)+(SUMIFS('📋 Detalle Diario'!$I$5:$I$489, '📋 Detalle Diario'!$B$5:$B$489, B358, '📋 Detalle Diario'!$C$5:$C$489, C358)*200))</f>
        <v/>
      </c>
      <c r="R358" s="20" t="str">
        <f t="shared" si="53"/>
        <v/>
      </c>
    </row>
    <row r="359" spans="2:18" ht="18" customHeight="1" x14ac:dyDescent="0.3">
      <c r="B359" s="24"/>
      <c r="C359" s="25"/>
      <c r="D359" s="18" t="str">
        <f>IF(B359="","",SUMIFS('📈 Datos Completos'!$E$7:$E$5000, '📈 Datos Completos'!$B$7:$B$5000, B359, '📈 Datos Completos'!$D$7:$D$5000, C359))</f>
        <v/>
      </c>
      <c r="E359" s="18" t="str">
        <f>IF(B359="","",SUMIFS('📈 Datos Completos'!$F$7:$F$5000, '📈 Datos Completos'!$B$7:$B$5000, B359, '📈 Datos Completos'!$D$7:$D$5000, C359))</f>
        <v/>
      </c>
      <c r="F359" s="18" t="str">
        <f>IF(B359="","",SUMIFS('📈 Datos Completos'!$G$7:$G$5000, '📈 Datos Completos'!$B$7:$B$5000, B359, '📈 Datos Completos'!$D$7:$D$5000, C359))</f>
        <v/>
      </c>
      <c r="G359" s="18" t="str">
        <f t="shared" si="45"/>
        <v/>
      </c>
      <c r="H359" s="19" t="str">
        <f>IF(B359="","",SUMIFS('📈 Datos Completos'!$I$7:$I$5000, '📈 Datos Completos'!$B$7:$B$5000, B359, '📈 Datos Completos'!$D$7:$D$5000, C359))</f>
        <v/>
      </c>
      <c r="I359" s="19" t="str">
        <f t="shared" si="46"/>
        <v/>
      </c>
      <c r="J359" s="19" t="str">
        <f t="shared" si="47"/>
        <v/>
      </c>
      <c r="K359" s="19" t="str">
        <f>IF(B359="","",IF(C359="DIA", (SUMIFS('📋 Detalle Diario'!$D$5:$D$489, '📋 Detalle Diario'!$B$5:$B$489, B359, '📋 Detalle Diario'!$C$5:$C$489, C359) * '⚙️ Supuestos'!$C$24) + '⚙️ Supuestos'!$C$23, (SUMIFS('📋 Detalle Diario'!$D$5:$D$489, '📋 Detalle Diario'!$B$5:$B$489, B359, '📋 Detalle Diario'!$C$5:$C$489, C359) * '⚙️ Supuestos'!$C$24) + '⚙️ Supuestos'!$C$33))</f>
        <v/>
      </c>
      <c r="L359" s="19" t="str">
        <f t="shared" si="48"/>
        <v/>
      </c>
      <c r="M359" s="20" t="str">
        <f t="shared" si="49"/>
        <v/>
      </c>
      <c r="N359" s="19" t="str">
        <f t="shared" si="50"/>
        <v/>
      </c>
      <c r="O359" s="25" t="str">
        <f t="shared" si="51"/>
        <v/>
      </c>
      <c r="P359" s="19" t="str">
        <f t="shared" si="52"/>
        <v/>
      </c>
      <c r="Q359" s="19" t="str">
        <f>IF(B359="","",J359-P359+(SUMIFS('📋 Detalle Diario'!$E$5:$E$489, '📋 Detalle Diario'!$B$5:$B$489, B359, '📋 Detalle Diario'!$C$5:$C$489, C359)*135)+(SUMIFS('📋 Detalle Diario'!$I$5:$I$489, '📋 Detalle Diario'!$B$5:$B$489, B359, '📋 Detalle Diario'!$C$5:$C$489, C359)*200))</f>
        <v/>
      </c>
      <c r="R359" s="20" t="str">
        <f t="shared" si="53"/>
        <v/>
      </c>
    </row>
    <row r="360" spans="2:18" ht="18" customHeight="1" x14ac:dyDescent="0.3">
      <c r="B360" s="26"/>
      <c r="C360" s="27"/>
      <c r="D360" s="18" t="str">
        <f>IF(B360="","",SUMIFS('📈 Datos Completos'!$E$7:$E$5000, '📈 Datos Completos'!$B$7:$B$5000, B360, '📈 Datos Completos'!$D$7:$D$5000, C360))</f>
        <v/>
      </c>
      <c r="E360" s="18" t="str">
        <f>IF(B360="","",SUMIFS('📈 Datos Completos'!$F$7:$F$5000, '📈 Datos Completos'!$B$7:$B$5000, B360, '📈 Datos Completos'!$D$7:$D$5000, C360))</f>
        <v/>
      </c>
      <c r="F360" s="18" t="str">
        <f>IF(B360="","",SUMIFS('📈 Datos Completos'!$G$7:$G$5000, '📈 Datos Completos'!$B$7:$B$5000, B360, '📈 Datos Completos'!$D$7:$D$5000, C360))</f>
        <v/>
      </c>
      <c r="G360" s="18" t="str">
        <f t="shared" si="45"/>
        <v/>
      </c>
      <c r="H360" s="19" t="str">
        <f>IF(B360="","",SUMIFS('📈 Datos Completos'!$I$7:$I$5000, '📈 Datos Completos'!$B$7:$B$5000, B360, '📈 Datos Completos'!$D$7:$D$5000, C360))</f>
        <v/>
      </c>
      <c r="I360" s="19" t="str">
        <f t="shared" si="46"/>
        <v/>
      </c>
      <c r="J360" s="19" t="str">
        <f t="shared" si="47"/>
        <v/>
      </c>
      <c r="K360" s="19" t="str">
        <f>IF(B360="","",IF(C360="DIA", (SUMIFS('📋 Detalle Diario'!$D$5:$D$489, '📋 Detalle Diario'!$B$5:$B$489, B360, '📋 Detalle Diario'!$C$5:$C$489, C360) * '⚙️ Supuestos'!$C$24) + '⚙️ Supuestos'!$C$23, (SUMIFS('📋 Detalle Diario'!$D$5:$D$489, '📋 Detalle Diario'!$B$5:$B$489, B360, '📋 Detalle Diario'!$C$5:$C$489, C360) * '⚙️ Supuestos'!$C$24) + '⚙️ Supuestos'!$C$33))</f>
        <v/>
      </c>
      <c r="L360" s="19" t="str">
        <f t="shared" si="48"/>
        <v/>
      </c>
      <c r="M360" s="20" t="str">
        <f t="shared" si="49"/>
        <v/>
      </c>
      <c r="N360" s="19" t="str">
        <f t="shared" si="50"/>
        <v/>
      </c>
      <c r="O360" s="27" t="str">
        <f t="shared" si="51"/>
        <v/>
      </c>
      <c r="P360" s="19" t="str">
        <f t="shared" si="52"/>
        <v/>
      </c>
      <c r="Q360" s="19" t="str">
        <f>IF(B360="","",J360-P360+(SUMIFS('📋 Detalle Diario'!$E$5:$E$489, '📋 Detalle Diario'!$B$5:$B$489, B360, '📋 Detalle Diario'!$C$5:$C$489, C360)*135)+(SUMIFS('📋 Detalle Diario'!$I$5:$I$489, '📋 Detalle Diario'!$B$5:$B$489, B360, '📋 Detalle Diario'!$C$5:$C$489, C360)*200))</f>
        <v/>
      </c>
      <c r="R360" s="20" t="str">
        <f t="shared" si="53"/>
        <v/>
      </c>
    </row>
    <row r="361" spans="2:18" ht="18" customHeight="1" x14ac:dyDescent="0.3">
      <c r="B361" s="24"/>
      <c r="C361" s="25"/>
      <c r="D361" s="18" t="str">
        <f>IF(B361="","",SUMIFS('📈 Datos Completos'!$E$7:$E$5000, '📈 Datos Completos'!$B$7:$B$5000, B361, '📈 Datos Completos'!$D$7:$D$5000, C361))</f>
        <v/>
      </c>
      <c r="E361" s="18" t="str">
        <f>IF(B361="","",SUMIFS('📈 Datos Completos'!$F$7:$F$5000, '📈 Datos Completos'!$B$7:$B$5000, B361, '📈 Datos Completos'!$D$7:$D$5000, C361))</f>
        <v/>
      </c>
      <c r="F361" s="18" t="str">
        <f>IF(B361="","",SUMIFS('📈 Datos Completos'!$G$7:$G$5000, '📈 Datos Completos'!$B$7:$B$5000, B361, '📈 Datos Completos'!$D$7:$D$5000, C361))</f>
        <v/>
      </c>
      <c r="G361" s="18" t="str">
        <f t="shared" si="45"/>
        <v/>
      </c>
      <c r="H361" s="19" t="str">
        <f>IF(B361="","",SUMIFS('📈 Datos Completos'!$I$7:$I$5000, '📈 Datos Completos'!$B$7:$B$5000, B361, '📈 Datos Completos'!$D$7:$D$5000, C361))</f>
        <v/>
      </c>
      <c r="I361" s="19" t="str">
        <f t="shared" si="46"/>
        <v/>
      </c>
      <c r="J361" s="19" t="str">
        <f t="shared" si="47"/>
        <v/>
      </c>
      <c r="K361" s="19" t="str">
        <f>IF(B361="","",IF(C361="DIA", (SUMIFS('📋 Detalle Diario'!$D$5:$D$489, '📋 Detalle Diario'!$B$5:$B$489, B361, '📋 Detalle Diario'!$C$5:$C$489, C361) * '⚙️ Supuestos'!$C$24) + '⚙️ Supuestos'!$C$23, (SUMIFS('📋 Detalle Diario'!$D$5:$D$489, '📋 Detalle Diario'!$B$5:$B$489, B361, '📋 Detalle Diario'!$C$5:$C$489, C361) * '⚙️ Supuestos'!$C$24) + '⚙️ Supuestos'!$C$33))</f>
        <v/>
      </c>
      <c r="L361" s="19" t="str">
        <f t="shared" si="48"/>
        <v/>
      </c>
      <c r="M361" s="20" t="str">
        <f t="shared" si="49"/>
        <v/>
      </c>
      <c r="N361" s="19" t="str">
        <f t="shared" si="50"/>
        <v/>
      </c>
      <c r="O361" s="25" t="str">
        <f t="shared" si="51"/>
        <v/>
      </c>
      <c r="P361" s="19" t="str">
        <f t="shared" si="52"/>
        <v/>
      </c>
      <c r="Q361" s="19" t="str">
        <f>IF(B361="","",J361-P361+(SUMIFS('📋 Detalle Diario'!$E$5:$E$489, '📋 Detalle Diario'!$B$5:$B$489, B361, '📋 Detalle Diario'!$C$5:$C$489, C361)*135)+(SUMIFS('📋 Detalle Diario'!$I$5:$I$489, '📋 Detalle Diario'!$B$5:$B$489, B361, '📋 Detalle Diario'!$C$5:$C$489, C361)*200))</f>
        <v/>
      </c>
      <c r="R361" s="20" t="str">
        <f t="shared" si="53"/>
        <v/>
      </c>
    </row>
    <row r="362" spans="2:18" ht="18" customHeight="1" x14ac:dyDescent="0.3">
      <c r="B362" s="26"/>
      <c r="C362" s="27"/>
      <c r="D362" s="18" t="str">
        <f>IF(B362="","",SUMIFS('📈 Datos Completos'!$E$7:$E$5000, '📈 Datos Completos'!$B$7:$B$5000, B362, '📈 Datos Completos'!$D$7:$D$5000, C362))</f>
        <v/>
      </c>
      <c r="E362" s="18" t="str">
        <f>IF(B362="","",SUMIFS('📈 Datos Completos'!$F$7:$F$5000, '📈 Datos Completos'!$B$7:$B$5000, B362, '📈 Datos Completos'!$D$7:$D$5000, C362))</f>
        <v/>
      </c>
      <c r="F362" s="18" t="str">
        <f>IF(B362="","",SUMIFS('📈 Datos Completos'!$G$7:$G$5000, '📈 Datos Completos'!$B$7:$B$5000, B362, '📈 Datos Completos'!$D$7:$D$5000, C362))</f>
        <v/>
      </c>
      <c r="G362" s="18" t="str">
        <f t="shared" si="45"/>
        <v/>
      </c>
      <c r="H362" s="19" t="str">
        <f>IF(B362="","",SUMIFS('📈 Datos Completos'!$I$7:$I$5000, '📈 Datos Completos'!$B$7:$B$5000, B362, '📈 Datos Completos'!$D$7:$D$5000, C362))</f>
        <v/>
      </c>
      <c r="I362" s="19" t="str">
        <f t="shared" si="46"/>
        <v/>
      </c>
      <c r="J362" s="19" t="str">
        <f t="shared" si="47"/>
        <v/>
      </c>
      <c r="K362" s="19" t="str">
        <f>IF(B362="","",IF(C362="DIA", (SUMIFS('📋 Detalle Diario'!$D$5:$D$489, '📋 Detalle Diario'!$B$5:$B$489, B362, '📋 Detalle Diario'!$C$5:$C$489, C362) * '⚙️ Supuestos'!$C$24) + '⚙️ Supuestos'!$C$23, (SUMIFS('📋 Detalle Diario'!$D$5:$D$489, '📋 Detalle Diario'!$B$5:$B$489, B362, '📋 Detalle Diario'!$C$5:$C$489, C362) * '⚙️ Supuestos'!$C$24) + '⚙️ Supuestos'!$C$33))</f>
        <v/>
      </c>
      <c r="L362" s="19" t="str">
        <f t="shared" si="48"/>
        <v/>
      </c>
      <c r="M362" s="20" t="str">
        <f t="shared" si="49"/>
        <v/>
      </c>
      <c r="N362" s="19" t="str">
        <f t="shared" si="50"/>
        <v/>
      </c>
      <c r="O362" s="27" t="str">
        <f t="shared" si="51"/>
        <v/>
      </c>
      <c r="P362" s="19" t="str">
        <f t="shared" si="52"/>
        <v/>
      </c>
      <c r="Q362" s="19" t="str">
        <f>IF(B362="","",J362-P362+(SUMIFS('📋 Detalle Diario'!$E$5:$E$489, '📋 Detalle Diario'!$B$5:$B$489, B362, '📋 Detalle Diario'!$C$5:$C$489, C362)*135)+(SUMIFS('📋 Detalle Diario'!$I$5:$I$489, '📋 Detalle Diario'!$B$5:$B$489, B362, '📋 Detalle Diario'!$C$5:$C$489, C362)*200))</f>
        <v/>
      </c>
      <c r="R362" s="20" t="str">
        <f t="shared" si="53"/>
        <v/>
      </c>
    </row>
    <row r="363" spans="2:18" ht="18" customHeight="1" x14ac:dyDescent="0.3">
      <c r="B363" s="24"/>
      <c r="C363" s="25"/>
      <c r="D363" s="18" t="str">
        <f>IF(B363="","",SUMIFS('📈 Datos Completos'!$E$7:$E$5000, '📈 Datos Completos'!$B$7:$B$5000, B363, '📈 Datos Completos'!$D$7:$D$5000, C363))</f>
        <v/>
      </c>
      <c r="E363" s="18" t="str">
        <f>IF(B363="","",SUMIFS('📈 Datos Completos'!$F$7:$F$5000, '📈 Datos Completos'!$B$7:$B$5000, B363, '📈 Datos Completos'!$D$7:$D$5000, C363))</f>
        <v/>
      </c>
      <c r="F363" s="18" t="str">
        <f>IF(B363="","",SUMIFS('📈 Datos Completos'!$G$7:$G$5000, '📈 Datos Completos'!$B$7:$B$5000, B363, '📈 Datos Completos'!$D$7:$D$5000, C363))</f>
        <v/>
      </c>
      <c r="G363" s="18" t="str">
        <f t="shared" si="45"/>
        <v/>
      </c>
      <c r="H363" s="19" t="str">
        <f>IF(B363="","",SUMIFS('📈 Datos Completos'!$I$7:$I$5000, '📈 Datos Completos'!$B$7:$B$5000, B363, '📈 Datos Completos'!$D$7:$D$5000, C363))</f>
        <v/>
      </c>
      <c r="I363" s="19" t="str">
        <f t="shared" si="46"/>
        <v/>
      </c>
      <c r="J363" s="19" t="str">
        <f t="shared" si="47"/>
        <v/>
      </c>
      <c r="K363" s="19" t="str">
        <f>IF(B363="","",IF(C363="DIA", (SUMIFS('📋 Detalle Diario'!$D$5:$D$489, '📋 Detalle Diario'!$B$5:$B$489, B363, '📋 Detalle Diario'!$C$5:$C$489, C363) * '⚙️ Supuestos'!$C$24) + '⚙️ Supuestos'!$C$23, (SUMIFS('📋 Detalle Diario'!$D$5:$D$489, '📋 Detalle Diario'!$B$5:$B$489, B363, '📋 Detalle Diario'!$C$5:$C$489, C363) * '⚙️ Supuestos'!$C$24) + '⚙️ Supuestos'!$C$33))</f>
        <v/>
      </c>
      <c r="L363" s="19" t="str">
        <f t="shared" si="48"/>
        <v/>
      </c>
      <c r="M363" s="20" t="str">
        <f t="shared" si="49"/>
        <v/>
      </c>
      <c r="N363" s="19" t="str">
        <f t="shared" si="50"/>
        <v/>
      </c>
      <c r="O363" s="25" t="str">
        <f t="shared" si="51"/>
        <v/>
      </c>
      <c r="P363" s="19" t="str">
        <f t="shared" si="52"/>
        <v/>
      </c>
      <c r="Q363" s="19" t="str">
        <f>IF(B363="","",J363-P363+(SUMIFS('📋 Detalle Diario'!$E$5:$E$489, '📋 Detalle Diario'!$B$5:$B$489, B363, '📋 Detalle Diario'!$C$5:$C$489, C363)*135)+(SUMIFS('📋 Detalle Diario'!$I$5:$I$489, '📋 Detalle Diario'!$B$5:$B$489, B363, '📋 Detalle Diario'!$C$5:$C$489, C363)*200))</f>
        <v/>
      </c>
      <c r="R363" s="20" t="str">
        <f t="shared" si="53"/>
        <v/>
      </c>
    </row>
    <row r="364" spans="2:18" ht="18" customHeight="1" x14ac:dyDescent="0.3">
      <c r="B364" s="26"/>
      <c r="C364" s="27"/>
      <c r="D364" s="18" t="str">
        <f>IF(B364="","",SUMIFS('📈 Datos Completos'!$E$7:$E$5000, '📈 Datos Completos'!$B$7:$B$5000, B364, '📈 Datos Completos'!$D$7:$D$5000, C364))</f>
        <v/>
      </c>
      <c r="E364" s="18" t="str">
        <f>IF(B364="","",SUMIFS('📈 Datos Completos'!$F$7:$F$5000, '📈 Datos Completos'!$B$7:$B$5000, B364, '📈 Datos Completos'!$D$7:$D$5000, C364))</f>
        <v/>
      </c>
      <c r="F364" s="18" t="str">
        <f>IF(B364="","",SUMIFS('📈 Datos Completos'!$G$7:$G$5000, '📈 Datos Completos'!$B$7:$B$5000, B364, '📈 Datos Completos'!$D$7:$D$5000, C364))</f>
        <v/>
      </c>
      <c r="G364" s="18" t="str">
        <f t="shared" si="45"/>
        <v/>
      </c>
      <c r="H364" s="19" t="str">
        <f>IF(B364="","",SUMIFS('📈 Datos Completos'!$I$7:$I$5000, '📈 Datos Completos'!$B$7:$B$5000, B364, '📈 Datos Completos'!$D$7:$D$5000, C364))</f>
        <v/>
      </c>
      <c r="I364" s="19" t="str">
        <f t="shared" si="46"/>
        <v/>
      </c>
      <c r="J364" s="19" t="str">
        <f t="shared" si="47"/>
        <v/>
      </c>
      <c r="K364" s="19" t="str">
        <f>IF(B364="","",IF(C364="DIA", (SUMIFS('📋 Detalle Diario'!$D$5:$D$489, '📋 Detalle Diario'!$B$5:$B$489, B364, '📋 Detalle Diario'!$C$5:$C$489, C364) * '⚙️ Supuestos'!$C$24) + '⚙️ Supuestos'!$C$23, (SUMIFS('📋 Detalle Diario'!$D$5:$D$489, '📋 Detalle Diario'!$B$5:$B$489, B364, '📋 Detalle Diario'!$C$5:$C$489, C364) * '⚙️ Supuestos'!$C$24) + '⚙️ Supuestos'!$C$33))</f>
        <v/>
      </c>
      <c r="L364" s="19" t="str">
        <f t="shared" si="48"/>
        <v/>
      </c>
      <c r="M364" s="20" t="str">
        <f t="shared" si="49"/>
        <v/>
      </c>
      <c r="N364" s="19" t="str">
        <f t="shared" si="50"/>
        <v/>
      </c>
      <c r="O364" s="27" t="str">
        <f t="shared" si="51"/>
        <v/>
      </c>
      <c r="P364" s="19" t="str">
        <f t="shared" si="52"/>
        <v/>
      </c>
      <c r="Q364" s="19" t="str">
        <f>IF(B364="","",J364-P364+(SUMIFS('📋 Detalle Diario'!$E$5:$E$489, '📋 Detalle Diario'!$B$5:$B$489, B364, '📋 Detalle Diario'!$C$5:$C$489, C364)*135)+(SUMIFS('📋 Detalle Diario'!$I$5:$I$489, '📋 Detalle Diario'!$B$5:$B$489, B364, '📋 Detalle Diario'!$C$5:$C$489, C364)*200))</f>
        <v/>
      </c>
      <c r="R364" s="20" t="str">
        <f t="shared" si="53"/>
        <v/>
      </c>
    </row>
    <row r="365" spans="2:18" ht="18" customHeight="1" x14ac:dyDescent="0.3">
      <c r="B365" s="24"/>
      <c r="C365" s="25"/>
      <c r="D365" s="18" t="str">
        <f>IF(B365="","",SUMIFS('📈 Datos Completos'!$E$7:$E$5000, '📈 Datos Completos'!$B$7:$B$5000, B365, '📈 Datos Completos'!$D$7:$D$5000, C365))</f>
        <v/>
      </c>
      <c r="E365" s="18" t="str">
        <f>IF(B365="","",SUMIFS('📈 Datos Completos'!$F$7:$F$5000, '📈 Datos Completos'!$B$7:$B$5000, B365, '📈 Datos Completos'!$D$7:$D$5000, C365))</f>
        <v/>
      </c>
      <c r="F365" s="18" t="str">
        <f>IF(B365="","",SUMIFS('📈 Datos Completos'!$G$7:$G$5000, '📈 Datos Completos'!$B$7:$B$5000, B365, '📈 Datos Completos'!$D$7:$D$5000, C365))</f>
        <v/>
      </c>
      <c r="G365" s="18" t="str">
        <f t="shared" si="45"/>
        <v/>
      </c>
      <c r="H365" s="19" t="str">
        <f>IF(B365="","",SUMIFS('📈 Datos Completos'!$I$7:$I$5000, '📈 Datos Completos'!$B$7:$B$5000, B365, '📈 Datos Completos'!$D$7:$D$5000, C365))</f>
        <v/>
      </c>
      <c r="I365" s="19" t="str">
        <f t="shared" si="46"/>
        <v/>
      </c>
      <c r="J365" s="19" t="str">
        <f t="shared" si="47"/>
        <v/>
      </c>
      <c r="K365" s="19" t="str">
        <f>IF(B365="","",IF(C365="DIA", (SUMIFS('📋 Detalle Diario'!$D$5:$D$489, '📋 Detalle Diario'!$B$5:$B$489, B365, '📋 Detalle Diario'!$C$5:$C$489, C365) * '⚙️ Supuestos'!$C$24) + '⚙️ Supuestos'!$C$23, (SUMIFS('📋 Detalle Diario'!$D$5:$D$489, '📋 Detalle Diario'!$B$5:$B$489, B365, '📋 Detalle Diario'!$C$5:$C$489, C365) * '⚙️ Supuestos'!$C$24) + '⚙️ Supuestos'!$C$33))</f>
        <v/>
      </c>
      <c r="L365" s="19" t="str">
        <f t="shared" si="48"/>
        <v/>
      </c>
      <c r="M365" s="20" t="str">
        <f t="shared" si="49"/>
        <v/>
      </c>
      <c r="N365" s="19" t="str">
        <f t="shared" si="50"/>
        <v/>
      </c>
      <c r="O365" s="25" t="str">
        <f t="shared" si="51"/>
        <v/>
      </c>
      <c r="P365" s="19" t="str">
        <f t="shared" si="52"/>
        <v/>
      </c>
      <c r="Q365" s="19" t="str">
        <f>IF(B365="","",J365-P365+(SUMIFS('📋 Detalle Diario'!$E$5:$E$489, '📋 Detalle Diario'!$B$5:$B$489, B365, '📋 Detalle Diario'!$C$5:$C$489, C365)*135)+(SUMIFS('📋 Detalle Diario'!$I$5:$I$489, '📋 Detalle Diario'!$B$5:$B$489, B365, '📋 Detalle Diario'!$C$5:$C$489, C365)*200))</f>
        <v/>
      </c>
      <c r="R365" s="20" t="str">
        <f t="shared" si="53"/>
        <v/>
      </c>
    </row>
    <row r="366" spans="2:18" ht="18" customHeight="1" x14ac:dyDescent="0.3">
      <c r="B366" s="26"/>
      <c r="C366" s="27"/>
      <c r="D366" s="18" t="str">
        <f>IF(B366="","",SUMIFS('📈 Datos Completos'!$E$7:$E$5000, '📈 Datos Completos'!$B$7:$B$5000, B366, '📈 Datos Completos'!$D$7:$D$5000, C366))</f>
        <v/>
      </c>
      <c r="E366" s="18" t="str">
        <f>IF(B366="","",SUMIFS('📈 Datos Completos'!$F$7:$F$5000, '📈 Datos Completos'!$B$7:$B$5000, B366, '📈 Datos Completos'!$D$7:$D$5000, C366))</f>
        <v/>
      </c>
      <c r="F366" s="18" t="str">
        <f>IF(B366="","",SUMIFS('📈 Datos Completos'!$G$7:$G$5000, '📈 Datos Completos'!$B$7:$B$5000, B366, '📈 Datos Completos'!$D$7:$D$5000, C366))</f>
        <v/>
      </c>
      <c r="G366" s="18" t="str">
        <f t="shared" si="45"/>
        <v/>
      </c>
      <c r="H366" s="19" t="str">
        <f>IF(B366="","",SUMIFS('📈 Datos Completos'!$I$7:$I$5000, '📈 Datos Completos'!$B$7:$B$5000, B366, '📈 Datos Completos'!$D$7:$D$5000, C366))</f>
        <v/>
      </c>
      <c r="I366" s="19" t="str">
        <f t="shared" si="46"/>
        <v/>
      </c>
      <c r="J366" s="19" t="str">
        <f t="shared" si="47"/>
        <v/>
      </c>
      <c r="K366" s="19" t="str">
        <f>IF(B366="","",IF(C366="DIA", (SUMIFS('📋 Detalle Diario'!$D$5:$D$489, '📋 Detalle Diario'!$B$5:$B$489, B366, '📋 Detalle Diario'!$C$5:$C$489, C366) * '⚙️ Supuestos'!$C$24) + '⚙️ Supuestos'!$C$23, (SUMIFS('📋 Detalle Diario'!$D$5:$D$489, '📋 Detalle Diario'!$B$5:$B$489, B366, '📋 Detalle Diario'!$C$5:$C$489, C366) * '⚙️ Supuestos'!$C$24) + '⚙️ Supuestos'!$C$33))</f>
        <v/>
      </c>
      <c r="L366" s="19" t="str">
        <f t="shared" si="48"/>
        <v/>
      </c>
      <c r="M366" s="20" t="str">
        <f t="shared" si="49"/>
        <v/>
      </c>
      <c r="N366" s="19" t="str">
        <f t="shared" si="50"/>
        <v/>
      </c>
      <c r="O366" s="27" t="str">
        <f t="shared" si="51"/>
        <v/>
      </c>
      <c r="P366" s="19" t="str">
        <f t="shared" si="52"/>
        <v/>
      </c>
      <c r="Q366" s="19" t="str">
        <f>IF(B366="","",J366-P366+(SUMIFS('📋 Detalle Diario'!$E$5:$E$489, '📋 Detalle Diario'!$B$5:$B$489, B366, '📋 Detalle Diario'!$C$5:$C$489, C366)*135)+(SUMIFS('📋 Detalle Diario'!$I$5:$I$489, '📋 Detalle Diario'!$B$5:$B$489, B366, '📋 Detalle Diario'!$C$5:$C$489, C366)*200))</f>
        <v/>
      </c>
      <c r="R366" s="20" t="str">
        <f t="shared" si="53"/>
        <v/>
      </c>
    </row>
    <row r="367" spans="2:18" ht="18" customHeight="1" x14ac:dyDescent="0.3">
      <c r="B367" s="24"/>
      <c r="C367" s="25"/>
      <c r="D367" s="18" t="str">
        <f>IF(B367="","",SUMIFS('📈 Datos Completos'!$E$7:$E$5000, '📈 Datos Completos'!$B$7:$B$5000, B367, '📈 Datos Completos'!$D$7:$D$5000, C367))</f>
        <v/>
      </c>
      <c r="E367" s="18" t="str">
        <f>IF(B367="","",SUMIFS('📈 Datos Completos'!$F$7:$F$5000, '📈 Datos Completos'!$B$7:$B$5000, B367, '📈 Datos Completos'!$D$7:$D$5000, C367))</f>
        <v/>
      </c>
      <c r="F367" s="18" t="str">
        <f>IF(B367="","",SUMIFS('📈 Datos Completos'!$G$7:$G$5000, '📈 Datos Completos'!$B$7:$B$5000, B367, '📈 Datos Completos'!$D$7:$D$5000, C367))</f>
        <v/>
      </c>
      <c r="G367" s="18" t="str">
        <f t="shared" si="45"/>
        <v/>
      </c>
      <c r="H367" s="19" t="str">
        <f>IF(B367="","",SUMIFS('📈 Datos Completos'!$I$7:$I$5000, '📈 Datos Completos'!$B$7:$B$5000, B367, '📈 Datos Completos'!$D$7:$D$5000, C367))</f>
        <v/>
      </c>
      <c r="I367" s="19" t="str">
        <f t="shared" si="46"/>
        <v/>
      </c>
      <c r="J367" s="19" t="str">
        <f t="shared" si="47"/>
        <v/>
      </c>
      <c r="K367" s="19" t="str">
        <f>IF(B367="","",IF(C367="DIA", (SUMIFS('📋 Detalle Diario'!$D$5:$D$489, '📋 Detalle Diario'!$B$5:$B$489, B367, '📋 Detalle Diario'!$C$5:$C$489, C367) * '⚙️ Supuestos'!$C$24) + '⚙️ Supuestos'!$C$23, (SUMIFS('📋 Detalle Diario'!$D$5:$D$489, '📋 Detalle Diario'!$B$5:$B$489, B367, '📋 Detalle Diario'!$C$5:$C$489, C367) * '⚙️ Supuestos'!$C$24) + '⚙️ Supuestos'!$C$33))</f>
        <v/>
      </c>
      <c r="L367" s="19" t="str">
        <f t="shared" si="48"/>
        <v/>
      </c>
      <c r="M367" s="20" t="str">
        <f t="shared" si="49"/>
        <v/>
      </c>
      <c r="N367" s="19" t="str">
        <f t="shared" si="50"/>
        <v/>
      </c>
      <c r="O367" s="25" t="str">
        <f t="shared" si="51"/>
        <v/>
      </c>
      <c r="P367" s="19" t="str">
        <f t="shared" si="52"/>
        <v/>
      </c>
      <c r="Q367" s="19" t="str">
        <f>IF(B367="","",J367-P367+(SUMIFS('📋 Detalle Diario'!$E$5:$E$489, '📋 Detalle Diario'!$B$5:$B$489, B367, '📋 Detalle Diario'!$C$5:$C$489, C367)*135)+(SUMIFS('📋 Detalle Diario'!$I$5:$I$489, '📋 Detalle Diario'!$B$5:$B$489, B367, '📋 Detalle Diario'!$C$5:$C$489, C367)*200))</f>
        <v/>
      </c>
      <c r="R367" s="20" t="str">
        <f t="shared" si="53"/>
        <v/>
      </c>
    </row>
    <row r="368" spans="2:18" ht="18" customHeight="1" x14ac:dyDescent="0.3">
      <c r="B368" s="26"/>
      <c r="C368" s="27"/>
      <c r="D368" s="18" t="str">
        <f>IF(B368="","",SUMIFS('📈 Datos Completos'!$E$7:$E$5000, '📈 Datos Completos'!$B$7:$B$5000, B368, '📈 Datos Completos'!$D$7:$D$5000, C368))</f>
        <v/>
      </c>
      <c r="E368" s="18" t="str">
        <f>IF(B368="","",SUMIFS('📈 Datos Completos'!$F$7:$F$5000, '📈 Datos Completos'!$B$7:$B$5000, B368, '📈 Datos Completos'!$D$7:$D$5000, C368))</f>
        <v/>
      </c>
      <c r="F368" s="18" t="str">
        <f>IF(B368="","",SUMIFS('📈 Datos Completos'!$G$7:$G$5000, '📈 Datos Completos'!$B$7:$B$5000, B368, '📈 Datos Completos'!$D$7:$D$5000, C368))</f>
        <v/>
      </c>
      <c r="G368" s="18" t="str">
        <f t="shared" si="45"/>
        <v/>
      </c>
      <c r="H368" s="19" t="str">
        <f>IF(B368="","",SUMIFS('📈 Datos Completos'!$I$7:$I$5000, '📈 Datos Completos'!$B$7:$B$5000, B368, '📈 Datos Completos'!$D$7:$D$5000, C368))</f>
        <v/>
      </c>
      <c r="I368" s="19" t="str">
        <f t="shared" si="46"/>
        <v/>
      </c>
      <c r="J368" s="19" t="str">
        <f t="shared" si="47"/>
        <v/>
      </c>
      <c r="K368" s="19" t="str">
        <f>IF(B368="","",IF(C368="DIA", (SUMIFS('📋 Detalle Diario'!$D$5:$D$489, '📋 Detalle Diario'!$B$5:$B$489, B368, '📋 Detalle Diario'!$C$5:$C$489, C368) * '⚙️ Supuestos'!$C$24) + '⚙️ Supuestos'!$C$23, (SUMIFS('📋 Detalle Diario'!$D$5:$D$489, '📋 Detalle Diario'!$B$5:$B$489, B368, '📋 Detalle Diario'!$C$5:$C$489, C368) * '⚙️ Supuestos'!$C$24) + '⚙️ Supuestos'!$C$33))</f>
        <v/>
      </c>
      <c r="L368" s="19" t="str">
        <f t="shared" si="48"/>
        <v/>
      </c>
      <c r="M368" s="20" t="str">
        <f t="shared" si="49"/>
        <v/>
      </c>
      <c r="N368" s="19" t="str">
        <f t="shared" si="50"/>
        <v/>
      </c>
      <c r="O368" s="27" t="str">
        <f t="shared" si="51"/>
        <v/>
      </c>
      <c r="P368" s="19" t="str">
        <f t="shared" si="52"/>
        <v/>
      </c>
      <c r="Q368" s="19" t="str">
        <f>IF(B368="","",J368-P368+(SUMIFS('📋 Detalle Diario'!$E$5:$E$489, '📋 Detalle Diario'!$B$5:$B$489, B368, '📋 Detalle Diario'!$C$5:$C$489, C368)*135)+(SUMIFS('📋 Detalle Diario'!$I$5:$I$489, '📋 Detalle Diario'!$B$5:$B$489, B368, '📋 Detalle Diario'!$C$5:$C$489, C368)*200))</f>
        <v/>
      </c>
      <c r="R368" s="20" t="str">
        <f t="shared" si="53"/>
        <v/>
      </c>
    </row>
    <row r="369" spans="2:18" ht="18" customHeight="1" x14ac:dyDescent="0.3">
      <c r="B369" s="24"/>
      <c r="C369" s="25"/>
      <c r="D369" s="18" t="str">
        <f>IF(B369="","",SUMIFS('📈 Datos Completos'!$E$7:$E$5000, '📈 Datos Completos'!$B$7:$B$5000, B369, '📈 Datos Completos'!$D$7:$D$5000, C369))</f>
        <v/>
      </c>
      <c r="E369" s="18" t="str">
        <f>IF(B369="","",SUMIFS('📈 Datos Completos'!$F$7:$F$5000, '📈 Datos Completos'!$B$7:$B$5000, B369, '📈 Datos Completos'!$D$7:$D$5000, C369))</f>
        <v/>
      </c>
      <c r="F369" s="18" t="str">
        <f>IF(B369="","",SUMIFS('📈 Datos Completos'!$G$7:$G$5000, '📈 Datos Completos'!$B$7:$B$5000, B369, '📈 Datos Completos'!$D$7:$D$5000, C369))</f>
        <v/>
      </c>
      <c r="G369" s="18" t="str">
        <f t="shared" si="45"/>
        <v/>
      </c>
      <c r="H369" s="19" t="str">
        <f>IF(B369="","",SUMIFS('📈 Datos Completos'!$I$7:$I$5000, '📈 Datos Completos'!$B$7:$B$5000, B369, '📈 Datos Completos'!$D$7:$D$5000, C369))</f>
        <v/>
      </c>
      <c r="I369" s="19" t="str">
        <f t="shared" si="46"/>
        <v/>
      </c>
      <c r="J369" s="19" t="str">
        <f t="shared" si="47"/>
        <v/>
      </c>
      <c r="K369" s="19" t="str">
        <f>IF(B369="","",IF(C369="DIA", (SUMIFS('📋 Detalle Diario'!$D$5:$D$489, '📋 Detalle Diario'!$B$5:$B$489, B369, '📋 Detalle Diario'!$C$5:$C$489, C369) * '⚙️ Supuestos'!$C$24) + '⚙️ Supuestos'!$C$23, (SUMIFS('📋 Detalle Diario'!$D$5:$D$489, '📋 Detalle Diario'!$B$5:$B$489, B369, '📋 Detalle Diario'!$C$5:$C$489, C369) * '⚙️ Supuestos'!$C$24) + '⚙️ Supuestos'!$C$33))</f>
        <v/>
      </c>
      <c r="L369" s="19" t="str">
        <f t="shared" si="48"/>
        <v/>
      </c>
      <c r="M369" s="20" t="str">
        <f t="shared" si="49"/>
        <v/>
      </c>
      <c r="N369" s="19" t="str">
        <f t="shared" si="50"/>
        <v/>
      </c>
      <c r="O369" s="25" t="str">
        <f t="shared" si="51"/>
        <v/>
      </c>
      <c r="P369" s="19" t="str">
        <f t="shared" si="52"/>
        <v/>
      </c>
      <c r="Q369" s="19" t="str">
        <f>IF(B369="","",J369-P369+(SUMIFS('📋 Detalle Diario'!$E$5:$E$489, '📋 Detalle Diario'!$B$5:$B$489, B369, '📋 Detalle Diario'!$C$5:$C$489, C369)*135)+(SUMIFS('📋 Detalle Diario'!$I$5:$I$489, '📋 Detalle Diario'!$B$5:$B$489, B369, '📋 Detalle Diario'!$C$5:$C$489, C369)*200))</f>
        <v/>
      </c>
      <c r="R369" s="20" t="str">
        <f t="shared" si="53"/>
        <v/>
      </c>
    </row>
    <row r="370" spans="2:18" ht="18" customHeight="1" x14ac:dyDescent="0.3">
      <c r="B370" s="26"/>
      <c r="C370" s="27"/>
      <c r="D370" s="18" t="str">
        <f>IF(B370="","",SUMIFS('📈 Datos Completos'!$E$7:$E$5000, '📈 Datos Completos'!$B$7:$B$5000, B370, '📈 Datos Completos'!$D$7:$D$5000, C370))</f>
        <v/>
      </c>
      <c r="E370" s="18" t="str">
        <f>IF(B370="","",SUMIFS('📈 Datos Completos'!$F$7:$F$5000, '📈 Datos Completos'!$B$7:$B$5000, B370, '📈 Datos Completos'!$D$7:$D$5000, C370))</f>
        <v/>
      </c>
      <c r="F370" s="18" t="str">
        <f>IF(B370="","",SUMIFS('📈 Datos Completos'!$G$7:$G$5000, '📈 Datos Completos'!$B$7:$B$5000, B370, '📈 Datos Completos'!$D$7:$D$5000, C370))</f>
        <v/>
      </c>
      <c r="G370" s="18" t="str">
        <f t="shared" si="45"/>
        <v/>
      </c>
      <c r="H370" s="19" t="str">
        <f>IF(B370="","",SUMIFS('📈 Datos Completos'!$I$7:$I$5000, '📈 Datos Completos'!$B$7:$B$5000, B370, '📈 Datos Completos'!$D$7:$D$5000, C370))</f>
        <v/>
      </c>
      <c r="I370" s="19" t="str">
        <f t="shared" si="46"/>
        <v/>
      </c>
      <c r="J370" s="19" t="str">
        <f t="shared" si="47"/>
        <v/>
      </c>
      <c r="K370" s="19" t="str">
        <f>IF(B370="","",IF(C370="DIA", (SUMIFS('📋 Detalle Diario'!$D$5:$D$489, '📋 Detalle Diario'!$B$5:$B$489, B370, '📋 Detalle Diario'!$C$5:$C$489, C370) * '⚙️ Supuestos'!$C$24) + '⚙️ Supuestos'!$C$23, (SUMIFS('📋 Detalle Diario'!$D$5:$D$489, '📋 Detalle Diario'!$B$5:$B$489, B370, '📋 Detalle Diario'!$C$5:$C$489, C370) * '⚙️ Supuestos'!$C$24) + '⚙️ Supuestos'!$C$33))</f>
        <v/>
      </c>
      <c r="L370" s="19" t="str">
        <f t="shared" si="48"/>
        <v/>
      </c>
      <c r="M370" s="20" t="str">
        <f t="shared" si="49"/>
        <v/>
      </c>
      <c r="N370" s="19" t="str">
        <f t="shared" si="50"/>
        <v/>
      </c>
      <c r="O370" s="27" t="str">
        <f t="shared" si="51"/>
        <v/>
      </c>
      <c r="P370" s="19" t="str">
        <f t="shared" si="52"/>
        <v/>
      </c>
      <c r="Q370" s="19" t="str">
        <f>IF(B370="","",J370-P370+(SUMIFS('📋 Detalle Diario'!$E$5:$E$489, '📋 Detalle Diario'!$B$5:$B$489, B370, '📋 Detalle Diario'!$C$5:$C$489, C370)*135)+(SUMIFS('📋 Detalle Diario'!$I$5:$I$489, '📋 Detalle Diario'!$B$5:$B$489, B370, '📋 Detalle Diario'!$C$5:$C$489, C370)*200))</f>
        <v/>
      </c>
      <c r="R370" s="20" t="str">
        <f t="shared" si="53"/>
        <v/>
      </c>
    </row>
    <row r="371" spans="2:18" ht="18" customHeight="1" x14ac:dyDescent="0.3">
      <c r="B371" s="24"/>
      <c r="C371" s="25"/>
      <c r="D371" s="18" t="str">
        <f>IF(B371="","",SUMIFS('📈 Datos Completos'!$E$7:$E$5000, '📈 Datos Completos'!$B$7:$B$5000, B371, '📈 Datos Completos'!$D$7:$D$5000, C371))</f>
        <v/>
      </c>
      <c r="E371" s="18" t="str">
        <f>IF(B371="","",SUMIFS('📈 Datos Completos'!$F$7:$F$5000, '📈 Datos Completos'!$B$7:$B$5000, B371, '📈 Datos Completos'!$D$7:$D$5000, C371))</f>
        <v/>
      </c>
      <c r="F371" s="18" t="str">
        <f>IF(B371="","",SUMIFS('📈 Datos Completos'!$G$7:$G$5000, '📈 Datos Completos'!$B$7:$B$5000, B371, '📈 Datos Completos'!$D$7:$D$5000, C371))</f>
        <v/>
      </c>
      <c r="G371" s="18" t="str">
        <f t="shared" si="45"/>
        <v/>
      </c>
      <c r="H371" s="19" t="str">
        <f>IF(B371="","",SUMIFS('📈 Datos Completos'!$I$7:$I$5000, '📈 Datos Completos'!$B$7:$B$5000, B371, '📈 Datos Completos'!$D$7:$D$5000, C371))</f>
        <v/>
      </c>
      <c r="I371" s="19" t="str">
        <f t="shared" si="46"/>
        <v/>
      </c>
      <c r="J371" s="19" t="str">
        <f t="shared" si="47"/>
        <v/>
      </c>
      <c r="K371" s="19" t="str">
        <f>IF(B371="","",IF(C371="DIA", (SUMIFS('📋 Detalle Diario'!$D$5:$D$489, '📋 Detalle Diario'!$B$5:$B$489, B371, '📋 Detalle Diario'!$C$5:$C$489, C371) * '⚙️ Supuestos'!$C$24) + '⚙️ Supuestos'!$C$23, (SUMIFS('📋 Detalle Diario'!$D$5:$D$489, '📋 Detalle Diario'!$B$5:$B$489, B371, '📋 Detalle Diario'!$C$5:$C$489, C371) * '⚙️ Supuestos'!$C$24) + '⚙️ Supuestos'!$C$33))</f>
        <v/>
      </c>
      <c r="L371" s="19" t="str">
        <f t="shared" si="48"/>
        <v/>
      </c>
      <c r="M371" s="20" t="str">
        <f t="shared" si="49"/>
        <v/>
      </c>
      <c r="N371" s="19" t="str">
        <f t="shared" si="50"/>
        <v/>
      </c>
      <c r="O371" s="25" t="str">
        <f t="shared" si="51"/>
        <v/>
      </c>
      <c r="P371" s="19" t="str">
        <f t="shared" si="52"/>
        <v/>
      </c>
      <c r="Q371" s="19" t="str">
        <f>IF(B371="","",J371-P371+(SUMIFS('📋 Detalle Diario'!$E$5:$E$489, '📋 Detalle Diario'!$B$5:$B$489, B371, '📋 Detalle Diario'!$C$5:$C$489, C371)*135)+(SUMIFS('📋 Detalle Diario'!$I$5:$I$489, '📋 Detalle Diario'!$B$5:$B$489, B371, '📋 Detalle Diario'!$C$5:$C$489, C371)*200))</f>
        <v/>
      </c>
      <c r="R371" s="20" t="str">
        <f t="shared" si="53"/>
        <v/>
      </c>
    </row>
    <row r="372" spans="2:18" ht="18" customHeight="1" x14ac:dyDescent="0.3">
      <c r="B372" s="26"/>
      <c r="C372" s="27"/>
      <c r="D372" s="18" t="str">
        <f>IF(B372="","",SUMIFS('📈 Datos Completos'!$E$7:$E$5000, '📈 Datos Completos'!$B$7:$B$5000, B372, '📈 Datos Completos'!$D$7:$D$5000, C372))</f>
        <v/>
      </c>
      <c r="E372" s="18" t="str">
        <f>IF(B372="","",SUMIFS('📈 Datos Completos'!$F$7:$F$5000, '📈 Datos Completos'!$B$7:$B$5000, B372, '📈 Datos Completos'!$D$7:$D$5000, C372))</f>
        <v/>
      </c>
      <c r="F372" s="18" t="str">
        <f>IF(B372="","",SUMIFS('📈 Datos Completos'!$G$7:$G$5000, '📈 Datos Completos'!$B$7:$B$5000, B372, '📈 Datos Completos'!$D$7:$D$5000, C372))</f>
        <v/>
      </c>
      <c r="G372" s="18" t="str">
        <f t="shared" si="45"/>
        <v/>
      </c>
      <c r="H372" s="19" t="str">
        <f>IF(B372="","",SUMIFS('📈 Datos Completos'!$I$7:$I$5000, '📈 Datos Completos'!$B$7:$B$5000, B372, '📈 Datos Completos'!$D$7:$D$5000, C372))</f>
        <v/>
      </c>
      <c r="I372" s="19" t="str">
        <f t="shared" si="46"/>
        <v/>
      </c>
      <c r="J372" s="19" t="str">
        <f t="shared" si="47"/>
        <v/>
      </c>
      <c r="K372" s="19" t="str">
        <f>IF(B372="","",IF(C372="DIA", (SUMIFS('📋 Detalle Diario'!$D$5:$D$489, '📋 Detalle Diario'!$B$5:$B$489, B372, '📋 Detalle Diario'!$C$5:$C$489, C372) * '⚙️ Supuestos'!$C$24) + '⚙️ Supuestos'!$C$23, (SUMIFS('📋 Detalle Diario'!$D$5:$D$489, '📋 Detalle Diario'!$B$5:$B$489, B372, '📋 Detalle Diario'!$C$5:$C$489, C372) * '⚙️ Supuestos'!$C$24) + '⚙️ Supuestos'!$C$33))</f>
        <v/>
      </c>
      <c r="L372" s="19" t="str">
        <f t="shared" si="48"/>
        <v/>
      </c>
      <c r="M372" s="20" t="str">
        <f t="shared" si="49"/>
        <v/>
      </c>
      <c r="N372" s="19" t="str">
        <f t="shared" si="50"/>
        <v/>
      </c>
      <c r="O372" s="27" t="str">
        <f t="shared" si="51"/>
        <v/>
      </c>
      <c r="P372" s="19" t="str">
        <f t="shared" si="52"/>
        <v/>
      </c>
      <c r="Q372" s="19" t="str">
        <f>IF(B372="","",J372-P372+(SUMIFS('📋 Detalle Diario'!$E$5:$E$489, '📋 Detalle Diario'!$B$5:$B$489, B372, '📋 Detalle Diario'!$C$5:$C$489, C372)*135)+(SUMIFS('📋 Detalle Diario'!$I$5:$I$489, '📋 Detalle Diario'!$B$5:$B$489, B372, '📋 Detalle Diario'!$C$5:$C$489, C372)*200))</f>
        <v/>
      </c>
      <c r="R372" s="20" t="str">
        <f t="shared" si="53"/>
        <v/>
      </c>
    </row>
    <row r="373" spans="2:18" ht="18" customHeight="1" x14ac:dyDescent="0.3">
      <c r="B373" s="24"/>
      <c r="C373" s="25"/>
      <c r="D373" s="18" t="str">
        <f>IF(B373="","",SUMIFS('📈 Datos Completos'!$E$7:$E$5000, '📈 Datos Completos'!$B$7:$B$5000, B373, '📈 Datos Completos'!$D$7:$D$5000, C373))</f>
        <v/>
      </c>
      <c r="E373" s="18" t="str">
        <f>IF(B373="","",SUMIFS('📈 Datos Completos'!$F$7:$F$5000, '📈 Datos Completos'!$B$7:$B$5000, B373, '📈 Datos Completos'!$D$7:$D$5000, C373))</f>
        <v/>
      </c>
      <c r="F373" s="18" t="str">
        <f>IF(B373="","",SUMIFS('📈 Datos Completos'!$G$7:$G$5000, '📈 Datos Completos'!$B$7:$B$5000, B373, '📈 Datos Completos'!$D$7:$D$5000, C373))</f>
        <v/>
      </c>
      <c r="G373" s="18" t="str">
        <f t="shared" si="45"/>
        <v/>
      </c>
      <c r="H373" s="19" t="str">
        <f>IF(B373="","",SUMIFS('📈 Datos Completos'!$I$7:$I$5000, '📈 Datos Completos'!$B$7:$B$5000, B373, '📈 Datos Completos'!$D$7:$D$5000, C373))</f>
        <v/>
      </c>
      <c r="I373" s="19" t="str">
        <f t="shared" si="46"/>
        <v/>
      </c>
      <c r="J373" s="19" t="str">
        <f t="shared" si="47"/>
        <v/>
      </c>
      <c r="K373" s="19" t="str">
        <f>IF(B373="","",IF(C373="DIA", (SUMIFS('📋 Detalle Diario'!$D$5:$D$489, '📋 Detalle Diario'!$B$5:$B$489, B373, '📋 Detalle Diario'!$C$5:$C$489, C373) * '⚙️ Supuestos'!$C$24) + '⚙️ Supuestos'!$C$23, (SUMIFS('📋 Detalle Diario'!$D$5:$D$489, '📋 Detalle Diario'!$B$5:$B$489, B373, '📋 Detalle Diario'!$C$5:$C$489, C373) * '⚙️ Supuestos'!$C$24) + '⚙️ Supuestos'!$C$33))</f>
        <v/>
      </c>
      <c r="L373" s="19" t="str">
        <f t="shared" si="48"/>
        <v/>
      </c>
      <c r="M373" s="20" t="str">
        <f t="shared" si="49"/>
        <v/>
      </c>
      <c r="N373" s="19" t="str">
        <f t="shared" si="50"/>
        <v/>
      </c>
      <c r="O373" s="25" t="str">
        <f t="shared" si="51"/>
        <v/>
      </c>
      <c r="P373" s="19" t="str">
        <f t="shared" si="52"/>
        <v/>
      </c>
      <c r="Q373" s="19" t="str">
        <f>IF(B373="","",J373-P373+(SUMIFS('📋 Detalle Diario'!$E$5:$E$489, '📋 Detalle Diario'!$B$5:$B$489, B373, '📋 Detalle Diario'!$C$5:$C$489, C373)*135)+(SUMIFS('📋 Detalle Diario'!$I$5:$I$489, '📋 Detalle Diario'!$B$5:$B$489, B373, '📋 Detalle Diario'!$C$5:$C$489, C373)*200))</f>
        <v/>
      </c>
      <c r="R373" s="20" t="str">
        <f t="shared" si="53"/>
        <v/>
      </c>
    </row>
    <row r="374" spans="2:18" ht="18" customHeight="1" x14ac:dyDescent="0.3">
      <c r="B374" s="26"/>
      <c r="C374" s="27"/>
      <c r="D374" s="18" t="str">
        <f>IF(B374="","",SUMIFS('📈 Datos Completos'!$E$7:$E$5000, '📈 Datos Completos'!$B$7:$B$5000, B374, '📈 Datos Completos'!$D$7:$D$5000, C374))</f>
        <v/>
      </c>
      <c r="E374" s="18" t="str">
        <f>IF(B374="","",SUMIFS('📈 Datos Completos'!$F$7:$F$5000, '📈 Datos Completos'!$B$7:$B$5000, B374, '📈 Datos Completos'!$D$7:$D$5000, C374))</f>
        <v/>
      </c>
      <c r="F374" s="18" t="str">
        <f>IF(B374="","",SUMIFS('📈 Datos Completos'!$G$7:$G$5000, '📈 Datos Completos'!$B$7:$B$5000, B374, '📈 Datos Completos'!$D$7:$D$5000, C374))</f>
        <v/>
      </c>
      <c r="G374" s="18" t="str">
        <f t="shared" si="45"/>
        <v/>
      </c>
      <c r="H374" s="19" t="str">
        <f>IF(B374="","",SUMIFS('📈 Datos Completos'!$I$7:$I$5000, '📈 Datos Completos'!$B$7:$B$5000, B374, '📈 Datos Completos'!$D$7:$D$5000, C374))</f>
        <v/>
      </c>
      <c r="I374" s="19" t="str">
        <f t="shared" si="46"/>
        <v/>
      </c>
      <c r="J374" s="19" t="str">
        <f t="shared" si="47"/>
        <v/>
      </c>
      <c r="K374" s="19" t="str">
        <f>IF(B374="","",IF(C374="DIA", (SUMIFS('📋 Detalle Diario'!$D$5:$D$489, '📋 Detalle Diario'!$B$5:$B$489, B374, '📋 Detalle Diario'!$C$5:$C$489, C374) * '⚙️ Supuestos'!$C$24) + '⚙️ Supuestos'!$C$23, (SUMIFS('📋 Detalle Diario'!$D$5:$D$489, '📋 Detalle Diario'!$B$5:$B$489, B374, '📋 Detalle Diario'!$C$5:$C$489, C374) * '⚙️ Supuestos'!$C$24) + '⚙️ Supuestos'!$C$33))</f>
        <v/>
      </c>
      <c r="L374" s="19" t="str">
        <f t="shared" si="48"/>
        <v/>
      </c>
      <c r="M374" s="20" t="str">
        <f t="shared" si="49"/>
        <v/>
      </c>
      <c r="N374" s="19" t="str">
        <f t="shared" si="50"/>
        <v/>
      </c>
      <c r="O374" s="27" t="str">
        <f t="shared" si="51"/>
        <v/>
      </c>
      <c r="P374" s="19" t="str">
        <f t="shared" si="52"/>
        <v/>
      </c>
      <c r="Q374" s="19" t="str">
        <f>IF(B374="","",J374-P374+(SUMIFS('📋 Detalle Diario'!$E$5:$E$489, '📋 Detalle Diario'!$B$5:$B$489, B374, '📋 Detalle Diario'!$C$5:$C$489, C374)*135)+(SUMIFS('📋 Detalle Diario'!$I$5:$I$489, '📋 Detalle Diario'!$B$5:$B$489, B374, '📋 Detalle Diario'!$C$5:$C$489, C374)*200))</f>
        <v/>
      </c>
      <c r="R374" s="20" t="str">
        <f t="shared" si="53"/>
        <v/>
      </c>
    </row>
    <row r="375" spans="2:18" ht="18" customHeight="1" x14ac:dyDescent="0.3">
      <c r="B375" s="24"/>
      <c r="C375" s="25"/>
      <c r="D375" s="18" t="str">
        <f>IF(B375="","",SUMIFS('📈 Datos Completos'!$E$7:$E$5000, '📈 Datos Completos'!$B$7:$B$5000, B375, '📈 Datos Completos'!$D$7:$D$5000, C375))</f>
        <v/>
      </c>
      <c r="E375" s="18" t="str">
        <f>IF(B375="","",SUMIFS('📈 Datos Completos'!$F$7:$F$5000, '📈 Datos Completos'!$B$7:$B$5000, B375, '📈 Datos Completos'!$D$7:$D$5000, C375))</f>
        <v/>
      </c>
      <c r="F375" s="18" t="str">
        <f>IF(B375="","",SUMIFS('📈 Datos Completos'!$G$7:$G$5000, '📈 Datos Completos'!$B$7:$B$5000, B375, '📈 Datos Completos'!$D$7:$D$5000, C375))</f>
        <v/>
      </c>
      <c r="G375" s="18" t="str">
        <f t="shared" si="45"/>
        <v/>
      </c>
      <c r="H375" s="19" t="str">
        <f>IF(B375="","",SUMIFS('📈 Datos Completos'!$I$7:$I$5000, '📈 Datos Completos'!$B$7:$B$5000, B375, '📈 Datos Completos'!$D$7:$D$5000, C375))</f>
        <v/>
      </c>
      <c r="I375" s="19" t="str">
        <f t="shared" si="46"/>
        <v/>
      </c>
      <c r="J375" s="19" t="str">
        <f t="shared" si="47"/>
        <v/>
      </c>
      <c r="K375" s="19" t="str">
        <f>IF(B375="","",IF(C375="DIA", (SUMIFS('📋 Detalle Diario'!$D$5:$D$489, '📋 Detalle Diario'!$B$5:$B$489, B375, '📋 Detalle Diario'!$C$5:$C$489, C375) * '⚙️ Supuestos'!$C$24) + '⚙️ Supuestos'!$C$23, (SUMIFS('📋 Detalle Diario'!$D$5:$D$489, '📋 Detalle Diario'!$B$5:$B$489, B375, '📋 Detalle Diario'!$C$5:$C$489, C375) * '⚙️ Supuestos'!$C$24) + '⚙️ Supuestos'!$C$33))</f>
        <v/>
      </c>
      <c r="L375" s="19" t="str">
        <f t="shared" si="48"/>
        <v/>
      </c>
      <c r="M375" s="20" t="str">
        <f t="shared" si="49"/>
        <v/>
      </c>
      <c r="N375" s="19" t="str">
        <f t="shared" si="50"/>
        <v/>
      </c>
      <c r="O375" s="25" t="str">
        <f t="shared" si="51"/>
        <v/>
      </c>
      <c r="P375" s="19" t="str">
        <f t="shared" si="52"/>
        <v/>
      </c>
      <c r="Q375" s="19" t="str">
        <f>IF(B375="","",J375-P375+(SUMIFS('📋 Detalle Diario'!$E$5:$E$489, '📋 Detalle Diario'!$B$5:$B$489, B375, '📋 Detalle Diario'!$C$5:$C$489, C375)*135)+(SUMIFS('📋 Detalle Diario'!$I$5:$I$489, '📋 Detalle Diario'!$B$5:$B$489, B375, '📋 Detalle Diario'!$C$5:$C$489, C375)*200))</f>
        <v/>
      </c>
      <c r="R375" s="20" t="str">
        <f t="shared" si="53"/>
        <v/>
      </c>
    </row>
    <row r="376" spans="2:18" ht="18" customHeight="1" x14ac:dyDescent="0.3">
      <c r="B376" s="26"/>
      <c r="C376" s="27"/>
      <c r="D376" s="18" t="str">
        <f>IF(B376="","",SUMIFS('📈 Datos Completos'!$E$7:$E$5000, '📈 Datos Completos'!$B$7:$B$5000, B376, '📈 Datos Completos'!$D$7:$D$5000, C376))</f>
        <v/>
      </c>
      <c r="E376" s="18" t="str">
        <f>IF(B376="","",SUMIFS('📈 Datos Completos'!$F$7:$F$5000, '📈 Datos Completos'!$B$7:$B$5000, B376, '📈 Datos Completos'!$D$7:$D$5000, C376))</f>
        <v/>
      </c>
      <c r="F376" s="18" t="str">
        <f>IF(B376="","",SUMIFS('📈 Datos Completos'!$G$7:$G$5000, '📈 Datos Completos'!$B$7:$B$5000, B376, '📈 Datos Completos'!$D$7:$D$5000, C376))</f>
        <v/>
      </c>
      <c r="G376" s="18" t="str">
        <f t="shared" si="45"/>
        <v/>
      </c>
      <c r="H376" s="19" t="str">
        <f>IF(B376="","",SUMIFS('📈 Datos Completos'!$I$7:$I$5000, '📈 Datos Completos'!$B$7:$B$5000, B376, '📈 Datos Completos'!$D$7:$D$5000, C376))</f>
        <v/>
      </c>
      <c r="I376" s="19" t="str">
        <f t="shared" si="46"/>
        <v/>
      </c>
      <c r="J376" s="19" t="str">
        <f t="shared" si="47"/>
        <v/>
      </c>
      <c r="K376" s="19" t="str">
        <f>IF(B376="","",IF(C376="DIA", (SUMIFS('📋 Detalle Diario'!$D$5:$D$489, '📋 Detalle Diario'!$B$5:$B$489, B376, '📋 Detalle Diario'!$C$5:$C$489, C376) * '⚙️ Supuestos'!$C$24) + '⚙️ Supuestos'!$C$23, (SUMIFS('📋 Detalle Diario'!$D$5:$D$489, '📋 Detalle Diario'!$B$5:$B$489, B376, '📋 Detalle Diario'!$C$5:$C$489, C376) * '⚙️ Supuestos'!$C$24) + '⚙️ Supuestos'!$C$33))</f>
        <v/>
      </c>
      <c r="L376" s="19" t="str">
        <f t="shared" si="48"/>
        <v/>
      </c>
      <c r="M376" s="20" t="str">
        <f t="shared" si="49"/>
        <v/>
      </c>
      <c r="N376" s="19" t="str">
        <f t="shared" si="50"/>
        <v/>
      </c>
      <c r="O376" s="27" t="str">
        <f t="shared" si="51"/>
        <v/>
      </c>
      <c r="P376" s="19" t="str">
        <f t="shared" si="52"/>
        <v/>
      </c>
      <c r="Q376" s="19" t="str">
        <f>IF(B376="","",J376-P376+(SUMIFS('📋 Detalle Diario'!$E$5:$E$489, '📋 Detalle Diario'!$B$5:$B$489, B376, '📋 Detalle Diario'!$C$5:$C$489, C376)*135)+(SUMIFS('📋 Detalle Diario'!$I$5:$I$489, '📋 Detalle Diario'!$B$5:$B$489, B376, '📋 Detalle Diario'!$C$5:$C$489, C376)*200))</f>
        <v/>
      </c>
      <c r="R376" s="20" t="str">
        <f t="shared" si="53"/>
        <v/>
      </c>
    </row>
    <row r="377" spans="2:18" ht="18" customHeight="1" x14ac:dyDescent="0.3">
      <c r="B377" s="24"/>
      <c r="C377" s="25"/>
      <c r="D377" s="18" t="str">
        <f>IF(B377="","",SUMIFS('📈 Datos Completos'!$E$7:$E$5000, '📈 Datos Completos'!$B$7:$B$5000, B377, '📈 Datos Completos'!$D$7:$D$5000, C377))</f>
        <v/>
      </c>
      <c r="E377" s="18" t="str">
        <f>IF(B377="","",SUMIFS('📈 Datos Completos'!$F$7:$F$5000, '📈 Datos Completos'!$B$7:$B$5000, B377, '📈 Datos Completos'!$D$7:$D$5000, C377))</f>
        <v/>
      </c>
      <c r="F377" s="18" t="str">
        <f>IF(B377="","",SUMIFS('📈 Datos Completos'!$G$7:$G$5000, '📈 Datos Completos'!$B$7:$B$5000, B377, '📈 Datos Completos'!$D$7:$D$5000, C377))</f>
        <v/>
      </c>
      <c r="G377" s="18" t="str">
        <f t="shared" si="45"/>
        <v/>
      </c>
      <c r="H377" s="19" t="str">
        <f>IF(B377="","",SUMIFS('📈 Datos Completos'!$I$7:$I$5000, '📈 Datos Completos'!$B$7:$B$5000, B377, '📈 Datos Completos'!$D$7:$D$5000, C377))</f>
        <v/>
      </c>
      <c r="I377" s="19" t="str">
        <f t="shared" si="46"/>
        <v/>
      </c>
      <c r="J377" s="19" t="str">
        <f t="shared" si="47"/>
        <v/>
      </c>
      <c r="K377" s="19" t="str">
        <f>IF(B377="","",IF(C377="DIA", (SUMIFS('📋 Detalle Diario'!$D$5:$D$489, '📋 Detalle Diario'!$B$5:$B$489, B377, '📋 Detalle Diario'!$C$5:$C$489, C377) * '⚙️ Supuestos'!$C$24) + '⚙️ Supuestos'!$C$23, (SUMIFS('📋 Detalle Diario'!$D$5:$D$489, '📋 Detalle Diario'!$B$5:$B$489, B377, '📋 Detalle Diario'!$C$5:$C$489, C377) * '⚙️ Supuestos'!$C$24) + '⚙️ Supuestos'!$C$33))</f>
        <v/>
      </c>
      <c r="L377" s="19" t="str">
        <f t="shared" si="48"/>
        <v/>
      </c>
      <c r="M377" s="20" t="str">
        <f t="shared" si="49"/>
        <v/>
      </c>
      <c r="N377" s="19" t="str">
        <f t="shared" si="50"/>
        <v/>
      </c>
      <c r="O377" s="25" t="str">
        <f t="shared" si="51"/>
        <v/>
      </c>
      <c r="P377" s="19" t="str">
        <f t="shared" si="52"/>
        <v/>
      </c>
      <c r="Q377" s="19" t="str">
        <f>IF(B377="","",J377-P377+(SUMIFS('📋 Detalle Diario'!$E$5:$E$489, '📋 Detalle Diario'!$B$5:$B$489, B377, '📋 Detalle Diario'!$C$5:$C$489, C377)*135)+(SUMIFS('📋 Detalle Diario'!$I$5:$I$489, '📋 Detalle Diario'!$B$5:$B$489, B377, '📋 Detalle Diario'!$C$5:$C$489, C377)*200))</f>
        <v/>
      </c>
      <c r="R377" s="20" t="str">
        <f t="shared" si="53"/>
        <v/>
      </c>
    </row>
    <row r="378" spans="2:18" ht="18" customHeight="1" x14ac:dyDescent="0.3">
      <c r="B378" s="26"/>
      <c r="C378" s="27"/>
      <c r="D378" s="18" t="str">
        <f>IF(B378="","",SUMIFS('📈 Datos Completos'!$E$7:$E$5000, '📈 Datos Completos'!$B$7:$B$5000, B378, '📈 Datos Completos'!$D$7:$D$5000, C378))</f>
        <v/>
      </c>
      <c r="E378" s="18" t="str">
        <f>IF(B378="","",SUMIFS('📈 Datos Completos'!$F$7:$F$5000, '📈 Datos Completos'!$B$7:$B$5000, B378, '📈 Datos Completos'!$D$7:$D$5000, C378))</f>
        <v/>
      </c>
      <c r="F378" s="18" t="str">
        <f>IF(B378="","",SUMIFS('📈 Datos Completos'!$G$7:$G$5000, '📈 Datos Completos'!$B$7:$B$5000, B378, '📈 Datos Completos'!$D$7:$D$5000, C378))</f>
        <v/>
      </c>
      <c r="G378" s="18" t="str">
        <f t="shared" si="45"/>
        <v/>
      </c>
      <c r="H378" s="19" t="str">
        <f>IF(B378="","",SUMIFS('📈 Datos Completos'!$I$7:$I$5000, '📈 Datos Completos'!$B$7:$B$5000, B378, '📈 Datos Completos'!$D$7:$D$5000, C378))</f>
        <v/>
      </c>
      <c r="I378" s="19" t="str">
        <f t="shared" si="46"/>
        <v/>
      </c>
      <c r="J378" s="19" t="str">
        <f t="shared" si="47"/>
        <v/>
      </c>
      <c r="K378" s="19" t="str">
        <f>IF(B378="","",IF(C378="DIA", (SUMIFS('📋 Detalle Diario'!$D$5:$D$489, '📋 Detalle Diario'!$B$5:$B$489, B378, '📋 Detalle Diario'!$C$5:$C$489, C378) * '⚙️ Supuestos'!$C$24) + '⚙️ Supuestos'!$C$23, (SUMIFS('📋 Detalle Diario'!$D$5:$D$489, '📋 Detalle Diario'!$B$5:$B$489, B378, '📋 Detalle Diario'!$C$5:$C$489, C378) * '⚙️ Supuestos'!$C$24) + '⚙️ Supuestos'!$C$33))</f>
        <v/>
      </c>
      <c r="L378" s="19" t="str">
        <f t="shared" si="48"/>
        <v/>
      </c>
      <c r="M378" s="20" t="str">
        <f t="shared" si="49"/>
        <v/>
      </c>
      <c r="N378" s="19" t="str">
        <f t="shared" si="50"/>
        <v/>
      </c>
      <c r="O378" s="27" t="str">
        <f t="shared" si="51"/>
        <v/>
      </c>
      <c r="P378" s="19" t="str">
        <f t="shared" si="52"/>
        <v/>
      </c>
      <c r="Q378" s="19" t="str">
        <f>IF(B378="","",J378-P378+(SUMIFS('📋 Detalle Diario'!$E$5:$E$489, '📋 Detalle Diario'!$B$5:$B$489, B378, '📋 Detalle Diario'!$C$5:$C$489, C378)*135)+(SUMIFS('📋 Detalle Diario'!$I$5:$I$489, '📋 Detalle Diario'!$B$5:$B$489, B378, '📋 Detalle Diario'!$C$5:$C$489, C378)*200))</f>
        <v/>
      </c>
      <c r="R378" s="20" t="str">
        <f t="shared" si="53"/>
        <v/>
      </c>
    </row>
    <row r="379" spans="2:18" ht="18" customHeight="1" x14ac:dyDescent="0.3">
      <c r="B379" s="24"/>
      <c r="C379" s="25"/>
      <c r="D379" s="18" t="str">
        <f>IF(B379="","",SUMIFS('📈 Datos Completos'!$E$7:$E$5000, '📈 Datos Completos'!$B$7:$B$5000, B379, '📈 Datos Completos'!$D$7:$D$5000, C379))</f>
        <v/>
      </c>
      <c r="E379" s="18" t="str">
        <f>IF(B379="","",SUMIFS('📈 Datos Completos'!$F$7:$F$5000, '📈 Datos Completos'!$B$7:$B$5000, B379, '📈 Datos Completos'!$D$7:$D$5000, C379))</f>
        <v/>
      </c>
      <c r="F379" s="18" t="str">
        <f>IF(B379="","",SUMIFS('📈 Datos Completos'!$G$7:$G$5000, '📈 Datos Completos'!$B$7:$B$5000, B379, '📈 Datos Completos'!$D$7:$D$5000, C379))</f>
        <v/>
      </c>
      <c r="G379" s="18" t="str">
        <f t="shared" si="45"/>
        <v/>
      </c>
      <c r="H379" s="19" t="str">
        <f>IF(B379="","",SUMIFS('📈 Datos Completos'!$I$7:$I$5000, '📈 Datos Completos'!$B$7:$B$5000, B379, '📈 Datos Completos'!$D$7:$D$5000, C379))</f>
        <v/>
      </c>
      <c r="I379" s="19" t="str">
        <f t="shared" si="46"/>
        <v/>
      </c>
      <c r="J379" s="19" t="str">
        <f t="shared" si="47"/>
        <v/>
      </c>
      <c r="K379" s="19" t="str">
        <f>IF(B379="","",IF(C379="DIA", (SUMIFS('📋 Detalle Diario'!$D$5:$D$489, '📋 Detalle Diario'!$B$5:$B$489, B379, '📋 Detalle Diario'!$C$5:$C$489, C379) * '⚙️ Supuestos'!$C$24) + '⚙️ Supuestos'!$C$23, (SUMIFS('📋 Detalle Diario'!$D$5:$D$489, '📋 Detalle Diario'!$B$5:$B$489, B379, '📋 Detalle Diario'!$C$5:$C$489, C379) * '⚙️ Supuestos'!$C$24) + '⚙️ Supuestos'!$C$33))</f>
        <v/>
      </c>
      <c r="L379" s="19" t="str">
        <f t="shared" si="48"/>
        <v/>
      </c>
      <c r="M379" s="20" t="str">
        <f t="shared" si="49"/>
        <v/>
      </c>
      <c r="N379" s="19" t="str">
        <f t="shared" si="50"/>
        <v/>
      </c>
      <c r="O379" s="25" t="str">
        <f t="shared" si="51"/>
        <v/>
      </c>
      <c r="P379" s="19" t="str">
        <f t="shared" si="52"/>
        <v/>
      </c>
      <c r="Q379" s="19" t="str">
        <f>IF(B379="","",J379-P379+(SUMIFS('📋 Detalle Diario'!$E$5:$E$489, '📋 Detalle Diario'!$B$5:$B$489, B379, '📋 Detalle Diario'!$C$5:$C$489, C379)*135)+(SUMIFS('📋 Detalle Diario'!$I$5:$I$489, '📋 Detalle Diario'!$B$5:$B$489, B379, '📋 Detalle Diario'!$C$5:$C$489, C379)*200))</f>
        <v/>
      </c>
      <c r="R379" s="20" t="str">
        <f t="shared" si="53"/>
        <v/>
      </c>
    </row>
    <row r="380" spans="2:18" ht="18" customHeight="1" x14ac:dyDescent="0.3">
      <c r="B380" s="26"/>
      <c r="C380" s="27"/>
      <c r="D380" s="18" t="str">
        <f>IF(B380="","",SUMIFS('📈 Datos Completos'!$E$7:$E$5000, '📈 Datos Completos'!$B$7:$B$5000, B380, '📈 Datos Completos'!$D$7:$D$5000, C380))</f>
        <v/>
      </c>
      <c r="E380" s="18" t="str">
        <f>IF(B380="","",SUMIFS('📈 Datos Completos'!$F$7:$F$5000, '📈 Datos Completos'!$B$7:$B$5000, B380, '📈 Datos Completos'!$D$7:$D$5000, C380))</f>
        <v/>
      </c>
      <c r="F380" s="18" t="str">
        <f>IF(B380="","",SUMIFS('📈 Datos Completos'!$G$7:$G$5000, '📈 Datos Completos'!$B$7:$B$5000, B380, '📈 Datos Completos'!$D$7:$D$5000, C380))</f>
        <v/>
      </c>
      <c r="G380" s="18" t="str">
        <f t="shared" si="45"/>
        <v/>
      </c>
      <c r="H380" s="19" t="str">
        <f>IF(B380="","",SUMIFS('📈 Datos Completos'!$I$7:$I$5000, '📈 Datos Completos'!$B$7:$B$5000, B380, '📈 Datos Completos'!$D$7:$D$5000, C380))</f>
        <v/>
      </c>
      <c r="I380" s="19" t="str">
        <f t="shared" si="46"/>
        <v/>
      </c>
      <c r="J380" s="19" t="str">
        <f t="shared" si="47"/>
        <v/>
      </c>
      <c r="K380" s="19" t="str">
        <f>IF(B380="","",IF(C380="DIA", (SUMIFS('📋 Detalle Diario'!$D$5:$D$489, '📋 Detalle Diario'!$B$5:$B$489, B380, '📋 Detalle Diario'!$C$5:$C$489, C380) * '⚙️ Supuestos'!$C$24) + '⚙️ Supuestos'!$C$23, (SUMIFS('📋 Detalle Diario'!$D$5:$D$489, '📋 Detalle Diario'!$B$5:$B$489, B380, '📋 Detalle Diario'!$C$5:$C$489, C380) * '⚙️ Supuestos'!$C$24) + '⚙️ Supuestos'!$C$33))</f>
        <v/>
      </c>
      <c r="L380" s="19" t="str">
        <f t="shared" si="48"/>
        <v/>
      </c>
      <c r="M380" s="20" t="str">
        <f t="shared" si="49"/>
        <v/>
      </c>
      <c r="N380" s="19" t="str">
        <f t="shared" si="50"/>
        <v/>
      </c>
      <c r="O380" s="27" t="str">
        <f t="shared" si="51"/>
        <v/>
      </c>
      <c r="P380" s="19" t="str">
        <f t="shared" si="52"/>
        <v/>
      </c>
      <c r="Q380" s="19" t="str">
        <f>IF(B380="","",J380-P380+(SUMIFS('📋 Detalle Diario'!$E$5:$E$489, '📋 Detalle Diario'!$B$5:$B$489, B380, '📋 Detalle Diario'!$C$5:$C$489, C380)*135)+(SUMIFS('📋 Detalle Diario'!$I$5:$I$489, '📋 Detalle Diario'!$B$5:$B$489, B380, '📋 Detalle Diario'!$C$5:$C$489, C380)*200))</f>
        <v/>
      </c>
      <c r="R380" s="20" t="str">
        <f t="shared" si="53"/>
        <v/>
      </c>
    </row>
    <row r="381" spans="2:18" ht="18" customHeight="1" x14ac:dyDescent="0.3">
      <c r="B381" s="24"/>
      <c r="C381" s="25"/>
      <c r="D381" s="18" t="str">
        <f>IF(B381="","",SUMIFS('📈 Datos Completos'!$E$7:$E$5000, '📈 Datos Completos'!$B$7:$B$5000, B381, '📈 Datos Completos'!$D$7:$D$5000, C381))</f>
        <v/>
      </c>
      <c r="E381" s="18" t="str">
        <f>IF(B381="","",SUMIFS('📈 Datos Completos'!$F$7:$F$5000, '📈 Datos Completos'!$B$7:$B$5000, B381, '📈 Datos Completos'!$D$7:$D$5000, C381))</f>
        <v/>
      </c>
      <c r="F381" s="18" t="str">
        <f>IF(B381="","",SUMIFS('📈 Datos Completos'!$G$7:$G$5000, '📈 Datos Completos'!$B$7:$B$5000, B381, '📈 Datos Completos'!$D$7:$D$5000, C381))</f>
        <v/>
      </c>
      <c r="G381" s="18" t="str">
        <f t="shared" si="45"/>
        <v/>
      </c>
      <c r="H381" s="19" t="str">
        <f>IF(B381="","",SUMIFS('📈 Datos Completos'!$I$7:$I$5000, '📈 Datos Completos'!$B$7:$B$5000, B381, '📈 Datos Completos'!$D$7:$D$5000, C381))</f>
        <v/>
      </c>
      <c r="I381" s="19" t="str">
        <f t="shared" si="46"/>
        <v/>
      </c>
      <c r="J381" s="19" t="str">
        <f t="shared" si="47"/>
        <v/>
      </c>
      <c r="K381" s="19" t="str">
        <f>IF(B381="","",IF(C381="DIA", (SUMIFS('📋 Detalle Diario'!$D$5:$D$489, '📋 Detalle Diario'!$B$5:$B$489, B381, '📋 Detalle Diario'!$C$5:$C$489, C381) * '⚙️ Supuestos'!$C$24) + '⚙️ Supuestos'!$C$23, (SUMIFS('📋 Detalle Diario'!$D$5:$D$489, '📋 Detalle Diario'!$B$5:$B$489, B381, '📋 Detalle Diario'!$C$5:$C$489, C381) * '⚙️ Supuestos'!$C$24) + '⚙️ Supuestos'!$C$33))</f>
        <v/>
      </c>
      <c r="L381" s="19" t="str">
        <f t="shared" si="48"/>
        <v/>
      </c>
      <c r="M381" s="20" t="str">
        <f t="shared" si="49"/>
        <v/>
      </c>
      <c r="N381" s="19" t="str">
        <f t="shared" si="50"/>
        <v/>
      </c>
      <c r="O381" s="25" t="str">
        <f t="shared" si="51"/>
        <v/>
      </c>
      <c r="P381" s="19" t="str">
        <f t="shared" si="52"/>
        <v/>
      </c>
      <c r="Q381" s="19" t="str">
        <f>IF(B381="","",J381-P381+(SUMIFS('📋 Detalle Diario'!$E$5:$E$489, '📋 Detalle Diario'!$B$5:$B$489, B381, '📋 Detalle Diario'!$C$5:$C$489, C381)*135)+(SUMIFS('📋 Detalle Diario'!$I$5:$I$489, '📋 Detalle Diario'!$B$5:$B$489, B381, '📋 Detalle Diario'!$C$5:$C$489, C381)*200))</f>
        <v/>
      </c>
      <c r="R381" s="20" t="str">
        <f t="shared" si="53"/>
        <v/>
      </c>
    </row>
    <row r="382" spans="2:18" ht="18" customHeight="1" x14ac:dyDescent="0.3">
      <c r="B382" s="26"/>
      <c r="C382" s="27"/>
      <c r="D382" s="18" t="str">
        <f>IF(B382="","",SUMIFS('📈 Datos Completos'!$E$7:$E$5000, '📈 Datos Completos'!$B$7:$B$5000, B382, '📈 Datos Completos'!$D$7:$D$5000, C382))</f>
        <v/>
      </c>
      <c r="E382" s="18" t="str">
        <f>IF(B382="","",SUMIFS('📈 Datos Completos'!$F$7:$F$5000, '📈 Datos Completos'!$B$7:$B$5000, B382, '📈 Datos Completos'!$D$7:$D$5000, C382))</f>
        <v/>
      </c>
      <c r="F382" s="18" t="str">
        <f>IF(B382="","",SUMIFS('📈 Datos Completos'!$G$7:$G$5000, '📈 Datos Completos'!$B$7:$B$5000, B382, '📈 Datos Completos'!$D$7:$D$5000, C382))</f>
        <v/>
      </c>
      <c r="G382" s="18" t="str">
        <f t="shared" si="45"/>
        <v/>
      </c>
      <c r="H382" s="19" t="str">
        <f>IF(B382="","",SUMIFS('📈 Datos Completos'!$I$7:$I$5000, '📈 Datos Completos'!$B$7:$B$5000, B382, '📈 Datos Completos'!$D$7:$D$5000, C382))</f>
        <v/>
      </c>
      <c r="I382" s="19" t="str">
        <f t="shared" si="46"/>
        <v/>
      </c>
      <c r="J382" s="19" t="str">
        <f t="shared" si="47"/>
        <v/>
      </c>
      <c r="K382" s="19" t="str">
        <f>IF(B382="","",IF(C382="DIA", (SUMIFS('📋 Detalle Diario'!$D$5:$D$489, '📋 Detalle Diario'!$B$5:$B$489, B382, '📋 Detalle Diario'!$C$5:$C$489, C382) * '⚙️ Supuestos'!$C$24) + '⚙️ Supuestos'!$C$23, (SUMIFS('📋 Detalle Diario'!$D$5:$D$489, '📋 Detalle Diario'!$B$5:$B$489, B382, '📋 Detalle Diario'!$C$5:$C$489, C382) * '⚙️ Supuestos'!$C$24) + '⚙️ Supuestos'!$C$33))</f>
        <v/>
      </c>
      <c r="L382" s="19" t="str">
        <f t="shared" si="48"/>
        <v/>
      </c>
      <c r="M382" s="20" t="str">
        <f t="shared" si="49"/>
        <v/>
      </c>
      <c r="N382" s="19" t="str">
        <f t="shared" si="50"/>
        <v/>
      </c>
      <c r="O382" s="27" t="str">
        <f t="shared" si="51"/>
        <v/>
      </c>
      <c r="P382" s="19" t="str">
        <f t="shared" si="52"/>
        <v/>
      </c>
      <c r="Q382" s="19" t="str">
        <f>IF(B382="","",J382-P382+(SUMIFS('📋 Detalle Diario'!$E$5:$E$489, '📋 Detalle Diario'!$B$5:$B$489, B382, '📋 Detalle Diario'!$C$5:$C$489, C382)*135)+(SUMIFS('📋 Detalle Diario'!$I$5:$I$489, '📋 Detalle Diario'!$B$5:$B$489, B382, '📋 Detalle Diario'!$C$5:$C$489, C382)*200))</f>
        <v/>
      </c>
      <c r="R382" s="20" t="str">
        <f t="shared" si="53"/>
        <v/>
      </c>
    </row>
    <row r="383" spans="2:18" ht="18" customHeight="1" x14ac:dyDescent="0.3">
      <c r="B383" s="24"/>
      <c r="C383" s="25"/>
      <c r="D383" s="18" t="str">
        <f>IF(B383="","",SUMIFS('📈 Datos Completos'!$E$7:$E$5000, '📈 Datos Completos'!$B$7:$B$5000, B383, '📈 Datos Completos'!$D$7:$D$5000, C383))</f>
        <v/>
      </c>
      <c r="E383" s="18" t="str">
        <f>IF(B383="","",SUMIFS('📈 Datos Completos'!$F$7:$F$5000, '📈 Datos Completos'!$B$7:$B$5000, B383, '📈 Datos Completos'!$D$7:$D$5000, C383))</f>
        <v/>
      </c>
      <c r="F383" s="18" t="str">
        <f>IF(B383="","",SUMIFS('📈 Datos Completos'!$G$7:$G$5000, '📈 Datos Completos'!$B$7:$B$5000, B383, '📈 Datos Completos'!$D$7:$D$5000, C383))</f>
        <v/>
      </c>
      <c r="G383" s="18" t="str">
        <f t="shared" si="45"/>
        <v/>
      </c>
      <c r="H383" s="19" t="str">
        <f>IF(B383="","",SUMIFS('📈 Datos Completos'!$I$7:$I$5000, '📈 Datos Completos'!$B$7:$B$5000, B383, '📈 Datos Completos'!$D$7:$D$5000, C383))</f>
        <v/>
      </c>
      <c r="I383" s="19" t="str">
        <f t="shared" si="46"/>
        <v/>
      </c>
      <c r="J383" s="19" t="str">
        <f t="shared" si="47"/>
        <v/>
      </c>
      <c r="K383" s="19" t="str">
        <f>IF(B383="","",IF(C383="DIA", (SUMIFS('📋 Detalle Diario'!$D$5:$D$489, '📋 Detalle Diario'!$B$5:$B$489, B383, '📋 Detalle Diario'!$C$5:$C$489, C383) * '⚙️ Supuestos'!$C$24) + '⚙️ Supuestos'!$C$23, (SUMIFS('📋 Detalle Diario'!$D$5:$D$489, '📋 Detalle Diario'!$B$5:$B$489, B383, '📋 Detalle Diario'!$C$5:$C$489, C383) * '⚙️ Supuestos'!$C$24) + '⚙️ Supuestos'!$C$33))</f>
        <v/>
      </c>
      <c r="L383" s="19" t="str">
        <f t="shared" si="48"/>
        <v/>
      </c>
      <c r="M383" s="20" t="str">
        <f t="shared" si="49"/>
        <v/>
      </c>
      <c r="N383" s="19" t="str">
        <f t="shared" si="50"/>
        <v/>
      </c>
      <c r="O383" s="25" t="str">
        <f t="shared" si="51"/>
        <v/>
      </c>
      <c r="P383" s="19" t="str">
        <f t="shared" si="52"/>
        <v/>
      </c>
      <c r="Q383" s="19" t="str">
        <f>IF(B383="","",J383-P383+(SUMIFS('📋 Detalle Diario'!$E$5:$E$489, '📋 Detalle Diario'!$B$5:$B$489, B383, '📋 Detalle Diario'!$C$5:$C$489, C383)*135)+(SUMIFS('📋 Detalle Diario'!$I$5:$I$489, '📋 Detalle Diario'!$B$5:$B$489, B383, '📋 Detalle Diario'!$C$5:$C$489, C383)*200))</f>
        <v/>
      </c>
      <c r="R383" s="20" t="str">
        <f t="shared" si="53"/>
        <v/>
      </c>
    </row>
    <row r="384" spans="2:18" ht="18" customHeight="1" x14ac:dyDescent="0.3">
      <c r="B384" s="26"/>
      <c r="C384" s="27"/>
      <c r="D384" s="18" t="str">
        <f>IF(B384="","",SUMIFS('📈 Datos Completos'!$E$7:$E$5000, '📈 Datos Completos'!$B$7:$B$5000, B384, '📈 Datos Completos'!$D$7:$D$5000, C384))</f>
        <v/>
      </c>
      <c r="E384" s="18" t="str">
        <f>IF(B384="","",SUMIFS('📈 Datos Completos'!$F$7:$F$5000, '📈 Datos Completos'!$B$7:$B$5000, B384, '📈 Datos Completos'!$D$7:$D$5000, C384))</f>
        <v/>
      </c>
      <c r="F384" s="18" t="str">
        <f>IF(B384="","",SUMIFS('📈 Datos Completos'!$G$7:$G$5000, '📈 Datos Completos'!$B$7:$B$5000, B384, '📈 Datos Completos'!$D$7:$D$5000, C384))</f>
        <v/>
      </c>
      <c r="G384" s="18" t="str">
        <f t="shared" si="45"/>
        <v/>
      </c>
      <c r="H384" s="19" t="str">
        <f>IF(B384="","",SUMIFS('📈 Datos Completos'!$I$7:$I$5000, '📈 Datos Completos'!$B$7:$B$5000, B384, '📈 Datos Completos'!$D$7:$D$5000, C384))</f>
        <v/>
      </c>
      <c r="I384" s="19" t="str">
        <f t="shared" si="46"/>
        <v/>
      </c>
      <c r="J384" s="19" t="str">
        <f t="shared" si="47"/>
        <v/>
      </c>
      <c r="K384" s="19" t="str">
        <f>IF(B384="","",IF(C384="DIA", (SUMIFS('📋 Detalle Diario'!$D$5:$D$489, '📋 Detalle Diario'!$B$5:$B$489, B384, '📋 Detalle Diario'!$C$5:$C$489, C384) * '⚙️ Supuestos'!$C$24) + '⚙️ Supuestos'!$C$23, (SUMIFS('📋 Detalle Diario'!$D$5:$D$489, '📋 Detalle Diario'!$B$5:$B$489, B384, '📋 Detalle Diario'!$C$5:$C$489, C384) * '⚙️ Supuestos'!$C$24) + '⚙️ Supuestos'!$C$33))</f>
        <v/>
      </c>
      <c r="L384" s="19" t="str">
        <f t="shared" si="48"/>
        <v/>
      </c>
      <c r="M384" s="20" t="str">
        <f t="shared" si="49"/>
        <v/>
      </c>
      <c r="N384" s="19" t="str">
        <f t="shared" si="50"/>
        <v/>
      </c>
      <c r="O384" s="27" t="str">
        <f t="shared" si="51"/>
        <v/>
      </c>
      <c r="P384" s="19" t="str">
        <f t="shared" si="52"/>
        <v/>
      </c>
      <c r="Q384" s="19" t="str">
        <f>IF(B384="","",J384-P384+(SUMIFS('📋 Detalle Diario'!$E$5:$E$489, '📋 Detalle Diario'!$B$5:$B$489, B384, '📋 Detalle Diario'!$C$5:$C$489, C384)*135)+(SUMIFS('📋 Detalle Diario'!$I$5:$I$489, '📋 Detalle Diario'!$B$5:$B$489, B384, '📋 Detalle Diario'!$C$5:$C$489, C384)*200))</f>
        <v/>
      </c>
      <c r="R384" s="20" t="str">
        <f t="shared" si="53"/>
        <v/>
      </c>
    </row>
    <row r="385" spans="2:18" ht="18" customHeight="1" x14ac:dyDescent="0.3">
      <c r="B385" s="24"/>
      <c r="C385" s="25"/>
      <c r="D385" s="18" t="str">
        <f>IF(B385="","",SUMIFS('📈 Datos Completos'!$E$7:$E$5000, '📈 Datos Completos'!$B$7:$B$5000, B385, '📈 Datos Completos'!$D$7:$D$5000, C385))</f>
        <v/>
      </c>
      <c r="E385" s="18" t="str">
        <f>IF(B385="","",SUMIFS('📈 Datos Completos'!$F$7:$F$5000, '📈 Datos Completos'!$B$7:$B$5000, B385, '📈 Datos Completos'!$D$7:$D$5000, C385))</f>
        <v/>
      </c>
      <c r="F385" s="18" t="str">
        <f>IF(B385="","",SUMIFS('📈 Datos Completos'!$G$7:$G$5000, '📈 Datos Completos'!$B$7:$B$5000, B385, '📈 Datos Completos'!$D$7:$D$5000, C385))</f>
        <v/>
      </c>
      <c r="G385" s="18" t="str">
        <f t="shared" si="45"/>
        <v/>
      </c>
      <c r="H385" s="19" t="str">
        <f>IF(B385="","",SUMIFS('📈 Datos Completos'!$I$7:$I$5000, '📈 Datos Completos'!$B$7:$B$5000, B385, '📈 Datos Completos'!$D$7:$D$5000, C385))</f>
        <v/>
      </c>
      <c r="I385" s="19" t="str">
        <f t="shared" si="46"/>
        <v/>
      </c>
      <c r="J385" s="19" t="str">
        <f t="shared" si="47"/>
        <v/>
      </c>
      <c r="K385" s="19" t="str">
        <f>IF(B385="","",IF(C385="DIA", (SUMIFS('📋 Detalle Diario'!$D$5:$D$489, '📋 Detalle Diario'!$B$5:$B$489, B385, '📋 Detalle Diario'!$C$5:$C$489, C385) * '⚙️ Supuestos'!$C$24) + '⚙️ Supuestos'!$C$23, (SUMIFS('📋 Detalle Diario'!$D$5:$D$489, '📋 Detalle Diario'!$B$5:$B$489, B385, '📋 Detalle Diario'!$C$5:$C$489, C385) * '⚙️ Supuestos'!$C$24) + '⚙️ Supuestos'!$C$33))</f>
        <v/>
      </c>
      <c r="L385" s="19" t="str">
        <f t="shared" si="48"/>
        <v/>
      </c>
      <c r="M385" s="20" t="str">
        <f t="shared" si="49"/>
        <v/>
      </c>
      <c r="N385" s="19" t="str">
        <f t="shared" si="50"/>
        <v/>
      </c>
      <c r="O385" s="25" t="str">
        <f t="shared" si="51"/>
        <v/>
      </c>
      <c r="P385" s="19" t="str">
        <f t="shared" si="52"/>
        <v/>
      </c>
      <c r="Q385" s="19" t="str">
        <f>IF(B385="","",J385-P385+(SUMIFS('📋 Detalle Diario'!$E$5:$E$489, '📋 Detalle Diario'!$B$5:$B$489, B385, '📋 Detalle Diario'!$C$5:$C$489, C385)*135)+(SUMIFS('📋 Detalle Diario'!$I$5:$I$489, '📋 Detalle Diario'!$B$5:$B$489, B385, '📋 Detalle Diario'!$C$5:$C$489, C385)*200))</f>
        <v/>
      </c>
      <c r="R385" s="20" t="str">
        <f t="shared" si="53"/>
        <v/>
      </c>
    </row>
    <row r="386" spans="2:18" ht="18" customHeight="1" x14ac:dyDescent="0.3">
      <c r="B386" s="26"/>
      <c r="C386" s="27"/>
      <c r="D386" s="18" t="str">
        <f>IF(B386="","",SUMIFS('📈 Datos Completos'!$E$7:$E$5000, '📈 Datos Completos'!$B$7:$B$5000, B386, '📈 Datos Completos'!$D$7:$D$5000, C386))</f>
        <v/>
      </c>
      <c r="E386" s="18" t="str">
        <f>IF(B386="","",SUMIFS('📈 Datos Completos'!$F$7:$F$5000, '📈 Datos Completos'!$B$7:$B$5000, B386, '📈 Datos Completos'!$D$7:$D$5000, C386))</f>
        <v/>
      </c>
      <c r="F386" s="18" t="str">
        <f>IF(B386="","",SUMIFS('📈 Datos Completos'!$G$7:$G$5000, '📈 Datos Completos'!$B$7:$B$5000, B386, '📈 Datos Completos'!$D$7:$D$5000, C386))</f>
        <v/>
      </c>
      <c r="G386" s="18" t="str">
        <f t="shared" si="45"/>
        <v/>
      </c>
      <c r="H386" s="19" t="str">
        <f>IF(B386="","",SUMIFS('📈 Datos Completos'!$I$7:$I$5000, '📈 Datos Completos'!$B$7:$B$5000, B386, '📈 Datos Completos'!$D$7:$D$5000, C386))</f>
        <v/>
      </c>
      <c r="I386" s="19" t="str">
        <f t="shared" si="46"/>
        <v/>
      </c>
      <c r="J386" s="19" t="str">
        <f t="shared" si="47"/>
        <v/>
      </c>
      <c r="K386" s="19" t="str">
        <f>IF(B386="","",IF(C386="DIA", (SUMIFS('📋 Detalle Diario'!$D$5:$D$489, '📋 Detalle Diario'!$B$5:$B$489, B386, '📋 Detalle Diario'!$C$5:$C$489, C386) * '⚙️ Supuestos'!$C$24) + '⚙️ Supuestos'!$C$23, (SUMIFS('📋 Detalle Diario'!$D$5:$D$489, '📋 Detalle Diario'!$B$5:$B$489, B386, '📋 Detalle Diario'!$C$5:$C$489, C386) * '⚙️ Supuestos'!$C$24) + '⚙️ Supuestos'!$C$33))</f>
        <v/>
      </c>
      <c r="L386" s="19" t="str">
        <f t="shared" si="48"/>
        <v/>
      </c>
      <c r="M386" s="20" t="str">
        <f t="shared" si="49"/>
        <v/>
      </c>
      <c r="N386" s="19" t="str">
        <f t="shared" si="50"/>
        <v/>
      </c>
      <c r="O386" s="27" t="str">
        <f t="shared" si="51"/>
        <v/>
      </c>
      <c r="P386" s="19" t="str">
        <f t="shared" si="52"/>
        <v/>
      </c>
      <c r="Q386" s="19" t="str">
        <f>IF(B386="","",J386-P386+(SUMIFS('📋 Detalle Diario'!$E$5:$E$489, '📋 Detalle Diario'!$B$5:$B$489, B386, '📋 Detalle Diario'!$C$5:$C$489, C386)*135)+(SUMIFS('📋 Detalle Diario'!$I$5:$I$489, '📋 Detalle Diario'!$B$5:$B$489, B386, '📋 Detalle Diario'!$C$5:$C$489, C386)*200))</f>
        <v/>
      </c>
      <c r="R386" s="20" t="str">
        <f t="shared" si="53"/>
        <v/>
      </c>
    </row>
    <row r="387" spans="2:18" ht="18" customHeight="1" x14ac:dyDescent="0.3">
      <c r="B387" s="24"/>
      <c r="C387" s="25"/>
      <c r="D387" s="18" t="str">
        <f>IF(B387="","",SUMIFS('📈 Datos Completos'!$E$7:$E$5000, '📈 Datos Completos'!$B$7:$B$5000, B387, '📈 Datos Completos'!$D$7:$D$5000, C387))</f>
        <v/>
      </c>
      <c r="E387" s="18" t="str">
        <f>IF(B387="","",SUMIFS('📈 Datos Completos'!$F$7:$F$5000, '📈 Datos Completos'!$B$7:$B$5000, B387, '📈 Datos Completos'!$D$7:$D$5000, C387))</f>
        <v/>
      </c>
      <c r="F387" s="18" t="str">
        <f>IF(B387="","",SUMIFS('📈 Datos Completos'!$G$7:$G$5000, '📈 Datos Completos'!$B$7:$B$5000, B387, '📈 Datos Completos'!$D$7:$D$5000, C387))</f>
        <v/>
      </c>
      <c r="G387" s="18" t="str">
        <f t="shared" si="45"/>
        <v/>
      </c>
      <c r="H387" s="19" t="str">
        <f>IF(B387="","",SUMIFS('📈 Datos Completos'!$I$7:$I$5000, '📈 Datos Completos'!$B$7:$B$5000, B387, '📈 Datos Completos'!$D$7:$D$5000, C387))</f>
        <v/>
      </c>
      <c r="I387" s="19" t="str">
        <f t="shared" si="46"/>
        <v/>
      </c>
      <c r="J387" s="19" t="str">
        <f t="shared" si="47"/>
        <v/>
      </c>
      <c r="K387" s="19" t="str">
        <f>IF(B387="","",IF(C387="DIA", (SUMIFS('📋 Detalle Diario'!$D$5:$D$489, '📋 Detalle Diario'!$B$5:$B$489, B387, '📋 Detalle Diario'!$C$5:$C$489, C387) * '⚙️ Supuestos'!$C$24) + '⚙️ Supuestos'!$C$23, (SUMIFS('📋 Detalle Diario'!$D$5:$D$489, '📋 Detalle Diario'!$B$5:$B$489, B387, '📋 Detalle Diario'!$C$5:$C$489, C387) * '⚙️ Supuestos'!$C$24) + '⚙️ Supuestos'!$C$33))</f>
        <v/>
      </c>
      <c r="L387" s="19" t="str">
        <f t="shared" si="48"/>
        <v/>
      </c>
      <c r="M387" s="20" t="str">
        <f t="shared" si="49"/>
        <v/>
      </c>
      <c r="N387" s="19" t="str">
        <f t="shared" si="50"/>
        <v/>
      </c>
      <c r="O387" s="25" t="str">
        <f t="shared" si="51"/>
        <v/>
      </c>
      <c r="P387" s="19" t="str">
        <f t="shared" si="52"/>
        <v/>
      </c>
      <c r="Q387" s="19" t="str">
        <f>IF(B387="","",J387-P387+(SUMIFS('📋 Detalle Diario'!$E$5:$E$489, '📋 Detalle Diario'!$B$5:$B$489, B387, '📋 Detalle Diario'!$C$5:$C$489, C387)*135)+(SUMIFS('📋 Detalle Diario'!$I$5:$I$489, '📋 Detalle Diario'!$B$5:$B$489, B387, '📋 Detalle Diario'!$C$5:$C$489, C387)*200))</f>
        <v/>
      </c>
      <c r="R387" s="20" t="str">
        <f t="shared" si="53"/>
        <v/>
      </c>
    </row>
    <row r="388" spans="2:18" ht="18" customHeight="1" x14ac:dyDescent="0.3">
      <c r="B388" s="26"/>
      <c r="C388" s="27"/>
      <c r="D388" s="18" t="str">
        <f>IF(B388="","",SUMIFS('📈 Datos Completos'!$E$7:$E$5000, '📈 Datos Completos'!$B$7:$B$5000, B388, '📈 Datos Completos'!$D$7:$D$5000, C388))</f>
        <v/>
      </c>
      <c r="E388" s="18" t="str">
        <f>IF(B388="","",SUMIFS('📈 Datos Completos'!$F$7:$F$5000, '📈 Datos Completos'!$B$7:$B$5000, B388, '📈 Datos Completos'!$D$7:$D$5000, C388))</f>
        <v/>
      </c>
      <c r="F388" s="18" t="str">
        <f>IF(B388="","",SUMIFS('📈 Datos Completos'!$G$7:$G$5000, '📈 Datos Completos'!$B$7:$B$5000, B388, '📈 Datos Completos'!$D$7:$D$5000, C388))</f>
        <v/>
      </c>
      <c r="G388" s="18" t="str">
        <f t="shared" si="45"/>
        <v/>
      </c>
      <c r="H388" s="19" t="str">
        <f>IF(B388="","",SUMIFS('📈 Datos Completos'!$I$7:$I$5000, '📈 Datos Completos'!$B$7:$B$5000, B388, '📈 Datos Completos'!$D$7:$D$5000, C388))</f>
        <v/>
      </c>
      <c r="I388" s="19" t="str">
        <f t="shared" si="46"/>
        <v/>
      </c>
      <c r="J388" s="19" t="str">
        <f t="shared" si="47"/>
        <v/>
      </c>
      <c r="K388" s="19" t="str">
        <f>IF(B388="","",IF(C388="DIA", (SUMIFS('📋 Detalle Diario'!$D$5:$D$489, '📋 Detalle Diario'!$B$5:$B$489, B388, '📋 Detalle Diario'!$C$5:$C$489, C388) * '⚙️ Supuestos'!$C$24) + '⚙️ Supuestos'!$C$23, (SUMIFS('📋 Detalle Diario'!$D$5:$D$489, '📋 Detalle Diario'!$B$5:$B$489, B388, '📋 Detalle Diario'!$C$5:$C$489, C388) * '⚙️ Supuestos'!$C$24) + '⚙️ Supuestos'!$C$33))</f>
        <v/>
      </c>
      <c r="L388" s="19" t="str">
        <f t="shared" si="48"/>
        <v/>
      </c>
      <c r="M388" s="20" t="str">
        <f t="shared" si="49"/>
        <v/>
      </c>
      <c r="N388" s="19" t="str">
        <f t="shared" si="50"/>
        <v/>
      </c>
      <c r="O388" s="27" t="str">
        <f t="shared" si="51"/>
        <v/>
      </c>
      <c r="P388" s="19" t="str">
        <f t="shared" si="52"/>
        <v/>
      </c>
      <c r="Q388" s="19" t="str">
        <f>IF(B388="","",J388-P388+(SUMIFS('📋 Detalle Diario'!$E$5:$E$489, '📋 Detalle Diario'!$B$5:$B$489, B388, '📋 Detalle Diario'!$C$5:$C$489, C388)*135)+(SUMIFS('📋 Detalle Diario'!$I$5:$I$489, '📋 Detalle Diario'!$B$5:$B$489, B388, '📋 Detalle Diario'!$C$5:$C$489, C388)*200))</f>
        <v/>
      </c>
      <c r="R388" s="20" t="str">
        <f t="shared" si="53"/>
        <v/>
      </c>
    </row>
    <row r="389" spans="2:18" ht="18" customHeight="1" x14ac:dyDescent="0.3">
      <c r="B389" s="24"/>
      <c r="C389" s="25"/>
      <c r="D389" s="18" t="str">
        <f>IF(B389="","",SUMIFS('📈 Datos Completos'!$E$7:$E$5000, '📈 Datos Completos'!$B$7:$B$5000, B389, '📈 Datos Completos'!$D$7:$D$5000, C389))</f>
        <v/>
      </c>
      <c r="E389" s="18" t="str">
        <f>IF(B389="","",SUMIFS('📈 Datos Completos'!$F$7:$F$5000, '📈 Datos Completos'!$B$7:$B$5000, B389, '📈 Datos Completos'!$D$7:$D$5000, C389))</f>
        <v/>
      </c>
      <c r="F389" s="18" t="str">
        <f>IF(B389="","",SUMIFS('📈 Datos Completos'!$G$7:$G$5000, '📈 Datos Completos'!$B$7:$B$5000, B389, '📈 Datos Completos'!$D$7:$D$5000, C389))</f>
        <v/>
      </c>
      <c r="G389" s="18" t="str">
        <f t="shared" ref="G389:G452" si="54">IF(B389="","",E389+F389)</f>
        <v/>
      </c>
      <c r="H389" s="19" t="str">
        <f>IF(B389="","",SUMIFS('📈 Datos Completos'!$I$7:$I$5000, '📈 Datos Completos'!$B$7:$B$5000, B389, '📈 Datos Completos'!$D$7:$D$5000, C389))</f>
        <v/>
      </c>
      <c r="I389" s="19" t="str">
        <f t="shared" ref="I389:I452" si="55">IF(B389="","",IF(C389="DIA", G389*1.01, G389*1.35))</f>
        <v/>
      </c>
      <c r="J389" s="19" t="str">
        <f t="shared" ref="J389:J452" si="56">IF(B389="","",H389+I389)</f>
        <v/>
      </c>
      <c r="K389" s="19" t="str">
        <f>IF(B389="","",IF(C389="DIA", (SUMIFS('📋 Detalle Diario'!$D$5:$D$489, '📋 Detalle Diario'!$B$5:$B$489, B389, '📋 Detalle Diario'!$C$5:$C$489, C389) * '⚙️ Supuestos'!$C$24) + '⚙️ Supuestos'!$C$23, (SUMIFS('📋 Detalle Diario'!$D$5:$D$489, '📋 Detalle Diario'!$B$5:$B$489, B389, '📋 Detalle Diario'!$C$5:$C$489, C389) * '⚙️ Supuestos'!$C$24) + '⚙️ Supuestos'!$C$33))</f>
        <v/>
      </c>
      <c r="L389" s="19" t="str">
        <f t="shared" ref="L389:L452" si="57">IF(B389="","",J389-K389)</f>
        <v/>
      </c>
      <c r="M389" s="20" t="str">
        <f t="shared" ref="M389:M452" si="58">IF(B389="","",IF(J389=0, 0, L389/J389))</f>
        <v/>
      </c>
      <c r="N389" s="19" t="str">
        <f t="shared" ref="N389:N452" si="59">IF(B389="","",IF(D389=0, 0, K389/D389))</f>
        <v/>
      </c>
      <c r="O389" s="25" t="str">
        <f t="shared" ref="O389:O452" si="60">IF(B389="","",IF(ISNUMBER(B389),YEAR(B389)&amp;"-"&amp;IF(MONTH(B389)&lt;10,"0","")&amp;MONTH(B389),LEFT(B389,7)))</f>
        <v/>
      </c>
      <c r="P389" s="19" t="str">
        <f t="shared" ref="P389:P452" si="61">IF(B389="","",K389+(G389*0.09))</f>
        <v/>
      </c>
      <c r="Q389" s="19" t="str">
        <f>IF(B389="","",J389-P389+(SUMIFS('📋 Detalle Diario'!$E$5:$E$489, '📋 Detalle Diario'!$B$5:$B$489, B389, '📋 Detalle Diario'!$C$5:$C$489, C389)*135)+(SUMIFS('📋 Detalle Diario'!$I$5:$I$489, '📋 Detalle Diario'!$B$5:$B$489, B389, '📋 Detalle Diario'!$C$5:$C$489, C389)*200))</f>
        <v/>
      </c>
      <c r="R389" s="20" t="str">
        <f t="shared" ref="R389:R452" si="62">IF(B389="","",IF(J389=0, 0, Q389/J389))</f>
        <v/>
      </c>
    </row>
    <row r="390" spans="2:18" ht="18" customHeight="1" x14ac:dyDescent="0.3">
      <c r="B390" s="26"/>
      <c r="C390" s="27"/>
      <c r="D390" s="18" t="str">
        <f>IF(B390="","",SUMIFS('📈 Datos Completos'!$E$7:$E$5000, '📈 Datos Completos'!$B$7:$B$5000, B390, '📈 Datos Completos'!$D$7:$D$5000, C390))</f>
        <v/>
      </c>
      <c r="E390" s="18" t="str">
        <f>IF(B390="","",SUMIFS('📈 Datos Completos'!$F$7:$F$5000, '📈 Datos Completos'!$B$7:$B$5000, B390, '📈 Datos Completos'!$D$7:$D$5000, C390))</f>
        <v/>
      </c>
      <c r="F390" s="18" t="str">
        <f>IF(B390="","",SUMIFS('📈 Datos Completos'!$G$7:$G$5000, '📈 Datos Completos'!$B$7:$B$5000, B390, '📈 Datos Completos'!$D$7:$D$5000, C390))</f>
        <v/>
      </c>
      <c r="G390" s="18" t="str">
        <f t="shared" si="54"/>
        <v/>
      </c>
      <c r="H390" s="19" t="str">
        <f>IF(B390="","",SUMIFS('📈 Datos Completos'!$I$7:$I$5000, '📈 Datos Completos'!$B$7:$B$5000, B390, '📈 Datos Completos'!$D$7:$D$5000, C390))</f>
        <v/>
      </c>
      <c r="I390" s="19" t="str">
        <f t="shared" si="55"/>
        <v/>
      </c>
      <c r="J390" s="19" t="str">
        <f t="shared" si="56"/>
        <v/>
      </c>
      <c r="K390" s="19" t="str">
        <f>IF(B390="","",IF(C390="DIA", (SUMIFS('📋 Detalle Diario'!$D$5:$D$489, '📋 Detalle Diario'!$B$5:$B$489, B390, '📋 Detalle Diario'!$C$5:$C$489, C390) * '⚙️ Supuestos'!$C$24) + '⚙️ Supuestos'!$C$23, (SUMIFS('📋 Detalle Diario'!$D$5:$D$489, '📋 Detalle Diario'!$B$5:$B$489, B390, '📋 Detalle Diario'!$C$5:$C$489, C390) * '⚙️ Supuestos'!$C$24) + '⚙️ Supuestos'!$C$33))</f>
        <v/>
      </c>
      <c r="L390" s="19" t="str">
        <f t="shared" si="57"/>
        <v/>
      </c>
      <c r="M390" s="20" t="str">
        <f t="shared" si="58"/>
        <v/>
      </c>
      <c r="N390" s="19" t="str">
        <f t="shared" si="59"/>
        <v/>
      </c>
      <c r="O390" s="27" t="str">
        <f t="shared" si="60"/>
        <v/>
      </c>
      <c r="P390" s="19" t="str">
        <f t="shared" si="61"/>
        <v/>
      </c>
      <c r="Q390" s="19" t="str">
        <f>IF(B390="","",J390-P390+(SUMIFS('📋 Detalle Diario'!$E$5:$E$489, '📋 Detalle Diario'!$B$5:$B$489, B390, '📋 Detalle Diario'!$C$5:$C$489, C390)*135)+(SUMIFS('📋 Detalle Diario'!$I$5:$I$489, '📋 Detalle Diario'!$B$5:$B$489, B390, '📋 Detalle Diario'!$C$5:$C$489, C390)*200))</f>
        <v/>
      </c>
      <c r="R390" s="20" t="str">
        <f t="shared" si="62"/>
        <v/>
      </c>
    </row>
    <row r="391" spans="2:18" ht="18" customHeight="1" x14ac:dyDescent="0.3">
      <c r="B391" s="24"/>
      <c r="C391" s="25"/>
      <c r="D391" s="18" t="str">
        <f>IF(B391="","",SUMIFS('📈 Datos Completos'!$E$7:$E$5000, '📈 Datos Completos'!$B$7:$B$5000, B391, '📈 Datos Completos'!$D$7:$D$5000, C391))</f>
        <v/>
      </c>
      <c r="E391" s="18" t="str">
        <f>IF(B391="","",SUMIFS('📈 Datos Completos'!$F$7:$F$5000, '📈 Datos Completos'!$B$7:$B$5000, B391, '📈 Datos Completos'!$D$7:$D$5000, C391))</f>
        <v/>
      </c>
      <c r="F391" s="18" t="str">
        <f>IF(B391="","",SUMIFS('📈 Datos Completos'!$G$7:$G$5000, '📈 Datos Completos'!$B$7:$B$5000, B391, '📈 Datos Completos'!$D$7:$D$5000, C391))</f>
        <v/>
      </c>
      <c r="G391" s="18" t="str">
        <f t="shared" si="54"/>
        <v/>
      </c>
      <c r="H391" s="19" t="str">
        <f>IF(B391="","",SUMIFS('📈 Datos Completos'!$I$7:$I$5000, '📈 Datos Completos'!$B$7:$B$5000, B391, '📈 Datos Completos'!$D$7:$D$5000, C391))</f>
        <v/>
      </c>
      <c r="I391" s="19" t="str">
        <f t="shared" si="55"/>
        <v/>
      </c>
      <c r="J391" s="19" t="str">
        <f t="shared" si="56"/>
        <v/>
      </c>
      <c r="K391" s="19" t="str">
        <f>IF(B391="","",IF(C391="DIA", (SUMIFS('📋 Detalle Diario'!$D$5:$D$489, '📋 Detalle Diario'!$B$5:$B$489, B391, '📋 Detalle Diario'!$C$5:$C$489, C391) * '⚙️ Supuestos'!$C$24) + '⚙️ Supuestos'!$C$23, (SUMIFS('📋 Detalle Diario'!$D$5:$D$489, '📋 Detalle Diario'!$B$5:$B$489, B391, '📋 Detalle Diario'!$C$5:$C$489, C391) * '⚙️ Supuestos'!$C$24) + '⚙️ Supuestos'!$C$33))</f>
        <v/>
      </c>
      <c r="L391" s="19" t="str">
        <f t="shared" si="57"/>
        <v/>
      </c>
      <c r="M391" s="20" t="str">
        <f t="shared" si="58"/>
        <v/>
      </c>
      <c r="N391" s="19" t="str">
        <f t="shared" si="59"/>
        <v/>
      </c>
      <c r="O391" s="25" t="str">
        <f t="shared" si="60"/>
        <v/>
      </c>
      <c r="P391" s="19" t="str">
        <f t="shared" si="61"/>
        <v/>
      </c>
      <c r="Q391" s="19" t="str">
        <f>IF(B391="","",J391-P391+(SUMIFS('📋 Detalle Diario'!$E$5:$E$489, '📋 Detalle Diario'!$B$5:$B$489, B391, '📋 Detalle Diario'!$C$5:$C$489, C391)*135)+(SUMIFS('📋 Detalle Diario'!$I$5:$I$489, '📋 Detalle Diario'!$B$5:$B$489, B391, '📋 Detalle Diario'!$C$5:$C$489, C391)*200))</f>
        <v/>
      </c>
      <c r="R391" s="20" t="str">
        <f t="shared" si="62"/>
        <v/>
      </c>
    </row>
    <row r="392" spans="2:18" ht="18" customHeight="1" x14ac:dyDescent="0.3">
      <c r="B392" s="26"/>
      <c r="C392" s="27"/>
      <c r="D392" s="18" t="str">
        <f>IF(B392="","",SUMIFS('📈 Datos Completos'!$E$7:$E$5000, '📈 Datos Completos'!$B$7:$B$5000, B392, '📈 Datos Completos'!$D$7:$D$5000, C392))</f>
        <v/>
      </c>
      <c r="E392" s="18" t="str">
        <f>IF(B392="","",SUMIFS('📈 Datos Completos'!$F$7:$F$5000, '📈 Datos Completos'!$B$7:$B$5000, B392, '📈 Datos Completos'!$D$7:$D$5000, C392))</f>
        <v/>
      </c>
      <c r="F392" s="18" t="str">
        <f>IF(B392="","",SUMIFS('📈 Datos Completos'!$G$7:$G$5000, '📈 Datos Completos'!$B$7:$B$5000, B392, '📈 Datos Completos'!$D$7:$D$5000, C392))</f>
        <v/>
      </c>
      <c r="G392" s="18" t="str">
        <f t="shared" si="54"/>
        <v/>
      </c>
      <c r="H392" s="19" t="str">
        <f>IF(B392="","",SUMIFS('📈 Datos Completos'!$I$7:$I$5000, '📈 Datos Completos'!$B$7:$B$5000, B392, '📈 Datos Completos'!$D$7:$D$5000, C392))</f>
        <v/>
      </c>
      <c r="I392" s="19" t="str">
        <f t="shared" si="55"/>
        <v/>
      </c>
      <c r="J392" s="19" t="str">
        <f t="shared" si="56"/>
        <v/>
      </c>
      <c r="K392" s="19" t="str">
        <f>IF(B392="","",IF(C392="DIA", (SUMIFS('📋 Detalle Diario'!$D$5:$D$489, '📋 Detalle Diario'!$B$5:$B$489, B392, '📋 Detalle Diario'!$C$5:$C$489, C392) * '⚙️ Supuestos'!$C$24) + '⚙️ Supuestos'!$C$23, (SUMIFS('📋 Detalle Diario'!$D$5:$D$489, '📋 Detalle Diario'!$B$5:$B$489, B392, '📋 Detalle Diario'!$C$5:$C$489, C392) * '⚙️ Supuestos'!$C$24) + '⚙️ Supuestos'!$C$33))</f>
        <v/>
      </c>
      <c r="L392" s="19" t="str">
        <f t="shared" si="57"/>
        <v/>
      </c>
      <c r="M392" s="20" t="str">
        <f t="shared" si="58"/>
        <v/>
      </c>
      <c r="N392" s="19" t="str">
        <f t="shared" si="59"/>
        <v/>
      </c>
      <c r="O392" s="27" t="str">
        <f t="shared" si="60"/>
        <v/>
      </c>
      <c r="P392" s="19" t="str">
        <f t="shared" si="61"/>
        <v/>
      </c>
      <c r="Q392" s="19" t="str">
        <f>IF(B392="","",J392-P392+(SUMIFS('📋 Detalle Diario'!$E$5:$E$489, '📋 Detalle Diario'!$B$5:$B$489, B392, '📋 Detalle Diario'!$C$5:$C$489, C392)*135)+(SUMIFS('📋 Detalle Diario'!$I$5:$I$489, '📋 Detalle Diario'!$B$5:$B$489, B392, '📋 Detalle Diario'!$C$5:$C$489, C392)*200))</f>
        <v/>
      </c>
      <c r="R392" s="20" t="str">
        <f t="shared" si="62"/>
        <v/>
      </c>
    </row>
    <row r="393" spans="2:18" ht="18" customHeight="1" x14ac:dyDescent="0.3">
      <c r="B393" s="24"/>
      <c r="C393" s="25"/>
      <c r="D393" s="18" t="str">
        <f>IF(B393="","",SUMIFS('📈 Datos Completos'!$E$7:$E$5000, '📈 Datos Completos'!$B$7:$B$5000, B393, '📈 Datos Completos'!$D$7:$D$5000, C393))</f>
        <v/>
      </c>
      <c r="E393" s="18" t="str">
        <f>IF(B393="","",SUMIFS('📈 Datos Completos'!$F$7:$F$5000, '📈 Datos Completos'!$B$7:$B$5000, B393, '📈 Datos Completos'!$D$7:$D$5000, C393))</f>
        <v/>
      </c>
      <c r="F393" s="18" t="str">
        <f>IF(B393="","",SUMIFS('📈 Datos Completos'!$G$7:$G$5000, '📈 Datos Completos'!$B$7:$B$5000, B393, '📈 Datos Completos'!$D$7:$D$5000, C393))</f>
        <v/>
      </c>
      <c r="G393" s="18" t="str">
        <f t="shared" si="54"/>
        <v/>
      </c>
      <c r="H393" s="19" t="str">
        <f>IF(B393="","",SUMIFS('📈 Datos Completos'!$I$7:$I$5000, '📈 Datos Completos'!$B$7:$B$5000, B393, '📈 Datos Completos'!$D$7:$D$5000, C393))</f>
        <v/>
      </c>
      <c r="I393" s="19" t="str">
        <f t="shared" si="55"/>
        <v/>
      </c>
      <c r="J393" s="19" t="str">
        <f t="shared" si="56"/>
        <v/>
      </c>
      <c r="K393" s="19" t="str">
        <f>IF(B393="","",IF(C393="DIA", (SUMIFS('📋 Detalle Diario'!$D$5:$D$489, '📋 Detalle Diario'!$B$5:$B$489, B393, '📋 Detalle Diario'!$C$5:$C$489, C393) * '⚙️ Supuestos'!$C$24) + '⚙️ Supuestos'!$C$23, (SUMIFS('📋 Detalle Diario'!$D$5:$D$489, '📋 Detalle Diario'!$B$5:$B$489, B393, '📋 Detalle Diario'!$C$5:$C$489, C393) * '⚙️ Supuestos'!$C$24) + '⚙️ Supuestos'!$C$33))</f>
        <v/>
      </c>
      <c r="L393" s="19" t="str">
        <f t="shared" si="57"/>
        <v/>
      </c>
      <c r="M393" s="20" t="str">
        <f t="shared" si="58"/>
        <v/>
      </c>
      <c r="N393" s="19" t="str">
        <f t="shared" si="59"/>
        <v/>
      </c>
      <c r="O393" s="25" t="str">
        <f t="shared" si="60"/>
        <v/>
      </c>
      <c r="P393" s="19" t="str">
        <f t="shared" si="61"/>
        <v/>
      </c>
      <c r="Q393" s="19" t="str">
        <f>IF(B393="","",J393-P393+(SUMIFS('📋 Detalle Diario'!$E$5:$E$489, '📋 Detalle Diario'!$B$5:$B$489, B393, '📋 Detalle Diario'!$C$5:$C$489, C393)*135)+(SUMIFS('📋 Detalle Diario'!$I$5:$I$489, '📋 Detalle Diario'!$B$5:$B$489, B393, '📋 Detalle Diario'!$C$5:$C$489, C393)*200))</f>
        <v/>
      </c>
      <c r="R393" s="20" t="str">
        <f t="shared" si="62"/>
        <v/>
      </c>
    </row>
    <row r="394" spans="2:18" ht="18" customHeight="1" x14ac:dyDescent="0.3">
      <c r="B394" s="26"/>
      <c r="C394" s="27"/>
      <c r="D394" s="18" t="str">
        <f>IF(B394="","",SUMIFS('📈 Datos Completos'!$E$7:$E$5000, '📈 Datos Completos'!$B$7:$B$5000, B394, '📈 Datos Completos'!$D$7:$D$5000, C394))</f>
        <v/>
      </c>
      <c r="E394" s="18" t="str">
        <f>IF(B394="","",SUMIFS('📈 Datos Completos'!$F$7:$F$5000, '📈 Datos Completos'!$B$7:$B$5000, B394, '📈 Datos Completos'!$D$7:$D$5000, C394))</f>
        <v/>
      </c>
      <c r="F394" s="18" t="str">
        <f>IF(B394="","",SUMIFS('📈 Datos Completos'!$G$7:$G$5000, '📈 Datos Completos'!$B$7:$B$5000, B394, '📈 Datos Completos'!$D$7:$D$5000, C394))</f>
        <v/>
      </c>
      <c r="G394" s="18" t="str">
        <f t="shared" si="54"/>
        <v/>
      </c>
      <c r="H394" s="19" t="str">
        <f>IF(B394="","",SUMIFS('📈 Datos Completos'!$I$7:$I$5000, '📈 Datos Completos'!$B$7:$B$5000, B394, '📈 Datos Completos'!$D$7:$D$5000, C394))</f>
        <v/>
      </c>
      <c r="I394" s="19" t="str">
        <f t="shared" si="55"/>
        <v/>
      </c>
      <c r="J394" s="19" t="str">
        <f t="shared" si="56"/>
        <v/>
      </c>
      <c r="K394" s="19" t="str">
        <f>IF(B394="","",IF(C394="DIA", (SUMIFS('📋 Detalle Diario'!$D$5:$D$489, '📋 Detalle Diario'!$B$5:$B$489, B394, '📋 Detalle Diario'!$C$5:$C$489, C394) * '⚙️ Supuestos'!$C$24) + '⚙️ Supuestos'!$C$23, (SUMIFS('📋 Detalle Diario'!$D$5:$D$489, '📋 Detalle Diario'!$B$5:$B$489, B394, '📋 Detalle Diario'!$C$5:$C$489, C394) * '⚙️ Supuestos'!$C$24) + '⚙️ Supuestos'!$C$33))</f>
        <v/>
      </c>
      <c r="L394" s="19" t="str">
        <f t="shared" si="57"/>
        <v/>
      </c>
      <c r="M394" s="20" t="str">
        <f t="shared" si="58"/>
        <v/>
      </c>
      <c r="N394" s="19" t="str">
        <f t="shared" si="59"/>
        <v/>
      </c>
      <c r="O394" s="27" t="str">
        <f t="shared" si="60"/>
        <v/>
      </c>
      <c r="P394" s="19" t="str">
        <f t="shared" si="61"/>
        <v/>
      </c>
      <c r="Q394" s="19" t="str">
        <f>IF(B394="","",J394-P394+(SUMIFS('📋 Detalle Diario'!$E$5:$E$489, '📋 Detalle Diario'!$B$5:$B$489, B394, '📋 Detalle Diario'!$C$5:$C$489, C394)*135)+(SUMIFS('📋 Detalle Diario'!$I$5:$I$489, '📋 Detalle Diario'!$B$5:$B$489, B394, '📋 Detalle Diario'!$C$5:$C$489, C394)*200))</f>
        <v/>
      </c>
      <c r="R394" s="20" t="str">
        <f t="shared" si="62"/>
        <v/>
      </c>
    </row>
    <row r="395" spans="2:18" ht="18" customHeight="1" x14ac:dyDescent="0.3">
      <c r="B395" s="24"/>
      <c r="C395" s="25"/>
      <c r="D395" s="18" t="str">
        <f>IF(B395="","",SUMIFS('📈 Datos Completos'!$E$7:$E$5000, '📈 Datos Completos'!$B$7:$B$5000, B395, '📈 Datos Completos'!$D$7:$D$5000, C395))</f>
        <v/>
      </c>
      <c r="E395" s="18" t="str">
        <f>IF(B395="","",SUMIFS('📈 Datos Completos'!$F$7:$F$5000, '📈 Datos Completos'!$B$7:$B$5000, B395, '📈 Datos Completos'!$D$7:$D$5000, C395))</f>
        <v/>
      </c>
      <c r="F395" s="18" t="str">
        <f>IF(B395="","",SUMIFS('📈 Datos Completos'!$G$7:$G$5000, '📈 Datos Completos'!$B$7:$B$5000, B395, '📈 Datos Completos'!$D$7:$D$5000, C395))</f>
        <v/>
      </c>
      <c r="G395" s="18" t="str">
        <f t="shared" si="54"/>
        <v/>
      </c>
      <c r="H395" s="19" t="str">
        <f>IF(B395="","",SUMIFS('📈 Datos Completos'!$I$7:$I$5000, '📈 Datos Completos'!$B$7:$B$5000, B395, '📈 Datos Completos'!$D$7:$D$5000, C395))</f>
        <v/>
      </c>
      <c r="I395" s="19" t="str">
        <f t="shared" si="55"/>
        <v/>
      </c>
      <c r="J395" s="19" t="str">
        <f t="shared" si="56"/>
        <v/>
      </c>
      <c r="K395" s="19" t="str">
        <f>IF(B395="","",IF(C395="DIA", (SUMIFS('📋 Detalle Diario'!$D$5:$D$489, '📋 Detalle Diario'!$B$5:$B$489, B395, '📋 Detalle Diario'!$C$5:$C$489, C395) * '⚙️ Supuestos'!$C$24) + '⚙️ Supuestos'!$C$23, (SUMIFS('📋 Detalle Diario'!$D$5:$D$489, '📋 Detalle Diario'!$B$5:$B$489, B395, '📋 Detalle Diario'!$C$5:$C$489, C395) * '⚙️ Supuestos'!$C$24) + '⚙️ Supuestos'!$C$33))</f>
        <v/>
      </c>
      <c r="L395" s="19" t="str">
        <f t="shared" si="57"/>
        <v/>
      </c>
      <c r="M395" s="20" t="str">
        <f t="shared" si="58"/>
        <v/>
      </c>
      <c r="N395" s="19" t="str">
        <f t="shared" si="59"/>
        <v/>
      </c>
      <c r="O395" s="25" t="str">
        <f t="shared" si="60"/>
        <v/>
      </c>
      <c r="P395" s="19" t="str">
        <f t="shared" si="61"/>
        <v/>
      </c>
      <c r="Q395" s="19" t="str">
        <f>IF(B395="","",J395-P395+(SUMIFS('📋 Detalle Diario'!$E$5:$E$489, '📋 Detalle Diario'!$B$5:$B$489, B395, '📋 Detalle Diario'!$C$5:$C$489, C395)*135)+(SUMIFS('📋 Detalle Diario'!$I$5:$I$489, '📋 Detalle Diario'!$B$5:$B$489, B395, '📋 Detalle Diario'!$C$5:$C$489, C395)*200))</f>
        <v/>
      </c>
      <c r="R395" s="20" t="str">
        <f t="shared" si="62"/>
        <v/>
      </c>
    </row>
    <row r="396" spans="2:18" ht="18" customHeight="1" x14ac:dyDescent="0.3">
      <c r="B396" s="26"/>
      <c r="C396" s="27"/>
      <c r="D396" s="18" t="str">
        <f>IF(B396="","",SUMIFS('📈 Datos Completos'!$E$7:$E$5000, '📈 Datos Completos'!$B$7:$B$5000, B396, '📈 Datos Completos'!$D$7:$D$5000, C396))</f>
        <v/>
      </c>
      <c r="E396" s="18" t="str">
        <f>IF(B396="","",SUMIFS('📈 Datos Completos'!$F$7:$F$5000, '📈 Datos Completos'!$B$7:$B$5000, B396, '📈 Datos Completos'!$D$7:$D$5000, C396))</f>
        <v/>
      </c>
      <c r="F396" s="18" t="str">
        <f>IF(B396="","",SUMIFS('📈 Datos Completos'!$G$7:$G$5000, '📈 Datos Completos'!$B$7:$B$5000, B396, '📈 Datos Completos'!$D$7:$D$5000, C396))</f>
        <v/>
      </c>
      <c r="G396" s="18" t="str">
        <f t="shared" si="54"/>
        <v/>
      </c>
      <c r="H396" s="19" t="str">
        <f>IF(B396="","",SUMIFS('📈 Datos Completos'!$I$7:$I$5000, '📈 Datos Completos'!$B$7:$B$5000, B396, '📈 Datos Completos'!$D$7:$D$5000, C396))</f>
        <v/>
      </c>
      <c r="I396" s="19" t="str">
        <f t="shared" si="55"/>
        <v/>
      </c>
      <c r="J396" s="19" t="str">
        <f t="shared" si="56"/>
        <v/>
      </c>
      <c r="K396" s="19" t="str">
        <f>IF(B396="","",IF(C396="DIA", (SUMIFS('📋 Detalle Diario'!$D$5:$D$489, '📋 Detalle Diario'!$B$5:$B$489, B396, '📋 Detalle Diario'!$C$5:$C$489, C396) * '⚙️ Supuestos'!$C$24) + '⚙️ Supuestos'!$C$23, (SUMIFS('📋 Detalle Diario'!$D$5:$D$489, '📋 Detalle Diario'!$B$5:$B$489, B396, '📋 Detalle Diario'!$C$5:$C$489, C396) * '⚙️ Supuestos'!$C$24) + '⚙️ Supuestos'!$C$33))</f>
        <v/>
      </c>
      <c r="L396" s="19" t="str">
        <f t="shared" si="57"/>
        <v/>
      </c>
      <c r="M396" s="20" t="str">
        <f t="shared" si="58"/>
        <v/>
      </c>
      <c r="N396" s="19" t="str">
        <f t="shared" si="59"/>
        <v/>
      </c>
      <c r="O396" s="27" t="str">
        <f t="shared" si="60"/>
        <v/>
      </c>
      <c r="P396" s="19" t="str">
        <f t="shared" si="61"/>
        <v/>
      </c>
      <c r="Q396" s="19" t="str">
        <f>IF(B396="","",J396-P396+(SUMIFS('📋 Detalle Diario'!$E$5:$E$489, '📋 Detalle Diario'!$B$5:$B$489, B396, '📋 Detalle Diario'!$C$5:$C$489, C396)*135)+(SUMIFS('📋 Detalle Diario'!$I$5:$I$489, '📋 Detalle Diario'!$B$5:$B$489, B396, '📋 Detalle Diario'!$C$5:$C$489, C396)*200))</f>
        <v/>
      </c>
      <c r="R396" s="20" t="str">
        <f t="shared" si="62"/>
        <v/>
      </c>
    </row>
    <row r="397" spans="2:18" ht="18" customHeight="1" x14ac:dyDescent="0.3">
      <c r="B397" s="24"/>
      <c r="C397" s="25"/>
      <c r="D397" s="18" t="str">
        <f>IF(B397="","",SUMIFS('📈 Datos Completos'!$E$7:$E$5000, '📈 Datos Completos'!$B$7:$B$5000, B397, '📈 Datos Completos'!$D$7:$D$5000, C397))</f>
        <v/>
      </c>
      <c r="E397" s="18" t="str">
        <f>IF(B397="","",SUMIFS('📈 Datos Completos'!$F$7:$F$5000, '📈 Datos Completos'!$B$7:$B$5000, B397, '📈 Datos Completos'!$D$7:$D$5000, C397))</f>
        <v/>
      </c>
      <c r="F397" s="18" t="str">
        <f>IF(B397="","",SUMIFS('📈 Datos Completos'!$G$7:$G$5000, '📈 Datos Completos'!$B$7:$B$5000, B397, '📈 Datos Completos'!$D$7:$D$5000, C397))</f>
        <v/>
      </c>
      <c r="G397" s="18" t="str">
        <f t="shared" si="54"/>
        <v/>
      </c>
      <c r="H397" s="19" t="str">
        <f>IF(B397="","",SUMIFS('📈 Datos Completos'!$I$7:$I$5000, '📈 Datos Completos'!$B$7:$B$5000, B397, '📈 Datos Completos'!$D$7:$D$5000, C397))</f>
        <v/>
      </c>
      <c r="I397" s="19" t="str">
        <f t="shared" si="55"/>
        <v/>
      </c>
      <c r="J397" s="19" t="str">
        <f t="shared" si="56"/>
        <v/>
      </c>
      <c r="K397" s="19" t="str">
        <f>IF(B397="","",IF(C397="DIA", (SUMIFS('📋 Detalle Diario'!$D$5:$D$489, '📋 Detalle Diario'!$B$5:$B$489, B397, '📋 Detalle Diario'!$C$5:$C$489, C397) * '⚙️ Supuestos'!$C$24) + '⚙️ Supuestos'!$C$23, (SUMIFS('📋 Detalle Diario'!$D$5:$D$489, '📋 Detalle Diario'!$B$5:$B$489, B397, '📋 Detalle Diario'!$C$5:$C$489, C397) * '⚙️ Supuestos'!$C$24) + '⚙️ Supuestos'!$C$33))</f>
        <v/>
      </c>
      <c r="L397" s="19" t="str">
        <f t="shared" si="57"/>
        <v/>
      </c>
      <c r="M397" s="20" t="str">
        <f t="shared" si="58"/>
        <v/>
      </c>
      <c r="N397" s="19" t="str">
        <f t="shared" si="59"/>
        <v/>
      </c>
      <c r="O397" s="25" t="str">
        <f t="shared" si="60"/>
        <v/>
      </c>
      <c r="P397" s="19" t="str">
        <f t="shared" si="61"/>
        <v/>
      </c>
      <c r="Q397" s="19" t="str">
        <f>IF(B397="","",J397-P397+(SUMIFS('📋 Detalle Diario'!$E$5:$E$489, '📋 Detalle Diario'!$B$5:$B$489, B397, '📋 Detalle Diario'!$C$5:$C$489, C397)*135)+(SUMIFS('📋 Detalle Diario'!$I$5:$I$489, '📋 Detalle Diario'!$B$5:$B$489, B397, '📋 Detalle Diario'!$C$5:$C$489, C397)*200))</f>
        <v/>
      </c>
      <c r="R397" s="20" t="str">
        <f t="shared" si="62"/>
        <v/>
      </c>
    </row>
    <row r="398" spans="2:18" ht="18" customHeight="1" x14ac:dyDescent="0.3">
      <c r="B398" s="26"/>
      <c r="C398" s="27"/>
      <c r="D398" s="18" t="str">
        <f>IF(B398="","",SUMIFS('📈 Datos Completos'!$E$7:$E$5000, '📈 Datos Completos'!$B$7:$B$5000, B398, '📈 Datos Completos'!$D$7:$D$5000, C398))</f>
        <v/>
      </c>
      <c r="E398" s="18" t="str">
        <f>IF(B398="","",SUMIFS('📈 Datos Completos'!$F$7:$F$5000, '📈 Datos Completos'!$B$7:$B$5000, B398, '📈 Datos Completos'!$D$7:$D$5000, C398))</f>
        <v/>
      </c>
      <c r="F398" s="18" t="str">
        <f>IF(B398="","",SUMIFS('📈 Datos Completos'!$G$7:$G$5000, '📈 Datos Completos'!$B$7:$B$5000, B398, '📈 Datos Completos'!$D$7:$D$5000, C398))</f>
        <v/>
      </c>
      <c r="G398" s="18" t="str">
        <f t="shared" si="54"/>
        <v/>
      </c>
      <c r="H398" s="19" t="str">
        <f>IF(B398="","",SUMIFS('📈 Datos Completos'!$I$7:$I$5000, '📈 Datos Completos'!$B$7:$B$5000, B398, '📈 Datos Completos'!$D$7:$D$5000, C398))</f>
        <v/>
      </c>
      <c r="I398" s="19" t="str">
        <f t="shared" si="55"/>
        <v/>
      </c>
      <c r="J398" s="19" t="str">
        <f t="shared" si="56"/>
        <v/>
      </c>
      <c r="K398" s="19" t="str">
        <f>IF(B398="","",IF(C398="DIA", (SUMIFS('📋 Detalle Diario'!$D$5:$D$489, '📋 Detalle Diario'!$B$5:$B$489, B398, '📋 Detalle Diario'!$C$5:$C$489, C398) * '⚙️ Supuestos'!$C$24) + '⚙️ Supuestos'!$C$23, (SUMIFS('📋 Detalle Diario'!$D$5:$D$489, '📋 Detalle Diario'!$B$5:$B$489, B398, '📋 Detalle Diario'!$C$5:$C$489, C398) * '⚙️ Supuestos'!$C$24) + '⚙️ Supuestos'!$C$33))</f>
        <v/>
      </c>
      <c r="L398" s="19" t="str">
        <f t="shared" si="57"/>
        <v/>
      </c>
      <c r="M398" s="20" t="str">
        <f t="shared" si="58"/>
        <v/>
      </c>
      <c r="N398" s="19" t="str">
        <f t="shared" si="59"/>
        <v/>
      </c>
      <c r="O398" s="27" t="str">
        <f t="shared" si="60"/>
        <v/>
      </c>
      <c r="P398" s="19" t="str">
        <f t="shared" si="61"/>
        <v/>
      </c>
      <c r="Q398" s="19" t="str">
        <f>IF(B398="","",J398-P398+(SUMIFS('📋 Detalle Diario'!$E$5:$E$489, '📋 Detalle Diario'!$B$5:$B$489, B398, '📋 Detalle Diario'!$C$5:$C$489, C398)*135)+(SUMIFS('📋 Detalle Diario'!$I$5:$I$489, '📋 Detalle Diario'!$B$5:$B$489, B398, '📋 Detalle Diario'!$C$5:$C$489, C398)*200))</f>
        <v/>
      </c>
      <c r="R398" s="20" t="str">
        <f t="shared" si="62"/>
        <v/>
      </c>
    </row>
    <row r="399" spans="2:18" ht="18" customHeight="1" x14ac:dyDescent="0.3">
      <c r="B399" s="24"/>
      <c r="C399" s="25"/>
      <c r="D399" s="18" t="str">
        <f>IF(B399="","",SUMIFS('📈 Datos Completos'!$E$7:$E$5000, '📈 Datos Completos'!$B$7:$B$5000, B399, '📈 Datos Completos'!$D$7:$D$5000, C399))</f>
        <v/>
      </c>
      <c r="E399" s="18" t="str">
        <f>IF(B399="","",SUMIFS('📈 Datos Completos'!$F$7:$F$5000, '📈 Datos Completos'!$B$7:$B$5000, B399, '📈 Datos Completos'!$D$7:$D$5000, C399))</f>
        <v/>
      </c>
      <c r="F399" s="18" t="str">
        <f>IF(B399="","",SUMIFS('📈 Datos Completos'!$G$7:$G$5000, '📈 Datos Completos'!$B$7:$B$5000, B399, '📈 Datos Completos'!$D$7:$D$5000, C399))</f>
        <v/>
      </c>
      <c r="G399" s="18" t="str">
        <f t="shared" si="54"/>
        <v/>
      </c>
      <c r="H399" s="19" t="str">
        <f>IF(B399="","",SUMIFS('📈 Datos Completos'!$I$7:$I$5000, '📈 Datos Completos'!$B$7:$B$5000, B399, '📈 Datos Completos'!$D$7:$D$5000, C399))</f>
        <v/>
      </c>
      <c r="I399" s="19" t="str">
        <f t="shared" si="55"/>
        <v/>
      </c>
      <c r="J399" s="19" t="str">
        <f t="shared" si="56"/>
        <v/>
      </c>
      <c r="K399" s="19" t="str">
        <f>IF(B399="","",IF(C399="DIA", (SUMIFS('📋 Detalle Diario'!$D$5:$D$489, '📋 Detalle Diario'!$B$5:$B$489, B399, '📋 Detalle Diario'!$C$5:$C$489, C399) * '⚙️ Supuestos'!$C$24) + '⚙️ Supuestos'!$C$23, (SUMIFS('📋 Detalle Diario'!$D$5:$D$489, '📋 Detalle Diario'!$B$5:$B$489, B399, '📋 Detalle Diario'!$C$5:$C$489, C399) * '⚙️ Supuestos'!$C$24) + '⚙️ Supuestos'!$C$33))</f>
        <v/>
      </c>
      <c r="L399" s="19" t="str">
        <f t="shared" si="57"/>
        <v/>
      </c>
      <c r="M399" s="20" t="str">
        <f t="shared" si="58"/>
        <v/>
      </c>
      <c r="N399" s="19" t="str">
        <f t="shared" si="59"/>
        <v/>
      </c>
      <c r="O399" s="25" t="str">
        <f t="shared" si="60"/>
        <v/>
      </c>
      <c r="P399" s="19" t="str">
        <f t="shared" si="61"/>
        <v/>
      </c>
      <c r="Q399" s="19" t="str">
        <f>IF(B399="","",J399-P399+(SUMIFS('📋 Detalle Diario'!$E$5:$E$489, '📋 Detalle Diario'!$B$5:$B$489, B399, '📋 Detalle Diario'!$C$5:$C$489, C399)*135)+(SUMIFS('📋 Detalle Diario'!$I$5:$I$489, '📋 Detalle Diario'!$B$5:$B$489, B399, '📋 Detalle Diario'!$C$5:$C$489, C399)*200))</f>
        <v/>
      </c>
      <c r="R399" s="20" t="str">
        <f t="shared" si="62"/>
        <v/>
      </c>
    </row>
    <row r="400" spans="2:18" ht="18" customHeight="1" x14ac:dyDescent="0.3">
      <c r="B400" s="26"/>
      <c r="C400" s="27"/>
      <c r="D400" s="18" t="str">
        <f>IF(B400="","",SUMIFS('📈 Datos Completos'!$E$7:$E$5000, '📈 Datos Completos'!$B$7:$B$5000, B400, '📈 Datos Completos'!$D$7:$D$5000, C400))</f>
        <v/>
      </c>
      <c r="E400" s="18" t="str">
        <f>IF(B400="","",SUMIFS('📈 Datos Completos'!$F$7:$F$5000, '📈 Datos Completos'!$B$7:$B$5000, B400, '📈 Datos Completos'!$D$7:$D$5000, C400))</f>
        <v/>
      </c>
      <c r="F400" s="18" t="str">
        <f>IF(B400="","",SUMIFS('📈 Datos Completos'!$G$7:$G$5000, '📈 Datos Completos'!$B$7:$B$5000, B400, '📈 Datos Completos'!$D$7:$D$5000, C400))</f>
        <v/>
      </c>
      <c r="G400" s="18" t="str">
        <f t="shared" si="54"/>
        <v/>
      </c>
      <c r="H400" s="19" t="str">
        <f>IF(B400="","",SUMIFS('📈 Datos Completos'!$I$7:$I$5000, '📈 Datos Completos'!$B$7:$B$5000, B400, '📈 Datos Completos'!$D$7:$D$5000, C400))</f>
        <v/>
      </c>
      <c r="I400" s="19" t="str">
        <f t="shared" si="55"/>
        <v/>
      </c>
      <c r="J400" s="19" t="str">
        <f t="shared" si="56"/>
        <v/>
      </c>
      <c r="K400" s="19" t="str">
        <f>IF(B400="","",IF(C400="DIA", (SUMIFS('📋 Detalle Diario'!$D$5:$D$489, '📋 Detalle Diario'!$B$5:$B$489, B400, '📋 Detalle Diario'!$C$5:$C$489, C400) * '⚙️ Supuestos'!$C$24) + '⚙️ Supuestos'!$C$23, (SUMIFS('📋 Detalle Diario'!$D$5:$D$489, '📋 Detalle Diario'!$B$5:$B$489, B400, '📋 Detalle Diario'!$C$5:$C$489, C400) * '⚙️ Supuestos'!$C$24) + '⚙️ Supuestos'!$C$33))</f>
        <v/>
      </c>
      <c r="L400" s="19" t="str">
        <f t="shared" si="57"/>
        <v/>
      </c>
      <c r="M400" s="20" t="str">
        <f t="shared" si="58"/>
        <v/>
      </c>
      <c r="N400" s="19" t="str">
        <f t="shared" si="59"/>
        <v/>
      </c>
      <c r="O400" s="27" t="str">
        <f t="shared" si="60"/>
        <v/>
      </c>
      <c r="P400" s="19" t="str">
        <f t="shared" si="61"/>
        <v/>
      </c>
      <c r="Q400" s="19" t="str">
        <f>IF(B400="","",J400-P400+(SUMIFS('📋 Detalle Diario'!$E$5:$E$489, '📋 Detalle Diario'!$B$5:$B$489, B400, '📋 Detalle Diario'!$C$5:$C$489, C400)*135)+(SUMIFS('📋 Detalle Diario'!$I$5:$I$489, '📋 Detalle Diario'!$B$5:$B$489, B400, '📋 Detalle Diario'!$C$5:$C$489, C400)*200))</f>
        <v/>
      </c>
      <c r="R400" s="20" t="str">
        <f t="shared" si="62"/>
        <v/>
      </c>
    </row>
    <row r="401" spans="2:18" ht="18" customHeight="1" x14ac:dyDescent="0.3">
      <c r="B401" s="24"/>
      <c r="C401" s="25"/>
      <c r="D401" s="18" t="str">
        <f>IF(B401="","",SUMIFS('📈 Datos Completos'!$E$7:$E$5000, '📈 Datos Completos'!$B$7:$B$5000, B401, '📈 Datos Completos'!$D$7:$D$5000, C401))</f>
        <v/>
      </c>
      <c r="E401" s="18" t="str">
        <f>IF(B401="","",SUMIFS('📈 Datos Completos'!$F$7:$F$5000, '📈 Datos Completos'!$B$7:$B$5000, B401, '📈 Datos Completos'!$D$7:$D$5000, C401))</f>
        <v/>
      </c>
      <c r="F401" s="18" t="str">
        <f>IF(B401="","",SUMIFS('📈 Datos Completos'!$G$7:$G$5000, '📈 Datos Completos'!$B$7:$B$5000, B401, '📈 Datos Completos'!$D$7:$D$5000, C401))</f>
        <v/>
      </c>
      <c r="G401" s="18" t="str">
        <f t="shared" si="54"/>
        <v/>
      </c>
      <c r="H401" s="19" t="str">
        <f>IF(B401="","",SUMIFS('📈 Datos Completos'!$I$7:$I$5000, '📈 Datos Completos'!$B$7:$B$5000, B401, '📈 Datos Completos'!$D$7:$D$5000, C401))</f>
        <v/>
      </c>
      <c r="I401" s="19" t="str">
        <f t="shared" si="55"/>
        <v/>
      </c>
      <c r="J401" s="19" t="str">
        <f t="shared" si="56"/>
        <v/>
      </c>
      <c r="K401" s="19" t="str">
        <f>IF(B401="","",IF(C401="DIA", (SUMIFS('📋 Detalle Diario'!$D$5:$D$489, '📋 Detalle Diario'!$B$5:$B$489, B401, '📋 Detalle Diario'!$C$5:$C$489, C401) * '⚙️ Supuestos'!$C$24) + '⚙️ Supuestos'!$C$23, (SUMIFS('📋 Detalle Diario'!$D$5:$D$489, '📋 Detalle Diario'!$B$5:$B$489, B401, '📋 Detalle Diario'!$C$5:$C$489, C401) * '⚙️ Supuestos'!$C$24) + '⚙️ Supuestos'!$C$33))</f>
        <v/>
      </c>
      <c r="L401" s="19" t="str">
        <f t="shared" si="57"/>
        <v/>
      </c>
      <c r="M401" s="20" t="str">
        <f t="shared" si="58"/>
        <v/>
      </c>
      <c r="N401" s="19" t="str">
        <f t="shared" si="59"/>
        <v/>
      </c>
      <c r="O401" s="25" t="str">
        <f t="shared" si="60"/>
        <v/>
      </c>
      <c r="P401" s="19" t="str">
        <f t="shared" si="61"/>
        <v/>
      </c>
      <c r="Q401" s="19" t="str">
        <f>IF(B401="","",J401-P401+(SUMIFS('📋 Detalle Diario'!$E$5:$E$489, '📋 Detalle Diario'!$B$5:$B$489, B401, '📋 Detalle Diario'!$C$5:$C$489, C401)*135)+(SUMIFS('📋 Detalle Diario'!$I$5:$I$489, '📋 Detalle Diario'!$B$5:$B$489, B401, '📋 Detalle Diario'!$C$5:$C$489, C401)*200))</f>
        <v/>
      </c>
      <c r="R401" s="20" t="str">
        <f t="shared" si="62"/>
        <v/>
      </c>
    </row>
    <row r="402" spans="2:18" ht="18" customHeight="1" x14ac:dyDescent="0.3">
      <c r="B402" s="26"/>
      <c r="C402" s="27"/>
      <c r="D402" s="18" t="str">
        <f>IF(B402="","",SUMIFS('📈 Datos Completos'!$E$7:$E$5000, '📈 Datos Completos'!$B$7:$B$5000, B402, '📈 Datos Completos'!$D$7:$D$5000, C402))</f>
        <v/>
      </c>
      <c r="E402" s="18" t="str">
        <f>IF(B402="","",SUMIFS('📈 Datos Completos'!$F$7:$F$5000, '📈 Datos Completos'!$B$7:$B$5000, B402, '📈 Datos Completos'!$D$7:$D$5000, C402))</f>
        <v/>
      </c>
      <c r="F402" s="18" t="str">
        <f>IF(B402="","",SUMIFS('📈 Datos Completos'!$G$7:$G$5000, '📈 Datos Completos'!$B$7:$B$5000, B402, '📈 Datos Completos'!$D$7:$D$5000, C402))</f>
        <v/>
      </c>
      <c r="G402" s="18" t="str">
        <f t="shared" si="54"/>
        <v/>
      </c>
      <c r="H402" s="19" t="str">
        <f>IF(B402="","",SUMIFS('📈 Datos Completos'!$I$7:$I$5000, '📈 Datos Completos'!$B$7:$B$5000, B402, '📈 Datos Completos'!$D$7:$D$5000, C402))</f>
        <v/>
      </c>
      <c r="I402" s="19" t="str">
        <f t="shared" si="55"/>
        <v/>
      </c>
      <c r="J402" s="19" t="str">
        <f t="shared" si="56"/>
        <v/>
      </c>
      <c r="K402" s="19" t="str">
        <f>IF(B402="","",IF(C402="DIA", (SUMIFS('📋 Detalle Diario'!$D$5:$D$489, '📋 Detalle Diario'!$B$5:$B$489, B402, '📋 Detalle Diario'!$C$5:$C$489, C402) * '⚙️ Supuestos'!$C$24) + '⚙️ Supuestos'!$C$23, (SUMIFS('📋 Detalle Diario'!$D$5:$D$489, '📋 Detalle Diario'!$B$5:$B$489, B402, '📋 Detalle Diario'!$C$5:$C$489, C402) * '⚙️ Supuestos'!$C$24) + '⚙️ Supuestos'!$C$33))</f>
        <v/>
      </c>
      <c r="L402" s="19" t="str">
        <f t="shared" si="57"/>
        <v/>
      </c>
      <c r="M402" s="20" t="str">
        <f t="shared" si="58"/>
        <v/>
      </c>
      <c r="N402" s="19" t="str">
        <f t="shared" si="59"/>
        <v/>
      </c>
      <c r="O402" s="27" t="str">
        <f t="shared" si="60"/>
        <v/>
      </c>
      <c r="P402" s="19" t="str">
        <f t="shared" si="61"/>
        <v/>
      </c>
      <c r="Q402" s="19" t="str">
        <f>IF(B402="","",J402-P402+(SUMIFS('📋 Detalle Diario'!$E$5:$E$489, '📋 Detalle Diario'!$B$5:$B$489, B402, '📋 Detalle Diario'!$C$5:$C$489, C402)*135)+(SUMIFS('📋 Detalle Diario'!$I$5:$I$489, '📋 Detalle Diario'!$B$5:$B$489, B402, '📋 Detalle Diario'!$C$5:$C$489, C402)*200))</f>
        <v/>
      </c>
      <c r="R402" s="20" t="str">
        <f t="shared" si="62"/>
        <v/>
      </c>
    </row>
    <row r="403" spans="2:18" ht="18" customHeight="1" x14ac:dyDescent="0.3">
      <c r="B403" s="24"/>
      <c r="C403" s="25"/>
      <c r="D403" s="18" t="str">
        <f>IF(B403="","",SUMIFS('📈 Datos Completos'!$E$7:$E$5000, '📈 Datos Completos'!$B$7:$B$5000, B403, '📈 Datos Completos'!$D$7:$D$5000, C403))</f>
        <v/>
      </c>
      <c r="E403" s="18" t="str">
        <f>IF(B403="","",SUMIFS('📈 Datos Completos'!$F$7:$F$5000, '📈 Datos Completos'!$B$7:$B$5000, B403, '📈 Datos Completos'!$D$7:$D$5000, C403))</f>
        <v/>
      </c>
      <c r="F403" s="18" t="str">
        <f>IF(B403="","",SUMIFS('📈 Datos Completos'!$G$7:$G$5000, '📈 Datos Completos'!$B$7:$B$5000, B403, '📈 Datos Completos'!$D$7:$D$5000, C403))</f>
        <v/>
      </c>
      <c r="G403" s="18" t="str">
        <f t="shared" si="54"/>
        <v/>
      </c>
      <c r="H403" s="19" t="str">
        <f>IF(B403="","",SUMIFS('📈 Datos Completos'!$I$7:$I$5000, '📈 Datos Completos'!$B$7:$B$5000, B403, '📈 Datos Completos'!$D$7:$D$5000, C403))</f>
        <v/>
      </c>
      <c r="I403" s="19" t="str">
        <f t="shared" si="55"/>
        <v/>
      </c>
      <c r="J403" s="19" t="str">
        <f t="shared" si="56"/>
        <v/>
      </c>
      <c r="K403" s="19" t="str">
        <f>IF(B403="","",IF(C403="DIA", (SUMIFS('📋 Detalle Diario'!$D$5:$D$489, '📋 Detalle Diario'!$B$5:$B$489, B403, '📋 Detalle Diario'!$C$5:$C$489, C403) * '⚙️ Supuestos'!$C$24) + '⚙️ Supuestos'!$C$23, (SUMIFS('📋 Detalle Diario'!$D$5:$D$489, '📋 Detalle Diario'!$B$5:$B$489, B403, '📋 Detalle Diario'!$C$5:$C$489, C403) * '⚙️ Supuestos'!$C$24) + '⚙️ Supuestos'!$C$33))</f>
        <v/>
      </c>
      <c r="L403" s="19" t="str">
        <f t="shared" si="57"/>
        <v/>
      </c>
      <c r="M403" s="20" t="str">
        <f t="shared" si="58"/>
        <v/>
      </c>
      <c r="N403" s="19" t="str">
        <f t="shared" si="59"/>
        <v/>
      </c>
      <c r="O403" s="25" t="str">
        <f t="shared" si="60"/>
        <v/>
      </c>
      <c r="P403" s="19" t="str">
        <f t="shared" si="61"/>
        <v/>
      </c>
      <c r="Q403" s="19" t="str">
        <f>IF(B403="","",J403-P403+(SUMIFS('📋 Detalle Diario'!$E$5:$E$489, '📋 Detalle Diario'!$B$5:$B$489, B403, '📋 Detalle Diario'!$C$5:$C$489, C403)*135)+(SUMIFS('📋 Detalle Diario'!$I$5:$I$489, '📋 Detalle Diario'!$B$5:$B$489, B403, '📋 Detalle Diario'!$C$5:$C$489, C403)*200))</f>
        <v/>
      </c>
      <c r="R403" s="20" t="str">
        <f t="shared" si="62"/>
        <v/>
      </c>
    </row>
    <row r="404" spans="2:18" ht="18" customHeight="1" x14ac:dyDescent="0.3">
      <c r="B404" s="26"/>
      <c r="C404" s="27"/>
      <c r="D404" s="18" t="str">
        <f>IF(B404="","",SUMIFS('📈 Datos Completos'!$E$7:$E$5000, '📈 Datos Completos'!$B$7:$B$5000, B404, '📈 Datos Completos'!$D$7:$D$5000, C404))</f>
        <v/>
      </c>
      <c r="E404" s="18" t="str">
        <f>IF(B404="","",SUMIFS('📈 Datos Completos'!$F$7:$F$5000, '📈 Datos Completos'!$B$7:$B$5000, B404, '📈 Datos Completos'!$D$7:$D$5000, C404))</f>
        <v/>
      </c>
      <c r="F404" s="18" t="str">
        <f>IF(B404="","",SUMIFS('📈 Datos Completos'!$G$7:$G$5000, '📈 Datos Completos'!$B$7:$B$5000, B404, '📈 Datos Completos'!$D$7:$D$5000, C404))</f>
        <v/>
      </c>
      <c r="G404" s="18" t="str">
        <f t="shared" si="54"/>
        <v/>
      </c>
      <c r="H404" s="19" t="str">
        <f>IF(B404="","",SUMIFS('📈 Datos Completos'!$I$7:$I$5000, '📈 Datos Completos'!$B$7:$B$5000, B404, '📈 Datos Completos'!$D$7:$D$5000, C404))</f>
        <v/>
      </c>
      <c r="I404" s="19" t="str">
        <f t="shared" si="55"/>
        <v/>
      </c>
      <c r="J404" s="19" t="str">
        <f t="shared" si="56"/>
        <v/>
      </c>
      <c r="K404" s="19" t="str">
        <f>IF(B404="","",IF(C404="DIA", (SUMIFS('📋 Detalle Diario'!$D$5:$D$489, '📋 Detalle Diario'!$B$5:$B$489, B404, '📋 Detalle Diario'!$C$5:$C$489, C404) * '⚙️ Supuestos'!$C$24) + '⚙️ Supuestos'!$C$23, (SUMIFS('📋 Detalle Diario'!$D$5:$D$489, '📋 Detalle Diario'!$B$5:$B$489, B404, '📋 Detalle Diario'!$C$5:$C$489, C404) * '⚙️ Supuestos'!$C$24) + '⚙️ Supuestos'!$C$33))</f>
        <v/>
      </c>
      <c r="L404" s="19" t="str">
        <f t="shared" si="57"/>
        <v/>
      </c>
      <c r="M404" s="20" t="str">
        <f t="shared" si="58"/>
        <v/>
      </c>
      <c r="N404" s="19" t="str">
        <f t="shared" si="59"/>
        <v/>
      </c>
      <c r="O404" s="27" t="str">
        <f t="shared" si="60"/>
        <v/>
      </c>
      <c r="P404" s="19" t="str">
        <f t="shared" si="61"/>
        <v/>
      </c>
      <c r="Q404" s="19" t="str">
        <f>IF(B404="","",J404-P404+(SUMIFS('📋 Detalle Diario'!$E$5:$E$489, '📋 Detalle Diario'!$B$5:$B$489, B404, '📋 Detalle Diario'!$C$5:$C$489, C404)*135)+(SUMIFS('📋 Detalle Diario'!$I$5:$I$489, '📋 Detalle Diario'!$B$5:$B$489, B404, '📋 Detalle Diario'!$C$5:$C$489, C404)*200))</f>
        <v/>
      </c>
      <c r="R404" s="20" t="str">
        <f t="shared" si="62"/>
        <v/>
      </c>
    </row>
    <row r="405" spans="2:18" ht="18" customHeight="1" x14ac:dyDescent="0.3">
      <c r="B405" s="24"/>
      <c r="C405" s="25"/>
      <c r="D405" s="18" t="str">
        <f>IF(B405="","",SUMIFS('📈 Datos Completos'!$E$7:$E$5000, '📈 Datos Completos'!$B$7:$B$5000, B405, '📈 Datos Completos'!$D$7:$D$5000, C405))</f>
        <v/>
      </c>
      <c r="E405" s="18" t="str">
        <f>IF(B405="","",SUMIFS('📈 Datos Completos'!$F$7:$F$5000, '📈 Datos Completos'!$B$7:$B$5000, B405, '📈 Datos Completos'!$D$7:$D$5000, C405))</f>
        <v/>
      </c>
      <c r="F405" s="18" t="str">
        <f>IF(B405="","",SUMIFS('📈 Datos Completos'!$G$7:$G$5000, '📈 Datos Completos'!$B$7:$B$5000, B405, '📈 Datos Completos'!$D$7:$D$5000, C405))</f>
        <v/>
      </c>
      <c r="G405" s="18" t="str">
        <f t="shared" si="54"/>
        <v/>
      </c>
      <c r="H405" s="19" t="str">
        <f>IF(B405="","",SUMIFS('📈 Datos Completos'!$I$7:$I$5000, '📈 Datos Completos'!$B$7:$B$5000, B405, '📈 Datos Completos'!$D$7:$D$5000, C405))</f>
        <v/>
      </c>
      <c r="I405" s="19" t="str">
        <f t="shared" si="55"/>
        <v/>
      </c>
      <c r="J405" s="19" t="str">
        <f t="shared" si="56"/>
        <v/>
      </c>
      <c r="K405" s="19" t="str">
        <f>IF(B405="","",IF(C405="DIA", (SUMIFS('📋 Detalle Diario'!$D$5:$D$489, '📋 Detalle Diario'!$B$5:$B$489, B405, '📋 Detalle Diario'!$C$5:$C$489, C405) * '⚙️ Supuestos'!$C$24) + '⚙️ Supuestos'!$C$23, (SUMIFS('📋 Detalle Diario'!$D$5:$D$489, '📋 Detalle Diario'!$B$5:$B$489, B405, '📋 Detalle Diario'!$C$5:$C$489, C405) * '⚙️ Supuestos'!$C$24) + '⚙️ Supuestos'!$C$33))</f>
        <v/>
      </c>
      <c r="L405" s="19" t="str">
        <f t="shared" si="57"/>
        <v/>
      </c>
      <c r="M405" s="20" t="str">
        <f t="shared" si="58"/>
        <v/>
      </c>
      <c r="N405" s="19" t="str">
        <f t="shared" si="59"/>
        <v/>
      </c>
      <c r="O405" s="25" t="str">
        <f t="shared" si="60"/>
        <v/>
      </c>
      <c r="P405" s="19" t="str">
        <f t="shared" si="61"/>
        <v/>
      </c>
      <c r="Q405" s="19" t="str">
        <f>IF(B405="","",J405-P405+(SUMIFS('📋 Detalle Diario'!$E$5:$E$489, '📋 Detalle Diario'!$B$5:$B$489, B405, '📋 Detalle Diario'!$C$5:$C$489, C405)*135)+(SUMIFS('📋 Detalle Diario'!$I$5:$I$489, '📋 Detalle Diario'!$B$5:$B$489, B405, '📋 Detalle Diario'!$C$5:$C$489, C405)*200))</f>
        <v/>
      </c>
      <c r="R405" s="20" t="str">
        <f t="shared" si="62"/>
        <v/>
      </c>
    </row>
    <row r="406" spans="2:18" ht="18" customHeight="1" x14ac:dyDescent="0.3">
      <c r="B406" s="26"/>
      <c r="C406" s="27"/>
      <c r="D406" s="18" t="str">
        <f>IF(B406="","",SUMIFS('📈 Datos Completos'!$E$7:$E$5000, '📈 Datos Completos'!$B$7:$B$5000, B406, '📈 Datos Completos'!$D$7:$D$5000, C406))</f>
        <v/>
      </c>
      <c r="E406" s="18" t="str">
        <f>IF(B406="","",SUMIFS('📈 Datos Completos'!$F$7:$F$5000, '📈 Datos Completos'!$B$7:$B$5000, B406, '📈 Datos Completos'!$D$7:$D$5000, C406))</f>
        <v/>
      </c>
      <c r="F406" s="18" t="str">
        <f>IF(B406="","",SUMIFS('📈 Datos Completos'!$G$7:$G$5000, '📈 Datos Completos'!$B$7:$B$5000, B406, '📈 Datos Completos'!$D$7:$D$5000, C406))</f>
        <v/>
      </c>
      <c r="G406" s="18" t="str">
        <f t="shared" si="54"/>
        <v/>
      </c>
      <c r="H406" s="19" t="str">
        <f>IF(B406="","",SUMIFS('📈 Datos Completos'!$I$7:$I$5000, '📈 Datos Completos'!$B$7:$B$5000, B406, '📈 Datos Completos'!$D$7:$D$5000, C406))</f>
        <v/>
      </c>
      <c r="I406" s="19" t="str">
        <f t="shared" si="55"/>
        <v/>
      </c>
      <c r="J406" s="19" t="str">
        <f t="shared" si="56"/>
        <v/>
      </c>
      <c r="K406" s="19" t="str">
        <f>IF(B406="","",IF(C406="DIA", (SUMIFS('📋 Detalle Diario'!$D$5:$D$489, '📋 Detalle Diario'!$B$5:$B$489, B406, '📋 Detalle Diario'!$C$5:$C$489, C406) * '⚙️ Supuestos'!$C$24) + '⚙️ Supuestos'!$C$23, (SUMIFS('📋 Detalle Diario'!$D$5:$D$489, '📋 Detalle Diario'!$B$5:$B$489, B406, '📋 Detalle Diario'!$C$5:$C$489, C406) * '⚙️ Supuestos'!$C$24) + '⚙️ Supuestos'!$C$33))</f>
        <v/>
      </c>
      <c r="L406" s="19" t="str">
        <f t="shared" si="57"/>
        <v/>
      </c>
      <c r="M406" s="20" t="str">
        <f t="shared" si="58"/>
        <v/>
      </c>
      <c r="N406" s="19" t="str">
        <f t="shared" si="59"/>
        <v/>
      </c>
      <c r="O406" s="27" t="str">
        <f t="shared" si="60"/>
        <v/>
      </c>
      <c r="P406" s="19" t="str">
        <f t="shared" si="61"/>
        <v/>
      </c>
      <c r="Q406" s="19" t="str">
        <f>IF(B406="","",J406-P406+(SUMIFS('📋 Detalle Diario'!$E$5:$E$489, '📋 Detalle Diario'!$B$5:$B$489, B406, '📋 Detalle Diario'!$C$5:$C$489, C406)*135)+(SUMIFS('📋 Detalle Diario'!$I$5:$I$489, '📋 Detalle Diario'!$B$5:$B$489, B406, '📋 Detalle Diario'!$C$5:$C$489, C406)*200))</f>
        <v/>
      </c>
      <c r="R406" s="20" t="str">
        <f t="shared" si="62"/>
        <v/>
      </c>
    </row>
    <row r="407" spans="2:18" ht="18" customHeight="1" x14ac:dyDescent="0.3">
      <c r="B407" s="24"/>
      <c r="C407" s="25"/>
      <c r="D407" s="18" t="str">
        <f>IF(B407="","",SUMIFS('📈 Datos Completos'!$E$7:$E$5000, '📈 Datos Completos'!$B$7:$B$5000, B407, '📈 Datos Completos'!$D$7:$D$5000, C407))</f>
        <v/>
      </c>
      <c r="E407" s="18" t="str">
        <f>IF(B407="","",SUMIFS('📈 Datos Completos'!$F$7:$F$5000, '📈 Datos Completos'!$B$7:$B$5000, B407, '📈 Datos Completos'!$D$7:$D$5000, C407))</f>
        <v/>
      </c>
      <c r="F407" s="18" t="str">
        <f>IF(B407="","",SUMIFS('📈 Datos Completos'!$G$7:$G$5000, '📈 Datos Completos'!$B$7:$B$5000, B407, '📈 Datos Completos'!$D$7:$D$5000, C407))</f>
        <v/>
      </c>
      <c r="G407" s="18" t="str">
        <f t="shared" si="54"/>
        <v/>
      </c>
      <c r="H407" s="19" t="str">
        <f>IF(B407="","",SUMIFS('📈 Datos Completos'!$I$7:$I$5000, '📈 Datos Completos'!$B$7:$B$5000, B407, '📈 Datos Completos'!$D$7:$D$5000, C407))</f>
        <v/>
      </c>
      <c r="I407" s="19" t="str">
        <f t="shared" si="55"/>
        <v/>
      </c>
      <c r="J407" s="19" t="str">
        <f t="shared" si="56"/>
        <v/>
      </c>
      <c r="K407" s="19" t="str">
        <f>IF(B407="","",IF(C407="DIA", (SUMIFS('📋 Detalle Diario'!$D$5:$D$489, '📋 Detalle Diario'!$B$5:$B$489, B407, '📋 Detalle Diario'!$C$5:$C$489, C407) * '⚙️ Supuestos'!$C$24) + '⚙️ Supuestos'!$C$23, (SUMIFS('📋 Detalle Diario'!$D$5:$D$489, '📋 Detalle Diario'!$B$5:$B$489, B407, '📋 Detalle Diario'!$C$5:$C$489, C407) * '⚙️ Supuestos'!$C$24) + '⚙️ Supuestos'!$C$33))</f>
        <v/>
      </c>
      <c r="L407" s="19" t="str">
        <f t="shared" si="57"/>
        <v/>
      </c>
      <c r="M407" s="20" t="str">
        <f t="shared" si="58"/>
        <v/>
      </c>
      <c r="N407" s="19" t="str">
        <f t="shared" si="59"/>
        <v/>
      </c>
      <c r="O407" s="25" t="str">
        <f t="shared" si="60"/>
        <v/>
      </c>
      <c r="P407" s="19" t="str">
        <f t="shared" si="61"/>
        <v/>
      </c>
      <c r="Q407" s="19" t="str">
        <f>IF(B407="","",J407-P407+(SUMIFS('📋 Detalle Diario'!$E$5:$E$489, '📋 Detalle Diario'!$B$5:$B$489, B407, '📋 Detalle Diario'!$C$5:$C$489, C407)*135)+(SUMIFS('📋 Detalle Diario'!$I$5:$I$489, '📋 Detalle Diario'!$B$5:$B$489, B407, '📋 Detalle Diario'!$C$5:$C$489, C407)*200))</f>
        <v/>
      </c>
      <c r="R407" s="20" t="str">
        <f t="shared" si="62"/>
        <v/>
      </c>
    </row>
    <row r="408" spans="2:18" ht="18" customHeight="1" x14ac:dyDescent="0.3">
      <c r="B408" s="26"/>
      <c r="C408" s="27"/>
      <c r="D408" s="18" t="str">
        <f>IF(B408="","",SUMIFS('📈 Datos Completos'!$E$7:$E$5000, '📈 Datos Completos'!$B$7:$B$5000, B408, '📈 Datos Completos'!$D$7:$D$5000, C408))</f>
        <v/>
      </c>
      <c r="E408" s="18" t="str">
        <f>IF(B408="","",SUMIFS('📈 Datos Completos'!$F$7:$F$5000, '📈 Datos Completos'!$B$7:$B$5000, B408, '📈 Datos Completos'!$D$7:$D$5000, C408))</f>
        <v/>
      </c>
      <c r="F408" s="18" t="str">
        <f>IF(B408="","",SUMIFS('📈 Datos Completos'!$G$7:$G$5000, '📈 Datos Completos'!$B$7:$B$5000, B408, '📈 Datos Completos'!$D$7:$D$5000, C408))</f>
        <v/>
      </c>
      <c r="G408" s="18" t="str">
        <f t="shared" si="54"/>
        <v/>
      </c>
      <c r="H408" s="19" t="str">
        <f>IF(B408="","",SUMIFS('📈 Datos Completos'!$I$7:$I$5000, '📈 Datos Completos'!$B$7:$B$5000, B408, '📈 Datos Completos'!$D$7:$D$5000, C408))</f>
        <v/>
      </c>
      <c r="I408" s="19" t="str">
        <f t="shared" si="55"/>
        <v/>
      </c>
      <c r="J408" s="19" t="str">
        <f t="shared" si="56"/>
        <v/>
      </c>
      <c r="K408" s="19" t="str">
        <f>IF(B408="","",IF(C408="DIA", (SUMIFS('📋 Detalle Diario'!$D$5:$D$489, '📋 Detalle Diario'!$B$5:$B$489, B408, '📋 Detalle Diario'!$C$5:$C$489, C408) * '⚙️ Supuestos'!$C$24) + '⚙️ Supuestos'!$C$23, (SUMIFS('📋 Detalle Diario'!$D$5:$D$489, '📋 Detalle Diario'!$B$5:$B$489, B408, '📋 Detalle Diario'!$C$5:$C$489, C408) * '⚙️ Supuestos'!$C$24) + '⚙️ Supuestos'!$C$33))</f>
        <v/>
      </c>
      <c r="L408" s="19" t="str">
        <f t="shared" si="57"/>
        <v/>
      </c>
      <c r="M408" s="20" t="str">
        <f t="shared" si="58"/>
        <v/>
      </c>
      <c r="N408" s="19" t="str">
        <f t="shared" si="59"/>
        <v/>
      </c>
      <c r="O408" s="27" t="str">
        <f t="shared" si="60"/>
        <v/>
      </c>
      <c r="P408" s="19" t="str">
        <f t="shared" si="61"/>
        <v/>
      </c>
      <c r="Q408" s="19" t="str">
        <f>IF(B408="","",J408-P408+(SUMIFS('📋 Detalle Diario'!$E$5:$E$489, '📋 Detalle Diario'!$B$5:$B$489, B408, '📋 Detalle Diario'!$C$5:$C$489, C408)*135)+(SUMIFS('📋 Detalle Diario'!$I$5:$I$489, '📋 Detalle Diario'!$B$5:$B$489, B408, '📋 Detalle Diario'!$C$5:$C$489, C408)*200))</f>
        <v/>
      </c>
      <c r="R408" s="20" t="str">
        <f t="shared" si="62"/>
        <v/>
      </c>
    </row>
    <row r="409" spans="2:18" ht="18" customHeight="1" x14ac:dyDescent="0.3">
      <c r="B409" s="24"/>
      <c r="C409" s="25"/>
      <c r="D409" s="18" t="str">
        <f>IF(B409="","",SUMIFS('📈 Datos Completos'!$E$7:$E$5000, '📈 Datos Completos'!$B$7:$B$5000, B409, '📈 Datos Completos'!$D$7:$D$5000, C409))</f>
        <v/>
      </c>
      <c r="E409" s="18" t="str">
        <f>IF(B409="","",SUMIFS('📈 Datos Completos'!$F$7:$F$5000, '📈 Datos Completos'!$B$7:$B$5000, B409, '📈 Datos Completos'!$D$7:$D$5000, C409))</f>
        <v/>
      </c>
      <c r="F409" s="18" t="str">
        <f>IF(B409="","",SUMIFS('📈 Datos Completos'!$G$7:$G$5000, '📈 Datos Completos'!$B$7:$B$5000, B409, '📈 Datos Completos'!$D$7:$D$5000, C409))</f>
        <v/>
      </c>
      <c r="G409" s="18" t="str">
        <f t="shared" si="54"/>
        <v/>
      </c>
      <c r="H409" s="19" t="str">
        <f>IF(B409="","",SUMIFS('📈 Datos Completos'!$I$7:$I$5000, '📈 Datos Completos'!$B$7:$B$5000, B409, '📈 Datos Completos'!$D$7:$D$5000, C409))</f>
        <v/>
      </c>
      <c r="I409" s="19" t="str">
        <f t="shared" si="55"/>
        <v/>
      </c>
      <c r="J409" s="19" t="str">
        <f t="shared" si="56"/>
        <v/>
      </c>
      <c r="K409" s="19" t="str">
        <f>IF(B409="","",IF(C409="DIA", (SUMIFS('📋 Detalle Diario'!$D$5:$D$489, '📋 Detalle Diario'!$B$5:$B$489, B409, '📋 Detalle Diario'!$C$5:$C$489, C409) * '⚙️ Supuestos'!$C$24) + '⚙️ Supuestos'!$C$23, (SUMIFS('📋 Detalle Diario'!$D$5:$D$489, '📋 Detalle Diario'!$B$5:$B$489, B409, '📋 Detalle Diario'!$C$5:$C$489, C409) * '⚙️ Supuestos'!$C$24) + '⚙️ Supuestos'!$C$33))</f>
        <v/>
      </c>
      <c r="L409" s="19" t="str">
        <f t="shared" si="57"/>
        <v/>
      </c>
      <c r="M409" s="20" t="str">
        <f t="shared" si="58"/>
        <v/>
      </c>
      <c r="N409" s="19" t="str">
        <f t="shared" si="59"/>
        <v/>
      </c>
      <c r="O409" s="25" t="str">
        <f t="shared" si="60"/>
        <v/>
      </c>
      <c r="P409" s="19" t="str">
        <f t="shared" si="61"/>
        <v/>
      </c>
      <c r="Q409" s="19" t="str">
        <f>IF(B409="","",J409-P409+(SUMIFS('📋 Detalle Diario'!$E$5:$E$489, '📋 Detalle Diario'!$B$5:$B$489, B409, '📋 Detalle Diario'!$C$5:$C$489, C409)*135)+(SUMIFS('📋 Detalle Diario'!$I$5:$I$489, '📋 Detalle Diario'!$B$5:$B$489, B409, '📋 Detalle Diario'!$C$5:$C$489, C409)*200))</f>
        <v/>
      </c>
      <c r="R409" s="20" t="str">
        <f t="shared" si="62"/>
        <v/>
      </c>
    </row>
    <row r="410" spans="2:18" ht="18" customHeight="1" x14ac:dyDescent="0.3">
      <c r="B410" s="26"/>
      <c r="C410" s="27"/>
      <c r="D410" s="18" t="str">
        <f>IF(B410="","",SUMIFS('📈 Datos Completos'!$E$7:$E$5000, '📈 Datos Completos'!$B$7:$B$5000, B410, '📈 Datos Completos'!$D$7:$D$5000, C410))</f>
        <v/>
      </c>
      <c r="E410" s="18" t="str">
        <f>IF(B410="","",SUMIFS('📈 Datos Completos'!$F$7:$F$5000, '📈 Datos Completos'!$B$7:$B$5000, B410, '📈 Datos Completos'!$D$7:$D$5000, C410))</f>
        <v/>
      </c>
      <c r="F410" s="18" t="str">
        <f>IF(B410="","",SUMIFS('📈 Datos Completos'!$G$7:$G$5000, '📈 Datos Completos'!$B$7:$B$5000, B410, '📈 Datos Completos'!$D$7:$D$5000, C410))</f>
        <v/>
      </c>
      <c r="G410" s="18" t="str">
        <f t="shared" si="54"/>
        <v/>
      </c>
      <c r="H410" s="19" t="str">
        <f>IF(B410="","",SUMIFS('📈 Datos Completos'!$I$7:$I$5000, '📈 Datos Completos'!$B$7:$B$5000, B410, '📈 Datos Completos'!$D$7:$D$5000, C410))</f>
        <v/>
      </c>
      <c r="I410" s="19" t="str">
        <f t="shared" si="55"/>
        <v/>
      </c>
      <c r="J410" s="19" t="str">
        <f t="shared" si="56"/>
        <v/>
      </c>
      <c r="K410" s="19" t="str">
        <f>IF(B410="","",IF(C410="DIA", (SUMIFS('📋 Detalle Diario'!$D$5:$D$489, '📋 Detalle Diario'!$B$5:$B$489, B410, '📋 Detalle Diario'!$C$5:$C$489, C410) * '⚙️ Supuestos'!$C$24) + '⚙️ Supuestos'!$C$23, (SUMIFS('📋 Detalle Diario'!$D$5:$D$489, '📋 Detalle Diario'!$B$5:$B$489, B410, '📋 Detalle Diario'!$C$5:$C$489, C410) * '⚙️ Supuestos'!$C$24) + '⚙️ Supuestos'!$C$33))</f>
        <v/>
      </c>
      <c r="L410" s="19" t="str">
        <f t="shared" si="57"/>
        <v/>
      </c>
      <c r="M410" s="20" t="str">
        <f t="shared" si="58"/>
        <v/>
      </c>
      <c r="N410" s="19" t="str">
        <f t="shared" si="59"/>
        <v/>
      </c>
      <c r="O410" s="27" t="str">
        <f t="shared" si="60"/>
        <v/>
      </c>
      <c r="P410" s="19" t="str">
        <f t="shared" si="61"/>
        <v/>
      </c>
      <c r="Q410" s="19" t="str">
        <f>IF(B410="","",J410-P410+(SUMIFS('📋 Detalle Diario'!$E$5:$E$489, '📋 Detalle Diario'!$B$5:$B$489, B410, '📋 Detalle Diario'!$C$5:$C$489, C410)*135)+(SUMIFS('📋 Detalle Diario'!$I$5:$I$489, '📋 Detalle Diario'!$B$5:$B$489, B410, '📋 Detalle Diario'!$C$5:$C$489, C410)*200))</f>
        <v/>
      </c>
      <c r="R410" s="20" t="str">
        <f t="shared" si="62"/>
        <v/>
      </c>
    </row>
    <row r="411" spans="2:18" ht="18" customHeight="1" x14ac:dyDescent="0.3">
      <c r="B411" s="24"/>
      <c r="C411" s="25"/>
      <c r="D411" s="18" t="str">
        <f>IF(B411="","",SUMIFS('📈 Datos Completos'!$E$7:$E$5000, '📈 Datos Completos'!$B$7:$B$5000, B411, '📈 Datos Completos'!$D$7:$D$5000, C411))</f>
        <v/>
      </c>
      <c r="E411" s="18" t="str">
        <f>IF(B411="","",SUMIFS('📈 Datos Completos'!$F$7:$F$5000, '📈 Datos Completos'!$B$7:$B$5000, B411, '📈 Datos Completos'!$D$7:$D$5000, C411))</f>
        <v/>
      </c>
      <c r="F411" s="18" t="str">
        <f>IF(B411="","",SUMIFS('📈 Datos Completos'!$G$7:$G$5000, '📈 Datos Completos'!$B$7:$B$5000, B411, '📈 Datos Completos'!$D$7:$D$5000, C411))</f>
        <v/>
      </c>
      <c r="G411" s="18" t="str">
        <f t="shared" si="54"/>
        <v/>
      </c>
      <c r="H411" s="19" t="str">
        <f>IF(B411="","",SUMIFS('📈 Datos Completos'!$I$7:$I$5000, '📈 Datos Completos'!$B$7:$B$5000, B411, '📈 Datos Completos'!$D$7:$D$5000, C411))</f>
        <v/>
      </c>
      <c r="I411" s="19" t="str">
        <f t="shared" si="55"/>
        <v/>
      </c>
      <c r="J411" s="19" t="str">
        <f t="shared" si="56"/>
        <v/>
      </c>
      <c r="K411" s="19" t="str">
        <f>IF(B411="","",IF(C411="DIA", (SUMIFS('📋 Detalle Diario'!$D$5:$D$489, '📋 Detalle Diario'!$B$5:$B$489, B411, '📋 Detalle Diario'!$C$5:$C$489, C411) * '⚙️ Supuestos'!$C$24) + '⚙️ Supuestos'!$C$23, (SUMIFS('📋 Detalle Diario'!$D$5:$D$489, '📋 Detalle Diario'!$B$5:$B$489, B411, '📋 Detalle Diario'!$C$5:$C$489, C411) * '⚙️ Supuestos'!$C$24) + '⚙️ Supuestos'!$C$33))</f>
        <v/>
      </c>
      <c r="L411" s="19" t="str">
        <f t="shared" si="57"/>
        <v/>
      </c>
      <c r="M411" s="20" t="str">
        <f t="shared" si="58"/>
        <v/>
      </c>
      <c r="N411" s="19" t="str">
        <f t="shared" si="59"/>
        <v/>
      </c>
      <c r="O411" s="25" t="str">
        <f t="shared" si="60"/>
        <v/>
      </c>
      <c r="P411" s="19" t="str">
        <f t="shared" si="61"/>
        <v/>
      </c>
      <c r="Q411" s="19" t="str">
        <f>IF(B411="","",J411-P411+(SUMIFS('📋 Detalle Diario'!$E$5:$E$489, '📋 Detalle Diario'!$B$5:$B$489, B411, '📋 Detalle Diario'!$C$5:$C$489, C411)*135)+(SUMIFS('📋 Detalle Diario'!$I$5:$I$489, '📋 Detalle Diario'!$B$5:$B$489, B411, '📋 Detalle Diario'!$C$5:$C$489, C411)*200))</f>
        <v/>
      </c>
      <c r="R411" s="20" t="str">
        <f t="shared" si="62"/>
        <v/>
      </c>
    </row>
    <row r="412" spans="2:18" ht="18" customHeight="1" x14ac:dyDescent="0.3">
      <c r="B412" s="26"/>
      <c r="C412" s="27"/>
      <c r="D412" s="18" t="str">
        <f>IF(B412="","",SUMIFS('📈 Datos Completos'!$E$7:$E$5000, '📈 Datos Completos'!$B$7:$B$5000, B412, '📈 Datos Completos'!$D$7:$D$5000, C412))</f>
        <v/>
      </c>
      <c r="E412" s="18" t="str">
        <f>IF(B412="","",SUMIFS('📈 Datos Completos'!$F$7:$F$5000, '📈 Datos Completos'!$B$7:$B$5000, B412, '📈 Datos Completos'!$D$7:$D$5000, C412))</f>
        <v/>
      </c>
      <c r="F412" s="18" t="str">
        <f>IF(B412="","",SUMIFS('📈 Datos Completos'!$G$7:$G$5000, '📈 Datos Completos'!$B$7:$B$5000, B412, '📈 Datos Completos'!$D$7:$D$5000, C412))</f>
        <v/>
      </c>
      <c r="G412" s="18" t="str">
        <f t="shared" si="54"/>
        <v/>
      </c>
      <c r="H412" s="19" t="str">
        <f>IF(B412="","",SUMIFS('📈 Datos Completos'!$I$7:$I$5000, '📈 Datos Completos'!$B$7:$B$5000, B412, '📈 Datos Completos'!$D$7:$D$5000, C412))</f>
        <v/>
      </c>
      <c r="I412" s="19" t="str">
        <f t="shared" si="55"/>
        <v/>
      </c>
      <c r="J412" s="19" t="str">
        <f t="shared" si="56"/>
        <v/>
      </c>
      <c r="K412" s="19" t="str">
        <f>IF(B412="","",IF(C412="DIA", (SUMIFS('📋 Detalle Diario'!$D$5:$D$489, '📋 Detalle Diario'!$B$5:$B$489, B412, '📋 Detalle Diario'!$C$5:$C$489, C412) * '⚙️ Supuestos'!$C$24) + '⚙️ Supuestos'!$C$23, (SUMIFS('📋 Detalle Diario'!$D$5:$D$489, '📋 Detalle Diario'!$B$5:$B$489, B412, '📋 Detalle Diario'!$C$5:$C$489, C412) * '⚙️ Supuestos'!$C$24) + '⚙️ Supuestos'!$C$33))</f>
        <v/>
      </c>
      <c r="L412" s="19" t="str">
        <f t="shared" si="57"/>
        <v/>
      </c>
      <c r="M412" s="20" t="str">
        <f t="shared" si="58"/>
        <v/>
      </c>
      <c r="N412" s="19" t="str">
        <f t="shared" si="59"/>
        <v/>
      </c>
      <c r="O412" s="27" t="str">
        <f t="shared" si="60"/>
        <v/>
      </c>
      <c r="P412" s="19" t="str">
        <f t="shared" si="61"/>
        <v/>
      </c>
      <c r="Q412" s="19" t="str">
        <f>IF(B412="","",J412-P412+(SUMIFS('📋 Detalle Diario'!$E$5:$E$489, '📋 Detalle Diario'!$B$5:$B$489, B412, '📋 Detalle Diario'!$C$5:$C$489, C412)*135)+(SUMIFS('📋 Detalle Diario'!$I$5:$I$489, '📋 Detalle Diario'!$B$5:$B$489, B412, '📋 Detalle Diario'!$C$5:$C$489, C412)*200))</f>
        <v/>
      </c>
      <c r="R412" s="20" t="str">
        <f t="shared" si="62"/>
        <v/>
      </c>
    </row>
    <row r="413" spans="2:18" ht="18" customHeight="1" x14ac:dyDescent="0.3">
      <c r="B413" s="24"/>
      <c r="C413" s="25"/>
      <c r="D413" s="18" t="str">
        <f>IF(B413="","",SUMIFS('📈 Datos Completos'!$E$7:$E$5000, '📈 Datos Completos'!$B$7:$B$5000, B413, '📈 Datos Completos'!$D$7:$D$5000, C413))</f>
        <v/>
      </c>
      <c r="E413" s="18" t="str">
        <f>IF(B413="","",SUMIFS('📈 Datos Completos'!$F$7:$F$5000, '📈 Datos Completos'!$B$7:$B$5000, B413, '📈 Datos Completos'!$D$7:$D$5000, C413))</f>
        <v/>
      </c>
      <c r="F413" s="18" t="str">
        <f>IF(B413="","",SUMIFS('📈 Datos Completos'!$G$7:$G$5000, '📈 Datos Completos'!$B$7:$B$5000, B413, '📈 Datos Completos'!$D$7:$D$5000, C413))</f>
        <v/>
      </c>
      <c r="G413" s="18" t="str">
        <f t="shared" si="54"/>
        <v/>
      </c>
      <c r="H413" s="19" t="str">
        <f>IF(B413="","",SUMIFS('📈 Datos Completos'!$I$7:$I$5000, '📈 Datos Completos'!$B$7:$B$5000, B413, '📈 Datos Completos'!$D$7:$D$5000, C413))</f>
        <v/>
      </c>
      <c r="I413" s="19" t="str">
        <f t="shared" si="55"/>
        <v/>
      </c>
      <c r="J413" s="19" t="str">
        <f t="shared" si="56"/>
        <v/>
      </c>
      <c r="K413" s="19" t="str">
        <f>IF(B413="","",IF(C413="DIA", (SUMIFS('📋 Detalle Diario'!$D$5:$D$489, '📋 Detalle Diario'!$B$5:$B$489, B413, '📋 Detalle Diario'!$C$5:$C$489, C413) * '⚙️ Supuestos'!$C$24) + '⚙️ Supuestos'!$C$23, (SUMIFS('📋 Detalle Diario'!$D$5:$D$489, '📋 Detalle Diario'!$B$5:$B$489, B413, '📋 Detalle Diario'!$C$5:$C$489, C413) * '⚙️ Supuestos'!$C$24) + '⚙️ Supuestos'!$C$33))</f>
        <v/>
      </c>
      <c r="L413" s="19" t="str">
        <f t="shared" si="57"/>
        <v/>
      </c>
      <c r="M413" s="20" t="str">
        <f t="shared" si="58"/>
        <v/>
      </c>
      <c r="N413" s="19" t="str">
        <f t="shared" si="59"/>
        <v/>
      </c>
      <c r="O413" s="25" t="str">
        <f t="shared" si="60"/>
        <v/>
      </c>
      <c r="P413" s="19" t="str">
        <f t="shared" si="61"/>
        <v/>
      </c>
      <c r="Q413" s="19" t="str">
        <f>IF(B413="","",J413-P413+(SUMIFS('📋 Detalle Diario'!$E$5:$E$489, '📋 Detalle Diario'!$B$5:$B$489, B413, '📋 Detalle Diario'!$C$5:$C$489, C413)*135)+(SUMIFS('📋 Detalle Diario'!$I$5:$I$489, '📋 Detalle Diario'!$B$5:$B$489, B413, '📋 Detalle Diario'!$C$5:$C$489, C413)*200))</f>
        <v/>
      </c>
      <c r="R413" s="20" t="str">
        <f t="shared" si="62"/>
        <v/>
      </c>
    </row>
    <row r="414" spans="2:18" ht="18" customHeight="1" x14ac:dyDescent="0.3">
      <c r="B414" s="26"/>
      <c r="C414" s="27"/>
      <c r="D414" s="18" t="str">
        <f>IF(B414="","",SUMIFS('📈 Datos Completos'!$E$7:$E$5000, '📈 Datos Completos'!$B$7:$B$5000, B414, '📈 Datos Completos'!$D$7:$D$5000, C414))</f>
        <v/>
      </c>
      <c r="E414" s="18" t="str">
        <f>IF(B414="","",SUMIFS('📈 Datos Completos'!$F$7:$F$5000, '📈 Datos Completos'!$B$7:$B$5000, B414, '📈 Datos Completos'!$D$7:$D$5000, C414))</f>
        <v/>
      </c>
      <c r="F414" s="18" t="str">
        <f>IF(B414="","",SUMIFS('📈 Datos Completos'!$G$7:$G$5000, '📈 Datos Completos'!$B$7:$B$5000, B414, '📈 Datos Completos'!$D$7:$D$5000, C414))</f>
        <v/>
      </c>
      <c r="G414" s="18" t="str">
        <f t="shared" si="54"/>
        <v/>
      </c>
      <c r="H414" s="19" t="str">
        <f>IF(B414="","",SUMIFS('📈 Datos Completos'!$I$7:$I$5000, '📈 Datos Completos'!$B$7:$B$5000, B414, '📈 Datos Completos'!$D$7:$D$5000, C414))</f>
        <v/>
      </c>
      <c r="I414" s="19" t="str">
        <f t="shared" si="55"/>
        <v/>
      </c>
      <c r="J414" s="19" t="str">
        <f t="shared" si="56"/>
        <v/>
      </c>
      <c r="K414" s="19" t="str">
        <f>IF(B414="","",IF(C414="DIA", (SUMIFS('📋 Detalle Diario'!$D$5:$D$489, '📋 Detalle Diario'!$B$5:$B$489, B414, '📋 Detalle Diario'!$C$5:$C$489, C414) * '⚙️ Supuestos'!$C$24) + '⚙️ Supuestos'!$C$23, (SUMIFS('📋 Detalle Diario'!$D$5:$D$489, '📋 Detalle Diario'!$B$5:$B$489, B414, '📋 Detalle Diario'!$C$5:$C$489, C414) * '⚙️ Supuestos'!$C$24) + '⚙️ Supuestos'!$C$33))</f>
        <v/>
      </c>
      <c r="L414" s="19" t="str">
        <f t="shared" si="57"/>
        <v/>
      </c>
      <c r="M414" s="20" t="str">
        <f t="shared" si="58"/>
        <v/>
      </c>
      <c r="N414" s="19" t="str">
        <f t="shared" si="59"/>
        <v/>
      </c>
      <c r="O414" s="27" t="str">
        <f t="shared" si="60"/>
        <v/>
      </c>
      <c r="P414" s="19" t="str">
        <f t="shared" si="61"/>
        <v/>
      </c>
      <c r="Q414" s="19" t="str">
        <f>IF(B414="","",J414-P414+(SUMIFS('📋 Detalle Diario'!$E$5:$E$489, '📋 Detalle Diario'!$B$5:$B$489, B414, '📋 Detalle Diario'!$C$5:$C$489, C414)*135)+(SUMIFS('📋 Detalle Diario'!$I$5:$I$489, '📋 Detalle Diario'!$B$5:$B$489, B414, '📋 Detalle Diario'!$C$5:$C$489, C414)*200))</f>
        <v/>
      </c>
      <c r="R414" s="20" t="str">
        <f t="shared" si="62"/>
        <v/>
      </c>
    </row>
    <row r="415" spans="2:18" ht="18" customHeight="1" x14ac:dyDescent="0.3">
      <c r="B415" s="24"/>
      <c r="C415" s="25"/>
      <c r="D415" s="18" t="str">
        <f>IF(B415="","",SUMIFS('📈 Datos Completos'!$E$7:$E$5000, '📈 Datos Completos'!$B$7:$B$5000, B415, '📈 Datos Completos'!$D$7:$D$5000, C415))</f>
        <v/>
      </c>
      <c r="E415" s="18" t="str">
        <f>IF(B415="","",SUMIFS('📈 Datos Completos'!$F$7:$F$5000, '📈 Datos Completos'!$B$7:$B$5000, B415, '📈 Datos Completos'!$D$7:$D$5000, C415))</f>
        <v/>
      </c>
      <c r="F415" s="18" t="str">
        <f>IF(B415="","",SUMIFS('📈 Datos Completos'!$G$7:$G$5000, '📈 Datos Completos'!$B$7:$B$5000, B415, '📈 Datos Completos'!$D$7:$D$5000, C415))</f>
        <v/>
      </c>
      <c r="G415" s="18" t="str">
        <f t="shared" si="54"/>
        <v/>
      </c>
      <c r="H415" s="19" t="str">
        <f>IF(B415="","",SUMIFS('📈 Datos Completos'!$I$7:$I$5000, '📈 Datos Completos'!$B$7:$B$5000, B415, '📈 Datos Completos'!$D$7:$D$5000, C415))</f>
        <v/>
      </c>
      <c r="I415" s="19" t="str">
        <f t="shared" si="55"/>
        <v/>
      </c>
      <c r="J415" s="19" t="str">
        <f t="shared" si="56"/>
        <v/>
      </c>
      <c r="K415" s="19" t="str">
        <f>IF(B415="","",IF(C415="DIA", (SUMIFS('📋 Detalle Diario'!$D$5:$D$489, '📋 Detalle Diario'!$B$5:$B$489, B415, '📋 Detalle Diario'!$C$5:$C$489, C415) * '⚙️ Supuestos'!$C$24) + '⚙️ Supuestos'!$C$23, (SUMIFS('📋 Detalle Diario'!$D$5:$D$489, '📋 Detalle Diario'!$B$5:$B$489, B415, '📋 Detalle Diario'!$C$5:$C$489, C415) * '⚙️ Supuestos'!$C$24) + '⚙️ Supuestos'!$C$33))</f>
        <v/>
      </c>
      <c r="L415" s="19" t="str">
        <f t="shared" si="57"/>
        <v/>
      </c>
      <c r="M415" s="20" t="str">
        <f t="shared" si="58"/>
        <v/>
      </c>
      <c r="N415" s="19" t="str">
        <f t="shared" si="59"/>
        <v/>
      </c>
      <c r="O415" s="25" t="str">
        <f t="shared" si="60"/>
        <v/>
      </c>
      <c r="P415" s="19" t="str">
        <f t="shared" si="61"/>
        <v/>
      </c>
      <c r="Q415" s="19" t="str">
        <f>IF(B415="","",J415-P415+(SUMIFS('📋 Detalle Diario'!$E$5:$E$489, '📋 Detalle Diario'!$B$5:$B$489, B415, '📋 Detalle Diario'!$C$5:$C$489, C415)*135)+(SUMIFS('📋 Detalle Diario'!$I$5:$I$489, '📋 Detalle Diario'!$B$5:$B$489, B415, '📋 Detalle Diario'!$C$5:$C$489, C415)*200))</f>
        <v/>
      </c>
      <c r="R415" s="20" t="str">
        <f t="shared" si="62"/>
        <v/>
      </c>
    </row>
    <row r="416" spans="2:18" ht="18" customHeight="1" x14ac:dyDescent="0.3">
      <c r="B416" s="26"/>
      <c r="C416" s="27"/>
      <c r="D416" s="18" t="str">
        <f>IF(B416="","",SUMIFS('📈 Datos Completos'!$E$7:$E$5000, '📈 Datos Completos'!$B$7:$B$5000, B416, '📈 Datos Completos'!$D$7:$D$5000, C416))</f>
        <v/>
      </c>
      <c r="E416" s="18" t="str">
        <f>IF(B416="","",SUMIFS('📈 Datos Completos'!$F$7:$F$5000, '📈 Datos Completos'!$B$7:$B$5000, B416, '📈 Datos Completos'!$D$7:$D$5000, C416))</f>
        <v/>
      </c>
      <c r="F416" s="18" t="str">
        <f>IF(B416="","",SUMIFS('📈 Datos Completos'!$G$7:$G$5000, '📈 Datos Completos'!$B$7:$B$5000, B416, '📈 Datos Completos'!$D$7:$D$5000, C416))</f>
        <v/>
      </c>
      <c r="G416" s="18" t="str">
        <f t="shared" si="54"/>
        <v/>
      </c>
      <c r="H416" s="19" t="str">
        <f>IF(B416="","",SUMIFS('📈 Datos Completos'!$I$7:$I$5000, '📈 Datos Completos'!$B$7:$B$5000, B416, '📈 Datos Completos'!$D$7:$D$5000, C416))</f>
        <v/>
      </c>
      <c r="I416" s="19" t="str">
        <f t="shared" si="55"/>
        <v/>
      </c>
      <c r="J416" s="19" t="str">
        <f t="shared" si="56"/>
        <v/>
      </c>
      <c r="K416" s="19" t="str">
        <f>IF(B416="","",IF(C416="DIA", (SUMIFS('📋 Detalle Diario'!$D$5:$D$489, '📋 Detalle Diario'!$B$5:$B$489, B416, '📋 Detalle Diario'!$C$5:$C$489, C416) * '⚙️ Supuestos'!$C$24) + '⚙️ Supuestos'!$C$23, (SUMIFS('📋 Detalle Diario'!$D$5:$D$489, '📋 Detalle Diario'!$B$5:$B$489, B416, '📋 Detalle Diario'!$C$5:$C$489, C416) * '⚙️ Supuestos'!$C$24) + '⚙️ Supuestos'!$C$33))</f>
        <v/>
      </c>
      <c r="L416" s="19" t="str">
        <f t="shared" si="57"/>
        <v/>
      </c>
      <c r="M416" s="20" t="str">
        <f t="shared" si="58"/>
        <v/>
      </c>
      <c r="N416" s="19" t="str">
        <f t="shared" si="59"/>
        <v/>
      </c>
      <c r="O416" s="27" t="str">
        <f t="shared" si="60"/>
        <v/>
      </c>
      <c r="P416" s="19" t="str">
        <f t="shared" si="61"/>
        <v/>
      </c>
      <c r="Q416" s="19" t="str">
        <f>IF(B416="","",J416-P416+(SUMIFS('📋 Detalle Diario'!$E$5:$E$489, '📋 Detalle Diario'!$B$5:$B$489, B416, '📋 Detalle Diario'!$C$5:$C$489, C416)*135)+(SUMIFS('📋 Detalle Diario'!$I$5:$I$489, '📋 Detalle Diario'!$B$5:$B$489, B416, '📋 Detalle Diario'!$C$5:$C$489, C416)*200))</f>
        <v/>
      </c>
      <c r="R416" s="20" t="str">
        <f t="shared" si="62"/>
        <v/>
      </c>
    </row>
    <row r="417" spans="2:18" ht="18" customHeight="1" x14ac:dyDescent="0.3">
      <c r="B417" s="24"/>
      <c r="C417" s="25"/>
      <c r="D417" s="18" t="str">
        <f>IF(B417="","",SUMIFS('📈 Datos Completos'!$E$7:$E$5000, '📈 Datos Completos'!$B$7:$B$5000, B417, '📈 Datos Completos'!$D$7:$D$5000, C417))</f>
        <v/>
      </c>
      <c r="E417" s="18" t="str">
        <f>IF(B417="","",SUMIFS('📈 Datos Completos'!$F$7:$F$5000, '📈 Datos Completos'!$B$7:$B$5000, B417, '📈 Datos Completos'!$D$7:$D$5000, C417))</f>
        <v/>
      </c>
      <c r="F417" s="18" t="str">
        <f>IF(B417="","",SUMIFS('📈 Datos Completos'!$G$7:$G$5000, '📈 Datos Completos'!$B$7:$B$5000, B417, '📈 Datos Completos'!$D$7:$D$5000, C417))</f>
        <v/>
      </c>
      <c r="G417" s="18" t="str">
        <f t="shared" si="54"/>
        <v/>
      </c>
      <c r="H417" s="19" t="str">
        <f>IF(B417="","",SUMIFS('📈 Datos Completos'!$I$7:$I$5000, '📈 Datos Completos'!$B$7:$B$5000, B417, '📈 Datos Completos'!$D$7:$D$5000, C417))</f>
        <v/>
      </c>
      <c r="I417" s="19" t="str">
        <f t="shared" si="55"/>
        <v/>
      </c>
      <c r="J417" s="19" t="str">
        <f t="shared" si="56"/>
        <v/>
      </c>
      <c r="K417" s="19" t="str">
        <f>IF(B417="","",IF(C417="DIA", (SUMIFS('📋 Detalle Diario'!$D$5:$D$489, '📋 Detalle Diario'!$B$5:$B$489, B417, '📋 Detalle Diario'!$C$5:$C$489, C417) * '⚙️ Supuestos'!$C$24) + '⚙️ Supuestos'!$C$23, (SUMIFS('📋 Detalle Diario'!$D$5:$D$489, '📋 Detalle Diario'!$B$5:$B$489, B417, '📋 Detalle Diario'!$C$5:$C$489, C417) * '⚙️ Supuestos'!$C$24) + '⚙️ Supuestos'!$C$33))</f>
        <v/>
      </c>
      <c r="L417" s="19" t="str">
        <f t="shared" si="57"/>
        <v/>
      </c>
      <c r="M417" s="20" t="str">
        <f t="shared" si="58"/>
        <v/>
      </c>
      <c r="N417" s="19" t="str">
        <f t="shared" si="59"/>
        <v/>
      </c>
      <c r="O417" s="25" t="str">
        <f t="shared" si="60"/>
        <v/>
      </c>
      <c r="P417" s="19" t="str">
        <f t="shared" si="61"/>
        <v/>
      </c>
      <c r="Q417" s="19" t="str">
        <f>IF(B417="","",J417-P417+(SUMIFS('📋 Detalle Diario'!$E$5:$E$489, '📋 Detalle Diario'!$B$5:$B$489, B417, '📋 Detalle Diario'!$C$5:$C$489, C417)*135)+(SUMIFS('📋 Detalle Diario'!$I$5:$I$489, '📋 Detalle Diario'!$B$5:$B$489, B417, '📋 Detalle Diario'!$C$5:$C$489, C417)*200))</f>
        <v/>
      </c>
      <c r="R417" s="20" t="str">
        <f t="shared" si="62"/>
        <v/>
      </c>
    </row>
    <row r="418" spans="2:18" ht="18" customHeight="1" x14ac:dyDescent="0.3">
      <c r="B418" s="26"/>
      <c r="C418" s="27"/>
      <c r="D418" s="18" t="str">
        <f>IF(B418="","",SUMIFS('📈 Datos Completos'!$E$7:$E$5000, '📈 Datos Completos'!$B$7:$B$5000, B418, '📈 Datos Completos'!$D$7:$D$5000, C418))</f>
        <v/>
      </c>
      <c r="E418" s="18" t="str">
        <f>IF(B418="","",SUMIFS('📈 Datos Completos'!$F$7:$F$5000, '📈 Datos Completos'!$B$7:$B$5000, B418, '📈 Datos Completos'!$D$7:$D$5000, C418))</f>
        <v/>
      </c>
      <c r="F418" s="18" t="str">
        <f>IF(B418="","",SUMIFS('📈 Datos Completos'!$G$7:$G$5000, '📈 Datos Completos'!$B$7:$B$5000, B418, '📈 Datos Completos'!$D$7:$D$5000, C418))</f>
        <v/>
      </c>
      <c r="G418" s="18" t="str">
        <f t="shared" si="54"/>
        <v/>
      </c>
      <c r="H418" s="19" t="str">
        <f>IF(B418="","",SUMIFS('📈 Datos Completos'!$I$7:$I$5000, '📈 Datos Completos'!$B$7:$B$5000, B418, '📈 Datos Completos'!$D$7:$D$5000, C418))</f>
        <v/>
      </c>
      <c r="I418" s="19" t="str">
        <f t="shared" si="55"/>
        <v/>
      </c>
      <c r="J418" s="19" t="str">
        <f t="shared" si="56"/>
        <v/>
      </c>
      <c r="K418" s="19" t="str">
        <f>IF(B418="","",IF(C418="DIA", (SUMIFS('📋 Detalle Diario'!$D$5:$D$489, '📋 Detalle Diario'!$B$5:$B$489, B418, '📋 Detalle Diario'!$C$5:$C$489, C418) * '⚙️ Supuestos'!$C$24) + '⚙️ Supuestos'!$C$23, (SUMIFS('📋 Detalle Diario'!$D$5:$D$489, '📋 Detalle Diario'!$B$5:$B$489, B418, '📋 Detalle Diario'!$C$5:$C$489, C418) * '⚙️ Supuestos'!$C$24) + '⚙️ Supuestos'!$C$33))</f>
        <v/>
      </c>
      <c r="L418" s="19" t="str">
        <f t="shared" si="57"/>
        <v/>
      </c>
      <c r="M418" s="20" t="str">
        <f t="shared" si="58"/>
        <v/>
      </c>
      <c r="N418" s="19" t="str">
        <f t="shared" si="59"/>
        <v/>
      </c>
      <c r="O418" s="27" t="str">
        <f t="shared" si="60"/>
        <v/>
      </c>
      <c r="P418" s="19" t="str">
        <f t="shared" si="61"/>
        <v/>
      </c>
      <c r="Q418" s="19" t="str">
        <f>IF(B418="","",J418-P418+(SUMIFS('📋 Detalle Diario'!$E$5:$E$489, '📋 Detalle Diario'!$B$5:$B$489, B418, '📋 Detalle Diario'!$C$5:$C$489, C418)*135)+(SUMIFS('📋 Detalle Diario'!$I$5:$I$489, '📋 Detalle Diario'!$B$5:$B$489, B418, '📋 Detalle Diario'!$C$5:$C$489, C418)*200))</f>
        <v/>
      </c>
      <c r="R418" s="20" t="str">
        <f t="shared" si="62"/>
        <v/>
      </c>
    </row>
    <row r="419" spans="2:18" ht="18" customHeight="1" x14ac:dyDescent="0.3">
      <c r="B419" s="24"/>
      <c r="C419" s="25"/>
      <c r="D419" s="18" t="str">
        <f>IF(B419="","",SUMIFS('📈 Datos Completos'!$E$7:$E$5000, '📈 Datos Completos'!$B$7:$B$5000, B419, '📈 Datos Completos'!$D$7:$D$5000, C419))</f>
        <v/>
      </c>
      <c r="E419" s="18" t="str">
        <f>IF(B419="","",SUMIFS('📈 Datos Completos'!$F$7:$F$5000, '📈 Datos Completos'!$B$7:$B$5000, B419, '📈 Datos Completos'!$D$7:$D$5000, C419))</f>
        <v/>
      </c>
      <c r="F419" s="18" t="str">
        <f>IF(B419="","",SUMIFS('📈 Datos Completos'!$G$7:$G$5000, '📈 Datos Completos'!$B$7:$B$5000, B419, '📈 Datos Completos'!$D$7:$D$5000, C419))</f>
        <v/>
      </c>
      <c r="G419" s="18" t="str">
        <f t="shared" si="54"/>
        <v/>
      </c>
      <c r="H419" s="19" t="str">
        <f>IF(B419="","",SUMIFS('📈 Datos Completos'!$I$7:$I$5000, '📈 Datos Completos'!$B$7:$B$5000, B419, '📈 Datos Completos'!$D$7:$D$5000, C419))</f>
        <v/>
      </c>
      <c r="I419" s="19" t="str">
        <f t="shared" si="55"/>
        <v/>
      </c>
      <c r="J419" s="19" t="str">
        <f t="shared" si="56"/>
        <v/>
      </c>
      <c r="K419" s="19" t="str">
        <f>IF(B419="","",IF(C419="DIA", (SUMIFS('📋 Detalle Diario'!$D$5:$D$489, '📋 Detalle Diario'!$B$5:$B$489, B419, '📋 Detalle Diario'!$C$5:$C$489, C419) * '⚙️ Supuestos'!$C$24) + '⚙️ Supuestos'!$C$23, (SUMIFS('📋 Detalle Diario'!$D$5:$D$489, '📋 Detalle Diario'!$B$5:$B$489, B419, '📋 Detalle Diario'!$C$5:$C$489, C419) * '⚙️ Supuestos'!$C$24) + '⚙️ Supuestos'!$C$33))</f>
        <v/>
      </c>
      <c r="L419" s="19" t="str">
        <f t="shared" si="57"/>
        <v/>
      </c>
      <c r="M419" s="20" t="str">
        <f t="shared" si="58"/>
        <v/>
      </c>
      <c r="N419" s="19" t="str">
        <f t="shared" si="59"/>
        <v/>
      </c>
      <c r="O419" s="25" t="str">
        <f t="shared" si="60"/>
        <v/>
      </c>
      <c r="P419" s="19" t="str">
        <f t="shared" si="61"/>
        <v/>
      </c>
      <c r="Q419" s="19" t="str">
        <f>IF(B419="","",J419-P419+(SUMIFS('📋 Detalle Diario'!$E$5:$E$489, '📋 Detalle Diario'!$B$5:$B$489, B419, '📋 Detalle Diario'!$C$5:$C$489, C419)*135)+(SUMIFS('📋 Detalle Diario'!$I$5:$I$489, '📋 Detalle Diario'!$B$5:$B$489, B419, '📋 Detalle Diario'!$C$5:$C$489, C419)*200))</f>
        <v/>
      </c>
      <c r="R419" s="20" t="str">
        <f t="shared" si="62"/>
        <v/>
      </c>
    </row>
    <row r="420" spans="2:18" ht="18" customHeight="1" x14ac:dyDescent="0.3">
      <c r="B420" s="26"/>
      <c r="C420" s="27"/>
      <c r="D420" s="18" t="str">
        <f>IF(B420="","",SUMIFS('📈 Datos Completos'!$E$7:$E$5000, '📈 Datos Completos'!$B$7:$B$5000, B420, '📈 Datos Completos'!$D$7:$D$5000, C420))</f>
        <v/>
      </c>
      <c r="E420" s="18" t="str">
        <f>IF(B420="","",SUMIFS('📈 Datos Completos'!$F$7:$F$5000, '📈 Datos Completos'!$B$7:$B$5000, B420, '📈 Datos Completos'!$D$7:$D$5000, C420))</f>
        <v/>
      </c>
      <c r="F420" s="18" t="str">
        <f>IF(B420="","",SUMIFS('📈 Datos Completos'!$G$7:$G$5000, '📈 Datos Completos'!$B$7:$B$5000, B420, '📈 Datos Completos'!$D$7:$D$5000, C420))</f>
        <v/>
      </c>
      <c r="G420" s="18" t="str">
        <f t="shared" si="54"/>
        <v/>
      </c>
      <c r="H420" s="19" t="str">
        <f>IF(B420="","",SUMIFS('📈 Datos Completos'!$I$7:$I$5000, '📈 Datos Completos'!$B$7:$B$5000, B420, '📈 Datos Completos'!$D$7:$D$5000, C420))</f>
        <v/>
      </c>
      <c r="I420" s="19" t="str">
        <f t="shared" si="55"/>
        <v/>
      </c>
      <c r="J420" s="19" t="str">
        <f t="shared" si="56"/>
        <v/>
      </c>
      <c r="K420" s="19" t="str">
        <f>IF(B420="","",IF(C420="DIA", (SUMIFS('📋 Detalle Diario'!$D$5:$D$489, '📋 Detalle Diario'!$B$5:$B$489, B420, '📋 Detalle Diario'!$C$5:$C$489, C420) * '⚙️ Supuestos'!$C$24) + '⚙️ Supuestos'!$C$23, (SUMIFS('📋 Detalle Diario'!$D$5:$D$489, '📋 Detalle Diario'!$B$5:$B$489, B420, '📋 Detalle Diario'!$C$5:$C$489, C420) * '⚙️ Supuestos'!$C$24) + '⚙️ Supuestos'!$C$33))</f>
        <v/>
      </c>
      <c r="L420" s="19" t="str">
        <f t="shared" si="57"/>
        <v/>
      </c>
      <c r="M420" s="20" t="str">
        <f t="shared" si="58"/>
        <v/>
      </c>
      <c r="N420" s="19" t="str">
        <f t="shared" si="59"/>
        <v/>
      </c>
      <c r="O420" s="27" t="str">
        <f t="shared" si="60"/>
        <v/>
      </c>
      <c r="P420" s="19" t="str">
        <f t="shared" si="61"/>
        <v/>
      </c>
      <c r="Q420" s="19" t="str">
        <f>IF(B420="","",J420-P420+(SUMIFS('📋 Detalle Diario'!$E$5:$E$489, '📋 Detalle Diario'!$B$5:$B$489, B420, '📋 Detalle Diario'!$C$5:$C$489, C420)*135)+(SUMIFS('📋 Detalle Diario'!$I$5:$I$489, '📋 Detalle Diario'!$B$5:$B$489, B420, '📋 Detalle Diario'!$C$5:$C$489, C420)*200))</f>
        <v/>
      </c>
      <c r="R420" s="20" t="str">
        <f t="shared" si="62"/>
        <v/>
      </c>
    </row>
    <row r="421" spans="2:18" ht="18" customHeight="1" x14ac:dyDescent="0.3">
      <c r="B421" s="24"/>
      <c r="C421" s="25"/>
      <c r="D421" s="18" t="str">
        <f>IF(B421="","",SUMIFS('📈 Datos Completos'!$E$7:$E$5000, '📈 Datos Completos'!$B$7:$B$5000, B421, '📈 Datos Completos'!$D$7:$D$5000, C421))</f>
        <v/>
      </c>
      <c r="E421" s="18" t="str">
        <f>IF(B421="","",SUMIFS('📈 Datos Completos'!$F$7:$F$5000, '📈 Datos Completos'!$B$7:$B$5000, B421, '📈 Datos Completos'!$D$7:$D$5000, C421))</f>
        <v/>
      </c>
      <c r="F421" s="18" t="str">
        <f>IF(B421="","",SUMIFS('📈 Datos Completos'!$G$7:$G$5000, '📈 Datos Completos'!$B$7:$B$5000, B421, '📈 Datos Completos'!$D$7:$D$5000, C421))</f>
        <v/>
      </c>
      <c r="G421" s="18" t="str">
        <f t="shared" si="54"/>
        <v/>
      </c>
      <c r="H421" s="19" t="str">
        <f>IF(B421="","",SUMIFS('📈 Datos Completos'!$I$7:$I$5000, '📈 Datos Completos'!$B$7:$B$5000, B421, '📈 Datos Completos'!$D$7:$D$5000, C421))</f>
        <v/>
      </c>
      <c r="I421" s="19" t="str">
        <f t="shared" si="55"/>
        <v/>
      </c>
      <c r="J421" s="19" t="str">
        <f t="shared" si="56"/>
        <v/>
      </c>
      <c r="K421" s="19" t="str">
        <f>IF(B421="","",IF(C421="DIA", (SUMIFS('📋 Detalle Diario'!$D$5:$D$489, '📋 Detalle Diario'!$B$5:$B$489, B421, '📋 Detalle Diario'!$C$5:$C$489, C421) * '⚙️ Supuestos'!$C$24) + '⚙️ Supuestos'!$C$23, (SUMIFS('📋 Detalle Diario'!$D$5:$D$489, '📋 Detalle Diario'!$B$5:$B$489, B421, '📋 Detalle Diario'!$C$5:$C$489, C421) * '⚙️ Supuestos'!$C$24) + '⚙️ Supuestos'!$C$33))</f>
        <v/>
      </c>
      <c r="L421" s="19" t="str">
        <f t="shared" si="57"/>
        <v/>
      </c>
      <c r="M421" s="20" t="str">
        <f t="shared" si="58"/>
        <v/>
      </c>
      <c r="N421" s="19" t="str">
        <f t="shared" si="59"/>
        <v/>
      </c>
      <c r="O421" s="25" t="str">
        <f t="shared" si="60"/>
        <v/>
      </c>
      <c r="P421" s="19" t="str">
        <f t="shared" si="61"/>
        <v/>
      </c>
      <c r="Q421" s="19" t="str">
        <f>IF(B421="","",J421-P421+(SUMIFS('📋 Detalle Diario'!$E$5:$E$489, '📋 Detalle Diario'!$B$5:$B$489, B421, '📋 Detalle Diario'!$C$5:$C$489, C421)*135)+(SUMIFS('📋 Detalle Diario'!$I$5:$I$489, '📋 Detalle Diario'!$B$5:$B$489, B421, '📋 Detalle Diario'!$C$5:$C$489, C421)*200))</f>
        <v/>
      </c>
      <c r="R421" s="20" t="str">
        <f t="shared" si="62"/>
        <v/>
      </c>
    </row>
    <row r="422" spans="2:18" ht="18" customHeight="1" x14ac:dyDescent="0.3">
      <c r="B422" s="26"/>
      <c r="C422" s="27"/>
      <c r="D422" s="18" t="str">
        <f>IF(B422="","",SUMIFS('📈 Datos Completos'!$E$7:$E$5000, '📈 Datos Completos'!$B$7:$B$5000, B422, '📈 Datos Completos'!$D$7:$D$5000, C422))</f>
        <v/>
      </c>
      <c r="E422" s="18" t="str">
        <f>IF(B422="","",SUMIFS('📈 Datos Completos'!$F$7:$F$5000, '📈 Datos Completos'!$B$7:$B$5000, B422, '📈 Datos Completos'!$D$7:$D$5000, C422))</f>
        <v/>
      </c>
      <c r="F422" s="18" t="str">
        <f>IF(B422="","",SUMIFS('📈 Datos Completos'!$G$7:$G$5000, '📈 Datos Completos'!$B$7:$B$5000, B422, '📈 Datos Completos'!$D$7:$D$5000, C422))</f>
        <v/>
      </c>
      <c r="G422" s="18" t="str">
        <f t="shared" si="54"/>
        <v/>
      </c>
      <c r="H422" s="19" t="str">
        <f>IF(B422="","",SUMIFS('📈 Datos Completos'!$I$7:$I$5000, '📈 Datos Completos'!$B$7:$B$5000, B422, '📈 Datos Completos'!$D$7:$D$5000, C422))</f>
        <v/>
      </c>
      <c r="I422" s="19" t="str">
        <f t="shared" si="55"/>
        <v/>
      </c>
      <c r="J422" s="19" t="str">
        <f t="shared" si="56"/>
        <v/>
      </c>
      <c r="K422" s="19" t="str">
        <f>IF(B422="","",IF(C422="DIA", (SUMIFS('📋 Detalle Diario'!$D$5:$D$489, '📋 Detalle Diario'!$B$5:$B$489, B422, '📋 Detalle Diario'!$C$5:$C$489, C422) * '⚙️ Supuestos'!$C$24) + '⚙️ Supuestos'!$C$23, (SUMIFS('📋 Detalle Diario'!$D$5:$D$489, '📋 Detalle Diario'!$B$5:$B$489, B422, '📋 Detalle Diario'!$C$5:$C$489, C422) * '⚙️ Supuestos'!$C$24) + '⚙️ Supuestos'!$C$33))</f>
        <v/>
      </c>
      <c r="L422" s="19" t="str">
        <f t="shared" si="57"/>
        <v/>
      </c>
      <c r="M422" s="20" t="str">
        <f t="shared" si="58"/>
        <v/>
      </c>
      <c r="N422" s="19" t="str">
        <f t="shared" si="59"/>
        <v/>
      </c>
      <c r="O422" s="27" t="str">
        <f t="shared" si="60"/>
        <v/>
      </c>
      <c r="P422" s="19" t="str">
        <f t="shared" si="61"/>
        <v/>
      </c>
      <c r="Q422" s="19" t="str">
        <f>IF(B422="","",J422-P422+(SUMIFS('📋 Detalle Diario'!$E$5:$E$489, '📋 Detalle Diario'!$B$5:$B$489, B422, '📋 Detalle Diario'!$C$5:$C$489, C422)*135)+(SUMIFS('📋 Detalle Diario'!$I$5:$I$489, '📋 Detalle Diario'!$B$5:$B$489, B422, '📋 Detalle Diario'!$C$5:$C$489, C422)*200))</f>
        <v/>
      </c>
      <c r="R422" s="20" t="str">
        <f t="shared" si="62"/>
        <v/>
      </c>
    </row>
    <row r="423" spans="2:18" ht="18" customHeight="1" x14ac:dyDescent="0.3">
      <c r="B423" s="24"/>
      <c r="C423" s="25"/>
      <c r="D423" s="18" t="str">
        <f>IF(B423="","",SUMIFS('📈 Datos Completos'!$E$7:$E$5000, '📈 Datos Completos'!$B$7:$B$5000, B423, '📈 Datos Completos'!$D$7:$D$5000, C423))</f>
        <v/>
      </c>
      <c r="E423" s="18" t="str">
        <f>IF(B423="","",SUMIFS('📈 Datos Completos'!$F$7:$F$5000, '📈 Datos Completos'!$B$7:$B$5000, B423, '📈 Datos Completos'!$D$7:$D$5000, C423))</f>
        <v/>
      </c>
      <c r="F423" s="18" t="str">
        <f>IF(B423="","",SUMIFS('📈 Datos Completos'!$G$7:$G$5000, '📈 Datos Completos'!$B$7:$B$5000, B423, '📈 Datos Completos'!$D$7:$D$5000, C423))</f>
        <v/>
      </c>
      <c r="G423" s="18" t="str">
        <f t="shared" si="54"/>
        <v/>
      </c>
      <c r="H423" s="19" t="str">
        <f>IF(B423="","",SUMIFS('📈 Datos Completos'!$I$7:$I$5000, '📈 Datos Completos'!$B$7:$B$5000, B423, '📈 Datos Completos'!$D$7:$D$5000, C423))</f>
        <v/>
      </c>
      <c r="I423" s="19" t="str">
        <f t="shared" si="55"/>
        <v/>
      </c>
      <c r="J423" s="19" t="str">
        <f t="shared" si="56"/>
        <v/>
      </c>
      <c r="K423" s="19" t="str">
        <f>IF(B423="","",IF(C423="DIA", (SUMIFS('📋 Detalle Diario'!$D$5:$D$489, '📋 Detalle Diario'!$B$5:$B$489, B423, '📋 Detalle Diario'!$C$5:$C$489, C423) * '⚙️ Supuestos'!$C$24) + '⚙️ Supuestos'!$C$23, (SUMIFS('📋 Detalle Diario'!$D$5:$D$489, '📋 Detalle Diario'!$B$5:$B$489, B423, '📋 Detalle Diario'!$C$5:$C$489, C423) * '⚙️ Supuestos'!$C$24) + '⚙️ Supuestos'!$C$33))</f>
        <v/>
      </c>
      <c r="L423" s="19" t="str">
        <f t="shared" si="57"/>
        <v/>
      </c>
      <c r="M423" s="20" t="str">
        <f t="shared" si="58"/>
        <v/>
      </c>
      <c r="N423" s="19" t="str">
        <f t="shared" si="59"/>
        <v/>
      </c>
      <c r="O423" s="25" t="str">
        <f t="shared" si="60"/>
        <v/>
      </c>
      <c r="P423" s="19" t="str">
        <f t="shared" si="61"/>
        <v/>
      </c>
      <c r="Q423" s="19" t="str">
        <f>IF(B423="","",J423-P423+(SUMIFS('📋 Detalle Diario'!$E$5:$E$489, '📋 Detalle Diario'!$B$5:$B$489, B423, '📋 Detalle Diario'!$C$5:$C$489, C423)*135)+(SUMIFS('📋 Detalle Diario'!$I$5:$I$489, '📋 Detalle Diario'!$B$5:$B$489, B423, '📋 Detalle Diario'!$C$5:$C$489, C423)*200))</f>
        <v/>
      </c>
      <c r="R423" s="20" t="str">
        <f t="shared" si="62"/>
        <v/>
      </c>
    </row>
    <row r="424" spans="2:18" ht="18" customHeight="1" x14ac:dyDescent="0.3">
      <c r="B424" s="26"/>
      <c r="C424" s="27"/>
      <c r="D424" s="18" t="str">
        <f>IF(B424="","",SUMIFS('📈 Datos Completos'!$E$7:$E$5000, '📈 Datos Completos'!$B$7:$B$5000, B424, '📈 Datos Completos'!$D$7:$D$5000, C424))</f>
        <v/>
      </c>
      <c r="E424" s="18" t="str">
        <f>IF(B424="","",SUMIFS('📈 Datos Completos'!$F$7:$F$5000, '📈 Datos Completos'!$B$7:$B$5000, B424, '📈 Datos Completos'!$D$7:$D$5000, C424))</f>
        <v/>
      </c>
      <c r="F424" s="18" t="str">
        <f>IF(B424="","",SUMIFS('📈 Datos Completos'!$G$7:$G$5000, '📈 Datos Completos'!$B$7:$B$5000, B424, '📈 Datos Completos'!$D$7:$D$5000, C424))</f>
        <v/>
      </c>
      <c r="G424" s="18" t="str">
        <f t="shared" si="54"/>
        <v/>
      </c>
      <c r="H424" s="19" t="str">
        <f>IF(B424="","",SUMIFS('📈 Datos Completos'!$I$7:$I$5000, '📈 Datos Completos'!$B$7:$B$5000, B424, '📈 Datos Completos'!$D$7:$D$5000, C424))</f>
        <v/>
      </c>
      <c r="I424" s="19" t="str">
        <f t="shared" si="55"/>
        <v/>
      </c>
      <c r="J424" s="19" t="str">
        <f t="shared" si="56"/>
        <v/>
      </c>
      <c r="K424" s="19" t="str">
        <f>IF(B424="","",IF(C424="DIA", (SUMIFS('📋 Detalle Diario'!$D$5:$D$489, '📋 Detalle Diario'!$B$5:$B$489, B424, '📋 Detalle Diario'!$C$5:$C$489, C424) * '⚙️ Supuestos'!$C$24) + '⚙️ Supuestos'!$C$23, (SUMIFS('📋 Detalle Diario'!$D$5:$D$489, '📋 Detalle Diario'!$B$5:$B$489, B424, '📋 Detalle Diario'!$C$5:$C$489, C424) * '⚙️ Supuestos'!$C$24) + '⚙️ Supuestos'!$C$33))</f>
        <v/>
      </c>
      <c r="L424" s="19" t="str">
        <f t="shared" si="57"/>
        <v/>
      </c>
      <c r="M424" s="20" t="str">
        <f t="shared" si="58"/>
        <v/>
      </c>
      <c r="N424" s="19" t="str">
        <f t="shared" si="59"/>
        <v/>
      </c>
      <c r="O424" s="27" t="str">
        <f t="shared" si="60"/>
        <v/>
      </c>
      <c r="P424" s="19" t="str">
        <f t="shared" si="61"/>
        <v/>
      </c>
      <c r="Q424" s="19" t="str">
        <f>IF(B424="","",J424-P424+(SUMIFS('📋 Detalle Diario'!$E$5:$E$489, '📋 Detalle Diario'!$B$5:$B$489, B424, '📋 Detalle Diario'!$C$5:$C$489, C424)*135)+(SUMIFS('📋 Detalle Diario'!$I$5:$I$489, '📋 Detalle Diario'!$B$5:$B$489, B424, '📋 Detalle Diario'!$C$5:$C$489, C424)*200))</f>
        <v/>
      </c>
      <c r="R424" s="20" t="str">
        <f t="shared" si="62"/>
        <v/>
      </c>
    </row>
    <row r="425" spans="2:18" ht="18" customHeight="1" x14ac:dyDescent="0.3">
      <c r="B425" s="24"/>
      <c r="C425" s="25"/>
      <c r="D425" s="18" t="str">
        <f>IF(B425="","",SUMIFS('📈 Datos Completos'!$E$7:$E$5000, '📈 Datos Completos'!$B$7:$B$5000, B425, '📈 Datos Completos'!$D$7:$D$5000, C425))</f>
        <v/>
      </c>
      <c r="E425" s="18" t="str">
        <f>IF(B425="","",SUMIFS('📈 Datos Completos'!$F$7:$F$5000, '📈 Datos Completos'!$B$7:$B$5000, B425, '📈 Datos Completos'!$D$7:$D$5000, C425))</f>
        <v/>
      </c>
      <c r="F425" s="18" t="str">
        <f>IF(B425="","",SUMIFS('📈 Datos Completos'!$G$7:$G$5000, '📈 Datos Completos'!$B$7:$B$5000, B425, '📈 Datos Completos'!$D$7:$D$5000, C425))</f>
        <v/>
      </c>
      <c r="G425" s="18" t="str">
        <f t="shared" si="54"/>
        <v/>
      </c>
      <c r="H425" s="19" t="str">
        <f>IF(B425="","",SUMIFS('📈 Datos Completos'!$I$7:$I$5000, '📈 Datos Completos'!$B$7:$B$5000, B425, '📈 Datos Completos'!$D$7:$D$5000, C425))</f>
        <v/>
      </c>
      <c r="I425" s="19" t="str">
        <f t="shared" si="55"/>
        <v/>
      </c>
      <c r="J425" s="19" t="str">
        <f t="shared" si="56"/>
        <v/>
      </c>
      <c r="K425" s="19" t="str">
        <f>IF(B425="","",IF(C425="DIA", (SUMIFS('📋 Detalle Diario'!$D$5:$D$489, '📋 Detalle Diario'!$B$5:$B$489, B425, '📋 Detalle Diario'!$C$5:$C$489, C425) * '⚙️ Supuestos'!$C$24) + '⚙️ Supuestos'!$C$23, (SUMIFS('📋 Detalle Diario'!$D$5:$D$489, '📋 Detalle Diario'!$B$5:$B$489, B425, '📋 Detalle Diario'!$C$5:$C$489, C425) * '⚙️ Supuestos'!$C$24) + '⚙️ Supuestos'!$C$33))</f>
        <v/>
      </c>
      <c r="L425" s="19" t="str">
        <f t="shared" si="57"/>
        <v/>
      </c>
      <c r="M425" s="20" t="str">
        <f t="shared" si="58"/>
        <v/>
      </c>
      <c r="N425" s="19" t="str">
        <f t="shared" si="59"/>
        <v/>
      </c>
      <c r="O425" s="25" t="str">
        <f t="shared" si="60"/>
        <v/>
      </c>
      <c r="P425" s="19" t="str">
        <f t="shared" si="61"/>
        <v/>
      </c>
      <c r="Q425" s="19" t="str">
        <f>IF(B425="","",J425-P425+(SUMIFS('📋 Detalle Diario'!$E$5:$E$489, '📋 Detalle Diario'!$B$5:$B$489, B425, '📋 Detalle Diario'!$C$5:$C$489, C425)*135)+(SUMIFS('📋 Detalle Diario'!$I$5:$I$489, '📋 Detalle Diario'!$B$5:$B$489, B425, '📋 Detalle Diario'!$C$5:$C$489, C425)*200))</f>
        <v/>
      </c>
      <c r="R425" s="20" t="str">
        <f t="shared" si="62"/>
        <v/>
      </c>
    </row>
    <row r="426" spans="2:18" ht="18" customHeight="1" x14ac:dyDescent="0.3">
      <c r="B426" s="26"/>
      <c r="C426" s="27"/>
      <c r="D426" s="18" t="str">
        <f>IF(B426="","",SUMIFS('📈 Datos Completos'!$E$7:$E$5000, '📈 Datos Completos'!$B$7:$B$5000, B426, '📈 Datos Completos'!$D$7:$D$5000, C426))</f>
        <v/>
      </c>
      <c r="E426" s="18" t="str">
        <f>IF(B426="","",SUMIFS('📈 Datos Completos'!$F$7:$F$5000, '📈 Datos Completos'!$B$7:$B$5000, B426, '📈 Datos Completos'!$D$7:$D$5000, C426))</f>
        <v/>
      </c>
      <c r="F426" s="18" t="str">
        <f>IF(B426="","",SUMIFS('📈 Datos Completos'!$G$7:$G$5000, '📈 Datos Completos'!$B$7:$B$5000, B426, '📈 Datos Completos'!$D$7:$D$5000, C426))</f>
        <v/>
      </c>
      <c r="G426" s="18" t="str">
        <f t="shared" si="54"/>
        <v/>
      </c>
      <c r="H426" s="19" t="str">
        <f>IF(B426="","",SUMIFS('📈 Datos Completos'!$I$7:$I$5000, '📈 Datos Completos'!$B$7:$B$5000, B426, '📈 Datos Completos'!$D$7:$D$5000, C426))</f>
        <v/>
      </c>
      <c r="I426" s="19" t="str">
        <f t="shared" si="55"/>
        <v/>
      </c>
      <c r="J426" s="19" t="str">
        <f t="shared" si="56"/>
        <v/>
      </c>
      <c r="K426" s="19" t="str">
        <f>IF(B426="","",IF(C426="DIA", (SUMIFS('📋 Detalle Diario'!$D$5:$D$489, '📋 Detalle Diario'!$B$5:$B$489, B426, '📋 Detalle Diario'!$C$5:$C$489, C426) * '⚙️ Supuestos'!$C$24) + '⚙️ Supuestos'!$C$23, (SUMIFS('📋 Detalle Diario'!$D$5:$D$489, '📋 Detalle Diario'!$B$5:$B$489, B426, '📋 Detalle Diario'!$C$5:$C$489, C426) * '⚙️ Supuestos'!$C$24) + '⚙️ Supuestos'!$C$33))</f>
        <v/>
      </c>
      <c r="L426" s="19" t="str">
        <f t="shared" si="57"/>
        <v/>
      </c>
      <c r="M426" s="20" t="str">
        <f t="shared" si="58"/>
        <v/>
      </c>
      <c r="N426" s="19" t="str">
        <f t="shared" si="59"/>
        <v/>
      </c>
      <c r="O426" s="27" t="str">
        <f t="shared" si="60"/>
        <v/>
      </c>
      <c r="P426" s="19" t="str">
        <f t="shared" si="61"/>
        <v/>
      </c>
      <c r="Q426" s="19" t="str">
        <f>IF(B426="","",J426-P426+(SUMIFS('📋 Detalle Diario'!$E$5:$E$489, '📋 Detalle Diario'!$B$5:$B$489, B426, '📋 Detalle Diario'!$C$5:$C$489, C426)*135)+(SUMIFS('📋 Detalle Diario'!$I$5:$I$489, '📋 Detalle Diario'!$B$5:$B$489, B426, '📋 Detalle Diario'!$C$5:$C$489, C426)*200))</f>
        <v/>
      </c>
      <c r="R426" s="20" t="str">
        <f t="shared" si="62"/>
        <v/>
      </c>
    </row>
    <row r="427" spans="2:18" ht="18" customHeight="1" x14ac:dyDescent="0.3">
      <c r="B427" s="24"/>
      <c r="C427" s="25"/>
      <c r="D427" s="18" t="str">
        <f>IF(B427="","",SUMIFS('📈 Datos Completos'!$E$7:$E$5000, '📈 Datos Completos'!$B$7:$B$5000, B427, '📈 Datos Completos'!$D$7:$D$5000, C427))</f>
        <v/>
      </c>
      <c r="E427" s="18" t="str">
        <f>IF(B427="","",SUMIFS('📈 Datos Completos'!$F$7:$F$5000, '📈 Datos Completos'!$B$7:$B$5000, B427, '📈 Datos Completos'!$D$7:$D$5000, C427))</f>
        <v/>
      </c>
      <c r="F427" s="18" t="str">
        <f>IF(B427="","",SUMIFS('📈 Datos Completos'!$G$7:$G$5000, '📈 Datos Completos'!$B$7:$B$5000, B427, '📈 Datos Completos'!$D$7:$D$5000, C427))</f>
        <v/>
      </c>
      <c r="G427" s="18" t="str">
        <f t="shared" si="54"/>
        <v/>
      </c>
      <c r="H427" s="19" t="str">
        <f>IF(B427="","",SUMIFS('📈 Datos Completos'!$I$7:$I$5000, '📈 Datos Completos'!$B$7:$B$5000, B427, '📈 Datos Completos'!$D$7:$D$5000, C427))</f>
        <v/>
      </c>
      <c r="I427" s="19" t="str">
        <f t="shared" si="55"/>
        <v/>
      </c>
      <c r="J427" s="19" t="str">
        <f t="shared" si="56"/>
        <v/>
      </c>
      <c r="K427" s="19" t="str">
        <f>IF(B427="","",IF(C427="DIA", (SUMIFS('📋 Detalle Diario'!$D$5:$D$489, '📋 Detalle Diario'!$B$5:$B$489, B427, '📋 Detalle Diario'!$C$5:$C$489, C427) * '⚙️ Supuestos'!$C$24) + '⚙️ Supuestos'!$C$23, (SUMIFS('📋 Detalle Diario'!$D$5:$D$489, '📋 Detalle Diario'!$B$5:$B$489, B427, '📋 Detalle Diario'!$C$5:$C$489, C427) * '⚙️ Supuestos'!$C$24) + '⚙️ Supuestos'!$C$33))</f>
        <v/>
      </c>
      <c r="L427" s="19" t="str">
        <f t="shared" si="57"/>
        <v/>
      </c>
      <c r="M427" s="20" t="str">
        <f t="shared" si="58"/>
        <v/>
      </c>
      <c r="N427" s="19" t="str">
        <f t="shared" si="59"/>
        <v/>
      </c>
      <c r="O427" s="25" t="str">
        <f t="shared" si="60"/>
        <v/>
      </c>
      <c r="P427" s="19" t="str">
        <f t="shared" si="61"/>
        <v/>
      </c>
      <c r="Q427" s="19" t="str">
        <f>IF(B427="","",J427-P427+(SUMIFS('📋 Detalle Diario'!$E$5:$E$489, '📋 Detalle Diario'!$B$5:$B$489, B427, '📋 Detalle Diario'!$C$5:$C$489, C427)*135)+(SUMIFS('📋 Detalle Diario'!$I$5:$I$489, '📋 Detalle Diario'!$B$5:$B$489, B427, '📋 Detalle Diario'!$C$5:$C$489, C427)*200))</f>
        <v/>
      </c>
      <c r="R427" s="20" t="str">
        <f t="shared" si="62"/>
        <v/>
      </c>
    </row>
    <row r="428" spans="2:18" ht="18" customHeight="1" x14ac:dyDescent="0.3">
      <c r="B428" s="26"/>
      <c r="C428" s="27"/>
      <c r="D428" s="18" t="str">
        <f>IF(B428="","",SUMIFS('📈 Datos Completos'!$E$7:$E$5000, '📈 Datos Completos'!$B$7:$B$5000, B428, '📈 Datos Completos'!$D$7:$D$5000, C428))</f>
        <v/>
      </c>
      <c r="E428" s="18" t="str">
        <f>IF(B428="","",SUMIFS('📈 Datos Completos'!$F$7:$F$5000, '📈 Datos Completos'!$B$7:$B$5000, B428, '📈 Datos Completos'!$D$7:$D$5000, C428))</f>
        <v/>
      </c>
      <c r="F428" s="18" t="str">
        <f>IF(B428="","",SUMIFS('📈 Datos Completos'!$G$7:$G$5000, '📈 Datos Completos'!$B$7:$B$5000, B428, '📈 Datos Completos'!$D$7:$D$5000, C428))</f>
        <v/>
      </c>
      <c r="G428" s="18" t="str">
        <f t="shared" si="54"/>
        <v/>
      </c>
      <c r="H428" s="19" t="str">
        <f>IF(B428="","",SUMIFS('📈 Datos Completos'!$I$7:$I$5000, '📈 Datos Completos'!$B$7:$B$5000, B428, '📈 Datos Completos'!$D$7:$D$5000, C428))</f>
        <v/>
      </c>
      <c r="I428" s="19" t="str">
        <f t="shared" si="55"/>
        <v/>
      </c>
      <c r="J428" s="19" t="str">
        <f t="shared" si="56"/>
        <v/>
      </c>
      <c r="K428" s="19" t="str">
        <f>IF(B428="","",IF(C428="DIA", (SUMIFS('📋 Detalle Diario'!$D$5:$D$489, '📋 Detalle Diario'!$B$5:$B$489, B428, '📋 Detalle Diario'!$C$5:$C$489, C428) * '⚙️ Supuestos'!$C$24) + '⚙️ Supuestos'!$C$23, (SUMIFS('📋 Detalle Diario'!$D$5:$D$489, '📋 Detalle Diario'!$B$5:$B$489, B428, '📋 Detalle Diario'!$C$5:$C$489, C428) * '⚙️ Supuestos'!$C$24) + '⚙️ Supuestos'!$C$33))</f>
        <v/>
      </c>
      <c r="L428" s="19" t="str">
        <f t="shared" si="57"/>
        <v/>
      </c>
      <c r="M428" s="20" t="str">
        <f t="shared" si="58"/>
        <v/>
      </c>
      <c r="N428" s="19" t="str">
        <f t="shared" si="59"/>
        <v/>
      </c>
      <c r="O428" s="27" t="str">
        <f t="shared" si="60"/>
        <v/>
      </c>
      <c r="P428" s="19" t="str">
        <f t="shared" si="61"/>
        <v/>
      </c>
      <c r="Q428" s="19" t="str">
        <f>IF(B428="","",J428-P428+(SUMIFS('📋 Detalle Diario'!$E$5:$E$489, '📋 Detalle Diario'!$B$5:$B$489, B428, '📋 Detalle Diario'!$C$5:$C$489, C428)*135)+(SUMIFS('📋 Detalle Diario'!$I$5:$I$489, '📋 Detalle Diario'!$B$5:$B$489, B428, '📋 Detalle Diario'!$C$5:$C$489, C428)*200))</f>
        <v/>
      </c>
      <c r="R428" s="20" t="str">
        <f t="shared" si="62"/>
        <v/>
      </c>
    </row>
    <row r="429" spans="2:18" ht="18" customHeight="1" x14ac:dyDescent="0.3">
      <c r="B429" s="24"/>
      <c r="C429" s="25"/>
      <c r="D429" s="18" t="str">
        <f>IF(B429="","",SUMIFS('📈 Datos Completos'!$E$7:$E$5000, '📈 Datos Completos'!$B$7:$B$5000, B429, '📈 Datos Completos'!$D$7:$D$5000, C429))</f>
        <v/>
      </c>
      <c r="E429" s="18" t="str">
        <f>IF(B429="","",SUMIFS('📈 Datos Completos'!$F$7:$F$5000, '📈 Datos Completos'!$B$7:$B$5000, B429, '📈 Datos Completos'!$D$7:$D$5000, C429))</f>
        <v/>
      </c>
      <c r="F429" s="18" t="str">
        <f>IF(B429="","",SUMIFS('📈 Datos Completos'!$G$7:$G$5000, '📈 Datos Completos'!$B$7:$B$5000, B429, '📈 Datos Completos'!$D$7:$D$5000, C429))</f>
        <v/>
      </c>
      <c r="G429" s="18" t="str">
        <f t="shared" si="54"/>
        <v/>
      </c>
      <c r="H429" s="19" t="str">
        <f>IF(B429="","",SUMIFS('📈 Datos Completos'!$I$7:$I$5000, '📈 Datos Completos'!$B$7:$B$5000, B429, '📈 Datos Completos'!$D$7:$D$5000, C429))</f>
        <v/>
      </c>
      <c r="I429" s="19" t="str">
        <f t="shared" si="55"/>
        <v/>
      </c>
      <c r="J429" s="19" t="str">
        <f t="shared" si="56"/>
        <v/>
      </c>
      <c r="K429" s="19" t="str">
        <f>IF(B429="","",IF(C429="DIA", (SUMIFS('📋 Detalle Diario'!$D$5:$D$489, '📋 Detalle Diario'!$B$5:$B$489, B429, '📋 Detalle Diario'!$C$5:$C$489, C429) * '⚙️ Supuestos'!$C$24) + '⚙️ Supuestos'!$C$23, (SUMIFS('📋 Detalle Diario'!$D$5:$D$489, '📋 Detalle Diario'!$B$5:$B$489, B429, '📋 Detalle Diario'!$C$5:$C$489, C429) * '⚙️ Supuestos'!$C$24) + '⚙️ Supuestos'!$C$33))</f>
        <v/>
      </c>
      <c r="L429" s="19" t="str">
        <f t="shared" si="57"/>
        <v/>
      </c>
      <c r="M429" s="20" t="str">
        <f t="shared" si="58"/>
        <v/>
      </c>
      <c r="N429" s="19" t="str">
        <f t="shared" si="59"/>
        <v/>
      </c>
      <c r="O429" s="25" t="str">
        <f t="shared" si="60"/>
        <v/>
      </c>
      <c r="P429" s="19" t="str">
        <f t="shared" si="61"/>
        <v/>
      </c>
      <c r="Q429" s="19" t="str">
        <f>IF(B429="","",J429-P429+(SUMIFS('📋 Detalle Diario'!$E$5:$E$489, '📋 Detalle Diario'!$B$5:$B$489, B429, '📋 Detalle Diario'!$C$5:$C$489, C429)*135)+(SUMIFS('📋 Detalle Diario'!$I$5:$I$489, '📋 Detalle Diario'!$B$5:$B$489, B429, '📋 Detalle Diario'!$C$5:$C$489, C429)*200))</f>
        <v/>
      </c>
      <c r="R429" s="20" t="str">
        <f t="shared" si="62"/>
        <v/>
      </c>
    </row>
    <row r="430" spans="2:18" ht="18" customHeight="1" x14ac:dyDescent="0.3">
      <c r="B430" s="26"/>
      <c r="C430" s="27"/>
      <c r="D430" s="18" t="str">
        <f>IF(B430="","",SUMIFS('📈 Datos Completos'!$E$7:$E$5000, '📈 Datos Completos'!$B$7:$B$5000, B430, '📈 Datos Completos'!$D$7:$D$5000, C430))</f>
        <v/>
      </c>
      <c r="E430" s="18" t="str">
        <f>IF(B430="","",SUMIFS('📈 Datos Completos'!$F$7:$F$5000, '📈 Datos Completos'!$B$7:$B$5000, B430, '📈 Datos Completos'!$D$7:$D$5000, C430))</f>
        <v/>
      </c>
      <c r="F430" s="18" t="str">
        <f>IF(B430="","",SUMIFS('📈 Datos Completos'!$G$7:$G$5000, '📈 Datos Completos'!$B$7:$B$5000, B430, '📈 Datos Completos'!$D$7:$D$5000, C430))</f>
        <v/>
      </c>
      <c r="G430" s="18" t="str">
        <f t="shared" si="54"/>
        <v/>
      </c>
      <c r="H430" s="19" t="str">
        <f>IF(B430="","",SUMIFS('📈 Datos Completos'!$I$7:$I$5000, '📈 Datos Completos'!$B$7:$B$5000, B430, '📈 Datos Completos'!$D$7:$D$5000, C430))</f>
        <v/>
      </c>
      <c r="I430" s="19" t="str">
        <f t="shared" si="55"/>
        <v/>
      </c>
      <c r="J430" s="19" t="str">
        <f t="shared" si="56"/>
        <v/>
      </c>
      <c r="K430" s="19" t="str">
        <f>IF(B430="","",IF(C430="DIA", (SUMIFS('📋 Detalle Diario'!$D$5:$D$489, '📋 Detalle Diario'!$B$5:$B$489, B430, '📋 Detalle Diario'!$C$5:$C$489, C430) * '⚙️ Supuestos'!$C$24) + '⚙️ Supuestos'!$C$23, (SUMIFS('📋 Detalle Diario'!$D$5:$D$489, '📋 Detalle Diario'!$B$5:$B$489, B430, '📋 Detalle Diario'!$C$5:$C$489, C430) * '⚙️ Supuestos'!$C$24) + '⚙️ Supuestos'!$C$33))</f>
        <v/>
      </c>
      <c r="L430" s="19" t="str">
        <f t="shared" si="57"/>
        <v/>
      </c>
      <c r="M430" s="20" t="str">
        <f t="shared" si="58"/>
        <v/>
      </c>
      <c r="N430" s="19" t="str">
        <f t="shared" si="59"/>
        <v/>
      </c>
      <c r="O430" s="27" t="str">
        <f t="shared" si="60"/>
        <v/>
      </c>
      <c r="P430" s="19" t="str">
        <f t="shared" si="61"/>
        <v/>
      </c>
      <c r="Q430" s="19" t="str">
        <f>IF(B430="","",J430-P430+(SUMIFS('📋 Detalle Diario'!$E$5:$E$489, '📋 Detalle Diario'!$B$5:$B$489, B430, '📋 Detalle Diario'!$C$5:$C$489, C430)*135)+(SUMIFS('📋 Detalle Diario'!$I$5:$I$489, '📋 Detalle Diario'!$B$5:$B$489, B430, '📋 Detalle Diario'!$C$5:$C$489, C430)*200))</f>
        <v/>
      </c>
      <c r="R430" s="20" t="str">
        <f t="shared" si="62"/>
        <v/>
      </c>
    </row>
    <row r="431" spans="2:18" ht="18" customHeight="1" x14ac:dyDescent="0.3">
      <c r="B431" s="24"/>
      <c r="C431" s="25"/>
      <c r="D431" s="18" t="str">
        <f>IF(B431="","",SUMIFS('📈 Datos Completos'!$E$7:$E$5000, '📈 Datos Completos'!$B$7:$B$5000, B431, '📈 Datos Completos'!$D$7:$D$5000, C431))</f>
        <v/>
      </c>
      <c r="E431" s="18" t="str">
        <f>IF(B431="","",SUMIFS('📈 Datos Completos'!$F$7:$F$5000, '📈 Datos Completos'!$B$7:$B$5000, B431, '📈 Datos Completos'!$D$7:$D$5000, C431))</f>
        <v/>
      </c>
      <c r="F431" s="18" t="str">
        <f>IF(B431="","",SUMIFS('📈 Datos Completos'!$G$7:$G$5000, '📈 Datos Completos'!$B$7:$B$5000, B431, '📈 Datos Completos'!$D$7:$D$5000, C431))</f>
        <v/>
      </c>
      <c r="G431" s="18" t="str">
        <f t="shared" si="54"/>
        <v/>
      </c>
      <c r="H431" s="19" t="str">
        <f>IF(B431="","",SUMIFS('📈 Datos Completos'!$I$7:$I$5000, '📈 Datos Completos'!$B$7:$B$5000, B431, '📈 Datos Completos'!$D$7:$D$5000, C431))</f>
        <v/>
      </c>
      <c r="I431" s="19" t="str">
        <f t="shared" si="55"/>
        <v/>
      </c>
      <c r="J431" s="19" t="str">
        <f t="shared" si="56"/>
        <v/>
      </c>
      <c r="K431" s="19" t="str">
        <f>IF(B431="","",IF(C431="DIA", (SUMIFS('📋 Detalle Diario'!$D$5:$D$489, '📋 Detalle Diario'!$B$5:$B$489, B431, '📋 Detalle Diario'!$C$5:$C$489, C431) * '⚙️ Supuestos'!$C$24) + '⚙️ Supuestos'!$C$23, (SUMIFS('📋 Detalle Diario'!$D$5:$D$489, '📋 Detalle Diario'!$B$5:$B$489, B431, '📋 Detalle Diario'!$C$5:$C$489, C431) * '⚙️ Supuestos'!$C$24) + '⚙️ Supuestos'!$C$33))</f>
        <v/>
      </c>
      <c r="L431" s="19" t="str">
        <f t="shared" si="57"/>
        <v/>
      </c>
      <c r="M431" s="20" t="str">
        <f t="shared" si="58"/>
        <v/>
      </c>
      <c r="N431" s="19" t="str">
        <f t="shared" si="59"/>
        <v/>
      </c>
      <c r="O431" s="25" t="str">
        <f t="shared" si="60"/>
        <v/>
      </c>
      <c r="P431" s="19" t="str">
        <f t="shared" si="61"/>
        <v/>
      </c>
      <c r="Q431" s="19" t="str">
        <f>IF(B431="","",J431-P431+(SUMIFS('📋 Detalle Diario'!$E$5:$E$489, '📋 Detalle Diario'!$B$5:$B$489, B431, '📋 Detalle Diario'!$C$5:$C$489, C431)*135)+(SUMIFS('📋 Detalle Diario'!$I$5:$I$489, '📋 Detalle Diario'!$B$5:$B$489, B431, '📋 Detalle Diario'!$C$5:$C$489, C431)*200))</f>
        <v/>
      </c>
      <c r="R431" s="20" t="str">
        <f t="shared" si="62"/>
        <v/>
      </c>
    </row>
    <row r="432" spans="2:18" ht="18" customHeight="1" x14ac:dyDescent="0.3">
      <c r="B432" s="26"/>
      <c r="C432" s="27"/>
      <c r="D432" s="18" t="str">
        <f>IF(B432="","",SUMIFS('📈 Datos Completos'!$E$7:$E$5000, '📈 Datos Completos'!$B$7:$B$5000, B432, '📈 Datos Completos'!$D$7:$D$5000, C432))</f>
        <v/>
      </c>
      <c r="E432" s="18" t="str">
        <f>IF(B432="","",SUMIFS('📈 Datos Completos'!$F$7:$F$5000, '📈 Datos Completos'!$B$7:$B$5000, B432, '📈 Datos Completos'!$D$7:$D$5000, C432))</f>
        <v/>
      </c>
      <c r="F432" s="18" t="str">
        <f>IF(B432="","",SUMIFS('📈 Datos Completos'!$G$7:$G$5000, '📈 Datos Completos'!$B$7:$B$5000, B432, '📈 Datos Completos'!$D$7:$D$5000, C432))</f>
        <v/>
      </c>
      <c r="G432" s="18" t="str">
        <f t="shared" si="54"/>
        <v/>
      </c>
      <c r="H432" s="19" t="str">
        <f>IF(B432="","",SUMIFS('📈 Datos Completos'!$I$7:$I$5000, '📈 Datos Completos'!$B$7:$B$5000, B432, '📈 Datos Completos'!$D$7:$D$5000, C432))</f>
        <v/>
      </c>
      <c r="I432" s="19" t="str">
        <f t="shared" si="55"/>
        <v/>
      </c>
      <c r="J432" s="19" t="str">
        <f t="shared" si="56"/>
        <v/>
      </c>
      <c r="K432" s="19" t="str">
        <f>IF(B432="","",IF(C432="DIA", (SUMIFS('📋 Detalle Diario'!$D$5:$D$489, '📋 Detalle Diario'!$B$5:$B$489, B432, '📋 Detalle Diario'!$C$5:$C$489, C432) * '⚙️ Supuestos'!$C$24) + '⚙️ Supuestos'!$C$23, (SUMIFS('📋 Detalle Diario'!$D$5:$D$489, '📋 Detalle Diario'!$B$5:$B$489, B432, '📋 Detalle Diario'!$C$5:$C$489, C432) * '⚙️ Supuestos'!$C$24) + '⚙️ Supuestos'!$C$33))</f>
        <v/>
      </c>
      <c r="L432" s="19" t="str">
        <f t="shared" si="57"/>
        <v/>
      </c>
      <c r="M432" s="20" t="str">
        <f t="shared" si="58"/>
        <v/>
      </c>
      <c r="N432" s="19" t="str">
        <f t="shared" si="59"/>
        <v/>
      </c>
      <c r="O432" s="27" t="str">
        <f t="shared" si="60"/>
        <v/>
      </c>
      <c r="P432" s="19" t="str">
        <f t="shared" si="61"/>
        <v/>
      </c>
      <c r="Q432" s="19" t="str">
        <f>IF(B432="","",J432-P432+(SUMIFS('📋 Detalle Diario'!$E$5:$E$489, '📋 Detalle Diario'!$B$5:$B$489, B432, '📋 Detalle Diario'!$C$5:$C$489, C432)*135)+(SUMIFS('📋 Detalle Diario'!$I$5:$I$489, '📋 Detalle Diario'!$B$5:$B$489, B432, '📋 Detalle Diario'!$C$5:$C$489, C432)*200))</f>
        <v/>
      </c>
      <c r="R432" s="20" t="str">
        <f t="shared" si="62"/>
        <v/>
      </c>
    </row>
    <row r="433" spans="2:18" ht="18" customHeight="1" x14ac:dyDescent="0.3">
      <c r="B433" s="24"/>
      <c r="C433" s="25"/>
      <c r="D433" s="18" t="str">
        <f>IF(B433="","",SUMIFS('📈 Datos Completos'!$E$7:$E$5000, '📈 Datos Completos'!$B$7:$B$5000, B433, '📈 Datos Completos'!$D$7:$D$5000, C433))</f>
        <v/>
      </c>
      <c r="E433" s="18" t="str">
        <f>IF(B433="","",SUMIFS('📈 Datos Completos'!$F$7:$F$5000, '📈 Datos Completos'!$B$7:$B$5000, B433, '📈 Datos Completos'!$D$7:$D$5000, C433))</f>
        <v/>
      </c>
      <c r="F433" s="18" t="str">
        <f>IF(B433="","",SUMIFS('📈 Datos Completos'!$G$7:$G$5000, '📈 Datos Completos'!$B$7:$B$5000, B433, '📈 Datos Completos'!$D$7:$D$5000, C433))</f>
        <v/>
      </c>
      <c r="G433" s="18" t="str">
        <f t="shared" si="54"/>
        <v/>
      </c>
      <c r="H433" s="19" t="str">
        <f>IF(B433="","",SUMIFS('📈 Datos Completos'!$I$7:$I$5000, '📈 Datos Completos'!$B$7:$B$5000, B433, '📈 Datos Completos'!$D$7:$D$5000, C433))</f>
        <v/>
      </c>
      <c r="I433" s="19" t="str">
        <f t="shared" si="55"/>
        <v/>
      </c>
      <c r="J433" s="19" t="str">
        <f t="shared" si="56"/>
        <v/>
      </c>
      <c r="K433" s="19" t="str">
        <f>IF(B433="","",IF(C433="DIA", (SUMIFS('📋 Detalle Diario'!$D$5:$D$489, '📋 Detalle Diario'!$B$5:$B$489, B433, '📋 Detalle Diario'!$C$5:$C$489, C433) * '⚙️ Supuestos'!$C$24) + '⚙️ Supuestos'!$C$23, (SUMIFS('📋 Detalle Diario'!$D$5:$D$489, '📋 Detalle Diario'!$B$5:$B$489, B433, '📋 Detalle Diario'!$C$5:$C$489, C433) * '⚙️ Supuestos'!$C$24) + '⚙️ Supuestos'!$C$33))</f>
        <v/>
      </c>
      <c r="L433" s="19" t="str">
        <f t="shared" si="57"/>
        <v/>
      </c>
      <c r="M433" s="20" t="str">
        <f t="shared" si="58"/>
        <v/>
      </c>
      <c r="N433" s="19" t="str">
        <f t="shared" si="59"/>
        <v/>
      </c>
      <c r="O433" s="25" t="str">
        <f t="shared" si="60"/>
        <v/>
      </c>
      <c r="P433" s="19" t="str">
        <f t="shared" si="61"/>
        <v/>
      </c>
      <c r="Q433" s="19" t="str">
        <f>IF(B433="","",J433-P433+(SUMIFS('📋 Detalle Diario'!$E$5:$E$489, '📋 Detalle Diario'!$B$5:$B$489, B433, '📋 Detalle Diario'!$C$5:$C$489, C433)*135)+(SUMIFS('📋 Detalle Diario'!$I$5:$I$489, '📋 Detalle Diario'!$B$5:$B$489, B433, '📋 Detalle Diario'!$C$5:$C$489, C433)*200))</f>
        <v/>
      </c>
      <c r="R433" s="20" t="str">
        <f t="shared" si="62"/>
        <v/>
      </c>
    </row>
    <row r="434" spans="2:18" ht="18" customHeight="1" x14ac:dyDescent="0.3">
      <c r="B434" s="26"/>
      <c r="C434" s="27"/>
      <c r="D434" s="18" t="str">
        <f>IF(B434="","",SUMIFS('📈 Datos Completos'!$E$7:$E$5000, '📈 Datos Completos'!$B$7:$B$5000, B434, '📈 Datos Completos'!$D$7:$D$5000, C434))</f>
        <v/>
      </c>
      <c r="E434" s="18" t="str">
        <f>IF(B434="","",SUMIFS('📈 Datos Completos'!$F$7:$F$5000, '📈 Datos Completos'!$B$7:$B$5000, B434, '📈 Datos Completos'!$D$7:$D$5000, C434))</f>
        <v/>
      </c>
      <c r="F434" s="18" t="str">
        <f>IF(B434="","",SUMIFS('📈 Datos Completos'!$G$7:$G$5000, '📈 Datos Completos'!$B$7:$B$5000, B434, '📈 Datos Completos'!$D$7:$D$5000, C434))</f>
        <v/>
      </c>
      <c r="G434" s="18" t="str">
        <f t="shared" si="54"/>
        <v/>
      </c>
      <c r="H434" s="19" t="str">
        <f>IF(B434="","",SUMIFS('📈 Datos Completos'!$I$7:$I$5000, '📈 Datos Completos'!$B$7:$B$5000, B434, '📈 Datos Completos'!$D$7:$D$5000, C434))</f>
        <v/>
      </c>
      <c r="I434" s="19" t="str">
        <f t="shared" si="55"/>
        <v/>
      </c>
      <c r="J434" s="19" t="str">
        <f t="shared" si="56"/>
        <v/>
      </c>
      <c r="K434" s="19" t="str">
        <f>IF(B434="","",IF(C434="DIA", (SUMIFS('📋 Detalle Diario'!$D$5:$D$489, '📋 Detalle Diario'!$B$5:$B$489, B434, '📋 Detalle Diario'!$C$5:$C$489, C434) * '⚙️ Supuestos'!$C$24) + '⚙️ Supuestos'!$C$23, (SUMIFS('📋 Detalle Diario'!$D$5:$D$489, '📋 Detalle Diario'!$B$5:$B$489, B434, '📋 Detalle Diario'!$C$5:$C$489, C434) * '⚙️ Supuestos'!$C$24) + '⚙️ Supuestos'!$C$33))</f>
        <v/>
      </c>
      <c r="L434" s="19" t="str">
        <f t="shared" si="57"/>
        <v/>
      </c>
      <c r="M434" s="20" t="str">
        <f t="shared" si="58"/>
        <v/>
      </c>
      <c r="N434" s="19" t="str">
        <f t="shared" si="59"/>
        <v/>
      </c>
      <c r="O434" s="27" t="str">
        <f t="shared" si="60"/>
        <v/>
      </c>
      <c r="P434" s="19" t="str">
        <f t="shared" si="61"/>
        <v/>
      </c>
      <c r="Q434" s="19" t="str">
        <f>IF(B434="","",J434-P434+(SUMIFS('📋 Detalle Diario'!$E$5:$E$489, '📋 Detalle Diario'!$B$5:$B$489, B434, '📋 Detalle Diario'!$C$5:$C$489, C434)*135)+(SUMIFS('📋 Detalle Diario'!$I$5:$I$489, '📋 Detalle Diario'!$B$5:$B$489, B434, '📋 Detalle Diario'!$C$5:$C$489, C434)*200))</f>
        <v/>
      </c>
      <c r="R434" s="20" t="str">
        <f t="shared" si="62"/>
        <v/>
      </c>
    </row>
    <row r="435" spans="2:18" ht="18" customHeight="1" x14ac:dyDescent="0.3">
      <c r="B435" s="24"/>
      <c r="C435" s="25"/>
      <c r="D435" s="18" t="str">
        <f>IF(B435="","",SUMIFS('📈 Datos Completos'!$E$7:$E$5000, '📈 Datos Completos'!$B$7:$B$5000, B435, '📈 Datos Completos'!$D$7:$D$5000, C435))</f>
        <v/>
      </c>
      <c r="E435" s="18" t="str">
        <f>IF(B435="","",SUMIFS('📈 Datos Completos'!$F$7:$F$5000, '📈 Datos Completos'!$B$7:$B$5000, B435, '📈 Datos Completos'!$D$7:$D$5000, C435))</f>
        <v/>
      </c>
      <c r="F435" s="18" t="str">
        <f>IF(B435="","",SUMIFS('📈 Datos Completos'!$G$7:$G$5000, '📈 Datos Completos'!$B$7:$B$5000, B435, '📈 Datos Completos'!$D$7:$D$5000, C435))</f>
        <v/>
      </c>
      <c r="G435" s="18" t="str">
        <f t="shared" si="54"/>
        <v/>
      </c>
      <c r="H435" s="19" t="str">
        <f>IF(B435="","",SUMIFS('📈 Datos Completos'!$I$7:$I$5000, '📈 Datos Completos'!$B$7:$B$5000, B435, '📈 Datos Completos'!$D$7:$D$5000, C435))</f>
        <v/>
      </c>
      <c r="I435" s="19" t="str">
        <f t="shared" si="55"/>
        <v/>
      </c>
      <c r="J435" s="19" t="str">
        <f t="shared" si="56"/>
        <v/>
      </c>
      <c r="K435" s="19" t="str">
        <f>IF(B435="","",IF(C435="DIA", (SUMIFS('📋 Detalle Diario'!$D$5:$D$489, '📋 Detalle Diario'!$B$5:$B$489, B435, '📋 Detalle Diario'!$C$5:$C$489, C435) * '⚙️ Supuestos'!$C$24) + '⚙️ Supuestos'!$C$23, (SUMIFS('📋 Detalle Diario'!$D$5:$D$489, '📋 Detalle Diario'!$B$5:$B$489, B435, '📋 Detalle Diario'!$C$5:$C$489, C435) * '⚙️ Supuestos'!$C$24) + '⚙️ Supuestos'!$C$33))</f>
        <v/>
      </c>
      <c r="L435" s="19" t="str">
        <f t="shared" si="57"/>
        <v/>
      </c>
      <c r="M435" s="20" t="str">
        <f t="shared" si="58"/>
        <v/>
      </c>
      <c r="N435" s="19" t="str">
        <f t="shared" si="59"/>
        <v/>
      </c>
      <c r="O435" s="25" t="str">
        <f t="shared" si="60"/>
        <v/>
      </c>
      <c r="P435" s="19" t="str">
        <f t="shared" si="61"/>
        <v/>
      </c>
      <c r="Q435" s="19" t="str">
        <f>IF(B435="","",J435-P435+(SUMIFS('📋 Detalle Diario'!$E$5:$E$489, '📋 Detalle Diario'!$B$5:$B$489, B435, '📋 Detalle Diario'!$C$5:$C$489, C435)*135)+(SUMIFS('📋 Detalle Diario'!$I$5:$I$489, '📋 Detalle Diario'!$B$5:$B$489, B435, '📋 Detalle Diario'!$C$5:$C$489, C435)*200))</f>
        <v/>
      </c>
      <c r="R435" s="20" t="str">
        <f t="shared" si="62"/>
        <v/>
      </c>
    </row>
    <row r="436" spans="2:18" ht="18" customHeight="1" x14ac:dyDescent="0.3">
      <c r="B436" s="26"/>
      <c r="C436" s="27"/>
      <c r="D436" s="18" t="str">
        <f>IF(B436="","",SUMIFS('📈 Datos Completos'!$E$7:$E$5000, '📈 Datos Completos'!$B$7:$B$5000, B436, '📈 Datos Completos'!$D$7:$D$5000, C436))</f>
        <v/>
      </c>
      <c r="E436" s="18" t="str">
        <f>IF(B436="","",SUMIFS('📈 Datos Completos'!$F$7:$F$5000, '📈 Datos Completos'!$B$7:$B$5000, B436, '📈 Datos Completos'!$D$7:$D$5000, C436))</f>
        <v/>
      </c>
      <c r="F436" s="18" t="str">
        <f>IF(B436="","",SUMIFS('📈 Datos Completos'!$G$7:$G$5000, '📈 Datos Completos'!$B$7:$B$5000, B436, '📈 Datos Completos'!$D$7:$D$5000, C436))</f>
        <v/>
      </c>
      <c r="G436" s="18" t="str">
        <f t="shared" si="54"/>
        <v/>
      </c>
      <c r="H436" s="19" t="str">
        <f>IF(B436="","",SUMIFS('📈 Datos Completos'!$I$7:$I$5000, '📈 Datos Completos'!$B$7:$B$5000, B436, '📈 Datos Completos'!$D$7:$D$5000, C436))</f>
        <v/>
      </c>
      <c r="I436" s="19" t="str">
        <f t="shared" si="55"/>
        <v/>
      </c>
      <c r="J436" s="19" t="str">
        <f t="shared" si="56"/>
        <v/>
      </c>
      <c r="K436" s="19" t="str">
        <f>IF(B436="","",IF(C436="DIA", (SUMIFS('📋 Detalle Diario'!$D$5:$D$489, '📋 Detalle Diario'!$B$5:$B$489, B436, '📋 Detalle Diario'!$C$5:$C$489, C436) * '⚙️ Supuestos'!$C$24) + '⚙️ Supuestos'!$C$23, (SUMIFS('📋 Detalle Diario'!$D$5:$D$489, '📋 Detalle Diario'!$B$5:$B$489, B436, '📋 Detalle Diario'!$C$5:$C$489, C436) * '⚙️ Supuestos'!$C$24) + '⚙️ Supuestos'!$C$33))</f>
        <v/>
      </c>
      <c r="L436" s="19" t="str">
        <f t="shared" si="57"/>
        <v/>
      </c>
      <c r="M436" s="20" t="str">
        <f t="shared" si="58"/>
        <v/>
      </c>
      <c r="N436" s="19" t="str">
        <f t="shared" si="59"/>
        <v/>
      </c>
      <c r="O436" s="27" t="str">
        <f t="shared" si="60"/>
        <v/>
      </c>
      <c r="P436" s="19" t="str">
        <f t="shared" si="61"/>
        <v/>
      </c>
      <c r="Q436" s="19" t="str">
        <f>IF(B436="","",J436-P436+(SUMIFS('📋 Detalle Diario'!$E$5:$E$489, '📋 Detalle Diario'!$B$5:$B$489, B436, '📋 Detalle Diario'!$C$5:$C$489, C436)*135)+(SUMIFS('📋 Detalle Diario'!$I$5:$I$489, '📋 Detalle Diario'!$B$5:$B$489, B436, '📋 Detalle Diario'!$C$5:$C$489, C436)*200))</f>
        <v/>
      </c>
      <c r="R436" s="20" t="str">
        <f t="shared" si="62"/>
        <v/>
      </c>
    </row>
    <row r="437" spans="2:18" ht="18" customHeight="1" x14ac:dyDescent="0.3">
      <c r="B437" s="24"/>
      <c r="C437" s="25"/>
      <c r="D437" s="18" t="str">
        <f>IF(B437="","",SUMIFS('📈 Datos Completos'!$E$7:$E$5000, '📈 Datos Completos'!$B$7:$B$5000, B437, '📈 Datos Completos'!$D$7:$D$5000, C437))</f>
        <v/>
      </c>
      <c r="E437" s="18" t="str">
        <f>IF(B437="","",SUMIFS('📈 Datos Completos'!$F$7:$F$5000, '📈 Datos Completos'!$B$7:$B$5000, B437, '📈 Datos Completos'!$D$7:$D$5000, C437))</f>
        <v/>
      </c>
      <c r="F437" s="18" t="str">
        <f>IF(B437="","",SUMIFS('📈 Datos Completos'!$G$7:$G$5000, '📈 Datos Completos'!$B$7:$B$5000, B437, '📈 Datos Completos'!$D$7:$D$5000, C437))</f>
        <v/>
      </c>
      <c r="G437" s="18" t="str">
        <f t="shared" si="54"/>
        <v/>
      </c>
      <c r="H437" s="19" t="str">
        <f>IF(B437="","",SUMIFS('📈 Datos Completos'!$I$7:$I$5000, '📈 Datos Completos'!$B$7:$B$5000, B437, '📈 Datos Completos'!$D$7:$D$5000, C437))</f>
        <v/>
      </c>
      <c r="I437" s="19" t="str">
        <f t="shared" si="55"/>
        <v/>
      </c>
      <c r="J437" s="19" t="str">
        <f t="shared" si="56"/>
        <v/>
      </c>
      <c r="K437" s="19" t="str">
        <f>IF(B437="","",IF(C437="DIA", (SUMIFS('📋 Detalle Diario'!$D$5:$D$489, '📋 Detalle Diario'!$B$5:$B$489, B437, '📋 Detalle Diario'!$C$5:$C$489, C437) * '⚙️ Supuestos'!$C$24) + '⚙️ Supuestos'!$C$23, (SUMIFS('📋 Detalle Diario'!$D$5:$D$489, '📋 Detalle Diario'!$B$5:$B$489, B437, '📋 Detalle Diario'!$C$5:$C$489, C437) * '⚙️ Supuestos'!$C$24) + '⚙️ Supuestos'!$C$33))</f>
        <v/>
      </c>
      <c r="L437" s="19" t="str">
        <f t="shared" si="57"/>
        <v/>
      </c>
      <c r="M437" s="20" t="str">
        <f t="shared" si="58"/>
        <v/>
      </c>
      <c r="N437" s="19" t="str">
        <f t="shared" si="59"/>
        <v/>
      </c>
      <c r="O437" s="25" t="str">
        <f t="shared" si="60"/>
        <v/>
      </c>
      <c r="P437" s="19" t="str">
        <f t="shared" si="61"/>
        <v/>
      </c>
      <c r="Q437" s="19" t="str">
        <f>IF(B437="","",J437-P437+(SUMIFS('📋 Detalle Diario'!$E$5:$E$489, '📋 Detalle Diario'!$B$5:$B$489, B437, '📋 Detalle Diario'!$C$5:$C$489, C437)*135)+(SUMIFS('📋 Detalle Diario'!$I$5:$I$489, '📋 Detalle Diario'!$B$5:$B$489, B437, '📋 Detalle Diario'!$C$5:$C$489, C437)*200))</f>
        <v/>
      </c>
      <c r="R437" s="20" t="str">
        <f t="shared" si="62"/>
        <v/>
      </c>
    </row>
    <row r="438" spans="2:18" ht="18" customHeight="1" x14ac:dyDescent="0.3">
      <c r="B438" s="26"/>
      <c r="C438" s="27"/>
      <c r="D438" s="18" t="str">
        <f>IF(B438="","",SUMIFS('📈 Datos Completos'!$E$7:$E$5000, '📈 Datos Completos'!$B$7:$B$5000, B438, '📈 Datos Completos'!$D$7:$D$5000, C438))</f>
        <v/>
      </c>
      <c r="E438" s="18" t="str">
        <f>IF(B438="","",SUMIFS('📈 Datos Completos'!$F$7:$F$5000, '📈 Datos Completos'!$B$7:$B$5000, B438, '📈 Datos Completos'!$D$7:$D$5000, C438))</f>
        <v/>
      </c>
      <c r="F438" s="18" t="str">
        <f>IF(B438="","",SUMIFS('📈 Datos Completos'!$G$7:$G$5000, '📈 Datos Completos'!$B$7:$B$5000, B438, '📈 Datos Completos'!$D$7:$D$5000, C438))</f>
        <v/>
      </c>
      <c r="G438" s="18" t="str">
        <f t="shared" si="54"/>
        <v/>
      </c>
      <c r="H438" s="19" t="str">
        <f>IF(B438="","",SUMIFS('📈 Datos Completos'!$I$7:$I$5000, '📈 Datos Completos'!$B$7:$B$5000, B438, '📈 Datos Completos'!$D$7:$D$5000, C438))</f>
        <v/>
      </c>
      <c r="I438" s="19" t="str">
        <f t="shared" si="55"/>
        <v/>
      </c>
      <c r="J438" s="19" t="str">
        <f t="shared" si="56"/>
        <v/>
      </c>
      <c r="K438" s="19" t="str">
        <f>IF(B438="","",IF(C438="DIA", (SUMIFS('📋 Detalle Diario'!$D$5:$D$489, '📋 Detalle Diario'!$B$5:$B$489, B438, '📋 Detalle Diario'!$C$5:$C$489, C438) * '⚙️ Supuestos'!$C$24) + '⚙️ Supuestos'!$C$23, (SUMIFS('📋 Detalle Diario'!$D$5:$D$489, '📋 Detalle Diario'!$B$5:$B$489, B438, '📋 Detalle Diario'!$C$5:$C$489, C438) * '⚙️ Supuestos'!$C$24) + '⚙️ Supuestos'!$C$33))</f>
        <v/>
      </c>
      <c r="L438" s="19" t="str">
        <f t="shared" si="57"/>
        <v/>
      </c>
      <c r="M438" s="20" t="str">
        <f t="shared" si="58"/>
        <v/>
      </c>
      <c r="N438" s="19" t="str">
        <f t="shared" si="59"/>
        <v/>
      </c>
      <c r="O438" s="27" t="str">
        <f t="shared" si="60"/>
        <v/>
      </c>
      <c r="P438" s="19" t="str">
        <f t="shared" si="61"/>
        <v/>
      </c>
      <c r="Q438" s="19" t="str">
        <f>IF(B438="","",J438-P438+(SUMIFS('📋 Detalle Diario'!$E$5:$E$489, '📋 Detalle Diario'!$B$5:$B$489, B438, '📋 Detalle Diario'!$C$5:$C$489, C438)*135)+(SUMIFS('📋 Detalle Diario'!$I$5:$I$489, '📋 Detalle Diario'!$B$5:$B$489, B438, '📋 Detalle Diario'!$C$5:$C$489, C438)*200))</f>
        <v/>
      </c>
      <c r="R438" s="20" t="str">
        <f t="shared" si="62"/>
        <v/>
      </c>
    </row>
    <row r="439" spans="2:18" ht="18" customHeight="1" x14ac:dyDescent="0.3">
      <c r="B439" s="24"/>
      <c r="C439" s="25"/>
      <c r="D439" s="18" t="str">
        <f>IF(B439="","",SUMIFS('📈 Datos Completos'!$E$7:$E$5000, '📈 Datos Completos'!$B$7:$B$5000, B439, '📈 Datos Completos'!$D$7:$D$5000, C439))</f>
        <v/>
      </c>
      <c r="E439" s="18" t="str">
        <f>IF(B439="","",SUMIFS('📈 Datos Completos'!$F$7:$F$5000, '📈 Datos Completos'!$B$7:$B$5000, B439, '📈 Datos Completos'!$D$7:$D$5000, C439))</f>
        <v/>
      </c>
      <c r="F439" s="18" t="str">
        <f>IF(B439="","",SUMIFS('📈 Datos Completos'!$G$7:$G$5000, '📈 Datos Completos'!$B$7:$B$5000, B439, '📈 Datos Completos'!$D$7:$D$5000, C439))</f>
        <v/>
      </c>
      <c r="G439" s="18" t="str">
        <f t="shared" si="54"/>
        <v/>
      </c>
      <c r="H439" s="19" t="str">
        <f>IF(B439="","",SUMIFS('📈 Datos Completos'!$I$7:$I$5000, '📈 Datos Completos'!$B$7:$B$5000, B439, '📈 Datos Completos'!$D$7:$D$5000, C439))</f>
        <v/>
      </c>
      <c r="I439" s="19" t="str">
        <f t="shared" si="55"/>
        <v/>
      </c>
      <c r="J439" s="19" t="str">
        <f t="shared" si="56"/>
        <v/>
      </c>
      <c r="K439" s="19" t="str">
        <f>IF(B439="","",IF(C439="DIA", (SUMIFS('📋 Detalle Diario'!$D$5:$D$489, '📋 Detalle Diario'!$B$5:$B$489, B439, '📋 Detalle Diario'!$C$5:$C$489, C439) * '⚙️ Supuestos'!$C$24) + '⚙️ Supuestos'!$C$23, (SUMIFS('📋 Detalle Diario'!$D$5:$D$489, '📋 Detalle Diario'!$B$5:$B$489, B439, '📋 Detalle Diario'!$C$5:$C$489, C439) * '⚙️ Supuestos'!$C$24) + '⚙️ Supuestos'!$C$33))</f>
        <v/>
      </c>
      <c r="L439" s="19" t="str">
        <f t="shared" si="57"/>
        <v/>
      </c>
      <c r="M439" s="20" t="str">
        <f t="shared" si="58"/>
        <v/>
      </c>
      <c r="N439" s="19" t="str">
        <f t="shared" si="59"/>
        <v/>
      </c>
      <c r="O439" s="25" t="str">
        <f t="shared" si="60"/>
        <v/>
      </c>
      <c r="P439" s="19" t="str">
        <f t="shared" si="61"/>
        <v/>
      </c>
      <c r="Q439" s="19" t="str">
        <f>IF(B439="","",J439-P439+(SUMIFS('📋 Detalle Diario'!$E$5:$E$489, '📋 Detalle Diario'!$B$5:$B$489, B439, '📋 Detalle Diario'!$C$5:$C$489, C439)*135)+(SUMIFS('📋 Detalle Diario'!$I$5:$I$489, '📋 Detalle Diario'!$B$5:$B$489, B439, '📋 Detalle Diario'!$C$5:$C$489, C439)*200))</f>
        <v/>
      </c>
      <c r="R439" s="20" t="str">
        <f t="shared" si="62"/>
        <v/>
      </c>
    </row>
    <row r="440" spans="2:18" ht="18" customHeight="1" x14ac:dyDescent="0.3">
      <c r="B440" s="26"/>
      <c r="C440" s="27"/>
      <c r="D440" s="18" t="str">
        <f>IF(B440="","",SUMIFS('📈 Datos Completos'!$E$7:$E$5000, '📈 Datos Completos'!$B$7:$B$5000, B440, '📈 Datos Completos'!$D$7:$D$5000, C440))</f>
        <v/>
      </c>
      <c r="E440" s="18" t="str">
        <f>IF(B440="","",SUMIFS('📈 Datos Completos'!$F$7:$F$5000, '📈 Datos Completos'!$B$7:$B$5000, B440, '📈 Datos Completos'!$D$7:$D$5000, C440))</f>
        <v/>
      </c>
      <c r="F440" s="18" t="str">
        <f>IF(B440="","",SUMIFS('📈 Datos Completos'!$G$7:$G$5000, '📈 Datos Completos'!$B$7:$B$5000, B440, '📈 Datos Completos'!$D$7:$D$5000, C440))</f>
        <v/>
      </c>
      <c r="G440" s="18" t="str">
        <f t="shared" si="54"/>
        <v/>
      </c>
      <c r="H440" s="19" t="str">
        <f>IF(B440="","",SUMIFS('📈 Datos Completos'!$I$7:$I$5000, '📈 Datos Completos'!$B$7:$B$5000, B440, '📈 Datos Completos'!$D$7:$D$5000, C440))</f>
        <v/>
      </c>
      <c r="I440" s="19" t="str">
        <f t="shared" si="55"/>
        <v/>
      </c>
      <c r="J440" s="19" t="str">
        <f t="shared" si="56"/>
        <v/>
      </c>
      <c r="K440" s="19" t="str">
        <f>IF(B440="","",IF(C440="DIA", (SUMIFS('📋 Detalle Diario'!$D$5:$D$489, '📋 Detalle Diario'!$B$5:$B$489, B440, '📋 Detalle Diario'!$C$5:$C$489, C440) * '⚙️ Supuestos'!$C$24) + '⚙️ Supuestos'!$C$23, (SUMIFS('📋 Detalle Diario'!$D$5:$D$489, '📋 Detalle Diario'!$B$5:$B$489, B440, '📋 Detalle Diario'!$C$5:$C$489, C440) * '⚙️ Supuestos'!$C$24) + '⚙️ Supuestos'!$C$33))</f>
        <v/>
      </c>
      <c r="L440" s="19" t="str">
        <f t="shared" si="57"/>
        <v/>
      </c>
      <c r="M440" s="20" t="str">
        <f t="shared" si="58"/>
        <v/>
      </c>
      <c r="N440" s="19" t="str">
        <f t="shared" si="59"/>
        <v/>
      </c>
      <c r="O440" s="27" t="str">
        <f t="shared" si="60"/>
        <v/>
      </c>
      <c r="P440" s="19" t="str">
        <f t="shared" si="61"/>
        <v/>
      </c>
      <c r="Q440" s="19" t="str">
        <f>IF(B440="","",J440-P440+(SUMIFS('📋 Detalle Diario'!$E$5:$E$489, '📋 Detalle Diario'!$B$5:$B$489, B440, '📋 Detalle Diario'!$C$5:$C$489, C440)*135)+(SUMIFS('📋 Detalle Diario'!$I$5:$I$489, '📋 Detalle Diario'!$B$5:$B$489, B440, '📋 Detalle Diario'!$C$5:$C$489, C440)*200))</f>
        <v/>
      </c>
      <c r="R440" s="20" t="str">
        <f t="shared" si="62"/>
        <v/>
      </c>
    </row>
    <row r="441" spans="2:18" ht="18" customHeight="1" x14ac:dyDescent="0.3">
      <c r="B441" s="24"/>
      <c r="C441" s="25"/>
      <c r="D441" s="18" t="str">
        <f>IF(B441="","",SUMIFS('📈 Datos Completos'!$E$7:$E$5000, '📈 Datos Completos'!$B$7:$B$5000, B441, '📈 Datos Completos'!$D$7:$D$5000, C441))</f>
        <v/>
      </c>
      <c r="E441" s="18" t="str">
        <f>IF(B441="","",SUMIFS('📈 Datos Completos'!$F$7:$F$5000, '📈 Datos Completos'!$B$7:$B$5000, B441, '📈 Datos Completos'!$D$7:$D$5000, C441))</f>
        <v/>
      </c>
      <c r="F441" s="18" t="str">
        <f>IF(B441="","",SUMIFS('📈 Datos Completos'!$G$7:$G$5000, '📈 Datos Completos'!$B$7:$B$5000, B441, '📈 Datos Completos'!$D$7:$D$5000, C441))</f>
        <v/>
      </c>
      <c r="G441" s="18" t="str">
        <f t="shared" si="54"/>
        <v/>
      </c>
      <c r="H441" s="19" t="str">
        <f>IF(B441="","",SUMIFS('📈 Datos Completos'!$I$7:$I$5000, '📈 Datos Completos'!$B$7:$B$5000, B441, '📈 Datos Completos'!$D$7:$D$5000, C441))</f>
        <v/>
      </c>
      <c r="I441" s="19" t="str">
        <f t="shared" si="55"/>
        <v/>
      </c>
      <c r="J441" s="19" t="str">
        <f t="shared" si="56"/>
        <v/>
      </c>
      <c r="K441" s="19" t="str">
        <f>IF(B441="","",IF(C441="DIA", (SUMIFS('📋 Detalle Diario'!$D$5:$D$489, '📋 Detalle Diario'!$B$5:$B$489, B441, '📋 Detalle Diario'!$C$5:$C$489, C441) * '⚙️ Supuestos'!$C$24) + '⚙️ Supuestos'!$C$23, (SUMIFS('📋 Detalle Diario'!$D$5:$D$489, '📋 Detalle Diario'!$B$5:$B$489, B441, '📋 Detalle Diario'!$C$5:$C$489, C441) * '⚙️ Supuestos'!$C$24) + '⚙️ Supuestos'!$C$33))</f>
        <v/>
      </c>
      <c r="L441" s="19" t="str">
        <f t="shared" si="57"/>
        <v/>
      </c>
      <c r="M441" s="20" t="str">
        <f t="shared" si="58"/>
        <v/>
      </c>
      <c r="N441" s="19" t="str">
        <f t="shared" si="59"/>
        <v/>
      </c>
      <c r="O441" s="25" t="str">
        <f t="shared" si="60"/>
        <v/>
      </c>
      <c r="P441" s="19" t="str">
        <f t="shared" si="61"/>
        <v/>
      </c>
      <c r="Q441" s="19" t="str">
        <f>IF(B441="","",J441-P441+(SUMIFS('📋 Detalle Diario'!$E$5:$E$489, '📋 Detalle Diario'!$B$5:$B$489, B441, '📋 Detalle Diario'!$C$5:$C$489, C441)*135)+(SUMIFS('📋 Detalle Diario'!$I$5:$I$489, '📋 Detalle Diario'!$B$5:$B$489, B441, '📋 Detalle Diario'!$C$5:$C$489, C441)*200))</f>
        <v/>
      </c>
      <c r="R441" s="20" t="str">
        <f t="shared" si="62"/>
        <v/>
      </c>
    </row>
    <row r="442" spans="2:18" ht="18" customHeight="1" x14ac:dyDescent="0.3">
      <c r="B442" s="26"/>
      <c r="C442" s="27"/>
      <c r="D442" s="18" t="str">
        <f>IF(B442="","",SUMIFS('📈 Datos Completos'!$E$7:$E$5000, '📈 Datos Completos'!$B$7:$B$5000, B442, '📈 Datos Completos'!$D$7:$D$5000, C442))</f>
        <v/>
      </c>
      <c r="E442" s="18" t="str">
        <f>IF(B442="","",SUMIFS('📈 Datos Completos'!$F$7:$F$5000, '📈 Datos Completos'!$B$7:$B$5000, B442, '📈 Datos Completos'!$D$7:$D$5000, C442))</f>
        <v/>
      </c>
      <c r="F442" s="18" t="str">
        <f>IF(B442="","",SUMIFS('📈 Datos Completos'!$G$7:$G$5000, '📈 Datos Completos'!$B$7:$B$5000, B442, '📈 Datos Completos'!$D$7:$D$5000, C442))</f>
        <v/>
      </c>
      <c r="G442" s="18" t="str">
        <f t="shared" si="54"/>
        <v/>
      </c>
      <c r="H442" s="19" t="str">
        <f>IF(B442="","",SUMIFS('📈 Datos Completos'!$I$7:$I$5000, '📈 Datos Completos'!$B$7:$B$5000, B442, '📈 Datos Completos'!$D$7:$D$5000, C442))</f>
        <v/>
      </c>
      <c r="I442" s="19" t="str">
        <f t="shared" si="55"/>
        <v/>
      </c>
      <c r="J442" s="19" t="str">
        <f t="shared" si="56"/>
        <v/>
      </c>
      <c r="K442" s="19" t="str">
        <f>IF(B442="","",IF(C442="DIA", (SUMIFS('📋 Detalle Diario'!$D$5:$D$489, '📋 Detalle Diario'!$B$5:$B$489, B442, '📋 Detalle Diario'!$C$5:$C$489, C442) * '⚙️ Supuestos'!$C$24) + '⚙️ Supuestos'!$C$23, (SUMIFS('📋 Detalle Diario'!$D$5:$D$489, '📋 Detalle Diario'!$B$5:$B$489, B442, '📋 Detalle Diario'!$C$5:$C$489, C442) * '⚙️ Supuestos'!$C$24) + '⚙️ Supuestos'!$C$33))</f>
        <v/>
      </c>
      <c r="L442" s="19" t="str">
        <f t="shared" si="57"/>
        <v/>
      </c>
      <c r="M442" s="20" t="str">
        <f t="shared" si="58"/>
        <v/>
      </c>
      <c r="N442" s="19" t="str">
        <f t="shared" si="59"/>
        <v/>
      </c>
      <c r="O442" s="27" t="str">
        <f t="shared" si="60"/>
        <v/>
      </c>
      <c r="P442" s="19" t="str">
        <f t="shared" si="61"/>
        <v/>
      </c>
      <c r="Q442" s="19" t="str">
        <f>IF(B442="","",J442-P442+(SUMIFS('📋 Detalle Diario'!$E$5:$E$489, '📋 Detalle Diario'!$B$5:$B$489, B442, '📋 Detalle Diario'!$C$5:$C$489, C442)*135)+(SUMIFS('📋 Detalle Diario'!$I$5:$I$489, '📋 Detalle Diario'!$B$5:$B$489, B442, '📋 Detalle Diario'!$C$5:$C$489, C442)*200))</f>
        <v/>
      </c>
      <c r="R442" s="20" t="str">
        <f t="shared" si="62"/>
        <v/>
      </c>
    </row>
    <row r="443" spans="2:18" ht="18" customHeight="1" x14ac:dyDescent="0.3">
      <c r="B443" s="24"/>
      <c r="C443" s="25"/>
      <c r="D443" s="18" t="str">
        <f>IF(B443="","",SUMIFS('📈 Datos Completos'!$E$7:$E$5000, '📈 Datos Completos'!$B$7:$B$5000, B443, '📈 Datos Completos'!$D$7:$D$5000, C443))</f>
        <v/>
      </c>
      <c r="E443" s="18" t="str">
        <f>IF(B443="","",SUMIFS('📈 Datos Completos'!$F$7:$F$5000, '📈 Datos Completos'!$B$7:$B$5000, B443, '📈 Datos Completos'!$D$7:$D$5000, C443))</f>
        <v/>
      </c>
      <c r="F443" s="18" t="str">
        <f>IF(B443="","",SUMIFS('📈 Datos Completos'!$G$7:$G$5000, '📈 Datos Completos'!$B$7:$B$5000, B443, '📈 Datos Completos'!$D$7:$D$5000, C443))</f>
        <v/>
      </c>
      <c r="G443" s="18" t="str">
        <f t="shared" si="54"/>
        <v/>
      </c>
      <c r="H443" s="19" t="str">
        <f>IF(B443="","",SUMIFS('📈 Datos Completos'!$I$7:$I$5000, '📈 Datos Completos'!$B$7:$B$5000, B443, '📈 Datos Completos'!$D$7:$D$5000, C443))</f>
        <v/>
      </c>
      <c r="I443" s="19" t="str">
        <f t="shared" si="55"/>
        <v/>
      </c>
      <c r="J443" s="19" t="str">
        <f t="shared" si="56"/>
        <v/>
      </c>
      <c r="K443" s="19" t="str">
        <f>IF(B443="","",IF(C443="DIA", (SUMIFS('📋 Detalle Diario'!$D$5:$D$489, '📋 Detalle Diario'!$B$5:$B$489, B443, '📋 Detalle Diario'!$C$5:$C$489, C443) * '⚙️ Supuestos'!$C$24) + '⚙️ Supuestos'!$C$23, (SUMIFS('📋 Detalle Diario'!$D$5:$D$489, '📋 Detalle Diario'!$B$5:$B$489, B443, '📋 Detalle Diario'!$C$5:$C$489, C443) * '⚙️ Supuestos'!$C$24) + '⚙️ Supuestos'!$C$33))</f>
        <v/>
      </c>
      <c r="L443" s="19" t="str">
        <f t="shared" si="57"/>
        <v/>
      </c>
      <c r="M443" s="20" t="str">
        <f t="shared" si="58"/>
        <v/>
      </c>
      <c r="N443" s="19" t="str">
        <f t="shared" si="59"/>
        <v/>
      </c>
      <c r="O443" s="25" t="str">
        <f t="shared" si="60"/>
        <v/>
      </c>
      <c r="P443" s="19" t="str">
        <f t="shared" si="61"/>
        <v/>
      </c>
      <c r="Q443" s="19" t="str">
        <f>IF(B443="","",J443-P443+(SUMIFS('📋 Detalle Diario'!$E$5:$E$489, '📋 Detalle Diario'!$B$5:$B$489, B443, '📋 Detalle Diario'!$C$5:$C$489, C443)*135)+(SUMIFS('📋 Detalle Diario'!$I$5:$I$489, '📋 Detalle Diario'!$B$5:$B$489, B443, '📋 Detalle Diario'!$C$5:$C$489, C443)*200))</f>
        <v/>
      </c>
      <c r="R443" s="20" t="str">
        <f t="shared" si="62"/>
        <v/>
      </c>
    </row>
    <row r="444" spans="2:18" ht="18" customHeight="1" x14ac:dyDescent="0.3">
      <c r="B444" s="26"/>
      <c r="C444" s="27"/>
      <c r="D444" s="18" t="str">
        <f>IF(B444="","",SUMIFS('📈 Datos Completos'!$E$7:$E$5000, '📈 Datos Completos'!$B$7:$B$5000, B444, '📈 Datos Completos'!$D$7:$D$5000, C444))</f>
        <v/>
      </c>
      <c r="E444" s="18" t="str">
        <f>IF(B444="","",SUMIFS('📈 Datos Completos'!$F$7:$F$5000, '📈 Datos Completos'!$B$7:$B$5000, B444, '📈 Datos Completos'!$D$7:$D$5000, C444))</f>
        <v/>
      </c>
      <c r="F444" s="18" t="str">
        <f>IF(B444="","",SUMIFS('📈 Datos Completos'!$G$7:$G$5000, '📈 Datos Completos'!$B$7:$B$5000, B444, '📈 Datos Completos'!$D$7:$D$5000, C444))</f>
        <v/>
      </c>
      <c r="G444" s="18" t="str">
        <f t="shared" si="54"/>
        <v/>
      </c>
      <c r="H444" s="19" t="str">
        <f>IF(B444="","",SUMIFS('📈 Datos Completos'!$I$7:$I$5000, '📈 Datos Completos'!$B$7:$B$5000, B444, '📈 Datos Completos'!$D$7:$D$5000, C444))</f>
        <v/>
      </c>
      <c r="I444" s="19" t="str">
        <f t="shared" si="55"/>
        <v/>
      </c>
      <c r="J444" s="19" t="str">
        <f t="shared" si="56"/>
        <v/>
      </c>
      <c r="K444" s="19" t="str">
        <f>IF(B444="","",IF(C444="DIA", (SUMIFS('📋 Detalle Diario'!$D$5:$D$489, '📋 Detalle Diario'!$B$5:$B$489, B444, '📋 Detalle Diario'!$C$5:$C$489, C444) * '⚙️ Supuestos'!$C$24) + '⚙️ Supuestos'!$C$23, (SUMIFS('📋 Detalle Diario'!$D$5:$D$489, '📋 Detalle Diario'!$B$5:$B$489, B444, '📋 Detalle Diario'!$C$5:$C$489, C444) * '⚙️ Supuestos'!$C$24) + '⚙️ Supuestos'!$C$33))</f>
        <v/>
      </c>
      <c r="L444" s="19" t="str">
        <f t="shared" si="57"/>
        <v/>
      </c>
      <c r="M444" s="20" t="str">
        <f t="shared" si="58"/>
        <v/>
      </c>
      <c r="N444" s="19" t="str">
        <f t="shared" si="59"/>
        <v/>
      </c>
      <c r="O444" s="27" t="str">
        <f t="shared" si="60"/>
        <v/>
      </c>
      <c r="P444" s="19" t="str">
        <f t="shared" si="61"/>
        <v/>
      </c>
      <c r="Q444" s="19" t="str">
        <f>IF(B444="","",J444-P444+(SUMIFS('📋 Detalle Diario'!$E$5:$E$489, '📋 Detalle Diario'!$B$5:$B$489, B444, '📋 Detalle Diario'!$C$5:$C$489, C444)*135)+(SUMIFS('📋 Detalle Diario'!$I$5:$I$489, '📋 Detalle Diario'!$B$5:$B$489, B444, '📋 Detalle Diario'!$C$5:$C$489, C444)*200))</f>
        <v/>
      </c>
      <c r="R444" s="20" t="str">
        <f t="shared" si="62"/>
        <v/>
      </c>
    </row>
    <row r="445" spans="2:18" ht="18" customHeight="1" x14ac:dyDescent="0.3">
      <c r="B445" s="24"/>
      <c r="C445" s="25"/>
      <c r="D445" s="18" t="str">
        <f>IF(B445="","",SUMIFS('📈 Datos Completos'!$E$7:$E$5000, '📈 Datos Completos'!$B$7:$B$5000, B445, '📈 Datos Completos'!$D$7:$D$5000, C445))</f>
        <v/>
      </c>
      <c r="E445" s="18" t="str">
        <f>IF(B445="","",SUMIFS('📈 Datos Completos'!$F$7:$F$5000, '📈 Datos Completos'!$B$7:$B$5000, B445, '📈 Datos Completos'!$D$7:$D$5000, C445))</f>
        <v/>
      </c>
      <c r="F445" s="18" t="str">
        <f>IF(B445="","",SUMIFS('📈 Datos Completos'!$G$7:$G$5000, '📈 Datos Completos'!$B$7:$B$5000, B445, '📈 Datos Completos'!$D$7:$D$5000, C445))</f>
        <v/>
      </c>
      <c r="G445" s="18" t="str">
        <f t="shared" si="54"/>
        <v/>
      </c>
      <c r="H445" s="19" t="str">
        <f>IF(B445="","",SUMIFS('📈 Datos Completos'!$I$7:$I$5000, '📈 Datos Completos'!$B$7:$B$5000, B445, '📈 Datos Completos'!$D$7:$D$5000, C445))</f>
        <v/>
      </c>
      <c r="I445" s="19" t="str">
        <f t="shared" si="55"/>
        <v/>
      </c>
      <c r="J445" s="19" t="str">
        <f t="shared" si="56"/>
        <v/>
      </c>
      <c r="K445" s="19" t="str">
        <f>IF(B445="","",IF(C445="DIA", (SUMIFS('📋 Detalle Diario'!$D$5:$D$489, '📋 Detalle Diario'!$B$5:$B$489, B445, '📋 Detalle Diario'!$C$5:$C$489, C445) * '⚙️ Supuestos'!$C$24) + '⚙️ Supuestos'!$C$23, (SUMIFS('📋 Detalle Diario'!$D$5:$D$489, '📋 Detalle Diario'!$B$5:$B$489, B445, '📋 Detalle Diario'!$C$5:$C$489, C445) * '⚙️ Supuestos'!$C$24) + '⚙️ Supuestos'!$C$33))</f>
        <v/>
      </c>
      <c r="L445" s="19" t="str">
        <f t="shared" si="57"/>
        <v/>
      </c>
      <c r="M445" s="20" t="str">
        <f t="shared" si="58"/>
        <v/>
      </c>
      <c r="N445" s="19" t="str">
        <f t="shared" si="59"/>
        <v/>
      </c>
      <c r="O445" s="25" t="str">
        <f t="shared" si="60"/>
        <v/>
      </c>
      <c r="P445" s="19" t="str">
        <f t="shared" si="61"/>
        <v/>
      </c>
      <c r="Q445" s="19" t="str">
        <f>IF(B445="","",J445-P445+(SUMIFS('📋 Detalle Diario'!$E$5:$E$489, '📋 Detalle Diario'!$B$5:$B$489, B445, '📋 Detalle Diario'!$C$5:$C$489, C445)*135)+(SUMIFS('📋 Detalle Diario'!$I$5:$I$489, '📋 Detalle Diario'!$B$5:$B$489, B445, '📋 Detalle Diario'!$C$5:$C$489, C445)*200))</f>
        <v/>
      </c>
      <c r="R445" s="20" t="str">
        <f t="shared" si="62"/>
        <v/>
      </c>
    </row>
    <row r="446" spans="2:18" ht="18" customHeight="1" x14ac:dyDescent="0.3">
      <c r="B446" s="26"/>
      <c r="C446" s="27"/>
      <c r="D446" s="18" t="str">
        <f>IF(B446="","",SUMIFS('📈 Datos Completos'!$E$7:$E$5000, '📈 Datos Completos'!$B$7:$B$5000, B446, '📈 Datos Completos'!$D$7:$D$5000, C446))</f>
        <v/>
      </c>
      <c r="E446" s="18" t="str">
        <f>IF(B446="","",SUMIFS('📈 Datos Completos'!$F$7:$F$5000, '📈 Datos Completos'!$B$7:$B$5000, B446, '📈 Datos Completos'!$D$7:$D$5000, C446))</f>
        <v/>
      </c>
      <c r="F446" s="18" t="str">
        <f>IF(B446="","",SUMIFS('📈 Datos Completos'!$G$7:$G$5000, '📈 Datos Completos'!$B$7:$B$5000, B446, '📈 Datos Completos'!$D$7:$D$5000, C446))</f>
        <v/>
      </c>
      <c r="G446" s="18" t="str">
        <f t="shared" si="54"/>
        <v/>
      </c>
      <c r="H446" s="19" t="str">
        <f>IF(B446="","",SUMIFS('📈 Datos Completos'!$I$7:$I$5000, '📈 Datos Completos'!$B$7:$B$5000, B446, '📈 Datos Completos'!$D$7:$D$5000, C446))</f>
        <v/>
      </c>
      <c r="I446" s="19" t="str">
        <f t="shared" si="55"/>
        <v/>
      </c>
      <c r="J446" s="19" t="str">
        <f t="shared" si="56"/>
        <v/>
      </c>
      <c r="K446" s="19" t="str">
        <f>IF(B446="","",IF(C446="DIA", (SUMIFS('📋 Detalle Diario'!$D$5:$D$489, '📋 Detalle Diario'!$B$5:$B$489, B446, '📋 Detalle Diario'!$C$5:$C$489, C446) * '⚙️ Supuestos'!$C$24) + '⚙️ Supuestos'!$C$23, (SUMIFS('📋 Detalle Diario'!$D$5:$D$489, '📋 Detalle Diario'!$B$5:$B$489, B446, '📋 Detalle Diario'!$C$5:$C$489, C446) * '⚙️ Supuestos'!$C$24) + '⚙️ Supuestos'!$C$33))</f>
        <v/>
      </c>
      <c r="L446" s="19" t="str">
        <f t="shared" si="57"/>
        <v/>
      </c>
      <c r="M446" s="20" t="str">
        <f t="shared" si="58"/>
        <v/>
      </c>
      <c r="N446" s="19" t="str">
        <f t="shared" si="59"/>
        <v/>
      </c>
      <c r="O446" s="27" t="str">
        <f t="shared" si="60"/>
        <v/>
      </c>
      <c r="P446" s="19" t="str">
        <f t="shared" si="61"/>
        <v/>
      </c>
      <c r="Q446" s="19" t="str">
        <f>IF(B446="","",J446-P446+(SUMIFS('📋 Detalle Diario'!$E$5:$E$489, '📋 Detalle Diario'!$B$5:$B$489, B446, '📋 Detalle Diario'!$C$5:$C$489, C446)*135)+(SUMIFS('📋 Detalle Diario'!$I$5:$I$489, '📋 Detalle Diario'!$B$5:$B$489, B446, '📋 Detalle Diario'!$C$5:$C$489, C446)*200))</f>
        <v/>
      </c>
      <c r="R446" s="20" t="str">
        <f t="shared" si="62"/>
        <v/>
      </c>
    </row>
    <row r="447" spans="2:18" ht="18" customHeight="1" x14ac:dyDescent="0.3">
      <c r="B447" s="24"/>
      <c r="C447" s="25"/>
      <c r="D447" s="18" t="str">
        <f>IF(B447="","",SUMIFS('📈 Datos Completos'!$E$7:$E$5000, '📈 Datos Completos'!$B$7:$B$5000, B447, '📈 Datos Completos'!$D$7:$D$5000, C447))</f>
        <v/>
      </c>
      <c r="E447" s="18" t="str">
        <f>IF(B447="","",SUMIFS('📈 Datos Completos'!$F$7:$F$5000, '📈 Datos Completos'!$B$7:$B$5000, B447, '📈 Datos Completos'!$D$7:$D$5000, C447))</f>
        <v/>
      </c>
      <c r="F447" s="18" t="str">
        <f>IF(B447="","",SUMIFS('📈 Datos Completos'!$G$7:$G$5000, '📈 Datos Completos'!$B$7:$B$5000, B447, '📈 Datos Completos'!$D$7:$D$5000, C447))</f>
        <v/>
      </c>
      <c r="G447" s="18" t="str">
        <f t="shared" si="54"/>
        <v/>
      </c>
      <c r="H447" s="19" t="str">
        <f>IF(B447="","",SUMIFS('📈 Datos Completos'!$I$7:$I$5000, '📈 Datos Completos'!$B$7:$B$5000, B447, '📈 Datos Completos'!$D$7:$D$5000, C447))</f>
        <v/>
      </c>
      <c r="I447" s="19" t="str">
        <f t="shared" si="55"/>
        <v/>
      </c>
      <c r="J447" s="19" t="str">
        <f t="shared" si="56"/>
        <v/>
      </c>
      <c r="K447" s="19" t="str">
        <f>IF(B447="","",IF(C447="DIA", (SUMIFS('📋 Detalle Diario'!$D$5:$D$489, '📋 Detalle Diario'!$B$5:$B$489, B447, '📋 Detalle Diario'!$C$5:$C$489, C447) * '⚙️ Supuestos'!$C$24) + '⚙️ Supuestos'!$C$23, (SUMIFS('📋 Detalle Diario'!$D$5:$D$489, '📋 Detalle Diario'!$B$5:$B$489, B447, '📋 Detalle Diario'!$C$5:$C$489, C447) * '⚙️ Supuestos'!$C$24) + '⚙️ Supuestos'!$C$33))</f>
        <v/>
      </c>
      <c r="L447" s="19" t="str">
        <f t="shared" si="57"/>
        <v/>
      </c>
      <c r="M447" s="20" t="str">
        <f t="shared" si="58"/>
        <v/>
      </c>
      <c r="N447" s="19" t="str">
        <f t="shared" si="59"/>
        <v/>
      </c>
      <c r="O447" s="25" t="str">
        <f t="shared" si="60"/>
        <v/>
      </c>
      <c r="P447" s="19" t="str">
        <f t="shared" si="61"/>
        <v/>
      </c>
      <c r="Q447" s="19" t="str">
        <f>IF(B447="","",J447-P447+(SUMIFS('📋 Detalle Diario'!$E$5:$E$489, '📋 Detalle Diario'!$B$5:$B$489, B447, '📋 Detalle Diario'!$C$5:$C$489, C447)*135)+(SUMIFS('📋 Detalle Diario'!$I$5:$I$489, '📋 Detalle Diario'!$B$5:$B$489, B447, '📋 Detalle Diario'!$C$5:$C$489, C447)*200))</f>
        <v/>
      </c>
      <c r="R447" s="20" t="str">
        <f t="shared" si="62"/>
        <v/>
      </c>
    </row>
    <row r="448" spans="2:18" ht="18" customHeight="1" x14ac:dyDescent="0.3">
      <c r="B448" s="26"/>
      <c r="C448" s="27"/>
      <c r="D448" s="18" t="str">
        <f>IF(B448="","",SUMIFS('📈 Datos Completos'!$E$7:$E$5000, '📈 Datos Completos'!$B$7:$B$5000, B448, '📈 Datos Completos'!$D$7:$D$5000, C448))</f>
        <v/>
      </c>
      <c r="E448" s="18" t="str">
        <f>IF(B448="","",SUMIFS('📈 Datos Completos'!$F$7:$F$5000, '📈 Datos Completos'!$B$7:$B$5000, B448, '📈 Datos Completos'!$D$7:$D$5000, C448))</f>
        <v/>
      </c>
      <c r="F448" s="18" t="str">
        <f>IF(B448="","",SUMIFS('📈 Datos Completos'!$G$7:$G$5000, '📈 Datos Completos'!$B$7:$B$5000, B448, '📈 Datos Completos'!$D$7:$D$5000, C448))</f>
        <v/>
      </c>
      <c r="G448" s="18" t="str">
        <f t="shared" si="54"/>
        <v/>
      </c>
      <c r="H448" s="19" t="str">
        <f>IF(B448="","",SUMIFS('📈 Datos Completos'!$I$7:$I$5000, '📈 Datos Completos'!$B$7:$B$5000, B448, '📈 Datos Completos'!$D$7:$D$5000, C448))</f>
        <v/>
      </c>
      <c r="I448" s="19" t="str">
        <f t="shared" si="55"/>
        <v/>
      </c>
      <c r="J448" s="19" t="str">
        <f t="shared" si="56"/>
        <v/>
      </c>
      <c r="K448" s="19" t="str">
        <f>IF(B448="","",IF(C448="DIA", (SUMIFS('📋 Detalle Diario'!$D$5:$D$489, '📋 Detalle Diario'!$B$5:$B$489, B448, '📋 Detalle Diario'!$C$5:$C$489, C448) * '⚙️ Supuestos'!$C$24) + '⚙️ Supuestos'!$C$23, (SUMIFS('📋 Detalle Diario'!$D$5:$D$489, '📋 Detalle Diario'!$B$5:$B$489, B448, '📋 Detalle Diario'!$C$5:$C$489, C448) * '⚙️ Supuestos'!$C$24) + '⚙️ Supuestos'!$C$33))</f>
        <v/>
      </c>
      <c r="L448" s="19" t="str">
        <f t="shared" si="57"/>
        <v/>
      </c>
      <c r="M448" s="20" t="str">
        <f t="shared" si="58"/>
        <v/>
      </c>
      <c r="N448" s="19" t="str">
        <f t="shared" si="59"/>
        <v/>
      </c>
      <c r="O448" s="27" t="str">
        <f t="shared" si="60"/>
        <v/>
      </c>
      <c r="P448" s="19" t="str">
        <f t="shared" si="61"/>
        <v/>
      </c>
      <c r="Q448" s="19" t="str">
        <f>IF(B448="","",J448-P448+(SUMIFS('📋 Detalle Diario'!$E$5:$E$489, '📋 Detalle Diario'!$B$5:$B$489, B448, '📋 Detalle Diario'!$C$5:$C$489, C448)*135)+(SUMIFS('📋 Detalle Diario'!$I$5:$I$489, '📋 Detalle Diario'!$B$5:$B$489, B448, '📋 Detalle Diario'!$C$5:$C$489, C448)*200))</f>
        <v/>
      </c>
      <c r="R448" s="20" t="str">
        <f t="shared" si="62"/>
        <v/>
      </c>
    </row>
    <row r="449" spans="2:18" ht="18" customHeight="1" x14ac:dyDescent="0.3">
      <c r="B449" s="24"/>
      <c r="C449" s="25"/>
      <c r="D449" s="18" t="str">
        <f>IF(B449="","",SUMIFS('📈 Datos Completos'!$E$7:$E$5000, '📈 Datos Completos'!$B$7:$B$5000, B449, '📈 Datos Completos'!$D$7:$D$5000, C449))</f>
        <v/>
      </c>
      <c r="E449" s="18" t="str">
        <f>IF(B449="","",SUMIFS('📈 Datos Completos'!$F$7:$F$5000, '📈 Datos Completos'!$B$7:$B$5000, B449, '📈 Datos Completos'!$D$7:$D$5000, C449))</f>
        <v/>
      </c>
      <c r="F449" s="18" t="str">
        <f>IF(B449="","",SUMIFS('📈 Datos Completos'!$G$7:$G$5000, '📈 Datos Completos'!$B$7:$B$5000, B449, '📈 Datos Completos'!$D$7:$D$5000, C449))</f>
        <v/>
      </c>
      <c r="G449" s="18" t="str">
        <f t="shared" si="54"/>
        <v/>
      </c>
      <c r="H449" s="19" t="str">
        <f>IF(B449="","",SUMIFS('📈 Datos Completos'!$I$7:$I$5000, '📈 Datos Completos'!$B$7:$B$5000, B449, '📈 Datos Completos'!$D$7:$D$5000, C449))</f>
        <v/>
      </c>
      <c r="I449" s="19" t="str">
        <f t="shared" si="55"/>
        <v/>
      </c>
      <c r="J449" s="19" t="str">
        <f t="shared" si="56"/>
        <v/>
      </c>
      <c r="K449" s="19" t="str">
        <f>IF(B449="","",IF(C449="DIA", (SUMIFS('📋 Detalle Diario'!$D$5:$D$489, '📋 Detalle Diario'!$B$5:$B$489, B449, '📋 Detalle Diario'!$C$5:$C$489, C449) * '⚙️ Supuestos'!$C$24) + '⚙️ Supuestos'!$C$23, (SUMIFS('📋 Detalle Diario'!$D$5:$D$489, '📋 Detalle Diario'!$B$5:$B$489, B449, '📋 Detalle Diario'!$C$5:$C$489, C449) * '⚙️ Supuestos'!$C$24) + '⚙️ Supuestos'!$C$33))</f>
        <v/>
      </c>
      <c r="L449" s="19" t="str">
        <f t="shared" si="57"/>
        <v/>
      </c>
      <c r="M449" s="20" t="str">
        <f t="shared" si="58"/>
        <v/>
      </c>
      <c r="N449" s="19" t="str">
        <f t="shared" si="59"/>
        <v/>
      </c>
      <c r="O449" s="25" t="str">
        <f t="shared" si="60"/>
        <v/>
      </c>
      <c r="P449" s="19" t="str">
        <f t="shared" si="61"/>
        <v/>
      </c>
      <c r="Q449" s="19" t="str">
        <f>IF(B449="","",J449-P449+(SUMIFS('📋 Detalle Diario'!$E$5:$E$489, '📋 Detalle Diario'!$B$5:$B$489, B449, '📋 Detalle Diario'!$C$5:$C$489, C449)*135)+(SUMIFS('📋 Detalle Diario'!$I$5:$I$489, '📋 Detalle Diario'!$B$5:$B$489, B449, '📋 Detalle Diario'!$C$5:$C$489, C449)*200))</f>
        <v/>
      </c>
      <c r="R449" s="20" t="str">
        <f t="shared" si="62"/>
        <v/>
      </c>
    </row>
    <row r="450" spans="2:18" ht="18" customHeight="1" x14ac:dyDescent="0.3">
      <c r="B450" s="26"/>
      <c r="C450" s="27"/>
      <c r="D450" s="18" t="str">
        <f>IF(B450="","",SUMIFS('📈 Datos Completos'!$E$7:$E$5000, '📈 Datos Completos'!$B$7:$B$5000, B450, '📈 Datos Completos'!$D$7:$D$5000, C450))</f>
        <v/>
      </c>
      <c r="E450" s="18" t="str">
        <f>IF(B450="","",SUMIFS('📈 Datos Completos'!$F$7:$F$5000, '📈 Datos Completos'!$B$7:$B$5000, B450, '📈 Datos Completos'!$D$7:$D$5000, C450))</f>
        <v/>
      </c>
      <c r="F450" s="18" t="str">
        <f>IF(B450="","",SUMIFS('📈 Datos Completos'!$G$7:$G$5000, '📈 Datos Completos'!$B$7:$B$5000, B450, '📈 Datos Completos'!$D$7:$D$5000, C450))</f>
        <v/>
      </c>
      <c r="G450" s="18" t="str">
        <f t="shared" si="54"/>
        <v/>
      </c>
      <c r="H450" s="19" t="str">
        <f>IF(B450="","",SUMIFS('📈 Datos Completos'!$I$7:$I$5000, '📈 Datos Completos'!$B$7:$B$5000, B450, '📈 Datos Completos'!$D$7:$D$5000, C450))</f>
        <v/>
      </c>
      <c r="I450" s="19" t="str">
        <f t="shared" si="55"/>
        <v/>
      </c>
      <c r="J450" s="19" t="str">
        <f t="shared" si="56"/>
        <v/>
      </c>
      <c r="K450" s="19" t="str">
        <f>IF(B450="","",IF(C450="DIA", (SUMIFS('📋 Detalle Diario'!$D$5:$D$489, '📋 Detalle Diario'!$B$5:$B$489, B450, '📋 Detalle Diario'!$C$5:$C$489, C450) * '⚙️ Supuestos'!$C$24) + '⚙️ Supuestos'!$C$23, (SUMIFS('📋 Detalle Diario'!$D$5:$D$489, '📋 Detalle Diario'!$B$5:$B$489, B450, '📋 Detalle Diario'!$C$5:$C$489, C450) * '⚙️ Supuestos'!$C$24) + '⚙️ Supuestos'!$C$33))</f>
        <v/>
      </c>
      <c r="L450" s="19" t="str">
        <f t="shared" si="57"/>
        <v/>
      </c>
      <c r="M450" s="20" t="str">
        <f t="shared" si="58"/>
        <v/>
      </c>
      <c r="N450" s="19" t="str">
        <f t="shared" si="59"/>
        <v/>
      </c>
      <c r="O450" s="27" t="str">
        <f t="shared" si="60"/>
        <v/>
      </c>
      <c r="P450" s="19" t="str">
        <f t="shared" si="61"/>
        <v/>
      </c>
      <c r="Q450" s="19" t="str">
        <f>IF(B450="","",J450-P450+(SUMIFS('📋 Detalle Diario'!$E$5:$E$489, '📋 Detalle Diario'!$B$5:$B$489, B450, '📋 Detalle Diario'!$C$5:$C$489, C450)*135)+(SUMIFS('📋 Detalle Diario'!$I$5:$I$489, '📋 Detalle Diario'!$B$5:$B$489, B450, '📋 Detalle Diario'!$C$5:$C$489, C450)*200))</f>
        <v/>
      </c>
      <c r="R450" s="20" t="str">
        <f t="shared" si="62"/>
        <v/>
      </c>
    </row>
    <row r="451" spans="2:18" ht="18" customHeight="1" x14ac:dyDescent="0.3">
      <c r="B451" s="24"/>
      <c r="C451" s="25"/>
      <c r="D451" s="18" t="str">
        <f>IF(B451="","",SUMIFS('📈 Datos Completos'!$E$7:$E$5000, '📈 Datos Completos'!$B$7:$B$5000, B451, '📈 Datos Completos'!$D$7:$D$5000, C451))</f>
        <v/>
      </c>
      <c r="E451" s="18" t="str">
        <f>IF(B451="","",SUMIFS('📈 Datos Completos'!$F$7:$F$5000, '📈 Datos Completos'!$B$7:$B$5000, B451, '📈 Datos Completos'!$D$7:$D$5000, C451))</f>
        <v/>
      </c>
      <c r="F451" s="18" t="str">
        <f>IF(B451="","",SUMIFS('📈 Datos Completos'!$G$7:$G$5000, '📈 Datos Completos'!$B$7:$B$5000, B451, '📈 Datos Completos'!$D$7:$D$5000, C451))</f>
        <v/>
      </c>
      <c r="G451" s="18" t="str">
        <f t="shared" si="54"/>
        <v/>
      </c>
      <c r="H451" s="19" t="str">
        <f>IF(B451="","",SUMIFS('📈 Datos Completos'!$I$7:$I$5000, '📈 Datos Completos'!$B$7:$B$5000, B451, '📈 Datos Completos'!$D$7:$D$5000, C451))</f>
        <v/>
      </c>
      <c r="I451" s="19" t="str">
        <f t="shared" si="55"/>
        <v/>
      </c>
      <c r="J451" s="19" t="str">
        <f t="shared" si="56"/>
        <v/>
      </c>
      <c r="K451" s="19" t="str">
        <f>IF(B451="","",IF(C451="DIA", (SUMIFS('📋 Detalle Diario'!$D$5:$D$489, '📋 Detalle Diario'!$B$5:$B$489, B451, '📋 Detalle Diario'!$C$5:$C$489, C451) * '⚙️ Supuestos'!$C$24) + '⚙️ Supuestos'!$C$23, (SUMIFS('📋 Detalle Diario'!$D$5:$D$489, '📋 Detalle Diario'!$B$5:$B$489, B451, '📋 Detalle Diario'!$C$5:$C$489, C451) * '⚙️ Supuestos'!$C$24) + '⚙️ Supuestos'!$C$33))</f>
        <v/>
      </c>
      <c r="L451" s="19" t="str">
        <f t="shared" si="57"/>
        <v/>
      </c>
      <c r="M451" s="20" t="str">
        <f t="shared" si="58"/>
        <v/>
      </c>
      <c r="N451" s="19" t="str">
        <f t="shared" si="59"/>
        <v/>
      </c>
      <c r="O451" s="25" t="str">
        <f t="shared" si="60"/>
        <v/>
      </c>
      <c r="P451" s="19" t="str">
        <f t="shared" si="61"/>
        <v/>
      </c>
      <c r="Q451" s="19" t="str">
        <f>IF(B451="","",J451-P451+(SUMIFS('📋 Detalle Diario'!$E$5:$E$489, '📋 Detalle Diario'!$B$5:$B$489, B451, '📋 Detalle Diario'!$C$5:$C$489, C451)*135)+(SUMIFS('📋 Detalle Diario'!$I$5:$I$489, '📋 Detalle Diario'!$B$5:$B$489, B451, '📋 Detalle Diario'!$C$5:$C$489, C451)*200))</f>
        <v/>
      </c>
      <c r="R451" s="20" t="str">
        <f t="shared" si="62"/>
        <v/>
      </c>
    </row>
    <row r="452" spans="2:18" ht="18" customHeight="1" x14ac:dyDescent="0.3">
      <c r="B452" s="26"/>
      <c r="C452" s="27"/>
      <c r="D452" s="18" t="str">
        <f>IF(B452="","",SUMIFS('📈 Datos Completos'!$E$7:$E$5000, '📈 Datos Completos'!$B$7:$B$5000, B452, '📈 Datos Completos'!$D$7:$D$5000, C452))</f>
        <v/>
      </c>
      <c r="E452" s="18" t="str">
        <f>IF(B452="","",SUMIFS('📈 Datos Completos'!$F$7:$F$5000, '📈 Datos Completos'!$B$7:$B$5000, B452, '📈 Datos Completos'!$D$7:$D$5000, C452))</f>
        <v/>
      </c>
      <c r="F452" s="18" t="str">
        <f>IF(B452="","",SUMIFS('📈 Datos Completos'!$G$7:$G$5000, '📈 Datos Completos'!$B$7:$B$5000, B452, '📈 Datos Completos'!$D$7:$D$5000, C452))</f>
        <v/>
      </c>
      <c r="G452" s="18" t="str">
        <f t="shared" si="54"/>
        <v/>
      </c>
      <c r="H452" s="19" t="str">
        <f>IF(B452="","",SUMIFS('📈 Datos Completos'!$I$7:$I$5000, '📈 Datos Completos'!$B$7:$B$5000, B452, '📈 Datos Completos'!$D$7:$D$5000, C452))</f>
        <v/>
      </c>
      <c r="I452" s="19" t="str">
        <f t="shared" si="55"/>
        <v/>
      </c>
      <c r="J452" s="19" t="str">
        <f t="shared" si="56"/>
        <v/>
      </c>
      <c r="K452" s="19" t="str">
        <f>IF(B452="","",IF(C452="DIA", (SUMIFS('📋 Detalle Diario'!$D$5:$D$489, '📋 Detalle Diario'!$B$5:$B$489, B452, '📋 Detalle Diario'!$C$5:$C$489, C452) * '⚙️ Supuestos'!$C$24) + '⚙️ Supuestos'!$C$23, (SUMIFS('📋 Detalle Diario'!$D$5:$D$489, '📋 Detalle Diario'!$B$5:$B$489, B452, '📋 Detalle Diario'!$C$5:$C$489, C452) * '⚙️ Supuestos'!$C$24) + '⚙️ Supuestos'!$C$33))</f>
        <v/>
      </c>
      <c r="L452" s="19" t="str">
        <f t="shared" si="57"/>
        <v/>
      </c>
      <c r="M452" s="20" t="str">
        <f t="shared" si="58"/>
        <v/>
      </c>
      <c r="N452" s="19" t="str">
        <f t="shared" si="59"/>
        <v/>
      </c>
      <c r="O452" s="27" t="str">
        <f t="shared" si="60"/>
        <v/>
      </c>
      <c r="P452" s="19" t="str">
        <f t="shared" si="61"/>
        <v/>
      </c>
      <c r="Q452" s="19" t="str">
        <f>IF(B452="","",J452-P452+(SUMIFS('📋 Detalle Diario'!$E$5:$E$489, '📋 Detalle Diario'!$B$5:$B$489, B452, '📋 Detalle Diario'!$C$5:$C$489, C452)*135)+(SUMIFS('📋 Detalle Diario'!$I$5:$I$489, '📋 Detalle Diario'!$B$5:$B$489, B452, '📋 Detalle Diario'!$C$5:$C$489, C452)*200))</f>
        <v/>
      </c>
      <c r="R452" s="20" t="str">
        <f t="shared" si="62"/>
        <v/>
      </c>
    </row>
    <row r="453" spans="2:18" ht="18" customHeight="1" x14ac:dyDescent="0.3">
      <c r="B453" s="24"/>
      <c r="C453" s="25"/>
      <c r="D453" s="18" t="str">
        <f>IF(B453="","",SUMIFS('📈 Datos Completos'!$E$7:$E$5000, '📈 Datos Completos'!$B$7:$B$5000, B453, '📈 Datos Completos'!$D$7:$D$5000, C453))</f>
        <v/>
      </c>
      <c r="E453" s="18" t="str">
        <f>IF(B453="","",SUMIFS('📈 Datos Completos'!$F$7:$F$5000, '📈 Datos Completos'!$B$7:$B$5000, B453, '📈 Datos Completos'!$D$7:$D$5000, C453))</f>
        <v/>
      </c>
      <c r="F453" s="18" t="str">
        <f>IF(B453="","",SUMIFS('📈 Datos Completos'!$G$7:$G$5000, '📈 Datos Completos'!$B$7:$B$5000, B453, '📈 Datos Completos'!$D$7:$D$5000, C453))</f>
        <v/>
      </c>
      <c r="G453" s="18" t="str">
        <f t="shared" ref="G453:G516" si="63">IF(B453="","",E453+F453)</f>
        <v/>
      </c>
      <c r="H453" s="19" t="str">
        <f>IF(B453="","",SUMIFS('📈 Datos Completos'!$I$7:$I$5000, '📈 Datos Completos'!$B$7:$B$5000, B453, '📈 Datos Completos'!$D$7:$D$5000, C453))</f>
        <v/>
      </c>
      <c r="I453" s="19" t="str">
        <f t="shared" ref="I453:I504" si="64">IF(B453="","",IF(C453="DIA", G453*1.01, G453*1.35))</f>
        <v/>
      </c>
      <c r="J453" s="19" t="str">
        <f t="shared" ref="J453:J516" si="65">IF(B453="","",H453+I453)</f>
        <v/>
      </c>
      <c r="K453" s="19" t="str">
        <f>IF(B453="","",IF(C453="DIA", (SUMIFS('📋 Detalle Diario'!$D$5:$D$489, '📋 Detalle Diario'!$B$5:$B$489, B453, '📋 Detalle Diario'!$C$5:$C$489, C453) * '⚙️ Supuestos'!$C$24) + '⚙️ Supuestos'!$C$23, (SUMIFS('📋 Detalle Diario'!$D$5:$D$489, '📋 Detalle Diario'!$B$5:$B$489, B453, '📋 Detalle Diario'!$C$5:$C$489, C453) * '⚙️ Supuestos'!$C$24) + '⚙️ Supuestos'!$C$33))</f>
        <v/>
      </c>
      <c r="L453" s="19" t="str">
        <f t="shared" ref="L453:L516" si="66">IF(B453="","",J453-K453)</f>
        <v/>
      </c>
      <c r="M453" s="20" t="str">
        <f t="shared" ref="M453:M516" si="67">IF(B453="","",IF(J453=0, 0, L453/J453))</f>
        <v/>
      </c>
      <c r="N453" s="19" t="str">
        <f t="shared" ref="N453:N504" si="68">IF(B453="","",IF(D453=0, 0, K453/D453))</f>
        <v/>
      </c>
      <c r="O453" s="25" t="str">
        <f t="shared" ref="O453:O504" si="69">IF(B453="","",IF(ISNUMBER(B453),YEAR(B453)&amp;"-"&amp;IF(MONTH(B453)&lt;10,"0","")&amp;MONTH(B453),LEFT(B453,7)))</f>
        <v/>
      </c>
      <c r="P453" s="19" t="str">
        <f t="shared" ref="P453:P504" si="70">IF(B453="","",K453+(G453*0.09))</f>
        <v/>
      </c>
      <c r="Q453" s="19" t="str">
        <f>IF(B453="","",J453-P453+(SUMIFS('📋 Detalle Diario'!$E$5:$E$489, '📋 Detalle Diario'!$B$5:$B$489, B453, '📋 Detalle Diario'!$C$5:$C$489, C453)*135)+(SUMIFS('📋 Detalle Diario'!$I$5:$I$489, '📋 Detalle Diario'!$B$5:$B$489, B453, '📋 Detalle Diario'!$C$5:$C$489, C453)*200))</f>
        <v/>
      </c>
      <c r="R453" s="20" t="str">
        <f t="shared" ref="R453:R516" si="71">IF(B453="","",IF(J453=0, 0, Q453/J453))</f>
        <v/>
      </c>
    </row>
    <row r="454" spans="2:18" ht="18" customHeight="1" x14ac:dyDescent="0.3">
      <c r="B454" s="26"/>
      <c r="C454" s="27"/>
      <c r="D454" s="18" t="str">
        <f>IF(B454="","",SUMIFS('📈 Datos Completos'!$E$7:$E$5000, '📈 Datos Completos'!$B$7:$B$5000, B454, '📈 Datos Completos'!$D$7:$D$5000, C454))</f>
        <v/>
      </c>
      <c r="E454" s="18" t="str">
        <f>IF(B454="","",SUMIFS('📈 Datos Completos'!$F$7:$F$5000, '📈 Datos Completos'!$B$7:$B$5000, B454, '📈 Datos Completos'!$D$7:$D$5000, C454))</f>
        <v/>
      </c>
      <c r="F454" s="18" t="str">
        <f>IF(B454="","",SUMIFS('📈 Datos Completos'!$G$7:$G$5000, '📈 Datos Completos'!$B$7:$B$5000, B454, '📈 Datos Completos'!$D$7:$D$5000, C454))</f>
        <v/>
      </c>
      <c r="G454" s="18" t="str">
        <f t="shared" si="63"/>
        <v/>
      </c>
      <c r="H454" s="19" t="str">
        <f>IF(B454="","",SUMIFS('📈 Datos Completos'!$I$7:$I$5000, '📈 Datos Completos'!$B$7:$B$5000, B454, '📈 Datos Completos'!$D$7:$D$5000, C454))</f>
        <v/>
      </c>
      <c r="I454" s="19" t="str">
        <f t="shared" si="64"/>
        <v/>
      </c>
      <c r="J454" s="19" t="str">
        <f t="shared" si="65"/>
        <v/>
      </c>
      <c r="K454" s="19" t="str">
        <f>IF(B454="","",IF(C454="DIA", (SUMIFS('📋 Detalle Diario'!$D$5:$D$489, '📋 Detalle Diario'!$B$5:$B$489, B454, '📋 Detalle Diario'!$C$5:$C$489, C454) * '⚙️ Supuestos'!$C$24) + '⚙️ Supuestos'!$C$23, (SUMIFS('📋 Detalle Diario'!$D$5:$D$489, '📋 Detalle Diario'!$B$5:$B$489, B454, '📋 Detalle Diario'!$C$5:$C$489, C454) * '⚙️ Supuestos'!$C$24) + '⚙️ Supuestos'!$C$33))</f>
        <v/>
      </c>
      <c r="L454" s="19" t="str">
        <f t="shared" si="66"/>
        <v/>
      </c>
      <c r="M454" s="20" t="str">
        <f t="shared" si="67"/>
        <v/>
      </c>
      <c r="N454" s="19" t="str">
        <f t="shared" si="68"/>
        <v/>
      </c>
      <c r="O454" s="27" t="str">
        <f t="shared" si="69"/>
        <v/>
      </c>
      <c r="P454" s="19" t="str">
        <f t="shared" si="70"/>
        <v/>
      </c>
      <c r="Q454" s="19" t="str">
        <f>IF(B454="","",J454-P454+(SUMIFS('📋 Detalle Diario'!$E$5:$E$489, '📋 Detalle Diario'!$B$5:$B$489, B454, '📋 Detalle Diario'!$C$5:$C$489, C454)*135)+(SUMIFS('📋 Detalle Diario'!$I$5:$I$489, '📋 Detalle Diario'!$B$5:$B$489, B454, '📋 Detalle Diario'!$C$5:$C$489, C454)*200))</f>
        <v/>
      </c>
      <c r="R454" s="20" t="str">
        <f t="shared" si="71"/>
        <v/>
      </c>
    </row>
    <row r="455" spans="2:18" ht="18" customHeight="1" x14ac:dyDescent="0.3">
      <c r="B455" s="24"/>
      <c r="C455" s="25"/>
      <c r="D455" s="18" t="str">
        <f>IF(B455="","",SUMIFS('📈 Datos Completos'!$E$7:$E$5000, '📈 Datos Completos'!$B$7:$B$5000, B455, '📈 Datos Completos'!$D$7:$D$5000, C455))</f>
        <v/>
      </c>
      <c r="E455" s="18" t="str">
        <f>IF(B455="","",SUMIFS('📈 Datos Completos'!$F$7:$F$5000, '📈 Datos Completos'!$B$7:$B$5000, B455, '📈 Datos Completos'!$D$7:$D$5000, C455))</f>
        <v/>
      </c>
      <c r="F455" s="18" t="str">
        <f>IF(B455="","",SUMIFS('📈 Datos Completos'!$G$7:$G$5000, '📈 Datos Completos'!$B$7:$B$5000, B455, '📈 Datos Completos'!$D$7:$D$5000, C455))</f>
        <v/>
      </c>
      <c r="G455" s="18" t="str">
        <f t="shared" si="63"/>
        <v/>
      </c>
      <c r="H455" s="19" t="str">
        <f>IF(B455="","",SUMIFS('📈 Datos Completos'!$I$7:$I$5000, '📈 Datos Completos'!$B$7:$B$5000, B455, '📈 Datos Completos'!$D$7:$D$5000, C455))</f>
        <v/>
      </c>
      <c r="I455" s="19" t="str">
        <f t="shared" si="64"/>
        <v/>
      </c>
      <c r="J455" s="19" t="str">
        <f t="shared" si="65"/>
        <v/>
      </c>
      <c r="K455" s="19" t="str">
        <f>IF(B455="","",IF(C455="DIA", (SUMIFS('📋 Detalle Diario'!$D$5:$D$489, '📋 Detalle Diario'!$B$5:$B$489, B455, '📋 Detalle Diario'!$C$5:$C$489, C455) * '⚙️ Supuestos'!$C$24) + '⚙️ Supuestos'!$C$23, (SUMIFS('📋 Detalle Diario'!$D$5:$D$489, '📋 Detalle Diario'!$B$5:$B$489, B455, '📋 Detalle Diario'!$C$5:$C$489, C455) * '⚙️ Supuestos'!$C$24) + '⚙️ Supuestos'!$C$33))</f>
        <v/>
      </c>
      <c r="L455" s="19" t="str">
        <f t="shared" si="66"/>
        <v/>
      </c>
      <c r="M455" s="20" t="str">
        <f t="shared" si="67"/>
        <v/>
      </c>
      <c r="N455" s="19" t="str">
        <f t="shared" si="68"/>
        <v/>
      </c>
      <c r="O455" s="25" t="str">
        <f t="shared" si="69"/>
        <v/>
      </c>
      <c r="P455" s="19" t="str">
        <f t="shared" si="70"/>
        <v/>
      </c>
      <c r="Q455" s="19" t="str">
        <f>IF(B455="","",J455-P455+(SUMIFS('📋 Detalle Diario'!$E$5:$E$489, '📋 Detalle Diario'!$B$5:$B$489, B455, '📋 Detalle Diario'!$C$5:$C$489, C455)*135)+(SUMIFS('📋 Detalle Diario'!$I$5:$I$489, '📋 Detalle Diario'!$B$5:$B$489, B455, '📋 Detalle Diario'!$C$5:$C$489, C455)*200))</f>
        <v/>
      </c>
      <c r="R455" s="20" t="str">
        <f t="shared" si="71"/>
        <v/>
      </c>
    </row>
    <row r="456" spans="2:18" ht="18" customHeight="1" x14ac:dyDescent="0.3">
      <c r="B456" s="26"/>
      <c r="C456" s="27"/>
      <c r="D456" s="18" t="str">
        <f>IF(B456="","",SUMIFS('📈 Datos Completos'!$E$7:$E$5000, '📈 Datos Completos'!$B$7:$B$5000, B456, '📈 Datos Completos'!$D$7:$D$5000, C456))</f>
        <v/>
      </c>
      <c r="E456" s="18" t="str">
        <f>IF(B456="","",SUMIFS('📈 Datos Completos'!$F$7:$F$5000, '📈 Datos Completos'!$B$7:$B$5000, B456, '📈 Datos Completos'!$D$7:$D$5000, C456))</f>
        <v/>
      </c>
      <c r="F456" s="18" t="str">
        <f>IF(B456="","",SUMIFS('📈 Datos Completos'!$G$7:$G$5000, '📈 Datos Completos'!$B$7:$B$5000, B456, '📈 Datos Completos'!$D$7:$D$5000, C456))</f>
        <v/>
      </c>
      <c r="G456" s="18" t="str">
        <f t="shared" si="63"/>
        <v/>
      </c>
      <c r="H456" s="19" t="str">
        <f>IF(B456="","",SUMIFS('📈 Datos Completos'!$I$7:$I$5000, '📈 Datos Completos'!$B$7:$B$5000, B456, '📈 Datos Completos'!$D$7:$D$5000, C456))</f>
        <v/>
      </c>
      <c r="I456" s="19" t="str">
        <f t="shared" si="64"/>
        <v/>
      </c>
      <c r="J456" s="19" t="str">
        <f t="shared" si="65"/>
        <v/>
      </c>
      <c r="K456" s="19" t="str">
        <f>IF(B456="","",IF(C456="DIA", (SUMIFS('📋 Detalle Diario'!$D$5:$D$489, '📋 Detalle Diario'!$B$5:$B$489, B456, '📋 Detalle Diario'!$C$5:$C$489, C456) * '⚙️ Supuestos'!$C$24) + '⚙️ Supuestos'!$C$23, (SUMIFS('📋 Detalle Diario'!$D$5:$D$489, '📋 Detalle Diario'!$B$5:$B$489, B456, '📋 Detalle Diario'!$C$5:$C$489, C456) * '⚙️ Supuestos'!$C$24) + '⚙️ Supuestos'!$C$33))</f>
        <v/>
      </c>
      <c r="L456" s="19" t="str">
        <f t="shared" si="66"/>
        <v/>
      </c>
      <c r="M456" s="20" t="str">
        <f t="shared" si="67"/>
        <v/>
      </c>
      <c r="N456" s="19" t="str">
        <f t="shared" si="68"/>
        <v/>
      </c>
      <c r="O456" s="27" t="str">
        <f t="shared" si="69"/>
        <v/>
      </c>
      <c r="P456" s="19" t="str">
        <f t="shared" si="70"/>
        <v/>
      </c>
      <c r="Q456" s="19" t="str">
        <f>IF(B456="","",J456-P456+(SUMIFS('📋 Detalle Diario'!$E$5:$E$489, '📋 Detalle Diario'!$B$5:$B$489, B456, '📋 Detalle Diario'!$C$5:$C$489, C456)*135)+(SUMIFS('📋 Detalle Diario'!$I$5:$I$489, '📋 Detalle Diario'!$B$5:$B$489, B456, '📋 Detalle Diario'!$C$5:$C$489, C456)*200))</f>
        <v/>
      </c>
      <c r="R456" s="20" t="str">
        <f t="shared" si="71"/>
        <v/>
      </c>
    </row>
    <row r="457" spans="2:18" ht="18" customHeight="1" x14ac:dyDescent="0.3">
      <c r="B457" s="24"/>
      <c r="C457" s="25"/>
      <c r="D457" s="18" t="str">
        <f>IF(B457="","",SUMIFS('📈 Datos Completos'!$E$7:$E$5000, '📈 Datos Completos'!$B$7:$B$5000, B457, '📈 Datos Completos'!$D$7:$D$5000, C457))</f>
        <v/>
      </c>
      <c r="E457" s="18" t="str">
        <f>IF(B457="","",SUMIFS('📈 Datos Completos'!$F$7:$F$5000, '📈 Datos Completos'!$B$7:$B$5000, B457, '📈 Datos Completos'!$D$7:$D$5000, C457))</f>
        <v/>
      </c>
      <c r="F457" s="18" t="str">
        <f>IF(B457="","",SUMIFS('📈 Datos Completos'!$G$7:$G$5000, '📈 Datos Completos'!$B$7:$B$5000, B457, '📈 Datos Completos'!$D$7:$D$5000, C457))</f>
        <v/>
      </c>
      <c r="G457" s="18" t="str">
        <f t="shared" si="63"/>
        <v/>
      </c>
      <c r="H457" s="19" t="str">
        <f>IF(B457="","",SUMIFS('📈 Datos Completos'!$I$7:$I$5000, '📈 Datos Completos'!$B$7:$B$5000, B457, '📈 Datos Completos'!$D$7:$D$5000, C457))</f>
        <v/>
      </c>
      <c r="I457" s="19" t="str">
        <f t="shared" si="64"/>
        <v/>
      </c>
      <c r="J457" s="19" t="str">
        <f t="shared" si="65"/>
        <v/>
      </c>
      <c r="K457" s="19" t="str">
        <f>IF(B457="","",IF(C457="DIA", (SUMIFS('📋 Detalle Diario'!$D$5:$D$489, '📋 Detalle Diario'!$B$5:$B$489, B457, '📋 Detalle Diario'!$C$5:$C$489, C457) * '⚙️ Supuestos'!$C$24) + '⚙️ Supuestos'!$C$23, (SUMIFS('📋 Detalle Diario'!$D$5:$D$489, '📋 Detalle Diario'!$B$5:$B$489, B457, '📋 Detalle Diario'!$C$5:$C$489, C457) * '⚙️ Supuestos'!$C$24) + '⚙️ Supuestos'!$C$33))</f>
        <v/>
      </c>
      <c r="L457" s="19" t="str">
        <f t="shared" si="66"/>
        <v/>
      </c>
      <c r="M457" s="20" t="str">
        <f t="shared" si="67"/>
        <v/>
      </c>
      <c r="N457" s="19" t="str">
        <f t="shared" si="68"/>
        <v/>
      </c>
      <c r="O457" s="25" t="str">
        <f t="shared" si="69"/>
        <v/>
      </c>
      <c r="P457" s="19" t="str">
        <f t="shared" si="70"/>
        <v/>
      </c>
      <c r="Q457" s="19" t="str">
        <f>IF(B457="","",J457-P457+(SUMIFS('📋 Detalle Diario'!$E$5:$E$489, '📋 Detalle Diario'!$B$5:$B$489, B457, '📋 Detalle Diario'!$C$5:$C$489, C457)*135)+(SUMIFS('📋 Detalle Diario'!$I$5:$I$489, '📋 Detalle Diario'!$B$5:$B$489, B457, '📋 Detalle Diario'!$C$5:$C$489, C457)*200))</f>
        <v/>
      </c>
      <c r="R457" s="20" t="str">
        <f t="shared" si="71"/>
        <v/>
      </c>
    </row>
    <row r="458" spans="2:18" ht="18" customHeight="1" x14ac:dyDescent="0.3">
      <c r="B458" s="26"/>
      <c r="C458" s="27"/>
      <c r="D458" s="18" t="str">
        <f>IF(B458="","",SUMIFS('📈 Datos Completos'!$E$7:$E$5000, '📈 Datos Completos'!$B$7:$B$5000, B458, '📈 Datos Completos'!$D$7:$D$5000, C458))</f>
        <v/>
      </c>
      <c r="E458" s="18" t="str">
        <f>IF(B458="","",SUMIFS('📈 Datos Completos'!$F$7:$F$5000, '📈 Datos Completos'!$B$7:$B$5000, B458, '📈 Datos Completos'!$D$7:$D$5000, C458))</f>
        <v/>
      </c>
      <c r="F458" s="18" t="str">
        <f>IF(B458="","",SUMIFS('📈 Datos Completos'!$G$7:$G$5000, '📈 Datos Completos'!$B$7:$B$5000, B458, '📈 Datos Completos'!$D$7:$D$5000, C458))</f>
        <v/>
      </c>
      <c r="G458" s="18" t="str">
        <f t="shared" si="63"/>
        <v/>
      </c>
      <c r="H458" s="19" t="str">
        <f>IF(B458="","",SUMIFS('📈 Datos Completos'!$I$7:$I$5000, '📈 Datos Completos'!$B$7:$B$5000, B458, '📈 Datos Completos'!$D$7:$D$5000, C458))</f>
        <v/>
      </c>
      <c r="I458" s="19" t="str">
        <f t="shared" si="64"/>
        <v/>
      </c>
      <c r="J458" s="19" t="str">
        <f t="shared" si="65"/>
        <v/>
      </c>
      <c r="K458" s="19" t="str">
        <f>IF(B458="","",IF(C458="DIA", (SUMIFS('📋 Detalle Diario'!$D$5:$D$489, '📋 Detalle Diario'!$B$5:$B$489, B458, '📋 Detalle Diario'!$C$5:$C$489, C458) * '⚙️ Supuestos'!$C$24) + '⚙️ Supuestos'!$C$23, (SUMIFS('📋 Detalle Diario'!$D$5:$D$489, '📋 Detalle Diario'!$B$5:$B$489, B458, '📋 Detalle Diario'!$C$5:$C$489, C458) * '⚙️ Supuestos'!$C$24) + '⚙️ Supuestos'!$C$33))</f>
        <v/>
      </c>
      <c r="L458" s="19" t="str">
        <f t="shared" si="66"/>
        <v/>
      </c>
      <c r="M458" s="20" t="str">
        <f t="shared" si="67"/>
        <v/>
      </c>
      <c r="N458" s="19" t="str">
        <f t="shared" si="68"/>
        <v/>
      </c>
      <c r="O458" s="27" t="str">
        <f t="shared" si="69"/>
        <v/>
      </c>
      <c r="P458" s="19" t="str">
        <f t="shared" si="70"/>
        <v/>
      </c>
      <c r="Q458" s="19" t="str">
        <f>IF(B458="","",J458-P458+(SUMIFS('📋 Detalle Diario'!$E$5:$E$489, '📋 Detalle Diario'!$B$5:$B$489, B458, '📋 Detalle Diario'!$C$5:$C$489, C458)*135)+(SUMIFS('📋 Detalle Diario'!$I$5:$I$489, '📋 Detalle Diario'!$B$5:$B$489, B458, '📋 Detalle Diario'!$C$5:$C$489, C458)*200))</f>
        <v/>
      </c>
      <c r="R458" s="20" t="str">
        <f t="shared" si="71"/>
        <v/>
      </c>
    </row>
    <row r="459" spans="2:18" ht="18" customHeight="1" x14ac:dyDescent="0.3">
      <c r="B459" s="24"/>
      <c r="C459" s="25"/>
      <c r="D459" s="18" t="str">
        <f>IF(B459="","",SUMIFS('📈 Datos Completos'!$E$7:$E$5000, '📈 Datos Completos'!$B$7:$B$5000, B459, '📈 Datos Completos'!$D$7:$D$5000, C459))</f>
        <v/>
      </c>
      <c r="E459" s="18" t="str">
        <f>IF(B459="","",SUMIFS('📈 Datos Completos'!$F$7:$F$5000, '📈 Datos Completos'!$B$7:$B$5000, B459, '📈 Datos Completos'!$D$7:$D$5000, C459))</f>
        <v/>
      </c>
      <c r="F459" s="18" t="str">
        <f>IF(B459="","",SUMIFS('📈 Datos Completos'!$G$7:$G$5000, '📈 Datos Completos'!$B$7:$B$5000, B459, '📈 Datos Completos'!$D$7:$D$5000, C459))</f>
        <v/>
      </c>
      <c r="G459" s="18" t="str">
        <f t="shared" si="63"/>
        <v/>
      </c>
      <c r="H459" s="19" t="str">
        <f>IF(B459="","",SUMIFS('📈 Datos Completos'!$I$7:$I$5000, '📈 Datos Completos'!$B$7:$B$5000, B459, '📈 Datos Completos'!$D$7:$D$5000, C459))</f>
        <v/>
      </c>
      <c r="I459" s="19" t="str">
        <f t="shared" si="64"/>
        <v/>
      </c>
      <c r="J459" s="19" t="str">
        <f t="shared" si="65"/>
        <v/>
      </c>
      <c r="K459" s="19" t="str">
        <f>IF(B459="","",IF(C459="DIA", (SUMIFS('📋 Detalle Diario'!$D$5:$D$489, '📋 Detalle Diario'!$B$5:$B$489, B459, '📋 Detalle Diario'!$C$5:$C$489, C459) * '⚙️ Supuestos'!$C$24) + '⚙️ Supuestos'!$C$23, (SUMIFS('📋 Detalle Diario'!$D$5:$D$489, '📋 Detalle Diario'!$B$5:$B$489, B459, '📋 Detalle Diario'!$C$5:$C$489, C459) * '⚙️ Supuestos'!$C$24) + '⚙️ Supuestos'!$C$33))</f>
        <v/>
      </c>
      <c r="L459" s="19" t="str">
        <f t="shared" si="66"/>
        <v/>
      </c>
      <c r="M459" s="20" t="str">
        <f t="shared" si="67"/>
        <v/>
      </c>
      <c r="N459" s="19" t="str">
        <f t="shared" si="68"/>
        <v/>
      </c>
      <c r="O459" s="25" t="str">
        <f t="shared" si="69"/>
        <v/>
      </c>
      <c r="P459" s="19" t="str">
        <f t="shared" si="70"/>
        <v/>
      </c>
      <c r="Q459" s="19" t="str">
        <f>IF(B459="","",J459-P459+(SUMIFS('📋 Detalle Diario'!$E$5:$E$489, '📋 Detalle Diario'!$B$5:$B$489, B459, '📋 Detalle Diario'!$C$5:$C$489, C459)*135)+(SUMIFS('📋 Detalle Diario'!$I$5:$I$489, '📋 Detalle Diario'!$B$5:$B$489, B459, '📋 Detalle Diario'!$C$5:$C$489, C459)*200))</f>
        <v/>
      </c>
      <c r="R459" s="20" t="str">
        <f t="shared" si="71"/>
        <v/>
      </c>
    </row>
    <row r="460" spans="2:18" ht="18" customHeight="1" x14ac:dyDescent="0.3">
      <c r="B460" s="26"/>
      <c r="C460" s="27"/>
      <c r="D460" s="18" t="str">
        <f>IF(B460="","",SUMIFS('📈 Datos Completos'!$E$7:$E$5000, '📈 Datos Completos'!$B$7:$B$5000, B460, '📈 Datos Completos'!$D$7:$D$5000, C460))</f>
        <v/>
      </c>
      <c r="E460" s="18" t="str">
        <f>IF(B460="","",SUMIFS('📈 Datos Completos'!$F$7:$F$5000, '📈 Datos Completos'!$B$7:$B$5000, B460, '📈 Datos Completos'!$D$7:$D$5000, C460))</f>
        <v/>
      </c>
      <c r="F460" s="18" t="str">
        <f>IF(B460="","",SUMIFS('📈 Datos Completos'!$G$7:$G$5000, '📈 Datos Completos'!$B$7:$B$5000, B460, '📈 Datos Completos'!$D$7:$D$5000, C460))</f>
        <v/>
      </c>
      <c r="G460" s="18" t="str">
        <f t="shared" si="63"/>
        <v/>
      </c>
      <c r="H460" s="19" t="str">
        <f>IF(B460="","",SUMIFS('📈 Datos Completos'!$I$7:$I$5000, '📈 Datos Completos'!$B$7:$B$5000, B460, '📈 Datos Completos'!$D$7:$D$5000, C460))</f>
        <v/>
      </c>
      <c r="I460" s="19" t="str">
        <f t="shared" si="64"/>
        <v/>
      </c>
      <c r="J460" s="19" t="str">
        <f t="shared" si="65"/>
        <v/>
      </c>
      <c r="K460" s="19" t="str">
        <f>IF(B460="","",IF(C460="DIA", (SUMIFS('📋 Detalle Diario'!$D$5:$D$489, '📋 Detalle Diario'!$B$5:$B$489, B460, '📋 Detalle Diario'!$C$5:$C$489, C460) * '⚙️ Supuestos'!$C$24) + '⚙️ Supuestos'!$C$23, (SUMIFS('📋 Detalle Diario'!$D$5:$D$489, '📋 Detalle Diario'!$B$5:$B$489, B460, '📋 Detalle Diario'!$C$5:$C$489, C460) * '⚙️ Supuestos'!$C$24) + '⚙️ Supuestos'!$C$33))</f>
        <v/>
      </c>
      <c r="L460" s="19" t="str">
        <f t="shared" si="66"/>
        <v/>
      </c>
      <c r="M460" s="20" t="str">
        <f t="shared" si="67"/>
        <v/>
      </c>
      <c r="N460" s="19" t="str">
        <f t="shared" si="68"/>
        <v/>
      </c>
      <c r="O460" s="27" t="str">
        <f t="shared" si="69"/>
        <v/>
      </c>
      <c r="P460" s="19" t="str">
        <f t="shared" si="70"/>
        <v/>
      </c>
      <c r="Q460" s="19" t="str">
        <f>IF(B460="","",J460-P460+(SUMIFS('📋 Detalle Diario'!$E$5:$E$489, '📋 Detalle Diario'!$B$5:$B$489, B460, '📋 Detalle Diario'!$C$5:$C$489, C460)*135)+(SUMIFS('📋 Detalle Diario'!$I$5:$I$489, '📋 Detalle Diario'!$B$5:$B$489, B460, '📋 Detalle Diario'!$C$5:$C$489, C460)*200))</f>
        <v/>
      </c>
      <c r="R460" s="20" t="str">
        <f t="shared" si="71"/>
        <v/>
      </c>
    </row>
    <row r="461" spans="2:18" ht="18" customHeight="1" x14ac:dyDescent="0.3">
      <c r="B461" s="24"/>
      <c r="C461" s="25"/>
      <c r="D461" s="18" t="str">
        <f>IF(B461="","",SUMIFS('📈 Datos Completos'!$E$7:$E$5000, '📈 Datos Completos'!$B$7:$B$5000, B461, '📈 Datos Completos'!$D$7:$D$5000, C461))</f>
        <v/>
      </c>
      <c r="E461" s="18" t="str">
        <f>IF(B461="","",SUMIFS('📈 Datos Completos'!$F$7:$F$5000, '📈 Datos Completos'!$B$7:$B$5000, B461, '📈 Datos Completos'!$D$7:$D$5000, C461))</f>
        <v/>
      </c>
      <c r="F461" s="18" t="str">
        <f>IF(B461="","",SUMIFS('📈 Datos Completos'!$G$7:$G$5000, '📈 Datos Completos'!$B$7:$B$5000, B461, '📈 Datos Completos'!$D$7:$D$5000, C461))</f>
        <v/>
      </c>
      <c r="G461" s="18" t="str">
        <f t="shared" si="63"/>
        <v/>
      </c>
      <c r="H461" s="19" t="str">
        <f>IF(B461="","",SUMIFS('📈 Datos Completos'!$I$7:$I$5000, '📈 Datos Completos'!$B$7:$B$5000, B461, '📈 Datos Completos'!$D$7:$D$5000, C461))</f>
        <v/>
      </c>
      <c r="I461" s="19" t="str">
        <f t="shared" si="64"/>
        <v/>
      </c>
      <c r="J461" s="19" t="str">
        <f t="shared" si="65"/>
        <v/>
      </c>
      <c r="K461" s="19" t="str">
        <f>IF(B461="","",IF(C461="DIA", (SUMIFS('📋 Detalle Diario'!$D$5:$D$489, '📋 Detalle Diario'!$B$5:$B$489, B461, '📋 Detalle Diario'!$C$5:$C$489, C461) * '⚙️ Supuestos'!$C$24) + '⚙️ Supuestos'!$C$23, (SUMIFS('📋 Detalle Diario'!$D$5:$D$489, '📋 Detalle Diario'!$B$5:$B$489, B461, '📋 Detalle Diario'!$C$5:$C$489, C461) * '⚙️ Supuestos'!$C$24) + '⚙️ Supuestos'!$C$33))</f>
        <v/>
      </c>
      <c r="L461" s="19" t="str">
        <f t="shared" si="66"/>
        <v/>
      </c>
      <c r="M461" s="20" t="str">
        <f t="shared" si="67"/>
        <v/>
      </c>
      <c r="N461" s="19" t="str">
        <f t="shared" si="68"/>
        <v/>
      </c>
      <c r="O461" s="25" t="str">
        <f t="shared" si="69"/>
        <v/>
      </c>
      <c r="P461" s="19" t="str">
        <f t="shared" si="70"/>
        <v/>
      </c>
      <c r="Q461" s="19" t="str">
        <f>IF(B461="","",J461-P461+(SUMIFS('📋 Detalle Diario'!$E$5:$E$489, '📋 Detalle Diario'!$B$5:$B$489, B461, '📋 Detalle Diario'!$C$5:$C$489, C461)*135)+(SUMIFS('📋 Detalle Diario'!$I$5:$I$489, '📋 Detalle Diario'!$B$5:$B$489, B461, '📋 Detalle Diario'!$C$5:$C$489, C461)*200))</f>
        <v/>
      </c>
      <c r="R461" s="20" t="str">
        <f t="shared" si="71"/>
        <v/>
      </c>
    </row>
    <row r="462" spans="2:18" ht="18" customHeight="1" x14ac:dyDescent="0.3">
      <c r="B462" s="26"/>
      <c r="C462" s="27"/>
      <c r="D462" s="18" t="str">
        <f>IF(B462="","",SUMIFS('📈 Datos Completos'!$E$7:$E$5000, '📈 Datos Completos'!$B$7:$B$5000, B462, '📈 Datos Completos'!$D$7:$D$5000, C462))</f>
        <v/>
      </c>
      <c r="E462" s="18" t="str">
        <f>IF(B462="","",SUMIFS('📈 Datos Completos'!$F$7:$F$5000, '📈 Datos Completos'!$B$7:$B$5000, B462, '📈 Datos Completos'!$D$7:$D$5000, C462))</f>
        <v/>
      </c>
      <c r="F462" s="18" t="str">
        <f>IF(B462="","",SUMIFS('📈 Datos Completos'!$G$7:$G$5000, '📈 Datos Completos'!$B$7:$B$5000, B462, '📈 Datos Completos'!$D$7:$D$5000, C462))</f>
        <v/>
      </c>
      <c r="G462" s="18" t="str">
        <f t="shared" si="63"/>
        <v/>
      </c>
      <c r="H462" s="19" t="str">
        <f>IF(B462="","",SUMIFS('📈 Datos Completos'!$I$7:$I$5000, '📈 Datos Completos'!$B$7:$B$5000, B462, '📈 Datos Completos'!$D$7:$D$5000, C462))</f>
        <v/>
      </c>
      <c r="I462" s="19" t="str">
        <f t="shared" si="64"/>
        <v/>
      </c>
      <c r="J462" s="19" t="str">
        <f t="shared" si="65"/>
        <v/>
      </c>
      <c r="K462" s="19" t="str">
        <f>IF(B462="","",IF(C462="DIA", (SUMIFS('📋 Detalle Diario'!$D$5:$D$489, '📋 Detalle Diario'!$B$5:$B$489, B462, '📋 Detalle Diario'!$C$5:$C$489, C462) * '⚙️ Supuestos'!$C$24) + '⚙️ Supuestos'!$C$23, (SUMIFS('📋 Detalle Diario'!$D$5:$D$489, '📋 Detalle Diario'!$B$5:$B$489, B462, '📋 Detalle Diario'!$C$5:$C$489, C462) * '⚙️ Supuestos'!$C$24) + '⚙️ Supuestos'!$C$33))</f>
        <v/>
      </c>
      <c r="L462" s="19" t="str">
        <f t="shared" si="66"/>
        <v/>
      </c>
      <c r="M462" s="20" t="str">
        <f t="shared" si="67"/>
        <v/>
      </c>
      <c r="N462" s="19" t="str">
        <f t="shared" si="68"/>
        <v/>
      </c>
      <c r="O462" s="27" t="str">
        <f t="shared" si="69"/>
        <v/>
      </c>
      <c r="P462" s="19" t="str">
        <f t="shared" si="70"/>
        <v/>
      </c>
      <c r="Q462" s="19" t="str">
        <f>IF(B462="","",J462-P462+(SUMIFS('📋 Detalle Diario'!$E$5:$E$489, '📋 Detalle Diario'!$B$5:$B$489, B462, '📋 Detalle Diario'!$C$5:$C$489, C462)*135)+(SUMIFS('📋 Detalle Diario'!$I$5:$I$489, '📋 Detalle Diario'!$B$5:$B$489, B462, '📋 Detalle Diario'!$C$5:$C$489, C462)*200))</f>
        <v/>
      </c>
      <c r="R462" s="20" t="str">
        <f t="shared" si="71"/>
        <v/>
      </c>
    </row>
    <row r="463" spans="2:18" ht="18" customHeight="1" x14ac:dyDescent="0.3">
      <c r="B463" s="24"/>
      <c r="C463" s="25"/>
      <c r="D463" s="18" t="str">
        <f>IF(B463="","",SUMIFS('📈 Datos Completos'!$E$7:$E$5000, '📈 Datos Completos'!$B$7:$B$5000, B463, '📈 Datos Completos'!$D$7:$D$5000, C463))</f>
        <v/>
      </c>
      <c r="E463" s="18" t="str">
        <f>IF(B463="","",SUMIFS('📈 Datos Completos'!$F$7:$F$5000, '📈 Datos Completos'!$B$7:$B$5000, B463, '📈 Datos Completos'!$D$7:$D$5000, C463))</f>
        <v/>
      </c>
      <c r="F463" s="18" t="str">
        <f>IF(B463="","",SUMIFS('📈 Datos Completos'!$G$7:$G$5000, '📈 Datos Completos'!$B$7:$B$5000, B463, '📈 Datos Completos'!$D$7:$D$5000, C463))</f>
        <v/>
      </c>
      <c r="G463" s="18" t="str">
        <f t="shared" si="63"/>
        <v/>
      </c>
      <c r="H463" s="19" t="str">
        <f>IF(B463="","",SUMIFS('📈 Datos Completos'!$I$7:$I$5000, '📈 Datos Completos'!$B$7:$B$5000, B463, '📈 Datos Completos'!$D$7:$D$5000, C463))</f>
        <v/>
      </c>
      <c r="I463" s="19" t="str">
        <f t="shared" si="64"/>
        <v/>
      </c>
      <c r="J463" s="19" t="str">
        <f t="shared" si="65"/>
        <v/>
      </c>
      <c r="K463" s="19" t="str">
        <f>IF(B463="","",IF(C463="DIA", (SUMIFS('📋 Detalle Diario'!$D$5:$D$489, '📋 Detalle Diario'!$B$5:$B$489, B463, '📋 Detalle Diario'!$C$5:$C$489, C463) * '⚙️ Supuestos'!$C$24) + '⚙️ Supuestos'!$C$23, (SUMIFS('📋 Detalle Diario'!$D$5:$D$489, '📋 Detalle Diario'!$B$5:$B$489, B463, '📋 Detalle Diario'!$C$5:$C$489, C463) * '⚙️ Supuestos'!$C$24) + '⚙️ Supuestos'!$C$33))</f>
        <v/>
      </c>
      <c r="L463" s="19" t="str">
        <f t="shared" si="66"/>
        <v/>
      </c>
      <c r="M463" s="20" t="str">
        <f t="shared" si="67"/>
        <v/>
      </c>
      <c r="N463" s="19" t="str">
        <f t="shared" si="68"/>
        <v/>
      </c>
      <c r="O463" s="25" t="str">
        <f t="shared" si="69"/>
        <v/>
      </c>
      <c r="P463" s="19" t="str">
        <f t="shared" si="70"/>
        <v/>
      </c>
      <c r="Q463" s="19" t="str">
        <f>IF(B463="","",J463-P463+(SUMIFS('📋 Detalle Diario'!$E$5:$E$489, '📋 Detalle Diario'!$B$5:$B$489, B463, '📋 Detalle Diario'!$C$5:$C$489, C463)*135)+(SUMIFS('📋 Detalle Diario'!$I$5:$I$489, '📋 Detalle Diario'!$B$5:$B$489, B463, '📋 Detalle Diario'!$C$5:$C$489, C463)*200))</f>
        <v/>
      </c>
      <c r="R463" s="20" t="str">
        <f t="shared" si="71"/>
        <v/>
      </c>
    </row>
    <row r="464" spans="2:18" ht="18" customHeight="1" x14ac:dyDescent="0.3">
      <c r="B464" s="26"/>
      <c r="C464" s="27"/>
      <c r="D464" s="18" t="str">
        <f>IF(B464="","",SUMIFS('📈 Datos Completos'!$E$7:$E$5000, '📈 Datos Completos'!$B$7:$B$5000, B464, '📈 Datos Completos'!$D$7:$D$5000, C464))</f>
        <v/>
      </c>
      <c r="E464" s="18" t="str">
        <f>IF(B464="","",SUMIFS('📈 Datos Completos'!$F$7:$F$5000, '📈 Datos Completos'!$B$7:$B$5000, B464, '📈 Datos Completos'!$D$7:$D$5000, C464))</f>
        <v/>
      </c>
      <c r="F464" s="18" t="str">
        <f>IF(B464="","",SUMIFS('📈 Datos Completos'!$G$7:$G$5000, '📈 Datos Completos'!$B$7:$B$5000, B464, '📈 Datos Completos'!$D$7:$D$5000, C464))</f>
        <v/>
      </c>
      <c r="G464" s="18" t="str">
        <f t="shared" si="63"/>
        <v/>
      </c>
      <c r="H464" s="19" t="str">
        <f>IF(B464="","",SUMIFS('📈 Datos Completos'!$I$7:$I$5000, '📈 Datos Completos'!$B$7:$B$5000, B464, '📈 Datos Completos'!$D$7:$D$5000, C464))</f>
        <v/>
      </c>
      <c r="I464" s="19" t="str">
        <f t="shared" si="64"/>
        <v/>
      </c>
      <c r="J464" s="19" t="str">
        <f t="shared" si="65"/>
        <v/>
      </c>
      <c r="K464" s="19" t="str">
        <f>IF(B464="","",IF(C464="DIA", (SUMIFS('📋 Detalle Diario'!$D$5:$D$489, '📋 Detalle Diario'!$B$5:$B$489, B464, '📋 Detalle Diario'!$C$5:$C$489, C464) * '⚙️ Supuestos'!$C$24) + '⚙️ Supuestos'!$C$23, (SUMIFS('📋 Detalle Diario'!$D$5:$D$489, '📋 Detalle Diario'!$B$5:$B$489, B464, '📋 Detalle Diario'!$C$5:$C$489, C464) * '⚙️ Supuestos'!$C$24) + '⚙️ Supuestos'!$C$33))</f>
        <v/>
      </c>
      <c r="L464" s="19" t="str">
        <f t="shared" si="66"/>
        <v/>
      </c>
      <c r="M464" s="20" t="str">
        <f t="shared" si="67"/>
        <v/>
      </c>
      <c r="N464" s="19" t="str">
        <f t="shared" si="68"/>
        <v/>
      </c>
      <c r="O464" s="27" t="str">
        <f t="shared" si="69"/>
        <v/>
      </c>
      <c r="P464" s="19" t="str">
        <f t="shared" si="70"/>
        <v/>
      </c>
      <c r="Q464" s="19" t="str">
        <f>IF(B464="","",J464-P464+(SUMIFS('📋 Detalle Diario'!$E$5:$E$489, '📋 Detalle Diario'!$B$5:$B$489, B464, '📋 Detalle Diario'!$C$5:$C$489, C464)*135)+(SUMIFS('📋 Detalle Diario'!$I$5:$I$489, '📋 Detalle Diario'!$B$5:$B$489, B464, '📋 Detalle Diario'!$C$5:$C$489, C464)*200))</f>
        <v/>
      </c>
      <c r="R464" s="20" t="str">
        <f t="shared" si="71"/>
        <v/>
      </c>
    </row>
    <row r="465" spans="2:18" ht="18" customHeight="1" x14ac:dyDescent="0.3">
      <c r="B465" s="24"/>
      <c r="C465" s="25"/>
      <c r="D465" s="18" t="str">
        <f>IF(B465="","",SUMIFS('📈 Datos Completos'!$E$7:$E$5000, '📈 Datos Completos'!$B$7:$B$5000, B465, '📈 Datos Completos'!$D$7:$D$5000, C465))</f>
        <v/>
      </c>
      <c r="E465" s="18" t="str">
        <f>IF(B465="","",SUMIFS('📈 Datos Completos'!$F$7:$F$5000, '📈 Datos Completos'!$B$7:$B$5000, B465, '📈 Datos Completos'!$D$7:$D$5000, C465))</f>
        <v/>
      </c>
      <c r="F465" s="18" t="str">
        <f>IF(B465="","",SUMIFS('📈 Datos Completos'!$G$7:$G$5000, '📈 Datos Completos'!$B$7:$B$5000, B465, '📈 Datos Completos'!$D$7:$D$5000, C465))</f>
        <v/>
      </c>
      <c r="G465" s="18" t="str">
        <f t="shared" si="63"/>
        <v/>
      </c>
      <c r="H465" s="19" t="str">
        <f>IF(B465="","",SUMIFS('📈 Datos Completos'!$I$7:$I$5000, '📈 Datos Completos'!$B$7:$B$5000, B465, '📈 Datos Completos'!$D$7:$D$5000, C465))</f>
        <v/>
      </c>
      <c r="I465" s="19" t="str">
        <f t="shared" si="64"/>
        <v/>
      </c>
      <c r="J465" s="19" t="str">
        <f t="shared" si="65"/>
        <v/>
      </c>
      <c r="K465" s="19" t="str">
        <f>IF(B465="","",IF(C465="DIA", (SUMIFS('📋 Detalle Diario'!$D$5:$D$489, '📋 Detalle Diario'!$B$5:$B$489, B465, '📋 Detalle Diario'!$C$5:$C$489, C465) * '⚙️ Supuestos'!$C$24) + '⚙️ Supuestos'!$C$23, (SUMIFS('📋 Detalle Diario'!$D$5:$D$489, '📋 Detalle Diario'!$B$5:$B$489, B465, '📋 Detalle Diario'!$C$5:$C$489, C465) * '⚙️ Supuestos'!$C$24) + '⚙️ Supuestos'!$C$33))</f>
        <v/>
      </c>
      <c r="L465" s="19" t="str">
        <f t="shared" si="66"/>
        <v/>
      </c>
      <c r="M465" s="20" t="str">
        <f t="shared" si="67"/>
        <v/>
      </c>
      <c r="N465" s="19" t="str">
        <f t="shared" si="68"/>
        <v/>
      </c>
      <c r="O465" s="25" t="str">
        <f t="shared" si="69"/>
        <v/>
      </c>
      <c r="P465" s="19" t="str">
        <f t="shared" si="70"/>
        <v/>
      </c>
      <c r="Q465" s="19" t="str">
        <f>IF(B465="","",J465-P465+(SUMIFS('📋 Detalle Diario'!$E$5:$E$489, '📋 Detalle Diario'!$B$5:$B$489, B465, '📋 Detalle Diario'!$C$5:$C$489, C465)*135)+(SUMIFS('📋 Detalle Diario'!$I$5:$I$489, '📋 Detalle Diario'!$B$5:$B$489, B465, '📋 Detalle Diario'!$C$5:$C$489, C465)*200))</f>
        <v/>
      </c>
      <c r="R465" s="20" t="str">
        <f t="shared" si="71"/>
        <v/>
      </c>
    </row>
    <row r="466" spans="2:18" ht="18" customHeight="1" x14ac:dyDescent="0.3">
      <c r="B466" s="26"/>
      <c r="C466" s="27"/>
      <c r="D466" s="18" t="str">
        <f>IF(B466="","",SUMIFS('📈 Datos Completos'!$E$7:$E$5000, '📈 Datos Completos'!$B$7:$B$5000, B466, '📈 Datos Completos'!$D$7:$D$5000, C466))</f>
        <v/>
      </c>
      <c r="E466" s="18" t="str">
        <f>IF(B466="","",SUMIFS('📈 Datos Completos'!$F$7:$F$5000, '📈 Datos Completos'!$B$7:$B$5000, B466, '📈 Datos Completos'!$D$7:$D$5000, C466))</f>
        <v/>
      </c>
      <c r="F466" s="18" t="str">
        <f>IF(B466="","",SUMIFS('📈 Datos Completos'!$G$7:$G$5000, '📈 Datos Completos'!$B$7:$B$5000, B466, '📈 Datos Completos'!$D$7:$D$5000, C466))</f>
        <v/>
      </c>
      <c r="G466" s="18" t="str">
        <f t="shared" si="63"/>
        <v/>
      </c>
      <c r="H466" s="19" t="str">
        <f>IF(B466="","",SUMIFS('📈 Datos Completos'!$I$7:$I$5000, '📈 Datos Completos'!$B$7:$B$5000, B466, '📈 Datos Completos'!$D$7:$D$5000, C466))</f>
        <v/>
      </c>
      <c r="I466" s="19" t="str">
        <f t="shared" si="64"/>
        <v/>
      </c>
      <c r="J466" s="19" t="str">
        <f t="shared" si="65"/>
        <v/>
      </c>
      <c r="K466" s="19" t="str">
        <f>IF(B466="","",IF(C466="DIA", (SUMIFS('📋 Detalle Diario'!$D$5:$D$489, '📋 Detalle Diario'!$B$5:$B$489, B466, '📋 Detalle Diario'!$C$5:$C$489, C466) * '⚙️ Supuestos'!$C$24) + '⚙️ Supuestos'!$C$23, (SUMIFS('📋 Detalle Diario'!$D$5:$D$489, '📋 Detalle Diario'!$B$5:$B$489, B466, '📋 Detalle Diario'!$C$5:$C$489, C466) * '⚙️ Supuestos'!$C$24) + '⚙️ Supuestos'!$C$33))</f>
        <v/>
      </c>
      <c r="L466" s="19" t="str">
        <f t="shared" si="66"/>
        <v/>
      </c>
      <c r="M466" s="20" t="str">
        <f t="shared" si="67"/>
        <v/>
      </c>
      <c r="N466" s="19" t="str">
        <f t="shared" si="68"/>
        <v/>
      </c>
      <c r="O466" s="27" t="str">
        <f t="shared" si="69"/>
        <v/>
      </c>
      <c r="P466" s="19" t="str">
        <f t="shared" si="70"/>
        <v/>
      </c>
      <c r="Q466" s="19" t="str">
        <f>IF(B466="","",J466-P466+(SUMIFS('📋 Detalle Diario'!$E$5:$E$489, '📋 Detalle Diario'!$B$5:$B$489, B466, '📋 Detalle Diario'!$C$5:$C$489, C466)*135)+(SUMIFS('📋 Detalle Diario'!$I$5:$I$489, '📋 Detalle Diario'!$B$5:$B$489, B466, '📋 Detalle Diario'!$C$5:$C$489, C466)*200))</f>
        <v/>
      </c>
      <c r="R466" s="20" t="str">
        <f t="shared" si="71"/>
        <v/>
      </c>
    </row>
    <row r="467" spans="2:18" ht="18" customHeight="1" x14ac:dyDescent="0.3">
      <c r="B467" s="24"/>
      <c r="C467" s="25"/>
      <c r="D467" s="18" t="str">
        <f>IF(B467="","",SUMIFS('📈 Datos Completos'!$E$7:$E$5000, '📈 Datos Completos'!$B$7:$B$5000, B467, '📈 Datos Completos'!$D$7:$D$5000, C467))</f>
        <v/>
      </c>
      <c r="E467" s="18" t="str">
        <f>IF(B467="","",SUMIFS('📈 Datos Completos'!$F$7:$F$5000, '📈 Datos Completos'!$B$7:$B$5000, B467, '📈 Datos Completos'!$D$7:$D$5000, C467))</f>
        <v/>
      </c>
      <c r="F467" s="18" t="str">
        <f>IF(B467="","",SUMIFS('📈 Datos Completos'!$G$7:$G$5000, '📈 Datos Completos'!$B$7:$B$5000, B467, '📈 Datos Completos'!$D$7:$D$5000, C467))</f>
        <v/>
      </c>
      <c r="G467" s="18" t="str">
        <f t="shared" si="63"/>
        <v/>
      </c>
      <c r="H467" s="19" t="str">
        <f>IF(B467="","",SUMIFS('📈 Datos Completos'!$I$7:$I$5000, '📈 Datos Completos'!$B$7:$B$5000, B467, '📈 Datos Completos'!$D$7:$D$5000, C467))</f>
        <v/>
      </c>
      <c r="I467" s="19" t="str">
        <f t="shared" si="64"/>
        <v/>
      </c>
      <c r="J467" s="19" t="str">
        <f t="shared" si="65"/>
        <v/>
      </c>
      <c r="K467" s="19" t="str">
        <f>IF(B467="","",IF(C467="DIA", (SUMIFS('📋 Detalle Diario'!$D$5:$D$489, '📋 Detalle Diario'!$B$5:$B$489, B467, '📋 Detalle Diario'!$C$5:$C$489, C467) * '⚙️ Supuestos'!$C$24) + '⚙️ Supuestos'!$C$23, (SUMIFS('📋 Detalle Diario'!$D$5:$D$489, '📋 Detalle Diario'!$B$5:$B$489, B467, '📋 Detalle Diario'!$C$5:$C$489, C467) * '⚙️ Supuestos'!$C$24) + '⚙️ Supuestos'!$C$33))</f>
        <v/>
      </c>
      <c r="L467" s="19" t="str">
        <f t="shared" si="66"/>
        <v/>
      </c>
      <c r="M467" s="20" t="str">
        <f t="shared" si="67"/>
        <v/>
      </c>
      <c r="N467" s="19" t="str">
        <f t="shared" si="68"/>
        <v/>
      </c>
      <c r="O467" s="25" t="str">
        <f t="shared" si="69"/>
        <v/>
      </c>
      <c r="P467" s="19" t="str">
        <f t="shared" si="70"/>
        <v/>
      </c>
      <c r="Q467" s="19" t="str">
        <f>IF(B467="","",J467-P467+(SUMIFS('📋 Detalle Diario'!$E$5:$E$489, '📋 Detalle Diario'!$B$5:$B$489, B467, '📋 Detalle Diario'!$C$5:$C$489, C467)*135)+(SUMIFS('📋 Detalle Diario'!$I$5:$I$489, '📋 Detalle Diario'!$B$5:$B$489, B467, '📋 Detalle Diario'!$C$5:$C$489, C467)*200))</f>
        <v/>
      </c>
      <c r="R467" s="20" t="str">
        <f t="shared" si="71"/>
        <v/>
      </c>
    </row>
    <row r="468" spans="2:18" ht="18" customHeight="1" x14ac:dyDescent="0.3">
      <c r="B468" s="26"/>
      <c r="C468" s="27"/>
      <c r="D468" s="18" t="str">
        <f>IF(B468="","",SUMIFS('📈 Datos Completos'!$E$7:$E$5000, '📈 Datos Completos'!$B$7:$B$5000, B468, '📈 Datos Completos'!$D$7:$D$5000, C468))</f>
        <v/>
      </c>
      <c r="E468" s="18" t="str">
        <f>IF(B468="","",SUMIFS('📈 Datos Completos'!$F$7:$F$5000, '📈 Datos Completos'!$B$7:$B$5000, B468, '📈 Datos Completos'!$D$7:$D$5000, C468))</f>
        <v/>
      </c>
      <c r="F468" s="18" t="str">
        <f>IF(B468="","",SUMIFS('📈 Datos Completos'!$G$7:$G$5000, '📈 Datos Completos'!$B$7:$B$5000, B468, '📈 Datos Completos'!$D$7:$D$5000, C468))</f>
        <v/>
      </c>
      <c r="G468" s="18" t="str">
        <f t="shared" si="63"/>
        <v/>
      </c>
      <c r="H468" s="19" t="str">
        <f>IF(B468="","",SUMIFS('📈 Datos Completos'!$I$7:$I$5000, '📈 Datos Completos'!$B$7:$B$5000, B468, '📈 Datos Completos'!$D$7:$D$5000, C468))</f>
        <v/>
      </c>
      <c r="I468" s="19" t="str">
        <f t="shared" si="64"/>
        <v/>
      </c>
      <c r="J468" s="19" t="str">
        <f t="shared" si="65"/>
        <v/>
      </c>
      <c r="K468" s="19" t="str">
        <f>IF(B468="","",IF(C468="DIA", (SUMIFS('📋 Detalle Diario'!$D$5:$D$489, '📋 Detalle Diario'!$B$5:$B$489, B468, '📋 Detalle Diario'!$C$5:$C$489, C468) * '⚙️ Supuestos'!$C$24) + '⚙️ Supuestos'!$C$23, (SUMIFS('📋 Detalle Diario'!$D$5:$D$489, '📋 Detalle Diario'!$B$5:$B$489, B468, '📋 Detalle Diario'!$C$5:$C$489, C468) * '⚙️ Supuestos'!$C$24) + '⚙️ Supuestos'!$C$33))</f>
        <v/>
      </c>
      <c r="L468" s="19" t="str">
        <f t="shared" si="66"/>
        <v/>
      </c>
      <c r="M468" s="20" t="str">
        <f t="shared" si="67"/>
        <v/>
      </c>
      <c r="N468" s="19" t="str">
        <f t="shared" si="68"/>
        <v/>
      </c>
      <c r="O468" s="27" t="str">
        <f t="shared" si="69"/>
        <v/>
      </c>
      <c r="P468" s="19" t="str">
        <f t="shared" si="70"/>
        <v/>
      </c>
      <c r="Q468" s="19" t="str">
        <f>IF(B468="","",J468-P468+(SUMIFS('📋 Detalle Diario'!$E$5:$E$489, '📋 Detalle Diario'!$B$5:$B$489, B468, '📋 Detalle Diario'!$C$5:$C$489, C468)*135)+(SUMIFS('📋 Detalle Diario'!$I$5:$I$489, '📋 Detalle Diario'!$B$5:$B$489, B468, '📋 Detalle Diario'!$C$5:$C$489, C468)*200))</f>
        <v/>
      </c>
      <c r="R468" s="20" t="str">
        <f t="shared" si="71"/>
        <v/>
      </c>
    </row>
    <row r="469" spans="2:18" ht="18" customHeight="1" x14ac:dyDescent="0.3">
      <c r="B469" s="24"/>
      <c r="C469" s="25"/>
      <c r="D469" s="18" t="str">
        <f>IF(B469="","",SUMIFS('📈 Datos Completos'!$E$7:$E$5000, '📈 Datos Completos'!$B$7:$B$5000, B469, '📈 Datos Completos'!$D$7:$D$5000, C469))</f>
        <v/>
      </c>
      <c r="E469" s="18" t="str">
        <f>IF(B469="","",SUMIFS('📈 Datos Completos'!$F$7:$F$5000, '📈 Datos Completos'!$B$7:$B$5000, B469, '📈 Datos Completos'!$D$7:$D$5000, C469))</f>
        <v/>
      </c>
      <c r="F469" s="18" t="str">
        <f>IF(B469="","",SUMIFS('📈 Datos Completos'!$G$7:$G$5000, '📈 Datos Completos'!$B$7:$B$5000, B469, '📈 Datos Completos'!$D$7:$D$5000, C469))</f>
        <v/>
      </c>
      <c r="G469" s="18" t="str">
        <f t="shared" si="63"/>
        <v/>
      </c>
      <c r="H469" s="19" t="str">
        <f>IF(B469="","",SUMIFS('📈 Datos Completos'!$I$7:$I$5000, '📈 Datos Completos'!$B$7:$B$5000, B469, '📈 Datos Completos'!$D$7:$D$5000, C469))</f>
        <v/>
      </c>
      <c r="I469" s="19" t="str">
        <f t="shared" si="64"/>
        <v/>
      </c>
      <c r="J469" s="19" t="str">
        <f t="shared" si="65"/>
        <v/>
      </c>
      <c r="K469" s="19" t="str">
        <f>IF(B469="","",IF(C469="DIA", (SUMIFS('📋 Detalle Diario'!$D$5:$D$489, '📋 Detalle Diario'!$B$5:$B$489, B469, '📋 Detalle Diario'!$C$5:$C$489, C469) * '⚙️ Supuestos'!$C$24) + '⚙️ Supuestos'!$C$23, (SUMIFS('📋 Detalle Diario'!$D$5:$D$489, '📋 Detalle Diario'!$B$5:$B$489, B469, '📋 Detalle Diario'!$C$5:$C$489, C469) * '⚙️ Supuestos'!$C$24) + '⚙️ Supuestos'!$C$33))</f>
        <v/>
      </c>
      <c r="L469" s="19" t="str">
        <f t="shared" si="66"/>
        <v/>
      </c>
      <c r="M469" s="20" t="str">
        <f t="shared" si="67"/>
        <v/>
      </c>
      <c r="N469" s="19" t="str">
        <f t="shared" si="68"/>
        <v/>
      </c>
      <c r="O469" s="25" t="str">
        <f t="shared" si="69"/>
        <v/>
      </c>
      <c r="P469" s="19" t="str">
        <f t="shared" si="70"/>
        <v/>
      </c>
      <c r="Q469" s="19" t="str">
        <f>IF(B469="","",J469-P469+(SUMIFS('📋 Detalle Diario'!$E$5:$E$489, '📋 Detalle Diario'!$B$5:$B$489, B469, '📋 Detalle Diario'!$C$5:$C$489, C469)*135)+(SUMIFS('📋 Detalle Diario'!$I$5:$I$489, '📋 Detalle Diario'!$B$5:$B$489, B469, '📋 Detalle Diario'!$C$5:$C$489, C469)*200))</f>
        <v/>
      </c>
      <c r="R469" s="20" t="str">
        <f t="shared" si="71"/>
        <v/>
      </c>
    </row>
    <row r="470" spans="2:18" ht="18" customHeight="1" x14ac:dyDescent="0.3">
      <c r="B470" s="26"/>
      <c r="C470" s="27"/>
      <c r="D470" s="18" t="str">
        <f>IF(B470="","",SUMIFS('📈 Datos Completos'!$E$7:$E$5000, '📈 Datos Completos'!$B$7:$B$5000, B470, '📈 Datos Completos'!$D$7:$D$5000, C470))</f>
        <v/>
      </c>
      <c r="E470" s="18" t="str">
        <f>IF(B470="","",SUMIFS('📈 Datos Completos'!$F$7:$F$5000, '📈 Datos Completos'!$B$7:$B$5000, B470, '📈 Datos Completos'!$D$7:$D$5000, C470))</f>
        <v/>
      </c>
      <c r="F470" s="18" t="str">
        <f>IF(B470="","",SUMIFS('📈 Datos Completos'!$G$7:$G$5000, '📈 Datos Completos'!$B$7:$B$5000, B470, '📈 Datos Completos'!$D$7:$D$5000, C470))</f>
        <v/>
      </c>
      <c r="G470" s="18" t="str">
        <f t="shared" si="63"/>
        <v/>
      </c>
      <c r="H470" s="19" t="str">
        <f>IF(B470="","",SUMIFS('📈 Datos Completos'!$I$7:$I$5000, '📈 Datos Completos'!$B$7:$B$5000, B470, '📈 Datos Completos'!$D$7:$D$5000, C470))</f>
        <v/>
      </c>
      <c r="I470" s="19" t="str">
        <f t="shared" si="64"/>
        <v/>
      </c>
      <c r="J470" s="19" t="str">
        <f t="shared" si="65"/>
        <v/>
      </c>
      <c r="K470" s="19" t="str">
        <f>IF(B470="","",IF(C470="DIA", (SUMIFS('📋 Detalle Diario'!$D$5:$D$489, '📋 Detalle Diario'!$B$5:$B$489, B470, '📋 Detalle Diario'!$C$5:$C$489, C470) * '⚙️ Supuestos'!$C$24) + '⚙️ Supuestos'!$C$23, (SUMIFS('📋 Detalle Diario'!$D$5:$D$489, '📋 Detalle Diario'!$B$5:$B$489, B470, '📋 Detalle Diario'!$C$5:$C$489, C470) * '⚙️ Supuestos'!$C$24) + '⚙️ Supuestos'!$C$33))</f>
        <v/>
      </c>
      <c r="L470" s="19" t="str">
        <f t="shared" si="66"/>
        <v/>
      </c>
      <c r="M470" s="20" t="str">
        <f t="shared" si="67"/>
        <v/>
      </c>
      <c r="N470" s="19" t="str">
        <f t="shared" si="68"/>
        <v/>
      </c>
      <c r="O470" s="27" t="str">
        <f t="shared" si="69"/>
        <v/>
      </c>
      <c r="P470" s="19" t="str">
        <f t="shared" si="70"/>
        <v/>
      </c>
      <c r="Q470" s="19" t="str">
        <f>IF(B470="","",J470-P470+(SUMIFS('📋 Detalle Diario'!$E$5:$E$489, '📋 Detalle Diario'!$B$5:$B$489, B470, '📋 Detalle Diario'!$C$5:$C$489, C470)*135)+(SUMIFS('📋 Detalle Diario'!$I$5:$I$489, '📋 Detalle Diario'!$B$5:$B$489, B470, '📋 Detalle Diario'!$C$5:$C$489, C470)*200))</f>
        <v/>
      </c>
      <c r="R470" s="20" t="str">
        <f t="shared" si="71"/>
        <v/>
      </c>
    </row>
    <row r="471" spans="2:18" ht="18" customHeight="1" x14ac:dyDescent="0.3">
      <c r="B471" s="24"/>
      <c r="C471" s="25"/>
      <c r="D471" s="18" t="str">
        <f>IF(B471="","",SUMIFS('📈 Datos Completos'!$E$7:$E$5000, '📈 Datos Completos'!$B$7:$B$5000, B471, '📈 Datos Completos'!$D$7:$D$5000, C471))</f>
        <v/>
      </c>
      <c r="E471" s="18" t="str">
        <f>IF(B471="","",SUMIFS('📈 Datos Completos'!$F$7:$F$5000, '📈 Datos Completos'!$B$7:$B$5000, B471, '📈 Datos Completos'!$D$7:$D$5000, C471))</f>
        <v/>
      </c>
      <c r="F471" s="18" t="str">
        <f>IF(B471="","",SUMIFS('📈 Datos Completos'!$G$7:$G$5000, '📈 Datos Completos'!$B$7:$B$5000, B471, '📈 Datos Completos'!$D$7:$D$5000, C471))</f>
        <v/>
      </c>
      <c r="G471" s="18" t="str">
        <f t="shared" si="63"/>
        <v/>
      </c>
      <c r="H471" s="19" t="str">
        <f>IF(B471="","",SUMIFS('📈 Datos Completos'!$I$7:$I$5000, '📈 Datos Completos'!$B$7:$B$5000, B471, '📈 Datos Completos'!$D$7:$D$5000, C471))</f>
        <v/>
      </c>
      <c r="I471" s="19" t="str">
        <f t="shared" si="64"/>
        <v/>
      </c>
      <c r="J471" s="19" t="str">
        <f t="shared" si="65"/>
        <v/>
      </c>
      <c r="K471" s="19" t="str">
        <f>IF(B471="","",IF(C471="DIA", (SUMIFS('📋 Detalle Diario'!$D$5:$D$489, '📋 Detalle Diario'!$B$5:$B$489, B471, '📋 Detalle Diario'!$C$5:$C$489, C471) * '⚙️ Supuestos'!$C$24) + '⚙️ Supuestos'!$C$23, (SUMIFS('📋 Detalle Diario'!$D$5:$D$489, '📋 Detalle Diario'!$B$5:$B$489, B471, '📋 Detalle Diario'!$C$5:$C$489, C471) * '⚙️ Supuestos'!$C$24) + '⚙️ Supuestos'!$C$33))</f>
        <v/>
      </c>
      <c r="L471" s="19" t="str">
        <f t="shared" si="66"/>
        <v/>
      </c>
      <c r="M471" s="20" t="str">
        <f t="shared" si="67"/>
        <v/>
      </c>
      <c r="N471" s="19" t="str">
        <f t="shared" si="68"/>
        <v/>
      </c>
      <c r="O471" s="25" t="str">
        <f t="shared" si="69"/>
        <v/>
      </c>
      <c r="P471" s="19" t="str">
        <f t="shared" si="70"/>
        <v/>
      </c>
      <c r="Q471" s="19" t="str">
        <f>IF(B471="","",J471-P471+(SUMIFS('📋 Detalle Diario'!$E$5:$E$489, '📋 Detalle Diario'!$B$5:$B$489, B471, '📋 Detalle Diario'!$C$5:$C$489, C471)*135)+(SUMIFS('📋 Detalle Diario'!$I$5:$I$489, '📋 Detalle Diario'!$B$5:$B$489, B471, '📋 Detalle Diario'!$C$5:$C$489, C471)*200))</f>
        <v/>
      </c>
      <c r="R471" s="20" t="str">
        <f t="shared" si="71"/>
        <v/>
      </c>
    </row>
    <row r="472" spans="2:18" ht="18" customHeight="1" x14ac:dyDescent="0.3">
      <c r="B472" s="26"/>
      <c r="C472" s="27"/>
      <c r="D472" s="18" t="str">
        <f>IF(B472="","",SUMIFS('📈 Datos Completos'!$E$7:$E$5000, '📈 Datos Completos'!$B$7:$B$5000, B472, '📈 Datos Completos'!$D$7:$D$5000, C472))</f>
        <v/>
      </c>
      <c r="E472" s="18" t="str">
        <f>IF(B472="","",SUMIFS('📈 Datos Completos'!$F$7:$F$5000, '📈 Datos Completos'!$B$7:$B$5000, B472, '📈 Datos Completos'!$D$7:$D$5000, C472))</f>
        <v/>
      </c>
      <c r="F472" s="18" t="str">
        <f>IF(B472="","",SUMIFS('📈 Datos Completos'!$G$7:$G$5000, '📈 Datos Completos'!$B$7:$B$5000, B472, '📈 Datos Completos'!$D$7:$D$5000, C472))</f>
        <v/>
      </c>
      <c r="G472" s="18" t="str">
        <f t="shared" si="63"/>
        <v/>
      </c>
      <c r="H472" s="19" t="str">
        <f>IF(B472="","",SUMIFS('📈 Datos Completos'!$I$7:$I$5000, '📈 Datos Completos'!$B$7:$B$5000, B472, '📈 Datos Completos'!$D$7:$D$5000, C472))</f>
        <v/>
      </c>
      <c r="I472" s="19" t="str">
        <f t="shared" si="64"/>
        <v/>
      </c>
      <c r="J472" s="19" t="str">
        <f t="shared" si="65"/>
        <v/>
      </c>
      <c r="K472" s="19" t="str">
        <f>IF(B472="","",IF(C472="DIA", (SUMIFS('📋 Detalle Diario'!$D$5:$D$489, '📋 Detalle Diario'!$B$5:$B$489, B472, '📋 Detalle Diario'!$C$5:$C$489, C472) * '⚙️ Supuestos'!$C$24) + '⚙️ Supuestos'!$C$23, (SUMIFS('📋 Detalle Diario'!$D$5:$D$489, '📋 Detalle Diario'!$B$5:$B$489, B472, '📋 Detalle Diario'!$C$5:$C$489, C472) * '⚙️ Supuestos'!$C$24) + '⚙️ Supuestos'!$C$33))</f>
        <v/>
      </c>
      <c r="L472" s="19" t="str">
        <f t="shared" si="66"/>
        <v/>
      </c>
      <c r="M472" s="20" t="str">
        <f t="shared" si="67"/>
        <v/>
      </c>
      <c r="N472" s="19" t="str">
        <f t="shared" si="68"/>
        <v/>
      </c>
      <c r="O472" s="27" t="str">
        <f t="shared" si="69"/>
        <v/>
      </c>
      <c r="P472" s="19" t="str">
        <f t="shared" si="70"/>
        <v/>
      </c>
      <c r="Q472" s="19" t="str">
        <f>IF(B472="","",J472-P472+(SUMIFS('📋 Detalle Diario'!$E$5:$E$489, '📋 Detalle Diario'!$B$5:$B$489, B472, '📋 Detalle Diario'!$C$5:$C$489, C472)*135)+(SUMIFS('📋 Detalle Diario'!$I$5:$I$489, '📋 Detalle Diario'!$B$5:$B$489, B472, '📋 Detalle Diario'!$C$5:$C$489, C472)*200))</f>
        <v/>
      </c>
      <c r="R472" s="20" t="str">
        <f t="shared" si="71"/>
        <v/>
      </c>
    </row>
    <row r="473" spans="2:18" ht="18" customHeight="1" x14ac:dyDescent="0.3">
      <c r="B473" s="24"/>
      <c r="C473" s="25"/>
      <c r="D473" s="18" t="str">
        <f>IF(B473="","",SUMIFS('📈 Datos Completos'!$E$7:$E$5000, '📈 Datos Completos'!$B$7:$B$5000, B473, '📈 Datos Completos'!$D$7:$D$5000, C473))</f>
        <v/>
      </c>
      <c r="E473" s="18" t="str">
        <f>IF(B473="","",SUMIFS('📈 Datos Completos'!$F$7:$F$5000, '📈 Datos Completos'!$B$7:$B$5000, B473, '📈 Datos Completos'!$D$7:$D$5000, C473))</f>
        <v/>
      </c>
      <c r="F473" s="18" t="str">
        <f>IF(B473="","",SUMIFS('📈 Datos Completos'!$G$7:$G$5000, '📈 Datos Completos'!$B$7:$B$5000, B473, '📈 Datos Completos'!$D$7:$D$5000, C473))</f>
        <v/>
      </c>
      <c r="G473" s="18" t="str">
        <f t="shared" si="63"/>
        <v/>
      </c>
      <c r="H473" s="19" t="str">
        <f>IF(B473="","",SUMIFS('📈 Datos Completos'!$I$7:$I$5000, '📈 Datos Completos'!$B$7:$B$5000, B473, '📈 Datos Completos'!$D$7:$D$5000, C473))</f>
        <v/>
      </c>
      <c r="I473" s="19" t="str">
        <f t="shared" si="64"/>
        <v/>
      </c>
      <c r="J473" s="19" t="str">
        <f t="shared" si="65"/>
        <v/>
      </c>
      <c r="K473" s="19" t="str">
        <f>IF(B473="","",IF(C473="DIA", (SUMIFS('📋 Detalle Diario'!$D$5:$D$489, '📋 Detalle Diario'!$B$5:$B$489, B473, '📋 Detalle Diario'!$C$5:$C$489, C473) * '⚙️ Supuestos'!$C$24) + '⚙️ Supuestos'!$C$23, (SUMIFS('📋 Detalle Diario'!$D$5:$D$489, '📋 Detalle Diario'!$B$5:$B$489, B473, '📋 Detalle Diario'!$C$5:$C$489, C473) * '⚙️ Supuestos'!$C$24) + '⚙️ Supuestos'!$C$33))</f>
        <v/>
      </c>
      <c r="L473" s="19" t="str">
        <f t="shared" si="66"/>
        <v/>
      </c>
      <c r="M473" s="20" t="str">
        <f t="shared" si="67"/>
        <v/>
      </c>
      <c r="N473" s="19" t="str">
        <f t="shared" si="68"/>
        <v/>
      </c>
      <c r="O473" s="25" t="str">
        <f t="shared" si="69"/>
        <v/>
      </c>
      <c r="P473" s="19" t="str">
        <f t="shared" si="70"/>
        <v/>
      </c>
      <c r="Q473" s="19" t="str">
        <f>IF(B473="","",J473-P473+(SUMIFS('📋 Detalle Diario'!$E$5:$E$489, '📋 Detalle Diario'!$B$5:$B$489, B473, '📋 Detalle Diario'!$C$5:$C$489, C473)*135)+(SUMIFS('📋 Detalle Diario'!$I$5:$I$489, '📋 Detalle Diario'!$B$5:$B$489, B473, '📋 Detalle Diario'!$C$5:$C$489, C473)*200))</f>
        <v/>
      </c>
      <c r="R473" s="20" t="str">
        <f t="shared" si="71"/>
        <v/>
      </c>
    </row>
    <row r="474" spans="2:18" ht="18" customHeight="1" x14ac:dyDescent="0.3">
      <c r="B474" s="26"/>
      <c r="C474" s="27"/>
      <c r="D474" s="18" t="str">
        <f>IF(B474="","",SUMIFS('📈 Datos Completos'!$E$7:$E$5000, '📈 Datos Completos'!$B$7:$B$5000, B474, '📈 Datos Completos'!$D$7:$D$5000, C474))</f>
        <v/>
      </c>
      <c r="E474" s="18" t="str">
        <f>IF(B474="","",SUMIFS('📈 Datos Completos'!$F$7:$F$5000, '📈 Datos Completos'!$B$7:$B$5000, B474, '📈 Datos Completos'!$D$7:$D$5000, C474))</f>
        <v/>
      </c>
      <c r="F474" s="18" t="str">
        <f>IF(B474="","",SUMIFS('📈 Datos Completos'!$G$7:$G$5000, '📈 Datos Completos'!$B$7:$B$5000, B474, '📈 Datos Completos'!$D$7:$D$5000, C474))</f>
        <v/>
      </c>
      <c r="G474" s="18" t="str">
        <f t="shared" si="63"/>
        <v/>
      </c>
      <c r="H474" s="19" t="str">
        <f>IF(B474="","",SUMIFS('📈 Datos Completos'!$I$7:$I$5000, '📈 Datos Completos'!$B$7:$B$5000, B474, '📈 Datos Completos'!$D$7:$D$5000, C474))</f>
        <v/>
      </c>
      <c r="I474" s="19" t="str">
        <f t="shared" si="64"/>
        <v/>
      </c>
      <c r="J474" s="19" t="str">
        <f t="shared" si="65"/>
        <v/>
      </c>
      <c r="K474" s="19" t="str">
        <f>IF(B474="","",IF(C474="DIA", (SUMIFS('📋 Detalle Diario'!$D$5:$D$489, '📋 Detalle Diario'!$B$5:$B$489, B474, '📋 Detalle Diario'!$C$5:$C$489, C474) * '⚙️ Supuestos'!$C$24) + '⚙️ Supuestos'!$C$23, (SUMIFS('📋 Detalle Diario'!$D$5:$D$489, '📋 Detalle Diario'!$B$5:$B$489, B474, '📋 Detalle Diario'!$C$5:$C$489, C474) * '⚙️ Supuestos'!$C$24) + '⚙️ Supuestos'!$C$33))</f>
        <v/>
      </c>
      <c r="L474" s="19" t="str">
        <f t="shared" si="66"/>
        <v/>
      </c>
      <c r="M474" s="20" t="str">
        <f t="shared" si="67"/>
        <v/>
      </c>
      <c r="N474" s="19" t="str">
        <f t="shared" si="68"/>
        <v/>
      </c>
      <c r="O474" s="27" t="str">
        <f t="shared" si="69"/>
        <v/>
      </c>
      <c r="P474" s="19" t="str">
        <f t="shared" si="70"/>
        <v/>
      </c>
      <c r="Q474" s="19" t="str">
        <f>IF(B474="","",J474-P474+(SUMIFS('📋 Detalle Diario'!$E$5:$E$489, '📋 Detalle Diario'!$B$5:$B$489, B474, '📋 Detalle Diario'!$C$5:$C$489, C474)*135)+(SUMIFS('📋 Detalle Diario'!$I$5:$I$489, '📋 Detalle Diario'!$B$5:$B$489, B474, '📋 Detalle Diario'!$C$5:$C$489, C474)*200))</f>
        <v/>
      </c>
      <c r="R474" s="20" t="str">
        <f t="shared" si="71"/>
        <v/>
      </c>
    </row>
    <row r="475" spans="2:18" ht="18" customHeight="1" x14ac:dyDescent="0.3">
      <c r="B475" s="24"/>
      <c r="C475" s="25"/>
      <c r="D475" s="18" t="str">
        <f>IF(B475="","",SUMIFS('📈 Datos Completos'!$E$7:$E$5000, '📈 Datos Completos'!$B$7:$B$5000, B475, '📈 Datos Completos'!$D$7:$D$5000, C475))</f>
        <v/>
      </c>
      <c r="E475" s="18" t="str">
        <f>IF(B475="","",SUMIFS('📈 Datos Completos'!$F$7:$F$5000, '📈 Datos Completos'!$B$7:$B$5000, B475, '📈 Datos Completos'!$D$7:$D$5000, C475))</f>
        <v/>
      </c>
      <c r="F475" s="18" t="str">
        <f>IF(B475="","",SUMIFS('📈 Datos Completos'!$G$7:$G$5000, '📈 Datos Completos'!$B$7:$B$5000, B475, '📈 Datos Completos'!$D$7:$D$5000, C475))</f>
        <v/>
      </c>
      <c r="G475" s="18" t="str">
        <f t="shared" si="63"/>
        <v/>
      </c>
      <c r="H475" s="19" t="str">
        <f>IF(B475="","",SUMIFS('📈 Datos Completos'!$I$7:$I$5000, '📈 Datos Completos'!$B$7:$B$5000, B475, '📈 Datos Completos'!$D$7:$D$5000, C475))</f>
        <v/>
      </c>
      <c r="I475" s="19" t="str">
        <f t="shared" si="64"/>
        <v/>
      </c>
      <c r="J475" s="19" t="str">
        <f t="shared" si="65"/>
        <v/>
      </c>
      <c r="K475" s="19" t="str">
        <f>IF(B475="","",IF(C475="DIA", (SUMIFS('📋 Detalle Diario'!$D$5:$D$489, '📋 Detalle Diario'!$B$5:$B$489, B475, '📋 Detalle Diario'!$C$5:$C$489, C475) * '⚙️ Supuestos'!$C$24) + '⚙️ Supuestos'!$C$23, (SUMIFS('📋 Detalle Diario'!$D$5:$D$489, '📋 Detalle Diario'!$B$5:$B$489, B475, '📋 Detalle Diario'!$C$5:$C$489, C475) * '⚙️ Supuestos'!$C$24) + '⚙️ Supuestos'!$C$33))</f>
        <v/>
      </c>
      <c r="L475" s="19" t="str">
        <f t="shared" si="66"/>
        <v/>
      </c>
      <c r="M475" s="20" t="str">
        <f t="shared" si="67"/>
        <v/>
      </c>
      <c r="N475" s="19" t="str">
        <f t="shared" si="68"/>
        <v/>
      </c>
      <c r="O475" s="25" t="str">
        <f t="shared" si="69"/>
        <v/>
      </c>
      <c r="P475" s="19" t="str">
        <f t="shared" si="70"/>
        <v/>
      </c>
      <c r="Q475" s="19" t="str">
        <f>IF(B475="","",J475-P475+(SUMIFS('📋 Detalle Diario'!$E$5:$E$489, '📋 Detalle Diario'!$B$5:$B$489, B475, '📋 Detalle Diario'!$C$5:$C$489, C475)*135)+(SUMIFS('📋 Detalle Diario'!$I$5:$I$489, '📋 Detalle Diario'!$B$5:$B$489, B475, '📋 Detalle Diario'!$C$5:$C$489, C475)*200))</f>
        <v/>
      </c>
      <c r="R475" s="20" t="str">
        <f t="shared" si="71"/>
        <v/>
      </c>
    </row>
    <row r="476" spans="2:18" ht="18" customHeight="1" x14ac:dyDescent="0.3">
      <c r="B476" s="26"/>
      <c r="C476" s="27"/>
      <c r="D476" s="18" t="str">
        <f>IF(B476="","",SUMIFS('📈 Datos Completos'!$E$7:$E$5000, '📈 Datos Completos'!$B$7:$B$5000, B476, '📈 Datos Completos'!$D$7:$D$5000, C476))</f>
        <v/>
      </c>
      <c r="E476" s="18" t="str">
        <f>IF(B476="","",SUMIFS('📈 Datos Completos'!$F$7:$F$5000, '📈 Datos Completos'!$B$7:$B$5000, B476, '📈 Datos Completos'!$D$7:$D$5000, C476))</f>
        <v/>
      </c>
      <c r="F476" s="18" t="str">
        <f>IF(B476="","",SUMIFS('📈 Datos Completos'!$G$7:$G$5000, '📈 Datos Completos'!$B$7:$B$5000, B476, '📈 Datos Completos'!$D$7:$D$5000, C476))</f>
        <v/>
      </c>
      <c r="G476" s="18" t="str">
        <f t="shared" si="63"/>
        <v/>
      </c>
      <c r="H476" s="19" t="str">
        <f>IF(B476="","",SUMIFS('📈 Datos Completos'!$I$7:$I$5000, '📈 Datos Completos'!$B$7:$B$5000, B476, '📈 Datos Completos'!$D$7:$D$5000, C476))</f>
        <v/>
      </c>
      <c r="I476" s="19" t="str">
        <f t="shared" si="64"/>
        <v/>
      </c>
      <c r="J476" s="19" t="str">
        <f t="shared" si="65"/>
        <v/>
      </c>
      <c r="K476" s="19" t="str">
        <f>IF(B476="","",IF(C476="DIA", (SUMIFS('📋 Detalle Diario'!$D$5:$D$489, '📋 Detalle Diario'!$B$5:$B$489, B476, '📋 Detalle Diario'!$C$5:$C$489, C476) * '⚙️ Supuestos'!$C$24) + '⚙️ Supuestos'!$C$23, (SUMIFS('📋 Detalle Diario'!$D$5:$D$489, '📋 Detalle Diario'!$B$5:$B$489, B476, '📋 Detalle Diario'!$C$5:$C$489, C476) * '⚙️ Supuestos'!$C$24) + '⚙️ Supuestos'!$C$33))</f>
        <v/>
      </c>
      <c r="L476" s="19" t="str">
        <f t="shared" si="66"/>
        <v/>
      </c>
      <c r="M476" s="20" t="str">
        <f t="shared" si="67"/>
        <v/>
      </c>
      <c r="N476" s="19" t="str">
        <f t="shared" si="68"/>
        <v/>
      </c>
      <c r="O476" s="27" t="str">
        <f t="shared" si="69"/>
        <v/>
      </c>
      <c r="P476" s="19" t="str">
        <f t="shared" si="70"/>
        <v/>
      </c>
      <c r="Q476" s="19" t="str">
        <f>IF(B476="","",J476-P476+(SUMIFS('📋 Detalle Diario'!$E$5:$E$489, '📋 Detalle Diario'!$B$5:$B$489, B476, '📋 Detalle Diario'!$C$5:$C$489, C476)*135)+(SUMIFS('📋 Detalle Diario'!$I$5:$I$489, '📋 Detalle Diario'!$B$5:$B$489, B476, '📋 Detalle Diario'!$C$5:$C$489, C476)*200))</f>
        <v/>
      </c>
      <c r="R476" s="20" t="str">
        <f t="shared" si="71"/>
        <v/>
      </c>
    </row>
    <row r="477" spans="2:18" ht="18" customHeight="1" x14ac:dyDescent="0.3">
      <c r="B477" s="24"/>
      <c r="C477" s="25"/>
      <c r="D477" s="18" t="str">
        <f>IF(B477="","",SUMIFS('📈 Datos Completos'!$E$7:$E$5000, '📈 Datos Completos'!$B$7:$B$5000, B477, '📈 Datos Completos'!$D$7:$D$5000, C477))</f>
        <v/>
      </c>
      <c r="E477" s="18" t="str">
        <f>IF(B477="","",SUMIFS('📈 Datos Completos'!$F$7:$F$5000, '📈 Datos Completos'!$B$7:$B$5000, B477, '📈 Datos Completos'!$D$7:$D$5000, C477))</f>
        <v/>
      </c>
      <c r="F477" s="18" t="str">
        <f>IF(B477="","",SUMIFS('📈 Datos Completos'!$G$7:$G$5000, '📈 Datos Completos'!$B$7:$B$5000, B477, '📈 Datos Completos'!$D$7:$D$5000, C477))</f>
        <v/>
      </c>
      <c r="G477" s="18" t="str">
        <f t="shared" si="63"/>
        <v/>
      </c>
      <c r="H477" s="19" t="str">
        <f>IF(B477="","",SUMIFS('📈 Datos Completos'!$I$7:$I$5000, '📈 Datos Completos'!$B$7:$B$5000, B477, '📈 Datos Completos'!$D$7:$D$5000, C477))</f>
        <v/>
      </c>
      <c r="I477" s="19" t="str">
        <f t="shared" si="64"/>
        <v/>
      </c>
      <c r="J477" s="19" t="str">
        <f t="shared" si="65"/>
        <v/>
      </c>
      <c r="K477" s="19" t="str">
        <f>IF(B477="","",IF(C477="DIA", (SUMIFS('📋 Detalle Diario'!$D$5:$D$489, '📋 Detalle Diario'!$B$5:$B$489, B477, '📋 Detalle Diario'!$C$5:$C$489, C477) * '⚙️ Supuestos'!$C$24) + '⚙️ Supuestos'!$C$23, (SUMIFS('📋 Detalle Diario'!$D$5:$D$489, '📋 Detalle Diario'!$B$5:$B$489, B477, '📋 Detalle Diario'!$C$5:$C$489, C477) * '⚙️ Supuestos'!$C$24) + '⚙️ Supuestos'!$C$33))</f>
        <v/>
      </c>
      <c r="L477" s="19" t="str">
        <f t="shared" si="66"/>
        <v/>
      </c>
      <c r="M477" s="20" t="str">
        <f t="shared" si="67"/>
        <v/>
      </c>
      <c r="N477" s="19" t="str">
        <f t="shared" si="68"/>
        <v/>
      </c>
      <c r="O477" s="25" t="str">
        <f t="shared" si="69"/>
        <v/>
      </c>
      <c r="P477" s="19" t="str">
        <f t="shared" si="70"/>
        <v/>
      </c>
      <c r="Q477" s="19" t="str">
        <f>IF(B477="","",J477-P477+(SUMIFS('📋 Detalle Diario'!$E$5:$E$489, '📋 Detalle Diario'!$B$5:$B$489, B477, '📋 Detalle Diario'!$C$5:$C$489, C477)*135)+(SUMIFS('📋 Detalle Diario'!$I$5:$I$489, '📋 Detalle Diario'!$B$5:$B$489, B477, '📋 Detalle Diario'!$C$5:$C$489, C477)*200))</f>
        <v/>
      </c>
      <c r="R477" s="20" t="str">
        <f t="shared" si="71"/>
        <v/>
      </c>
    </row>
    <row r="478" spans="2:18" ht="18" customHeight="1" x14ac:dyDescent="0.3">
      <c r="B478" s="26"/>
      <c r="C478" s="27"/>
      <c r="D478" s="18" t="str">
        <f>IF(B478="","",SUMIFS('📈 Datos Completos'!$E$7:$E$5000, '📈 Datos Completos'!$B$7:$B$5000, B478, '📈 Datos Completos'!$D$7:$D$5000, C478))</f>
        <v/>
      </c>
      <c r="E478" s="18" t="str">
        <f>IF(B478="","",SUMIFS('📈 Datos Completos'!$F$7:$F$5000, '📈 Datos Completos'!$B$7:$B$5000, B478, '📈 Datos Completos'!$D$7:$D$5000, C478))</f>
        <v/>
      </c>
      <c r="F478" s="18" t="str">
        <f>IF(B478="","",SUMIFS('📈 Datos Completos'!$G$7:$G$5000, '📈 Datos Completos'!$B$7:$B$5000, B478, '📈 Datos Completos'!$D$7:$D$5000, C478))</f>
        <v/>
      </c>
      <c r="G478" s="18" t="str">
        <f t="shared" si="63"/>
        <v/>
      </c>
      <c r="H478" s="19" t="str">
        <f>IF(B478="","",SUMIFS('📈 Datos Completos'!$I$7:$I$5000, '📈 Datos Completos'!$B$7:$B$5000, B478, '📈 Datos Completos'!$D$7:$D$5000, C478))</f>
        <v/>
      </c>
      <c r="I478" s="19" t="str">
        <f t="shared" si="64"/>
        <v/>
      </c>
      <c r="J478" s="19" t="str">
        <f t="shared" si="65"/>
        <v/>
      </c>
      <c r="K478" s="19" t="str">
        <f>IF(B478="","",IF(C478="DIA", (SUMIFS('📋 Detalle Diario'!$D$5:$D$489, '📋 Detalle Diario'!$B$5:$B$489, B478, '📋 Detalle Diario'!$C$5:$C$489, C478) * '⚙️ Supuestos'!$C$24) + '⚙️ Supuestos'!$C$23, (SUMIFS('📋 Detalle Diario'!$D$5:$D$489, '📋 Detalle Diario'!$B$5:$B$489, B478, '📋 Detalle Diario'!$C$5:$C$489, C478) * '⚙️ Supuestos'!$C$24) + '⚙️ Supuestos'!$C$33))</f>
        <v/>
      </c>
      <c r="L478" s="19" t="str">
        <f t="shared" si="66"/>
        <v/>
      </c>
      <c r="M478" s="20" t="str">
        <f t="shared" si="67"/>
        <v/>
      </c>
      <c r="N478" s="19" t="str">
        <f t="shared" si="68"/>
        <v/>
      </c>
      <c r="O478" s="27" t="str">
        <f t="shared" si="69"/>
        <v/>
      </c>
      <c r="P478" s="19" t="str">
        <f t="shared" si="70"/>
        <v/>
      </c>
      <c r="Q478" s="19" t="str">
        <f>IF(B478="","",J478-P478+(SUMIFS('📋 Detalle Diario'!$E$5:$E$489, '📋 Detalle Diario'!$B$5:$B$489, B478, '📋 Detalle Diario'!$C$5:$C$489, C478)*135)+(SUMIFS('📋 Detalle Diario'!$I$5:$I$489, '📋 Detalle Diario'!$B$5:$B$489, B478, '📋 Detalle Diario'!$C$5:$C$489, C478)*200))</f>
        <v/>
      </c>
      <c r="R478" s="20" t="str">
        <f t="shared" si="71"/>
        <v/>
      </c>
    </row>
    <row r="479" spans="2:18" ht="18" customHeight="1" x14ac:dyDescent="0.3">
      <c r="B479" s="24"/>
      <c r="C479" s="25"/>
      <c r="D479" s="18" t="str">
        <f>IF(B479="","",SUMIFS('📈 Datos Completos'!$E$7:$E$5000, '📈 Datos Completos'!$B$7:$B$5000, B479, '📈 Datos Completos'!$D$7:$D$5000, C479))</f>
        <v/>
      </c>
      <c r="E479" s="18" t="str">
        <f>IF(B479="","",SUMIFS('📈 Datos Completos'!$F$7:$F$5000, '📈 Datos Completos'!$B$7:$B$5000, B479, '📈 Datos Completos'!$D$7:$D$5000, C479))</f>
        <v/>
      </c>
      <c r="F479" s="18" t="str">
        <f>IF(B479="","",SUMIFS('📈 Datos Completos'!$G$7:$G$5000, '📈 Datos Completos'!$B$7:$B$5000, B479, '📈 Datos Completos'!$D$7:$D$5000, C479))</f>
        <v/>
      </c>
      <c r="G479" s="18" t="str">
        <f t="shared" si="63"/>
        <v/>
      </c>
      <c r="H479" s="19" t="str">
        <f>IF(B479="","",SUMIFS('📈 Datos Completos'!$I$7:$I$5000, '📈 Datos Completos'!$B$7:$B$5000, B479, '📈 Datos Completos'!$D$7:$D$5000, C479))</f>
        <v/>
      </c>
      <c r="I479" s="19" t="str">
        <f t="shared" si="64"/>
        <v/>
      </c>
      <c r="J479" s="19" t="str">
        <f t="shared" si="65"/>
        <v/>
      </c>
      <c r="K479" s="19" t="str">
        <f>IF(B479="","",IF(C479="DIA", (SUMIFS('📋 Detalle Diario'!$D$5:$D$489, '📋 Detalle Diario'!$B$5:$B$489, B479, '📋 Detalle Diario'!$C$5:$C$489, C479) * '⚙️ Supuestos'!$C$24) + '⚙️ Supuestos'!$C$23, (SUMIFS('📋 Detalle Diario'!$D$5:$D$489, '📋 Detalle Diario'!$B$5:$B$489, B479, '📋 Detalle Diario'!$C$5:$C$489, C479) * '⚙️ Supuestos'!$C$24) + '⚙️ Supuestos'!$C$33))</f>
        <v/>
      </c>
      <c r="L479" s="19" t="str">
        <f t="shared" si="66"/>
        <v/>
      </c>
      <c r="M479" s="20" t="str">
        <f t="shared" si="67"/>
        <v/>
      </c>
      <c r="N479" s="19" t="str">
        <f t="shared" si="68"/>
        <v/>
      </c>
      <c r="O479" s="25" t="str">
        <f t="shared" si="69"/>
        <v/>
      </c>
      <c r="P479" s="19" t="str">
        <f t="shared" si="70"/>
        <v/>
      </c>
      <c r="Q479" s="19" t="str">
        <f>IF(B479="","",J479-P479+(SUMIFS('📋 Detalle Diario'!$E$5:$E$489, '📋 Detalle Diario'!$B$5:$B$489, B479, '📋 Detalle Diario'!$C$5:$C$489, C479)*135)+(SUMIFS('📋 Detalle Diario'!$I$5:$I$489, '📋 Detalle Diario'!$B$5:$B$489, B479, '📋 Detalle Diario'!$C$5:$C$489, C479)*200))</f>
        <v/>
      </c>
      <c r="R479" s="20" t="str">
        <f t="shared" si="71"/>
        <v/>
      </c>
    </row>
    <row r="480" spans="2:18" ht="18" customHeight="1" x14ac:dyDescent="0.3">
      <c r="B480" s="26"/>
      <c r="C480" s="27"/>
      <c r="D480" s="18" t="str">
        <f>IF(B480="","",SUMIFS('📈 Datos Completos'!$E$7:$E$5000, '📈 Datos Completos'!$B$7:$B$5000, B480, '📈 Datos Completos'!$D$7:$D$5000, C480))</f>
        <v/>
      </c>
      <c r="E480" s="18" t="str">
        <f>IF(B480="","",SUMIFS('📈 Datos Completos'!$F$7:$F$5000, '📈 Datos Completos'!$B$7:$B$5000, B480, '📈 Datos Completos'!$D$7:$D$5000, C480))</f>
        <v/>
      </c>
      <c r="F480" s="18" t="str">
        <f>IF(B480="","",SUMIFS('📈 Datos Completos'!$G$7:$G$5000, '📈 Datos Completos'!$B$7:$B$5000, B480, '📈 Datos Completos'!$D$7:$D$5000, C480))</f>
        <v/>
      </c>
      <c r="G480" s="18" t="str">
        <f t="shared" si="63"/>
        <v/>
      </c>
      <c r="H480" s="19" t="str">
        <f>IF(B480="","",SUMIFS('📈 Datos Completos'!$I$7:$I$5000, '📈 Datos Completos'!$B$7:$B$5000, B480, '📈 Datos Completos'!$D$7:$D$5000, C480))</f>
        <v/>
      </c>
      <c r="I480" s="19" t="str">
        <f t="shared" si="64"/>
        <v/>
      </c>
      <c r="J480" s="19" t="str">
        <f t="shared" si="65"/>
        <v/>
      </c>
      <c r="K480" s="19" t="str">
        <f>IF(B480="","",IF(C480="DIA", (SUMIFS('📋 Detalle Diario'!$D$5:$D$489, '📋 Detalle Diario'!$B$5:$B$489, B480, '📋 Detalle Diario'!$C$5:$C$489, C480) * '⚙️ Supuestos'!$C$24) + '⚙️ Supuestos'!$C$23, (SUMIFS('📋 Detalle Diario'!$D$5:$D$489, '📋 Detalle Diario'!$B$5:$B$489, B480, '📋 Detalle Diario'!$C$5:$C$489, C480) * '⚙️ Supuestos'!$C$24) + '⚙️ Supuestos'!$C$33))</f>
        <v/>
      </c>
      <c r="L480" s="19" t="str">
        <f t="shared" si="66"/>
        <v/>
      </c>
      <c r="M480" s="20" t="str">
        <f t="shared" si="67"/>
        <v/>
      </c>
      <c r="N480" s="19" t="str">
        <f t="shared" si="68"/>
        <v/>
      </c>
      <c r="O480" s="27" t="str">
        <f t="shared" si="69"/>
        <v/>
      </c>
      <c r="P480" s="19" t="str">
        <f t="shared" si="70"/>
        <v/>
      </c>
      <c r="Q480" s="19" t="str">
        <f>IF(B480="","",J480-P480+(SUMIFS('📋 Detalle Diario'!$E$5:$E$489, '📋 Detalle Diario'!$B$5:$B$489, B480, '📋 Detalle Diario'!$C$5:$C$489, C480)*135)+(SUMIFS('📋 Detalle Diario'!$I$5:$I$489, '📋 Detalle Diario'!$B$5:$B$489, B480, '📋 Detalle Diario'!$C$5:$C$489, C480)*200))</f>
        <v/>
      </c>
      <c r="R480" s="20" t="str">
        <f t="shared" si="71"/>
        <v/>
      </c>
    </row>
    <row r="481" spans="2:18" ht="18" customHeight="1" x14ac:dyDescent="0.3">
      <c r="B481" s="24"/>
      <c r="C481" s="25"/>
      <c r="D481" s="18" t="str">
        <f>IF(B481="","",SUMIFS('📈 Datos Completos'!$E$7:$E$5000, '📈 Datos Completos'!$B$7:$B$5000, B481, '📈 Datos Completos'!$D$7:$D$5000, C481))</f>
        <v/>
      </c>
      <c r="E481" s="18" t="str">
        <f>IF(B481="","",SUMIFS('📈 Datos Completos'!$F$7:$F$5000, '📈 Datos Completos'!$B$7:$B$5000, B481, '📈 Datos Completos'!$D$7:$D$5000, C481))</f>
        <v/>
      </c>
      <c r="F481" s="18" t="str">
        <f>IF(B481="","",SUMIFS('📈 Datos Completos'!$G$7:$G$5000, '📈 Datos Completos'!$B$7:$B$5000, B481, '📈 Datos Completos'!$D$7:$D$5000, C481))</f>
        <v/>
      </c>
      <c r="G481" s="18" t="str">
        <f t="shared" si="63"/>
        <v/>
      </c>
      <c r="H481" s="19" t="str">
        <f>IF(B481="","",SUMIFS('📈 Datos Completos'!$I$7:$I$5000, '📈 Datos Completos'!$B$7:$B$5000, B481, '📈 Datos Completos'!$D$7:$D$5000, C481))</f>
        <v/>
      </c>
      <c r="I481" s="19" t="str">
        <f t="shared" si="64"/>
        <v/>
      </c>
      <c r="J481" s="19" t="str">
        <f t="shared" si="65"/>
        <v/>
      </c>
      <c r="K481" s="19" t="str">
        <f>IF(B481="","",IF(C481="DIA", (SUMIFS('📋 Detalle Diario'!$D$5:$D$489, '📋 Detalle Diario'!$B$5:$B$489, B481, '📋 Detalle Diario'!$C$5:$C$489, C481) * '⚙️ Supuestos'!$C$24) + '⚙️ Supuestos'!$C$23, (SUMIFS('📋 Detalle Diario'!$D$5:$D$489, '📋 Detalle Diario'!$B$5:$B$489, B481, '📋 Detalle Diario'!$C$5:$C$489, C481) * '⚙️ Supuestos'!$C$24) + '⚙️ Supuestos'!$C$33))</f>
        <v/>
      </c>
      <c r="L481" s="19" t="str">
        <f t="shared" si="66"/>
        <v/>
      </c>
      <c r="M481" s="20" t="str">
        <f t="shared" si="67"/>
        <v/>
      </c>
      <c r="N481" s="19" t="str">
        <f t="shared" si="68"/>
        <v/>
      </c>
      <c r="O481" s="25" t="str">
        <f t="shared" si="69"/>
        <v/>
      </c>
      <c r="P481" s="19" t="str">
        <f t="shared" si="70"/>
        <v/>
      </c>
      <c r="Q481" s="19" t="str">
        <f>IF(B481="","",J481-P481+(SUMIFS('📋 Detalle Diario'!$E$5:$E$489, '📋 Detalle Diario'!$B$5:$B$489, B481, '📋 Detalle Diario'!$C$5:$C$489, C481)*135)+(SUMIFS('📋 Detalle Diario'!$I$5:$I$489, '📋 Detalle Diario'!$B$5:$B$489, B481, '📋 Detalle Diario'!$C$5:$C$489, C481)*200))</f>
        <v/>
      </c>
      <c r="R481" s="20" t="str">
        <f t="shared" si="71"/>
        <v/>
      </c>
    </row>
    <row r="482" spans="2:18" ht="18" customHeight="1" x14ac:dyDescent="0.3">
      <c r="B482" s="26"/>
      <c r="C482" s="27"/>
      <c r="D482" s="18" t="str">
        <f>IF(B482="","",SUMIFS('📈 Datos Completos'!$E$7:$E$5000, '📈 Datos Completos'!$B$7:$B$5000, B482, '📈 Datos Completos'!$D$7:$D$5000, C482))</f>
        <v/>
      </c>
      <c r="E482" s="18" t="str">
        <f>IF(B482="","",SUMIFS('📈 Datos Completos'!$F$7:$F$5000, '📈 Datos Completos'!$B$7:$B$5000, B482, '📈 Datos Completos'!$D$7:$D$5000, C482))</f>
        <v/>
      </c>
      <c r="F482" s="18" t="str">
        <f>IF(B482="","",SUMIFS('📈 Datos Completos'!$G$7:$G$5000, '📈 Datos Completos'!$B$7:$B$5000, B482, '📈 Datos Completos'!$D$7:$D$5000, C482))</f>
        <v/>
      </c>
      <c r="G482" s="18" t="str">
        <f t="shared" si="63"/>
        <v/>
      </c>
      <c r="H482" s="19" t="str">
        <f>IF(B482="","",SUMIFS('📈 Datos Completos'!$I$7:$I$5000, '📈 Datos Completos'!$B$7:$B$5000, B482, '📈 Datos Completos'!$D$7:$D$5000, C482))</f>
        <v/>
      </c>
      <c r="I482" s="19" t="str">
        <f t="shared" si="64"/>
        <v/>
      </c>
      <c r="J482" s="19" t="str">
        <f t="shared" si="65"/>
        <v/>
      </c>
      <c r="K482" s="19" t="str">
        <f>IF(B482="","",IF(C482="DIA", (SUMIFS('📋 Detalle Diario'!$D$5:$D$489, '📋 Detalle Diario'!$B$5:$B$489, B482, '📋 Detalle Diario'!$C$5:$C$489, C482) * '⚙️ Supuestos'!$C$24) + '⚙️ Supuestos'!$C$23, (SUMIFS('📋 Detalle Diario'!$D$5:$D$489, '📋 Detalle Diario'!$B$5:$B$489, B482, '📋 Detalle Diario'!$C$5:$C$489, C482) * '⚙️ Supuestos'!$C$24) + '⚙️ Supuestos'!$C$33))</f>
        <v/>
      </c>
      <c r="L482" s="19" t="str">
        <f t="shared" si="66"/>
        <v/>
      </c>
      <c r="M482" s="20" t="str">
        <f t="shared" si="67"/>
        <v/>
      </c>
      <c r="N482" s="19" t="str">
        <f t="shared" si="68"/>
        <v/>
      </c>
      <c r="O482" s="27" t="str">
        <f t="shared" si="69"/>
        <v/>
      </c>
      <c r="P482" s="19" t="str">
        <f t="shared" si="70"/>
        <v/>
      </c>
      <c r="Q482" s="19" t="str">
        <f>IF(B482="","",J482-P482+(SUMIFS('📋 Detalle Diario'!$E$5:$E$489, '📋 Detalle Diario'!$B$5:$B$489, B482, '📋 Detalle Diario'!$C$5:$C$489, C482)*135)+(SUMIFS('📋 Detalle Diario'!$I$5:$I$489, '📋 Detalle Diario'!$B$5:$B$489, B482, '📋 Detalle Diario'!$C$5:$C$489, C482)*200))</f>
        <v/>
      </c>
      <c r="R482" s="20" t="str">
        <f t="shared" si="71"/>
        <v/>
      </c>
    </row>
    <row r="483" spans="2:18" ht="18" customHeight="1" x14ac:dyDescent="0.3">
      <c r="B483" s="24"/>
      <c r="C483" s="25"/>
      <c r="D483" s="18" t="str">
        <f>IF(B483="","",SUMIFS('📈 Datos Completos'!$E$7:$E$5000, '📈 Datos Completos'!$B$7:$B$5000, B483, '📈 Datos Completos'!$D$7:$D$5000, C483))</f>
        <v/>
      </c>
      <c r="E483" s="18" t="str">
        <f>IF(B483="","",SUMIFS('📈 Datos Completos'!$F$7:$F$5000, '📈 Datos Completos'!$B$7:$B$5000, B483, '📈 Datos Completos'!$D$7:$D$5000, C483))</f>
        <v/>
      </c>
      <c r="F483" s="18" t="str">
        <f>IF(B483="","",SUMIFS('📈 Datos Completos'!$G$7:$G$5000, '📈 Datos Completos'!$B$7:$B$5000, B483, '📈 Datos Completos'!$D$7:$D$5000, C483))</f>
        <v/>
      </c>
      <c r="G483" s="18" t="str">
        <f t="shared" si="63"/>
        <v/>
      </c>
      <c r="H483" s="19" t="str">
        <f>IF(B483="","",SUMIFS('📈 Datos Completos'!$I$7:$I$5000, '📈 Datos Completos'!$B$7:$B$5000, B483, '📈 Datos Completos'!$D$7:$D$5000, C483))</f>
        <v/>
      </c>
      <c r="I483" s="19" t="str">
        <f t="shared" si="64"/>
        <v/>
      </c>
      <c r="J483" s="19" t="str">
        <f t="shared" si="65"/>
        <v/>
      </c>
      <c r="K483" s="19" t="str">
        <f>IF(B483="","",IF(C483="DIA", (SUMIFS('📋 Detalle Diario'!$D$5:$D$489, '📋 Detalle Diario'!$B$5:$B$489, B483, '📋 Detalle Diario'!$C$5:$C$489, C483) * '⚙️ Supuestos'!$C$24) + '⚙️ Supuestos'!$C$23, (SUMIFS('📋 Detalle Diario'!$D$5:$D$489, '📋 Detalle Diario'!$B$5:$B$489, B483, '📋 Detalle Diario'!$C$5:$C$489, C483) * '⚙️ Supuestos'!$C$24) + '⚙️ Supuestos'!$C$33))</f>
        <v/>
      </c>
      <c r="L483" s="19" t="str">
        <f t="shared" si="66"/>
        <v/>
      </c>
      <c r="M483" s="20" t="str">
        <f t="shared" si="67"/>
        <v/>
      </c>
      <c r="N483" s="19" t="str">
        <f t="shared" si="68"/>
        <v/>
      </c>
      <c r="O483" s="25" t="str">
        <f t="shared" si="69"/>
        <v/>
      </c>
      <c r="P483" s="19" t="str">
        <f t="shared" si="70"/>
        <v/>
      </c>
      <c r="Q483" s="19" t="str">
        <f>IF(B483="","",J483-P483+(SUMIFS('📋 Detalle Diario'!$E$5:$E$489, '📋 Detalle Diario'!$B$5:$B$489, B483, '📋 Detalle Diario'!$C$5:$C$489, C483)*135)+(SUMIFS('📋 Detalle Diario'!$I$5:$I$489, '📋 Detalle Diario'!$B$5:$B$489, B483, '📋 Detalle Diario'!$C$5:$C$489, C483)*200))</f>
        <v/>
      </c>
      <c r="R483" s="20" t="str">
        <f t="shared" si="71"/>
        <v/>
      </c>
    </row>
    <row r="484" spans="2:18" ht="18" customHeight="1" x14ac:dyDescent="0.3">
      <c r="B484" s="26"/>
      <c r="C484" s="27"/>
      <c r="D484" s="18" t="str">
        <f>IF(B484="","",SUMIFS('📈 Datos Completos'!$E$7:$E$5000, '📈 Datos Completos'!$B$7:$B$5000, B484, '📈 Datos Completos'!$D$7:$D$5000, C484))</f>
        <v/>
      </c>
      <c r="E484" s="18" t="str">
        <f>IF(B484="","",SUMIFS('📈 Datos Completos'!$F$7:$F$5000, '📈 Datos Completos'!$B$7:$B$5000, B484, '📈 Datos Completos'!$D$7:$D$5000, C484))</f>
        <v/>
      </c>
      <c r="F484" s="18" t="str">
        <f>IF(B484="","",SUMIFS('📈 Datos Completos'!$G$7:$G$5000, '📈 Datos Completos'!$B$7:$B$5000, B484, '📈 Datos Completos'!$D$7:$D$5000, C484))</f>
        <v/>
      </c>
      <c r="G484" s="18" t="str">
        <f t="shared" si="63"/>
        <v/>
      </c>
      <c r="H484" s="19" t="str">
        <f>IF(B484="","",SUMIFS('📈 Datos Completos'!$I$7:$I$5000, '📈 Datos Completos'!$B$7:$B$5000, B484, '📈 Datos Completos'!$D$7:$D$5000, C484))</f>
        <v/>
      </c>
      <c r="I484" s="19" t="str">
        <f t="shared" si="64"/>
        <v/>
      </c>
      <c r="J484" s="19" t="str">
        <f t="shared" si="65"/>
        <v/>
      </c>
      <c r="K484" s="19" t="str">
        <f>IF(B484="","",IF(C484="DIA", (SUMIFS('📋 Detalle Diario'!$D$5:$D$489, '📋 Detalle Diario'!$B$5:$B$489, B484, '📋 Detalle Diario'!$C$5:$C$489, C484) * '⚙️ Supuestos'!$C$24) + '⚙️ Supuestos'!$C$23, (SUMIFS('📋 Detalle Diario'!$D$5:$D$489, '📋 Detalle Diario'!$B$5:$B$489, B484, '📋 Detalle Diario'!$C$5:$C$489, C484) * '⚙️ Supuestos'!$C$24) + '⚙️ Supuestos'!$C$33))</f>
        <v/>
      </c>
      <c r="L484" s="19" t="str">
        <f t="shared" si="66"/>
        <v/>
      </c>
      <c r="M484" s="20" t="str">
        <f t="shared" si="67"/>
        <v/>
      </c>
      <c r="N484" s="19" t="str">
        <f t="shared" si="68"/>
        <v/>
      </c>
      <c r="O484" s="27" t="str">
        <f t="shared" si="69"/>
        <v/>
      </c>
      <c r="P484" s="19" t="str">
        <f t="shared" si="70"/>
        <v/>
      </c>
      <c r="Q484" s="19" t="str">
        <f>IF(B484="","",J484-P484+(SUMIFS('📋 Detalle Diario'!$E$5:$E$489, '📋 Detalle Diario'!$B$5:$B$489, B484, '📋 Detalle Diario'!$C$5:$C$489, C484)*135)+(SUMIFS('📋 Detalle Diario'!$I$5:$I$489, '📋 Detalle Diario'!$B$5:$B$489, B484, '📋 Detalle Diario'!$C$5:$C$489, C484)*200))</f>
        <v/>
      </c>
      <c r="R484" s="20" t="str">
        <f t="shared" si="71"/>
        <v/>
      </c>
    </row>
    <row r="485" spans="2:18" ht="18" customHeight="1" x14ac:dyDescent="0.3">
      <c r="B485" s="24"/>
      <c r="C485" s="25"/>
      <c r="D485" s="18" t="str">
        <f>IF(B485="","",SUMIFS('📈 Datos Completos'!$E$7:$E$5000, '📈 Datos Completos'!$B$7:$B$5000, B485, '📈 Datos Completos'!$D$7:$D$5000, C485))</f>
        <v/>
      </c>
      <c r="E485" s="18" t="str">
        <f>IF(B485="","",SUMIFS('📈 Datos Completos'!$F$7:$F$5000, '📈 Datos Completos'!$B$7:$B$5000, B485, '📈 Datos Completos'!$D$7:$D$5000, C485))</f>
        <v/>
      </c>
      <c r="F485" s="18" t="str">
        <f>IF(B485="","",SUMIFS('📈 Datos Completos'!$G$7:$G$5000, '📈 Datos Completos'!$B$7:$B$5000, B485, '📈 Datos Completos'!$D$7:$D$5000, C485))</f>
        <v/>
      </c>
      <c r="G485" s="18" t="str">
        <f t="shared" si="63"/>
        <v/>
      </c>
      <c r="H485" s="19" t="str">
        <f>IF(B485="","",SUMIFS('📈 Datos Completos'!$I$7:$I$5000, '📈 Datos Completos'!$B$7:$B$5000, B485, '📈 Datos Completos'!$D$7:$D$5000, C485))</f>
        <v/>
      </c>
      <c r="I485" s="19" t="str">
        <f t="shared" si="64"/>
        <v/>
      </c>
      <c r="J485" s="19" t="str">
        <f t="shared" si="65"/>
        <v/>
      </c>
      <c r="K485" s="19" t="str">
        <f>IF(B485="","",IF(C485="DIA", (SUMIFS('📋 Detalle Diario'!$D$5:$D$489, '📋 Detalle Diario'!$B$5:$B$489, B485, '📋 Detalle Diario'!$C$5:$C$489, C485) * '⚙️ Supuestos'!$C$24) + '⚙️ Supuestos'!$C$23, (SUMIFS('📋 Detalle Diario'!$D$5:$D$489, '📋 Detalle Diario'!$B$5:$B$489, B485, '📋 Detalle Diario'!$C$5:$C$489, C485) * '⚙️ Supuestos'!$C$24) + '⚙️ Supuestos'!$C$33))</f>
        <v/>
      </c>
      <c r="L485" s="19" t="str">
        <f t="shared" si="66"/>
        <v/>
      </c>
      <c r="M485" s="20" t="str">
        <f t="shared" si="67"/>
        <v/>
      </c>
      <c r="N485" s="19" t="str">
        <f t="shared" si="68"/>
        <v/>
      </c>
      <c r="O485" s="25" t="str">
        <f t="shared" si="69"/>
        <v/>
      </c>
      <c r="P485" s="19" t="str">
        <f t="shared" si="70"/>
        <v/>
      </c>
      <c r="Q485" s="19" t="str">
        <f>IF(B485="","",J485-P485+(SUMIFS('📋 Detalle Diario'!$E$5:$E$489, '📋 Detalle Diario'!$B$5:$B$489, B485, '📋 Detalle Diario'!$C$5:$C$489, C485)*135)+(SUMIFS('📋 Detalle Diario'!$I$5:$I$489, '📋 Detalle Diario'!$B$5:$B$489, B485, '📋 Detalle Diario'!$C$5:$C$489, C485)*200))</f>
        <v/>
      </c>
      <c r="R485" s="20" t="str">
        <f t="shared" si="71"/>
        <v/>
      </c>
    </row>
    <row r="486" spans="2:18" ht="18" customHeight="1" x14ac:dyDescent="0.3">
      <c r="B486" s="26"/>
      <c r="C486" s="27"/>
      <c r="D486" s="18" t="str">
        <f>IF(B486="","",SUMIFS('📈 Datos Completos'!$E$7:$E$5000, '📈 Datos Completos'!$B$7:$B$5000, B486, '📈 Datos Completos'!$D$7:$D$5000, C486))</f>
        <v/>
      </c>
      <c r="E486" s="18" t="str">
        <f>IF(B486="","",SUMIFS('📈 Datos Completos'!$F$7:$F$5000, '📈 Datos Completos'!$B$7:$B$5000, B486, '📈 Datos Completos'!$D$7:$D$5000, C486))</f>
        <v/>
      </c>
      <c r="F486" s="18" t="str">
        <f>IF(B486="","",SUMIFS('📈 Datos Completos'!$G$7:$G$5000, '📈 Datos Completos'!$B$7:$B$5000, B486, '📈 Datos Completos'!$D$7:$D$5000, C486))</f>
        <v/>
      </c>
      <c r="G486" s="18" t="str">
        <f t="shared" si="63"/>
        <v/>
      </c>
      <c r="H486" s="19" t="str">
        <f>IF(B486="","",SUMIFS('📈 Datos Completos'!$I$7:$I$5000, '📈 Datos Completos'!$B$7:$B$5000, B486, '📈 Datos Completos'!$D$7:$D$5000, C486))</f>
        <v/>
      </c>
      <c r="I486" s="19" t="str">
        <f t="shared" si="64"/>
        <v/>
      </c>
      <c r="J486" s="19" t="str">
        <f t="shared" si="65"/>
        <v/>
      </c>
      <c r="K486" s="19" t="str">
        <f>IF(B486="","",IF(C486="DIA", (SUMIFS('📋 Detalle Diario'!$D$5:$D$489, '📋 Detalle Diario'!$B$5:$B$489, B486, '📋 Detalle Diario'!$C$5:$C$489, C486) * '⚙️ Supuestos'!$C$24) + '⚙️ Supuestos'!$C$23, (SUMIFS('📋 Detalle Diario'!$D$5:$D$489, '📋 Detalle Diario'!$B$5:$B$489, B486, '📋 Detalle Diario'!$C$5:$C$489, C486) * '⚙️ Supuestos'!$C$24) + '⚙️ Supuestos'!$C$33))</f>
        <v/>
      </c>
      <c r="L486" s="19" t="str">
        <f t="shared" si="66"/>
        <v/>
      </c>
      <c r="M486" s="20" t="str">
        <f t="shared" si="67"/>
        <v/>
      </c>
      <c r="N486" s="19" t="str">
        <f t="shared" si="68"/>
        <v/>
      </c>
      <c r="O486" s="27" t="str">
        <f t="shared" si="69"/>
        <v/>
      </c>
      <c r="P486" s="19" t="str">
        <f t="shared" si="70"/>
        <v/>
      </c>
      <c r="Q486" s="19" t="str">
        <f>IF(B486="","",J486-P486+(SUMIFS('📋 Detalle Diario'!$E$5:$E$489, '📋 Detalle Diario'!$B$5:$B$489, B486, '📋 Detalle Diario'!$C$5:$C$489, C486)*135)+(SUMIFS('📋 Detalle Diario'!$I$5:$I$489, '📋 Detalle Diario'!$B$5:$B$489, B486, '📋 Detalle Diario'!$C$5:$C$489, C486)*200))</f>
        <v/>
      </c>
      <c r="R486" s="20" t="str">
        <f t="shared" si="71"/>
        <v/>
      </c>
    </row>
    <row r="487" spans="2:18" ht="18" customHeight="1" x14ac:dyDescent="0.3">
      <c r="B487" s="24"/>
      <c r="C487" s="25"/>
      <c r="D487" s="18" t="str">
        <f>IF(B487="","",SUMIFS('📈 Datos Completos'!$E$7:$E$5000, '📈 Datos Completos'!$B$7:$B$5000, B487, '📈 Datos Completos'!$D$7:$D$5000, C487))</f>
        <v/>
      </c>
      <c r="E487" s="18" t="str">
        <f>IF(B487="","",SUMIFS('📈 Datos Completos'!$F$7:$F$5000, '📈 Datos Completos'!$B$7:$B$5000, B487, '📈 Datos Completos'!$D$7:$D$5000, C487))</f>
        <v/>
      </c>
      <c r="F487" s="18" t="str">
        <f>IF(B487="","",SUMIFS('📈 Datos Completos'!$G$7:$G$5000, '📈 Datos Completos'!$B$7:$B$5000, B487, '📈 Datos Completos'!$D$7:$D$5000, C487))</f>
        <v/>
      </c>
      <c r="G487" s="18" t="str">
        <f t="shared" si="63"/>
        <v/>
      </c>
      <c r="H487" s="19" t="str">
        <f>IF(B487="","",SUMIFS('📈 Datos Completos'!$I$7:$I$5000, '📈 Datos Completos'!$B$7:$B$5000, B487, '📈 Datos Completos'!$D$7:$D$5000, C487))</f>
        <v/>
      </c>
      <c r="I487" s="19" t="str">
        <f t="shared" si="64"/>
        <v/>
      </c>
      <c r="J487" s="19" t="str">
        <f t="shared" si="65"/>
        <v/>
      </c>
      <c r="K487" s="19" t="str">
        <f>IF(B487="","",IF(C487="DIA", (SUMIFS('📋 Detalle Diario'!$D$5:$D$489, '📋 Detalle Diario'!$B$5:$B$489, B487, '📋 Detalle Diario'!$C$5:$C$489, C487) * '⚙️ Supuestos'!$C$24) + '⚙️ Supuestos'!$C$23, (SUMIFS('📋 Detalle Diario'!$D$5:$D$489, '📋 Detalle Diario'!$B$5:$B$489, B487, '📋 Detalle Diario'!$C$5:$C$489, C487) * '⚙️ Supuestos'!$C$24) + '⚙️ Supuestos'!$C$33))</f>
        <v/>
      </c>
      <c r="L487" s="19" t="str">
        <f t="shared" si="66"/>
        <v/>
      </c>
      <c r="M487" s="20" t="str">
        <f t="shared" si="67"/>
        <v/>
      </c>
      <c r="N487" s="19" t="str">
        <f t="shared" si="68"/>
        <v/>
      </c>
      <c r="O487" s="25" t="str">
        <f t="shared" si="69"/>
        <v/>
      </c>
      <c r="P487" s="19" t="str">
        <f t="shared" si="70"/>
        <v/>
      </c>
      <c r="Q487" s="19" t="str">
        <f>IF(B487="","",J487-P487+(SUMIFS('📋 Detalle Diario'!$E$5:$E$489, '📋 Detalle Diario'!$B$5:$B$489, B487, '📋 Detalle Diario'!$C$5:$C$489, C487)*135)+(SUMIFS('📋 Detalle Diario'!$I$5:$I$489, '📋 Detalle Diario'!$B$5:$B$489, B487, '📋 Detalle Diario'!$C$5:$C$489, C487)*200))</f>
        <v/>
      </c>
      <c r="R487" s="20" t="str">
        <f t="shared" si="71"/>
        <v/>
      </c>
    </row>
    <row r="488" spans="2:18" ht="18" customHeight="1" x14ac:dyDescent="0.3">
      <c r="B488" s="26"/>
      <c r="C488" s="27"/>
      <c r="D488" s="18" t="str">
        <f>IF(B488="","",SUMIFS('📈 Datos Completos'!$E$7:$E$5000, '📈 Datos Completos'!$B$7:$B$5000, B488, '📈 Datos Completos'!$D$7:$D$5000, C488))</f>
        <v/>
      </c>
      <c r="E488" s="18" t="str">
        <f>IF(B488="","",SUMIFS('📈 Datos Completos'!$F$7:$F$5000, '📈 Datos Completos'!$B$7:$B$5000, B488, '📈 Datos Completos'!$D$7:$D$5000, C488))</f>
        <v/>
      </c>
      <c r="F488" s="18" t="str">
        <f>IF(B488="","",SUMIFS('📈 Datos Completos'!$G$7:$G$5000, '📈 Datos Completos'!$B$7:$B$5000, B488, '📈 Datos Completos'!$D$7:$D$5000, C488))</f>
        <v/>
      </c>
      <c r="G488" s="18" t="str">
        <f t="shared" si="63"/>
        <v/>
      </c>
      <c r="H488" s="19" t="str">
        <f>IF(B488="","",SUMIFS('📈 Datos Completos'!$I$7:$I$5000, '📈 Datos Completos'!$B$7:$B$5000, B488, '📈 Datos Completos'!$D$7:$D$5000, C488))</f>
        <v/>
      </c>
      <c r="I488" s="19" t="str">
        <f t="shared" si="64"/>
        <v/>
      </c>
      <c r="J488" s="19" t="str">
        <f t="shared" si="65"/>
        <v/>
      </c>
      <c r="K488" s="19" t="str">
        <f>IF(B488="","",IF(C488="DIA", (SUMIFS('📋 Detalle Diario'!$D$5:$D$489, '📋 Detalle Diario'!$B$5:$B$489, B488, '📋 Detalle Diario'!$C$5:$C$489, C488) * '⚙️ Supuestos'!$C$24) + '⚙️ Supuestos'!$C$23, (SUMIFS('📋 Detalle Diario'!$D$5:$D$489, '📋 Detalle Diario'!$B$5:$B$489, B488, '📋 Detalle Diario'!$C$5:$C$489, C488) * '⚙️ Supuestos'!$C$24) + '⚙️ Supuestos'!$C$33))</f>
        <v/>
      </c>
      <c r="L488" s="19" t="str">
        <f t="shared" si="66"/>
        <v/>
      </c>
      <c r="M488" s="20" t="str">
        <f t="shared" si="67"/>
        <v/>
      </c>
      <c r="N488" s="19" t="str">
        <f t="shared" si="68"/>
        <v/>
      </c>
      <c r="O488" s="27" t="str">
        <f t="shared" si="69"/>
        <v/>
      </c>
      <c r="P488" s="19" t="str">
        <f t="shared" si="70"/>
        <v/>
      </c>
      <c r="Q488" s="19" t="str">
        <f>IF(B488="","",J488-P488+(SUMIFS('📋 Detalle Diario'!$E$5:$E$489, '📋 Detalle Diario'!$B$5:$B$489, B488, '📋 Detalle Diario'!$C$5:$C$489, C488)*135)+(SUMIFS('📋 Detalle Diario'!$I$5:$I$489, '📋 Detalle Diario'!$B$5:$B$489, B488, '📋 Detalle Diario'!$C$5:$C$489, C488)*200))</f>
        <v/>
      </c>
      <c r="R488" s="20" t="str">
        <f t="shared" si="71"/>
        <v/>
      </c>
    </row>
    <row r="489" spans="2:18" ht="18" customHeight="1" x14ac:dyDescent="0.3">
      <c r="B489" s="24"/>
      <c r="C489" s="25"/>
      <c r="D489" s="18" t="str">
        <f>IF(B489="","",SUMIFS('📈 Datos Completos'!$E$7:$E$5000, '📈 Datos Completos'!$B$7:$B$5000, B489, '📈 Datos Completos'!$D$7:$D$5000, C489))</f>
        <v/>
      </c>
      <c r="E489" s="18" t="str">
        <f>IF(B489="","",SUMIFS('📈 Datos Completos'!$F$7:$F$5000, '📈 Datos Completos'!$B$7:$B$5000, B489, '📈 Datos Completos'!$D$7:$D$5000, C489))</f>
        <v/>
      </c>
      <c r="F489" s="18" t="str">
        <f>IF(B489="","",SUMIFS('📈 Datos Completos'!$G$7:$G$5000, '📈 Datos Completos'!$B$7:$B$5000, B489, '📈 Datos Completos'!$D$7:$D$5000, C489))</f>
        <v/>
      </c>
      <c r="G489" s="18" t="str">
        <f t="shared" si="63"/>
        <v/>
      </c>
      <c r="H489" s="19" t="str">
        <f>IF(B489="","",SUMIFS('📈 Datos Completos'!$I$7:$I$5000, '📈 Datos Completos'!$B$7:$B$5000, B489, '📈 Datos Completos'!$D$7:$D$5000, C489))</f>
        <v/>
      </c>
      <c r="I489" s="19" t="str">
        <f t="shared" si="64"/>
        <v/>
      </c>
      <c r="J489" s="19" t="str">
        <f t="shared" si="65"/>
        <v/>
      </c>
      <c r="K489" s="19" t="str">
        <f>IF(B489="","",IF(C489="DIA", (SUMIFS('📋 Detalle Diario'!$D$5:$D$489, '📋 Detalle Diario'!$B$5:$B$489, B489, '📋 Detalle Diario'!$C$5:$C$489, C489) * '⚙️ Supuestos'!$C$24) + '⚙️ Supuestos'!$C$23, (SUMIFS('📋 Detalle Diario'!$D$5:$D$489, '📋 Detalle Diario'!$B$5:$B$489, B489, '📋 Detalle Diario'!$C$5:$C$489, C489) * '⚙️ Supuestos'!$C$24) + '⚙️ Supuestos'!$C$33))</f>
        <v/>
      </c>
      <c r="L489" s="19" t="str">
        <f t="shared" si="66"/>
        <v/>
      </c>
      <c r="M489" s="20" t="str">
        <f t="shared" si="67"/>
        <v/>
      </c>
      <c r="N489" s="19" t="str">
        <f t="shared" si="68"/>
        <v/>
      </c>
      <c r="O489" s="25" t="str">
        <f t="shared" si="69"/>
        <v/>
      </c>
      <c r="P489" s="19" t="str">
        <f t="shared" si="70"/>
        <v/>
      </c>
      <c r="Q489" s="19" t="str">
        <f>IF(B489="","",J489-P489+(SUMIFS('📋 Detalle Diario'!$E$5:$E$489, '📋 Detalle Diario'!$B$5:$B$489, B489, '📋 Detalle Diario'!$C$5:$C$489, C489)*135)+(SUMIFS('📋 Detalle Diario'!$I$5:$I$489, '📋 Detalle Diario'!$B$5:$B$489, B489, '📋 Detalle Diario'!$C$5:$C$489, C489)*200))</f>
        <v/>
      </c>
      <c r="R489" s="20" t="str">
        <f t="shared" si="71"/>
        <v/>
      </c>
    </row>
    <row r="490" spans="2:18" ht="18" customHeight="1" x14ac:dyDescent="0.3">
      <c r="B490" s="26"/>
      <c r="C490" s="27"/>
      <c r="D490" s="18" t="str">
        <f>IF(B490="","",SUMIFS('📈 Datos Completos'!$E$7:$E$5000, '📈 Datos Completos'!$B$7:$B$5000, B490, '📈 Datos Completos'!$D$7:$D$5000, C490))</f>
        <v/>
      </c>
      <c r="E490" s="18" t="str">
        <f>IF(B490="","",SUMIFS('📈 Datos Completos'!$F$7:$F$5000, '📈 Datos Completos'!$B$7:$B$5000, B490, '📈 Datos Completos'!$D$7:$D$5000, C490))</f>
        <v/>
      </c>
      <c r="F490" s="18" t="str">
        <f>IF(B490="","",SUMIFS('📈 Datos Completos'!$G$7:$G$5000, '📈 Datos Completos'!$B$7:$B$5000, B490, '📈 Datos Completos'!$D$7:$D$5000, C490))</f>
        <v/>
      </c>
      <c r="G490" s="18" t="str">
        <f t="shared" si="63"/>
        <v/>
      </c>
      <c r="H490" s="19" t="str">
        <f>IF(B490="","",SUMIFS('📈 Datos Completos'!$I$7:$I$5000, '📈 Datos Completos'!$B$7:$B$5000, B490, '📈 Datos Completos'!$D$7:$D$5000, C490))</f>
        <v/>
      </c>
      <c r="I490" s="19" t="str">
        <f t="shared" si="64"/>
        <v/>
      </c>
      <c r="J490" s="19" t="str">
        <f t="shared" si="65"/>
        <v/>
      </c>
      <c r="K490" s="19" t="str">
        <f>IF(B490="","",IF(C490="DIA", (SUMIFS('📋 Detalle Diario'!$D$5:$D$489, '📋 Detalle Diario'!$B$5:$B$489, B490, '📋 Detalle Diario'!$C$5:$C$489, C490) * '⚙️ Supuestos'!$C$24) + '⚙️ Supuestos'!$C$23, (SUMIFS('📋 Detalle Diario'!$D$5:$D$489, '📋 Detalle Diario'!$B$5:$B$489, B490, '📋 Detalle Diario'!$C$5:$C$489, C490) * '⚙️ Supuestos'!$C$24) + '⚙️ Supuestos'!$C$33))</f>
        <v/>
      </c>
      <c r="L490" s="19" t="str">
        <f t="shared" si="66"/>
        <v/>
      </c>
      <c r="M490" s="20" t="str">
        <f t="shared" si="67"/>
        <v/>
      </c>
      <c r="N490" s="19" t="str">
        <f t="shared" si="68"/>
        <v/>
      </c>
      <c r="O490" s="27" t="str">
        <f t="shared" si="69"/>
        <v/>
      </c>
      <c r="P490" s="19" t="str">
        <f t="shared" si="70"/>
        <v/>
      </c>
      <c r="Q490" s="19" t="str">
        <f>IF(B490="","",J490-P490+(SUMIFS('📋 Detalle Diario'!$E$5:$E$489, '📋 Detalle Diario'!$B$5:$B$489, B490, '📋 Detalle Diario'!$C$5:$C$489, C490)*135)+(SUMIFS('📋 Detalle Diario'!$I$5:$I$489, '📋 Detalle Diario'!$B$5:$B$489, B490, '📋 Detalle Diario'!$C$5:$C$489, C490)*200))</f>
        <v/>
      </c>
      <c r="R490" s="20" t="str">
        <f t="shared" si="71"/>
        <v/>
      </c>
    </row>
    <row r="491" spans="2:18" ht="18" customHeight="1" x14ac:dyDescent="0.3">
      <c r="B491" s="24"/>
      <c r="C491" s="25"/>
      <c r="D491" s="18" t="str">
        <f>IF(B491="","",SUMIFS('📈 Datos Completos'!$E$7:$E$5000, '📈 Datos Completos'!$B$7:$B$5000, B491, '📈 Datos Completos'!$D$7:$D$5000, C491))</f>
        <v/>
      </c>
      <c r="E491" s="18" t="str">
        <f>IF(B491="","",SUMIFS('📈 Datos Completos'!$F$7:$F$5000, '📈 Datos Completos'!$B$7:$B$5000, B491, '📈 Datos Completos'!$D$7:$D$5000, C491))</f>
        <v/>
      </c>
      <c r="F491" s="18" t="str">
        <f>IF(B491="","",SUMIFS('📈 Datos Completos'!$G$7:$G$5000, '📈 Datos Completos'!$B$7:$B$5000, B491, '📈 Datos Completos'!$D$7:$D$5000, C491))</f>
        <v/>
      </c>
      <c r="G491" s="18" t="str">
        <f t="shared" si="63"/>
        <v/>
      </c>
      <c r="H491" s="19" t="str">
        <f>IF(B491="","",SUMIFS('📈 Datos Completos'!$I$7:$I$5000, '📈 Datos Completos'!$B$7:$B$5000, B491, '📈 Datos Completos'!$D$7:$D$5000, C491))</f>
        <v/>
      </c>
      <c r="I491" s="19" t="str">
        <f t="shared" si="64"/>
        <v/>
      </c>
      <c r="J491" s="19" t="str">
        <f t="shared" si="65"/>
        <v/>
      </c>
      <c r="K491" s="19" t="str">
        <f>IF(B491="","",IF(C491="DIA", (SUMIFS('📋 Detalle Diario'!$D$5:$D$489, '📋 Detalle Diario'!$B$5:$B$489, B491, '📋 Detalle Diario'!$C$5:$C$489, C491) * '⚙️ Supuestos'!$C$24) + '⚙️ Supuestos'!$C$23, (SUMIFS('📋 Detalle Diario'!$D$5:$D$489, '📋 Detalle Diario'!$B$5:$B$489, B491, '📋 Detalle Diario'!$C$5:$C$489, C491) * '⚙️ Supuestos'!$C$24) + '⚙️ Supuestos'!$C$33))</f>
        <v/>
      </c>
      <c r="L491" s="19" t="str">
        <f t="shared" si="66"/>
        <v/>
      </c>
      <c r="M491" s="20" t="str">
        <f t="shared" si="67"/>
        <v/>
      </c>
      <c r="N491" s="19" t="str">
        <f t="shared" si="68"/>
        <v/>
      </c>
      <c r="O491" s="25" t="str">
        <f t="shared" si="69"/>
        <v/>
      </c>
      <c r="P491" s="19" t="str">
        <f t="shared" si="70"/>
        <v/>
      </c>
      <c r="Q491" s="19" t="str">
        <f>IF(B491="","",J491-P491+(SUMIFS('📋 Detalle Diario'!$E$5:$E$489, '📋 Detalle Diario'!$B$5:$B$489, B491, '📋 Detalle Diario'!$C$5:$C$489, C491)*135)+(SUMIFS('📋 Detalle Diario'!$I$5:$I$489, '📋 Detalle Diario'!$B$5:$B$489, B491, '📋 Detalle Diario'!$C$5:$C$489, C491)*200))</f>
        <v/>
      </c>
      <c r="R491" s="20" t="str">
        <f t="shared" si="71"/>
        <v/>
      </c>
    </row>
    <row r="492" spans="2:18" ht="18" customHeight="1" x14ac:dyDescent="0.3">
      <c r="B492" s="26"/>
      <c r="C492" s="27"/>
      <c r="D492" s="18" t="str">
        <f>IF(B492="","",SUMIFS('📈 Datos Completos'!$E$7:$E$5000, '📈 Datos Completos'!$B$7:$B$5000, B492, '📈 Datos Completos'!$D$7:$D$5000, C492))</f>
        <v/>
      </c>
      <c r="E492" s="18" t="str">
        <f>IF(B492="","",SUMIFS('📈 Datos Completos'!$F$7:$F$5000, '📈 Datos Completos'!$B$7:$B$5000, B492, '📈 Datos Completos'!$D$7:$D$5000, C492))</f>
        <v/>
      </c>
      <c r="F492" s="18" t="str">
        <f>IF(B492="","",SUMIFS('📈 Datos Completos'!$G$7:$G$5000, '📈 Datos Completos'!$B$7:$B$5000, B492, '📈 Datos Completos'!$D$7:$D$5000, C492))</f>
        <v/>
      </c>
      <c r="G492" s="18" t="str">
        <f t="shared" si="63"/>
        <v/>
      </c>
      <c r="H492" s="19" t="str">
        <f>IF(B492="","",SUMIFS('📈 Datos Completos'!$I$7:$I$5000, '📈 Datos Completos'!$B$7:$B$5000, B492, '📈 Datos Completos'!$D$7:$D$5000, C492))</f>
        <v/>
      </c>
      <c r="I492" s="19" t="str">
        <f t="shared" si="64"/>
        <v/>
      </c>
      <c r="J492" s="19" t="str">
        <f t="shared" si="65"/>
        <v/>
      </c>
      <c r="K492" s="19" t="str">
        <f>IF(B492="","",IF(C492="DIA", (SUMIFS('📋 Detalle Diario'!$D$5:$D$489, '📋 Detalle Diario'!$B$5:$B$489, B492, '📋 Detalle Diario'!$C$5:$C$489, C492) * '⚙️ Supuestos'!$C$24) + '⚙️ Supuestos'!$C$23, (SUMIFS('📋 Detalle Diario'!$D$5:$D$489, '📋 Detalle Diario'!$B$5:$B$489, B492, '📋 Detalle Diario'!$C$5:$C$489, C492) * '⚙️ Supuestos'!$C$24) + '⚙️ Supuestos'!$C$33))</f>
        <v/>
      </c>
      <c r="L492" s="19" t="str">
        <f t="shared" si="66"/>
        <v/>
      </c>
      <c r="M492" s="20" t="str">
        <f t="shared" si="67"/>
        <v/>
      </c>
      <c r="N492" s="19" t="str">
        <f t="shared" si="68"/>
        <v/>
      </c>
      <c r="O492" s="27" t="str">
        <f t="shared" si="69"/>
        <v/>
      </c>
      <c r="P492" s="19" t="str">
        <f t="shared" si="70"/>
        <v/>
      </c>
      <c r="Q492" s="19" t="str">
        <f>IF(B492="","",J492-P492+(SUMIFS('📋 Detalle Diario'!$E$5:$E$489, '📋 Detalle Diario'!$B$5:$B$489, B492, '📋 Detalle Diario'!$C$5:$C$489, C492)*135)+(SUMIFS('📋 Detalle Diario'!$I$5:$I$489, '📋 Detalle Diario'!$B$5:$B$489, B492, '📋 Detalle Diario'!$C$5:$C$489, C492)*200))</f>
        <v/>
      </c>
      <c r="R492" s="20" t="str">
        <f t="shared" si="71"/>
        <v/>
      </c>
    </row>
    <row r="493" spans="2:18" ht="18" customHeight="1" x14ac:dyDescent="0.3">
      <c r="B493" s="24"/>
      <c r="C493" s="25"/>
      <c r="D493" s="18" t="str">
        <f>IF(B493="","",SUMIFS('📈 Datos Completos'!$E$7:$E$5000, '📈 Datos Completos'!$B$7:$B$5000, B493, '📈 Datos Completos'!$D$7:$D$5000, C493))</f>
        <v/>
      </c>
      <c r="E493" s="18" t="str">
        <f>IF(B493="","",SUMIFS('📈 Datos Completos'!$F$7:$F$5000, '📈 Datos Completos'!$B$7:$B$5000, B493, '📈 Datos Completos'!$D$7:$D$5000, C493))</f>
        <v/>
      </c>
      <c r="F493" s="18" t="str">
        <f>IF(B493="","",SUMIFS('📈 Datos Completos'!$G$7:$G$5000, '📈 Datos Completos'!$B$7:$B$5000, B493, '📈 Datos Completos'!$D$7:$D$5000, C493))</f>
        <v/>
      </c>
      <c r="G493" s="18" t="str">
        <f t="shared" si="63"/>
        <v/>
      </c>
      <c r="H493" s="19" t="str">
        <f>IF(B493="","",SUMIFS('📈 Datos Completos'!$I$7:$I$5000, '📈 Datos Completos'!$B$7:$B$5000, B493, '📈 Datos Completos'!$D$7:$D$5000, C493))</f>
        <v/>
      </c>
      <c r="I493" s="19" t="str">
        <f t="shared" si="64"/>
        <v/>
      </c>
      <c r="J493" s="19" t="str">
        <f t="shared" si="65"/>
        <v/>
      </c>
      <c r="K493" s="19" t="str">
        <f>IF(B493="","",IF(C493="DIA", (SUMIFS('📋 Detalle Diario'!$D$5:$D$489, '📋 Detalle Diario'!$B$5:$B$489, B493, '📋 Detalle Diario'!$C$5:$C$489, C493) * '⚙️ Supuestos'!$C$24) + '⚙️ Supuestos'!$C$23, (SUMIFS('📋 Detalle Diario'!$D$5:$D$489, '📋 Detalle Diario'!$B$5:$B$489, B493, '📋 Detalle Diario'!$C$5:$C$489, C493) * '⚙️ Supuestos'!$C$24) + '⚙️ Supuestos'!$C$33))</f>
        <v/>
      </c>
      <c r="L493" s="19" t="str">
        <f t="shared" si="66"/>
        <v/>
      </c>
      <c r="M493" s="20" t="str">
        <f t="shared" si="67"/>
        <v/>
      </c>
      <c r="N493" s="19" t="str">
        <f t="shared" si="68"/>
        <v/>
      </c>
      <c r="O493" s="25" t="str">
        <f t="shared" si="69"/>
        <v/>
      </c>
      <c r="P493" s="19" t="str">
        <f t="shared" si="70"/>
        <v/>
      </c>
      <c r="Q493" s="19" t="str">
        <f>IF(B493="","",J493-P493+(SUMIFS('📋 Detalle Diario'!$E$5:$E$489, '📋 Detalle Diario'!$B$5:$B$489, B493, '📋 Detalle Diario'!$C$5:$C$489, C493)*135)+(SUMIFS('📋 Detalle Diario'!$I$5:$I$489, '📋 Detalle Diario'!$B$5:$B$489, B493, '📋 Detalle Diario'!$C$5:$C$489, C493)*200))</f>
        <v/>
      </c>
      <c r="R493" s="20" t="str">
        <f t="shared" si="71"/>
        <v/>
      </c>
    </row>
    <row r="494" spans="2:18" ht="18" customHeight="1" x14ac:dyDescent="0.3">
      <c r="B494" s="26"/>
      <c r="C494" s="27"/>
      <c r="D494" s="18" t="str">
        <f>IF(B494="","",SUMIFS('📈 Datos Completos'!$E$7:$E$5000, '📈 Datos Completos'!$B$7:$B$5000, B494, '📈 Datos Completos'!$D$7:$D$5000, C494))</f>
        <v/>
      </c>
      <c r="E494" s="18" t="str">
        <f>IF(B494="","",SUMIFS('📈 Datos Completos'!$F$7:$F$5000, '📈 Datos Completos'!$B$7:$B$5000, B494, '📈 Datos Completos'!$D$7:$D$5000, C494))</f>
        <v/>
      </c>
      <c r="F494" s="18" t="str">
        <f>IF(B494="","",SUMIFS('📈 Datos Completos'!$G$7:$G$5000, '📈 Datos Completos'!$B$7:$B$5000, B494, '📈 Datos Completos'!$D$7:$D$5000, C494))</f>
        <v/>
      </c>
      <c r="G494" s="18" t="str">
        <f t="shared" si="63"/>
        <v/>
      </c>
      <c r="H494" s="19" t="str">
        <f>IF(B494="","",SUMIFS('📈 Datos Completos'!$I$7:$I$5000, '📈 Datos Completos'!$B$7:$B$5000, B494, '📈 Datos Completos'!$D$7:$D$5000, C494))</f>
        <v/>
      </c>
      <c r="I494" s="19" t="str">
        <f t="shared" si="64"/>
        <v/>
      </c>
      <c r="J494" s="19" t="str">
        <f t="shared" si="65"/>
        <v/>
      </c>
      <c r="K494" s="19" t="str">
        <f>IF(B494="","",IF(C494="DIA", (SUMIFS('📋 Detalle Diario'!$D$5:$D$489, '📋 Detalle Diario'!$B$5:$B$489, B494, '📋 Detalle Diario'!$C$5:$C$489, C494) * '⚙️ Supuestos'!$C$24) + '⚙️ Supuestos'!$C$23, (SUMIFS('📋 Detalle Diario'!$D$5:$D$489, '📋 Detalle Diario'!$B$5:$B$489, B494, '📋 Detalle Diario'!$C$5:$C$489, C494) * '⚙️ Supuestos'!$C$24) + '⚙️ Supuestos'!$C$33))</f>
        <v/>
      </c>
      <c r="L494" s="19" t="str">
        <f t="shared" si="66"/>
        <v/>
      </c>
      <c r="M494" s="20" t="str">
        <f t="shared" si="67"/>
        <v/>
      </c>
      <c r="N494" s="19" t="str">
        <f t="shared" si="68"/>
        <v/>
      </c>
      <c r="O494" s="27" t="str">
        <f t="shared" si="69"/>
        <v/>
      </c>
      <c r="P494" s="19" t="str">
        <f t="shared" si="70"/>
        <v/>
      </c>
      <c r="Q494" s="19" t="str">
        <f>IF(B494="","",J494-P494+(SUMIFS('📋 Detalle Diario'!$E$5:$E$489, '📋 Detalle Diario'!$B$5:$B$489, B494, '📋 Detalle Diario'!$C$5:$C$489, C494)*135)+(SUMIFS('📋 Detalle Diario'!$I$5:$I$489, '📋 Detalle Diario'!$B$5:$B$489, B494, '📋 Detalle Diario'!$C$5:$C$489, C494)*200))</f>
        <v/>
      </c>
      <c r="R494" s="20" t="str">
        <f t="shared" si="71"/>
        <v/>
      </c>
    </row>
    <row r="495" spans="2:18" ht="18" customHeight="1" x14ac:dyDescent="0.3">
      <c r="B495" s="24"/>
      <c r="C495" s="25"/>
      <c r="D495" s="18" t="str">
        <f>IF(B495="","",SUMIFS('📈 Datos Completos'!$E$7:$E$5000, '📈 Datos Completos'!$B$7:$B$5000, B495, '📈 Datos Completos'!$D$7:$D$5000, C495))</f>
        <v/>
      </c>
      <c r="E495" s="18" t="str">
        <f>IF(B495="","",SUMIFS('📈 Datos Completos'!$F$7:$F$5000, '📈 Datos Completos'!$B$7:$B$5000, B495, '📈 Datos Completos'!$D$7:$D$5000, C495))</f>
        <v/>
      </c>
      <c r="F495" s="18" t="str">
        <f>IF(B495="","",SUMIFS('📈 Datos Completos'!$G$7:$G$5000, '📈 Datos Completos'!$B$7:$B$5000, B495, '📈 Datos Completos'!$D$7:$D$5000, C495))</f>
        <v/>
      </c>
      <c r="G495" s="18" t="str">
        <f t="shared" si="63"/>
        <v/>
      </c>
      <c r="H495" s="19" t="str">
        <f>IF(B495="","",SUMIFS('📈 Datos Completos'!$I$7:$I$5000, '📈 Datos Completos'!$B$7:$B$5000, B495, '📈 Datos Completos'!$D$7:$D$5000, C495))</f>
        <v/>
      </c>
      <c r="I495" s="19" t="str">
        <f t="shared" si="64"/>
        <v/>
      </c>
      <c r="J495" s="19" t="str">
        <f t="shared" si="65"/>
        <v/>
      </c>
      <c r="K495" s="19" t="str">
        <f>IF(B495="","",IF(C495="DIA", (SUMIFS('📋 Detalle Diario'!$D$5:$D$489, '📋 Detalle Diario'!$B$5:$B$489, B495, '📋 Detalle Diario'!$C$5:$C$489, C495) * '⚙️ Supuestos'!$C$24) + '⚙️ Supuestos'!$C$23, (SUMIFS('📋 Detalle Diario'!$D$5:$D$489, '📋 Detalle Diario'!$B$5:$B$489, B495, '📋 Detalle Diario'!$C$5:$C$489, C495) * '⚙️ Supuestos'!$C$24) + '⚙️ Supuestos'!$C$33))</f>
        <v/>
      </c>
      <c r="L495" s="19" t="str">
        <f t="shared" si="66"/>
        <v/>
      </c>
      <c r="M495" s="20" t="str">
        <f t="shared" si="67"/>
        <v/>
      </c>
      <c r="N495" s="19" t="str">
        <f t="shared" si="68"/>
        <v/>
      </c>
      <c r="O495" s="25" t="str">
        <f t="shared" si="69"/>
        <v/>
      </c>
      <c r="P495" s="19" t="str">
        <f t="shared" si="70"/>
        <v/>
      </c>
      <c r="Q495" s="19" t="str">
        <f>IF(B495="","",J495-P495+(SUMIFS('📋 Detalle Diario'!$E$5:$E$489, '📋 Detalle Diario'!$B$5:$B$489, B495, '📋 Detalle Diario'!$C$5:$C$489, C495)*135)+(SUMIFS('📋 Detalle Diario'!$I$5:$I$489, '📋 Detalle Diario'!$B$5:$B$489, B495, '📋 Detalle Diario'!$C$5:$C$489, C495)*200))</f>
        <v/>
      </c>
      <c r="R495" s="20" t="str">
        <f t="shared" si="71"/>
        <v/>
      </c>
    </row>
    <row r="496" spans="2:18" ht="18" customHeight="1" x14ac:dyDescent="0.3">
      <c r="B496" s="26"/>
      <c r="C496" s="27"/>
      <c r="D496" s="18" t="str">
        <f>IF(B496="","",SUMIFS('📈 Datos Completos'!$E$7:$E$5000, '📈 Datos Completos'!$B$7:$B$5000, B496, '📈 Datos Completos'!$D$7:$D$5000, C496))</f>
        <v/>
      </c>
      <c r="E496" s="18" t="str">
        <f>IF(B496="","",SUMIFS('📈 Datos Completos'!$F$7:$F$5000, '📈 Datos Completos'!$B$7:$B$5000, B496, '📈 Datos Completos'!$D$7:$D$5000, C496))</f>
        <v/>
      </c>
      <c r="F496" s="18" t="str">
        <f>IF(B496="","",SUMIFS('📈 Datos Completos'!$G$7:$G$5000, '📈 Datos Completos'!$B$7:$B$5000, B496, '📈 Datos Completos'!$D$7:$D$5000, C496))</f>
        <v/>
      </c>
      <c r="G496" s="18" t="str">
        <f t="shared" si="63"/>
        <v/>
      </c>
      <c r="H496" s="19" t="str">
        <f>IF(B496="","",SUMIFS('📈 Datos Completos'!$I$7:$I$5000, '📈 Datos Completos'!$B$7:$B$5000, B496, '📈 Datos Completos'!$D$7:$D$5000, C496))</f>
        <v/>
      </c>
      <c r="I496" s="19" t="str">
        <f t="shared" si="64"/>
        <v/>
      </c>
      <c r="J496" s="19" t="str">
        <f t="shared" si="65"/>
        <v/>
      </c>
      <c r="K496" s="19" t="str">
        <f>IF(B496="","",IF(C496="DIA", (SUMIFS('📋 Detalle Diario'!$D$5:$D$489, '📋 Detalle Diario'!$B$5:$B$489, B496, '📋 Detalle Diario'!$C$5:$C$489, C496) * '⚙️ Supuestos'!$C$24) + '⚙️ Supuestos'!$C$23, (SUMIFS('📋 Detalle Diario'!$D$5:$D$489, '📋 Detalle Diario'!$B$5:$B$489, B496, '📋 Detalle Diario'!$C$5:$C$489, C496) * '⚙️ Supuestos'!$C$24) + '⚙️ Supuestos'!$C$33))</f>
        <v/>
      </c>
      <c r="L496" s="19" t="str">
        <f t="shared" si="66"/>
        <v/>
      </c>
      <c r="M496" s="20" t="str">
        <f t="shared" si="67"/>
        <v/>
      </c>
      <c r="N496" s="19" t="str">
        <f t="shared" si="68"/>
        <v/>
      </c>
      <c r="O496" s="27" t="str">
        <f t="shared" si="69"/>
        <v/>
      </c>
      <c r="P496" s="19" t="str">
        <f t="shared" si="70"/>
        <v/>
      </c>
      <c r="Q496" s="19" t="str">
        <f>IF(B496="","",J496-P496+(SUMIFS('📋 Detalle Diario'!$E$5:$E$489, '📋 Detalle Diario'!$B$5:$B$489, B496, '📋 Detalle Diario'!$C$5:$C$489, C496)*135)+(SUMIFS('📋 Detalle Diario'!$I$5:$I$489, '📋 Detalle Diario'!$B$5:$B$489, B496, '📋 Detalle Diario'!$C$5:$C$489, C496)*200))</f>
        <v/>
      </c>
      <c r="R496" s="20" t="str">
        <f t="shared" si="71"/>
        <v/>
      </c>
    </row>
    <row r="497" spans="2:18" ht="18" customHeight="1" x14ac:dyDescent="0.3">
      <c r="B497" s="24"/>
      <c r="C497" s="25"/>
      <c r="D497" s="18" t="str">
        <f>IF(B497="","",SUMIFS('📈 Datos Completos'!$E$7:$E$5000, '📈 Datos Completos'!$B$7:$B$5000, B497, '📈 Datos Completos'!$D$7:$D$5000, C497))</f>
        <v/>
      </c>
      <c r="E497" s="18" t="str">
        <f>IF(B497="","",SUMIFS('📈 Datos Completos'!$F$7:$F$5000, '📈 Datos Completos'!$B$7:$B$5000, B497, '📈 Datos Completos'!$D$7:$D$5000, C497))</f>
        <v/>
      </c>
      <c r="F497" s="18" t="str">
        <f>IF(B497="","",SUMIFS('📈 Datos Completos'!$G$7:$G$5000, '📈 Datos Completos'!$B$7:$B$5000, B497, '📈 Datos Completos'!$D$7:$D$5000, C497))</f>
        <v/>
      </c>
      <c r="G497" s="18" t="str">
        <f t="shared" si="63"/>
        <v/>
      </c>
      <c r="H497" s="19" t="str">
        <f>IF(B497="","",SUMIFS('📈 Datos Completos'!$I$7:$I$5000, '📈 Datos Completos'!$B$7:$B$5000, B497, '📈 Datos Completos'!$D$7:$D$5000, C497))</f>
        <v/>
      </c>
      <c r="I497" s="19" t="str">
        <f t="shared" si="64"/>
        <v/>
      </c>
      <c r="J497" s="19" t="str">
        <f t="shared" si="65"/>
        <v/>
      </c>
      <c r="K497" s="19" t="str">
        <f>IF(B497="","",IF(C497="DIA", (SUMIFS('📋 Detalle Diario'!$D$5:$D$489, '📋 Detalle Diario'!$B$5:$B$489, B497, '📋 Detalle Diario'!$C$5:$C$489, C497) * '⚙️ Supuestos'!$C$24) + '⚙️ Supuestos'!$C$23, (SUMIFS('📋 Detalle Diario'!$D$5:$D$489, '📋 Detalle Diario'!$B$5:$B$489, B497, '📋 Detalle Diario'!$C$5:$C$489, C497) * '⚙️ Supuestos'!$C$24) + '⚙️ Supuestos'!$C$33))</f>
        <v/>
      </c>
      <c r="L497" s="19" t="str">
        <f t="shared" si="66"/>
        <v/>
      </c>
      <c r="M497" s="20" t="str">
        <f t="shared" si="67"/>
        <v/>
      </c>
      <c r="N497" s="19" t="str">
        <f t="shared" si="68"/>
        <v/>
      </c>
      <c r="O497" s="25" t="str">
        <f t="shared" si="69"/>
        <v/>
      </c>
      <c r="P497" s="19" t="str">
        <f t="shared" si="70"/>
        <v/>
      </c>
      <c r="Q497" s="19" t="str">
        <f>IF(B497="","",J497-P497+(SUMIFS('📋 Detalle Diario'!$E$5:$E$489, '📋 Detalle Diario'!$B$5:$B$489, B497, '📋 Detalle Diario'!$C$5:$C$489, C497)*135)+(SUMIFS('📋 Detalle Diario'!$I$5:$I$489, '📋 Detalle Diario'!$B$5:$B$489, B497, '📋 Detalle Diario'!$C$5:$C$489, C497)*200))</f>
        <v/>
      </c>
      <c r="R497" s="20" t="str">
        <f t="shared" si="71"/>
        <v/>
      </c>
    </row>
    <row r="498" spans="2:18" ht="18" customHeight="1" x14ac:dyDescent="0.3">
      <c r="B498" s="26"/>
      <c r="C498" s="27"/>
      <c r="D498" s="18" t="str">
        <f>IF(B498="","",SUMIFS('📈 Datos Completos'!$E$7:$E$5000, '📈 Datos Completos'!$B$7:$B$5000, B498, '📈 Datos Completos'!$D$7:$D$5000, C498))</f>
        <v/>
      </c>
      <c r="E498" s="18" t="str">
        <f>IF(B498="","",SUMIFS('📈 Datos Completos'!$F$7:$F$5000, '📈 Datos Completos'!$B$7:$B$5000, B498, '📈 Datos Completos'!$D$7:$D$5000, C498))</f>
        <v/>
      </c>
      <c r="F498" s="18" t="str">
        <f>IF(B498="","",SUMIFS('📈 Datos Completos'!$G$7:$G$5000, '📈 Datos Completos'!$B$7:$B$5000, B498, '📈 Datos Completos'!$D$7:$D$5000, C498))</f>
        <v/>
      </c>
      <c r="G498" s="18" t="str">
        <f t="shared" si="63"/>
        <v/>
      </c>
      <c r="H498" s="19" t="str">
        <f>IF(B498="","",SUMIFS('📈 Datos Completos'!$I$7:$I$5000, '📈 Datos Completos'!$B$7:$B$5000, B498, '📈 Datos Completos'!$D$7:$D$5000, C498))</f>
        <v/>
      </c>
      <c r="I498" s="19" t="str">
        <f t="shared" si="64"/>
        <v/>
      </c>
      <c r="J498" s="19" t="str">
        <f t="shared" si="65"/>
        <v/>
      </c>
      <c r="K498" s="19" t="str">
        <f>IF(B498="","",IF(C498="DIA", (SUMIFS('📋 Detalle Diario'!$D$5:$D$489, '📋 Detalle Diario'!$B$5:$B$489, B498, '📋 Detalle Diario'!$C$5:$C$489, C498) * '⚙️ Supuestos'!$C$24) + '⚙️ Supuestos'!$C$23, (SUMIFS('📋 Detalle Diario'!$D$5:$D$489, '📋 Detalle Diario'!$B$5:$B$489, B498, '📋 Detalle Diario'!$C$5:$C$489, C498) * '⚙️ Supuestos'!$C$24) + '⚙️ Supuestos'!$C$33))</f>
        <v/>
      </c>
      <c r="L498" s="19" t="str">
        <f t="shared" si="66"/>
        <v/>
      </c>
      <c r="M498" s="20" t="str">
        <f t="shared" si="67"/>
        <v/>
      </c>
      <c r="N498" s="19" t="str">
        <f t="shared" si="68"/>
        <v/>
      </c>
      <c r="O498" s="27" t="str">
        <f t="shared" si="69"/>
        <v/>
      </c>
      <c r="P498" s="19" t="str">
        <f t="shared" si="70"/>
        <v/>
      </c>
      <c r="Q498" s="19" t="str">
        <f>IF(B498="","",J498-P498+(SUMIFS('📋 Detalle Diario'!$E$5:$E$489, '📋 Detalle Diario'!$B$5:$B$489, B498, '📋 Detalle Diario'!$C$5:$C$489, C498)*135)+(SUMIFS('📋 Detalle Diario'!$I$5:$I$489, '📋 Detalle Diario'!$B$5:$B$489, B498, '📋 Detalle Diario'!$C$5:$C$489, C498)*200))</f>
        <v/>
      </c>
      <c r="R498" s="20" t="str">
        <f t="shared" si="71"/>
        <v/>
      </c>
    </row>
    <row r="499" spans="2:18" ht="18" customHeight="1" x14ac:dyDescent="0.3">
      <c r="B499" s="24"/>
      <c r="C499" s="25"/>
      <c r="D499" s="18" t="str">
        <f>IF(B499="","",SUMIFS('📈 Datos Completos'!$E$7:$E$5000, '📈 Datos Completos'!$B$7:$B$5000, B499, '📈 Datos Completos'!$D$7:$D$5000, C499))</f>
        <v/>
      </c>
      <c r="E499" s="18" t="str">
        <f>IF(B499="","",SUMIFS('📈 Datos Completos'!$F$7:$F$5000, '📈 Datos Completos'!$B$7:$B$5000, B499, '📈 Datos Completos'!$D$7:$D$5000, C499))</f>
        <v/>
      </c>
      <c r="F499" s="18" t="str">
        <f>IF(B499="","",SUMIFS('📈 Datos Completos'!$G$7:$G$5000, '📈 Datos Completos'!$B$7:$B$5000, B499, '📈 Datos Completos'!$D$7:$D$5000, C499))</f>
        <v/>
      </c>
      <c r="G499" s="18" t="str">
        <f t="shared" si="63"/>
        <v/>
      </c>
      <c r="H499" s="19" t="str">
        <f>IF(B499="","",SUMIFS('📈 Datos Completos'!$I$7:$I$5000, '📈 Datos Completos'!$B$7:$B$5000, B499, '📈 Datos Completos'!$D$7:$D$5000, C499))</f>
        <v/>
      </c>
      <c r="I499" s="19" t="str">
        <f t="shared" si="64"/>
        <v/>
      </c>
      <c r="J499" s="19" t="str">
        <f t="shared" si="65"/>
        <v/>
      </c>
      <c r="K499" s="19" t="str">
        <f>IF(B499="","",IF(C499="DIA", (SUMIFS('📋 Detalle Diario'!$D$5:$D$489, '📋 Detalle Diario'!$B$5:$B$489, B499, '📋 Detalle Diario'!$C$5:$C$489, C499) * '⚙️ Supuestos'!$C$24) + '⚙️ Supuestos'!$C$23, (SUMIFS('📋 Detalle Diario'!$D$5:$D$489, '📋 Detalle Diario'!$B$5:$B$489, B499, '📋 Detalle Diario'!$C$5:$C$489, C499) * '⚙️ Supuestos'!$C$24) + '⚙️ Supuestos'!$C$33))</f>
        <v/>
      </c>
      <c r="L499" s="19" t="str">
        <f t="shared" si="66"/>
        <v/>
      </c>
      <c r="M499" s="20" t="str">
        <f t="shared" si="67"/>
        <v/>
      </c>
      <c r="N499" s="19" t="str">
        <f t="shared" si="68"/>
        <v/>
      </c>
      <c r="O499" s="25" t="str">
        <f t="shared" si="69"/>
        <v/>
      </c>
      <c r="P499" s="19" t="str">
        <f t="shared" si="70"/>
        <v/>
      </c>
      <c r="Q499" s="19" t="str">
        <f>IF(B499="","",J499-P499+(SUMIFS('📋 Detalle Diario'!$E$5:$E$489, '📋 Detalle Diario'!$B$5:$B$489, B499, '📋 Detalle Diario'!$C$5:$C$489, C499)*135)+(SUMIFS('📋 Detalle Diario'!$I$5:$I$489, '📋 Detalle Diario'!$B$5:$B$489, B499, '📋 Detalle Diario'!$C$5:$C$489, C499)*200))</f>
        <v/>
      </c>
      <c r="R499" s="20" t="str">
        <f t="shared" si="71"/>
        <v/>
      </c>
    </row>
    <row r="500" spans="2:18" ht="18" customHeight="1" x14ac:dyDescent="0.3">
      <c r="B500" s="26"/>
      <c r="C500" s="27"/>
      <c r="D500" s="18" t="str">
        <f>IF(B500="","",SUMIFS('📈 Datos Completos'!$E$7:$E$5000, '📈 Datos Completos'!$B$7:$B$5000, B500, '📈 Datos Completos'!$D$7:$D$5000, C500))</f>
        <v/>
      </c>
      <c r="E500" s="18" t="str">
        <f>IF(B500="","",SUMIFS('📈 Datos Completos'!$F$7:$F$5000, '📈 Datos Completos'!$B$7:$B$5000, B500, '📈 Datos Completos'!$D$7:$D$5000, C500))</f>
        <v/>
      </c>
      <c r="F500" s="18" t="str">
        <f>IF(B500="","",SUMIFS('📈 Datos Completos'!$G$7:$G$5000, '📈 Datos Completos'!$B$7:$B$5000, B500, '📈 Datos Completos'!$D$7:$D$5000, C500))</f>
        <v/>
      </c>
      <c r="G500" s="18" t="str">
        <f t="shared" si="63"/>
        <v/>
      </c>
      <c r="H500" s="19" t="str">
        <f>IF(B500="","",SUMIFS('📈 Datos Completos'!$I$7:$I$5000, '📈 Datos Completos'!$B$7:$B$5000, B500, '📈 Datos Completos'!$D$7:$D$5000, C500))</f>
        <v/>
      </c>
      <c r="I500" s="19" t="str">
        <f t="shared" si="64"/>
        <v/>
      </c>
      <c r="J500" s="19" t="str">
        <f t="shared" si="65"/>
        <v/>
      </c>
      <c r="K500" s="19" t="str">
        <f>IF(B500="","",IF(C500="DIA", (SUMIFS('📋 Detalle Diario'!$D$5:$D$489, '📋 Detalle Diario'!$B$5:$B$489, B500, '📋 Detalle Diario'!$C$5:$C$489, C500) * '⚙️ Supuestos'!$C$24) + '⚙️ Supuestos'!$C$23, (SUMIFS('📋 Detalle Diario'!$D$5:$D$489, '📋 Detalle Diario'!$B$5:$B$489, B500, '📋 Detalle Diario'!$C$5:$C$489, C500) * '⚙️ Supuestos'!$C$24) + '⚙️ Supuestos'!$C$33))</f>
        <v/>
      </c>
      <c r="L500" s="19" t="str">
        <f t="shared" si="66"/>
        <v/>
      </c>
      <c r="M500" s="20" t="str">
        <f t="shared" si="67"/>
        <v/>
      </c>
      <c r="N500" s="19" t="str">
        <f t="shared" si="68"/>
        <v/>
      </c>
      <c r="O500" s="27" t="str">
        <f t="shared" si="69"/>
        <v/>
      </c>
      <c r="P500" s="19" t="str">
        <f t="shared" si="70"/>
        <v/>
      </c>
      <c r="Q500" s="19" t="str">
        <f>IF(B500="","",J500-P500+(SUMIFS('📋 Detalle Diario'!$E$5:$E$489, '📋 Detalle Diario'!$B$5:$B$489, B500, '📋 Detalle Diario'!$C$5:$C$489, C500)*135)+(SUMIFS('📋 Detalle Diario'!$I$5:$I$489, '📋 Detalle Diario'!$B$5:$B$489, B500, '📋 Detalle Diario'!$C$5:$C$489, C500)*200))</f>
        <v/>
      </c>
      <c r="R500" s="20" t="str">
        <f t="shared" si="71"/>
        <v/>
      </c>
    </row>
    <row r="501" spans="2:18" ht="18" customHeight="1" x14ac:dyDescent="0.3">
      <c r="B501" s="24"/>
      <c r="C501" s="25"/>
      <c r="D501" s="18" t="str">
        <f>IF(B501="","",SUMIFS('📈 Datos Completos'!$E$7:$E$5000, '📈 Datos Completos'!$B$7:$B$5000, B501, '📈 Datos Completos'!$D$7:$D$5000, C501))</f>
        <v/>
      </c>
      <c r="E501" s="18" t="str">
        <f>IF(B501="","",SUMIFS('📈 Datos Completos'!$F$7:$F$5000, '📈 Datos Completos'!$B$7:$B$5000, B501, '📈 Datos Completos'!$D$7:$D$5000, C501))</f>
        <v/>
      </c>
      <c r="F501" s="18" t="str">
        <f>IF(B501="","",SUMIFS('📈 Datos Completos'!$G$7:$G$5000, '📈 Datos Completos'!$B$7:$B$5000, B501, '📈 Datos Completos'!$D$7:$D$5000, C501))</f>
        <v/>
      </c>
      <c r="G501" s="18" t="str">
        <f t="shared" si="63"/>
        <v/>
      </c>
      <c r="H501" s="19" t="str">
        <f>IF(B501="","",SUMIFS('📈 Datos Completos'!$I$7:$I$5000, '📈 Datos Completos'!$B$7:$B$5000, B501, '📈 Datos Completos'!$D$7:$D$5000, C501))</f>
        <v/>
      </c>
      <c r="I501" s="19" t="str">
        <f t="shared" si="64"/>
        <v/>
      </c>
      <c r="J501" s="19" t="str">
        <f t="shared" si="65"/>
        <v/>
      </c>
      <c r="K501" s="19" t="str">
        <f>IF(B501="","",IF(C501="DIA", (SUMIFS('📋 Detalle Diario'!$D$5:$D$489, '📋 Detalle Diario'!$B$5:$B$489, B501, '📋 Detalle Diario'!$C$5:$C$489, C501) * '⚙️ Supuestos'!$C$24) + '⚙️ Supuestos'!$C$23, (SUMIFS('📋 Detalle Diario'!$D$5:$D$489, '📋 Detalle Diario'!$B$5:$B$489, B501, '📋 Detalle Diario'!$C$5:$C$489, C501) * '⚙️ Supuestos'!$C$24) + '⚙️ Supuestos'!$C$33))</f>
        <v/>
      </c>
      <c r="L501" s="19" t="str">
        <f t="shared" si="66"/>
        <v/>
      </c>
      <c r="M501" s="20" t="str">
        <f t="shared" si="67"/>
        <v/>
      </c>
      <c r="N501" s="19" t="str">
        <f t="shared" si="68"/>
        <v/>
      </c>
      <c r="O501" s="25" t="str">
        <f t="shared" si="69"/>
        <v/>
      </c>
      <c r="P501" s="19" t="str">
        <f t="shared" si="70"/>
        <v/>
      </c>
      <c r="Q501" s="19" t="str">
        <f>IF(B501="","",J501-P501+(SUMIFS('📋 Detalle Diario'!$E$5:$E$489, '📋 Detalle Diario'!$B$5:$B$489, B501, '📋 Detalle Diario'!$C$5:$C$489, C501)*135)+(SUMIFS('📋 Detalle Diario'!$I$5:$I$489, '📋 Detalle Diario'!$B$5:$B$489, B501, '📋 Detalle Diario'!$C$5:$C$489, C501)*200))</f>
        <v/>
      </c>
      <c r="R501" s="20" t="str">
        <f t="shared" si="71"/>
        <v/>
      </c>
    </row>
    <row r="502" spans="2:18" ht="18" customHeight="1" x14ac:dyDescent="0.3">
      <c r="B502" s="26"/>
      <c r="C502" s="27"/>
      <c r="D502" s="18" t="str">
        <f>IF(B502="","",SUMIFS('📈 Datos Completos'!$E$7:$E$5000, '📈 Datos Completos'!$B$7:$B$5000, B502, '📈 Datos Completos'!$D$7:$D$5000, C502))</f>
        <v/>
      </c>
      <c r="E502" s="18" t="str">
        <f>IF(B502="","",SUMIFS('📈 Datos Completos'!$F$7:$F$5000, '📈 Datos Completos'!$B$7:$B$5000, B502, '📈 Datos Completos'!$D$7:$D$5000, C502))</f>
        <v/>
      </c>
      <c r="F502" s="18" t="str">
        <f>IF(B502="","",SUMIFS('📈 Datos Completos'!$G$7:$G$5000, '📈 Datos Completos'!$B$7:$B$5000, B502, '📈 Datos Completos'!$D$7:$D$5000, C502))</f>
        <v/>
      </c>
      <c r="G502" s="18" t="str">
        <f t="shared" si="63"/>
        <v/>
      </c>
      <c r="H502" s="19" t="str">
        <f>IF(B502="","",SUMIFS('📈 Datos Completos'!$I$7:$I$5000, '📈 Datos Completos'!$B$7:$B$5000, B502, '📈 Datos Completos'!$D$7:$D$5000, C502))</f>
        <v/>
      </c>
      <c r="I502" s="19" t="str">
        <f t="shared" si="64"/>
        <v/>
      </c>
      <c r="J502" s="19" t="str">
        <f t="shared" si="65"/>
        <v/>
      </c>
      <c r="K502" s="19" t="str">
        <f>IF(B502="","",IF(C502="DIA", (SUMIFS('📋 Detalle Diario'!$D$5:$D$489, '📋 Detalle Diario'!$B$5:$B$489, B502, '📋 Detalle Diario'!$C$5:$C$489, C502) * '⚙️ Supuestos'!$C$24) + '⚙️ Supuestos'!$C$23, (SUMIFS('📋 Detalle Diario'!$D$5:$D$489, '📋 Detalle Diario'!$B$5:$B$489, B502, '📋 Detalle Diario'!$C$5:$C$489, C502) * '⚙️ Supuestos'!$C$24) + '⚙️ Supuestos'!$C$33))</f>
        <v/>
      </c>
      <c r="L502" s="19" t="str">
        <f t="shared" si="66"/>
        <v/>
      </c>
      <c r="M502" s="20" t="str">
        <f t="shared" si="67"/>
        <v/>
      </c>
      <c r="N502" s="19" t="str">
        <f t="shared" si="68"/>
        <v/>
      </c>
      <c r="O502" s="27" t="str">
        <f t="shared" si="69"/>
        <v/>
      </c>
      <c r="P502" s="19" t="str">
        <f t="shared" si="70"/>
        <v/>
      </c>
      <c r="Q502" s="19" t="str">
        <f>IF(B502="","",J502-P502+(SUMIFS('📋 Detalle Diario'!$E$5:$E$489, '📋 Detalle Diario'!$B$5:$B$489, B502, '📋 Detalle Diario'!$C$5:$C$489, C502)*135)+(SUMIFS('📋 Detalle Diario'!$I$5:$I$489, '📋 Detalle Diario'!$B$5:$B$489, B502, '📋 Detalle Diario'!$C$5:$C$489, C502)*200))</f>
        <v/>
      </c>
      <c r="R502" s="20" t="str">
        <f t="shared" si="71"/>
        <v/>
      </c>
    </row>
    <row r="503" spans="2:18" ht="18" customHeight="1" x14ac:dyDescent="0.3">
      <c r="B503" s="24"/>
      <c r="C503" s="25"/>
      <c r="D503" s="18" t="str">
        <f>IF(B503="","",SUMIFS('📈 Datos Completos'!$E$7:$E$5000, '📈 Datos Completos'!$B$7:$B$5000, B503, '📈 Datos Completos'!$D$7:$D$5000, C503))</f>
        <v/>
      </c>
      <c r="E503" s="18" t="str">
        <f>IF(B503="","",SUMIFS('📈 Datos Completos'!$F$7:$F$5000, '📈 Datos Completos'!$B$7:$B$5000, B503, '📈 Datos Completos'!$D$7:$D$5000, C503))</f>
        <v/>
      </c>
      <c r="F503" s="18" t="str">
        <f>IF(B503="","",SUMIFS('📈 Datos Completos'!$G$7:$G$5000, '📈 Datos Completos'!$B$7:$B$5000, B503, '📈 Datos Completos'!$D$7:$D$5000, C503))</f>
        <v/>
      </c>
      <c r="G503" s="18" t="str">
        <f t="shared" si="63"/>
        <v/>
      </c>
      <c r="H503" s="19" t="str">
        <f>IF(B503="","",SUMIFS('📈 Datos Completos'!$I$7:$I$5000, '📈 Datos Completos'!$B$7:$B$5000, B503, '📈 Datos Completos'!$D$7:$D$5000, C503))</f>
        <v/>
      </c>
      <c r="I503" s="19" t="str">
        <f t="shared" si="64"/>
        <v/>
      </c>
      <c r="J503" s="19" t="str">
        <f t="shared" si="65"/>
        <v/>
      </c>
      <c r="K503" s="19" t="str">
        <f>IF(B503="","",IF(C503="DIA", (SUMIFS('📋 Detalle Diario'!$D$5:$D$489, '📋 Detalle Diario'!$B$5:$B$489, B503, '📋 Detalle Diario'!$C$5:$C$489, C503) * '⚙️ Supuestos'!$C$24) + '⚙️ Supuestos'!$C$23, (SUMIFS('📋 Detalle Diario'!$D$5:$D$489, '📋 Detalle Diario'!$B$5:$B$489, B503, '📋 Detalle Diario'!$C$5:$C$489, C503) * '⚙️ Supuestos'!$C$24) + '⚙️ Supuestos'!$C$33))</f>
        <v/>
      </c>
      <c r="L503" s="19" t="str">
        <f t="shared" si="66"/>
        <v/>
      </c>
      <c r="M503" s="20" t="str">
        <f t="shared" si="67"/>
        <v/>
      </c>
      <c r="N503" s="19" t="str">
        <f t="shared" si="68"/>
        <v/>
      </c>
      <c r="O503" s="25" t="str">
        <f t="shared" si="69"/>
        <v/>
      </c>
      <c r="P503" s="19" t="str">
        <f t="shared" si="70"/>
        <v/>
      </c>
      <c r="Q503" s="19" t="str">
        <f>IF(B503="","",J503-P503+(SUMIFS('📋 Detalle Diario'!$E$5:$E$489, '📋 Detalle Diario'!$B$5:$B$489, B503, '📋 Detalle Diario'!$C$5:$C$489, C503)*135)+(SUMIFS('📋 Detalle Diario'!$I$5:$I$489, '📋 Detalle Diario'!$B$5:$B$489, B503, '📋 Detalle Diario'!$C$5:$C$489, C503)*200))</f>
        <v/>
      </c>
      <c r="R503" s="20" t="str">
        <f t="shared" si="71"/>
        <v/>
      </c>
    </row>
    <row r="504" spans="2:18" ht="18" customHeight="1" x14ac:dyDescent="0.3">
      <c r="B504" s="26"/>
      <c r="C504" s="27"/>
      <c r="D504" s="18" t="str">
        <f>IF(B504="","",SUMIFS('📈 Datos Completos'!$E$7:$E$5000, '📈 Datos Completos'!$B$7:$B$5000, B504, '📈 Datos Completos'!$D$7:$D$5000, C504))</f>
        <v/>
      </c>
      <c r="E504" s="18" t="str">
        <f>IF(B504="","",SUMIFS('📈 Datos Completos'!$F$7:$F$5000, '📈 Datos Completos'!$B$7:$B$5000, B504, '📈 Datos Completos'!$D$7:$D$5000, C504))</f>
        <v/>
      </c>
      <c r="F504" s="18" t="str">
        <f>IF(B504="","",SUMIFS('📈 Datos Completos'!$G$7:$G$5000, '📈 Datos Completos'!$B$7:$B$5000, B504, '📈 Datos Completos'!$D$7:$D$5000, C504))</f>
        <v/>
      </c>
      <c r="G504" s="18" t="str">
        <f t="shared" si="63"/>
        <v/>
      </c>
      <c r="H504" s="19" t="str">
        <f>IF(B504="","",SUMIFS('📈 Datos Completos'!$I$7:$I$5000, '📈 Datos Completos'!$B$7:$B$5000, B504, '📈 Datos Completos'!$D$7:$D$5000, C504))</f>
        <v/>
      </c>
      <c r="I504" s="19" t="str">
        <f t="shared" si="64"/>
        <v/>
      </c>
      <c r="J504" s="19" t="str">
        <f t="shared" si="65"/>
        <v/>
      </c>
      <c r="K504" s="19" t="str">
        <f>IF(B504="","",IF(C504="DIA", (SUMIFS('📋 Detalle Diario'!$D$5:$D$489, '📋 Detalle Diario'!$B$5:$B$489, B504, '📋 Detalle Diario'!$C$5:$C$489, C504) * '⚙️ Supuestos'!$C$24) + '⚙️ Supuestos'!$C$23, (SUMIFS('📋 Detalle Diario'!$D$5:$D$489, '📋 Detalle Diario'!$B$5:$B$489, B504, '📋 Detalle Diario'!$C$5:$C$489, C504) * '⚙️ Supuestos'!$C$24) + '⚙️ Supuestos'!$C$33))</f>
        <v/>
      </c>
      <c r="L504" s="19" t="str">
        <f t="shared" si="66"/>
        <v/>
      </c>
      <c r="M504" s="20" t="str">
        <f t="shared" si="67"/>
        <v/>
      </c>
      <c r="N504" s="19" t="str">
        <f t="shared" si="68"/>
        <v/>
      </c>
      <c r="O504" s="27" t="str">
        <f t="shared" si="69"/>
        <v/>
      </c>
      <c r="P504" s="19" t="str">
        <f t="shared" si="70"/>
        <v/>
      </c>
      <c r="Q504" s="19" t="str">
        <f>IF(B504="","",J504-P504+(SUMIFS('📋 Detalle Diario'!$E$5:$E$489, '📋 Detalle Diario'!$B$5:$B$489, B504, '📋 Detalle Diario'!$C$5:$C$489, C504)*135)+(SUMIFS('📋 Detalle Diario'!$I$5:$I$489, '📋 Detalle Diario'!$B$5:$B$489, B504, '📋 Detalle Diario'!$C$5:$C$489, C504)*200))</f>
        <v/>
      </c>
      <c r="R504" s="20" t="str">
        <f t="shared" si="71"/>
        <v/>
      </c>
    </row>
    <row r="505" spans="2:18" ht="25.95" customHeight="1" x14ac:dyDescent="0.3">
      <c r="B505" s="16" t="s">
        <v>117</v>
      </c>
      <c r="D505" s="22">
        <f t="shared" ref="D505:L505" si="72">SUM(D5:D504)</f>
        <v>53232.30000000001</v>
      </c>
      <c r="E505" s="22">
        <f t="shared" si="72"/>
        <v>48292</v>
      </c>
      <c r="F505" s="22">
        <f t="shared" si="72"/>
        <v>146963</v>
      </c>
      <c r="G505" s="22">
        <f t="shared" si="72"/>
        <v>195255</v>
      </c>
      <c r="H505" s="22">
        <f t="shared" si="72"/>
        <v>412748.44000000006</v>
      </c>
      <c r="I505" s="22">
        <f t="shared" si="72"/>
        <v>234289.64999999994</v>
      </c>
      <c r="J505" s="22">
        <f t="shared" si="72"/>
        <v>647038.09</v>
      </c>
      <c r="K505" s="22">
        <f t="shared" si="72"/>
        <v>418330.22800000041</v>
      </c>
      <c r="L505" s="22">
        <f t="shared" si="72"/>
        <v>228707.86199999996</v>
      </c>
      <c r="M505" s="23">
        <f>IF(J505=0, 0, L505/J505)</f>
        <v>0.35346893101764687</v>
      </c>
      <c r="N505" s="22">
        <f>IF(D505=0, 0, K505/D505)</f>
        <v>7.8585788703475208</v>
      </c>
      <c r="P505" s="22">
        <f>SUM(P5:P504)</f>
        <v>435903.17799999984</v>
      </c>
      <c r="Q505" s="22">
        <f>SUM(Q5:Q504)</f>
        <v>223554.91200000007</v>
      </c>
      <c r="R505" s="23">
        <f>IF(J505=0, 0, Q505/J505)</f>
        <v>0.34550502583240511</v>
      </c>
    </row>
  </sheetData>
  <mergeCells count="2">
    <mergeCell ref="B1:T1"/>
    <mergeCell ref="B2:T2"/>
  </mergeCells>
  <conditionalFormatting sqref="L5:L504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M5:M504">
    <cfRule type="cellIs" dxfId="9" priority="3" operator="lessThan">
      <formula>0</formula>
    </cfRule>
    <cfRule type="cellIs" dxfId="8" priority="4" operator="greaterThan">
      <formula>0.3</formula>
    </cfRule>
  </conditionalFormatting>
  <conditionalFormatting sqref="R5:R504">
    <cfRule type="cellIs" dxfId="7" priority="5" operator="lessThan">
      <formula>0</formula>
    </cfRule>
    <cfRule type="cellIs" dxfId="6" priority="6" operator="greaterThan">
      <formula>0.3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5006"/>
  <sheetViews>
    <sheetView showGridLines="0"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8671875" defaultRowHeight="14.4" customHeight="1" x14ac:dyDescent="0.3"/>
  <cols>
    <col min="1" max="1" width="3" customWidth="1"/>
    <col min="2" max="2" width="12" customWidth="1"/>
    <col min="3" max="3" width="32" customWidth="1"/>
    <col min="4" max="4" width="10" customWidth="1"/>
    <col min="5" max="6" width="12" customWidth="1"/>
    <col min="7" max="7" width="13" customWidth="1"/>
    <col min="8" max="10" width="14" customWidth="1"/>
    <col min="11" max="13" width="18" customWidth="1"/>
    <col min="14" max="14" width="14" customWidth="1"/>
    <col min="15" max="15" width="12" customWidth="1"/>
    <col min="16" max="16" width="10" customWidth="1"/>
  </cols>
  <sheetData>
    <row r="1" spans="2:17" ht="34.950000000000003" customHeight="1" x14ac:dyDescent="0.3">
      <c r="B1" s="77" t="s">
        <v>118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2:17" ht="28.05" customHeight="1" x14ac:dyDescent="0.3">
      <c r="B2" s="79" t="s">
        <v>119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3" spans="2:17" ht="22.05" customHeight="1" x14ac:dyDescent="0.3">
      <c r="B3" s="80" t="s">
        <v>120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</row>
    <row r="4" spans="2:17" ht="4.05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7" ht="36" customHeight="1" x14ac:dyDescent="0.3">
      <c r="B5" s="16" t="s">
        <v>52</v>
      </c>
      <c r="C5" s="16" t="s">
        <v>121</v>
      </c>
      <c r="D5" s="16" t="s">
        <v>53</v>
      </c>
      <c r="E5" s="16" t="s">
        <v>122</v>
      </c>
      <c r="F5" s="16" t="s">
        <v>55</v>
      </c>
      <c r="G5" s="16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123</v>
      </c>
      <c r="M5" s="16" t="s">
        <v>124</v>
      </c>
      <c r="N5" s="16" t="s">
        <v>125</v>
      </c>
      <c r="O5" s="16" t="s">
        <v>126</v>
      </c>
      <c r="P5" s="16" t="s">
        <v>28</v>
      </c>
      <c r="Q5" s="16" t="s">
        <v>65</v>
      </c>
    </row>
    <row r="6" spans="2:17" ht="22.05" customHeight="1" x14ac:dyDescent="0.3">
      <c r="B6" s="81" t="s">
        <v>127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</row>
    <row r="7" spans="2:17" ht="18" customHeight="1" x14ac:dyDescent="0.25">
      <c r="B7" s="26" t="s">
        <v>71</v>
      </c>
      <c r="C7" s="28" t="s">
        <v>128</v>
      </c>
      <c r="D7" s="27" t="s">
        <v>72</v>
      </c>
      <c r="E7" s="29">
        <v>160</v>
      </c>
      <c r="F7" s="29">
        <v>160</v>
      </c>
      <c r="G7" s="29">
        <v>480</v>
      </c>
      <c r="H7" s="30">
        <f t="shared" ref="H7:H70" si="0">IF(OR(B7="",C7=""),"",F7+G7)</f>
        <v>640</v>
      </c>
      <c r="I7" s="31">
        <f>IF(OR(B7="",C7=""),"",IFERROR(E7*IF(E7="",0,VLOOKUP(C7,'📦 Precios Proforma'!$B$5:$D$104,IF(D7="DIA",2,3),FALSE)),0))</f>
        <v>723.19999999999993</v>
      </c>
      <c r="J7" s="31">
        <f t="shared" ref="J7:J70" si="1">IF(OR(B7="",C7=""),"",IF(D7="DIA",H7*1.01,H7*1.35))</f>
        <v>646.4</v>
      </c>
      <c r="K7" s="31">
        <f t="shared" ref="K7:K70" si="2">IF(OR(B7="",C7=""),"",I7+J7)</f>
        <v>1369.6</v>
      </c>
      <c r="L7" s="31">
        <f>IF(OR(B7="",C7=""),"",IFERROR(E7 / SUMIFS('📅 Resumen Diario'!$D$5:$D$504, '📅 Resumen Diario'!$B$5:$B$504, B7, '📅 Resumen Diario'!$C$5:$C$504, D7) * SUMIFS('📅 Resumen Diario'!$K$5:$K$504, '📅 Resumen Diario'!$B$5:$B$504, B7, '📅 Resumen Diario'!$C$5:$C$504, D7), 0))</f>
        <v>1197.5193669634027</v>
      </c>
      <c r="M7" s="31">
        <f t="shared" ref="M7:M70" si="3">IF(OR(B7="",C7=""),"",H7*0.09)</f>
        <v>57.599999999999994</v>
      </c>
      <c r="N7" s="31">
        <f t="shared" ref="N7:N70" si="4">IF(OR(B7="",C7=""),"",L7+M7)</f>
        <v>1255.1193669634026</v>
      </c>
      <c r="O7" s="31">
        <f>IF(OR(B7="",C7=""),"",K7-N7 + IFERROR(E7 / SUMIFS('📅 Resumen Diario'!$D$5:$D$504, '📅 Resumen Diario'!$B$5:$B$504, B7, '📅 Resumen Diario'!$C$5:$C$504, D7) * (SUMIFS('📋 Detalle Diario'!$E$5:$E$489, '📋 Detalle Diario'!$B$5:$B$489, B7, '📋 Detalle Diario'!$C$5:$C$489, D7) * 135 + SUMIFS('📋 Detalle Diario'!$I$5:$I$489, '📋 Detalle Diario'!$B$5:$B$489, B7, '📋 Detalle Diario'!$C$5:$C$489, D7) * 200), 0))</f>
        <v>114.48063303659728</v>
      </c>
      <c r="P7" s="32">
        <f t="shared" ref="P7:P70" si="5">IF(OR(B7="",C7=""),"",IF(K7=0, 0, O7/K7))</f>
        <v>8.3586910803590306E-2</v>
      </c>
      <c r="Q7" s="33" t="str">
        <f t="shared" ref="Q7:Q70" si="6">IF(B7="","",IF(ISNUMBER(B7),YEAR(B7)&amp;"-"&amp;IF(MONTH(B7)&lt;10,"0","")&amp;MONTH(B7),LEFT(B7,7)))</f>
        <v>2026-05</v>
      </c>
    </row>
    <row r="8" spans="2:17" ht="18" customHeight="1" x14ac:dyDescent="0.25">
      <c r="B8" s="26" t="s">
        <v>71</v>
      </c>
      <c r="C8" s="17" t="s">
        <v>129</v>
      </c>
      <c r="D8" s="27" t="s">
        <v>72</v>
      </c>
      <c r="E8" s="18">
        <v>144</v>
      </c>
      <c r="F8" s="18">
        <v>0</v>
      </c>
      <c r="G8" s="18">
        <v>144</v>
      </c>
      <c r="H8" s="30">
        <f t="shared" si="0"/>
        <v>144</v>
      </c>
      <c r="I8" s="31">
        <f>IF(OR(B8="",C8=""),"",IFERROR(E8*IF(E8="",0,VLOOKUP(C8,'📦 Precios Proforma'!$B$5:$D$104,IF(D8="DIA",2,3),FALSE)),0))</f>
        <v>650.87999999999988</v>
      </c>
      <c r="J8" s="31">
        <f t="shared" si="1"/>
        <v>145.44</v>
      </c>
      <c r="K8" s="31">
        <f t="shared" si="2"/>
        <v>796.31999999999994</v>
      </c>
      <c r="L8" s="31">
        <f>IF(OR(B8="",C8=""),"",IFERROR(E8 / SUMIFS('📅 Resumen Diario'!$D$5:$D$504, '📅 Resumen Diario'!$B$5:$B$504, B8, '📅 Resumen Diario'!$C$5:$C$504, D8) * SUMIFS('📅 Resumen Diario'!$K$5:$K$504, '📅 Resumen Diario'!$B$5:$B$504, B8, '📅 Resumen Diario'!$C$5:$C$504, D8), 0))</f>
        <v>1077.7674302670623</v>
      </c>
      <c r="M8" s="31">
        <f t="shared" si="3"/>
        <v>12.959999999999999</v>
      </c>
      <c r="N8" s="31">
        <f t="shared" si="4"/>
        <v>1090.7274302670623</v>
      </c>
      <c r="O8" s="31">
        <f>IF(OR(B8="",C8=""),"",K8-N8 + IFERROR(E8 / SUMIFS('📅 Resumen Diario'!$D$5:$D$504, '📅 Resumen Diario'!$B$5:$B$504, B8, '📅 Resumen Diario'!$C$5:$C$504, D8) * (SUMIFS('📋 Detalle Diario'!$E$5:$E$489, '📋 Detalle Diario'!$B$5:$B$489, B8, '📋 Detalle Diario'!$C$5:$C$489, D8) * 135 + SUMIFS('📋 Detalle Diario'!$I$5:$I$489, '📋 Detalle Diario'!$B$5:$B$489, B8, '📋 Detalle Diario'!$C$5:$C$489, D8) * 200), 0))</f>
        <v>-294.40743026706241</v>
      </c>
      <c r="P8" s="32">
        <f t="shared" si="5"/>
        <v>-0.36970995362048226</v>
      </c>
      <c r="Q8" s="33" t="str">
        <f t="shared" si="6"/>
        <v>2026-05</v>
      </c>
    </row>
    <row r="9" spans="2:17" ht="18" customHeight="1" x14ac:dyDescent="0.25">
      <c r="B9" s="26" t="s">
        <v>71</v>
      </c>
      <c r="C9" s="28" t="s">
        <v>130</v>
      </c>
      <c r="D9" s="27" t="s">
        <v>72</v>
      </c>
      <c r="E9" s="29">
        <v>360</v>
      </c>
      <c r="F9" s="29">
        <v>360</v>
      </c>
      <c r="G9" s="29">
        <v>720</v>
      </c>
      <c r="H9" s="30">
        <f t="shared" si="0"/>
        <v>1080</v>
      </c>
      <c r="I9" s="31">
        <f>IF(OR(B9="",C9=""),"",IFERROR(E9*IF(E9="",0,VLOOKUP(C9,'📦 Precios Proforma'!$B$5:$D$104,IF(D9="DIA",2,3),FALSE)),0))</f>
        <v>1627.1999999999998</v>
      </c>
      <c r="J9" s="31">
        <f t="shared" si="1"/>
        <v>1090.8</v>
      </c>
      <c r="K9" s="31">
        <f t="shared" si="2"/>
        <v>2718</v>
      </c>
      <c r="L9" s="31">
        <f>IF(OR(B9="",C9=""),"",IFERROR(E9 / SUMIFS('📅 Resumen Diario'!$D$5:$D$504, '📅 Resumen Diario'!$B$5:$B$504, B9, '📅 Resumen Diario'!$C$5:$C$504, D9) * SUMIFS('📅 Resumen Diario'!$K$5:$K$504, '📅 Resumen Diario'!$B$5:$B$504, B9, '📅 Resumen Diario'!$C$5:$C$504, D9), 0))</f>
        <v>2694.4185756676561</v>
      </c>
      <c r="M9" s="31">
        <f t="shared" si="3"/>
        <v>97.2</v>
      </c>
      <c r="N9" s="31">
        <f t="shared" si="4"/>
        <v>2791.6185756676559</v>
      </c>
      <c r="O9" s="31">
        <f>IF(OR(B9="",C9=""),"",K9-N9 + IFERROR(E9 / SUMIFS('📅 Resumen Diario'!$D$5:$D$504, '📅 Resumen Diario'!$B$5:$B$504, B9, '📅 Resumen Diario'!$C$5:$C$504, D9) * (SUMIFS('📋 Detalle Diario'!$E$5:$E$489, '📋 Detalle Diario'!$B$5:$B$489, B9, '📋 Detalle Diario'!$C$5:$C$489, D9) * 135 + SUMIFS('📋 Detalle Diario'!$I$5:$I$489, '📋 Detalle Diario'!$B$5:$B$489, B9, '📋 Detalle Diario'!$C$5:$C$489, D9) * 200), 0))</f>
        <v>-73.618575667655932</v>
      </c>
      <c r="P9" s="32">
        <f t="shared" si="5"/>
        <v>-2.7085568678313441E-2</v>
      </c>
      <c r="Q9" s="33" t="str">
        <f t="shared" si="6"/>
        <v>2026-05</v>
      </c>
    </row>
    <row r="10" spans="2:17" ht="18" customHeight="1" x14ac:dyDescent="0.25">
      <c r="B10" s="26" t="s">
        <v>71</v>
      </c>
      <c r="C10" s="17" t="s">
        <v>131</v>
      </c>
      <c r="D10" s="27" t="s">
        <v>72</v>
      </c>
      <c r="E10" s="18">
        <v>10</v>
      </c>
      <c r="F10" s="18">
        <v>0</v>
      </c>
      <c r="G10" s="18">
        <v>0</v>
      </c>
      <c r="H10" s="30">
        <f t="shared" si="0"/>
        <v>0</v>
      </c>
      <c r="I10" s="31">
        <f>IF(OR(B10="",C10=""),"",IFERROR(E10*IF(E10="",0,VLOOKUP(C10,'📦 Precios Proforma'!$B$5:$D$104,IF(D10="DIA",2,3),FALSE)),0))</f>
        <v>450</v>
      </c>
      <c r="J10" s="31">
        <f t="shared" si="1"/>
        <v>0</v>
      </c>
      <c r="K10" s="31">
        <f t="shared" si="2"/>
        <v>450</v>
      </c>
      <c r="L10" s="31">
        <f>IF(OR(B10="",C10=""),"",IFERROR(E10 / SUMIFS('📅 Resumen Diario'!$D$5:$D$504, '📅 Resumen Diario'!$B$5:$B$504, B10, '📅 Resumen Diario'!$C$5:$C$504, D10) * SUMIFS('📅 Resumen Diario'!$K$5:$K$504, '📅 Resumen Diario'!$B$5:$B$504, B10, '📅 Resumen Diario'!$C$5:$C$504, D10), 0))</f>
        <v>74.84496043521267</v>
      </c>
      <c r="M10" s="31">
        <f t="shared" si="3"/>
        <v>0</v>
      </c>
      <c r="N10" s="31">
        <f t="shared" si="4"/>
        <v>74.84496043521267</v>
      </c>
      <c r="O10" s="31">
        <f>IF(OR(B10="",C10=""),"",K10-N10 + IFERROR(E10 / SUMIFS('📅 Resumen Diario'!$D$5:$D$504, '📅 Resumen Diario'!$B$5:$B$504, B10, '📅 Resumen Diario'!$C$5:$C$504, D10) * (SUMIFS('📋 Detalle Diario'!$E$5:$E$489, '📋 Detalle Diario'!$B$5:$B$489, B10, '📋 Detalle Diario'!$C$5:$C$489, D10) * 135 + SUMIFS('📋 Detalle Diario'!$I$5:$I$489, '📋 Detalle Diario'!$B$5:$B$489, B10, '📋 Detalle Diario'!$C$5:$C$489, D10) * 200), 0))</f>
        <v>375.15503956478733</v>
      </c>
      <c r="P10" s="32">
        <f t="shared" si="5"/>
        <v>0.8336778656995274</v>
      </c>
      <c r="Q10" s="33" t="str">
        <f t="shared" si="6"/>
        <v>2026-05</v>
      </c>
    </row>
    <row r="11" spans="2:17" ht="18" customHeight="1" x14ac:dyDescent="0.25">
      <c r="B11" s="26" t="s">
        <v>71</v>
      </c>
      <c r="C11" s="28" t="s">
        <v>132</v>
      </c>
      <c r="D11" s="27" t="s">
        <v>73</v>
      </c>
      <c r="E11" s="29">
        <v>77</v>
      </c>
      <c r="F11" s="29">
        <v>77</v>
      </c>
      <c r="G11" s="29">
        <v>308</v>
      </c>
      <c r="H11" s="30">
        <f t="shared" si="0"/>
        <v>385</v>
      </c>
      <c r="I11" s="31">
        <f>IF(OR(B11="",C11=""),"",IFERROR(E11*IF(E11="",0,VLOOKUP(C11,'📦 Precios Proforma'!$B$5:$D$104,IF(D11="DIA",2,3),FALSE)),0))</f>
        <v>464.31</v>
      </c>
      <c r="J11" s="31">
        <f t="shared" si="1"/>
        <v>519.75</v>
      </c>
      <c r="K11" s="31">
        <f t="shared" si="2"/>
        <v>984.06</v>
      </c>
      <c r="L11" s="31">
        <f>IF(OR(B11="",C11=""),"",IFERROR(E11 / SUMIFS('📅 Resumen Diario'!$D$5:$D$504, '📅 Resumen Diario'!$B$5:$B$504, B11, '📅 Resumen Diario'!$C$5:$C$504, D11) * SUMIFS('📅 Resumen Diario'!$K$5:$K$504, '📅 Resumen Diario'!$B$5:$B$504, B11, '📅 Resumen Diario'!$C$5:$C$504, D11), 0))</f>
        <v>1626.0663628583657</v>
      </c>
      <c r="M11" s="31">
        <f t="shared" si="3"/>
        <v>34.65</v>
      </c>
      <c r="N11" s="31">
        <f t="shared" si="4"/>
        <v>1660.7163628583658</v>
      </c>
      <c r="O11" s="31">
        <f>IF(OR(B11="",C11=""),"",K11-N11 + IFERROR(E11 / SUMIFS('📅 Resumen Diario'!$D$5:$D$504, '📅 Resumen Diario'!$B$5:$B$504, B11, '📅 Resumen Diario'!$C$5:$C$504, D11) * (SUMIFS('📋 Detalle Diario'!$E$5:$E$489, '📋 Detalle Diario'!$B$5:$B$489, B11, '📋 Detalle Diario'!$C$5:$C$489, D11) * 135 + SUMIFS('📋 Detalle Diario'!$I$5:$I$489, '📋 Detalle Diario'!$B$5:$B$489, B11, '📋 Detalle Diario'!$C$5:$C$489, D11) * 200), 0))</f>
        <v>-676.65636285836581</v>
      </c>
      <c r="P11" s="32">
        <f t="shared" si="5"/>
        <v>-0.68761697747938733</v>
      </c>
      <c r="Q11" s="33" t="str">
        <f t="shared" si="6"/>
        <v>2026-05</v>
      </c>
    </row>
    <row r="12" spans="2:17" ht="18" customHeight="1" x14ac:dyDescent="0.25">
      <c r="B12" s="26" t="s">
        <v>71</v>
      </c>
      <c r="C12" s="17" t="s">
        <v>133</v>
      </c>
      <c r="D12" s="27" t="s">
        <v>73</v>
      </c>
      <c r="E12" s="18">
        <v>120</v>
      </c>
      <c r="F12" s="18">
        <v>1440</v>
      </c>
      <c r="G12" s="18">
        <v>120</v>
      </c>
      <c r="H12" s="30">
        <f t="shared" si="0"/>
        <v>1560</v>
      </c>
      <c r="I12" s="31">
        <f>IF(OR(B12="",C12=""),"",IFERROR(E12*IF(E12="",0,VLOOKUP(C12,'📦 Precios Proforma'!$B$5:$D$104,IF(D12="DIA",2,3),FALSE)),0))</f>
        <v>723.6</v>
      </c>
      <c r="J12" s="31">
        <f t="shared" si="1"/>
        <v>2106</v>
      </c>
      <c r="K12" s="31">
        <f t="shared" si="2"/>
        <v>2829.6</v>
      </c>
      <c r="L12" s="31">
        <f>IF(OR(B12="",C12=""),"",IFERROR(E12 / SUMIFS('📅 Resumen Diario'!$D$5:$D$504, '📅 Resumen Diario'!$B$5:$B$504, B12, '📅 Resumen Diario'!$C$5:$C$504, D12) * SUMIFS('📅 Resumen Diario'!$K$5:$K$504, '📅 Resumen Diario'!$B$5:$B$504, B12, '📅 Resumen Diario'!$C$5:$C$504, D12), 0))</f>
        <v>2534.129396662388</v>
      </c>
      <c r="M12" s="31">
        <f t="shared" si="3"/>
        <v>140.4</v>
      </c>
      <c r="N12" s="31">
        <f t="shared" si="4"/>
        <v>2674.5293966623881</v>
      </c>
      <c r="O12" s="31">
        <f>IF(OR(B12="",C12=""),"",K12-N12 + IFERROR(E12 / SUMIFS('📅 Resumen Diario'!$D$5:$D$504, '📅 Resumen Diario'!$B$5:$B$504, B12, '📅 Resumen Diario'!$C$5:$C$504, D12) * (SUMIFS('📋 Detalle Diario'!$E$5:$E$489, '📋 Detalle Diario'!$B$5:$B$489, B12, '📋 Detalle Diario'!$C$5:$C$489, D12) * 135 + SUMIFS('📋 Detalle Diario'!$I$5:$I$489, '📋 Detalle Diario'!$B$5:$B$489, B12, '📋 Detalle Diario'!$C$5:$C$489, D12) * 200), 0))</f>
        <v>155.07060333761183</v>
      </c>
      <c r="P12" s="32">
        <f t="shared" si="5"/>
        <v>5.4803012205828325E-2</v>
      </c>
      <c r="Q12" s="33" t="str">
        <f t="shared" si="6"/>
        <v>2026-05</v>
      </c>
    </row>
    <row r="13" spans="2:17" ht="18" customHeight="1" x14ac:dyDescent="0.25">
      <c r="B13" s="26" t="s">
        <v>71</v>
      </c>
      <c r="C13" s="28" t="s">
        <v>134</v>
      </c>
      <c r="D13" s="27" t="s">
        <v>73</v>
      </c>
      <c r="E13" s="29">
        <v>34.700000000000003</v>
      </c>
      <c r="F13" s="29">
        <v>0</v>
      </c>
      <c r="G13" s="29">
        <v>0</v>
      </c>
      <c r="H13" s="30">
        <f t="shared" si="0"/>
        <v>0</v>
      </c>
      <c r="I13" s="31">
        <f>IF(OR(B13="",C13=""),"",IFERROR(E13*IF(E13="",0,VLOOKUP(C13,'📦 Precios Proforma'!$B$5:$D$104,IF(D13="DIA",2,3),FALSE)),0))</f>
        <v>2082</v>
      </c>
      <c r="J13" s="31">
        <f t="shared" si="1"/>
        <v>0</v>
      </c>
      <c r="K13" s="31">
        <f t="shared" si="2"/>
        <v>2082</v>
      </c>
      <c r="L13" s="31">
        <f>IF(OR(B13="",C13=""),"",IFERROR(E13 / SUMIFS('📅 Resumen Diario'!$D$5:$D$504, '📅 Resumen Diario'!$B$5:$B$504, B13, '📅 Resumen Diario'!$C$5:$C$504, D13) * SUMIFS('📅 Resumen Diario'!$K$5:$K$504, '📅 Resumen Diario'!$B$5:$B$504, B13, '📅 Resumen Diario'!$C$5:$C$504, D13), 0))</f>
        <v>732.78575053487384</v>
      </c>
      <c r="M13" s="31">
        <f t="shared" si="3"/>
        <v>0</v>
      </c>
      <c r="N13" s="31">
        <f t="shared" si="4"/>
        <v>732.78575053487384</v>
      </c>
      <c r="O13" s="31">
        <f>IF(OR(B13="",C13=""),"",K13-N13 + IFERROR(E13 / SUMIFS('📅 Resumen Diario'!$D$5:$D$504, '📅 Resumen Diario'!$B$5:$B$504, B13, '📅 Resumen Diario'!$C$5:$C$504, D13) * (SUMIFS('📋 Detalle Diario'!$E$5:$E$489, '📋 Detalle Diario'!$B$5:$B$489, B13, '📋 Detalle Diario'!$C$5:$C$489, D13) * 135 + SUMIFS('📋 Detalle Diario'!$I$5:$I$489, '📋 Detalle Diario'!$B$5:$B$489, B13, '📋 Detalle Diario'!$C$5:$C$489, D13) * 200), 0))</f>
        <v>1349.2142494651262</v>
      </c>
      <c r="P13" s="32">
        <f t="shared" si="5"/>
        <v>0.64803758379689058</v>
      </c>
      <c r="Q13" s="33" t="str">
        <f t="shared" si="6"/>
        <v>2026-05</v>
      </c>
    </row>
    <row r="14" spans="2:17" ht="18" customHeight="1" x14ac:dyDescent="0.25">
      <c r="B14" s="26" t="s">
        <v>71</v>
      </c>
      <c r="C14" s="17" t="s">
        <v>135</v>
      </c>
      <c r="D14" s="27" t="s">
        <v>73</v>
      </c>
      <c r="E14" s="18">
        <v>2</v>
      </c>
      <c r="F14" s="18">
        <v>0</v>
      </c>
      <c r="G14" s="18">
        <v>0</v>
      </c>
      <c r="H14" s="30">
        <f t="shared" si="0"/>
        <v>0</v>
      </c>
      <c r="I14" s="31">
        <f>IF(OR(B14="",C14=""),"",IFERROR(E14*IF(E14="",0,VLOOKUP(C14,'📦 Precios Proforma'!$B$5:$D$104,IF(D14="DIA",2,3),FALSE)),0))</f>
        <v>120</v>
      </c>
      <c r="J14" s="31">
        <f t="shared" si="1"/>
        <v>0</v>
      </c>
      <c r="K14" s="31">
        <f t="shared" si="2"/>
        <v>120</v>
      </c>
      <c r="L14" s="31">
        <f>IF(OR(B14="",C14=""),"",IFERROR(E14 / SUMIFS('📅 Resumen Diario'!$D$5:$D$504, '📅 Resumen Diario'!$B$5:$B$504, B14, '📅 Resumen Diario'!$C$5:$C$504, D14) * SUMIFS('📅 Resumen Diario'!$K$5:$K$504, '📅 Resumen Diario'!$B$5:$B$504, B14, '📅 Resumen Diario'!$C$5:$C$504, D14), 0))</f>
        <v>42.235489944373136</v>
      </c>
      <c r="M14" s="31">
        <f t="shared" si="3"/>
        <v>0</v>
      </c>
      <c r="N14" s="31">
        <f t="shared" si="4"/>
        <v>42.235489944373136</v>
      </c>
      <c r="O14" s="31">
        <f>IF(OR(B14="",C14=""),"",K14-N14 + IFERROR(E14 / SUMIFS('📅 Resumen Diario'!$D$5:$D$504, '📅 Resumen Diario'!$B$5:$B$504, B14, '📅 Resumen Diario'!$C$5:$C$504, D14) * (SUMIFS('📋 Detalle Diario'!$E$5:$E$489, '📋 Detalle Diario'!$B$5:$B$489, B14, '📋 Detalle Diario'!$C$5:$C$489, D14) * 135 + SUMIFS('📋 Detalle Diario'!$I$5:$I$489, '📋 Detalle Diario'!$B$5:$B$489, B14, '📋 Detalle Diario'!$C$5:$C$489, D14) * 200), 0))</f>
        <v>77.764510055626857</v>
      </c>
      <c r="P14" s="32">
        <f t="shared" si="5"/>
        <v>0.64803758379689047</v>
      </c>
      <c r="Q14" s="33" t="str">
        <f t="shared" si="6"/>
        <v>2026-05</v>
      </c>
    </row>
    <row r="15" spans="2:17" ht="18" customHeight="1" x14ac:dyDescent="0.25">
      <c r="B15" s="26" t="s">
        <v>74</v>
      </c>
      <c r="C15" s="28" t="s">
        <v>136</v>
      </c>
      <c r="D15" s="27" t="s">
        <v>72</v>
      </c>
      <c r="E15" s="29">
        <v>90</v>
      </c>
      <c r="F15" s="29">
        <v>0</v>
      </c>
      <c r="G15" s="29">
        <v>810</v>
      </c>
      <c r="H15" s="30">
        <f t="shared" si="0"/>
        <v>810</v>
      </c>
      <c r="I15" s="31">
        <f>IF(OR(B15="",C15=""),"",IFERROR(E15*IF(E15="",0,VLOOKUP(C15,'📦 Precios Proforma'!$B$5:$D$104,IF(D15="DIA",2,3),FALSE)),0))</f>
        <v>406.79999999999995</v>
      </c>
      <c r="J15" s="31">
        <f t="shared" si="1"/>
        <v>818.1</v>
      </c>
      <c r="K15" s="31">
        <f t="shared" si="2"/>
        <v>1224.9000000000001</v>
      </c>
      <c r="L15" s="31">
        <f>IF(OR(B15="",C15=""),"",IFERROR(E15 / SUMIFS('📅 Resumen Diario'!$D$5:$D$504, '📅 Resumen Diario'!$B$5:$B$504, B15, '📅 Resumen Diario'!$C$5:$C$504, D15) * SUMIFS('📅 Resumen Diario'!$K$5:$K$504, '📅 Resumen Diario'!$B$5:$B$504, B15, '📅 Resumen Diario'!$C$5:$C$504, D15), 0))</f>
        <v>1001.565254798147</v>
      </c>
      <c r="M15" s="31">
        <f t="shared" si="3"/>
        <v>72.899999999999991</v>
      </c>
      <c r="N15" s="31">
        <f t="shared" si="4"/>
        <v>1074.465254798147</v>
      </c>
      <c r="O15" s="31">
        <f>IF(OR(B15="",C15=""),"",K15-N15 + IFERROR(E15 / SUMIFS('📅 Resumen Diario'!$D$5:$D$504, '📅 Resumen Diario'!$B$5:$B$504, B15, '📅 Resumen Diario'!$C$5:$C$504, D15) * (SUMIFS('📋 Detalle Diario'!$E$5:$E$489, '📋 Detalle Diario'!$B$5:$B$489, B15, '📋 Detalle Diario'!$C$5:$C$489, D15) * 135 + SUMIFS('📋 Detalle Diario'!$I$5:$I$489, '📋 Detalle Diario'!$B$5:$B$489, B15, '📋 Detalle Diario'!$C$5:$C$489, D15) * 200), 0))</f>
        <v>150.43474520185305</v>
      </c>
      <c r="P15" s="32">
        <f t="shared" si="5"/>
        <v>0.12281389925859501</v>
      </c>
      <c r="Q15" s="33" t="str">
        <f t="shared" si="6"/>
        <v>2026-05</v>
      </c>
    </row>
    <row r="16" spans="2:17" ht="18" customHeight="1" x14ac:dyDescent="0.25">
      <c r="B16" s="26" t="s">
        <v>74</v>
      </c>
      <c r="C16" s="17" t="s">
        <v>137</v>
      </c>
      <c r="D16" s="27" t="s">
        <v>72</v>
      </c>
      <c r="E16" s="18">
        <v>120</v>
      </c>
      <c r="F16" s="18">
        <v>0</v>
      </c>
      <c r="G16" s="18">
        <v>1400</v>
      </c>
      <c r="H16" s="30">
        <f t="shared" si="0"/>
        <v>1400</v>
      </c>
      <c r="I16" s="31">
        <f>IF(OR(B16="",C16=""),"",IFERROR(E16*IF(E16="",0,VLOOKUP(C16,'📦 Precios Proforma'!$B$5:$D$104,IF(D16="DIA",2,3),FALSE)),0))</f>
        <v>667.19999999999993</v>
      </c>
      <c r="J16" s="31">
        <f t="shared" si="1"/>
        <v>1414</v>
      </c>
      <c r="K16" s="31">
        <f t="shared" si="2"/>
        <v>2081.1999999999998</v>
      </c>
      <c r="L16" s="31">
        <f>IF(OR(B16="",C16=""),"",IFERROR(E16 / SUMIFS('📅 Resumen Diario'!$D$5:$D$504, '📅 Resumen Diario'!$B$5:$B$504, B16, '📅 Resumen Diario'!$C$5:$C$504, D16) * SUMIFS('📅 Resumen Diario'!$K$5:$K$504, '📅 Resumen Diario'!$B$5:$B$504, B16, '📅 Resumen Diario'!$C$5:$C$504, D16), 0))</f>
        <v>1335.4203397308627</v>
      </c>
      <c r="M16" s="31">
        <f t="shared" si="3"/>
        <v>126</v>
      </c>
      <c r="N16" s="31">
        <f t="shared" si="4"/>
        <v>1461.4203397308627</v>
      </c>
      <c r="O16" s="31">
        <f>IF(OR(B16="",C16=""),"",K16-N16 + IFERROR(E16 / SUMIFS('📅 Resumen Diario'!$D$5:$D$504, '📅 Resumen Diario'!$B$5:$B$504, B16, '📅 Resumen Diario'!$C$5:$C$504, D16) * (SUMIFS('📋 Detalle Diario'!$E$5:$E$489, '📋 Detalle Diario'!$B$5:$B$489, B16, '📋 Detalle Diario'!$C$5:$C$489, D16) * 135 + SUMIFS('📋 Detalle Diario'!$I$5:$I$489, '📋 Detalle Diario'!$B$5:$B$489, B16, '📋 Detalle Diario'!$C$5:$C$489, D16) * 200), 0))</f>
        <v>619.77966026913714</v>
      </c>
      <c r="P16" s="32">
        <f t="shared" si="5"/>
        <v>0.29779918329287774</v>
      </c>
      <c r="Q16" s="33" t="str">
        <f t="shared" si="6"/>
        <v>2026-05</v>
      </c>
    </row>
    <row r="17" spans="2:17" ht="18" customHeight="1" x14ac:dyDescent="0.25">
      <c r="B17" s="26" t="s">
        <v>74</v>
      </c>
      <c r="C17" s="28" t="s">
        <v>138</v>
      </c>
      <c r="D17" s="27" t="s">
        <v>72</v>
      </c>
      <c r="E17" s="29">
        <v>60</v>
      </c>
      <c r="F17" s="29">
        <v>0</v>
      </c>
      <c r="G17" s="29">
        <v>60</v>
      </c>
      <c r="H17" s="30">
        <f t="shared" si="0"/>
        <v>60</v>
      </c>
      <c r="I17" s="31">
        <f>IF(OR(B17="",C17=""),"",IFERROR(E17*IF(E17="",0,VLOOKUP(C17,'📦 Precios Proforma'!$B$5:$D$104,IF(D17="DIA",2,3),FALSE)),0))</f>
        <v>260.39999999999998</v>
      </c>
      <c r="J17" s="31">
        <f t="shared" si="1"/>
        <v>60.6</v>
      </c>
      <c r="K17" s="31">
        <f t="shared" si="2"/>
        <v>321</v>
      </c>
      <c r="L17" s="31">
        <f>IF(OR(B17="",C17=""),"",IFERROR(E17 / SUMIFS('📅 Resumen Diario'!$D$5:$D$504, '📅 Resumen Diario'!$B$5:$B$504, B17, '📅 Resumen Diario'!$C$5:$C$504, D17) * SUMIFS('📅 Resumen Diario'!$K$5:$K$504, '📅 Resumen Diario'!$B$5:$B$504, B17, '📅 Resumen Diario'!$C$5:$C$504, D17), 0))</f>
        <v>667.71016986543134</v>
      </c>
      <c r="M17" s="31">
        <f t="shared" si="3"/>
        <v>5.3999999999999995</v>
      </c>
      <c r="N17" s="31">
        <f t="shared" si="4"/>
        <v>673.11016986543132</v>
      </c>
      <c r="O17" s="31">
        <f>IF(OR(B17="",C17=""),"",K17-N17 + IFERROR(E17 / SUMIFS('📅 Resumen Diario'!$D$5:$D$504, '📅 Resumen Diario'!$B$5:$B$504, B17, '📅 Resumen Diario'!$C$5:$C$504, D17) * (SUMIFS('📋 Detalle Diario'!$E$5:$E$489, '📋 Detalle Diario'!$B$5:$B$489, B17, '📋 Detalle Diario'!$C$5:$C$489, D17) * 135 + SUMIFS('📋 Detalle Diario'!$I$5:$I$489, '📋 Detalle Diario'!$B$5:$B$489, B17, '📋 Detalle Diario'!$C$5:$C$489, D17) * 200), 0))</f>
        <v>-352.11016986543132</v>
      </c>
      <c r="P17" s="32">
        <f t="shared" si="5"/>
        <v>-1.0969164170262657</v>
      </c>
      <c r="Q17" s="33" t="str">
        <f t="shared" si="6"/>
        <v>2026-05</v>
      </c>
    </row>
    <row r="18" spans="2:17" ht="18" customHeight="1" x14ac:dyDescent="0.25">
      <c r="B18" s="26" t="s">
        <v>74</v>
      </c>
      <c r="C18" s="17" t="s">
        <v>139</v>
      </c>
      <c r="D18" s="27" t="s">
        <v>72</v>
      </c>
      <c r="E18" s="18">
        <v>168</v>
      </c>
      <c r="F18" s="18">
        <v>0</v>
      </c>
      <c r="G18" s="18">
        <v>0</v>
      </c>
      <c r="H18" s="30">
        <f t="shared" si="0"/>
        <v>0</v>
      </c>
      <c r="I18" s="31">
        <f>IF(OR(B18="",C18=""),"",IFERROR(E18*IF(E18="",0,VLOOKUP(C18,'📦 Precios Proforma'!$B$5:$D$104,IF(D18="DIA",2,3),FALSE)),0))</f>
        <v>7560</v>
      </c>
      <c r="J18" s="31">
        <f t="shared" si="1"/>
        <v>0</v>
      </c>
      <c r="K18" s="31">
        <f t="shared" si="2"/>
        <v>7560</v>
      </c>
      <c r="L18" s="31">
        <f>IF(OR(B18="",C18=""),"",IFERROR(E18 / SUMIFS('📅 Resumen Diario'!$D$5:$D$504, '📅 Resumen Diario'!$B$5:$B$504, B18, '📅 Resumen Diario'!$C$5:$C$504, D18) * SUMIFS('📅 Resumen Diario'!$K$5:$K$504, '📅 Resumen Diario'!$B$5:$B$504, B18, '📅 Resumen Diario'!$C$5:$C$504, D18), 0))</f>
        <v>1869.5884756232076</v>
      </c>
      <c r="M18" s="31">
        <f t="shared" si="3"/>
        <v>0</v>
      </c>
      <c r="N18" s="31">
        <f t="shared" si="4"/>
        <v>1869.5884756232076</v>
      </c>
      <c r="O18" s="31">
        <f>IF(OR(B18="",C18=""),"",K18-N18 + IFERROR(E18 / SUMIFS('📅 Resumen Diario'!$D$5:$D$504, '📅 Resumen Diario'!$B$5:$B$504, B18, '📅 Resumen Diario'!$C$5:$C$504, D18) * (SUMIFS('📋 Detalle Diario'!$E$5:$E$489, '📋 Detalle Diario'!$B$5:$B$489, B18, '📋 Detalle Diario'!$C$5:$C$489, D18) * 135 + SUMIFS('📋 Detalle Diario'!$I$5:$I$489, '📋 Detalle Diario'!$B$5:$B$489, B18, '📋 Detalle Diario'!$C$5:$C$489, D18) * 200), 0))</f>
        <v>5690.4115243767919</v>
      </c>
      <c r="P18" s="32">
        <f t="shared" si="5"/>
        <v>0.75269993708687721</v>
      </c>
      <c r="Q18" s="33" t="str">
        <f t="shared" si="6"/>
        <v>2026-05</v>
      </c>
    </row>
    <row r="19" spans="2:17" ht="18" customHeight="1" x14ac:dyDescent="0.25">
      <c r="B19" s="26" t="s">
        <v>74</v>
      </c>
      <c r="C19" s="28" t="s">
        <v>134</v>
      </c>
      <c r="D19" s="27" t="s">
        <v>72</v>
      </c>
      <c r="E19" s="29">
        <v>15.3</v>
      </c>
      <c r="F19" s="29">
        <v>0</v>
      </c>
      <c r="G19" s="29">
        <v>0</v>
      </c>
      <c r="H19" s="30">
        <f t="shared" si="0"/>
        <v>0</v>
      </c>
      <c r="I19" s="31">
        <f>IF(OR(B19="",C19=""),"",IFERROR(E19*IF(E19="",0,VLOOKUP(C19,'📦 Precios Proforma'!$B$5:$D$104,IF(D19="DIA",2,3),FALSE)),0))</f>
        <v>688.5</v>
      </c>
      <c r="J19" s="31">
        <f t="shared" si="1"/>
        <v>0</v>
      </c>
      <c r="K19" s="31">
        <f t="shared" si="2"/>
        <v>688.5</v>
      </c>
      <c r="L19" s="31">
        <f>IF(OR(B19="",C19=""),"",IFERROR(E19 / SUMIFS('📅 Resumen Diario'!$D$5:$D$504, '📅 Resumen Diario'!$B$5:$B$504, B19, '📅 Resumen Diario'!$C$5:$C$504, D19) * SUMIFS('📅 Resumen Diario'!$K$5:$K$504, '📅 Resumen Diario'!$B$5:$B$504, B19, '📅 Resumen Diario'!$C$5:$C$504, D19), 0))</f>
        <v>170.266093315685</v>
      </c>
      <c r="M19" s="31">
        <f t="shared" si="3"/>
        <v>0</v>
      </c>
      <c r="N19" s="31">
        <f t="shared" si="4"/>
        <v>170.266093315685</v>
      </c>
      <c r="O19" s="31">
        <f>IF(OR(B19="",C19=""),"",K19-N19 + IFERROR(E19 / SUMIFS('📅 Resumen Diario'!$D$5:$D$504, '📅 Resumen Diario'!$B$5:$B$504, B19, '📅 Resumen Diario'!$C$5:$C$504, D19) * (SUMIFS('📋 Detalle Diario'!$E$5:$E$489, '📋 Detalle Diario'!$B$5:$B$489, B19, '📋 Detalle Diario'!$C$5:$C$489, D19) * 135 + SUMIFS('📋 Detalle Diario'!$I$5:$I$489, '📋 Detalle Diario'!$B$5:$B$489, B19, '📋 Detalle Diario'!$C$5:$C$489, D19) * 200), 0))</f>
        <v>518.233906684315</v>
      </c>
      <c r="P19" s="32">
        <f t="shared" si="5"/>
        <v>0.75269993708687732</v>
      </c>
      <c r="Q19" s="33" t="str">
        <f t="shared" si="6"/>
        <v>2026-05</v>
      </c>
    </row>
    <row r="20" spans="2:17" ht="18" customHeight="1" x14ac:dyDescent="0.25">
      <c r="B20" s="26" t="s">
        <v>75</v>
      </c>
      <c r="C20" s="17" t="s">
        <v>130</v>
      </c>
      <c r="D20" s="27" t="s">
        <v>73</v>
      </c>
      <c r="E20" s="18">
        <v>945</v>
      </c>
      <c r="F20" s="18">
        <v>945</v>
      </c>
      <c r="G20" s="18">
        <v>1890</v>
      </c>
      <c r="H20" s="30">
        <f t="shared" si="0"/>
        <v>2835</v>
      </c>
      <c r="I20" s="31">
        <f>IF(OR(B20="",C20=""),"",IFERROR(E20*IF(E20="",0,VLOOKUP(C20,'📦 Precios Proforma'!$B$5:$D$104,IF(D20="DIA",2,3),FALSE)),0))</f>
        <v>5698.35</v>
      </c>
      <c r="J20" s="31">
        <f t="shared" si="1"/>
        <v>3827.2500000000005</v>
      </c>
      <c r="K20" s="31">
        <f t="shared" si="2"/>
        <v>9525.6</v>
      </c>
      <c r="L20" s="31">
        <f>IF(OR(B20="",C20=""),"",IFERROR(E20 / SUMIFS('📅 Resumen Diario'!$D$5:$D$504, '📅 Resumen Diario'!$B$5:$B$504, B20, '📅 Resumen Diario'!$C$5:$C$504, D20) * SUMIFS('📅 Resumen Diario'!$K$5:$K$504, '📅 Resumen Diario'!$B$5:$B$504, B20, '📅 Resumen Diario'!$C$5:$C$504, D20), 0))</f>
        <v>3646.4269468334637</v>
      </c>
      <c r="M20" s="31">
        <f t="shared" si="3"/>
        <v>255.14999999999998</v>
      </c>
      <c r="N20" s="31">
        <f t="shared" si="4"/>
        <v>3901.5769468334638</v>
      </c>
      <c r="O20" s="31">
        <f>IF(OR(B20="",C20=""),"",K20-N20 + IFERROR(E20 / SUMIFS('📅 Resumen Diario'!$D$5:$D$504, '📅 Resumen Diario'!$B$5:$B$504, B20, '📅 Resumen Diario'!$C$5:$C$504, D20) * (SUMIFS('📋 Detalle Diario'!$E$5:$E$489, '📋 Detalle Diario'!$B$5:$B$489, B20, '📋 Detalle Diario'!$C$5:$C$489, D20) * 135 + SUMIFS('📋 Detalle Diario'!$I$5:$I$489, '📋 Detalle Diario'!$B$5:$B$489, B20, '📋 Detalle Diario'!$C$5:$C$489, D20) * 200), 0))</f>
        <v>5624.0230531665366</v>
      </c>
      <c r="P20" s="32">
        <f t="shared" si="5"/>
        <v>0.59041142323491813</v>
      </c>
      <c r="Q20" s="33" t="str">
        <f t="shared" si="6"/>
        <v>2026-05</v>
      </c>
    </row>
    <row r="21" spans="2:17" ht="18" customHeight="1" x14ac:dyDescent="0.25">
      <c r="B21" s="26" t="s">
        <v>75</v>
      </c>
      <c r="C21" s="28" t="s">
        <v>132</v>
      </c>
      <c r="D21" s="27" t="s">
        <v>73</v>
      </c>
      <c r="E21" s="29">
        <v>270</v>
      </c>
      <c r="F21" s="29">
        <v>270</v>
      </c>
      <c r="G21" s="29">
        <v>1080</v>
      </c>
      <c r="H21" s="30">
        <f t="shared" si="0"/>
        <v>1350</v>
      </c>
      <c r="I21" s="31">
        <f>IF(OR(B21="",C21=""),"",IFERROR(E21*IF(E21="",0,VLOOKUP(C21,'📦 Precios Proforma'!$B$5:$D$104,IF(D21="DIA",2,3),FALSE)),0))</f>
        <v>1628.1000000000001</v>
      </c>
      <c r="J21" s="31">
        <f t="shared" si="1"/>
        <v>1822.5000000000002</v>
      </c>
      <c r="K21" s="31">
        <f t="shared" si="2"/>
        <v>3450.6000000000004</v>
      </c>
      <c r="L21" s="31">
        <f>IF(OR(B21="",C21=""),"",IFERROR(E21 / SUMIFS('📅 Resumen Diario'!$D$5:$D$504, '📅 Resumen Diario'!$B$5:$B$504, B21, '📅 Resumen Diario'!$C$5:$C$504, D21) * SUMIFS('📅 Resumen Diario'!$K$5:$K$504, '📅 Resumen Diario'!$B$5:$B$504, B21, '📅 Resumen Diario'!$C$5:$C$504, D21), 0))</f>
        <v>1041.8362705238469</v>
      </c>
      <c r="M21" s="31">
        <f t="shared" si="3"/>
        <v>121.5</v>
      </c>
      <c r="N21" s="31">
        <f t="shared" si="4"/>
        <v>1163.3362705238469</v>
      </c>
      <c r="O21" s="31">
        <f>IF(OR(B21="",C21=""),"",K21-N21 + IFERROR(E21 / SUMIFS('📅 Resumen Diario'!$D$5:$D$504, '📅 Resumen Diario'!$B$5:$B$504, B21, '📅 Resumen Diario'!$C$5:$C$504, D21) * (SUMIFS('📋 Detalle Diario'!$E$5:$E$489, '📋 Detalle Diario'!$B$5:$B$489, B21, '📋 Detalle Diario'!$C$5:$C$489, D21) * 135 + SUMIFS('📋 Detalle Diario'!$I$5:$I$489, '📋 Detalle Diario'!$B$5:$B$489, B21, '📋 Detalle Diario'!$C$5:$C$489, D21) * 200), 0))</f>
        <v>2287.2637294761535</v>
      </c>
      <c r="P21" s="32">
        <f t="shared" si="5"/>
        <v>0.66285971410078048</v>
      </c>
      <c r="Q21" s="33" t="str">
        <f t="shared" si="6"/>
        <v>2026-05</v>
      </c>
    </row>
    <row r="22" spans="2:17" ht="18" customHeight="1" x14ac:dyDescent="0.25">
      <c r="B22" s="26" t="s">
        <v>75</v>
      </c>
      <c r="C22" s="17" t="s">
        <v>133</v>
      </c>
      <c r="D22" s="27" t="s">
        <v>73</v>
      </c>
      <c r="E22" s="18">
        <v>30</v>
      </c>
      <c r="F22" s="18">
        <v>360</v>
      </c>
      <c r="G22" s="18">
        <v>30</v>
      </c>
      <c r="H22" s="30">
        <f t="shared" si="0"/>
        <v>390</v>
      </c>
      <c r="I22" s="31">
        <f>IF(OR(B22="",C22=""),"",IFERROR(E22*IF(E22="",0,VLOOKUP(C22,'📦 Precios Proforma'!$B$5:$D$104,IF(D22="DIA",2,3),FALSE)),0))</f>
        <v>180.9</v>
      </c>
      <c r="J22" s="31">
        <f t="shared" si="1"/>
        <v>526.5</v>
      </c>
      <c r="K22" s="31">
        <f t="shared" si="2"/>
        <v>707.4</v>
      </c>
      <c r="L22" s="31">
        <f>IF(OR(B22="",C22=""),"",IFERROR(E22 / SUMIFS('📅 Resumen Diario'!$D$5:$D$504, '📅 Resumen Diario'!$B$5:$B$504, B22, '📅 Resumen Diario'!$C$5:$C$504, D22) * SUMIFS('📅 Resumen Diario'!$K$5:$K$504, '📅 Resumen Diario'!$B$5:$B$504, B22, '📅 Resumen Diario'!$C$5:$C$504, D22), 0))</f>
        <v>115.75958561376076</v>
      </c>
      <c r="M22" s="31">
        <f t="shared" si="3"/>
        <v>35.1</v>
      </c>
      <c r="N22" s="31">
        <f t="shared" si="4"/>
        <v>150.85958561376077</v>
      </c>
      <c r="O22" s="31">
        <f>IF(OR(B22="",C22=""),"",K22-N22 + IFERROR(E22 / SUMIFS('📅 Resumen Diario'!$D$5:$D$504, '📅 Resumen Diario'!$B$5:$B$504, B22, '📅 Resumen Diario'!$C$5:$C$504, D22) * (SUMIFS('📋 Detalle Diario'!$E$5:$E$489, '📋 Detalle Diario'!$B$5:$B$489, B22, '📋 Detalle Diario'!$C$5:$C$489, D22) * 135 + SUMIFS('📋 Detalle Diario'!$I$5:$I$489, '📋 Detalle Diario'!$B$5:$B$489, B22, '📋 Detalle Diario'!$C$5:$C$489, D22) * 200), 0))</f>
        <v>556.54041438623926</v>
      </c>
      <c r="P22" s="32">
        <f t="shared" si="5"/>
        <v>0.78674076107752233</v>
      </c>
      <c r="Q22" s="33" t="str">
        <f t="shared" si="6"/>
        <v>2026-05</v>
      </c>
    </row>
    <row r="23" spans="2:17" ht="18" customHeight="1" x14ac:dyDescent="0.25">
      <c r="B23" s="26" t="s">
        <v>75</v>
      </c>
      <c r="C23" s="28" t="s">
        <v>136</v>
      </c>
      <c r="D23" s="27" t="s">
        <v>73</v>
      </c>
      <c r="E23" s="29">
        <v>33</v>
      </c>
      <c r="F23" s="29">
        <v>0</v>
      </c>
      <c r="G23" s="29">
        <v>297</v>
      </c>
      <c r="H23" s="30">
        <f t="shared" si="0"/>
        <v>297</v>
      </c>
      <c r="I23" s="31">
        <f>IF(OR(B23="",C23=""),"",IFERROR(E23*IF(E23="",0,VLOOKUP(C23,'📦 Precios Proforma'!$B$5:$D$104,IF(D23="DIA",2,3),FALSE)),0))</f>
        <v>198.99</v>
      </c>
      <c r="J23" s="31">
        <f t="shared" si="1"/>
        <v>400.95000000000005</v>
      </c>
      <c r="K23" s="31">
        <f t="shared" si="2"/>
        <v>599.94000000000005</v>
      </c>
      <c r="L23" s="31">
        <f>IF(OR(B23="",C23=""),"",IFERROR(E23 / SUMIFS('📅 Resumen Diario'!$D$5:$D$504, '📅 Resumen Diario'!$B$5:$B$504, B23, '📅 Resumen Diario'!$C$5:$C$504, D23) * SUMIFS('📅 Resumen Diario'!$K$5:$K$504, '📅 Resumen Diario'!$B$5:$B$504, B23, '📅 Resumen Diario'!$C$5:$C$504, D23), 0))</f>
        <v>127.33554417513685</v>
      </c>
      <c r="M23" s="31">
        <f t="shared" si="3"/>
        <v>26.73</v>
      </c>
      <c r="N23" s="31">
        <f t="shared" si="4"/>
        <v>154.06554417513684</v>
      </c>
      <c r="O23" s="31">
        <f>IF(OR(B23="",C23=""),"",K23-N23 + IFERROR(E23 / SUMIFS('📅 Resumen Diario'!$D$5:$D$504, '📅 Resumen Diario'!$B$5:$B$504, B23, '📅 Resumen Diario'!$C$5:$C$504, D23) * (SUMIFS('📋 Detalle Diario'!$E$5:$E$489, '📋 Detalle Diario'!$B$5:$B$489, B23, '📋 Detalle Diario'!$C$5:$C$489, D23) * 135 + SUMIFS('📋 Detalle Diario'!$I$5:$I$489, '📋 Detalle Diario'!$B$5:$B$489, B23, '📋 Detalle Diario'!$C$5:$C$489, D23) * 200), 0))</f>
        <v>445.87445582486322</v>
      </c>
      <c r="P23" s="32">
        <f t="shared" si="5"/>
        <v>0.74319841288272692</v>
      </c>
      <c r="Q23" s="33" t="str">
        <f t="shared" si="6"/>
        <v>2026-05</v>
      </c>
    </row>
    <row r="24" spans="2:17" ht="18" customHeight="1" x14ac:dyDescent="0.25">
      <c r="B24" s="26" t="s">
        <v>75</v>
      </c>
      <c r="C24" s="17" t="s">
        <v>135</v>
      </c>
      <c r="D24" s="27" t="s">
        <v>73</v>
      </c>
      <c r="E24" s="18">
        <v>1</v>
      </c>
      <c r="F24" s="18">
        <v>0</v>
      </c>
      <c r="G24" s="18">
        <v>0</v>
      </c>
      <c r="H24" s="30">
        <f t="shared" si="0"/>
        <v>0</v>
      </c>
      <c r="I24" s="31">
        <f>IF(OR(B24="",C24=""),"",IFERROR(E24*IF(E24="",0,VLOOKUP(C24,'📦 Precios Proforma'!$B$5:$D$104,IF(D24="DIA",2,3),FALSE)),0))</f>
        <v>60</v>
      </c>
      <c r="J24" s="31">
        <f t="shared" si="1"/>
        <v>0</v>
      </c>
      <c r="K24" s="31">
        <f t="shared" si="2"/>
        <v>60</v>
      </c>
      <c r="L24" s="31">
        <f>IF(OR(B24="",C24=""),"",IFERROR(E24 / SUMIFS('📅 Resumen Diario'!$D$5:$D$504, '📅 Resumen Diario'!$B$5:$B$504, B24, '📅 Resumen Diario'!$C$5:$C$504, D24) * SUMIFS('📅 Resumen Diario'!$K$5:$K$504, '📅 Resumen Diario'!$B$5:$B$504, B24, '📅 Resumen Diario'!$C$5:$C$504, D24), 0))</f>
        <v>3.8586528537920253</v>
      </c>
      <c r="M24" s="31">
        <f t="shared" si="3"/>
        <v>0</v>
      </c>
      <c r="N24" s="31">
        <f t="shared" si="4"/>
        <v>3.8586528537920253</v>
      </c>
      <c r="O24" s="31">
        <f>IF(OR(B24="",C24=""),"",K24-N24 + IFERROR(E24 / SUMIFS('📅 Resumen Diario'!$D$5:$D$504, '📅 Resumen Diario'!$B$5:$B$504, B24, '📅 Resumen Diario'!$C$5:$C$504, D24) * (SUMIFS('📋 Detalle Diario'!$E$5:$E$489, '📋 Detalle Diario'!$B$5:$B$489, B24, '📋 Detalle Diario'!$C$5:$C$489, D24) * 135 + SUMIFS('📋 Detalle Diario'!$I$5:$I$489, '📋 Detalle Diario'!$B$5:$B$489, B24, '📋 Detalle Diario'!$C$5:$C$489, D24) * 200), 0))</f>
        <v>56.141347146207977</v>
      </c>
      <c r="P24" s="32">
        <f t="shared" si="5"/>
        <v>0.9356891191034663</v>
      </c>
      <c r="Q24" s="33" t="str">
        <f t="shared" si="6"/>
        <v>2026-05</v>
      </c>
    </row>
    <row r="25" spans="2:17" ht="18" customHeight="1" x14ac:dyDescent="0.25">
      <c r="B25" s="26" t="s">
        <v>76</v>
      </c>
      <c r="C25" s="28" t="s">
        <v>132</v>
      </c>
      <c r="D25" s="27" t="s">
        <v>72</v>
      </c>
      <c r="E25" s="29">
        <v>240</v>
      </c>
      <c r="F25" s="29">
        <v>240</v>
      </c>
      <c r="G25" s="29">
        <v>960</v>
      </c>
      <c r="H25" s="30">
        <f t="shared" si="0"/>
        <v>1200</v>
      </c>
      <c r="I25" s="31">
        <f>IF(OR(B25="",C25=""),"",IFERROR(E25*IF(E25="",0,VLOOKUP(C25,'📦 Precios Proforma'!$B$5:$D$104,IF(D25="DIA",2,3),FALSE)),0))</f>
        <v>1084.8</v>
      </c>
      <c r="J25" s="31">
        <f t="shared" si="1"/>
        <v>1212</v>
      </c>
      <c r="K25" s="31">
        <f t="shared" si="2"/>
        <v>2296.8000000000002</v>
      </c>
      <c r="L25" s="31">
        <f>IF(OR(B25="",C25=""),"",IFERROR(E25 / SUMIFS('📅 Resumen Diario'!$D$5:$D$504, '📅 Resumen Diario'!$B$5:$B$504, B25, '📅 Resumen Diario'!$C$5:$C$504, D25) * SUMIFS('📅 Resumen Diario'!$K$5:$K$504, '📅 Resumen Diario'!$B$5:$B$504, B25, '📅 Resumen Diario'!$C$5:$C$504, D25), 0))</f>
        <v>1262.9794283329857</v>
      </c>
      <c r="M25" s="31">
        <f t="shared" si="3"/>
        <v>108</v>
      </c>
      <c r="N25" s="31">
        <f t="shared" si="4"/>
        <v>1370.9794283329857</v>
      </c>
      <c r="O25" s="31">
        <f>IF(OR(B25="",C25=""),"",K25-N25 + IFERROR(E25 / SUMIFS('📅 Resumen Diario'!$D$5:$D$504, '📅 Resumen Diario'!$B$5:$B$504, B25, '📅 Resumen Diario'!$C$5:$C$504, D25) * (SUMIFS('📋 Detalle Diario'!$E$5:$E$489, '📋 Detalle Diario'!$B$5:$B$489, B25, '📋 Detalle Diario'!$C$5:$C$489, D25) * 135 + SUMIFS('📋 Detalle Diario'!$I$5:$I$489, '📋 Detalle Diario'!$B$5:$B$489, B25, '📋 Detalle Diario'!$C$5:$C$489, D25) * 200), 0))</f>
        <v>925.82057166701452</v>
      </c>
      <c r="P25" s="32">
        <f t="shared" si="5"/>
        <v>0.40309150629876978</v>
      </c>
      <c r="Q25" s="33" t="str">
        <f t="shared" si="6"/>
        <v>2026-05</v>
      </c>
    </row>
    <row r="26" spans="2:17" ht="18" customHeight="1" x14ac:dyDescent="0.25">
      <c r="B26" s="26" t="s">
        <v>76</v>
      </c>
      <c r="C26" s="17" t="s">
        <v>129</v>
      </c>
      <c r="D26" s="27" t="s">
        <v>72</v>
      </c>
      <c r="E26" s="18">
        <v>416</v>
      </c>
      <c r="F26" s="18">
        <v>0</v>
      </c>
      <c r="G26" s="18">
        <v>460</v>
      </c>
      <c r="H26" s="30">
        <f t="shared" si="0"/>
        <v>460</v>
      </c>
      <c r="I26" s="31">
        <f>IF(OR(B26="",C26=""),"",IFERROR(E26*IF(E26="",0,VLOOKUP(C26,'📦 Precios Proforma'!$B$5:$D$104,IF(D26="DIA",2,3),FALSE)),0))</f>
        <v>1880.3199999999997</v>
      </c>
      <c r="J26" s="31">
        <f t="shared" si="1"/>
        <v>464.6</v>
      </c>
      <c r="K26" s="31">
        <f t="shared" si="2"/>
        <v>2344.9199999999996</v>
      </c>
      <c r="L26" s="31">
        <f>IF(OR(B26="",C26=""),"",IFERROR(E26 / SUMIFS('📅 Resumen Diario'!$D$5:$D$504, '📅 Resumen Diario'!$B$5:$B$504, B26, '📅 Resumen Diario'!$C$5:$C$504, D26) * SUMIFS('📅 Resumen Diario'!$K$5:$K$504, '📅 Resumen Diario'!$B$5:$B$504, B26, '📅 Resumen Diario'!$C$5:$C$504, D26), 0))</f>
        <v>2189.1643424438416</v>
      </c>
      <c r="M26" s="31">
        <f t="shared" si="3"/>
        <v>41.4</v>
      </c>
      <c r="N26" s="31">
        <f t="shared" si="4"/>
        <v>2230.5643424438417</v>
      </c>
      <c r="O26" s="31">
        <f>IF(OR(B26="",C26=""),"",K26-N26 + IFERROR(E26 / SUMIFS('📅 Resumen Diario'!$D$5:$D$504, '📅 Resumen Diario'!$B$5:$B$504, B26, '📅 Resumen Diario'!$C$5:$C$504, D26) * (SUMIFS('📋 Detalle Diario'!$E$5:$E$489, '📋 Detalle Diario'!$B$5:$B$489, B26, '📋 Detalle Diario'!$C$5:$C$489, D26) * 135 + SUMIFS('📋 Detalle Diario'!$I$5:$I$489, '📋 Detalle Diario'!$B$5:$B$489, B26, '📋 Detalle Diario'!$C$5:$C$489, D26) * 200), 0))</f>
        <v>114.35565755615789</v>
      </c>
      <c r="P26" s="32">
        <f t="shared" si="5"/>
        <v>4.8767402536614435E-2</v>
      </c>
      <c r="Q26" s="33" t="str">
        <f t="shared" si="6"/>
        <v>2026-05</v>
      </c>
    </row>
    <row r="27" spans="2:17" ht="18" customHeight="1" x14ac:dyDescent="0.25">
      <c r="B27" s="26" t="s">
        <v>76</v>
      </c>
      <c r="C27" s="28" t="s">
        <v>137</v>
      </c>
      <c r="D27" s="27" t="s">
        <v>72</v>
      </c>
      <c r="E27" s="29">
        <v>48</v>
      </c>
      <c r="F27" s="29">
        <v>0</v>
      </c>
      <c r="G27" s="29">
        <v>576</v>
      </c>
      <c r="H27" s="30">
        <f t="shared" si="0"/>
        <v>576</v>
      </c>
      <c r="I27" s="31">
        <f>IF(OR(B27="",C27=""),"",IFERROR(E27*IF(E27="",0,VLOOKUP(C27,'📦 Precios Proforma'!$B$5:$D$104,IF(D27="DIA",2,3),FALSE)),0))</f>
        <v>266.88</v>
      </c>
      <c r="J27" s="31">
        <f t="shared" si="1"/>
        <v>581.76</v>
      </c>
      <c r="K27" s="31">
        <f t="shared" si="2"/>
        <v>848.64</v>
      </c>
      <c r="L27" s="31">
        <f>IF(OR(B27="",C27=""),"",IFERROR(E27 / SUMIFS('📅 Resumen Diario'!$D$5:$D$504, '📅 Resumen Diario'!$B$5:$B$504, B27, '📅 Resumen Diario'!$C$5:$C$504, D27) * SUMIFS('📅 Resumen Diario'!$K$5:$K$504, '📅 Resumen Diario'!$B$5:$B$504, B27, '📅 Resumen Diario'!$C$5:$C$504, D27), 0))</f>
        <v>252.59588566659713</v>
      </c>
      <c r="M27" s="31">
        <f t="shared" si="3"/>
        <v>51.839999999999996</v>
      </c>
      <c r="N27" s="31">
        <f t="shared" si="4"/>
        <v>304.43588566659713</v>
      </c>
      <c r="O27" s="31">
        <f>IF(OR(B27="",C27=""),"",K27-N27 + IFERROR(E27 / SUMIFS('📅 Resumen Diario'!$D$5:$D$504, '📅 Resumen Diario'!$B$5:$B$504, B27, '📅 Resumen Diario'!$C$5:$C$504, D27) * (SUMIFS('📋 Detalle Diario'!$E$5:$E$489, '📋 Detalle Diario'!$B$5:$B$489, B27, '📋 Detalle Diario'!$C$5:$C$489, D27) * 135 + SUMIFS('📋 Detalle Diario'!$I$5:$I$489, '📋 Detalle Diario'!$B$5:$B$489, B27, '📋 Detalle Diario'!$C$5:$C$489, D27) * 200), 0))</f>
        <v>544.20411433340291</v>
      </c>
      <c r="P27" s="32">
        <f t="shared" si="5"/>
        <v>0.6412661603664721</v>
      </c>
      <c r="Q27" s="33" t="str">
        <f t="shared" si="6"/>
        <v>2026-05</v>
      </c>
    </row>
    <row r="28" spans="2:17" ht="18" customHeight="1" x14ac:dyDescent="0.25">
      <c r="B28" s="26" t="s">
        <v>76</v>
      </c>
      <c r="C28" s="17" t="s">
        <v>140</v>
      </c>
      <c r="D28" s="27" t="s">
        <v>72</v>
      </c>
      <c r="E28" s="18">
        <v>252</v>
      </c>
      <c r="F28" s="18">
        <v>0</v>
      </c>
      <c r="G28" s="18">
        <v>252</v>
      </c>
      <c r="H28" s="30">
        <f t="shared" si="0"/>
        <v>252</v>
      </c>
      <c r="I28" s="31">
        <f>IF(OR(B28="",C28=""),"",IFERROR(E28*IF(E28="",0,VLOOKUP(C28,'📦 Precios Proforma'!$B$5:$D$104,IF(D28="DIA",2,3),FALSE)),0))</f>
        <v>1093.68</v>
      </c>
      <c r="J28" s="31">
        <f t="shared" si="1"/>
        <v>254.52</v>
      </c>
      <c r="K28" s="31">
        <f t="shared" si="2"/>
        <v>1348.2</v>
      </c>
      <c r="L28" s="31">
        <f>IF(OR(B28="",C28=""),"",IFERROR(E28 / SUMIFS('📅 Resumen Diario'!$D$5:$D$504, '📅 Resumen Diario'!$B$5:$B$504, B28, '📅 Resumen Diario'!$C$5:$C$504, D28) * SUMIFS('📅 Resumen Diario'!$K$5:$K$504, '📅 Resumen Diario'!$B$5:$B$504, B28, '📅 Resumen Diario'!$C$5:$C$504, D28), 0))</f>
        <v>1326.1283997496348</v>
      </c>
      <c r="M28" s="31">
        <f t="shared" si="3"/>
        <v>22.68</v>
      </c>
      <c r="N28" s="31">
        <f t="shared" si="4"/>
        <v>1348.8083997496349</v>
      </c>
      <c r="O28" s="31">
        <f>IF(OR(B28="",C28=""),"",K28-N28 + IFERROR(E28 / SUMIFS('📅 Resumen Diario'!$D$5:$D$504, '📅 Resumen Diario'!$B$5:$B$504, B28, '📅 Resumen Diario'!$C$5:$C$504, D28) * (SUMIFS('📋 Detalle Diario'!$E$5:$E$489, '📋 Detalle Diario'!$B$5:$B$489, B28, '📋 Detalle Diario'!$C$5:$C$489, D28) * 135 + SUMIFS('📋 Detalle Diario'!$I$5:$I$489, '📋 Detalle Diario'!$B$5:$B$489, B28, '📋 Detalle Diario'!$C$5:$C$489, D28) * 200), 0))</f>
        <v>-0.60839974963482746</v>
      </c>
      <c r="P28" s="32">
        <f t="shared" si="5"/>
        <v>-4.5126817210712613E-4</v>
      </c>
      <c r="Q28" s="33" t="str">
        <f t="shared" si="6"/>
        <v>2026-05</v>
      </c>
    </row>
    <row r="29" spans="2:17" ht="18" customHeight="1" x14ac:dyDescent="0.25">
      <c r="B29" s="26" t="s">
        <v>76</v>
      </c>
      <c r="C29" s="28" t="s">
        <v>134</v>
      </c>
      <c r="D29" s="27" t="s">
        <v>72</v>
      </c>
      <c r="E29" s="29">
        <v>2.6</v>
      </c>
      <c r="F29" s="29">
        <v>0</v>
      </c>
      <c r="G29" s="29">
        <v>0</v>
      </c>
      <c r="H29" s="30">
        <f t="shared" si="0"/>
        <v>0</v>
      </c>
      <c r="I29" s="31">
        <f>IF(OR(B29="",C29=""),"",IFERROR(E29*IF(E29="",0,VLOOKUP(C29,'📦 Precios Proforma'!$B$5:$D$104,IF(D29="DIA",2,3),FALSE)),0))</f>
        <v>117</v>
      </c>
      <c r="J29" s="31">
        <f t="shared" si="1"/>
        <v>0</v>
      </c>
      <c r="K29" s="31">
        <f t="shared" si="2"/>
        <v>117</v>
      </c>
      <c r="L29" s="31">
        <f>IF(OR(B29="",C29=""),"",IFERROR(E29 / SUMIFS('📅 Resumen Diario'!$D$5:$D$504, '📅 Resumen Diario'!$B$5:$B$504, B29, '📅 Resumen Diario'!$C$5:$C$504, D29) * SUMIFS('📅 Resumen Diario'!$K$5:$K$504, '📅 Resumen Diario'!$B$5:$B$504, B29, '📅 Resumen Diario'!$C$5:$C$504, D29), 0))</f>
        <v>13.68227714027401</v>
      </c>
      <c r="M29" s="31">
        <f t="shared" si="3"/>
        <v>0</v>
      </c>
      <c r="N29" s="31">
        <f t="shared" si="4"/>
        <v>13.68227714027401</v>
      </c>
      <c r="O29" s="31">
        <f>IF(OR(B29="",C29=""),"",K29-N29 + IFERROR(E29 / SUMIFS('📅 Resumen Diario'!$D$5:$D$504, '📅 Resumen Diario'!$B$5:$B$504, B29, '📅 Resumen Diario'!$C$5:$C$504, D29) * (SUMIFS('📋 Detalle Diario'!$E$5:$E$489, '📋 Detalle Diario'!$B$5:$B$489, B29, '📋 Detalle Diario'!$C$5:$C$489, D29) * 135 + SUMIFS('📋 Detalle Diario'!$I$5:$I$489, '📋 Detalle Diario'!$B$5:$B$489, B29, '📋 Detalle Diario'!$C$5:$C$489, D29) * 200), 0))</f>
        <v>103.31772285972599</v>
      </c>
      <c r="P29" s="32">
        <f t="shared" si="5"/>
        <v>0.88305746033953836</v>
      </c>
      <c r="Q29" s="33" t="str">
        <f t="shared" si="6"/>
        <v>2026-05</v>
      </c>
    </row>
    <row r="30" spans="2:17" ht="18" customHeight="1" x14ac:dyDescent="0.25">
      <c r="B30" s="26" t="s">
        <v>76</v>
      </c>
      <c r="C30" s="17" t="s">
        <v>141</v>
      </c>
      <c r="D30" s="27" t="s">
        <v>73</v>
      </c>
      <c r="E30" s="18">
        <v>480</v>
      </c>
      <c r="F30" s="18">
        <v>0</v>
      </c>
      <c r="G30" s="18">
        <v>480</v>
      </c>
      <c r="H30" s="30">
        <f t="shared" si="0"/>
        <v>480</v>
      </c>
      <c r="I30" s="31">
        <f>IF(OR(B30="",C30=""),"",IFERROR(E30*IF(E30="",0,VLOOKUP(C30,'📦 Precios Proforma'!$B$5:$D$104,IF(D30="DIA",2,3),FALSE)),0))</f>
        <v>3960</v>
      </c>
      <c r="J30" s="31">
        <f t="shared" si="1"/>
        <v>648</v>
      </c>
      <c r="K30" s="31">
        <f t="shared" si="2"/>
        <v>4608</v>
      </c>
      <c r="L30" s="31">
        <f>IF(OR(B30="",C30=""),"",IFERROR(E30 / SUMIFS('📅 Resumen Diario'!$D$5:$D$504, '📅 Resumen Diario'!$B$5:$B$504, B30, '📅 Resumen Diario'!$C$5:$C$504, D30) * SUMIFS('📅 Resumen Diario'!$K$5:$K$504, '📅 Resumen Diario'!$B$5:$B$504, B30, '📅 Resumen Diario'!$C$5:$C$504, D30), 0))</f>
        <v>3941.604259567388</v>
      </c>
      <c r="M30" s="31">
        <f t="shared" si="3"/>
        <v>43.199999999999996</v>
      </c>
      <c r="N30" s="31">
        <f t="shared" si="4"/>
        <v>3984.8042595673878</v>
      </c>
      <c r="O30" s="31">
        <f>IF(OR(B30="",C30=""),"",K30-N30 + IFERROR(E30 / SUMIFS('📅 Resumen Diario'!$D$5:$D$504, '📅 Resumen Diario'!$B$5:$B$504, B30, '📅 Resumen Diario'!$C$5:$C$504, D30) * (SUMIFS('📋 Detalle Diario'!$E$5:$E$489, '📋 Detalle Diario'!$B$5:$B$489, B30, '📋 Detalle Diario'!$C$5:$C$489, D30) * 135 + SUMIFS('📋 Detalle Diario'!$I$5:$I$489, '📋 Detalle Diario'!$B$5:$B$489, B30, '📋 Detalle Diario'!$C$5:$C$489, D30) * 200), 0))</f>
        <v>623.19574043261218</v>
      </c>
      <c r="P30" s="32">
        <f t="shared" si="5"/>
        <v>0.13524213117027173</v>
      </c>
      <c r="Q30" s="33" t="str">
        <f t="shared" si="6"/>
        <v>2026-05</v>
      </c>
    </row>
    <row r="31" spans="2:17" ht="18" customHeight="1" x14ac:dyDescent="0.25">
      <c r="B31" s="26" t="s">
        <v>76</v>
      </c>
      <c r="C31" s="28" t="s">
        <v>132</v>
      </c>
      <c r="D31" s="27" t="s">
        <v>73</v>
      </c>
      <c r="E31" s="29">
        <v>120</v>
      </c>
      <c r="F31" s="29">
        <v>120</v>
      </c>
      <c r="G31" s="29">
        <v>480</v>
      </c>
      <c r="H31" s="30">
        <f t="shared" si="0"/>
        <v>600</v>
      </c>
      <c r="I31" s="31">
        <f>IF(OR(B31="",C31=""),"",IFERROR(E31*IF(E31="",0,VLOOKUP(C31,'📦 Precios Proforma'!$B$5:$D$104,IF(D31="DIA",2,3),FALSE)),0))</f>
        <v>723.6</v>
      </c>
      <c r="J31" s="31">
        <f t="shared" si="1"/>
        <v>810</v>
      </c>
      <c r="K31" s="31">
        <f t="shared" si="2"/>
        <v>1533.6</v>
      </c>
      <c r="L31" s="31">
        <f>IF(OR(B31="",C31=""),"",IFERROR(E31 / SUMIFS('📅 Resumen Diario'!$D$5:$D$504, '📅 Resumen Diario'!$B$5:$B$504, B31, '📅 Resumen Diario'!$C$5:$C$504, D31) * SUMIFS('📅 Resumen Diario'!$K$5:$K$504, '📅 Resumen Diario'!$B$5:$B$504, B31, '📅 Resumen Diario'!$C$5:$C$504, D31), 0))</f>
        <v>985.401064891847</v>
      </c>
      <c r="M31" s="31">
        <f t="shared" si="3"/>
        <v>54</v>
      </c>
      <c r="N31" s="31">
        <f t="shared" si="4"/>
        <v>1039.401064891847</v>
      </c>
      <c r="O31" s="31">
        <f>IF(OR(B31="",C31=""),"",K31-N31 + IFERROR(E31 / SUMIFS('📅 Resumen Diario'!$D$5:$D$504, '📅 Resumen Diario'!$B$5:$B$504, B31, '📅 Resumen Diario'!$C$5:$C$504, D31) * (SUMIFS('📋 Detalle Diario'!$E$5:$E$489, '📋 Detalle Diario'!$B$5:$B$489, B31, '📋 Detalle Diario'!$C$5:$C$489, D31) * 135 + SUMIFS('📋 Detalle Diario'!$I$5:$I$489, '📋 Detalle Diario'!$B$5:$B$489, B31, '📋 Detalle Diario'!$C$5:$C$489, D31) * 200), 0))</f>
        <v>494.19893510815291</v>
      </c>
      <c r="P31" s="32">
        <f t="shared" si="5"/>
        <v>0.32224761026874865</v>
      </c>
      <c r="Q31" s="33" t="str">
        <f t="shared" si="6"/>
        <v>2026-05</v>
      </c>
    </row>
    <row r="32" spans="2:17" ht="18" customHeight="1" x14ac:dyDescent="0.25">
      <c r="B32" s="26" t="s">
        <v>76</v>
      </c>
      <c r="C32" s="17" t="s">
        <v>135</v>
      </c>
      <c r="D32" s="27" t="s">
        <v>73</v>
      </c>
      <c r="E32" s="18">
        <v>1</v>
      </c>
      <c r="F32" s="18">
        <v>0</v>
      </c>
      <c r="G32" s="18">
        <v>0</v>
      </c>
      <c r="H32" s="30">
        <f t="shared" si="0"/>
        <v>0</v>
      </c>
      <c r="I32" s="31">
        <f>IF(OR(B32="",C32=""),"",IFERROR(E32*IF(E32="",0,VLOOKUP(C32,'📦 Precios Proforma'!$B$5:$D$104,IF(D32="DIA",2,3),FALSE)),0))</f>
        <v>60</v>
      </c>
      <c r="J32" s="31">
        <f t="shared" si="1"/>
        <v>0</v>
      </c>
      <c r="K32" s="31">
        <f t="shared" si="2"/>
        <v>60</v>
      </c>
      <c r="L32" s="31">
        <f>IF(OR(B32="",C32=""),"",IFERROR(E32 / SUMIFS('📅 Resumen Diario'!$D$5:$D$504, '📅 Resumen Diario'!$B$5:$B$504, B32, '📅 Resumen Diario'!$C$5:$C$504, D32) * SUMIFS('📅 Resumen Diario'!$K$5:$K$504, '📅 Resumen Diario'!$B$5:$B$504, B32, '📅 Resumen Diario'!$C$5:$C$504, D32), 0))</f>
        <v>8.211675540765393</v>
      </c>
      <c r="M32" s="31">
        <f t="shared" si="3"/>
        <v>0</v>
      </c>
      <c r="N32" s="31">
        <f t="shared" si="4"/>
        <v>8.211675540765393</v>
      </c>
      <c r="O32" s="31">
        <f>IF(OR(B32="",C32=""),"",K32-N32 + IFERROR(E32 / SUMIFS('📅 Resumen Diario'!$D$5:$D$504, '📅 Resumen Diario'!$B$5:$B$504, B32, '📅 Resumen Diario'!$C$5:$C$504, D32) * (SUMIFS('📋 Detalle Diario'!$E$5:$E$489, '📋 Detalle Diario'!$B$5:$B$489, B32, '📋 Detalle Diario'!$C$5:$C$489, D32) * 135 + SUMIFS('📋 Detalle Diario'!$I$5:$I$489, '📋 Detalle Diario'!$B$5:$B$489, B32, '📋 Detalle Diario'!$C$5:$C$489, D32) * 200), 0))</f>
        <v>51.788324459234609</v>
      </c>
      <c r="P32" s="32">
        <f t="shared" si="5"/>
        <v>0.86313874098724352</v>
      </c>
      <c r="Q32" s="33" t="str">
        <f t="shared" si="6"/>
        <v>2026-05</v>
      </c>
    </row>
    <row r="33" spans="2:17" ht="18" customHeight="1" x14ac:dyDescent="0.25">
      <c r="B33" s="26" t="s">
        <v>77</v>
      </c>
      <c r="C33" s="28" t="s">
        <v>130</v>
      </c>
      <c r="D33" s="27" t="s">
        <v>72</v>
      </c>
      <c r="E33" s="29">
        <v>135</v>
      </c>
      <c r="F33" s="29">
        <v>135</v>
      </c>
      <c r="G33" s="29">
        <v>270</v>
      </c>
      <c r="H33" s="30">
        <f t="shared" si="0"/>
        <v>405</v>
      </c>
      <c r="I33" s="31">
        <f>IF(OR(B33="",C33=""),"",IFERROR(E33*IF(E33="",0,VLOOKUP(C33,'📦 Precios Proforma'!$B$5:$D$104,IF(D33="DIA",2,3),FALSE)),0))</f>
        <v>610.19999999999993</v>
      </c>
      <c r="J33" s="31">
        <f t="shared" si="1"/>
        <v>409.05</v>
      </c>
      <c r="K33" s="31">
        <f t="shared" si="2"/>
        <v>1019.25</v>
      </c>
      <c r="L33" s="31">
        <f>IF(OR(B33="",C33=""),"",IFERROR(E33 / SUMIFS('📅 Resumen Diario'!$D$5:$D$504, '📅 Resumen Diario'!$B$5:$B$504, B33, '📅 Resumen Diario'!$C$5:$C$504, D33) * SUMIFS('📅 Resumen Diario'!$K$5:$K$504, '📅 Resumen Diario'!$B$5:$B$504, B33, '📅 Resumen Diario'!$C$5:$C$504, D33), 0))</f>
        <v>1127.5071109271523</v>
      </c>
      <c r="M33" s="31">
        <f t="shared" si="3"/>
        <v>36.449999999999996</v>
      </c>
      <c r="N33" s="31">
        <f t="shared" si="4"/>
        <v>1163.9571109271524</v>
      </c>
      <c r="O33" s="31">
        <f>IF(OR(B33="",C33=""),"",K33-N33 + IFERROR(E33 / SUMIFS('📅 Resumen Diario'!$D$5:$D$504, '📅 Resumen Diario'!$B$5:$B$504, B33, '📅 Resumen Diario'!$C$5:$C$504, D33) * (SUMIFS('📋 Detalle Diario'!$E$5:$E$489, '📋 Detalle Diario'!$B$5:$B$489, B33, '📋 Detalle Diario'!$C$5:$C$489, D33) * 135 + SUMIFS('📋 Detalle Diario'!$I$5:$I$489, '📋 Detalle Diario'!$B$5:$B$489, B33, '📋 Detalle Diario'!$C$5:$C$489, D33) * 200), 0))</f>
        <v>-144.70711092715237</v>
      </c>
      <c r="P33" s="32">
        <f t="shared" si="5"/>
        <v>-0.14197410932269058</v>
      </c>
      <c r="Q33" s="33" t="str">
        <f t="shared" si="6"/>
        <v>2026-05</v>
      </c>
    </row>
    <row r="34" spans="2:17" ht="18" customHeight="1" x14ac:dyDescent="0.25">
      <c r="B34" s="26" t="s">
        <v>77</v>
      </c>
      <c r="C34" s="17" t="s">
        <v>142</v>
      </c>
      <c r="D34" s="27" t="s">
        <v>72</v>
      </c>
      <c r="E34" s="18">
        <v>260</v>
      </c>
      <c r="F34" s="18">
        <v>0</v>
      </c>
      <c r="G34" s="18">
        <v>260</v>
      </c>
      <c r="H34" s="30">
        <f t="shared" si="0"/>
        <v>260</v>
      </c>
      <c r="I34" s="31">
        <f>IF(OR(B34="",C34=""),"",IFERROR(E34*IF(E34="",0,VLOOKUP(C34,'📦 Precios Proforma'!$B$5:$D$104,IF(D34="DIA",2,3),FALSE)),0))</f>
        <v>1609.4</v>
      </c>
      <c r="J34" s="31">
        <f t="shared" si="1"/>
        <v>262.60000000000002</v>
      </c>
      <c r="K34" s="31">
        <f t="shared" si="2"/>
        <v>1872</v>
      </c>
      <c r="L34" s="31">
        <f>IF(OR(B34="",C34=""),"",IFERROR(E34 / SUMIFS('📅 Resumen Diario'!$D$5:$D$504, '📅 Resumen Diario'!$B$5:$B$504, B34, '📅 Resumen Diario'!$C$5:$C$504, D34) * SUMIFS('📅 Resumen Diario'!$K$5:$K$504, '📅 Resumen Diario'!$B$5:$B$504, B34, '📅 Resumen Diario'!$C$5:$C$504, D34), 0))</f>
        <v>2171.4951766004415</v>
      </c>
      <c r="M34" s="31">
        <f t="shared" si="3"/>
        <v>23.4</v>
      </c>
      <c r="N34" s="31">
        <f t="shared" si="4"/>
        <v>2194.8951766004416</v>
      </c>
      <c r="O34" s="31">
        <f>IF(OR(B34="",C34=""),"",K34-N34 + IFERROR(E34 / SUMIFS('📅 Resumen Diario'!$D$5:$D$504, '📅 Resumen Diario'!$B$5:$B$504, B34, '📅 Resumen Diario'!$C$5:$C$504, D34) * (SUMIFS('📋 Detalle Diario'!$E$5:$E$489, '📋 Detalle Diario'!$B$5:$B$489, B34, '📋 Detalle Diario'!$C$5:$C$489, D34) * 135 + SUMIFS('📋 Detalle Diario'!$I$5:$I$489, '📋 Detalle Diario'!$B$5:$B$489, B34, '📋 Detalle Diario'!$C$5:$C$489, D34) * 200), 0))</f>
        <v>-322.89517660044157</v>
      </c>
      <c r="P34" s="32">
        <f t="shared" si="5"/>
        <v>-0.17248673963698802</v>
      </c>
      <c r="Q34" s="33" t="str">
        <f t="shared" si="6"/>
        <v>2026-05</v>
      </c>
    </row>
    <row r="35" spans="2:17" ht="18" customHeight="1" x14ac:dyDescent="0.25">
      <c r="B35" s="26" t="s">
        <v>77</v>
      </c>
      <c r="C35" s="28" t="s">
        <v>143</v>
      </c>
      <c r="D35" s="27" t="s">
        <v>72</v>
      </c>
      <c r="E35" s="29">
        <v>120</v>
      </c>
      <c r="F35" s="29">
        <v>0</v>
      </c>
      <c r="G35" s="29">
        <v>120</v>
      </c>
      <c r="H35" s="30">
        <f t="shared" si="0"/>
        <v>120</v>
      </c>
      <c r="I35" s="31">
        <f>IF(OR(B35="",C35=""),"",IFERROR(E35*IF(E35="",0,VLOOKUP(C35,'📦 Precios Proforma'!$B$5:$D$104,IF(D35="DIA",2,3),FALSE)),0))</f>
        <v>568.80000000000007</v>
      </c>
      <c r="J35" s="31">
        <f t="shared" si="1"/>
        <v>121.2</v>
      </c>
      <c r="K35" s="31">
        <f t="shared" si="2"/>
        <v>690.00000000000011</v>
      </c>
      <c r="L35" s="31">
        <f>IF(OR(B35="",C35=""),"",IFERROR(E35 / SUMIFS('📅 Resumen Diario'!$D$5:$D$504, '📅 Resumen Diario'!$B$5:$B$504, B35, '📅 Resumen Diario'!$C$5:$C$504, D35) * SUMIFS('📅 Resumen Diario'!$K$5:$K$504, '📅 Resumen Diario'!$B$5:$B$504, B35, '📅 Resumen Diario'!$C$5:$C$504, D35), 0))</f>
        <v>1002.2285430463576</v>
      </c>
      <c r="M35" s="31">
        <f t="shared" si="3"/>
        <v>10.799999999999999</v>
      </c>
      <c r="N35" s="31">
        <f t="shared" si="4"/>
        <v>1013.0285430463575</v>
      </c>
      <c r="O35" s="31">
        <f>IF(OR(B35="",C35=""),"",K35-N35 + IFERROR(E35 / SUMIFS('📅 Resumen Diario'!$D$5:$D$504, '📅 Resumen Diario'!$B$5:$B$504, B35, '📅 Resumen Diario'!$C$5:$C$504, D35) * (SUMIFS('📋 Detalle Diario'!$E$5:$E$489, '📋 Detalle Diario'!$B$5:$B$489, B35, '📋 Detalle Diario'!$C$5:$C$489, D35) * 135 + SUMIFS('📋 Detalle Diario'!$I$5:$I$489, '📋 Detalle Diario'!$B$5:$B$489, B35, '📋 Detalle Diario'!$C$5:$C$489, D35) * 200), 0))</f>
        <v>-323.02854304635741</v>
      </c>
      <c r="P35" s="32">
        <f t="shared" si="5"/>
        <v>-0.46815730876283673</v>
      </c>
      <c r="Q35" s="33" t="str">
        <f t="shared" si="6"/>
        <v>2026-05</v>
      </c>
    </row>
    <row r="36" spans="2:17" ht="18" customHeight="1" x14ac:dyDescent="0.25">
      <c r="B36" s="26" t="s">
        <v>77</v>
      </c>
      <c r="C36" s="17" t="s">
        <v>138</v>
      </c>
      <c r="D36" s="27" t="s">
        <v>72</v>
      </c>
      <c r="E36" s="18">
        <v>40</v>
      </c>
      <c r="F36" s="18">
        <v>0</v>
      </c>
      <c r="G36" s="18">
        <v>40</v>
      </c>
      <c r="H36" s="30">
        <f t="shared" si="0"/>
        <v>40</v>
      </c>
      <c r="I36" s="31">
        <f>IF(OR(B36="",C36=""),"",IFERROR(E36*IF(E36="",0,VLOOKUP(C36,'📦 Precios Proforma'!$B$5:$D$104,IF(D36="DIA",2,3),FALSE)),0))</f>
        <v>173.6</v>
      </c>
      <c r="J36" s="31">
        <f t="shared" si="1"/>
        <v>40.4</v>
      </c>
      <c r="K36" s="31">
        <f t="shared" si="2"/>
        <v>214</v>
      </c>
      <c r="L36" s="31">
        <f>IF(OR(B36="",C36=""),"",IFERROR(E36 / SUMIFS('📅 Resumen Diario'!$D$5:$D$504, '📅 Resumen Diario'!$B$5:$B$504, B36, '📅 Resumen Diario'!$C$5:$C$504, D36) * SUMIFS('📅 Resumen Diario'!$K$5:$K$504, '📅 Resumen Diario'!$B$5:$B$504, B36, '📅 Resumen Diario'!$C$5:$C$504, D36), 0))</f>
        <v>334.07618101545256</v>
      </c>
      <c r="M36" s="31">
        <f t="shared" si="3"/>
        <v>3.5999999999999996</v>
      </c>
      <c r="N36" s="31">
        <f t="shared" si="4"/>
        <v>337.67618101545258</v>
      </c>
      <c r="O36" s="31">
        <f>IF(OR(B36="",C36=""),"",K36-N36 + IFERROR(E36 / SUMIFS('📅 Resumen Diario'!$D$5:$D$504, '📅 Resumen Diario'!$B$5:$B$504, B36, '📅 Resumen Diario'!$C$5:$C$504, D36) * (SUMIFS('📋 Detalle Diario'!$E$5:$E$489, '📋 Detalle Diario'!$B$5:$B$489, B36, '📋 Detalle Diario'!$C$5:$C$489, D36) * 135 + SUMIFS('📋 Detalle Diario'!$I$5:$I$489, '📋 Detalle Diario'!$B$5:$B$489, B36, '📋 Detalle Diario'!$C$5:$C$489, D36) * 200), 0))</f>
        <v>-123.67618101545258</v>
      </c>
      <c r="P36" s="32">
        <f t="shared" si="5"/>
        <v>-0.57792607951146069</v>
      </c>
      <c r="Q36" s="33" t="str">
        <f t="shared" si="6"/>
        <v>2026-05</v>
      </c>
    </row>
    <row r="37" spans="2:17" ht="18" customHeight="1" x14ac:dyDescent="0.25">
      <c r="B37" s="26" t="s">
        <v>77</v>
      </c>
      <c r="C37" s="28" t="s">
        <v>134</v>
      </c>
      <c r="D37" s="27" t="s">
        <v>72</v>
      </c>
      <c r="E37" s="29">
        <v>15</v>
      </c>
      <c r="F37" s="29">
        <v>0</v>
      </c>
      <c r="G37" s="29">
        <v>0</v>
      </c>
      <c r="H37" s="30">
        <f t="shared" si="0"/>
        <v>0</v>
      </c>
      <c r="I37" s="31">
        <f>IF(OR(B37="",C37=""),"",IFERROR(E37*IF(E37="",0,VLOOKUP(C37,'📦 Precios Proforma'!$B$5:$D$104,IF(D37="DIA",2,3),FALSE)),0))</f>
        <v>675</v>
      </c>
      <c r="J37" s="31">
        <f t="shared" si="1"/>
        <v>0</v>
      </c>
      <c r="K37" s="31">
        <f t="shared" si="2"/>
        <v>675</v>
      </c>
      <c r="L37" s="31">
        <f>IF(OR(B37="",C37=""),"",IFERROR(E37 / SUMIFS('📅 Resumen Diario'!$D$5:$D$504, '📅 Resumen Diario'!$B$5:$B$504, B37, '📅 Resumen Diario'!$C$5:$C$504, D37) * SUMIFS('📅 Resumen Diario'!$K$5:$K$504, '📅 Resumen Diario'!$B$5:$B$504, B37, '📅 Resumen Diario'!$C$5:$C$504, D37), 0))</f>
        <v>125.2785678807947</v>
      </c>
      <c r="M37" s="31">
        <f t="shared" si="3"/>
        <v>0</v>
      </c>
      <c r="N37" s="31">
        <f t="shared" si="4"/>
        <v>125.2785678807947</v>
      </c>
      <c r="O37" s="31">
        <f>IF(OR(B37="",C37=""),"",K37-N37 + IFERROR(E37 / SUMIFS('📅 Resumen Diario'!$D$5:$D$504, '📅 Resumen Diario'!$B$5:$B$504, B37, '📅 Resumen Diario'!$C$5:$C$504, D37) * (SUMIFS('📋 Detalle Diario'!$E$5:$E$489, '📋 Detalle Diario'!$B$5:$B$489, B37, '📋 Detalle Diario'!$C$5:$C$489, D37) * 135 + SUMIFS('📋 Detalle Diario'!$I$5:$I$489, '📋 Detalle Diario'!$B$5:$B$489, B37, '📋 Detalle Diario'!$C$5:$C$489, D37) * 200), 0))</f>
        <v>549.72143211920525</v>
      </c>
      <c r="P37" s="32">
        <f t="shared" si="5"/>
        <v>0.8144021216580819</v>
      </c>
      <c r="Q37" s="33" t="str">
        <f t="shared" si="6"/>
        <v>2026-05</v>
      </c>
    </row>
    <row r="38" spans="2:17" ht="18" customHeight="1" x14ac:dyDescent="0.25">
      <c r="B38" s="26" t="s">
        <v>77</v>
      </c>
      <c r="C38" s="17" t="s">
        <v>131</v>
      </c>
      <c r="D38" s="27" t="s">
        <v>72</v>
      </c>
      <c r="E38" s="18">
        <v>4</v>
      </c>
      <c r="F38" s="18">
        <v>0</v>
      </c>
      <c r="G38" s="18">
        <v>0</v>
      </c>
      <c r="H38" s="30">
        <f t="shared" si="0"/>
        <v>0</v>
      </c>
      <c r="I38" s="31">
        <f>IF(OR(B38="",C38=""),"",IFERROR(E38*IF(E38="",0,VLOOKUP(C38,'📦 Precios Proforma'!$B$5:$D$104,IF(D38="DIA",2,3),FALSE)),0))</f>
        <v>180</v>
      </c>
      <c r="J38" s="31">
        <f t="shared" si="1"/>
        <v>0</v>
      </c>
      <c r="K38" s="31">
        <f t="shared" si="2"/>
        <v>180</v>
      </c>
      <c r="L38" s="31">
        <f>IF(OR(B38="",C38=""),"",IFERROR(E38 / SUMIFS('📅 Resumen Diario'!$D$5:$D$504, '📅 Resumen Diario'!$B$5:$B$504, B38, '📅 Resumen Diario'!$C$5:$C$504, D38) * SUMIFS('📅 Resumen Diario'!$K$5:$K$504, '📅 Resumen Diario'!$B$5:$B$504, B38, '📅 Resumen Diario'!$C$5:$C$504, D38), 0))</f>
        <v>33.407618101545253</v>
      </c>
      <c r="M38" s="31">
        <f t="shared" si="3"/>
        <v>0</v>
      </c>
      <c r="N38" s="31">
        <f t="shared" si="4"/>
        <v>33.407618101545253</v>
      </c>
      <c r="O38" s="31">
        <f>IF(OR(B38="",C38=""),"",K38-N38 + IFERROR(E38 / SUMIFS('📅 Resumen Diario'!$D$5:$D$504, '📅 Resumen Diario'!$B$5:$B$504, B38, '📅 Resumen Diario'!$C$5:$C$504, D38) * (SUMIFS('📋 Detalle Diario'!$E$5:$E$489, '📋 Detalle Diario'!$B$5:$B$489, B38, '📋 Detalle Diario'!$C$5:$C$489, D38) * 135 + SUMIFS('📋 Detalle Diario'!$I$5:$I$489, '📋 Detalle Diario'!$B$5:$B$489, B38, '📋 Detalle Diario'!$C$5:$C$489, D38) * 200), 0))</f>
        <v>146.59238189845473</v>
      </c>
      <c r="P38" s="32">
        <f t="shared" si="5"/>
        <v>0.8144021216580819</v>
      </c>
      <c r="Q38" s="33" t="str">
        <f t="shared" si="6"/>
        <v>2026-05</v>
      </c>
    </row>
    <row r="39" spans="2:17" ht="18" customHeight="1" x14ac:dyDescent="0.25">
      <c r="B39" s="26" t="s">
        <v>77</v>
      </c>
      <c r="C39" s="28" t="s">
        <v>136</v>
      </c>
      <c r="D39" s="27" t="s">
        <v>72</v>
      </c>
      <c r="E39" s="29">
        <v>30</v>
      </c>
      <c r="F39" s="29">
        <v>0</v>
      </c>
      <c r="G39" s="29">
        <v>270</v>
      </c>
      <c r="H39" s="30">
        <f t="shared" si="0"/>
        <v>270</v>
      </c>
      <c r="I39" s="31">
        <f>IF(OR(B39="",C39=""),"",IFERROR(E39*IF(E39="",0,VLOOKUP(C39,'📦 Precios Proforma'!$B$5:$D$104,IF(D39="DIA",2,3),FALSE)),0))</f>
        <v>135.6</v>
      </c>
      <c r="J39" s="31">
        <f t="shared" si="1"/>
        <v>272.7</v>
      </c>
      <c r="K39" s="31">
        <f t="shared" si="2"/>
        <v>408.29999999999995</v>
      </c>
      <c r="L39" s="31">
        <f>IF(OR(B39="",C39=""),"",IFERROR(E39 / SUMIFS('📅 Resumen Diario'!$D$5:$D$504, '📅 Resumen Diario'!$B$5:$B$504, B39, '📅 Resumen Diario'!$C$5:$C$504, D39) * SUMIFS('📅 Resumen Diario'!$K$5:$K$504, '📅 Resumen Diario'!$B$5:$B$504, B39, '📅 Resumen Diario'!$C$5:$C$504, D39), 0))</f>
        <v>250.55713576158939</v>
      </c>
      <c r="M39" s="31">
        <f t="shared" si="3"/>
        <v>24.3</v>
      </c>
      <c r="N39" s="31">
        <f t="shared" si="4"/>
        <v>274.8571357615894</v>
      </c>
      <c r="O39" s="31">
        <f>IF(OR(B39="",C39=""),"",K39-N39 + IFERROR(E39 / SUMIFS('📅 Resumen Diario'!$D$5:$D$504, '📅 Resumen Diario'!$B$5:$B$504, B39, '📅 Resumen Diario'!$C$5:$C$504, D39) * (SUMIFS('📋 Detalle Diario'!$E$5:$E$489, '📋 Detalle Diario'!$B$5:$B$489, B39, '📋 Detalle Diario'!$C$5:$C$489, D39) * 135 + SUMIFS('📋 Detalle Diario'!$I$5:$I$489, '📋 Detalle Diario'!$B$5:$B$489, B39, '📋 Detalle Diario'!$C$5:$C$489, D39) * 200), 0))</f>
        <v>133.44286423841055</v>
      </c>
      <c r="P39" s="32">
        <f t="shared" si="5"/>
        <v>0.32682553083127741</v>
      </c>
      <c r="Q39" s="33" t="str">
        <f t="shared" si="6"/>
        <v>2026-05</v>
      </c>
    </row>
    <row r="40" spans="2:17" ht="18" customHeight="1" x14ac:dyDescent="0.25">
      <c r="B40" s="26" t="s">
        <v>77</v>
      </c>
      <c r="C40" s="17" t="s">
        <v>133</v>
      </c>
      <c r="D40" s="27" t="s">
        <v>73</v>
      </c>
      <c r="E40" s="18">
        <v>168</v>
      </c>
      <c r="F40" s="18">
        <v>2016</v>
      </c>
      <c r="G40" s="18">
        <v>168</v>
      </c>
      <c r="H40" s="30">
        <f t="shared" si="0"/>
        <v>2184</v>
      </c>
      <c r="I40" s="31">
        <f>IF(OR(B40="",C40=""),"",IFERROR(E40*IF(E40="",0,VLOOKUP(C40,'📦 Precios Proforma'!$B$5:$D$104,IF(D40="DIA",2,3),FALSE)),0))</f>
        <v>1013.0400000000001</v>
      </c>
      <c r="J40" s="31">
        <f t="shared" si="1"/>
        <v>2948.4</v>
      </c>
      <c r="K40" s="31">
        <f t="shared" si="2"/>
        <v>3961.44</v>
      </c>
      <c r="L40" s="31">
        <f>IF(OR(B40="",C40=""),"",IFERROR(E40 / SUMIFS('📅 Resumen Diario'!$D$5:$D$504, '📅 Resumen Diario'!$B$5:$B$504, B40, '📅 Resumen Diario'!$C$5:$C$504, D40) * SUMIFS('📅 Resumen Diario'!$K$5:$K$504, '📅 Resumen Diario'!$B$5:$B$504, B40, '📅 Resumen Diario'!$C$5:$C$504, D40), 0))</f>
        <v>1483.2136958855101</v>
      </c>
      <c r="M40" s="31">
        <f t="shared" si="3"/>
        <v>196.56</v>
      </c>
      <c r="N40" s="31">
        <f t="shared" si="4"/>
        <v>1679.7736958855101</v>
      </c>
      <c r="O40" s="31">
        <f>IF(OR(B40="",C40=""),"",K40-N40 + IFERROR(E40 / SUMIFS('📅 Resumen Diario'!$D$5:$D$504, '📅 Resumen Diario'!$B$5:$B$504, B40, '📅 Resumen Diario'!$C$5:$C$504, D40) * (SUMIFS('📋 Detalle Diario'!$E$5:$E$489, '📋 Detalle Diario'!$B$5:$B$489, B40, '📋 Detalle Diario'!$C$5:$C$489, D40) * 135 + SUMIFS('📋 Detalle Diario'!$I$5:$I$489, '📋 Detalle Diario'!$B$5:$B$489, B40, '📋 Detalle Diario'!$C$5:$C$489, D40) * 200), 0))</f>
        <v>2281.6663041144902</v>
      </c>
      <c r="P40" s="32">
        <f t="shared" si="5"/>
        <v>0.57596891638255032</v>
      </c>
      <c r="Q40" s="33" t="str">
        <f t="shared" si="6"/>
        <v>2026-05</v>
      </c>
    </row>
    <row r="41" spans="2:17" ht="18" customHeight="1" x14ac:dyDescent="0.25">
      <c r="B41" s="26" t="s">
        <v>77</v>
      </c>
      <c r="C41" s="28" t="s">
        <v>136</v>
      </c>
      <c r="D41" s="27" t="s">
        <v>73</v>
      </c>
      <c r="E41" s="29">
        <v>258</v>
      </c>
      <c r="F41" s="29">
        <v>0</v>
      </c>
      <c r="G41" s="29">
        <v>1220</v>
      </c>
      <c r="H41" s="30">
        <f t="shared" si="0"/>
        <v>1220</v>
      </c>
      <c r="I41" s="31">
        <f>IF(OR(B41="",C41=""),"",IFERROR(E41*IF(E41="",0,VLOOKUP(C41,'📦 Precios Proforma'!$B$5:$D$104,IF(D41="DIA",2,3),FALSE)),0))</f>
        <v>1555.74</v>
      </c>
      <c r="J41" s="31">
        <f t="shared" si="1"/>
        <v>1647</v>
      </c>
      <c r="K41" s="31">
        <f t="shared" si="2"/>
        <v>3202.74</v>
      </c>
      <c r="L41" s="31">
        <f>IF(OR(B41="",C41=""),"",IFERROR(E41 / SUMIFS('📅 Resumen Diario'!$D$5:$D$504, '📅 Resumen Diario'!$B$5:$B$504, B41, '📅 Resumen Diario'!$C$5:$C$504, D41) * SUMIFS('📅 Resumen Diario'!$K$5:$K$504, '📅 Resumen Diario'!$B$5:$B$504, B41, '📅 Resumen Diario'!$C$5:$C$504, D41), 0))</f>
        <v>2277.7924615384618</v>
      </c>
      <c r="M41" s="31">
        <f t="shared" si="3"/>
        <v>109.8</v>
      </c>
      <c r="N41" s="31">
        <f t="shared" si="4"/>
        <v>2387.592461538462</v>
      </c>
      <c r="O41" s="31">
        <f>IF(OR(B41="",C41=""),"",K41-N41 + IFERROR(E41 / SUMIFS('📅 Resumen Diario'!$D$5:$D$504, '📅 Resumen Diario'!$B$5:$B$504, B41, '📅 Resumen Diario'!$C$5:$C$504, D41) * (SUMIFS('📋 Detalle Diario'!$E$5:$E$489, '📋 Detalle Diario'!$B$5:$B$489, B41, '📋 Detalle Diario'!$C$5:$C$489, D41) * 135 + SUMIFS('📋 Detalle Diario'!$I$5:$I$489, '📋 Detalle Diario'!$B$5:$B$489, B41, '📋 Detalle Diario'!$C$5:$C$489, D41) * 200), 0))</f>
        <v>815.14753846153781</v>
      </c>
      <c r="P41" s="32">
        <f t="shared" si="5"/>
        <v>0.2545156767210382</v>
      </c>
      <c r="Q41" s="33" t="str">
        <f t="shared" si="6"/>
        <v>2026-05</v>
      </c>
    </row>
    <row r="42" spans="2:17" ht="18" customHeight="1" x14ac:dyDescent="0.25">
      <c r="B42" s="26" t="s">
        <v>77</v>
      </c>
      <c r="C42" s="17" t="s">
        <v>137</v>
      </c>
      <c r="D42" s="27" t="s">
        <v>73</v>
      </c>
      <c r="E42" s="18">
        <v>132</v>
      </c>
      <c r="F42" s="18">
        <v>0</v>
      </c>
      <c r="G42" s="18">
        <v>1584</v>
      </c>
      <c r="H42" s="30">
        <f t="shared" si="0"/>
        <v>1584</v>
      </c>
      <c r="I42" s="31">
        <f>IF(OR(B42="",C42=""),"",IFERROR(E42*IF(E42="",0,VLOOKUP(C42,'📦 Precios Proforma'!$B$5:$D$104,IF(D42="DIA",2,3),FALSE)),0))</f>
        <v>978.12</v>
      </c>
      <c r="J42" s="31">
        <f t="shared" si="1"/>
        <v>2138.4</v>
      </c>
      <c r="K42" s="31">
        <f t="shared" si="2"/>
        <v>3116.52</v>
      </c>
      <c r="L42" s="31">
        <f>IF(OR(B42="",C42=""),"",IFERROR(E42 / SUMIFS('📅 Resumen Diario'!$D$5:$D$504, '📅 Resumen Diario'!$B$5:$B$504, B42, '📅 Resumen Diario'!$C$5:$C$504, D42) * SUMIFS('📅 Resumen Diario'!$K$5:$K$504, '📅 Resumen Diario'!$B$5:$B$504, B42, '📅 Resumen Diario'!$C$5:$C$504, D42), 0))</f>
        <v>1165.3821896243292</v>
      </c>
      <c r="M42" s="31">
        <f t="shared" si="3"/>
        <v>142.56</v>
      </c>
      <c r="N42" s="31">
        <f t="shared" si="4"/>
        <v>1307.9421896243291</v>
      </c>
      <c r="O42" s="31">
        <f>IF(OR(B42="",C42=""),"",K42-N42 + IFERROR(E42 / SUMIFS('📅 Resumen Diario'!$D$5:$D$504, '📅 Resumen Diario'!$B$5:$B$504, B42, '📅 Resumen Diario'!$C$5:$C$504, D42) * (SUMIFS('📋 Detalle Diario'!$E$5:$E$489, '📋 Detalle Diario'!$B$5:$B$489, B42, '📋 Detalle Diario'!$C$5:$C$489, D42) * 135 + SUMIFS('📋 Detalle Diario'!$I$5:$I$489, '📋 Detalle Diario'!$B$5:$B$489, B42, '📋 Detalle Diario'!$C$5:$C$489, D42) * 200), 0))</f>
        <v>1808.5778103756709</v>
      </c>
      <c r="P42" s="32">
        <f t="shared" si="5"/>
        <v>0.58031965473530445</v>
      </c>
      <c r="Q42" s="33" t="str">
        <f t="shared" si="6"/>
        <v>2026-05</v>
      </c>
    </row>
    <row r="43" spans="2:17" ht="18" customHeight="1" x14ac:dyDescent="0.25">
      <c r="B43" s="26" t="s">
        <v>77</v>
      </c>
      <c r="C43" s="28" t="s">
        <v>135</v>
      </c>
      <c r="D43" s="27" t="s">
        <v>73</v>
      </c>
      <c r="E43" s="29">
        <v>1</v>
      </c>
      <c r="F43" s="29">
        <v>0</v>
      </c>
      <c r="G43" s="29">
        <v>0</v>
      </c>
      <c r="H43" s="30">
        <f t="shared" si="0"/>
        <v>0</v>
      </c>
      <c r="I43" s="31">
        <f>IF(OR(B43="",C43=""),"",IFERROR(E43*IF(E43="",0,VLOOKUP(C43,'📦 Precios Proforma'!$B$5:$D$104,IF(D43="DIA",2,3),FALSE)),0))</f>
        <v>60</v>
      </c>
      <c r="J43" s="31">
        <f t="shared" si="1"/>
        <v>0</v>
      </c>
      <c r="K43" s="31">
        <f t="shared" si="2"/>
        <v>60</v>
      </c>
      <c r="L43" s="31">
        <f>IF(OR(B43="",C43=""),"",IFERROR(E43 / SUMIFS('📅 Resumen Diario'!$D$5:$D$504, '📅 Resumen Diario'!$B$5:$B$504, B43, '📅 Resumen Diario'!$C$5:$C$504, D43) * SUMIFS('📅 Resumen Diario'!$K$5:$K$504, '📅 Resumen Diario'!$B$5:$B$504, B43, '📅 Resumen Diario'!$C$5:$C$504, D43), 0))</f>
        <v>8.8286529516994641</v>
      </c>
      <c r="M43" s="31">
        <f t="shared" si="3"/>
        <v>0</v>
      </c>
      <c r="N43" s="31">
        <f t="shared" si="4"/>
        <v>8.8286529516994641</v>
      </c>
      <c r="O43" s="31">
        <f>IF(OR(B43="",C43=""),"",K43-N43 + IFERROR(E43 / SUMIFS('📅 Resumen Diario'!$D$5:$D$504, '📅 Resumen Diario'!$B$5:$B$504, B43, '📅 Resumen Diario'!$C$5:$C$504, D43) * (SUMIFS('📋 Detalle Diario'!$E$5:$E$489, '📋 Detalle Diario'!$B$5:$B$489, B43, '📋 Detalle Diario'!$C$5:$C$489, D43) * 135 + SUMIFS('📋 Detalle Diario'!$I$5:$I$489, '📋 Detalle Diario'!$B$5:$B$489, B43, '📋 Detalle Diario'!$C$5:$C$489, D43) * 200), 0))</f>
        <v>51.171347048300532</v>
      </c>
      <c r="P43" s="32">
        <f t="shared" si="5"/>
        <v>0.85285578413834218</v>
      </c>
      <c r="Q43" s="33" t="str">
        <f t="shared" si="6"/>
        <v>2026-05</v>
      </c>
    </row>
    <row r="44" spans="2:17" ht="18" customHeight="1" x14ac:dyDescent="0.25">
      <c r="B44" s="26" t="s">
        <v>78</v>
      </c>
      <c r="C44" s="17" t="s">
        <v>130</v>
      </c>
      <c r="D44" s="27" t="s">
        <v>72</v>
      </c>
      <c r="E44" s="18">
        <v>348</v>
      </c>
      <c r="F44" s="18">
        <v>348</v>
      </c>
      <c r="G44" s="18">
        <v>696</v>
      </c>
      <c r="H44" s="30">
        <f t="shared" si="0"/>
        <v>1044</v>
      </c>
      <c r="I44" s="31">
        <f>IF(OR(B44="",C44=""),"",IFERROR(E44*IF(E44="",0,VLOOKUP(C44,'📦 Precios Proforma'!$B$5:$D$104,IF(D44="DIA",2,3),FALSE)),0))</f>
        <v>1572.9599999999998</v>
      </c>
      <c r="J44" s="31">
        <f t="shared" si="1"/>
        <v>1054.44</v>
      </c>
      <c r="K44" s="31">
        <f t="shared" si="2"/>
        <v>2627.3999999999996</v>
      </c>
      <c r="L44" s="31">
        <f>IF(OR(B44="",C44=""),"",IFERROR(E44 / SUMIFS('📅 Resumen Diario'!$D$5:$D$504, '📅 Resumen Diario'!$B$5:$B$504, B44, '📅 Resumen Diario'!$C$5:$C$504, D44) * SUMIFS('📅 Resumen Diario'!$K$5:$K$504, '📅 Resumen Diario'!$B$5:$B$504, B44, '📅 Resumen Diario'!$C$5:$C$504, D44), 0))</f>
        <v>3129.2397789661322</v>
      </c>
      <c r="M44" s="31">
        <f t="shared" si="3"/>
        <v>93.96</v>
      </c>
      <c r="N44" s="31">
        <f t="shared" si="4"/>
        <v>3223.1997789661323</v>
      </c>
      <c r="O44" s="31">
        <f>IF(OR(B44="",C44=""),"",K44-N44 + IFERROR(E44 / SUMIFS('📅 Resumen Diario'!$D$5:$D$504, '📅 Resumen Diario'!$B$5:$B$504, B44, '📅 Resumen Diario'!$C$5:$C$504, D44) * (SUMIFS('📋 Detalle Diario'!$E$5:$E$489, '📋 Detalle Diario'!$B$5:$B$489, B44, '📋 Detalle Diario'!$C$5:$C$489, D44) * 135 + SUMIFS('📋 Detalle Diario'!$I$5:$I$489, '📋 Detalle Diario'!$B$5:$B$489, B44, '📋 Detalle Diario'!$C$5:$C$489, D44) * 200), 0))</f>
        <v>-595.79977896613264</v>
      </c>
      <c r="P44" s="32">
        <f t="shared" si="5"/>
        <v>-0.22676401726654971</v>
      </c>
      <c r="Q44" s="33" t="str">
        <f t="shared" si="6"/>
        <v>2026-05</v>
      </c>
    </row>
    <row r="45" spans="2:17" ht="18" customHeight="1" x14ac:dyDescent="0.25">
      <c r="B45" s="26" t="s">
        <v>78</v>
      </c>
      <c r="C45" s="28" t="s">
        <v>136</v>
      </c>
      <c r="D45" s="27" t="s">
        <v>72</v>
      </c>
      <c r="E45" s="29">
        <v>30</v>
      </c>
      <c r="F45" s="29">
        <v>0</v>
      </c>
      <c r="G45" s="29">
        <v>270</v>
      </c>
      <c r="H45" s="30">
        <f t="shared" si="0"/>
        <v>270</v>
      </c>
      <c r="I45" s="31">
        <f>IF(OR(B45="",C45=""),"",IFERROR(E45*IF(E45="",0,VLOOKUP(C45,'📦 Precios Proforma'!$B$5:$D$104,IF(D45="DIA",2,3),FALSE)),0))</f>
        <v>135.6</v>
      </c>
      <c r="J45" s="31">
        <f t="shared" si="1"/>
        <v>272.7</v>
      </c>
      <c r="K45" s="31">
        <f t="shared" si="2"/>
        <v>408.29999999999995</v>
      </c>
      <c r="L45" s="31">
        <f>IF(OR(B45="",C45=""),"",IFERROR(E45 / SUMIFS('📅 Resumen Diario'!$D$5:$D$504, '📅 Resumen Diario'!$B$5:$B$504, B45, '📅 Resumen Diario'!$C$5:$C$504, D45) * SUMIFS('📅 Resumen Diario'!$K$5:$K$504, '📅 Resumen Diario'!$B$5:$B$504, B45, '📅 Resumen Diario'!$C$5:$C$504, D45), 0))</f>
        <v>269.76204991087343</v>
      </c>
      <c r="M45" s="31">
        <f t="shared" si="3"/>
        <v>24.3</v>
      </c>
      <c r="N45" s="31">
        <f t="shared" si="4"/>
        <v>294.06204991087344</v>
      </c>
      <c r="O45" s="31">
        <f>IF(OR(B45="",C45=""),"",K45-N45 + IFERROR(E45 / SUMIFS('📅 Resumen Diario'!$D$5:$D$504, '📅 Resumen Diario'!$B$5:$B$504, B45, '📅 Resumen Diario'!$C$5:$C$504, D45) * (SUMIFS('📋 Detalle Diario'!$E$5:$E$489, '📋 Detalle Diario'!$B$5:$B$489, B45, '📋 Detalle Diario'!$C$5:$C$489, D45) * 135 + SUMIFS('📋 Detalle Diario'!$I$5:$I$489, '📋 Detalle Diario'!$B$5:$B$489, B45, '📋 Detalle Diario'!$C$5:$C$489, D45) * 200), 0))</f>
        <v>114.23795008912651</v>
      </c>
      <c r="P45" s="32">
        <f t="shared" si="5"/>
        <v>0.27978924832017271</v>
      </c>
      <c r="Q45" s="33" t="str">
        <f t="shared" si="6"/>
        <v>2026-05</v>
      </c>
    </row>
    <row r="46" spans="2:17" ht="18" customHeight="1" x14ac:dyDescent="0.25">
      <c r="B46" s="26" t="s">
        <v>78</v>
      </c>
      <c r="C46" s="17" t="s">
        <v>138</v>
      </c>
      <c r="D46" s="27" t="s">
        <v>72</v>
      </c>
      <c r="E46" s="18">
        <v>40</v>
      </c>
      <c r="F46" s="18">
        <v>0</v>
      </c>
      <c r="G46" s="18">
        <v>40</v>
      </c>
      <c r="H46" s="30">
        <f t="shared" si="0"/>
        <v>40</v>
      </c>
      <c r="I46" s="31">
        <f>IF(OR(B46="",C46=""),"",IFERROR(E46*IF(E46="",0,VLOOKUP(C46,'📦 Precios Proforma'!$B$5:$D$104,IF(D46="DIA",2,3),FALSE)),0))</f>
        <v>173.6</v>
      </c>
      <c r="J46" s="31">
        <f t="shared" si="1"/>
        <v>40.4</v>
      </c>
      <c r="K46" s="31">
        <f t="shared" si="2"/>
        <v>214</v>
      </c>
      <c r="L46" s="31">
        <f>IF(OR(B46="",C46=""),"",IFERROR(E46 / SUMIFS('📅 Resumen Diario'!$D$5:$D$504, '📅 Resumen Diario'!$B$5:$B$504, B46, '📅 Resumen Diario'!$C$5:$C$504, D46) * SUMIFS('📅 Resumen Diario'!$K$5:$K$504, '📅 Resumen Diario'!$B$5:$B$504, B46, '📅 Resumen Diario'!$C$5:$C$504, D46), 0))</f>
        <v>359.68273321449794</v>
      </c>
      <c r="M46" s="31">
        <f t="shared" si="3"/>
        <v>3.5999999999999996</v>
      </c>
      <c r="N46" s="31">
        <f t="shared" si="4"/>
        <v>363.28273321449797</v>
      </c>
      <c r="O46" s="31">
        <f>IF(OR(B46="",C46=""),"",K46-N46 + IFERROR(E46 / SUMIFS('📅 Resumen Diario'!$D$5:$D$504, '📅 Resumen Diario'!$B$5:$B$504, B46, '📅 Resumen Diario'!$C$5:$C$504, D46) * (SUMIFS('📋 Detalle Diario'!$E$5:$E$489, '📋 Detalle Diario'!$B$5:$B$489, B46, '📋 Detalle Diario'!$C$5:$C$489, D46) * 135 + SUMIFS('📋 Detalle Diario'!$I$5:$I$489, '📋 Detalle Diario'!$B$5:$B$489, B46, '📋 Detalle Diario'!$C$5:$C$489, D46) * 200), 0))</f>
        <v>-149.28273321449797</v>
      </c>
      <c r="P46" s="32">
        <f t="shared" si="5"/>
        <v>-0.69758286548830828</v>
      </c>
      <c r="Q46" s="33" t="str">
        <f t="shared" si="6"/>
        <v>2026-05</v>
      </c>
    </row>
    <row r="47" spans="2:17" ht="18" customHeight="1" x14ac:dyDescent="0.25">
      <c r="B47" s="26" t="s">
        <v>78</v>
      </c>
      <c r="C47" s="28" t="s">
        <v>139</v>
      </c>
      <c r="D47" s="27" t="s">
        <v>72</v>
      </c>
      <c r="E47" s="29">
        <v>142</v>
      </c>
      <c r="F47" s="29">
        <v>0</v>
      </c>
      <c r="G47" s="29">
        <v>0</v>
      </c>
      <c r="H47" s="30">
        <f t="shared" si="0"/>
        <v>0</v>
      </c>
      <c r="I47" s="31">
        <f>IF(OR(B47="",C47=""),"",IFERROR(E47*IF(E47="",0,VLOOKUP(C47,'📦 Precios Proforma'!$B$5:$D$104,IF(D47="DIA",2,3),FALSE)),0))</f>
        <v>6390</v>
      </c>
      <c r="J47" s="31">
        <f t="shared" si="1"/>
        <v>0</v>
      </c>
      <c r="K47" s="31">
        <f t="shared" si="2"/>
        <v>6390</v>
      </c>
      <c r="L47" s="31">
        <f>IF(OR(B47="",C47=""),"",IFERROR(E47 / SUMIFS('📅 Resumen Diario'!$D$5:$D$504, '📅 Resumen Diario'!$B$5:$B$504, B47, '📅 Resumen Diario'!$C$5:$C$504, D47) * SUMIFS('📅 Resumen Diario'!$K$5:$K$504, '📅 Resumen Diario'!$B$5:$B$504, B47, '📅 Resumen Diario'!$C$5:$C$504, D47), 0))</f>
        <v>1276.8737029114677</v>
      </c>
      <c r="M47" s="31">
        <f t="shared" si="3"/>
        <v>0</v>
      </c>
      <c r="N47" s="31">
        <f t="shared" si="4"/>
        <v>1276.8737029114677</v>
      </c>
      <c r="O47" s="31">
        <f>IF(OR(B47="",C47=""),"",K47-N47 + IFERROR(E47 / SUMIFS('📅 Resumen Diario'!$D$5:$D$504, '📅 Resumen Diario'!$B$5:$B$504, B47, '📅 Resumen Diario'!$C$5:$C$504, D47) * (SUMIFS('📋 Detalle Diario'!$E$5:$E$489, '📋 Detalle Diario'!$B$5:$B$489, B47, '📋 Detalle Diario'!$C$5:$C$489, D47) * 135 + SUMIFS('📋 Detalle Diario'!$I$5:$I$489, '📋 Detalle Diario'!$B$5:$B$489, B47, '📋 Detalle Diario'!$C$5:$C$489, D47) * 200), 0))</f>
        <v>5113.1262970885327</v>
      </c>
      <c r="P47" s="32">
        <f t="shared" si="5"/>
        <v>0.80017625932527903</v>
      </c>
      <c r="Q47" s="33" t="str">
        <f t="shared" si="6"/>
        <v>2026-05</v>
      </c>
    </row>
    <row r="48" spans="2:17" ht="18" customHeight="1" x14ac:dyDescent="0.25">
      <c r="B48" s="26" t="s">
        <v>78</v>
      </c>
      <c r="C48" s="17" t="s">
        <v>134</v>
      </c>
      <c r="D48" s="27" t="s">
        <v>72</v>
      </c>
      <c r="E48" s="18">
        <v>1</v>
      </c>
      <c r="F48" s="18">
        <v>0</v>
      </c>
      <c r="G48" s="18">
        <v>0</v>
      </c>
      <c r="H48" s="30">
        <f t="shared" si="0"/>
        <v>0</v>
      </c>
      <c r="I48" s="31">
        <f>IF(OR(B48="",C48=""),"",IFERROR(E48*IF(E48="",0,VLOOKUP(C48,'📦 Precios Proforma'!$B$5:$D$104,IF(D48="DIA",2,3),FALSE)),0))</f>
        <v>45</v>
      </c>
      <c r="J48" s="31">
        <f t="shared" si="1"/>
        <v>0</v>
      </c>
      <c r="K48" s="31">
        <f t="shared" si="2"/>
        <v>45</v>
      </c>
      <c r="L48" s="31">
        <f>IF(OR(B48="",C48=""),"",IFERROR(E48 / SUMIFS('📅 Resumen Diario'!$D$5:$D$504, '📅 Resumen Diario'!$B$5:$B$504, B48, '📅 Resumen Diario'!$C$5:$C$504, D48) * SUMIFS('📅 Resumen Diario'!$K$5:$K$504, '📅 Resumen Diario'!$B$5:$B$504, B48, '📅 Resumen Diario'!$C$5:$C$504, D48), 0))</f>
        <v>8.9920683303624482</v>
      </c>
      <c r="M48" s="31">
        <f t="shared" si="3"/>
        <v>0</v>
      </c>
      <c r="N48" s="31">
        <f t="shared" si="4"/>
        <v>8.9920683303624482</v>
      </c>
      <c r="O48" s="31">
        <f>IF(OR(B48="",C48=""),"",K48-N48 + IFERROR(E48 / SUMIFS('📅 Resumen Diario'!$D$5:$D$504, '📅 Resumen Diario'!$B$5:$B$504, B48, '📅 Resumen Diario'!$C$5:$C$504, D48) * (SUMIFS('📋 Detalle Diario'!$E$5:$E$489, '📋 Detalle Diario'!$B$5:$B$489, B48, '📋 Detalle Diario'!$C$5:$C$489, D48) * 135 + SUMIFS('📋 Detalle Diario'!$I$5:$I$489, '📋 Detalle Diario'!$B$5:$B$489, B48, '📋 Detalle Diario'!$C$5:$C$489, D48) * 200), 0))</f>
        <v>36.00793166963755</v>
      </c>
      <c r="P48" s="32">
        <f t="shared" si="5"/>
        <v>0.80017625932527892</v>
      </c>
      <c r="Q48" s="33" t="str">
        <f t="shared" si="6"/>
        <v>2026-05</v>
      </c>
    </row>
    <row r="49" spans="2:17" ht="18" customHeight="1" x14ac:dyDescent="0.25">
      <c r="B49" s="26" t="s">
        <v>78</v>
      </c>
      <c r="C49" s="28" t="s">
        <v>138</v>
      </c>
      <c r="D49" s="27" t="s">
        <v>73</v>
      </c>
      <c r="E49" s="29">
        <v>60</v>
      </c>
      <c r="F49" s="29">
        <v>0</v>
      </c>
      <c r="G49" s="29">
        <v>60</v>
      </c>
      <c r="H49" s="30">
        <f t="shared" si="0"/>
        <v>60</v>
      </c>
      <c r="I49" s="31">
        <f>IF(OR(B49="",C49=""),"",IFERROR(E49*IF(E49="",0,VLOOKUP(C49,'📦 Precios Proforma'!$B$5:$D$104,IF(D49="DIA",2,3),FALSE)),0))</f>
        <v>347.4</v>
      </c>
      <c r="J49" s="31">
        <f t="shared" si="1"/>
        <v>81</v>
      </c>
      <c r="K49" s="31">
        <f t="shared" si="2"/>
        <v>428.4</v>
      </c>
      <c r="L49" s="31">
        <f>IF(OR(B49="",C49=""),"",IFERROR(E49 / SUMIFS('📅 Resumen Diario'!$D$5:$D$504, '📅 Resumen Diario'!$B$5:$B$504, B49, '📅 Resumen Diario'!$C$5:$C$504, D49) * SUMIFS('📅 Resumen Diario'!$K$5:$K$504, '📅 Resumen Diario'!$B$5:$B$504, B49, '📅 Resumen Diario'!$C$5:$C$504, D49), 0))</f>
        <v>3184.0109677419359</v>
      </c>
      <c r="M49" s="31">
        <f t="shared" si="3"/>
        <v>5.3999999999999995</v>
      </c>
      <c r="N49" s="31">
        <f t="shared" si="4"/>
        <v>3189.410967741936</v>
      </c>
      <c r="O49" s="31">
        <f>IF(OR(B49="",C49=""),"",K49-N49 + IFERROR(E49 / SUMIFS('📅 Resumen Diario'!$D$5:$D$504, '📅 Resumen Diario'!$B$5:$B$504, B49, '📅 Resumen Diario'!$C$5:$C$504, D49) * (SUMIFS('📋 Detalle Diario'!$E$5:$E$489, '📋 Detalle Diario'!$B$5:$B$489, B49, '📋 Detalle Diario'!$C$5:$C$489, D49) * 135 + SUMIFS('📋 Detalle Diario'!$I$5:$I$489, '📋 Detalle Diario'!$B$5:$B$489, B49, '📋 Detalle Diario'!$C$5:$C$489, D49) * 200), 0))</f>
        <v>-2761.0109677419359</v>
      </c>
      <c r="P49" s="32">
        <f t="shared" si="5"/>
        <v>-6.4449368994909806</v>
      </c>
      <c r="Q49" s="33" t="str">
        <f t="shared" si="6"/>
        <v>2026-05</v>
      </c>
    </row>
    <row r="50" spans="2:17" ht="18" customHeight="1" x14ac:dyDescent="0.25">
      <c r="B50" s="26" t="s">
        <v>78</v>
      </c>
      <c r="C50" s="17" t="s">
        <v>134</v>
      </c>
      <c r="D50" s="27" t="s">
        <v>73</v>
      </c>
      <c r="E50" s="18">
        <v>33</v>
      </c>
      <c r="F50" s="18">
        <v>0</v>
      </c>
      <c r="G50" s="18">
        <v>0</v>
      </c>
      <c r="H50" s="30">
        <f t="shared" si="0"/>
        <v>0</v>
      </c>
      <c r="I50" s="31">
        <f>IF(OR(B50="",C50=""),"",IFERROR(E50*IF(E50="",0,VLOOKUP(C50,'📦 Precios Proforma'!$B$5:$D$104,IF(D50="DIA",2,3),FALSE)),0))</f>
        <v>1980</v>
      </c>
      <c r="J50" s="31">
        <f t="shared" si="1"/>
        <v>0</v>
      </c>
      <c r="K50" s="31">
        <f t="shared" si="2"/>
        <v>1980</v>
      </c>
      <c r="L50" s="31">
        <f>IF(OR(B50="",C50=""),"",IFERROR(E50 / SUMIFS('📅 Resumen Diario'!$D$5:$D$504, '📅 Resumen Diario'!$B$5:$B$504, B50, '📅 Resumen Diario'!$C$5:$C$504, D50) * SUMIFS('📅 Resumen Diario'!$K$5:$K$504, '📅 Resumen Diario'!$B$5:$B$504, B50, '📅 Resumen Diario'!$C$5:$C$504, D50), 0))</f>
        <v>1751.2060322580649</v>
      </c>
      <c r="M50" s="31">
        <f t="shared" si="3"/>
        <v>0</v>
      </c>
      <c r="N50" s="31">
        <f t="shared" si="4"/>
        <v>1751.2060322580649</v>
      </c>
      <c r="O50" s="31">
        <f>IF(OR(B50="",C50=""),"",K50-N50 + IFERROR(E50 / SUMIFS('📅 Resumen Diario'!$D$5:$D$504, '📅 Resumen Diario'!$B$5:$B$504, B50, '📅 Resumen Diario'!$C$5:$C$504, D50) * (SUMIFS('📋 Detalle Diario'!$E$5:$E$489, '📋 Detalle Diario'!$B$5:$B$489, B50, '📋 Detalle Diario'!$C$5:$C$489, D50) * 135 + SUMIFS('📋 Detalle Diario'!$I$5:$I$489, '📋 Detalle Diario'!$B$5:$B$489, B50, '📋 Detalle Diario'!$C$5:$C$489, D50) * 200), 0))</f>
        <v>228.79396774193515</v>
      </c>
      <c r="P50" s="32">
        <f t="shared" si="5"/>
        <v>0.11555250896057331</v>
      </c>
      <c r="Q50" s="33" t="str">
        <f t="shared" si="6"/>
        <v>2026-05</v>
      </c>
    </row>
    <row r="51" spans="2:17" ht="18" customHeight="1" x14ac:dyDescent="0.25">
      <c r="B51" s="26" t="s">
        <v>79</v>
      </c>
      <c r="C51" s="28" t="s">
        <v>134</v>
      </c>
      <c r="D51" s="27" t="s">
        <v>72</v>
      </c>
      <c r="E51" s="29">
        <v>13.5</v>
      </c>
      <c r="F51" s="29">
        <v>0</v>
      </c>
      <c r="G51" s="29">
        <v>0</v>
      </c>
      <c r="H51" s="30">
        <f t="shared" si="0"/>
        <v>0</v>
      </c>
      <c r="I51" s="31">
        <f>IF(OR(B51="",C51=""),"",IFERROR(E51*IF(E51="",0,VLOOKUP(C51,'📦 Precios Proforma'!$B$5:$D$104,IF(D51="DIA",2,3),FALSE)),0))</f>
        <v>607.5</v>
      </c>
      <c r="J51" s="31">
        <f t="shared" si="1"/>
        <v>0</v>
      </c>
      <c r="K51" s="31">
        <f t="shared" si="2"/>
        <v>607.5</v>
      </c>
      <c r="L51" s="31">
        <f>IF(OR(B51="",C51=""),"",IFERROR(E51 / SUMIFS('📅 Resumen Diario'!$D$5:$D$504, '📅 Resumen Diario'!$B$5:$B$504, B51, '📅 Resumen Diario'!$C$5:$C$504, D51) * SUMIFS('📅 Resumen Diario'!$K$5:$K$504, '📅 Resumen Diario'!$B$5:$B$504, B51, '📅 Resumen Diario'!$C$5:$C$504, D51), 0))</f>
        <v>128.8579555345317</v>
      </c>
      <c r="M51" s="31">
        <f t="shared" si="3"/>
        <v>0</v>
      </c>
      <c r="N51" s="31">
        <f t="shared" si="4"/>
        <v>128.8579555345317</v>
      </c>
      <c r="O51" s="31">
        <f>IF(OR(B51="",C51=""),"",K51-N51 + IFERROR(E51 / SUMIFS('📅 Resumen Diario'!$D$5:$D$504, '📅 Resumen Diario'!$B$5:$B$504, B51, '📅 Resumen Diario'!$C$5:$C$504, D51) * (SUMIFS('📋 Detalle Diario'!$E$5:$E$489, '📋 Detalle Diario'!$B$5:$B$489, B51, '📋 Detalle Diario'!$C$5:$C$489, D51) * 135 + SUMIFS('📋 Detalle Diario'!$I$5:$I$489, '📋 Detalle Diario'!$B$5:$B$489, B51, '📋 Detalle Diario'!$C$5:$C$489, D51) * 200), 0))</f>
        <v>478.6420444654683</v>
      </c>
      <c r="P51" s="32">
        <f t="shared" si="5"/>
        <v>0.78788813903780786</v>
      </c>
      <c r="Q51" s="33" t="str">
        <f t="shared" si="6"/>
        <v>2026-05</v>
      </c>
    </row>
    <row r="52" spans="2:17" ht="18" customHeight="1" x14ac:dyDescent="0.25">
      <c r="B52" s="26" t="s">
        <v>79</v>
      </c>
      <c r="C52" s="17" t="s">
        <v>144</v>
      </c>
      <c r="D52" s="27" t="s">
        <v>72</v>
      </c>
      <c r="E52" s="18">
        <v>135</v>
      </c>
      <c r="F52" s="18">
        <v>135</v>
      </c>
      <c r="G52" s="18">
        <v>270</v>
      </c>
      <c r="H52" s="30">
        <f t="shared" si="0"/>
        <v>405</v>
      </c>
      <c r="I52" s="31">
        <f>IF(OR(B52="",C52=""),"",IFERROR(E52*IF(E52="",0,VLOOKUP(C52,'📦 Precios Proforma'!$B$5:$D$104,IF(D52="DIA",2,3),FALSE)),0))</f>
        <v>610.19999999999993</v>
      </c>
      <c r="J52" s="31">
        <f t="shared" si="1"/>
        <v>409.05</v>
      </c>
      <c r="K52" s="31">
        <f t="shared" si="2"/>
        <v>1019.25</v>
      </c>
      <c r="L52" s="31">
        <f>IF(OR(B52="",C52=""),"",IFERROR(E52 / SUMIFS('📅 Resumen Diario'!$D$5:$D$504, '📅 Resumen Diario'!$B$5:$B$504, B52, '📅 Resumen Diario'!$C$5:$C$504, D52) * SUMIFS('📅 Resumen Diario'!$K$5:$K$504, '📅 Resumen Diario'!$B$5:$B$504, B52, '📅 Resumen Diario'!$C$5:$C$504, D52), 0))</f>
        <v>1288.579555345317</v>
      </c>
      <c r="M52" s="31">
        <f t="shared" si="3"/>
        <v>36.449999999999996</v>
      </c>
      <c r="N52" s="31">
        <f t="shared" si="4"/>
        <v>1325.029555345317</v>
      </c>
      <c r="O52" s="31">
        <f>IF(OR(B52="",C52=""),"",K52-N52 + IFERROR(E52 / SUMIFS('📅 Resumen Diario'!$D$5:$D$504, '📅 Resumen Diario'!$B$5:$B$504, B52, '📅 Resumen Diario'!$C$5:$C$504, D52) * (SUMIFS('📋 Detalle Diario'!$E$5:$E$489, '📋 Detalle Diario'!$B$5:$B$489, B52, '📋 Detalle Diario'!$C$5:$C$489, D52) * 135 + SUMIFS('📋 Detalle Diario'!$I$5:$I$489, '📋 Detalle Diario'!$B$5:$B$489, B52, '📋 Detalle Diario'!$C$5:$C$489, D52) * 200), 0))</f>
        <v>-305.77955534531702</v>
      </c>
      <c r="P52" s="32">
        <f t="shared" si="5"/>
        <v>-0.30000446931107877</v>
      </c>
      <c r="Q52" s="33" t="str">
        <f t="shared" si="6"/>
        <v>2026-05</v>
      </c>
    </row>
    <row r="53" spans="2:17" ht="18" customHeight="1" x14ac:dyDescent="0.25">
      <c r="B53" s="26" t="s">
        <v>79</v>
      </c>
      <c r="C53" s="28" t="s">
        <v>139</v>
      </c>
      <c r="D53" s="27" t="s">
        <v>72</v>
      </c>
      <c r="E53" s="29">
        <v>380</v>
      </c>
      <c r="F53" s="29">
        <v>0</v>
      </c>
      <c r="G53" s="29">
        <v>0</v>
      </c>
      <c r="H53" s="30">
        <f t="shared" si="0"/>
        <v>0</v>
      </c>
      <c r="I53" s="31">
        <f>IF(OR(B53="",C53=""),"",IFERROR(E53*IF(E53="",0,VLOOKUP(C53,'📦 Precios Proforma'!$B$5:$D$104,IF(D53="DIA",2,3),FALSE)),0))</f>
        <v>17100</v>
      </c>
      <c r="J53" s="31">
        <f t="shared" si="1"/>
        <v>0</v>
      </c>
      <c r="K53" s="31">
        <f t="shared" si="2"/>
        <v>17100</v>
      </c>
      <c r="L53" s="31">
        <f>IF(OR(B53="",C53=""),"",IFERROR(E53 / SUMIFS('📅 Resumen Diario'!$D$5:$D$504, '📅 Resumen Diario'!$B$5:$B$504, B53, '📅 Resumen Diario'!$C$5:$C$504, D53) * SUMIFS('📅 Resumen Diario'!$K$5:$K$504, '📅 Resumen Diario'!$B$5:$B$504, B53, '📅 Resumen Diario'!$C$5:$C$504, D53), 0))</f>
        <v>3627.112822453485</v>
      </c>
      <c r="M53" s="31">
        <f t="shared" si="3"/>
        <v>0</v>
      </c>
      <c r="N53" s="31">
        <f t="shared" si="4"/>
        <v>3627.112822453485</v>
      </c>
      <c r="O53" s="31">
        <f>IF(OR(B53="",C53=""),"",K53-N53 + IFERROR(E53 / SUMIFS('📅 Resumen Diario'!$D$5:$D$504, '📅 Resumen Diario'!$B$5:$B$504, B53, '📅 Resumen Diario'!$C$5:$C$504, D53) * (SUMIFS('📋 Detalle Diario'!$E$5:$E$489, '📋 Detalle Diario'!$B$5:$B$489, B53, '📋 Detalle Diario'!$C$5:$C$489, D53) * 135 + SUMIFS('📋 Detalle Diario'!$I$5:$I$489, '📋 Detalle Diario'!$B$5:$B$489, B53, '📋 Detalle Diario'!$C$5:$C$489, D53) * 200), 0))</f>
        <v>13472.887177546516</v>
      </c>
      <c r="P53" s="32">
        <f t="shared" si="5"/>
        <v>0.78788813903780797</v>
      </c>
      <c r="Q53" s="33" t="str">
        <f t="shared" si="6"/>
        <v>2026-05</v>
      </c>
    </row>
    <row r="54" spans="2:17" ht="18" customHeight="1" x14ac:dyDescent="0.25">
      <c r="B54" s="26" t="s">
        <v>79</v>
      </c>
      <c r="C54" s="17" t="s">
        <v>131</v>
      </c>
      <c r="D54" s="27" t="s">
        <v>73</v>
      </c>
      <c r="E54" s="18">
        <v>14</v>
      </c>
      <c r="F54" s="18">
        <v>0</v>
      </c>
      <c r="G54" s="18">
        <v>980</v>
      </c>
      <c r="H54" s="30">
        <f t="shared" si="0"/>
        <v>980</v>
      </c>
      <c r="I54" s="31">
        <f>IF(OR(B54="",C54=""),"",IFERROR(E54*IF(E54="",0,VLOOKUP(C54,'📦 Precios Proforma'!$B$5:$D$104,IF(D54="DIA",2,3),FALSE)),0))</f>
        <v>840</v>
      </c>
      <c r="J54" s="31">
        <f t="shared" si="1"/>
        <v>1323</v>
      </c>
      <c r="K54" s="31">
        <f t="shared" si="2"/>
        <v>2163</v>
      </c>
      <c r="L54" s="31">
        <f>IF(OR(B54="",C54=""),"",IFERROR(E54 / SUMIFS('📅 Resumen Diario'!$D$5:$D$504, '📅 Resumen Diario'!$B$5:$B$504, B54, '📅 Resumen Diario'!$C$5:$C$504, D54) * SUMIFS('📅 Resumen Diario'!$K$5:$K$504, '📅 Resumen Diario'!$B$5:$B$504, B54, '📅 Resumen Diario'!$C$5:$C$504, D54), 0))</f>
        <v>272.01983464566933</v>
      </c>
      <c r="M54" s="31">
        <f t="shared" si="3"/>
        <v>88.2</v>
      </c>
      <c r="N54" s="31">
        <f t="shared" si="4"/>
        <v>360.21983464566932</v>
      </c>
      <c r="O54" s="31">
        <f>IF(OR(B54="",C54=""),"",K54-N54 + IFERROR(E54 / SUMIFS('📅 Resumen Diario'!$D$5:$D$504, '📅 Resumen Diario'!$B$5:$B$504, B54, '📅 Resumen Diario'!$C$5:$C$504, D54) * (SUMIFS('📋 Detalle Diario'!$E$5:$E$489, '📋 Detalle Diario'!$B$5:$B$489, B54, '📋 Detalle Diario'!$C$5:$C$489, D54) * 135 + SUMIFS('📋 Detalle Diario'!$I$5:$I$489, '📋 Detalle Diario'!$B$5:$B$489, B54, '📋 Detalle Diario'!$C$5:$C$489, D54) * 200), 0))</f>
        <v>1802.7801653543306</v>
      </c>
      <c r="P54" s="32">
        <f t="shared" si="5"/>
        <v>0.83346285961827582</v>
      </c>
      <c r="Q54" s="33" t="str">
        <f t="shared" si="6"/>
        <v>2026-05</v>
      </c>
    </row>
    <row r="55" spans="2:17" ht="18" customHeight="1" x14ac:dyDescent="0.25">
      <c r="B55" s="26" t="s">
        <v>79</v>
      </c>
      <c r="C55" s="28" t="s">
        <v>142</v>
      </c>
      <c r="D55" s="27" t="s">
        <v>73</v>
      </c>
      <c r="E55" s="29">
        <v>240</v>
      </c>
      <c r="F55" s="29">
        <v>0</v>
      </c>
      <c r="G55" s="29">
        <v>240</v>
      </c>
      <c r="H55" s="30">
        <f t="shared" si="0"/>
        <v>240</v>
      </c>
      <c r="I55" s="31">
        <f>IF(OR(B55="",C55=""),"",IFERROR(E55*IF(E55="",0,VLOOKUP(C55,'📦 Precios Proforma'!$B$5:$D$104,IF(D55="DIA",2,3),FALSE)),0))</f>
        <v>1980</v>
      </c>
      <c r="J55" s="31">
        <f t="shared" si="1"/>
        <v>324</v>
      </c>
      <c r="K55" s="31">
        <f t="shared" si="2"/>
        <v>2304</v>
      </c>
      <c r="L55" s="31">
        <f>IF(OR(B55="",C55=""),"",IFERROR(E55 / SUMIFS('📅 Resumen Diario'!$D$5:$D$504, '📅 Resumen Diario'!$B$5:$B$504, B55, '📅 Resumen Diario'!$C$5:$C$504, D55) * SUMIFS('📅 Resumen Diario'!$K$5:$K$504, '📅 Resumen Diario'!$B$5:$B$504, B55, '📅 Resumen Diario'!$C$5:$C$504, D55), 0))</f>
        <v>4663.1971653543314</v>
      </c>
      <c r="M55" s="31">
        <f t="shared" si="3"/>
        <v>21.599999999999998</v>
      </c>
      <c r="N55" s="31">
        <f t="shared" si="4"/>
        <v>4684.7971653543318</v>
      </c>
      <c r="O55" s="31">
        <f>IF(OR(B55="",C55=""),"",K55-N55 + IFERROR(E55 / SUMIFS('📅 Resumen Diario'!$D$5:$D$504, '📅 Resumen Diario'!$B$5:$B$504, B55, '📅 Resumen Diario'!$C$5:$C$504, D55) * (SUMIFS('📋 Detalle Diario'!$E$5:$E$489, '📋 Detalle Diario'!$B$5:$B$489, B55, '📋 Detalle Diario'!$C$5:$C$489, D55) * 135 + SUMIFS('📋 Detalle Diario'!$I$5:$I$489, '📋 Detalle Diario'!$B$5:$B$489, B55, '📋 Detalle Diario'!$C$5:$C$489, D55) * 200), 0))</f>
        <v>-2380.7971653543318</v>
      </c>
      <c r="P55" s="32">
        <f t="shared" si="5"/>
        <v>-1.0333321030183731</v>
      </c>
      <c r="Q55" s="33" t="str">
        <f t="shared" si="6"/>
        <v>2026-05</v>
      </c>
    </row>
    <row r="56" spans="2:17" ht="18" customHeight="1" x14ac:dyDescent="0.25">
      <c r="B56" s="26" t="s">
        <v>80</v>
      </c>
      <c r="C56" s="17" t="s">
        <v>142</v>
      </c>
      <c r="D56" s="27" t="s">
        <v>72</v>
      </c>
      <c r="E56" s="18">
        <v>180</v>
      </c>
      <c r="F56" s="18">
        <v>0</v>
      </c>
      <c r="G56" s="18">
        <v>180</v>
      </c>
      <c r="H56" s="30">
        <f t="shared" si="0"/>
        <v>180</v>
      </c>
      <c r="I56" s="31">
        <f>IF(OR(B56="",C56=""),"",IFERROR(E56*IF(E56="",0,VLOOKUP(C56,'📦 Precios Proforma'!$B$5:$D$104,IF(D56="DIA",2,3),FALSE)),0))</f>
        <v>1114.2</v>
      </c>
      <c r="J56" s="31">
        <f t="shared" si="1"/>
        <v>181.8</v>
      </c>
      <c r="K56" s="31">
        <f t="shared" si="2"/>
        <v>1296</v>
      </c>
      <c r="L56" s="31">
        <f>IF(OR(B56="",C56=""),"",IFERROR(E56 / SUMIFS('📅 Resumen Diario'!$D$5:$D$504, '📅 Resumen Diario'!$B$5:$B$504, B56, '📅 Resumen Diario'!$C$5:$C$504, D56) * SUMIFS('📅 Resumen Diario'!$K$5:$K$504, '📅 Resumen Diario'!$B$5:$B$504, B56, '📅 Resumen Diario'!$C$5:$C$504, D56), 0))</f>
        <v>1850.8337953526293</v>
      </c>
      <c r="M56" s="31">
        <f t="shared" si="3"/>
        <v>16.2</v>
      </c>
      <c r="N56" s="31">
        <f t="shared" si="4"/>
        <v>1867.0337953526293</v>
      </c>
      <c r="O56" s="31">
        <f>IF(OR(B56="",C56=""),"",K56-N56 + IFERROR(E56 / SUMIFS('📅 Resumen Diario'!$D$5:$D$504, '📅 Resumen Diario'!$B$5:$B$504, B56, '📅 Resumen Diario'!$C$5:$C$504, D56) * (SUMIFS('📋 Detalle Diario'!$E$5:$E$489, '📋 Detalle Diario'!$B$5:$B$489, B56, '📋 Detalle Diario'!$C$5:$C$489, D56) * 135 + SUMIFS('📋 Detalle Diario'!$I$5:$I$489, '📋 Detalle Diario'!$B$5:$B$489, B56, '📋 Detalle Diario'!$C$5:$C$489, D56) * 200), 0))</f>
        <v>-571.03379535262934</v>
      </c>
      <c r="P56" s="32">
        <f t="shared" si="5"/>
        <v>-0.44061249641406586</v>
      </c>
      <c r="Q56" s="33" t="str">
        <f t="shared" si="6"/>
        <v>2026-05</v>
      </c>
    </row>
    <row r="57" spans="2:17" ht="18" customHeight="1" x14ac:dyDescent="0.25">
      <c r="B57" s="26" t="s">
        <v>80</v>
      </c>
      <c r="C57" s="28" t="s">
        <v>139</v>
      </c>
      <c r="D57" s="27" t="s">
        <v>72</v>
      </c>
      <c r="E57" s="29">
        <v>238</v>
      </c>
      <c r="F57" s="29">
        <v>0</v>
      </c>
      <c r="G57" s="29">
        <v>0</v>
      </c>
      <c r="H57" s="30">
        <f t="shared" si="0"/>
        <v>0</v>
      </c>
      <c r="I57" s="31">
        <f>IF(OR(B57="",C57=""),"",IFERROR(E57*IF(E57="",0,VLOOKUP(C57,'📦 Precios Proforma'!$B$5:$D$104,IF(D57="DIA",2,3),FALSE)),0))</f>
        <v>10710</v>
      </c>
      <c r="J57" s="31">
        <f t="shared" si="1"/>
        <v>0</v>
      </c>
      <c r="K57" s="31">
        <f t="shared" si="2"/>
        <v>10710</v>
      </c>
      <c r="L57" s="31">
        <f>IF(OR(B57="",C57=""),"",IFERROR(E57 / SUMIFS('📅 Resumen Diario'!$D$5:$D$504, '📅 Resumen Diario'!$B$5:$B$504, B57, '📅 Resumen Diario'!$C$5:$C$504, D57) * SUMIFS('📅 Resumen Diario'!$K$5:$K$504, '📅 Resumen Diario'!$B$5:$B$504, B57, '📅 Resumen Diario'!$C$5:$C$504, D57), 0))</f>
        <v>2447.2135738551433</v>
      </c>
      <c r="M57" s="31">
        <f t="shared" si="3"/>
        <v>0</v>
      </c>
      <c r="N57" s="31">
        <f t="shared" si="4"/>
        <v>2447.2135738551433</v>
      </c>
      <c r="O57" s="31">
        <f>IF(OR(B57="",C57=""),"",K57-N57 + IFERROR(E57 / SUMIFS('📅 Resumen Diario'!$D$5:$D$504, '📅 Resumen Diario'!$B$5:$B$504, B57, '📅 Resumen Diario'!$C$5:$C$504, D57) * (SUMIFS('📋 Detalle Diario'!$E$5:$E$489, '📋 Detalle Diario'!$B$5:$B$489, B57, '📋 Detalle Diario'!$C$5:$C$489, D57) * 135 + SUMIFS('📋 Detalle Diario'!$I$5:$I$489, '📋 Detalle Diario'!$B$5:$B$489, B57, '📋 Detalle Diario'!$C$5:$C$489, D57) * 200), 0))</f>
        <v>8262.7864261448558</v>
      </c>
      <c r="P57" s="32">
        <f t="shared" si="5"/>
        <v>0.7715020005737494</v>
      </c>
      <c r="Q57" s="33" t="str">
        <f t="shared" si="6"/>
        <v>2026-05</v>
      </c>
    </row>
    <row r="58" spans="2:17" ht="18" customHeight="1" x14ac:dyDescent="0.25">
      <c r="B58" s="26" t="s">
        <v>80</v>
      </c>
      <c r="C58" s="17" t="s">
        <v>136</v>
      </c>
      <c r="D58" s="27" t="s">
        <v>72</v>
      </c>
      <c r="E58" s="18">
        <v>30</v>
      </c>
      <c r="F58" s="18">
        <v>0</v>
      </c>
      <c r="G58" s="18">
        <v>270</v>
      </c>
      <c r="H58" s="30">
        <f t="shared" si="0"/>
        <v>270</v>
      </c>
      <c r="I58" s="31">
        <f>IF(OR(B58="",C58=""),"",IFERROR(E58*IF(E58="",0,VLOOKUP(C58,'📦 Precios Proforma'!$B$5:$D$104,IF(D58="DIA",2,3),FALSE)),0))</f>
        <v>135.6</v>
      </c>
      <c r="J58" s="31">
        <f t="shared" si="1"/>
        <v>272.7</v>
      </c>
      <c r="K58" s="31">
        <f t="shared" si="2"/>
        <v>408.29999999999995</v>
      </c>
      <c r="L58" s="31">
        <f>IF(OR(B58="",C58=""),"",IFERROR(E58 / SUMIFS('📅 Resumen Diario'!$D$5:$D$504, '📅 Resumen Diario'!$B$5:$B$504, B58, '📅 Resumen Diario'!$C$5:$C$504, D58) * SUMIFS('📅 Resumen Diario'!$K$5:$K$504, '📅 Resumen Diario'!$B$5:$B$504, B58, '📅 Resumen Diario'!$C$5:$C$504, D58), 0))</f>
        <v>308.47229922543823</v>
      </c>
      <c r="M58" s="31">
        <f t="shared" si="3"/>
        <v>24.3</v>
      </c>
      <c r="N58" s="31">
        <f t="shared" si="4"/>
        <v>332.77229922543825</v>
      </c>
      <c r="O58" s="31">
        <f>IF(OR(B58="",C58=""),"",K58-N58 + IFERROR(E58 / SUMIFS('📅 Resumen Diario'!$D$5:$D$504, '📅 Resumen Diario'!$B$5:$B$504, B58, '📅 Resumen Diario'!$C$5:$C$504, D58) * (SUMIFS('📋 Detalle Diario'!$E$5:$E$489, '📋 Detalle Diario'!$B$5:$B$489, B58, '📋 Detalle Diario'!$C$5:$C$489, D58) * 135 + SUMIFS('📋 Detalle Diario'!$I$5:$I$489, '📋 Detalle Diario'!$B$5:$B$489, B58, '📋 Detalle Diario'!$C$5:$C$489, D58) * 200), 0))</f>
        <v>75.527700774561708</v>
      </c>
      <c r="P58" s="32">
        <f t="shared" si="5"/>
        <v>0.1849808982967468</v>
      </c>
      <c r="Q58" s="33" t="str">
        <f t="shared" si="6"/>
        <v>2026-05</v>
      </c>
    </row>
    <row r="59" spans="2:17" ht="18" customHeight="1" x14ac:dyDescent="0.25">
      <c r="B59" s="26" t="s">
        <v>80</v>
      </c>
      <c r="C59" s="28" t="s">
        <v>138</v>
      </c>
      <c r="D59" s="27" t="s">
        <v>72</v>
      </c>
      <c r="E59" s="29">
        <v>20</v>
      </c>
      <c r="F59" s="29">
        <v>0</v>
      </c>
      <c r="G59" s="29">
        <v>20</v>
      </c>
      <c r="H59" s="30">
        <f t="shared" si="0"/>
        <v>20</v>
      </c>
      <c r="I59" s="31">
        <f>IF(OR(B59="",C59=""),"",IFERROR(E59*IF(E59="",0,VLOOKUP(C59,'📦 Precios Proforma'!$B$5:$D$104,IF(D59="DIA",2,3),FALSE)),0))</f>
        <v>86.8</v>
      </c>
      <c r="J59" s="31">
        <f t="shared" si="1"/>
        <v>20.2</v>
      </c>
      <c r="K59" s="31">
        <f t="shared" si="2"/>
        <v>107</v>
      </c>
      <c r="L59" s="31">
        <f>IF(OR(B59="",C59=""),"",IFERROR(E59 / SUMIFS('📅 Resumen Diario'!$D$5:$D$504, '📅 Resumen Diario'!$B$5:$B$504, B59, '📅 Resumen Diario'!$C$5:$C$504, D59) * SUMIFS('📅 Resumen Diario'!$K$5:$K$504, '📅 Resumen Diario'!$B$5:$B$504, B59, '📅 Resumen Diario'!$C$5:$C$504, D59), 0))</f>
        <v>205.64819948362552</v>
      </c>
      <c r="M59" s="31">
        <f t="shared" si="3"/>
        <v>1.7999999999999998</v>
      </c>
      <c r="N59" s="31">
        <f t="shared" si="4"/>
        <v>207.44819948362553</v>
      </c>
      <c r="O59" s="31">
        <f>IF(OR(B59="",C59=""),"",K59-N59 + IFERROR(E59 / SUMIFS('📅 Resumen Diario'!$D$5:$D$504, '📅 Resumen Diario'!$B$5:$B$504, B59, '📅 Resumen Diario'!$C$5:$C$504, D59) * (SUMIFS('📋 Detalle Diario'!$E$5:$E$489, '📋 Detalle Diario'!$B$5:$B$489, B59, '📋 Detalle Diario'!$C$5:$C$489, D59) * 135 + SUMIFS('📋 Detalle Diario'!$I$5:$I$489, '📋 Detalle Diario'!$B$5:$B$489, B59, '📋 Detalle Diario'!$C$5:$C$489, D59) * 200), 0))</f>
        <v>-100.44819948362553</v>
      </c>
      <c r="P59" s="32">
        <f t="shared" si="5"/>
        <v>-0.93876821947313582</v>
      </c>
      <c r="Q59" s="33" t="str">
        <f t="shared" si="6"/>
        <v>2026-05</v>
      </c>
    </row>
    <row r="60" spans="2:17" ht="18" customHeight="1" x14ac:dyDescent="0.25">
      <c r="B60" s="26" t="s">
        <v>80</v>
      </c>
      <c r="C60" s="17" t="s">
        <v>134</v>
      </c>
      <c r="D60" s="27" t="s">
        <v>72</v>
      </c>
      <c r="E60" s="18">
        <v>22.6</v>
      </c>
      <c r="F60" s="18">
        <v>0</v>
      </c>
      <c r="G60" s="18">
        <v>0</v>
      </c>
      <c r="H60" s="30">
        <f t="shared" si="0"/>
        <v>0</v>
      </c>
      <c r="I60" s="31">
        <f>IF(OR(B60="",C60=""),"",IFERROR(E60*IF(E60="",0,VLOOKUP(C60,'📦 Precios Proforma'!$B$5:$D$104,IF(D60="DIA",2,3),FALSE)),0))</f>
        <v>1017.0000000000001</v>
      </c>
      <c r="J60" s="31">
        <f t="shared" si="1"/>
        <v>0</v>
      </c>
      <c r="K60" s="31">
        <f t="shared" si="2"/>
        <v>1017.0000000000001</v>
      </c>
      <c r="L60" s="31">
        <f>IF(OR(B60="",C60=""),"",IFERROR(E60 / SUMIFS('📅 Resumen Diario'!$D$5:$D$504, '📅 Resumen Diario'!$B$5:$B$504, B60, '📅 Resumen Diario'!$C$5:$C$504, D60) * SUMIFS('📅 Resumen Diario'!$K$5:$K$504, '📅 Resumen Diario'!$B$5:$B$504, B60, '📅 Resumen Diario'!$C$5:$C$504, D60), 0))</f>
        <v>232.38246541649681</v>
      </c>
      <c r="M60" s="31">
        <f t="shared" si="3"/>
        <v>0</v>
      </c>
      <c r="N60" s="31">
        <f t="shared" si="4"/>
        <v>232.38246541649681</v>
      </c>
      <c r="O60" s="31">
        <f>IF(OR(B60="",C60=""),"",K60-N60 + IFERROR(E60 / SUMIFS('📅 Resumen Diario'!$D$5:$D$504, '📅 Resumen Diario'!$B$5:$B$504, B60, '📅 Resumen Diario'!$C$5:$C$504, D60) * (SUMIFS('📋 Detalle Diario'!$E$5:$E$489, '📋 Detalle Diario'!$B$5:$B$489, B60, '📋 Detalle Diario'!$C$5:$C$489, D60) * 135 + SUMIFS('📋 Detalle Diario'!$I$5:$I$489, '📋 Detalle Diario'!$B$5:$B$489, B60, '📋 Detalle Diario'!$C$5:$C$489, D60) * 200), 0))</f>
        <v>784.61753458350336</v>
      </c>
      <c r="P60" s="32">
        <f t="shared" si="5"/>
        <v>0.77150200057374951</v>
      </c>
      <c r="Q60" s="33" t="str">
        <f t="shared" si="6"/>
        <v>2026-05</v>
      </c>
    </row>
    <row r="61" spans="2:17" ht="18" customHeight="1" x14ac:dyDescent="0.25">
      <c r="B61" s="26" t="s">
        <v>80</v>
      </c>
      <c r="C61" s="28" t="s">
        <v>145</v>
      </c>
      <c r="D61" s="27" t="s">
        <v>73</v>
      </c>
      <c r="E61" s="29">
        <v>945</v>
      </c>
      <c r="F61" s="29">
        <v>945</v>
      </c>
      <c r="G61" s="29">
        <v>1890</v>
      </c>
      <c r="H61" s="30">
        <f t="shared" si="0"/>
        <v>2835</v>
      </c>
      <c r="I61" s="31">
        <f>IF(OR(B61="",C61=""),"",IFERROR(E61*IF(E61="",0,VLOOKUP(C61,'📦 Precios Proforma'!$B$5:$D$104,IF(D61="DIA",2,3),FALSE)),0))</f>
        <v>5698.35</v>
      </c>
      <c r="J61" s="31">
        <f t="shared" si="1"/>
        <v>3827.2500000000005</v>
      </c>
      <c r="K61" s="31">
        <f t="shared" si="2"/>
        <v>9525.6</v>
      </c>
      <c r="L61" s="31">
        <f>IF(OR(B61="",C61=""),"",IFERROR(E61 / SUMIFS('📅 Resumen Diario'!$D$5:$D$504, '📅 Resumen Diario'!$B$5:$B$504, B61, '📅 Resumen Diario'!$C$5:$C$504, D61) * SUMIFS('📅 Resumen Diario'!$K$5:$K$504, '📅 Resumen Diario'!$B$5:$B$504, B61, '📅 Resumen Diario'!$C$5:$C$504, D61), 0))</f>
        <v>4058.990483028721</v>
      </c>
      <c r="M61" s="31">
        <f t="shared" si="3"/>
        <v>255.14999999999998</v>
      </c>
      <c r="N61" s="31">
        <f t="shared" si="4"/>
        <v>4314.1404830287211</v>
      </c>
      <c r="O61" s="31">
        <f>IF(OR(B61="",C61=""),"",K61-N61 + IFERROR(E61 / SUMIFS('📅 Resumen Diario'!$D$5:$D$504, '📅 Resumen Diario'!$B$5:$B$504, B61, '📅 Resumen Diario'!$C$5:$C$504, D61) * (SUMIFS('📋 Detalle Diario'!$E$5:$E$489, '📋 Detalle Diario'!$B$5:$B$489, B61, '📋 Detalle Diario'!$C$5:$C$489, D61) * 135 + SUMIFS('📋 Detalle Diario'!$I$5:$I$489, '📋 Detalle Diario'!$B$5:$B$489, B61, '📋 Detalle Diario'!$C$5:$C$489, D61) * 200), 0))</f>
        <v>5211.4595169712793</v>
      </c>
      <c r="P61" s="32">
        <f t="shared" si="5"/>
        <v>0.54710039440783564</v>
      </c>
      <c r="Q61" s="33" t="str">
        <f t="shared" si="6"/>
        <v>2026-05</v>
      </c>
    </row>
    <row r="62" spans="2:17" ht="18" customHeight="1" x14ac:dyDescent="0.25">
      <c r="B62" s="26" t="s">
        <v>80</v>
      </c>
      <c r="C62" s="17" t="s">
        <v>146</v>
      </c>
      <c r="D62" s="27" t="s">
        <v>73</v>
      </c>
      <c r="E62" s="18">
        <v>165</v>
      </c>
      <c r="F62" s="18">
        <v>165</v>
      </c>
      <c r="G62" s="18">
        <v>660</v>
      </c>
      <c r="H62" s="30">
        <f t="shared" si="0"/>
        <v>825</v>
      </c>
      <c r="I62" s="31">
        <f>IF(OR(B62="",C62=""),"",IFERROR(E62*IF(E62="",0,VLOOKUP(C62,'📦 Precios Proforma'!$B$5:$D$104,IF(D62="DIA",2,3),FALSE)),0))</f>
        <v>994.95</v>
      </c>
      <c r="J62" s="31">
        <f t="shared" si="1"/>
        <v>1113.75</v>
      </c>
      <c r="K62" s="31">
        <f t="shared" si="2"/>
        <v>2108.6999999999998</v>
      </c>
      <c r="L62" s="31">
        <f>IF(OR(B62="",C62=""),"",IFERROR(E62 / SUMIFS('📅 Resumen Diario'!$D$5:$D$504, '📅 Resumen Diario'!$B$5:$B$504, B62, '📅 Resumen Diario'!$C$5:$C$504, D62) * SUMIFS('📅 Resumen Diario'!$K$5:$K$504, '📅 Resumen Diario'!$B$5:$B$504, B62, '📅 Resumen Diario'!$C$5:$C$504, D62), 0))</f>
        <v>708.7126240208878</v>
      </c>
      <c r="M62" s="31">
        <f t="shared" si="3"/>
        <v>74.25</v>
      </c>
      <c r="N62" s="31">
        <f t="shared" si="4"/>
        <v>782.9626240208878</v>
      </c>
      <c r="O62" s="31">
        <f>IF(OR(B62="",C62=""),"",K62-N62 + IFERROR(E62 / SUMIFS('📅 Resumen Diario'!$D$5:$D$504, '📅 Resumen Diario'!$B$5:$B$504, B62, '📅 Resumen Diario'!$C$5:$C$504, D62) * (SUMIFS('📋 Detalle Diario'!$E$5:$E$489, '📋 Detalle Diario'!$B$5:$B$489, B62, '📋 Detalle Diario'!$C$5:$C$489, D62) * 135 + SUMIFS('📋 Detalle Diario'!$I$5:$I$489, '📋 Detalle Diario'!$B$5:$B$489, B62, '📋 Detalle Diario'!$C$5:$C$489, D62) * 200), 0))</f>
        <v>1325.7373759791121</v>
      </c>
      <c r="P62" s="32">
        <f t="shared" si="5"/>
        <v>0.62869890263153239</v>
      </c>
      <c r="Q62" s="33" t="str">
        <f t="shared" si="6"/>
        <v>2026-05</v>
      </c>
    </row>
    <row r="63" spans="2:17" ht="18" customHeight="1" x14ac:dyDescent="0.25">
      <c r="B63" s="26" t="s">
        <v>80</v>
      </c>
      <c r="C63" s="28" t="s">
        <v>136</v>
      </c>
      <c r="D63" s="27" t="s">
        <v>73</v>
      </c>
      <c r="E63" s="29">
        <v>33</v>
      </c>
      <c r="F63" s="29">
        <v>0</v>
      </c>
      <c r="G63" s="29">
        <v>297</v>
      </c>
      <c r="H63" s="30">
        <f t="shared" si="0"/>
        <v>297</v>
      </c>
      <c r="I63" s="31">
        <f>IF(OR(B63="",C63=""),"",IFERROR(E63*IF(E63="",0,VLOOKUP(C63,'📦 Precios Proforma'!$B$5:$D$104,IF(D63="DIA",2,3),FALSE)),0))</f>
        <v>198.99</v>
      </c>
      <c r="J63" s="31">
        <f t="shared" si="1"/>
        <v>400.95000000000005</v>
      </c>
      <c r="K63" s="31">
        <f t="shared" si="2"/>
        <v>599.94000000000005</v>
      </c>
      <c r="L63" s="31">
        <f>IF(OR(B63="",C63=""),"",IFERROR(E63 / SUMIFS('📅 Resumen Diario'!$D$5:$D$504, '📅 Resumen Diario'!$B$5:$B$504, B63, '📅 Resumen Diario'!$C$5:$C$504, D63) * SUMIFS('📅 Resumen Diario'!$K$5:$K$504, '📅 Resumen Diario'!$B$5:$B$504, B63, '📅 Resumen Diario'!$C$5:$C$504, D63), 0))</f>
        <v>141.74252480417758</v>
      </c>
      <c r="M63" s="31">
        <f t="shared" si="3"/>
        <v>26.73</v>
      </c>
      <c r="N63" s="31">
        <f t="shared" si="4"/>
        <v>168.47252480417757</v>
      </c>
      <c r="O63" s="31">
        <f>IF(OR(B63="",C63=""),"",K63-N63 + IFERROR(E63 / SUMIFS('📅 Resumen Diario'!$D$5:$D$504, '📅 Resumen Diario'!$B$5:$B$504, B63, '📅 Resumen Diario'!$C$5:$C$504, D63) * (SUMIFS('📋 Detalle Diario'!$E$5:$E$489, '📋 Detalle Diario'!$B$5:$B$489, B63, '📋 Detalle Diario'!$C$5:$C$489, D63) * 135 + SUMIFS('📋 Detalle Diario'!$I$5:$I$489, '📋 Detalle Diario'!$B$5:$B$489, B63, '📋 Detalle Diario'!$C$5:$C$489, D63) * 200), 0))</f>
        <v>431.46747519582249</v>
      </c>
      <c r="P63" s="32">
        <f t="shared" si="5"/>
        <v>0.71918437709741379</v>
      </c>
      <c r="Q63" s="33" t="str">
        <f t="shared" si="6"/>
        <v>2026-05</v>
      </c>
    </row>
    <row r="64" spans="2:17" ht="18" customHeight="1" x14ac:dyDescent="0.25">
      <c r="B64" s="26" t="s">
        <v>80</v>
      </c>
      <c r="C64" s="17" t="s">
        <v>134</v>
      </c>
      <c r="D64" s="27" t="s">
        <v>73</v>
      </c>
      <c r="E64" s="18">
        <v>6</v>
      </c>
      <c r="F64" s="18">
        <v>0</v>
      </c>
      <c r="G64" s="18">
        <v>0</v>
      </c>
      <c r="H64" s="30">
        <f t="shared" si="0"/>
        <v>0</v>
      </c>
      <c r="I64" s="31">
        <f>IF(OR(B64="",C64=""),"",IFERROR(E64*IF(E64="",0,VLOOKUP(C64,'📦 Precios Proforma'!$B$5:$D$104,IF(D64="DIA",2,3),FALSE)),0))</f>
        <v>360</v>
      </c>
      <c r="J64" s="31">
        <f t="shared" si="1"/>
        <v>0</v>
      </c>
      <c r="K64" s="31">
        <f t="shared" si="2"/>
        <v>360</v>
      </c>
      <c r="L64" s="31">
        <f>IF(OR(B64="",C64=""),"",IFERROR(E64 / SUMIFS('📅 Resumen Diario'!$D$5:$D$504, '📅 Resumen Diario'!$B$5:$B$504, B64, '📅 Resumen Diario'!$C$5:$C$504, D64) * SUMIFS('📅 Resumen Diario'!$K$5:$K$504, '📅 Resumen Diario'!$B$5:$B$504, B64, '📅 Resumen Diario'!$C$5:$C$504, D64), 0))</f>
        <v>25.771368146214101</v>
      </c>
      <c r="M64" s="31">
        <f t="shared" si="3"/>
        <v>0</v>
      </c>
      <c r="N64" s="31">
        <f t="shared" si="4"/>
        <v>25.771368146214101</v>
      </c>
      <c r="O64" s="31">
        <f>IF(OR(B64="",C64=""),"",K64-N64 + IFERROR(E64 / SUMIFS('📅 Resumen Diario'!$D$5:$D$504, '📅 Resumen Diario'!$B$5:$B$504, B64, '📅 Resumen Diario'!$C$5:$C$504, D64) * (SUMIFS('📋 Detalle Diario'!$E$5:$E$489, '📋 Detalle Diario'!$B$5:$B$489, B64, '📋 Detalle Diario'!$C$5:$C$489, D64) * 135 + SUMIFS('📋 Detalle Diario'!$I$5:$I$489, '📋 Detalle Diario'!$B$5:$B$489, B64, '📋 Detalle Diario'!$C$5:$C$489, D64) * 200), 0))</f>
        <v>334.22863185378588</v>
      </c>
      <c r="P64" s="32">
        <f t="shared" si="5"/>
        <v>0.92841286626051633</v>
      </c>
      <c r="Q64" s="33" t="str">
        <f t="shared" si="6"/>
        <v>2026-05</v>
      </c>
    </row>
    <row r="65" spans="2:17" ht="18" customHeight="1" x14ac:dyDescent="0.25">
      <c r="B65" s="26" t="s">
        <v>81</v>
      </c>
      <c r="C65" s="28" t="s">
        <v>137</v>
      </c>
      <c r="D65" s="27" t="s">
        <v>72</v>
      </c>
      <c r="E65" s="29">
        <v>120</v>
      </c>
      <c r="F65" s="29">
        <v>0</v>
      </c>
      <c r="G65" s="29">
        <v>1440</v>
      </c>
      <c r="H65" s="30">
        <f t="shared" si="0"/>
        <v>1440</v>
      </c>
      <c r="I65" s="31">
        <f>IF(OR(B65="",C65=""),"",IFERROR(E65*IF(E65="",0,VLOOKUP(C65,'📦 Precios Proforma'!$B$5:$D$104,IF(D65="DIA",2,3),FALSE)),0))</f>
        <v>667.19999999999993</v>
      </c>
      <c r="J65" s="31">
        <f t="shared" si="1"/>
        <v>1454.4</v>
      </c>
      <c r="K65" s="31">
        <f t="shared" si="2"/>
        <v>2121.6</v>
      </c>
      <c r="L65" s="31">
        <f>IF(OR(B65="",C65=""),"",IFERROR(E65 / SUMIFS('📅 Resumen Diario'!$D$5:$D$504, '📅 Resumen Diario'!$B$5:$B$504, B65, '📅 Resumen Diario'!$C$5:$C$504, D65) * SUMIFS('📅 Resumen Diario'!$K$5:$K$504, '📅 Resumen Diario'!$B$5:$B$504, B65, '📅 Resumen Diario'!$C$5:$C$504, D65), 0))</f>
        <v>971.66298555377216</v>
      </c>
      <c r="M65" s="31">
        <f t="shared" si="3"/>
        <v>129.6</v>
      </c>
      <c r="N65" s="31">
        <f t="shared" si="4"/>
        <v>1101.2629855537721</v>
      </c>
      <c r="O65" s="31">
        <f>IF(OR(B65="",C65=""),"",K65-N65 + IFERROR(E65 / SUMIFS('📅 Resumen Diario'!$D$5:$D$504, '📅 Resumen Diario'!$B$5:$B$504, B65, '📅 Resumen Diario'!$C$5:$C$504, D65) * (SUMIFS('📋 Detalle Diario'!$E$5:$E$489, '📋 Detalle Diario'!$B$5:$B$489, B65, '📋 Detalle Diario'!$C$5:$C$489, D65) * 135 + SUMIFS('📋 Detalle Diario'!$I$5:$I$489, '📋 Detalle Diario'!$B$5:$B$489, B65, '📋 Detalle Diario'!$C$5:$C$489, D65) * 200), 0))</f>
        <v>1020.3370144462278</v>
      </c>
      <c r="P65" s="32">
        <f t="shared" si="5"/>
        <v>0.48092807996145731</v>
      </c>
      <c r="Q65" s="33" t="str">
        <f t="shared" si="6"/>
        <v>2026-05</v>
      </c>
    </row>
    <row r="66" spans="2:17" ht="18" customHeight="1" x14ac:dyDescent="0.25">
      <c r="B66" s="26" t="s">
        <v>81</v>
      </c>
      <c r="C66" s="17" t="s">
        <v>139</v>
      </c>
      <c r="D66" s="27" t="s">
        <v>72</v>
      </c>
      <c r="E66" s="18">
        <v>233</v>
      </c>
      <c r="F66" s="18">
        <v>0</v>
      </c>
      <c r="G66" s="18">
        <v>0</v>
      </c>
      <c r="H66" s="30">
        <f t="shared" si="0"/>
        <v>0</v>
      </c>
      <c r="I66" s="31">
        <f>IF(OR(B66="",C66=""),"",IFERROR(E66*IF(E66="",0,VLOOKUP(C66,'📦 Precios Proforma'!$B$5:$D$104,IF(D66="DIA",2,3),FALSE)),0))</f>
        <v>10485</v>
      </c>
      <c r="J66" s="31">
        <f t="shared" si="1"/>
        <v>0</v>
      </c>
      <c r="K66" s="31">
        <f t="shared" si="2"/>
        <v>10485</v>
      </c>
      <c r="L66" s="31">
        <f>IF(OR(B66="",C66=""),"",IFERROR(E66 / SUMIFS('📅 Resumen Diario'!$D$5:$D$504, '📅 Resumen Diario'!$B$5:$B$504, B66, '📅 Resumen Diario'!$C$5:$C$504, D66) * SUMIFS('📅 Resumen Diario'!$K$5:$K$504, '📅 Resumen Diario'!$B$5:$B$504, B66, '📅 Resumen Diario'!$C$5:$C$504, D66), 0))</f>
        <v>1886.6456302835741</v>
      </c>
      <c r="M66" s="31">
        <f t="shared" si="3"/>
        <v>0</v>
      </c>
      <c r="N66" s="31">
        <f t="shared" si="4"/>
        <v>1886.6456302835741</v>
      </c>
      <c r="O66" s="31">
        <f>IF(OR(B66="",C66=""),"",K66-N66 + IFERROR(E66 / SUMIFS('📅 Resumen Diario'!$D$5:$D$504, '📅 Resumen Diario'!$B$5:$B$504, B66, '📅 Resumen Diario'!$C$5:$C$504, D66) * (SUMIFS('📋 Detalle Diario'!$E$5:$E$489, '📋 Detalle Diario'!$B$5:$B$489, B66, '📋 Detalle Diario'!$C$5:$C$489, D66) * 135 + SUMIFS('📋 Detalle Diario'!$I$5:$I$489, '📋 Detalle Diario'!$B$5:$B$489, B66, '📋 Detalle Diario'!$C$5:$C$489, D66) * 200), 0))</f>
        <v>8598.3543697164259</v>
      </c>
      <c r="P66" s="32">
        <f t="shared" si="5"/>
        <v>0.82006241008263481</v>
      </c>
      <c r="Q66" s="33" t="str">
        <f t="shared" si="6"/>
        <v>2026-05</v>
      </c>
    </row>
    <row r="67" spans="2:17" ht="18" customHeight="1" x14ac:dyDescent="0.3">
      <c r="B67" s="26" t="s">
        <v>81</v>
      </c>
      <c r="C67" s="28" t="s">
        <v>144</v>
      </c>
      <c r="D67" s="27" t="s">
        <v>72</v>
      </c>
      <c r="E67" s="29">
        <v>270</v>
      </c>
      <c r="F67" s="29">
        <v>270</v>
      </c>
      <c r="G67" s="29">
        <v>540</v>
      </c>
      <c r="H67" s="30">
        <f t="shared" si="0"/>
        <v>810</v>
      </c>
      <c r="I67" s="31">
        <f>IF(OR(B67="",C67=""),"",IFERROR(E67*IF(E67="",0,VLOOKUP(C67,'📦 Precios Proforma'!$B$5:$D$104,IF(D67="DIA",2,3),FALSE)),0))</f>
        <v>1220.3999999999999</v>
      </c>
      <c r="J67" s="31">
        <f t="shared" si="1"/>
        <v>818.1</v>
      </c>
      <c r="K67" s="31">
        <f t="shared" si="2"/>
        <v>2038.5</v>
      </c>
      <c r="L67" s="31">
        <f>IF(OR(B67="",C67=""),"",IFERROR(E67 / SUMIFS('📅 Resumen Diario'!$D$5:$D$504, '📅 Resumen Diario'!$B$5:$B$504, B67, '📅 Resumen Diario'!$C$5:$C$504, D67) * SUMIFS('📅 Resumen Diario'!$K$5:$K$504, '📅 Resumen Diario'!$B$5:$B$504, B67, '📅 Resumen Diario'!$C$5:$C$504, D67), 0))</f>
        <v>2186.2417174959874</v>
      </c>
      <c r="M67" s="31">
        <f t="shared" si="3"/>
        <v>72.899999999999991</v>
      </c>
      <c r="N67" s="31">
        <f t="shared" si="4"/>
        <v>2259.1417174959875</v>
      </c>
      <c r="O67" s="31">
        <f>IF(OR(B67="",C67=""),"",K67-N67 + IFERROR(E67 / SUMIFS('📅 Resumen Diario'!$D$5:$D$504, '📅 Resumen Diario'!$B$5:$B$504, B67, '📅 Resumen Diario'!$C$5:$C$504, D67) * (SUMIFS('📋 Detalle Diario'!$E$5:$E$489, '📋 Detalle Diario'!$B$5:$B$489, B67, '📋 Detalle Diario'!$C$5:$C$489, D67) * 135 + SUMIFS('📋 Detalle Diario'!$I$5:$I$489, '📋 Detalle Diario'!$B$5:$B$489, B67, '📋 Detalle Diario'!$C$5:$C$489, D67) * 200), 0))</f>
        <v>-220.64171749598745</v>
      </c>
      <c r="P67" s="32">
        <f t="shared" si="5"/>
        <v>-0.10823729089820332</v>
      </c>
      <c r="Q67" s="33" t="str">
        <f t="shared" si="6"/>
        <v>2026-05</v>
      </c>
    </row>
    <row r="68" spans="2:17" ht="18" customHeight="1" x14ac:dyDescent="0.3">
      <c r="B68" s="26" t="s">
        <v>82</v>
      </c>
      <c r="C68" s="17" t="s">
        <v>139</v>
      </c>
      <c r="D68" s="27" t="s">
        <v>72</v>
      </c>
      <c r="E68" s="18">
        <v>346</v>
      </c>
      <c r="F68" s="18">
        <v>0</v>
      </c>
      <c r="G68" s="18">
        <v>0</v>
      </c>
      <c r="H68" s="30">
        <f t="shared" si="0"/>
        <v>0</v>
      </c>
      <c r="I68" s="31">
        <f>IF(OR(B68="",C68=""),"",IFERROR(E68*IF(E68="",0,VLOOKUP(C68,'📦 Precios Proforma'!$B$5:$D$104,IF(D68="DIA",2,3),FALSE)),0))</f>
        <v>15570</v>
      </c>
      <c r="J68" s="31">
        <f t="shared" si="1"/>
        <v>0</v>
      </c>
      <c r="K68" s="31">
        <f t="shared" si="2"/>
        <v>15570</v>
      </c>
      <c r="L68" s="31">
        <f>IF(OR(B68="",C68=""),"",IFERROR(E68 / SUMIFS('📅 Resumen Diario'!$D$5:$D$504, '📅 Resumen Diario'!$B$5:$B$504, B68, '📅 Resumen Diario'!$C$5:$C$504, D68) * SUMIFS('📅 Resumen Diario'!$K$5:$K$504, '📅 Resumen Diario'!$B$5:$B$504, B68, '📅 Resumen Diario'!$C$5:$C$504, D68), 0))</f>
        <v>5044.5503333333336</v>
      </c>
      <c r="M68" s="31">
        <f t="shared" si="3"/>
        <v>0</v>
      </c>
      <c r="N68" s="31">
        <f t="shared" si="4"/>
        <v>5044.5503333333336</v>
      </c>
      <c r="O68" s="31">
        <f>IF(OR(B68="",C68=""),"",K68-N68 + IFERROR(E68 / SUMIFS('📅 Resumen Diario'!$D$5:$D$504, '📅 Resumen Diario'!$B$5:$B$504, B68, '📅 Resumen Diario'!$C$5:$C$504, D68) * (SUMIFS('📋 Detalle Diario'!$E$5:$E$489, '📋 Detalle Diario'!$B$5:$B$489, B68, '📋 Detalle Diario'!$C$5:$C$489, D68) * 135 + SUMIFS('📋 Detalle Diario'!$I$5:$I$489, '📋 Detalle Diario'!$B$5:$B$489, B68, '📋 Detalle Diario'!$C$5:$C$489, D68) * 200), 0))</f>
        <v>10525.449666666667</v>
      </c>
      <c r="P68" s="32">
        <f t="shared" si="5"/>
        <v>0.6760083279811604</v>
      </c>
      <c r="Q68" s="33" t="str">
        <f t="shared" si="6"/>
        <v>2026-05</v>
      </c>
    </row>
    <row r="69" spans="2:17" ht="18" customHeight="1" x14ac:dyDescent="0.3">
      <c r="B69" s="26" t="s">
        <v>82</v>
      </c>
      <c r="C69" s="28" t="s">
        <v>129</v>
      </c>
      <c r="D69" s="27" t="s">
        <v>73</v>
      </c>
      <c r="E69" s="29">
        <v>560</v>
      </c>
      <c r="F69" s="29">
        <v>0</v>
      </c>
      <c r="G69" s="29">
        <v>560</v>
      </c>
      <c r="H69" s="30">
        <f t="shared" si="0"/>
        <v>560</v>
      </c>
      <c r="I69" s="31">
        <f>IF(OR(B69="",C69=""),"",IFERROR(E69*IF(E69="",0,VLOOKUP(C69,'📦 Precios Proforma'!$B$5:$D$104,IF(D69="DIA",2,3),FALSE)),0))</f>
        <v>3376.8</v>
      </c>
      <c r="J69" s="31">
        <f t="shared" si="1"/>
        <v>756</v>
      </c>
      <c r="K69" s="31">
        <f t="shared" si="2"/>
        <v>4132.8</v>
      </c>
      <c r="L69" s="31">
        <f>IF(OR(B69="",C69=""),"",IFERROR(E69 / SUMIFS('📅 Resumen Diario'!$D$5:$D$504, '📅 Resumen Diario'!$B$5:$B$504, B69, '📅 Resumen Diario'!$C$5:$C$504, D69) * SUMIFS('📅 Resumen Diario'!$K$5:$K$504, '📅 Resumen Diario'!$B$5:$B$504, B69, '📅 Resumen Diario'!$C$5:$C$504, D69), 0))</f>
        <v>4935.2170000000006</v>
      </c>
      <c r="M69" s="31">
        <f t="shared" si="3"/>
        <v>50.4</v>
      </c>
      <c r="N69" s="31">
        <f t="shared" si="4"/>
        <v>4985.6170000000002</v>
      </c>
      <c r="O69" s="31">
        <f>IF(OR(B69="",C69=""),"",K69-N69 + IFERROR(E69 / SUMIFS('📅 Resumen Diario'!$D$5:$D$504, '📅 Resumen Diario'!$B$5:$B$504, B69, '📅 Resumen Diario'!$C$5:$C$504, D69) * (SUMIFS('📋 Detalle Diario'!$E$5:$E$489, '📋 Detalle Diario'!$B$5:$B$489, B69, '📋 Detalle Diario'!$C$5:$C$489, D69) * 135 + SUMIFS('📋 Detalle Diario'!$I$5:$I$489, '📋 Detalle Diario'!$B$5:$B$489, B69, '📋 Detalle Diario'!$C$5:$C$489, D69) * 200), 0))</f>
        <v>-852.81700000000001</v>
      </c>
      <c r="P69" s="32">
        <f t="shared" si="5"/>
        <v>-0.20635331978319782</v>
      </c>
      <c r="Q69" s="33" t="str">
        <f t="shared" si="6"/>
        <v>2026-05</v>
      </c>
    </row>
    <row r="70" spans="2:17" ht="18" customHeight="1" x14ac:dyDescent="0.3">
      <c r="B70" s="26" t="s">
        <v>83</v>
      </c>
      <c r="C70" s="17" t="s">
        <v>141</v>
      </c>
      <c r="D70" s="27" t="s">
        <v>72</v>
      </c>
      <c r="E70" s="18">
        <v>240</v>
      </c>
      <c r="F70" s="18">
        <v>0</v>
      </c>
      <c r="G70" s="18">
        <v>240</v>
      </c>
      <c r="H70" s="30">
        <f t="shared" si="0"/>
        <v>240</v>
      </c>
      <c r="I70" s="31">
        <f>IF(OR(B70="",C70=""),"",IFERROR(E70*IF(E70="",0,VLOOKUP(C70,'📦 Precios Proforma'!$B$5:$D$104,IF(D70="DIA",2,3),FALSE)),0))</f>
        <v>1485.6000000000001</v>
      </c>
      <c r="J70" s="31">
        <f t="shared" si="1"/>
        <v>242.4</v>
      </c>
      <c r="K70" s="31">
        <f t="shared" si="2"/>
        <v>1728.0000000000002</v>
      </c>
      <c r="L70" s="31">
        <f>IF(OR(B70="",C70=""),"",IFERROR(E70 / SUMIFS('📅 Resumen Diario'!$D$5:$D$504, '📅 Resumen Diario'!$B$5:$B$504, B70, '📅 Resumen Diario'!$C$5:$C$504, D70) * SUMIFS('📅 Resumen Diario'!$K$5:$K$504, '📅 Resumen Diario'!$B$5:$B$504, B70, '📅 Resumen Diario'!$C$5:$C$504, D70), 0))</f>
        <v>2378.5699017681732</v>
      </c>
      <c r="M70" s="31">
        <f t="shared" si="3"/>
        <v>21.599999999999998</v>
      </c>
      <c r="N70" s="31">
        <f t="shared" si="4"/>
        <v>2400.1699017681731</v>
      </c>
      <c r="O70" s="31">
        <f>IF(OR(B70="",C70=""),"",K70-N70 + IFERROR(E70 / SUMIFS('📅 Resumen Diario'!$D$5:$D$504, '📅 Resumen Diario'!$B$5:$B$504, B70, '📅 Resumen Diario'!$C$5:$C$504, D70) * (SUMIFS('📋 Detalle Diario'!$E$5:$E$489, '📋 Detalle Diario'!$B$5:$B$489, B70, '📋 Detalle Diario'!$C$5:$C$489, D70) * 135 + SUMIFS('📋 Detalle Diario'!$I$5:$I$489, '📋 Detalle Diario'!$B$5:$B$489, B70, '📋 Detalle Diario'!$C$5:$C$489, D70) * 200), 0))</f>
        <v>-672.16990176817285</v>
      </c>
      <c r="P70" s="32">
        <f t="shared" si="5"/>
        <v>-0.38898721167139627</v>
      </c>
      <c r="Q70" s="33" t="str">
        <f t="shared" si="6"/>
        <v>2026-05</v>
      </c>
    </row>
    <row r="71" spans="2:17" ht="18" customHeight="1" x14ac:dyDescent="0.3">
      <c r="B71" s="26" t="s">
        <v>83</v>
      </c>
      <c r="C71" s="28" t="s">
        <v>132</v>
      </c>
      <c r="D71" s="27" t="s">
        <v>72</v>
      </c>
      <c r="E71" s="29">
        <v>240</v>
      </c>
      <c r="F71" s="29">
        <v>240</v>
      </c>
      <c r="G71" s="29">
        <v>960</v>
      </c>
      <c r="H71" s="30">
        <f t="shared" ref="H71:H134" si="7">IF(OR(B71="",C71=""),"",F71+G71)</f>
        <v>1200</v>
      </c>
      <c r="I71" s="31">
        <f>IF(OR(B71="",C71=""),"",IFERROR(E71*IF(E71="",0,VLOOKUP(C71,'📦 Precios Proforma'!$B$5:$D$104,IF(D71="DIA",2,3),FALSE)),0))</f>
        <v>1084.8</v>
      </c>
      <c r="J71" s="31">
        <f t="shared" ref="J71:J134" si="8">IF(OR(B71="",C71=""),"",IF(D71="DIA",H71*1.01,H71*1.35))</f>
        <v>1212</v>
      </c>
      <c r="K71" s="31">
        <f t="shared" ref="K71:K134" si="9">IF(OR(B71="",C71=""),"",I71+J71)</f>
        <v>2296.8000000000002</v>
      </c>
      <c r="L71" s="31">
        <f>IF(OR(B71="",C71=""),"",IFERROR(E71 / SUMIFS('📅 Resumen Diario'!$D$5:$D$504, '📅 Resumen Diario'!$B$5:$B$504, B71, '📅 Resumen Diario'!$C$5:$C$504, D71) * SUMIFS('📅 Resumen Diario'!$K$5:$K$504, '📅 Resumen Diario'!$B$5:$B$504, B71, '📅 Resumen Diario'!$C$5:$C$504, D71), 0))</f>
        <v>2378.5699017681732</v>
      </c>
      <c r="M71" s="31">
        <f t="shared" ref="M71:M134" si="10">IF(OR(B71="",C71=""),"",H71*0.09)</f>
        <v>108</v>
      </c>
      <c r="N71" s="31">
        <f t="shared" ref="N71:N134" si="11">IF(OR(B71="",C71=""),"",L71+M71)</f>
        <v>2486.5699017681732</v>
      </c>
      <c r="O71" s="31">
        <f>IF(OR(B71="",C71=""),"",K71-N71 + IFERROR(E71 / SUMIFS('📅 Resumen Diario'!$D$5:$D$504, '📅 Resumen Diario'!$B$5:$B$504, B71, '📅 Resumen Diario'!$C$5:$C$504, D71) * (SUMIFS('📋 Detalle Diario'!$E$5:$E$489, '📋 Detalle Diario'!$B$5:$B$489, B71, '📋 Detalle Diario'!$C$5:$C$489, D71) * 135 + SUMIFS('📋 Detalle Diario'!$I$5:$I$489, '📋 Detalle Diario'!$B$5:$B$489, B71, '📋 Detalle Diario'!$C$5:$C$489, D71) * 200), 0))</f>
        <v>-189.76990176817299</v>
      </c>
      <c r="P71" s="32">
        <f t="shared" ref="P71:P134" si="12">IF(OR(B71="",C71=""),"",IF(K71=0, 0, O71/K71))</f>
        <v>-8.262360752706939E-2</v>
      </c>
      <c r="Q71" s="33" t="str">
        <f t="shared" ref="Q71:Q134" si="13">IF(B71="","",IF(ISNUMBER(B71),YEAR(B71)&amp;"-"&amp;IF(MONTH(B71)&lt;10,"0","")&amp;MONTH(B71),LEFT(B71,7)))</f>
        <v>2026-05</v>
      </c>
    </row>
    <row r="72" spans="2:17" ht="18" customHeight="1" x14ac:dyDescent="0.3">
      <c r="B72" s="26" t="s">
        <v>83</v>
      </c>
      <c r="C72" s="17" t="s">
        <v>134</v>
      </c>
      <c r="D72" s="27" t="s">
        <v>72</v>
      </c>
      <c r="E72" s="18">
        <v>29</v>
      </c>
      <c r="F72" s="18">
        <v>0</v>
      </c>
      <c r="G72" s="18">
        <v>0</v>
      </c>
      <c r="H72" s="30">
        <f t="shared" si="7"/>
        <v>0</v>
      </c>
      <c r="I72" s="31">
        <f>IF(OR(B72="",C72=""),"",IFERROR(E72*IF(E72="",0,VLOOKUP(C72,'📦 Precios Proforma'!$B$5:$D$104,IF(D72="DIA",2,3),FALSE)),0))</f>
        <v>1305</v>
      </c>
      <c r="J72" s="31">
        <f t="shared" si="8"/>
        <v>0</v>
      </c>
      <c r="K72" s="31">
        <f t="shared" si="9"/>
        <v>1305</v>
      </c>
      <c r="L72" s="31">
        <f>IF(OR(B72="",C72=""),"",IFERROR(E72 / SUMIFS('📅 Resumen Diario'!$D$5:$D$504, '📅 Resumen Diario'!$B$5:$B$504, B72, '📅 Resumen Diario'!$C$5:$C$504, D72) * SUMIFS('📅 Resumen Diario'!$K$5:$K$504, '📅 Resumen Diario'!$B$5:$B$504, B72, '📅 Resumen Diario'!$C$5:$C$504, D72), 0))</f>
        <v>287.41052979698759</v>
      </c>
      <c r="M72" s="31">
        <f t="shared" si="10"/>
        <v>0</v>
      </c>
      <c r="N72" s="31">
        <f t="shared" si="11"/>
        <v>287.41052979698759</v>
      </c>
      <c r="O72" s="31">
        <f>IF(OR(B72="",C72=""),"",K72-N72 + IFERROR(E72 / SUMIFS('📅 Resumen Diario'!$D$5:$D$504, '📅 Resumen Diario'!$B$5:$B$504, B72, '📅 Resumen Diario'!$C$5:$C$504, D72) * (SUMIFS('📋 Detalle Diario'!$E$5:$E$489, '📋 Detalle Diario'!$B$5:$B$489, B72, '📋 Detalle Diario'!$C$5:$C$489, D72) * 135 + SUMIFS('📋 Detalle Diario'!$I$5:$I$489, '📋 Detalle Diario'!$B$5:$B$489, B72, '📋 Detalle Diario'!$C$5:$C$489, D72) * 200), 0))</f>
        <v>1017.5894702030124</v>
      </c>
      <c r="P72" s="32">
        <f t="shared" si="12"/>
        <v>0.7797620461325766</v>
      </c>
      <c r="Q72" s="33" t="str">
        <f t="shared" si="13"/>
        <v>2026-05</v>
      </c>
    </row>
    <row r="73" spans="2:17" ht="18" customHeight="1" x14ac:dyDescent="0.3">
      <c r="B73" s="26" t="s">
        <v>83</v>
      </c>
      <c r="C73" s="28" t="s">
        <v>134</v>
      </c>
      <c r="D73" s="27" t="s">
        <v>73</v>
      </c>
      <c r="E73" s="29">
        <v>6.6</v>
      </c>
      <c r="F73" s="29">
        <v>0</v>
      </c>
      <c r="G73" s="29">
        <v>0</v>
      </c>
      <c r="H73" s="30">
        <f t="shared" si="7"/>
        <v>0</v>
      </c>
      <c r="I73" s="31">
        <f>IF(OR(B73="",C73=""),"",IFERROR(E73*IF(E73="",0,VLOOKUP(C73,'📦 Precios Proforma'!$B$5:$D$104,IF(D73="DIA",2,3),FALSE)),0))</f>
        <v>396</v>
      </c>
      <c r="J73" s="31">
        <f t="shared" si="8"/>
        <v>0</v>
      </c>
      <c r="K73" s="31">
        <f t="shared" si="9"/>
        <v>396</v>
      </c>
      <c r="L73" s="31">
        <f>IF(OR(B73="",C73=""),"",IFERROR(E73 / SUMIFS('📅 Resumen Diario'!$D$5:$D$504, '📅 Resumen Diario'!$B$5:$B$504, B73, '📅 Resumen Diario'!$C$5:$C$504, D73) * SUMIFS('📅 Resumen Diario'!$K$5:$K$504, '📅 Resumen Diario'!$B$5:$B$504, B73, '📅 Resumen Diario'!$C$5:$C$504, D73), 0))</f>
        <v>50.374933807609032</v>
      </c>
      <c r="M73" s="31">
        <f t="shared" si="10"/>
        <v>0</v>
      </c>
      <c r="N73" s="31">
        <f t="shared" si="11"/>
        <v>50.374933807609032</v>
      </c>
      <c r="O73" s="31">
        <f>IF(OR(B73="",C73=""),"",K73-N73 + IFERROR(E73 / SUMIFS('📅 Resumen Diario'!$D$5:$D$504, '📅 Resumen Diario'!$B$5:$B$504, B73, '📅 Resumen Diario'!$C$5:$C$504, D73) * (SUMIFS('📋 Detalle Diario'!$E$5:$E$489, '📋 Detalle Diario'!$B$5:$B$489, B73, '📋 Detalle Diario'!$C$5:$C$489, D73) * 135 + SUMIFS('📋 Detalle Diario'!$I$5:$I$489, '📋 Detalle Diario'!$B$5:$B$489, B73, '📋 Detalle Diario'!$C$5:$C$489, D73) * 200), 0))</f>
        <v>345.62506619239099</v>
      </c>
      <c r="P73" s="32">
        <f t="shared" si="12"/>
        <v>0.87279057119290648</v>
      </c>
      <c r="Q73" s="33" t="str">
        <f t="shared" si="13"/>
        <v>2026-05</v>
      </c>
    </row>
    <row r="74" spans="2:17" ht="18" customHeight="1" x14ac:dyDescent="0.3">
      <c r="B74" s="26" t="s">
        <v>83</v>
      </c>
      <c r="C74" s="17" t="s">
        <v>136</v>
      </c>
      <c r="D74" s="27" t="s">
        <v>73</v>
      </c>
      <c r="E74" s="18">
        <v>420</v>
      </c>
      <c r="F74" s="18">
        <v>0</v>
      </c>
      <c r="G74" s="18">
        <v>1380</v>
      </c>
      <c r="H74" s="30">
        <f t="shared" si="7"/>
        <v>1380</v>
      </c>
      <c r="I74" s="31">
        <f>IF(OR(B74="",C74=""),"",IFERROR(E74*IF(E74="",0,VLOOKUP(C74,'📦 Precios Proforma'!$B$5:$D$104,IF(D74="DIA",2,3),FALSE)),0))</f>
        <v>2532.6</v>
      </c>
      <c r="J74" s="31">
        <f t="shared" si="8"/>
        <v>1863.0000000000002</v>
      </c>
      <c r="K74" s="31">
        <f t="shared" si="9"/>
        <v>4395.6000000000004</v>
      </c>
      <c r="L74" s="31">
        <f>IF(OR(B74="",C74=""),"",IFERROR(E74 / SUMIFS('📅 Resumen Diario'!$D$5:$D$504, '📅 Resumen Diario'!$B$5:$B$504, B74, '📅 Resumen Diario'!$C$5:$C$504, D74) * SUMIFS('📅 Resumen Diario'!$K$5:$K$504, '📅 Resumen Diario'!$B$5:$B$504, B74, '📅 Resumen Diario'!$C$5:$C$504, D74), 0))</f>
        <v>3205.6776059387571</v>
      </c>
      <c r="M74" s="31">
        <f t="shared" si="10"/>
        <v>124.19999999999999</v>
      </c>
      <c r="N74" s="31">
        <f t="shared" si="11"/>
        <v>3329.8776059387569</v>
      </c>
      <c r="O74" s="31">
        <f>IF(OR(B74="",C74=""),"",K74-N74 + IFERROR(E74 / SUMIFS('📅 Resumen Diario'!$D$5:$D$504, '📅 Resumen Diario'!$B$5:$B$504, B74, '📅 Resumen Diario'!$C$5:$C$504, D74) * (SUMIFS('📋 Detalle Diario'!$E$5:$E$489, '📋 Detalle Diario'!$B$5:$B$489, B74, '📋 Detalle Diario'!$C$5:$C$489, D74) * 135 + SUMIFS('📋 Detalle Diario'!$I$5:$I$489, '📋 Detalle Diario'!$B$5:$B$489, B74, '📋 Detalle Diario'!$C$5:$C$489, D74) * 200), 0))</f>
        <v>1065.7223940612434</v>
      </c>
      <c r="P74" s="32">
        <f t="shared" si="12"/>
        <v>0.24245208710101995</v>
      </c>
      <c r="Q74" s="33" t="str">
        <f t="shared" si="13"/>
        <v>2026-05</v>
      </c>
    </row>
    <row r="75" spans="2:17" ht="18" customHeight="1" x14ac:dyDescent="0.3">
      <c r="B75" s="26" t="s">
        <v>83</v>
      </c>
      <c r="C75" s="28" t="s">
        <v>138</v>
      </c>
      <c r="D75" s="27" t="s">
        <v>73</v>
      </c>
      <c r="E75" s="29">
        <v>40</v>
      </c>
      <c r="F75" s="29">
        <v>0</v>
      </c>
      <c r="G75" s="29">
        <v>40</v>
      </c>
      <c r="H75" s="30">
        <f t="shared" si="7"/>
        <v>40</v>
      </c>
      <c r="I75" s="31">
        <f>IF(OR(B75="",C75=""),"",IFERROR(E75*IF(E75="",0,VLOOKUP(C75,'📦 Precios Proforma'!$B$5:$D$104,IF(D75="DIA",2,3),FALSE)),0))</f>
        <v>231.6</v>
      </c>
      <c r="J75" s="31">
        <f t="shared" si="8"/>
        <v>54</v>
      </c>
      <c r="K75" s="31">
        <f t="shared" si="9"/>
        <v>285.60000000000002</v>
      </c>
      <c r="L75" s="31">
        <f>IF(OR(B75="",C75=""),"",IFERROR(E75 / SUMIFS('📅 Resumen Diario'!$D$5:$D$504, '📅 Resumen Diario'!$B$5:$B$504, B75, '📅 Resumen Diario'!$C$5:$C$504, D75) * SUMIFS('📅 Resumen Diario'!$K$5:$K$504, '📅 Resumen Diario'!$B$5:$B$504, B75, '📅 Resumen Diario'!$C$5:$C$504, D75), 0))</f>
        <v>305.30262913702444</v>
      </c>
      <c r="M75" s="31">
        <f t="shared" si="10"/>
        <v>3.5999999999999996</v>
      </c>
      <c r="N75" s="31">
        <f t="shared" si="11"/>
        <v>308.90262913702446</v>
      </c>
      <c r="O75" s="31">
        <f>IF(OR(B75="",C75=""),"",K75-N75 + IFERROR(E75 / SUMIFS('📅 Resumen Diario'!$D$5:$D$504, '📅 Resumen Diario'!$B$5:$B$504, B75, '📅 Resumen Diario'!$C$5:$C$504, D75) * (SUMIFS('📋 Detalle Diario'!$E$5:$E$489, '📋 Detalle Diario'!$B$5:$B$489, B75, '📋 Detalle Diario'!$C$5:$C$489, D75) * 135 + SUMIFS('📋 Detalle Diario'!$I$5:$I$489, '📋 Detalle Diario'!$B$5:$B$489, B75, '📋 Detalle Diario'!$C$5:$C$489, D75) * 200), 0))</f>
        <v>-23.302629137024439</v>
      </c>
      <c r="P75" s="32">
        <f t="shared" si="12"/>
        <v>-8.1591838715071557E-2</v>
      </c>
      <c r="Q75" s="33" t="str">
        <f t="shared" si="13"/>
        <v>2026-05</v>
      </c>
    </row>
    <row r="76" spans="2:17" ht="18" customHeight="1" x14ac:dyDescent="0.3">
      <c r="B76" s="26" t="s">
        <v>83</v>
      </c>
      <c r="C76" s="17" t="s">
        <v>147</v>
      </c>
      <c r="D76" s="27" t="s">
        <v>73</v>
      </c>
      <c r="E76" s="18">
        <v>180</v>
      </c>
      <c r="F76" s="18">
        <v>180</v>
      </c>
      <c r="G76" s="18">
        <v>540</v>
      </c>
      <c r="H76" s="30">
        <f t="shared" si="7"/>
        <v>720</v>
      </c>
      <c r="I76" s="31">
        <f>IF(OR(B76="",C76=""),"",IFERROR(E76*IF(E76="",0,VLOOKUP(C76,'📦 Precios Proforma'!$B$5:$D$104,IF(D76="DIA",2,3),FALSE)),0))</f>
        <v>1085.4000000000001</v>
      </c>
      <c r="J76" s="31">
        <f t="shared" si="8"/>
        <v>972.00000000000011</v>
      </c>
      <c r="K76" s="31">
        <f t="shared" si="9"/>
        <v>2057.4</v>
      </c>
      <c r="L76" s="31">
        <f>IF(OR(B76="",C76=""),"",IFERROR(E76 / SUMIFS('📅 Resumen Diario'!$D$5:$D$504, '📅 Resumen Diario'!$B$5:$B$504, B76, '📅 Resumen Diario'!$C$5:$C$504, D76) * SUMIFS('📅 Resumen Diario'!$K$5:$K$504, '📅 Resumen Diario'!$B$5:$B$504, B76, '📅 Resumen Diario'!$C$5:$C$504, D76), 0))</f>
        <v>1373.8618311166101</v>
      </c>
      <c r="M76" s="31">
        <f t="shared" si="10"/>
        <v>64.8</v>
      </c>
      <c r="N76" s="31">
        <f t="shared" si="11"/>
        <v>1438.6618311166101</v>
      </c>
      <c r="O76" s="31">
        <f>IF(OR(B76="",C76=""),"",K76-N76 + IFERROR(E76 / SUMIFS('📅 Resumen Diario'!$D$5:$D$504, '📅 Resumen Diario'!$B$5:$B$504, B76, '📅 Resumen Diario'!$C$5:$C$504, D76) * (SUMIFS('📋 Detalle Diario'!$E$5:$E$489, '📋 Detalle Diario'!$B$5:$B$489, B76, '📋 Detalle Diario'!$C$5:$C$489, D76) * 135 + SUMIFS('📋 Detalle Diario'!$I$5:$I$489, '📋 Detalle Diario'!$B$5:$B$489, B76, '📋 Detalle Diario'!$C$5:$C$489, D76) * 200), 0))</f>
        <v>618.73816888339002</v>
      </c>
      <c r="P76" s="32">
        <f t="shared" si="12"/>
        <v>0.30073790652444349</v>
      </c>
      <c r="Q76" s="33" t="str">
        <f t="shared" si="13"/>
        <v>2026-05</v>
      </c>
    </row>
    <row r="77" spans="2:17" ht="18" customHeight="1" x14ac:dyDescent="0.3">
      <c r="B77" s="26" t="s">
        <v>84</v>
      </c>
      <c r="C77" s="28" t="s">
        <v>144</v>
      </c>
      <c r="D77" s="27" t="s">
        <v>72</v>
      </c>
      <c r="E77" s="29">
        <v>135</v>
      </c>
      <c r="F77" s="29">
        <v>135</v>
      </c>
      <c r="G77" s="29">
        <v>270</v>
      </c>
      <c r="H77" s="30">
        <f t="shared" si="7"/>
        <v>405</v>
      </c>
      <c r="I77" s="31">
        <f>IF(OR(B77="",C77=""),"",IFERROR(E77*IF(E77="",0,VLOOKUP(C77,'📦 Precios Proforma'!$B$5:$D$104,IF(D77="DIA",2,3),FALSE)),0))</f>
        <v>610.19999999999993</v>
      </c>
      <c r="J77" s="31">
        <f t="shared" si="8"/>
        <v>409.05</v>
      </c>
      <c r="K77" s="31">
        <f t="shared" si="9"/>
        <v>1019.25</v>
      </c>
      <c r="L77" s="31">
        <f>IF(OR(B77="",C77=""),"",IFERROR(E77 / SUMIFS('📅 Resumen Diario'!$D$5:$D$504, '📅 Resumen Diario'!$B$5:$B$504, B77, '📅 Resumen Diario'!$C$5:$C$504, D77) * SUMIFS('📅 Resumen Diario'!$K$5:$K$504, '📅 Resumen Diario'!$B$5:$B$504, B77, '📅 Resumen Diario'!$C$5:$C$504, D77), 0))</f>
        <v>2381.1688636363638</v>
      </c>
      <c r="M77" s="31">
        <f t="shared" si="10"/>
        <v>36.449999999999996</v>
      </c>
      <c r="N77" s="31">
        <f t="shared" si="11"/>
        <v>2417.6188636363636</v>
      </c>
      <c r="O77" s="31">
        <f>IF(OR(B77="",C77=""),"",K77-N77 + IFERROR(E77 / SUMIFS('📅 Resumen Diario'!$D$5:$D$504, '📅 Resumen Diario'!$B$5:$B$504, B77, '📅 Resumen Diario'!$C$5:$C$504, D77) * (SUMIFS('📋 Detalle Diario'!$E$5:$E$489, '📋 Detalle Diario'!$B$5:$B$489, B77, '📋 Detalle Diario'!$C$5:$C$489, D77) * 135 + SUMIFS('📋 Detalle Diario'!$I$5:$I$489, '📋 Detalle Diario'!$B$5:$B$489, B77, '📋 Detalle Diario'!$C$5:$C$489, D77) * 200), 0))</f>
        <v>-1398.3688636363636</v>
      </c>
      <c r="P77" s="32">
        <f t="shared" si="12"/>
        <v>-1.3719586594421032</v>
      </c>
      <c r="Q77" s="33" t="str">
        <f t="shared" si="13"/>
        <v>2026-05</v>
      </c>
    </row>
    <row r="78" spans="2:17" ht="18" customHeight="1" x14ac:dyDescent="0.3">
      <c r="B78" s="26" t="s">
        <v>84</v>
      </c>
      <c r="C78" s="17" t="s">
        <v>145</v>
      </c>
      <c r="D78" s="27" t="s">
        <v>72</v>
      </c>
      <c r="E78" s="18">
        <v>135</v>
      </c>
      <c r="F78" s="18">
        <v>135</v>
      </c>
      <c r="G78" s="18">
        <v>270</v>
      </c>
      <c r="H78" s="30">
        <f t="shared" si="7"/>
        <v>405</v>
      </c>
      <c r="I78" s="31">
        <f>IF(OR(B78="",C78=""),"",IFERROR(E78*IF(E78="",0,VLOOKUP(C78,'📦 Precios Proforma'!$B$5:$D$104,IF(D78="DIA",2,3),FALSE)),0))</f>
        <v>610.19999999999993</v>
      </c>
      <c r="J78" s="31">
        <f t="shared" si="8"/>
        <v>409.05</v>
      </c>
      <c r="K78" s="31">
        <f t="shared" si="9"/>
        <v>1019.25</v>
      </c>
      <c r="L78" s="31">
        <f>IF(OR(B78="",C78=""),"",IFERROR(E78 / SUMIFS('📅 Resumen Diario'!$D$5:$D$504, '📅 Resumen Diario'!$B$5:$B$504, B78, '📅 Resumen Diario'!$C$5:$C$504, D78) * SUMIFS('📅 Resumen Diario'!$K$5:$K$504, '📅 Resumen Diario'!$B$5:$B$504, B78, '📅 Resumen Diario'!$C$5:$C$504, D78), 0))</f>
        <v>2381.1688636363638</v>
      </c>
      <c r="M78" s="31">
        <f t="shared" si="10"/>
        <v>36.449999999999996</v>
      </c>
      <c r="N78" s="31">
        <f t="shared" si="11"/>
        <v>2417.6188636363636</v>
      </c>
      <c r="O78" s="31">
        <f>IF(OR(B78="",C78=""),"",K78-N78 + IFERROR(E78 / SUMIFS('📅 Resumen Diario'!$D$5:$D$504, '📅 Resumen Diario'!$B$5:$B$504, B78, '📅 Resumen Diario'!$C$5:$C$504, D78) * (SUMIFS('📋 Detalle Diario'!$E$5:$E$489, '📋 Detalle Diario'!$B$5:$B$489, B78, '📋 Detalle Diario'!$C$5:$C$489, D78) * 135 + SUMIFS('📋 Detalle Diario'!$I$5:$I$489, '📋 Detalle Diario'!$B$5:$B$489, B78, '📋 Detalle Diario'!$C$5:$C$489, D78) * 200), 0))</f>
        <v>-1398.3688636363636</v>
      </c>
      <c r="P78" s="32">
        <f t="shared" si="12"/>
        <v>-1.3719586594421032</v>
      </c>
      <c r="Q78" s="33" t="str">
        <f t="shared" si="13"/>
        <v>2026-05</v>
      </c>
    </row>
    <row r="79" spans="2:17" ht="18" customHeight="1" x14ac:dyDescent="0.3">
      <c r="B79" s="26" t="s">
        <v>84</v>
      </c>
      <c r="C79" s="28" t="s">
        <v>134</v>
      </c>
      <c r="D79" s="27" t="s">
        <v>72</v>
      </c>
      <c r="E79" s="29">
        <v>16</v>
      </c>
      <c r="F79" s="29">
        <v>0</v>
      </c>
      <c r="G79" s="29">
        <v>0</v>
      </c>
      <c r="H79" s="30">
        <f t="shared" si="7"/>
        <v>0</v>
      </c>
      <c r="I79" s="31">
        <f>IF(OR(B79="",C79=""),"",IFERROR(E79*IF(E79="",0,VLOOKUP(C79,'📦 Precios Proforma'!$B$5:$D$104,IF(D79="DIA",2,3),FALSE)),0))</f>
        <v>720</v>
      </c>
      <c r="J79" s="31">
        <f t="shared" si="8"/>
        <v>0</v>
      </c>
      <c r="K79" s="31">
        <f t="shared" si="9"/>
        <v>720</v>
      </c>
      <c r="L79" s="31">
        <f>IF(OR(B79="",C79=""),"",IFERROR(E79 / SUMIFS('📅 Resumen Diario'!$D$5:$D$504, '📅 Resumen Diario'!$B$5:$B$504, B79, '📅 Resumen Diario'!$C$5:$C$504, D79) * SUMIFS('📅 Resumen Diario'!$K$5:$K$504, '📅 Resumen Diario'!$B$5:$B$504, B79, '📅 Resumen Diario'!$C$5:$C$504, D79), 0))</f>
        <v>282.21260606060605</v>
      </c>
      <c r="M79" s="31">
        <f t="shared" si="10"/>
        <v>0</v>
      </c>
      <c r="N79" s="31">
        <f t="shared" si="11"/>
        <v>282.21260606060605</v>
      </c>
      <c r="O79" s="31">
        <f>IF(OR(B79="",C79=""),"",K79-N79 + IFERROR(E79 / SUMIFS('📅 Resumen Diario'!$D$5:$D$504, '📅 Resumen Diario'!$B$5:$B$504, B79, '📅 Resumen Diario'!$C$5:$C$504, D79) * (SUMIFS('📋 Detalle Diario'!$E$5:$E$489, '📋 Detalle Diario'!$B$5:$B$489, B79, '📋 Detalle Diario'!$C$5:$C$489, D79) * 135 + SUMIFS('📋 Detalle Diario'!$I$5:$I$489, '📋 Detalle Diario'!$B$5:$B$489, B79, '📋 Detalle Diario'!$C$5:$C$489, D79) * 200), 0))</f>
        <v>437.78739393939395</v>
      </c>
      <c r="P79" s="32">
        <f t="shared" si="12"/>
        <v>0.6080380471380471</v>
      </c>
      <c r="Q79" s="33" t="str">
        <f t="shared" si="13"/>
        <v>2026-05</v>
      </c>
    </row>
    <row r="80" spans="2:17" ht="18" customHeight="1" x14ac:dyDescent="0.3">
      <c r="B80" s="26" t="s">
        <v>84</v>
      </c>
      <c r="C80" s="17" t="s">
        <v>134</v>
      </c>
      <c r="D80" s="27" t="s">
        <v>73</v>
      </c>
      <c r="E80" s="18">
        <v>12.4</v>
      </c>
      <c r="F80" s="18">
        <v>0</v>
      </c>
      <c r="G80" s="18">
        <v>0</v>
      </c>
      <c r="H80" s="30">
        <f t="shared" si="7"/>
        <v>0</v>
      </c>
      <c r="I80" s="31">
        <f>IF(OR(B80="",C80=""),"",IFERROR(E80*IF(E80="",0,VLOOKUP(C80,'📦 Precios Proforma'!$B$5:$D$104,IF(D80="DIA",2,3),FALSE)),0))</f>
        <v>744</v>
      </c>
      <c r="J80" s="31">
        <f t="shared" si="8"/>
        <v>0</v>
      </c>
      <c r="K80" s="31">
        <f t="shared" si="9"/>
        <v>744</v>
      </c>
      <c r="L80" s="31">
        <f>IF(OR(B80="",C80=""),"",IFERROR(E80 / SUMIFS('📅 Resumen Diario'!$D$5:$D$504, '📅 Resumen Diario'!$B$5:$B$504, B80, '📅 Resumen Diario'!$C$5:$C$504, D80) * SUMIFS('📅 Resumen Diario'!$K$5:$K$504, '📅 Resumen Diario'!$B$5:$B$504, B80, '📅 Resumen Diario'!$C$5:$C$504, D80), 0))</f>
        <v>160.03318723849375</v>
      </c>
      <c r="M80" s="31">
        <f t="shared" si="10"/>
        <v>0</v>
      </c>
      <c r="N80" s="31">
        <f t="shared" si="11"/>
        <v>160.03318723849375</v>
      </c>
      <c r="O80" s="31">
        <f>IF(OR(B80="",C80=""),"",K80-N80 + IFERROR(E80 / SUMIFS('📅 Resumen Diario'!$D$5:$D$504, '📅 Resumen Diario'!$B$5:$B$504, B80, '📅 Resumen Diario'!$C$5:$C$504, D80) * (SUMIFS('📋 Detalle Diario'!$E$5:$E$489, '📋 Detalle Diario'!$B$5:$B$489, B80, '📋 Detalle Diario'!$C$5:$C$489, D80) * 135 + SUMIFS('📋 Detalle Diario'!$I$5:$I$489, '📋 Detalle Diario'!$B$5:$B$489, B80, '📋 Detalle Diario'!$C$5:$C$489, D80) * 200), 0))</f>
        <v>583.96681276150628</v>
      </c>
      <c r="P80" s="32">
        <f t="shared" si="12"/>
        <v>0.78490163005578806</v>
      </c>
      <c r="Q80" s="33" t="str">
        <f t="shared" si="13"/>
        <v>2026-05</v>
      </c>
    </row>
    <row r="81" spans="2:17" ht="18" customHeight="1" x14ac:dyDescent="0.3">
      <c r="B81" s="26" t="s">
        <v>84</v>
      </c>
      <c r="C81" s="28" t="s">
        <v>136</v>
      </c>
      <c r="D81" s="27" t="s">
        <v>73</v>
      </c>
      <c r="E81" s="29">
        <v>60</v>
      </c>
      <c r="F81" s="29">
        <v>0</v>
      </c>
      <c r="G81" s="29">
        <v>540</v>
      </c>
      <c r="H81" s="30">
        <f t="shared" si="7"/>
        <v>540</v>
      </c>
      <c r="I81" s="31">
        <f>IF(OR(B81="",C81=""),"",IFERROR(E81*IF(E81="",0,VLOOKUP(C81,'📦 Precios Proforma'!$B$5:$D$104,IF(D81="DIA",2,3),FALSE)),0))</f>
        <v>361.8</v>
      </c>
      <c r="J81" s="31">
        <f t="shared" si="8"/>
        <v>729</v>
      </c>
      <c r="K81" s="31">
        <f t="shared" si="9"/>
        <v>1090.8</v>
      </c>
      <c r="L81" s="31">
        <f>IF(OR(B81="",C81=""),"",IFERROR(E81 / SUMIFS('📅 Resumen Diario'!$D$5:$D$504, '📅 Resumen Diario'!$B$5:$B$504, B81, '📅 Resumen Diario'!$C$5:$C$504, D81) * SUMIFS('📅 Resumen Diario'!$K$5:$K$504, '📅 Resumen Diario'!$B$5:$B$504, B81, '📅 Resumen Diario'!$C$5:$C$504, D81), 0))</f>
        <v>774.35413179916338</v>
      </c>
      <c r="M81" s="31">
        <f t="shared" si="10"/>
        <v>48.6</v>
      </c>
      <c r="N81" s="31">
        <f t="shared" si="11"/>
        <v>822.95413179916341</v>
      </c>
      <c r="O81" s="31">
        <f>IF(OR(B81="",C81=""),"",K81-N81 + IFERROR(E81 / SUMIFS('📅 Resumen Diario'!$D$5:$D$504, '📅 Resumen Diario'!$B$5:$B$504, B81, '📅 Resumen Diario'!$C$5:$C$504, D81) * (SUMIFS('📋 Detalle Diario'!$E$5:$E$489, '📋 Detalle Diario'!$B$5:$B$489, B81, '📋 Detalle Diario'!$C$5:$C$489, D81) * 135 + SUMIFS('📋 Detalle Diario'!$I$5:$I$489, '📋 Detalle Diario'!$B$5:$B$489, B81, '📋 Detalle Diario'!$C$5:$C$489, D81) * 200), 0))</f>
        <v>267.84586820083655</v>
      </c>
      <c r="P81" s="32">
        <f t="shared" si="12"/>
        <v>0.24554993417751794</v>
      </c>
      <c r="Q81" s="33" t="str">
        <f t="shared" si="13"/>
        <v>2026-05</v>
      </c>
    </row>
    <row r="82" spans="2:17" ht="18" customHeight="1" x14ac:dyDescent="0.3">
      <c r="B82" s="26" t="s">
        <v>84</v>
      </c>
      <c r="C82" s="17" t="s">
        <v>138</v>
      </c>
      <c r="D82" s="27" t="s">
        <v>73</v>
      </c>
      <c r="E82" s="18">
        <v>20</v>
      </c>
      <c r="F82" s="18">
        <v>0</v>
      </c>
      <c r="G82" s="18">
        <v>20</v>
      </c>
      <c r="H82" s="30">
        <f t="shared" si="7"/>
        <v>20</v>
      </c>
      <c r="I82" s="31">
        <f>IF(OR(B82="",C82=""),"",IFERROR(E82*IF(E82="",0,VLOOKUP(C82,'📦 Precios Proforma'!$B$5:$D$104,IF(D82="DIA",2,3),FALSE)),0))</f>
        <v>115.8</v>
      </c>
      <c r="J82" s="31">
        <f t="shared" si="8"/>
        <v>27</v>
      </c>
      <c r="K82" s="31">
        <f t="shared" si="9"/>
        <v>142.80000000000001</v>
      </c>
      <c r="L82" s="31">
        <f>IF(OR(B82="",C82=""),"",IFERROR(E82 / SUMIFS('📅 Resumen Diario'!$D$5:$D$504, '📅 Resumen Diario'!$B$5:$B$504, B82, '📅 Resumen Diario'!$C$5:$C$504, D82) * SUMIFS('📅 Resumen Diario'!$K$5:$K$504, '📅 Resumen Diario'!$B$5:$B$504, B82, '📅 Resumen Diario'!$C$5:$C$504, D82), 0))</f>
        <v>258.11804393305442</v>
      </c>
      <c r="M82" s="31">
        <f t="shared" si="10"/>
        <v>1.7999999999999998</v>
      </c>
      <c r="N82" s="31">
        <f t="shared" si="11"/>
        <v>259.91804393305443</v>
      </c>
      <c r="O82" s="31">
        <f>IF(OR(B82="",C82=""),"",K82-N82 + IFERROR(E82 / SUMIFS('📅 Resumen Diario'!$D$5:$D$504, '📅 Resumen Diario'!$B$5:$B$504, B82, '📅 Resumen Diario'!$C$5:$C$504, D82) * (SUMIFS('📋 Detalle Diario'!$E$5:$E$489, '📋 Detalle Diario'!$B$5:$B$489, B82, '📋 Detalle Diario'!$C$5:$C$489, D82) * 135 + SUMIFS('📋 Detalle Diario'!$I$5:$I$489, '📋 Detalle Diario'!$B$5:$B$489, B82, '📋 Detalle Diario'!$C$5:$C$489, D82) * 200), 0))</f>
        <v>-117.11804393305442</v>
      </c>
      <c r="P82" s="32">
        <f t="shared" si="12"/>
        <v>-0.82015436927909258</v>
      </c>
      <c r="Q82" s="33" t="str">
        <f t="shared" si="13"/>
        <v>2026-05</v>
      </c>
    </row>
    <row r="83" spans="2:17" ht="18" customHeight="1" x14ac:dyDescent="0.3">
      <c r="B83" s="26" t="s">
        <v>84</v>
      </c>
      <c r="C83" s="28" t="s">
        <v>132</v>
      </c>
      <c r="D83" s="27" t="s">
        <v>73</v>
      </c>
      <c r="E83" s="29">
        <v>60</v>
      </c>
      <c r="F83" s="29">
        <v>60</v>
      </c>
      <c r="G83" s="29">
        <v>240</v>
      </c>
      <c r="H83" s="30">
        <f t="shared" si="7"/>
        <v>300</v>
      </c>
      <c r="I83" s="31">
        <f>IF(OR(B83="",C83=""),"",IFERROR(E83*IF(E83="",0,VLOOKUP(C83,'📦 Precios Proforma'!$B$5:$D$104,IF(D83="DIA",2,3),FALSE)),0))</f>
        <v>361.8</v>
      </c>
      <c r="J83" s="31">
        <f t="shared" si="8"/>
        <v>405</v>
      </c>
      <c r="K83" s="31">
        <f t="shared" si="9"/>
        <v>766.8</v>
      </c>
      <c r="L83" s="31">
        <f>IF(OR(B83="",C83=""),"",IFERROR(E83 / SUMIFS('📅 Resumen Diario'!$D$5:$D$504, '📅 Resumen Diario'!$B$5:$B$504, B83, '📅 Resumen Diario'!$C$5:$C$504, D83) * SUMIFS('📅 Resumen Diario'!$K$5:$K$504, '📅 Resumen Diario'!$B$5:$B$504, B83, '📅 Resumen Diario'!$C$5:$C$504, D83), 0))</f>
        <v>774.35413179916338</v>
      </c>
      <c r="M83" s="31">
        <f t="shared" si="10"/>
        <v>27</v>
      </c>
      <c r="N83" s="31">
        <f t="shared" si="11"/>
        <v>801.35413179916338</v>
      </c>
      <c r="O83" s="31">
        <f>IF(OR(B83="",C83=""),"",K83-N83 + IFERROR(E83 / SUMIFS('📅 Resumen Diario'!$D$5:$D$504, '📅 Resumen Diario'!$B$5:$B$504, B83, '📅 Resumen Diario'!$C$5:$C$504, D83) * (SUMIFS('📋 Detalle Diario'!$E$5:$E$489, '📋 Detalle Diario'!$B$5:$B$489, B83, '📋 Detalle Diario'!$C$5:$C$489, D83) * 135 + SUMIFS('📋 Detalle Diario'!$I$5:$I$489, '📋 Detalle Diario'!$B$5:$B$489, B83, '📋 Detalle Diario'!$C$5:$C$489, D83) * 200), 0))</f>
        <v>-34.554131799163429</v>
      </c>
      <c r="P83" s="32">
        <f t="shared" si="12"/>
        <v>-4.5062769691136449E-2</v>
      </c>
      <c r="Q83" s="33" t="str">
        <f t="shared" si="13"/>
        <v>2026-05</v>
      </c>
    </row>
    <row r="84" spans="2:17" ht="18" customHeight="1" x14ac:dyDescent="0.3">
      <c r="B84" s="26" t="s">
        <v>84</v>
      </c>
      <c r="C84" s="17" t="s">
        <v>143</v>
      </c>
      <c r="D84" s="27" t="s">
        <v>73</v>
      </c>
      <c r="E84" s="18">
        <v>60</v>
      </c>
      <c r="F84" s="18">
        <v>0</v>
      </c>
      <c r="G84" s="18">
        <v>0</v>
      </c>
      <c r="H84" s="30">
        <f t="shared" si="7"/>
        <v>0</v>
      </c>
      <c r="I84" s="31">
        <f>IF(OR(B84="",C84=""),"",IFERROR(E84*IF(E84="",0,VLOOKUP(C84,'📦 Precios Proforma'!$B$5:$D$104,IF(D84="DIA",2,3),FALSE)),0))</f>
        <v>379.20000000000005</v>
      </c>
      <c r="J84" s="31">
        <f t="shared" si="8"/>
        <v>0</v>
      </c>
      <c r="K84" s="31">
        <f t="shared" si="9"/>
        <v>379.20000000000005</v>
      </c>
      <c r="L84" s="31">
        <f>IF(OR(B84="",C84=""),"",IFERROR(E84 / SUMIFS('📅 Resumen Diario'!$D$5:$D$504, '📅 Resumen Diario'!$B$5:$B$504, B84, '📅 Resumen Diario'!$C$5:$C$504, D84) * SUMIFS('📅 Resumen Diario'!$K$5:$K$504, '📅 Resumen Diario'!$B$5:$B$504, B84, '📅 Resumen Diario'!$C$5:$C$504, D84), 0))</f>
        <v>774.35413179916338</v>
      </c>
      <c r="M84" s="31">
        <f t="shared" si="10"/>
        <v>0</v>
      </c>
      <c r="N84" s="31">
        <f t="shared" si="11"/>
        <v>774.35413179916338</v>
      </c>
      <c r="O84" s="31">
        <f>IF(OR(B84="",C84=""),"",K84-N84 + IFERROR(E84 / SUMIFS('📅 Resumen Diario'!$D$5:$D$504, '📅 Resumen Diario'!$B$5:$B$504, B84, '📅 Resumen Diario'!$C$5:$C$504, D84) * (SUMIFS('📋 Detalle Diario'!$E$5:$E$489, '📋 Detalle Diario'!$B$5:$B$489, B84, '📋 Detalle Diario'!$C$5:$C$489, D84) * 135 + SUMIFS('📋 Detalle Diario'!$I$5:$I$489, '📋 Detalle Diario'!$B$5:$B$489, B84, '📋 Detalle Diario'!$C$5:$C$489, D84) * 200), 0))</f>
        <v>-395.15413179916334</v>
      </c>
      <c r="P84" s="32">
        <f t="shared" si="12"/>
        <v>-1.0420731323817598</v>
      </c>
      <c r="Q84" s="33" t="str">
        <f t="shared" si="13"/>
        <v>2026-05</v>
      </c>
    </row>
    <row r="85" spans="2:17" ht="18" customHeight="1" x14ac:dyDescent="0.3">
      <c r="B85" s="26" t="s">
        <v>84</v>
      </c>
      <c r="C85" s="28" t="s">
        <v>137</v>
      </c>
      <c r="D85" s="27" t="s">
        <v>73</v>
      </c>
      <c r="E85" s="29">
        <v>50</v>
      </c>
      <c r="F85" s="29">
        <v>0</v>
      </c>
      <c r="G85" s="29">
        <v>600</v>
      </c>
      <c r="H85" s="30">
        <f t="shared" si="7"/>
        <v>600</v>
      </c>
      <c r="I85" s="31">
        <f>IF(OR(B85="",C85=""),"",IFERROR(E85*IF(E85="",0,VLOOKUP(C85,'📦 Precios Proforma'!$B$5:$D$104,IF(D85="DIA",2,3),FALSE)),0))</f>
        <v>370.5</v>
      </c>
      <c r="J85" s="31">
        <f t="shared" si="8"/>
        <v>810</v>
      </c>
      <c r="K85" s="31">
        <f t="shared" si="9"/>
        <v>1180.5</v>
      </c>
      <c r="L85" s="31">
        <f>IF(OR(B85="",C85=""),"",IFERROR(E85 / SUMIFS('📅 Resumen Diario'!$D$5:$D$504, '📅 Resumen Diario'!$B$5:$B$504, B85, '📅 Resumen Diario'!$C$5:$C$504, D85) * SUMIFS('📅 Resumen Diario'!$K$5:$K$504, '📅 Resumen Diario'!$B$5:$B$504, B85, '📅 Resumen Diario'!$C$5:$C$504, D85), 0))</f>
        <v>645.29510983263606</v>
      </c>
      <c r="M85" s="31">
        <f t="shared" si="10"/>
        <v>54</v>
      </c>
      <c r="N85" s="31">
        <f t="shared" si="11"/>
        <v>699.29510983263606</v>
      </c>
      <c r="O85" s="31">
        <f>IF(OR(B85="",C85=""),"",K85-N85 + IFERROR(E85 / SUMIFS('📅 Resumen Diario'!$D$5:$D$504, '📅 Resumen Diario'!$B$5:$B$504, B85, '📅 Resumen Diario'!$C$5:$C$504, D85) * (SUMIFS('📋 Detalle Diario'!$E$5:$E$489, '📋 Detalle Diario'!$B$5:$B$489, B85, '📋 Detalle Diario'!$C$5:$C$489, D85) * 135 + SUMIFS('📋 Detalle Diario'!$I$5:$I$489, '📋 Detalle Diario'!$B$5:$B$489, B85, '📋 Detalle Diario'!$C$5:$C$489, D85) * 200), 0))</f>
        <v>481.20489016736394</v>
      </c>
      <c r="P85" s="32">
        <f t="shared" si="12"/>
        <v>0.4076280306373265</v>
      </c>
      <c r="Q85" s="33" t="str">
        <f t="shared" si="13"/>
        <v>2026-05</v>
      </c>
    </row>
    <row r="86" spans="2:17" ht="18" customHeight="1" x14ac:dyDescent="0.3">
      <c r="B86" s="26" t="s">
        <v>84</v>
      </c>
      <c r="C86" s="17" t="s">
        <v>133</v>
      </c>
      <c r="D86" s="27" t="s">
        <v>73</v>
      </c>
      <c r="E86" s="18">
        <v>120</v>
      </c>
      <c r="F86" s="18">
        <v>1440</v>
      </c>
      <c r="G86" s="18">
        <v>120</v>
      </c>
      <c r="H86" s="30">
        <f t="shared" si="7"/>
        <v>1560</v>
      </c>
      <c r="I86" s="31">
        <f>IF(OR(B86="",C86=""),"",IFERROR(E86*IF(E86="",0,VLOOKUP(C86,'📦 Precios Proforma'!$B$5:$D$104,IF(D86="DIA",2,3),FALSE)),0))</f>
        <v>723.6</v>
      </c>
      <c r="J86" s="31">
        <f t="shared" si="8"/>
        <v>2106</v>
      </c>
      <c r="K86" s="31">
        <f t="shared" si="9"/>
        <v>2829.6</v>
      </c>
      <c r="L86" s="31">
        <f>IF(OR(B86="",C86=""),"",IFERROR(E86 / SUMIFS('📅 Resumen Diario'!$D$5:$D$504, '📅 Resumen Diario'!$B$5:$B$504, B86, '📅 Resumen Diario'!$C$5:$C$504, D86) * SUMIFS('📅 Resumen Diario'!$K$5:$K$504, '📅 Resumen Diario'!$B$5:$B$504, B86, '📅 Resumen Diario'!$C$5:$C$504, D86), 0))</f>
        <v>1548.7082635983268</v>
      </c>
      <c r="M86" s="31">
        <f t="shared" si="10"/>
        <v>140.4</v>
      </c>
      <c r="N86" s="31">
        <f t="shared" si="11"/>
        <v>1689.1082635983269</v>
      </c>
      <c r="O86" s="31">
        <f>IF(OR(B86="",C86=""),"",K86-N86 + IFERROR(E86 / SUMIFS('📅 Resumen Diario'!$D$5:$D$504, '📅 Resumen Diario'!$B$5:$B$504, B86, '📅 Resumen Diario'!$C$5:$C$504, D86) * (SUMIFS('📋 Detalle Diario'!$E$5:$E$489, '📋 Detalle Diario'!$B$5:$B$489, B86, '📋 Detalle Diario'!$C$5:$C$489, D86) * 135 + SUMIFS('📋 Detalle Diario'!$I$5:$I$489, '📋 Detalle Diario'!$B$5:$B$489, B86, '📋 Detalle Diario'!$C$5:$C$489, D86) * 200), 0))</f>
        <v>1140.4917364016731</v>
      </c>
      <c r="P86" s="32">
        <f t="shared" si="12"/>
        <v>0.40305758283915505</v>
      </c>
      <c r="Q86" s="33" t="str">
        <f t="shared" si="13"/>
        <v>2026-05</v>
      </c>
    </row>
    <row r="87" spans="2:17" ht="18" customHeight="1" x14ac:dyDescent="0.3">
      <c r="B87" s="26" t="s">
        <v>85</v>
      </c>
      <c r="C87" s="28" t="s">
        <v>134</v>
      </c>
      <c r="D87" s="27" t="s">
        <v>72</v>
      </c>
      <c r="E87" s="29">
        <v>5.5</v>
      </c>
      <c r="F87" s="29">
        <v>0</v>
      </c>
      <c r="G87" s="29">
        <v>0</v>
      </c>
      <c r="H87" s="30">
        <f t="shared" si="7"/>
        <v>0</v>
      </c>
      <c r="I87" s="31">
        <f>IF(OR(B87="",C87=""),"",IFERROR(E87*IF(E87="",0,VLOOKUP(C87,'📦 Precios Proforma'!$B$5:$D$104,IF(D87="DIA",2,3),FALSE)),0))</f>
        <v>247.5</v>
      </c>
      <c r="J87" s="31">
        <f t="shared" si="8"/>
        <v>0</v>
      </c>
      <c r="K87" s="31">
        <f t="shared" si="9"/>
        <v>247.5</v>
      </c>
      <c r="L87" s="31">
        <f>IF(OR(B87="",C87=""),"",IFERROR(E87 / SUMIFS('📅 Resumen Diario'!$D$5:$D$504, '📅 Resumen Diario'!$B$5:$B$504, B87, '📅 Resumen Diario'!$C$5:$C$504, D87) * SUMIFS('📅 Resumen Diario'!$K$5:$K$504, '📅 Resumen Diario'!$B$5:$B$504, B87, '📅 Resumen Diario'!$C$5:$C$504, D87), 0))</f>
        <v>34.659621278367688</v>
      </c>
      <c r="M87" s="31">
        <f t="shared" si="10"/>
        <v>0</v>
      </c>
      <c r="N87" s="31">
        <f t="shared" si="11"/>
        <v>34.659621278367688</v>
      </c>
      <c r="O87" s="31">
        <f>IF(OR(B87="",C87=""),"",K87-N87 + IFERROR(E87 / SUMIFS('📅 Resumen Diario'!$D$5:$D$504, '📅 Resumen Diario'!$B$5:$B$504, B87, '📅 Resumen Diario'!$C$5:$C$504, D87) * (SUMIFS('📋 Detalle Diario'!$E$5:$E$489, '📋 Detalle Diario'!$B$5:$B$489, B87, '📋 Detalle Diario'!$C$5:$C$489, D87) * 135 + SUMIFS('📋 Detalle Diario'!$I$5:$I$489, '📋 Detalle Diario'!$B$5:$B$489, B87, '📋 Detalle Diario'!$C$5:$C$489, D87) * 200), 0))</f>
        <v>212.84037872163231</v>
      </c>
      <c r="P87" s="32">
        <f t="shared" si="12"/>
        <v>0.85996112614800935</v>
      </c>
      <c r="Q87" s="33" t="str">
        <f t="shared" si="13"/>
        <v>2026-05</v>
      </c>
    </row>
    <row r="88" spans="2:17" ht="18" customHeight="1" x14ac:dyDescent="0.3">
      <c r="B88" s="26" t="s">
        <v>85</v>
      </c>
      <c r="C88" s="17" t="s">
        <v>137</v>
      </c>
      <c r="D88" s="27" t="s">
        <v>72</v>
      </c>
      <c r="E88" s="18">
        <v>120</v>
      </c>
      <c r="F88" s="18">
        <v>0</v>
      </c>
      <c r="G88" s="18">
        <v>1440</v>
      </c>
      <c r="H88" s="30">
        <f t="shared" si="7"/>
        <v>1440</v>
      </c>
      <c r="I88" s="31">
        <f>IF(OR(B88="",C88=""),"",IFERROR(E88*IF(E88="",0,VLOOKUP(C88,'📦 Precios Proforma'!$B$5:$D$104,IF(D88="DIA",2,3),FALSE)),0))</f>
        <v>667.19999999999993</v>
      </c>
      <c r="J88" s="31">
        <f t="shared" si="8"/>
        <v>1454.4</v>
      </c>
      <c r="K88" s="31">
        <f t="shared" si="9"/>
        <v>2121.6</v>
      </c>
      <c r="L88" s="31">
        <f>IF(OR(B88="",C88=""),"",IFERROR(E88 / SUMIFS('📅 Resumen Diario'!$D$5:$D$504, '📅 Resumen Diario'!$B$5:$B$504, B88, '📅 Resumen Diario'!$C$5:$C$504, D88) * SUMIFS('📅 Resumen Diario'!$K$5:$K$504, '📅 Resumen Diario'!$B$5:$B$504, B88, '📅 Resumen Diario'!$C$5:$C$504, D88), 0))</f>
        <v>756.20991880074962</v>
      </c>
      <c r="M88" s="31">
        <f t="shared" si="10"/>
        <v>129.6</v>
      </c>
      <c r="N88" s="31">
        <f t="shared" si="11"/>
        <v>885.80991880074964</v>
      </c>
      <c r="O88" s="31">
        <f>IF(OR(B88="",C88=""),"",K88-N88 + IFERROR(E88 / SUMIFS('📅 Resumen Diario'!$D$5:$D$504, '📅 Resumen Diario'!$B$5:$B$504, B88, '📅 Resumen Diario'!$C$5:$C$504, D88) * (SUMIFS('📋 Detalle Diario'!$E$5:$E$489, '📋 Detalle Diario'!$B$5:$B$489, B88, '📋 Detalle Diario'!$C$5:$C$489, D88) * 135 + SUMIFS('📋 Detalle Diario'!$I$5:$I$489, '📋 Detalle Diario'!$B$5:$B$489, B88, '📋 Detalle Diario'!$C$5:$C$489, D88) * 200), 0))</f>
        <v>1235.7900811992504</v>
      </c>
      <c r="P88" s="32">
        <f t="shared" si="12"/>
        <v>0.58248024189255776</v>
      </c>
      <c r="Q88" s="33" t="str">
        <f t="shared" si="13"/>
        <v>2026-05</v>
      </c>
    </row>
    <row r="89" spans="2:17" ht="18" customHeight="1" x14ac:dyDescent="0.3">
      <c r="B89" s="26" t="s">
        <v>85</v>
      </c>
      <c r="C89" s="28" t="s">
        <v>148</v>
      </c>
      <c r="D89" s="27" t="s">
        <v>72</v>
      </c>
      <c r="E89" s="29">
        <v>675</v>
      </c>
      <c r="F89" s="29">
        <v>675</v>
      </c>
      <c r="G89" s="29">
        <v>1350</v>
      </c>
      <c r="H89" s="30">
        <f t="shared" si="7"/>
        <v>2025</v>
      </c>
      <c r="I89" s="31">
        <f>IF(OR(B89="",C89=""),"",IFERROR(E89*IF(E89="",0,VLOOKUP(C89,'📦 Precios Proforma'!$B$5:$D$104,IF(D89="DIA",2,3),FALSE)),0))</f>
        <v>3050.9999999999995</v>
      </c>
      <c r="J89" s="31">
        <f t="shared" si="8"/>
        <v>2045.25</v>
      </c>
      <c r="K89" s="31">
        <f t="shared" si="9"/>
        <v>5096.25</v>
      </c>
      <c r="L89" s="31">
        <f>IF(OR(B89="",C89=""),"",IFERROR(E89 / SUMIFS('📅 Resumen Diario'!$D$5:$D$504, '📅 Resumen Diario'!$B$5:$B$504, B89, '📅 Resumen Diario'!$C$5:$C$504, D89) * SUMIFS('📅 Resumen Diario'!$K$5:$K$504, '📅 Resumen Diario'!$B$5:$B$504, B89, '📅 Resumen Diario'!$C$5:$C$504, D89), 0))</f>
        <v>4253.680793254216</v>
      </c>
      <c r="M89" s="31">
        <f t="shared" si="10"/>
        <v>182.25</v>
      </c>
      <c r="N89" s="31">
        <f t="shared" si="11"/>
        <v>4435.930793254216</v>
      </c>
      <c r="O89" s="31">
        <f>IF(OR(B89="",C89=""),"",K89-N89 + IFERROR(E89 / SUMIFS('📅 Resumen Diario'!$D$5:$D$504, '📅 Resumen Diario'!$B$5:$B$504, B89, '📅 Resumen Diario'!$C$5:$C$504, D89) * (SUMIFS('📋 Detalle Diario'!$E$5:$E$489, '📋 Detalle Diario'!$B$5:$B$489, B89, '📋 Detalle Diario'!$C$5:$C$489, D89) * 135 + SUMIFS('📋 Detalle Diario'!$I$5:$I$489, '📋 Detalle Diario'!$B$5:$B$489, B89, '📋 Detalle Diario'!$C$5:$C$489, D89) * 200), 0))</f>
        <v>660.31920674578396</v>
      </c>
      <c r="P89" s="32">
        <f t="shared" si="12"/>
        <v>0.12956962604773783</v>
      </c>
      <c r="Q89" s="33" t="str">
        <f t="shared" si="13"/>
        <v>2026-05</v>
      </c>
    </row>
    <row r="90" spans="2:17" ht="18" customHeight="1" x14ac:dyDescent="0.3">
      <c r="B90" s="26" t="s">
        <v>85</v>
      </c>
      <c r="C90" s="17" t="s">
        <v>134</v>
      </c>
      <c r="D90" s="27" t="s">
        <v>73</v>
      </c>
      <c r="E90" s="18">
        <v>10.7</v>
      </c>
      <c r="F90" s="18">
        <v>0</v>
      </c>
      <c r="G90" s="18">
        <v>0</v>
      </c>
      <c r="H90" s="30">
        <f t="shared" si="7"/>
        <v>0</v>
      </c>
      <c r="I90" s="31">
        <f>IF(OR(B90="",C90=""),"",IFERROR(E90*IF(E90="",0,VLOOKUP(C90,'📦 Precios Proforma'!$B$5:$D$104,IF(D90="DIA",2,3),FALSE)),0))</f>
        <v>642</v>
      </c>
      <c r="J90" s="31">
        <f t="shared" si="8"/>
        <v>0</v>
      </c>
      <c r="K90" s="31">
        <f t="shared" si="9"/>
        <v>642</v>
      </c>
      <c r="L90" s="31">
        <f>IF(OR(B90="",C90=""),"",IFERROR(E90 / SUMIFS('📅 Resumen Diario'!$D$5:$D$504, '📅 Resumen Diario'!$B$5:$B$504, B90, '📅 Resumen Diario'!$C$5:$C$504, D90) * SUMIFS('📅 Resumen Diario'!$K$5:$K$504, '📅 Resumen Diario'!$B$5:$B$504, B90, '📅 Resumen Diario'!$C$5:$C$504, D90), 0))</f>
        <v>68.164220859687617</v>
      </c>
      <c r="M90" s="31">
        <f t="shared" si="10"/>
        <v>0</v>
      </c>
      <c r="N90" s="31">
        <f t="shared" si="11"/>
        <v>68.164220859687617</v>
      </c>
      <c r="O90" s="31">
        <f>IF(OR(B90="",C90=""),"",K90-N90 + IFERROR(E90 / SUMIFS('📅 Resumen Diario'!$D$5:$D$504, '📅 Resumen Diario'!$B$5:$B$504, B90, '📅 Resumen Diario'!$C$5:$C$504, D90) * (SUMIFS('📋 Detalle Diario'!$E$5:$E$489, '📋 Detalle Diario'!$B$5:$B$489, B90, '📋 Detalle Diario'!$C$5:$C$489, D90) * 135 + SUMIFS('📋 Detalle Diario'!$I$5:$I$489, '📋 Detalle Diario'!$B$5:$B$489, B90, '📋 Detalle Diario'!$C$5:$C$489, D90) * 200), 0))</f>
        <v>573.83577914031241</v>
      </c>
      <c r="P90" s="32">
        <f t="shared" si="12"/>
        <v>0.89382520115313457</v>
      </c>
      <c r="Q90" s="33" t="str">
        <f t="shared" si="13"/>
        <v>2026-05</v>
      </c>
    </row>
    <row r="91" spans="2:17" ht="18" customHeight="1" x14ac:dyDescent="0.3">
      <c r="B91" s="26" t="s">
        <v>85</v>
      </c>
      <c r="C91" s="28" t="s">
        <v>149</v>
      </c>
      <c r="D91" s="27" t="s">
        <v>73</v>
      </c>
      <c r="E91" s="29">
        <v>240</v>
      </c>
      <c r="F91" s="29">
        <v>0</v>
      </c>
      <c r="G91" s="29">
        <v>240</v>
      </c>
      <c r="H91" s="30">
        <f t="shared" si="7"/>
        <v>240</v>
      </c>
      <c r="I91" s="31">
        <f>IF(OR(B91="",C91=""),"",IFERROR(E91*IF(E91="",0,VLOOKUP(C91,'📦 Precios Proforma'!$B$5:$D$104,IF(D91="DIA",2,3),FALSE)),0))</f>
        <v>1516.8000000000002</v>
      </c>
      <c r="J91" s="31">
        <f t="shared" si="8"/>
        <v>324</v>
      </c>
      <c r="K91" s="31">
        <f t="shared" si="9"/>
        <v>1840.8000000000002</v>
      </c>
      <c r="L91" s="31">
        <f>IF(OR(B91="",C91=""),"",IFERROR(E91 / SUMIFS('📅 Resumen Diario'!$D$5:$D$504, '📅 Resumen Diario'!$B$5:$B$504, B91, '📅 Resumen Diario'!$C$5:$C$504, D91) * SUMIFS('📅 Resumen Diario'!$K$5:$K$504, '📅 Resumen Diario'!$B$5:$B$504, B91, '📅 Resumen Diario'!$C$5:$C$504, D91), 0))</f>
        <v>1528.9171033948626</v>
      </c>
      <c r="M91" s="31">
        <f t="shared" si="10"/>
        <v>21.599999999999998</v>
      </c>
      <c r="N91" s="31">
        <f t="shared" si="11"/>
        <v>1550.5171033948625</v>
      </c>
      <c r="O91" s="31">
        <f>IF(OR(B91="",C91=""),"",K91-N91 + IFERROR(E91 / SUMIFS('📅 Resumen Diario'!$D$5:$D$504, '📅 Resumen Diario'!$B$5:$B$504, B91, '📅 Resumen Diario'!$C$5:$C$504, D91) * (SUMIFS('📋 Detalle Diario'!$E$5:$E$489, '📋 Detalle Diario'!$B$5:$B$489, B91, '📋 Detalle Diario'!$C$5:$C$489, D91) * 135 + SUMIFS('📋 Detalle Diario'!$I$5:$I$489, '📋 Detalle Diario'!$B$5:$B$489, B91, '📋 Detalle Diario'!$C$5:$C$489, D91) * 200), 0))</f>
        <v>290.28289660513769</v>
      </c>
      <c r="P91" s="32">
        <f t="shared" si="12"/>
        <v>0.15769388125007477</v>
      </c>
      <c r="Q91" s="33" t="str">
        <f t="shared" si="13"/>
        <v>2026-05</v>
      </c>
    </row>
    <row r="92" spans="2:17" ht="18" customHeight="1" x14ac:dyDescent="0.3">
      <c r="B92" s="26" t="s">
        <v>85</v>
      </c>
      <c r="C92" s="17" t="s">
        <v>137</v>
      </c>
      <c r="D92" s="27" t="s">
        <v>73</v>
      </c>
      <c r="E92" s="18">
        <v>144</v>
      </c>
      <c r="F92" s="18">
        <v>0</v>
      </c>
      <c r="G92" s="18">
        <v>1728</v>
      </c>
      <c r="H92" s="30">
        <f t="shared" si="7"/>
        <v>1728</v>
      </c>
      <c r="I92" s="31">
        <f>IF(OR(B92="",C92=""),"",IFERROR(E92*IF(E92="",0,VLOOKUP(C92,'📦 Precios Proforma'!$B$5:$D$104,IF(D92="DIA",2,3),FALSE)),0))</f>
        <v>1067.04</v>
      </c>
      <c r="J92" s="31">
        <f t="shared" si="8"/>
        <v>2332.8000000000002</v>
      </c>
      <c r="K92" s="31">
        <f t="shared" si="9"/>
        <v>3399.84</v>
      </c>
      <c r="L92" s="31">
        <f>IF(OR(B92="",C92=""),"",IFERROR(E92 / SUMIFS('📅 Resumen Diario'!$D$5:$D$504, '📅 Resumen Diario'!$B$5:$B$504, B92, '📅 Resumen Diario'!$C$5:$C$504, D92) * SUMIFS('📅 Resumen Diario'!$K$5:$K$504, '📅 Resumen Diario'!$B$5:$B$504, B92, '📅 Resumen Diario'!$C$5:$C$504, D92), 0))</f>
        <v>917.35026203691746</v>
      </c>
      <c r="M92" s="31">
        <f t="shared" si="10"/>
        <v>155.51999999999998</v>
      </c>
      <c r="N92" s="31">
        <f t="shared" si="11"/>
        <v>1072.8702620369174</v>
      </c>
      <c r="O92" s="31">
        <f>IF(OR(B92="",C92=""),"",K92-N92 + IFERROR(E92 / SUMIFS('📅 Resumen Diario'!$D$5:$D$504, '📅 Resumen Diario'!$B$5:$B$504, B92, '📅 Resumen Diario'!$C$5:$C$504, D92) * (SUMIFS('📋 Detalle Diario'!$E$5:$E$489, '📋 Detalle Diario'!$B$5:$B$489, B92, '📋 Detalle Diario'!$C$5:$C$489, D92) * 135 + SUMIFS('📋 Detalle Diario'!$I$5:$I$489, '📋 Detalle Diario'!$B$5:$B$489, B92, '📋 Detalle Diario'!$C$5:$C$489, D92) * 200), 0))</f>
        <v>2326.9697379630825</v>
      </c>
      <c r="P92" s="32">
        <f t="shared" si="12"/>
        <v>0.68443507281609794</v>
      </c>
      <c r="Q92" s="33" t="str">
        <f t="shared" si="13"/>
        <v>2026-05</v>
      </c>
    </row>
    <row r="93" spans="2:17" ht="18" customHeight="1" x14ac:dyDescent="0.3">
      <c r="B93" s="26" t="s">
        <v>85</v>
      </c>
      <c r="C93" s="28" t="s">
        <v>150</v>
      </c>
      <c r="D93" s="27" t="s">
        <v>73</v>
      </c>
      <c r="E93" s="29">
        <v>60</v>
      </c>
      <c r="F93" s="29">
        <v>60</v>
      </c>
      <c r="G93" s="29">
        <v>240</v>
      </c>
      <c r="H93" s="30">
        <f t="shared" si="7"/>
        <v>300</v>
      </c>
      <c r="I93" s="31">
        <f>IF(OR(B93="",C93=""),"",IFERROR(E93*IF(E93="",0,VLOOKUP(C93,'📦 Precios Proforma'!$B$5:$D$104,IF(D93="DIA",2,3),FALSE)),0))</f>
        <v>361.8</v>
      </c>
      <c r="J93" s="31">
        <f t="shared" si="8"/>
        <v>405</v>
      </c>
      <c r="K93" s="31">
        <f t="shared" si="9"/>
        <v>766.8</v>
      </c>
      <c r="L93" s="31">
        <f>IF(OR(B93="",C93=""),"",IFERROR(E93 / SUMIFS('📅 Resumen Diario'!$D$5:$D$504, '📅 Resumen Diario'!$B$5:$B$504, B93, '📅 Resumen Diario'!$C$5:$C$504, D93) * SUMIFS('📅 Resumen Diario'!$K$5:$K$504, '📅 Resumen Diario'!$B$5:$B$504, B93, '📅 Resumen Diario'!$C$5:$C$504, D93), 0))</f>
        <v>382.22927584871564</v>
      </c>
      <c r="M93" s="31">
        <f t="shared" si="10"/>
        <v>27</v>
      </c>
      <c r="N93" s="31">
        <f t="shared" si="11"/>
        <v>409.22927584871564</v>
      </c>
      <c r="O93" s="31">
        <f>IF(OR(B93="",C93=""),"",K93-N93 + IFERROR(E93 / SUMIFS('📅 Resumen Diario'!$D$5:$D$504, '📅 Resumen Diario'!$B$5:$B$504, B93, '📅 Resumen Diario'!$C$5:$C$504, D93) * (SUMIFS('📋 Detalle Diario'!$E$5:$E$489, '📋 Detalle Diario'!$B$5:$B$489, B93, '📋 Detalle Diario'!$C$5:$C$489, D93) * 135 + SUMIFS('📋 Detalle Diario'!$I$5:$I$489, '📋 Detalle Diario'!$B$5:$B$489, B93, '📋 Detalle Diario'!$C$5:$C$489, D93) * 200), 0))</f>
        <v>357.57072415128431</v>
      </c>
      <c r="P93" s="32">
        <f t="shared" si="12"/>
        <v>0.46631549837152364</v>
      </c>
      <c r="Q93" s="33" t="str">
        <f t="shared" si="13"/>
        <v>2026-05</v>
      </c>
    </row>
    <row r="94" spans="2:17" ht="18" customHeight="1" x14ac:dyDescent="0.3">
      <c r="B94" s="26" t="s">
        <v>85</v>
      </c>
      <c r="C94" s="17" t="s">
        <v>148</v>
      </c>
      <c r="D94" s="27" t="s">
        <v>73</v>
      </c>
      <c r="E94" s="18">
        <v>135</v>
      </c>
      <c r="F94" s="18">
        <v>135</v>
      </c>
      <c r="G94" s="18">
        <v>270</v>
      </c>
      <c r="H94" s="30">
        <f t="shared" si="7"/>
        <v>405</v>
      </c>
      <c r="I94" s="31">
        <f>IF(OR(B94="",C94=""),"",IFERROR(E94*IF(E94="",0,VLOOKUP(C94,'📦 Precios Proforma'!$B$5:$D$104,IF(D94="DIA",2,3),FALSE)),0))</f>
        <v>814.05000000000007</v>
      </c>
      <c r="J94" s="31">
        <f t="shared" si="8"/>
        <v>546.75</v>
      </c>
      <c r="K94" s="31">
        <f t="shared" si="9"/>
        <v>1360.8000000000002</v>
      </c>
      <c r="L94" s="31">
        <f>IF(OR(B94="",C94=""),"",IFERROR(E94 / SUMIFS('📅 Resumen Diario'!$D$5:$D$504, '📅 Resumen Diario'!$B$5:$B$504, B94, '📅 Resumen Diario'!$C$5:$C$504, D94) * SUMIFS('📅 Resumen Diario'!$K$5:$K$504, '📅 Resumen Diario'!$B$5:$B$504, B94, '📅 Resumen Diario'!$C$5:$C$504, D94), 0))</f>
        <v>860.01587065961019</v>
      </c>
      <c r="M94" s="31">
        <f t="shared" si="10"/>
        <v>36.449999999999996</v>
      </c>
      <c r="N94" s="31">
        <f t="shared" si="11"/>
        <v>896.46587065961023</v>
      </c>
      <c r="O94" s="31">
        <f>IF(OR(B94="",C94=""),"",K94-N94 + IFERROR(E94 / SUMIFS('📅 Resumen Diario'!$D$5:$D$504, '📅 Resumen Diario'!$B$5:$B$504, B94, '📅 Resumen Diario'!$C$5:$C$504, D94) * (SUMIFS('📋 Detalle Diario'!$E$5:$E$489, '📋 Detalle Diario'!$B$5:$B$489, B94, '📋 Detalle Diario'!$C$5:$C$489, D94) * 135 + SUMIFS('📋 Detalle Diario'!$I$5:$I$489, '📋 Detalle Diario'!$B$5:$B$489, B94, '📋 Detalle Diario'!$C$5:$C$489, D94) * 200), 0))</f>
        <v>464.33412934038995</v>
      </c>
      <c r="P94" s="32">
        <f t="shared" si="12"/>
        <v>0.34122143543532474</v>
      </c>
      <c r="Q94" s="33" t="str">
        <f t="shared" si="13"/>
        <v>2026-05</v>
      </c>
    </row>
    <row r="95" spans="2:17" ht="18" customHeight="1" x14ac:dyDescent="0.3">
      <c r="B95" s="26" t="s">
        <v>85</v>
      </c>
      <c r="C95" s="28" t="s">
        <v>144</v>
      </c>
      <c r="D95" s="27" t="s">
        <v>73</v>
      </c>
      <c r="E95" s="29">
        <v>135</v>
      </c>
      <c r="F95" s="29">
        <v>135</v>
      </c>
      <c r="G95" s="29">
        <v>270</v>
      </c>
      <c r="H95" s="30">
        <f t="shared" si="7"/>
        <v>405</v>
      </c>
      <c r="I95" s="31">
        <f>IF(OR(B95="",C95=""),"",IFERROR(E95*IF(E95="",0,VLOOKUP(C95,'📦 Precios Proforma'!$B$5:$D$104,IF(D95="DIA",2,3),FALSE)),0))</f>
        <v>814.05000000000007</v>
      </c>
      <c r="J95" s="31">
        <f t="shared" si="8"/>
        <v>546.75</v>
      </c>
      <c r="K95" s="31">
        <f t="shared" si="9"/>
        <v>1360.8000000000002</v>
      </c>
      <c r="L95" s="31">
        <f>IF(OR(B95="",C95=""),"",IFERROR(E95 / SUMIFS('📅 Resumen Diario'!$D$5:$D$504, '📅 Resumen Diario'!$B$5:$B$504, B95, '📅 Resumen Diario'!$C$5:$C$504, D95) * SUMIFS('📅 Resumen Diario'!$K$5:$K$504, '📅 Resumen Diario'!$B$5:$B$504, B95, '📅 Resumen Diario'!$C$5:$C$504, D95), 0))</f>
        <v>860.01587065961019</v>
      </c>
      <c r="M95" s="31">
        <f t="shared" si="10"/>
        <v>36.449999999999996</v>
      </c>
      <c r="N95" s="31">
        <f t="shared" si="11"/>
        <v>896.46587065961023</v>
      </c>
      <c r="O95" s="31">
        <f>IF(OR(B95="",C95=""),"",K95-N95 + IFERROR(E95 / SUMIFS('📅 Resumen Diario'!$D$5:$D$504, '📅 Resumen Diario'!$B$5:$B$504, B95, '📅 Resumen Diario'!$C$5:$C$504, D95) * (SUMIFS('📋 Detalle Diario'!$E$5:$E$489, '📋 Detalle Diario'!$B$5:$B$489, B95, '📋 Detalle Diario'!$C$5:$C$489, D95) * 135 + SUMIFS('📋 Detalle Diario'!$I$5:$I$489, '📋 Detalle Diario'!$B$5:$B$489, B95, '📋 Detalle Diario'!$C$5:$C$489, D95) * 200), 0))</f>
        <v>464.33412934038995</v>
      </c>
      <c r="P95" s="32">
        <f t="shared" si="12"/>
        <v>0.34122143543532474</v>
      </c>
      <c r="Q95" s="33" t="str">
        <f t="shared" si="13"/>
        <v>2026-05</v>
      </c>
    </row>
    <row r="96" spans="2:17" ht="18" customHeight="1" x14ac:dyDescent="0.3">
      <c r="B96" s="26" t="s">
        <v>85</v>
      </c>
      <c r="C96" s="17" t="s">
        <v>151</v>
      </c>
      <c r="D96" s="27" t="s">
        <v>73</v>
      </c>
      <c r="E96" s="18">
        <v>30</v>
      </c>
      <c r="F96" s="18">
        <v>0</v>
      </c>
      <c r="G96" s="18">
        <v>270</v>
      </c>
      <c r="H96" s="30">
        <f t="shared" si="7"/>
        <v>270</v>
      </c>
      <c r="I96" s="31">
        <f>IF(OR(B96="",C96=""),"",IFERROR(E96*IF(E96="",0,VLOOKUP(C96,'📦 Precios Proforma'!$B$5:$D$104,IF(D96="DIA",2,3),FALSE)),0))</f>
        <v>180.9</v>
      </c>
      <c r="J96" s="31">
        <f t="shared" si="8"/>
        <v>364.5</v>
      </c>
      <c r="K96" s="31">
        <f t="shared" si="9"/>
        <v>545.4</v>
      </c>
      <c r="L96" s="31">
        <f>IF(OR(B96="",C96=""),"",IFERROR(E96 / SUMIFS('📅 Resumen Diario'!$D$5:$D$504, '📅 Resumen Diario'!$B$5:$B$504, B96, '📅 Resumen Diario'!$C$5:$C$504, D96) * SUMIFS('📅 Resumen Diario'!$K$5:$K$504, '📅 Resumen Diario'!$B$5:$B$504, B96, '📅 Resumen Diario'!$C$5:$C$504, D96), 0))</f>
        <v>191.11463792435782</v>
      </c>
      <c r="M96" s="31">
        <f t="shared" si="10"/>
        <v>24.3</v>
      </c>
      <c r="N96" s="31">
        <f t="shared" si="11"/>
        <v>215.41463792435783</v>
      </c>
      <c r="O96" s="31">
        <f>IF(OR(B96="",C96=""),"",K96-N96 + IFERROR(E96 / SUMIFS('📅 Resumen Diario'!$D$5:$D$504, '📅 Resumen Diario'!$B$5:$B$504, B96, '📅 Resumen Diario'!$C$5:$C$504, D96) * (SUMIFS('📋 Detalle Diario'!$E$5:$E$489, '📋 Detalle Diario'!$B$5:$B$489, B96, '📋 Detalle Diario'!$C$5:$C$489, D96) * 135 + SUMIFS('📋 Detalle Diario'!$I$5:$I$489, '📋 Detalle Diario'!$B$5:$B$489, B96, '📋 Detalle Diario'!$C$5:$C$489, D96) * 200), 0))</f>
        <v>329.98536207564212</v>
      </c>
      <c r="P96" s="32">
        <f t="shared" si="12"/>
        <v>0.60503366717206108</v>
      </c>
      <c r="Q96" s="33" t="str">
        <f t="shared" si="13"/>
        <v>2026-05</v>
      </c>
    </row>
    <row r="97" spans="2:17" ht="18" customHeight="1" x14ac:dyDescent="0.3">
      <c r="B97" s="26" t="s">
        <v>85</v>
      </c>
      <c r="C97" s="28" t="s">
        <v>138</v>
      </c>
      <c r="D97" s="27" t="s">
        <v>73</v>
      </c>
      <c r="E97" s="29">
        <v>20</v>
      </c>
      <c r="F97" s="29">
        <v>0</v>
      </c>
      <c r="G97" s="29">
        <v>20</v>
      </c>
      <c r="H97" s="30">
        <f t="shared" si="7"/>
        <v>20</v>
      </c>
      <c r="I97" s="31">
        <f>IF(OR(B97="",C97=""),"",IFERROR(E97*IF(E97="",0,VLOOKUP(C97,'📦 Precios Proforma'!$B$5:$D$104,IF(D97="DIA",2,3),FALSE)),0))</f>
        <v>115.8</v>
      </c>
      <c r="J97" s="31">
        <f t="shared" si="8"/>
        <v>27</v>
      </c>
      <c r="K97" s="31">
        <f t="shared" si="9"/>
        <v>142.80000000000001</v>
      </c>
      <c r="L97" s="31">
        <f>IF(OR(B97="",C97=""),"",IFERROR(E97 / SUMIFS('📅 Resumen Diario'!$D$5:$D$504, '📅 Resumen Diario'!$B$5:$B$504, B97, '📅 Resumen Diario'!$C$5:$C$504, D97) * SUMIFS('📅 Resumen Diario'!$K$5:$K$504, '📅 Resumen Diario'!$B$5:$B$504, B97, '📅 Resumen Diario'!$C$5:$C$504, D97), 0))</f>
        <v>127.40975861623855</v>
      </c>
      <c r="M97" s="31">
        <f t="shared" si="10"/>
        <v>1.7999999999999998</v>
      </c>
      <c r="N97" s="31">
        <f t="shared" si="11"/>
        <v>129.20975861623856</v>
      </c>
      <c r="O97" s="31">
        <f>IF(OR(B97="",C97=""),"",K97-N97 + IFERROR(E97 / SUMIFS('📅 Resumen Diario'!$D$5:$D$504, '📅 Resumen Diario'!$B$5:$B$504, B97, '📅 Resumen Diario'!$C$5:$C$504, D97) * (SUMIFS('📋 Detalle Diario'!$E$5:$E$489, '📋 Detalle Diario'!$B$5:$B$489, B97, '📋 Detalle Diario'!$C$5:$C$489, D97) * 135 + SUMIFS('📋 Detalle Diario'!$I$5:$I$489, '📋 Detalle Diario'!$B$5:$B$489, B97, '📋 Detalle Diario'!$C$5:$C$489, D97) * 200), 0))</f>
        <v>13.590241383761452</v>
      </c>
      <c r="P97" s="32">
        <f t="shared" si="12"/>
        <v>9.5169757589365897E-2</v>
      </c>
      <c r="Q97" s="33" t="str">
        <f t="shared" si="13"/>
        <v>2026-05</v>
      </c>
    </row>
    <row r="98" spans="2:17" ht="18" customHeight="1" x14ac:dyDescent="0.3">
      <c r="B98" s="26" t="s">
        <v>86</v>
      </c>
      <c r="C98" s="17" t="s">
        <v>147</v>
      </c>
      <c r="D98" s="27" t="s">
        <v>72</v>
      </c>
      <c r="E98" s="18">
        <v>720</v>
      </c>
      <c r="F98" s="18">
        <v>720</v>
      </c>
      <c r="G98" s="18">
        <v>2160</v>
      </c>
      <c r="H98" s="30">
        <f t="shared" si="7"/>
        <v>2880</v>
      </c>
      <c r="I98" s="31">
        <f>IF(OR(B98="",C98=""),"",IFERROR(E98*IF(E98="",0,VLOOKUP(C98,'📦 Precios Proforma'!$B$5:$D$104,IF(D98="DIA",2,3),FALSE)),0))</f>
        <v>3254.3999999999996</v>
      </c>
      <c r="J98" s="31">
        <f t="shared" si="8"/>
        <v>2908.8</v>
      </c>
      <c r="K98" s="31">
        <f t="shared" si="9"/>
        <v>6163.2</v>
      </c>
      <c r="L98" s="31">
        <f>IF(OR(B98="",C98=""),"",IFERROR(E98 / SUMIFS('📅 Resumen Diario'!$D$5:$D$504, '📅 Resumen Diario'!$B$5:$B$504, B98, '📅 Resumen Diario'!$C$5:$C$504, D98) * SUMIFS('📅 Resumen Diario'!$K$5:$K$504, '📅 Resumen Diario'!$B$5:$B$504, B98, '📅 Resumen Diario'!$C$5:$C$504, D98), 0))</f>
        <v>4989.1157142857146</v>
      </c>
      <c r="M98" s="31">
        <f t="shared" si="10"/>
        <v>259.2</v>
      </c>
      <c r="N98" s="31">
        <f t="shared" si="11"/>
        <v>5248.3157142857144</v>
      </c>
      <c r="O98" s="31">
        <f>IF(OR(B98="",C98=""),"",K98-N98 + IFERROR(E98 / SUMIFS('📅 Resumen Diario'!$D$5:$D$504, '📅 Resumen Diario'!$B$5:$B$504, B98, '📅 Resumen Diario'!$C$5:$C$504, D98) * (SUMIFS('📋 Detalle Diario'!$E$5:$E$489, '📋 Detalle Diario'!$B$5:$B$489, B98, '📋 Detalle Diario'!$C$5:$C$489, D98) * 135 + SUMIFS('📋 Detalle Diario'!$I$5:$I$489, '📋 Detalle Diario'!$B$5:$B$489, B98, '📋 Detalle Diario'!$C$5:$C$489, D98) * 200), 0))</f>
        <v>914.8842857142854</v>
      </c>
      <c r="P98" s="32">
        <f t="shared" si="12"/>
        <v>0.14844306297285265</v>
      </c>
      <c r="Q98" s="33" t="str">
        <f t="shared" si="13"/>
        <v>2026-05</v>
      </c>
    </row>
    <row r="99" spans="2:17" ht="18" customHeight="1" x14ac:dyDescent="0.3">
      <c r="B99" s="26" t="s">
        <v>86</v>
      </c>
      <c r="C99" s="28" t="s">
        <v>134</v>
      </c>
      <c r="D99" s="27" t="s">
        <v>72</v>
      </c>
      <c r="E99" s="29">
        <v>8</v>
      </c>
      <c r="F99" s="29">
        <v>0</v>
      </c>
      <c r="G99" s="29">
        <v>0</v>
      </c>
      <c r="H99" s="30">
        <f t="shared" si="7"/>
        <v>0</v>
      </c>
      <c r="I99" s="31">
        <f>IF(OR(B99="",C99=""),"",IFERROR(E99*IF(E99="",0,VLOOKUP(C99,'📦 Precios Proforma'!$B$5:$D$104,IF(D99="DIA",2,3),FALSE)),0))</f>
        <v>360</v>
      </c>
      <c r="J99" s="31">
        <f t="shared" si="8"/>
        <v>0</v>
      </c>
      <c r="K99" s="31">
        <f t="shared" si="9"/>
        <v>360</v>
      </c>
      <c r="L99" s="31">
        <f>IF(OR(B99="",C99=""),"",IFERROR(E99 / SUMIFS('📅 Resumen Diario'!$D$5:$D$504, '📅 Resumen Diario'!$B$5:$B$504, B99, '📅 Resumen Diario'!$C$5:$C$504, D99) * SUMIFS('📅 Resumen Diario'!$K$5:$K$504, '📅 Resumen Diario'!$B$5:$B$504, B99, '📅 Resumen Diario'!$C$5:$C$504, D99), 0))</f>
        <v>55.434619047619051</v>
      </c>
      <c r="M99" s="31">
        <f t="shared" si="10"/>
        <v>0</v>
      </c>
      <c r="N99" s="31">
        <f t="shared" si="11"/>
        <v>55.434619047619051</v>
      </c>
      <c r="O99" s="31">
        <f>IF(OR(B99="",C99=""),"",K99-N99 + IFERROR(E99 / SUMIFS('📅 Resumen Diario'!$D$5:$D$504, '📅 Resumen Diario'!$B$5:$B$504, B99, '📅 Resumen Diario'!$C$5:$C$504, D99) * (SUMIFS('📋 Detalle Diario'!$E$5:$E$489, '📋 Detalle Diario'!$B$5:$B$489, B99, '📋 Detalle Diario'!$C$5:$C$489, D99) * 135 + SUMIFS('📋 Detalle Diario'!$I$5:$I$489, '📋 Detalle Diario'!$B$5:$B$489, B99, '📋 Detalle Diario'!$C$5:$C$489, D99) * 200), 0))</f>
        <v>304.56538095238096</v>
      </c>
      <c r="P99" s="32">
        <f t="shared" si="12"/>
        <v>0.84601494708994707</v>
      </c>
      <c r="Q99" s="33" t="str">
        <f t="shared" si="13"/>
        <v>2026-05</v>
      </c>
    </row>
    <row r="100" spans="2:17" ht="18" customHeight="1" x14ac:dyDescent="0.3">
      <c r="B100" s="26" t="s">
        <v>86</v>
      </c>
      <c r="C100" s="17" t="s">
        <v>151</v>
      </c>
      <c r="D100" s="27" t="s">
        <v>73</v>
      </c>
      <c r="E100" s="18">
        <v>60</v>
      </c>
      <c r="F100" s="18">
        <v>0</v>
      </c>
      <c r="G100" s="18">
        <v>540</v>
      </c>
      <c r="H100" s="30">
        <f t="shared" si="7"/>
        <v>540</v>
      </c>
      <c r="I100" s="31">
        <f>IF(OR(B100="",C100=""),"",IFERROR(E100*IF(E100="",0,VLOOKUP(C100,'📦 Precios Proforma'!$B$5:$D$104,IF(D100="DIA",2,3),FALSE)),0))</f>
        <v>361.8</v>
      </c>
      <c r="J100" s="31">
        <f t="shared" si="8"/>
        <v>729</v>
      </c>
      <c r="K100" s="31">
        <f t="shared" si="9"/>
        <v>1090.8</v>
      </c>
      <c r="L100" s="31">
        <f>IF(OR(B100="",C100=""),"",IFERROR(E100 / SUMIFS('📅 Resumen Diario'!$D$5:$D$504, '📅 Resumen Diario'!$B$5:$B$504, B100, '📅 Resumen Diario'!$C$5:$C$504, D100) * SUMIFS('📅 Resumen Diario'!$K$5:$K$504, '📅 Resumen Diario'!$B$5:$B$504, B100, '📅 Resumen Diario'!$C$5:$C$504, D100), 0))</f>
        <v>273.67192236598896</v>
      </c>
      <c r="M100" s="31">
        <f t="shared" si="10"/>
        <v>48.6</v>
      </c>
      <c r="N100" s="31">
        <f t="shared" si="11"/>
        <v>322.27192236598898</v>
      </c>
      <c r="O100" s="31">
        <f>IF(OR(B100="",C100=""),"",K100-N100 + IFERROR(E100 / SUMIFS('📅 Resumen Diario'!$D$5:$D$504, '📅 Resumen Diario'!$B$5:$B$504, B100, '📅 Resumen Diario'!$C$5:$C$504, D100) * (SUMIFS('📋 Detalle Diario'!$E$5:$E$489, '📋 Detalle Diario'!$B$5:$B$489, B100, '📋 Detalle Diario'!$C$5:$C$489, D100) * 135 + SUMIFS('📋 Detalle Diario'!$I$5:$I$489, '📋 Detalle Diario'!$B$5:$B$489, B100, '📋 Detalle Diario'!$C$5:$C$489, D100) * 200), 0))</f>
        <v>768.52807763401097</v>
      </c>
      <c r="P100" s="32">
        <f t="shared" si="12"/>
        <v>0.70455452661717177</v>
      </c>
      <c r="Q100" s="33" t="str">
        <f t="shared" si="13"/>
        <v>2026-05</v>
      </c>
    </row>
    <row r="101" spans="2:17" ht="18" customHeight="1" x14ac:dyDescent="0.3">
      <c r="B101" s="26" t="s">
        <v>86</v>
      </c>
      <c r="C101" s="28" t="s">
        <v>149</v>
      </c>
      <c r="D101" s="27" t="s">
        <v>73</v>
      </c>
      <c r="E101" s="29">
        <v>72</v>
      </c>
      <c r="F101" s="29">
        <v>0</v>
      </c>
      <c r="G101" s="29">
        <v>72</v>
      </c>
      <c r="H101" s="30">
        <f t="shared" si="7"/>
        <v>72</v>
      </c>
      <c r="I101" s="31">
        <f>IF(OR(B101="",C101=""),"",IFERROR(E101*IF(E101="",0,VLOOKUP(C101,'📦 Precios Proforma'!$B$5:$D$104,IF(D101="DIA",2,3),FALSE)),0))</f>
        <v>455.04</v>
      </c>
      <c r="J101" s="31">
        <f t="shared" si="8"/>
        <v>97.2</v>
      </c>
      <c r="K101" s="31">
        <f t="shared" si="9"/>
        <v>552.24</v>
      </c>
      <c r="L101" s="31">
        <f>IF(OR(B101="",C101=""),"",IFERROR(E101 / SUMIFS('📅 Resumen Diario'!$D$5:$D$504, '📅 Resumen Diario'!$B$5:$B$504, B101, '📅 Resumen Diario'!$C$5:$C$504, D101) * SUMIFS('📅 Resumen Diario'!$K$5:$K$504, '📅 Resumen Diario'!$B$5:$B$504, B101, '📅 Resumen Diario'!$C$5:$C$504, D101), 0))</f>
        <v>328.4063068391867</v>
      </c>
      <c r="M101" s="31">
        <f t="shared" si="10"/>
        <v>6.4799999999999995</v>
      </c>
      <c r="N101" s="31">
        <f t="shared" si="11"/>
        <v>334.88630683918672</v>
      </c>
      <c r="O101" s="31">
        <f>IF(OR(B101="",C101=""),"",K101-N101 + IFERROR(E101 / SUMIFS('📅 Resumen Diario'!$D$5:$D$504, '📅 Resumen Diario'!$B$5:$B$504, B101, '📅 Resumen Diario'!$C$5:$C$504, D101) * (SUMIFS('📋 Detalle Diario'!$E$5:$E$489, '📋 Detalle Diario'!$B$5:$B$489, B101, '📋 Detalle Diario'!$C$5:$C$489, D101) * 135 + SUMIFS('📋 Detalle Diario'!$I$5:$I$489, '📋 Detalle Diario'!$B$5:$B$489, B101, '📋 Detalle Diario'!$C$5:$C$489, D101) * 200), 0))</f>
        <v>217.35369316081329</v>
      </c>
      <c r="P101" s="32">
        <f t="shared" si="12"/>
        <v>0.39358556634943737</v>
      </c>
      <c r="Q101" s="33" t="str">
        <f t="shared" si="13"/>
        <v>2026-05</v>
      </c>
    </row>
    <row r="102" spans="2:17" ht="18" customHeight="1" x14ac:dyDescent="0.3">
      <c r="B102" s="26" t="s">
        <v>86</v>
      </c>
      <c r="C102" s="17" t="s">
        <v>152</v>
      </c>
      <c r="D102" s="27" t="s">
        <v>73</v>
      </c>
      <c r="E102" s="18">
        <v>36</v>
      </c>
      <c r="F102" s="18">
        <v>432</v>
      </c>
      <c r="G102" s="18">
        <v>18</v>
      </c>
      <c r="H102" s="30">
        <f t="shared" si="7"/>
        <v>450</v>
      </c>
      <c r="I102" s="31">
        <f>IF(OR(B102="",C102=""),"",IFERROR(E102*IF(E102="",0,VLOOKUP(C102,'📦 Precios Proforma'!$B$5:$D$104,IF(D102="DIA",2,3),FALSE)),0))</f>
        <v>217.08</v>
      </c>
      <c r="J102" s="31">
        <f t="shared" si="8"/>
        <v>607.5</v>
      </c>
      <c r="K102" s="31">
        <f t="shared" si="9"/>
        <v>824.58</v>
      </c>
      <c r="L102" s="31">
        <f>IF(OR(B102="",C102=""),"",IFERROR(E102 / SUMIFS('📅 Resumen Diario'!$D$5:$D$504, '📅 Resumen Diario'!$B$5:$B$504, B102, '📅 Resumen Diario'!$C$5:$C$504, D102) * SUMIFS('📅 Resumen Diario'!$K$5:$K$504, '📅 Resumen Diario'!$B$5:$B$504, B102, '📅 Resumen Diario'!$C$5:$C$504, D102), 0))</f>
        <v>164.20315341959335</v>
      </c>
      <c r="M102" s="31">
        <f t="shared" si="10"/>
        <v>40.5</v>
      </c>
      <c r="N102" s="31">
        <f t="shared" si="11"/>
        <v>204.70315341959335</v>
      </c>
      <c r="O102" s="31">
        <f>IF(OR(B102="",C102=""),"",K102-N102 + IFERROR(E102 / SUMIFS('📅 Resumen Diario'!$D$5:$D$504, '📅 Resumen Diario'!$B$5:$B$504, B102, '📅 Resumen Diario'!$C$5:$C$504, D102) * (SUMIFS('📋 Detalle Diario'!$E$5:$E$489, '📋 Detalle Diario'!$B$5:$B$489, B102, '📋 Detalle Diario'!$C$5:$C$489, D102) * 135 + SUMIFS('📋 Detalle Diario'!$I$5:$I$489, '📋 Detalle Diario'!$B$5:$B$489, B102, '📋 Detalle Diario'!$C$5:$C$489, D102) * 200), 0))</f>
        <v>619.87684658040666</v>
      </c>
      <c r="P102" s="32">
        <f t="shared" si="12"/>
        <v>0.75174858301245073</v>
      </c>
      <c r="Q102" s="33" t="str">
        <f t="shared" si="13"/>
        <v>2026-05</v>
      </c>
    </row>
    <row r="103" spans="2:17" ht="18" customHeight="1" x14ac:dyDescent="0.3">
      <c r="B103" s="26" t="s">
        <v>86</v>
      </c>
      <c r="C103" s="28" t="s">
        <v>148</v>
      </c>
      <c r="D103" s="27" t="s">
        <v>73</v>
      </c>
      <c r="E103" s="29">
        <v>540</v>
      </c>
      <c r="F103" s="29">
        <v>540</v>
      </c>
      <c r="G103" s="29">
        <v>1080</v>
      </c>
      <c r="H103" s="30">
        <f t="shared" si="7"/>
        <v>1620</v>
      </c>
      <c r="I103" s="31">
        <f>IF(OR(B103="",C103=""),"",IFERROR(E103*IF(E103="",0,VLOOKUP(C103,'📦 Precios Proforma'!$B$5:$D$104,IF(D103="DIA",2,3),FALSE)),0))</f>
        <v>3256.2000000000003</v>
      </c>
      <c r="J103" s="31">
        <f t="shared" si="8"/>
        <v>2187</v>
      </c>
      <c r="K103" s="31">
        <f t="shared" si="9"/>
        <v>5443.2000000000007</v>
      </c>
      <c r="L103" s="31">
        <f>IF(OR(B103="",C103=""),"",IFERROR(E103 / SUMIFS('📅 Resumen Diario'!$D$5:$D$504, '📅 Resumen Diario'!$B$5:$B$504, B103, '📅 Resumen Diario'!$C$5:$C$504, D103) * SUMIFS('📅 Resumen Diario'!$K$5:$K$504, '📅 Resumen Diario'!$B$5:$B$504, B103, '📅 Resumen Diario'!$C$5:$C$504, D103), 0))</f>
        <v>2463.0473012939005</v>
      </c>
      <c r="M103" s="31">
        <f t="shared" si="10"/>
        <v>145.79999999999998</v>
      </c>
      <c r="N103" s="31">
        <f t="shared" si="11"/>
        <v>2608.8473012939007</v>
      </c>
      <c r="O103" s="31">
        <f>IF(OR(B103="",C103=""),"",K103-N103 + IFERROR(E103 / SUMIFS('📅 Resumen Diario'!$D$5:$D$504, '📅 Resumen Diario'!$B$5:$B$504, B103, '📅 Resumen Diario'!$C$5:$C$504, D103) * (SUMIFS('📋 Detalle Diario'!$E$5:$E$489, '📋 Detalle Diario'!$B$5:$B$489, B103, '📋 Detalle Diario'!$C$5:$C$489, D103) * 135 + SUMIFS('📋 Detalle Diario'!$I$5:$I$489, '📋 Detalle Diario'!$B$5:$B$489, B103, '📋 Detalle Diario'!$C$5:$C$489, D103) * 200), 0))</f>
        <v>2834.3526987061</v>
      </c>
      <c r="P103" s="32">
        <f t="shared" si="12"/>
        <v>0.52071441407739927</v>
      </c>
      <c r="Q103" s="33" t="str">
        <f t="shared" si="13"/>
        <v>2026-05</v>
      </c>
    </row>
    <row r="104" spans="2:17" ht="18" customHeight="1" x14ac:dyDescent="0.3">
      <c r="B104" s="26" t="s">
        <v>86</v>
      </c>
      <c r="C104" s="17" t="s">
        <v>147</v>
      </c>
      <c r="D104" s="27" t="s">
        <v>73</v>
      </c>
      <c r="E104" s="18">
        <v>180</v>
      </c>
      <c r="F104" s="18">
        <v>180</v>
      </c>
      <c r="G104" s="18">
        <v>540</v>
      </c>
      <c r="H104" s="30">
        <f t="shared" si="7"/>
        <v>720</v>
      </c>
      <c r="I104" s="31">
        <f>IF(OR(B104="",C104=""),"",IFERROR(E104*IF(E104="",0,VLOOKUP(C104,'📦 Precios Proforma'!$B$5:$D$104,IF(D104="DIA",2,3),FALSE)),0))</f>
        <v>1085.4000000000001</v>
      </c>
      <c r="J104" s="31">
        <f t="shared" si="8"/>
        <v>972.00000000000011</v>
      </c>
      <c r="K104" s="31">
        <f t="shared" si="9"/>
        <v>2057.4</v>
      </c>
      <c r="L104" s="31">
        <f>IF(OR(B104="",C104=""),"",IFERROR(E104 / SUMIFS('📅 Resumen Diario'!$D$5:$D$504, '📅 Resumen Diario'!$B$5:$B$504, B104, '📅 Resumen Diario'!$C$5:$C$504, D104) * SUMIFS('📅 Resumen Diario'!$K$5:$K$504, '📅 Resumen Diario'!$B$5:$B$504, B104, '📅 Resumen Diario'!$C$5:$C$504, D104), 0))</f>
        <v>821.01576709796677</v>
      </c>
      <c r="M104" s="31">
        <f t="shared" si="10"/>
        <v>64.8</v>
      </c>
      <c r="N104" s="31">
        <f t="shared" si="11"/>
        <v>885.81576709796673</v>
      </c>
      <c r="O104" s="31">
        <f>IF(OR(B104="",C104=""),"",K104-N104 + IFERROR(E104 / SUMIFS('📅 Resumen Diario'!$D$5:$D$504, '📅 Resumen Diario'!$B$5:$B$504, B104, '📅 Resumen Diario'!$C$5:$C$504, D104) * (SUMIFS('📋 Detalle Diario'!$E$5:$E$489, '📋 Detalle Diario'!$B$5:$B$489, B104, '📋 Detalle Diario'!$C$5:$C$489, D104) * 135 + SUMIFS('📋 Detalle Diario'!$I$5:$I$489, '📋 Detalle Diario'!$B$5:$B$489, B104, '📋 Detalle Diario'!$C$5:$C$489, D104) * 200), 0))</f>
        <v>1171.5842329020334</v>
      </c>
      <c r="P104" s="32">
        <f t="shared" si="12"/>
        <v>0.56944893209975378</v>
      </c>
      <c r="Q104" s="33" t="str">
        <f t="shared" si="13"/>
        <v>2026-05</v>
      </c>
    </row>
    <row r="105" spans="2:17" ht="18" customHeight="1" x14ac:dyDescent="0.3">
      <c r="B105" s="26" t="s">
        <v>86</v>
      </c>
      <c r="C105" s="28" t="s">
        <v>153</v>
      </c>
      <c r="D105" s="27" t="s">
        <v>73</v>
      </c>
      <c r="E105" s="29">
        <v>112</v>
      </c>
      <c r="F105" s="29">
        <v>0</v>
      </c>
      <c r="G105" s="29">
        <v>112</v>
      </c>
      <c r="H105" s="30">
        <f t="shared" si="7"/>
        <v>112</v>
      </c>
      <c r="I105" s="31">
        <f>IF(OR(B105="",C105=""),"",IFERROR(E105*IF(E105="",0,VLOOKUP(C105,'📦 Precios Proforma'!$B$5:$D$104,IF(D105="DIA",2,3),FALSE)),0))</f>
        <v>648.48</v>
      </c>
      <c r="J105" s="31">
        <f t="shared" si="8"/>
        <v>151.20000000000002</v>
      </c>
      <c r="K105" s="31">
        <f t="shared" si="9"/>
        <v>799.68000000000006</v>
      </c>
      <c r="L105" s="31">
        <f>IF(OR(B105="",C105=""),"",IFERROR(E105 / SUMIFS('📅 Resumen Diario'!$D$5:$D$504, '📅 Resumen Diario'!$B$5:$B$504, B105, '📅 Resumen Diario'!$C$5:$C$504, D105) * SUMIFS('📅 Resumen Diario'!$K$5:$K$504, '📅 Resumen Diario'!$B$5:$B$504, B105, '📅 Resumen Diario'!$C$5:$C$504, D105), 0))</f>
        <v>510.8542550831794</v>
      </c>
      <c r="M105" s="31">
        <f t="shared" si="10"/>
        <v>10.08</v>
      </c>
      <c r="N105" s="31">
        <f t="shared" si="11"/>
        <v>520.93425508317944</v>
      </c>
      <c r="O105" s="31">
        <f>IF(OR(B105="",C105=""),"",K105-N105 + IFERROR(E105 / SUMIFS('📅 Resumen Diario'!$D$5:$D$504, '📅 Resumen Diario'!$B$5:$B$504, B105, '📅 Resumen Diario'!$C$5:$C$504, D105) * (SUMIFS('📋 Detalle Diario'!$E$5:$E$489, '📋 Detalle Diario'!$B$5:$B$489, B105, '📋 Detalle Diario'!$C$5:$C$489, D105) * 135 + SUMIFS('📋 Detalle Diario'!$I$5:$I$489, '📋 Detalle Diario'!$B$5:$B$489, B105, '📋 Detalle Diario'!$C$5:$C$489, D105) * 200), 0))</f>
        <v>278.74574491682063</v>
      </c>
      <c r="P105" s="32">
        <f t="shared" si="12"/>
        <v>0.34857160978994173</v>
      </c>
      <c r="Q105" s="33" t="str">
        <f t="shared" si="13"/>
        <v>2026-05</v>
      </c>
    </row>
    <row r="106" spans="2:17" ht="18" customHeight="1" x14ac:dyDescent="0.3">
      <c r="B106" s="26" t="s">
        <v>86</v>
      </c>
      <c r="C106" s="17" t="s">
        <v>150</v>
      </c>
      <c r="D106" s="27" t="s">
        <v>73</v>
      </c>
      <c r="E106" s="18">
        <v>82</v>
      </c>
      <c r="F106" s="18">
        <v>82</v>
      </c>
      <c r="G106" s="18">
        <v>328</v>
      </c>
      <c r="H106" s="30">
        <f t="shared" si="7"/>
        <v>410</v>
      </c>
      <c r="I106" s="31">
        <f>IF(OR(B106="",C106=""),"",IFERROR(E106*IF(E106="",0,VLOOKUP(C106,'📦 Precios Proforma'!$B$5:$D$104,IF(D106="DIA",2,3),FALSE)),0))</f>
        <v>494.46000000000004</v>
      </c>
      <c r="J106" s="31">
        <f t="shared" si="8"/>
        <v>553.5</v>
      </c>
      <c r="K106" s="31">
        <f t="shared" si="9"/>
        <v>1047.96</v>
      </c>
      <c r="L106" s="31">
        <f>IF(OR(B106="",C106=""),"",IFERROR(E106 / SUMIFS('📅 Resumen Diario'!$D$5:$D$504, '📅 Resumen Diario'!$B$5:$B$504, B106, '📅 Resumen Diario'!$C$5:$C$504, D106) * SUMIFS('📅 Resumen Diario'!$K$5:$K$504, '📅 Resumen Diario'!$B$5:$B$504, B106, '📅 Resumen Diario'!$C$5:$C$504, D106), 0))</f>
        <v>374.01829390018491</v>
      </c>
      <c r="M106" s="31">
        <f t="shared" si="10"/>
        <v>36.9</v>
      </c>
      <c r="N106" s="31">
        <f t="shared" si="11"/>
        <v>410.91829390018489</v>
      </c>
      <c r="O106" s="31">
        <f>IF(OR(B106="",C106=""),"",K106-N106 + IFERROR(E106 / SUMIFS('📅 Resumen Diario'!$D$5:$D$504, '📅 Resumen Diario'!$B$5:$B$504, B106, '📅 Resumen Diario'!$C$5:$C$504, D106) * (SUMIFS('📋 Detalle Diario'!$E$5:$E$489, '📋 Detalle Diario'!$B$5:$B$489, B106, '📋 Detalle Diario'!$C$5:$C$489, D106) * 135 + SUMIFS('📋 Detalle Diario'!$I$5:$I$489, '📋 Detalle Diario'!$B$5:$B$489, B106, '📋 Detalle Diario'!$C$5:$C$489, D106) * 200), 0))</f>
        <v>637.0417060998152</v>
      </c>
      <c r="P106" s="32">
        <f t="shared" si="12"/>
        <v>0.60788742518780792</v>
      </c>
      <c r="Q106" s="33" t="str">
        <f t="shared" si="13"/>
        <v>2026-05</v>
      </c>
    </row>
    <row r="107" spans="2:17" ht="18" customHeight="1" x14ac:dyDescent="0.3">
      <c r="B107" s="26" t="s">
        <v>87</v>
      </c>
      <c r="C107" s="28" t="s">
        <v>154</v>
      </c>
      <c r="D107" s="27" t="s">
        <v>72</v>
      </c>
      <c r="E107" s="29">
        <v>72</v>
      </c>
      <c r="F107" s="29">
        <v>0</v>
      </c>
      <c r="G107" s="29">
        <v>72</v>
      </c>
      <c r="H107" s="30">
        <f t="shared" si="7"/>
        <v>72</v>
      </c>
      <c r="I107" s="31">
        <f>IF(OR(B107="",C107=""),"",IFERROR(E107*IF(E107="",0,VLOOKUP(C107,'📦 Precios Proforma'!$B$5:$D$104,IF(D107="DIA",2,3),FALSE)),0))</f>
        <v>325.43999999999994</v>
      </c>
      <c r="J107" s="31">
        <f t="shared" si="8"/>
        <v>72.72</v>
      </c>
      <c r="K107" s="31">
        <f t="shared" si="9"/>
        <v>398.15999999999997</v>
      </c>
      <c r="L107" s="31">
        <f>IF(OR(B107="",C107=""),"",IFERROR(E107 / SUMIFS('📅 Resumen Diario'!$D$5:$D$504, '📅 Resumen Diario'!$B$5:$B$504, B107, '📅 Resumen Diario'!$C$5:$C$504, D107) * SUMIFS('📅 Resumen Diario'!$K$5:$K$504, '📅 Resumen Diario'!$B$5:$B$504, B107, '📅 Resumen Diario'!$C$5:$C$504, D107), 0))</f>
        <v>1526.0824537815126</v>
      </c>
      <c r="M107" s="31">
        <f t="shared" si="10"/>
        <v>6.4799999999999995</v>
      </c>
      <c r="N107" s="31">
        <f t="shared" si="11"/>
        <v>1532.5624537815127</v>
      </c>
      <c r="O107" s="31">
        <f>IF(OR(B107="",C107=""),"",K107-N107 + IFERROR(E107 / SUMIFS('📅 Resumen Diario'!$D$5:$D$504, '📅 Resumen Diario'!$B$5:$B$504, B107, '📅 Resumen Diario'!$C$5:$C$504, D107) * (SUMIFS('📋 Detalle Diario'!$E$5:$E$489, '📋 Detalle Diario'!$B$5:$B$489, B107, '📋 Detalle Diario'!$C$5:$C$489, D107) * 135 + SUMIFS('📋 Detalle Diario'!$I$5:$I$489, '📋 Detalle Diario'!$B$5:$B$489, B107, '📋 Detalle Diario'!$C$5:$C$489, D107) * 200), 0))</f>
        <v>-1134.4024537815126</v>
      </c>
      <c r="P107" s="32">
        <f t="shared" si="12"/>
        <v>-2.8491120498832445</v>
      </c>
      <c r="Q107" s="33" t="str">
        <f t="shared" si="13"/>
        <v>2026-05</v>
      </c>
    </row>
    <row r="108" spans="2:17" ht="18" customHeight="1" x14ac:dyDescent="0.3">
      <c r="B108" s="26" t="s">
        <v>87</v>
      </c>
      <c r="C108" s="17" t="s">
        <v>151</v>
      </c>
      <c r="D108" s="27" t="s">
        <v>72</v>
      </c>
      <c r="E108" s="18">
        <v>120</v>
      </c>
      <c r="F108" s="18">
        <v>0</v>
      </c>
      <c r="G108" s="18">
        <v>1080</v>
      </c>
      <c r="H108" s="30">
        <f t="shared" si="7"/>
        <v>1080</v>
      </c>
      <c r="I108" s="31">
        <f>IF(OR(B108="",C108=""),"",IFERROR(E108*IF(E108="",0,VLOOKUP(C108,'📦 Precios Proforma'!$B$5:$D$104,IF(D108="DIA",2,3),FALSE)),0))</f>
        <v>542.4</v>
      </c>
      <c r="J108" s="31">
        <f t="shared" si="8"/>
        <v>1090.8</v>
      </c>
      <c r="K108" s="31">
        <f t="shared" si="9"/>
        <v>1633.1999999999998</v>
      </c>
      <c r="L108" s="31">
        <f>IF(OR(B108="",C108=""),"",IFERROR(E108 / SUMIFS('📅 Resumen Diario'!$D$5:$D$504, '📅 Resumen Diario'!$B$5:$B$504, B108, '📅 Resumen Diario'!$C$5:$C$504, D108) * SUMIFS('📅 Resumen Diario'!$K$5:$K$504, '📅 Resumen Diario'!$B$5:$B$504, B108, '📅 Resumen Diario'!$C$5:$C$504, D108), 0))</f>
        <v>2543.4707563025208</v>
      </c>
      <c r="M108" s="31">
        <f t="shared" si="10"/>
        <v>97.2</v>
      </c>
      <c r="N108" s="31">
        <f t="shared" si="11"/>
        <v>2640.6707563025207</v>
      </c>
      <c r="O108" s="31">
        <f>IF(OR(B108="",C108=""),"",K108-N108 + IFERROR(E108 / SUMIFS('📅 Resumen Diario'!$D$5:$D$504, '📅 Resumen Diario'!$B$5:$B$504, B108, '📅 Resumen Diario'!$C$5:$C$504, D108) * (SUMIFS('📋 Detalle Diario'!$E$5:$E$489, '📋 Detalle Diario'!$B$5:$B$489, B108, '📋 Detalle Diario'!$C$5:$C$489, D108) * 135 + SUMIFS('📋 Detalle Diario'!$I$5:$I$489, '📋 Detalle Diario'!$B$5:$B$489, B108, '📋 Detalle Diario'!$C$5:$C$489, D108) * 200), 0))</f>
        <v>-1007.4707563025208</v>
      </c>
      <c r="P108" s="32">
        <f t="shared" si="12"/>
        <v>-0.61686918705762983</v>
      </c>
      <c r="Q108" s="33" t="str">
        <f t="shared" si="13"/>
        <v>2026-05</v>
      </c>
    </row>
    <row r="109" spans="2:17" ht="18" customHeight="1" x14ac:dyDescent="0.3">
      <c r="B109" s="26" t="s">
        <v>87</v>
      </c>
      <c r="C109" s="28" t="s">
        <v>134</v>
      </c>
      <c r="D109" s="27" t="s">
        <v>72</v>
      </c>
      <c r="E109" s="29">
        <v>42</v>
      </c>
      <c r="F109" s="29">
        <v>0</v>
      </c>
      <c r="G109" s="29">
        <v>200</v>
      </c>
      <c r="H109" s="30">
        <f t="shared" si="7"/>
        <v>200</v>
      </c>
      <c r="I109" s="31">
        <f>IF(OR(B109="",C109=""),"",IFERROR(E109*IF(E109="",0,VLOOKUP(C109,'📦 Precios Proforma'!$B$5:$D$104,IF(D109="DIA",2,3),FALSE)),0))</f>
        <v>1890</v>
      </c>
      <c r="J109" s="31">
        <f t="shared" si="8"/>
        <v>202</v>
      </c>
      <c r="K109" s="31">
        <f t="shared" si="9"/>
        <v>2092</v>
      </c>
      <c r="L109" s="31">
        <f>IF(OR(B109="",C109=""),"",IFERROR(E109 / SUMIFS('📅 Resumen Diario'!$D$5:$D$504, '📅 Resumen Diario'!$B$5:$B$504, B109, '📅 Resumen Diario'!$C$5:$C$504, D109) * SUMIFS('📅 Resumen Diario'!$K$5:$K$504, '📅 Resumen Diario'!$B$5:$B$504, B109, '📅 Resumen Diario'!$C$5:$C$504, D109), 0))</f>
        <v>890.21476470588243</v>
      </c>
      <c r="M109" s="31">
        <f t="shared" si="10"/>
        <v>18</v>
      </c>
      <c r="N109" s="31">
        <f t="shared" si="11"/>
        <v>908.21476470588243</v>
      </c>
      <c r="O109" s="31">
        <f>IF(OR(B109="",C109=""),"",K109-N109 + IFERROR(E109 / SUMIFS('📅 Resumen Diario'!$D$5:$D$504, '📅 Resumen Diario'!$B$5:$B$504, B109, '📅 Resumen Diario'!$C$5:$C$504, D109) * (SUMIFS('📋 Detalle Diario'!$E$5:$E$489, '📋 Detalle Diario'!$B$5:$B$489, B109, '📋 Detalle Diario'!$C$5:$C$489, D109) * 135 + SUMIFS('📋 Detalle Diario'!$I$5:$I$489, '📋 Detalle Diario'!$B$5:$B$489, B109, '📋 Detalle Diario'!$C$5:$C$489, D109) * 200), 0))</f>
        <v>1183.7852352941177</v>
      </c>
      <c r="P109" s="32">
        <f t="shared" si="12"/>
        <v>0.5658629231807446</v>
      </c>
      <c r="Q109" s="33" t="str">
        <f t="shared" si="13"/>
        <v>2026-05</v>
      </c>
    </row>
    <row r="110" spans="2:17" ht="18" customHeight="1" x14ac:dyDescent="0.3">
      <c r="B110" s="26" t="s">
        <v>87</v>
      </c>
      <c r="C110" s="17" t="s">
        <v>131</v>
      </c>
      <c r="D110" s="27" t="s">
        <v>72</v>
      </c>
      <c r="E110" s="18">
        <v>4</v>
      </c>
      <c r="F110" s="18">
        <v>0</v>
      </c>
      <c r="G110" s="18">
        <v>0</v>
      </c>
      <c r="H110" s="30">
        <f t="shared" si="7"/>
        <v>0</v>
      </c>
      <c r="I110" s="31">
        <f>IF(OR(B110="",C110=""),"",IFERROR(E110*IF(E110="",0,VLOOKUP(C110,'📦 Precios Proforma'!$B$5:$D$104,IF(D110="DIA",2,3),FALSE)),0))</f>
        <v>180</v>
      </c>
      <c r="J110" s="31">
        <f t="shared" si="8"/>
        <v>0</v>
      </c>
      <c r="K110" s="31">
        <f t="shared" si="9"/>
        <v>180</v>
      </c>
      <c r="L110" s="31">
        <f>IF(OR(B110="",C110=""),"",IFERROR(E110 / SUMIFS('📅 Resumen Diario'!$D$5:$D$504, '📅 Resumen Diario'!$B$5:$B$504, B110, '📅 Resumen Diario'!$C$5:$C$504, D110) * SUMIFS('📅 Resumen Diario'!$K$5:$K$504, '📅 Resumen Diario'!$B$5:$B$504, B110, '📅 Resumen Diario'!$C$5:$C$504, D110), 0))</f>
        <v>84.782358543417374</v>
      </c>
      <c r="M110" s="31">
        <f t="shared" si="10"/>
        <v>0</v>
      </c>
      <c r="N110" s="31">
        <f t="shared" si="11"/>
        <v>84.782358543417374</v>
      </c>
      <c r="O110" s="31">
        <f>IF(OR(B110="",C110=""),"",K110-N110 + IFERROR(E110 / SUMIFS('📅 Resumen Diario'!$D$5:$D$504, '📅 Resumen Diario'!$B$5:$B$504, B110, '📅 Resumen Diario'!$C$5:$C$504, D110) * (SUMIFS('📋 Detalle Diario'!$E$5:$E$489, '📋 Detalle Diario'!$B$5:$B$489, B110, '📋 Detalle Diario'!$C$5:$C$489, D110) * 135 + SUMIFS('📋 Detalle Diario'!$I$5:$I$489, '📋 Detalle Diario'!$B$5:$B$489, B110, '📋 Detalle Diario'!$C$5:$C$489, D110) * 200), 0))</f>
        <v>95.217641456582626</v>
      </c>
      <c r="P110" s="32">
        <f t="shared" si="12"/>
        <v>0.52898689698101464</v>
      </c>
      <c r="Q110" s="33" t="str">
        <f t="shared" si="13"/>
        <v>2026-05</v>
      </c>
    </row>
    <row r="111" spans="2:17" ht="18" customHeight="1" x14ac:dyDescent="0.3">
      <c r="B111" s="26" t="s">
        <v>87</v>
      </c>
      <c r="C111" s="28" t="s">
        <v>148</v>
      </c>
      <c r="D111" s="27" t="s">
        <v>73</v>
      </c>
      <c r="E111" s="29">
        <v>810</v>
      </c>
      <c r="F111" s="29">
        <v>810</v>
      </c>
      <c r="G111" s="29">
        <v>1620</v>
      </c>
      <c r="H111" s="30">
        <f t="shared" si="7"/>
        <v>2430</v>
      </c>
      <c r="I111" s="31">
        <f>IF(OR(B111="",C111=""),"",IFERROR(E111*IF(E111="",0,VLOOKUP(C111,'📦 Precios Proforma'!$B$5:$D$104,IF(D111="DIA",2,3),FALSE)),0))</f>
        <v>4884.3</v>
      </c>
      <c r="J111" s="31">
        <f t="shared" si="8"/>
        <v>3280.5</v>
      </c>
      <c r="K111" s="31">
        <f t="shared" si="9"/>
        <v>8164.8</v>
      </c>
      <c r="L111" s="31">
        <f>IF(OR(B111="",C111=""),"",IFERROR(E111 / SUMIFS('📅 Resumen Diario'!$D$5:$D$504, '📅 Resumen Diario'!$B$5:$B$504, B111, '📅 Resumen Diario'!$C$5:$C$504, D111) * SUMIFS('📅 Resumen Diario'!$K$5:$K$504, '📅 Resumen Diario'!$B$5:$B$504, B111, '📅 Resumen Diario'!$C$5:$C$504, D111), 0))</f>
        <v>3515.853799472296</v>
      </c>
      <c r="M111" s="31">
        <f t="shared" si="10"/>
        <v>218.7</v>
      </c>
      <c r="N111" s="31">
        <f t="shared" si="11"/>
        <v>3734.5537994722959</v>
      </c>
      <c r="O111" s="31">
        <f>IF(OR(B111="",C111=""),"",K111-N111 + IFERROR(E111 / SUMIFS('📅 Resumen Diario'!$D$5:$D$504, '📅 Resumen Diario'!$B$5:$B$504, B111, '📅 Resumen Diario'!$C$5:$C$504, D111) * (SUMIFS('📋 Detalle Diario'!$E$5:$E$489, '📋 Detalle Diario'!$B$5:$B$489, B111, '📋 Detalle Diario'!$C$5:$C$489, D111) * 135 + SUMIFS('📋 Detalle Diario'!$I$5:$I$489, '📋 Detalle Diario'!$B$5:$B$489, B111, '📋 Detalle Diario'!$C$5:$C$489, D111) * 200), 0))</f>
        <v>4430.2462005277048</v>
      </c>
      <c r="P111" s="32">
        <f t="shared" si="12"/>
        <v>0.54260315017241145</v>
      </c>
      <c r="Q111" s="33" t="str">
        <f t="shared" si="13"/>
        <v>2026-05</v>
      </c>
    </row>
    <row r="112" spans="2:17" ht="18" customHeight="1" x14ac:dyDescent="0.3">
      <c r="B112" s="26" t="s">
        <v>87</v>
      </c>
      <c r="C112" s="17" t="s">
        <v>144</v>
      </c>
      <c r="D112" s="27" t="s">
        <v>73</v>
      </c>
      <c r="E112" s="18">
        <v>135</v>
      </c>
      <c r="F112" s="18">
        <v>135</v>
      </c>
      <c r="G112" s="18">
        <v>270</v>
      </c>
      <c r="H112" s="30">
        <f t="shared" si="7"/>
        <v>405</v>
      </c>
      <c r="I112" s="31">
        <f>IF(OR(B112="",C112=""),"",IFERROR(E112*IF(E112="",0,VLOOKUP(C112,'📦 Precios Proforma'!$B$5:$D$104,IF(D112="DIA",2,3),FALSE)),0))</f>
        <v>814.05000000000007</v>
      </c>
      <c r="J112" s="31">
        <f t="shared" si="8"/>
        <v>546.75</v>
      </c>
      <c r="K112" s="31">
        <f t="shared" si="9"/>
        <v>1360.8000000000002</v>
      </c>
      <c r="L112" s="31">
        <f>IF(OR(B112="",C112=""),"",IFERROR(E112 / SUMIFS('📅 Resumen Diario'!$D$5:$D$504, '📅 Resumen Diario'!$B$5:$B$504, B112, '📅 Resumen Diario'!$C$5:$C$504, D112) * SUMIFS('📅 Resumen Diario'!$K$5:$K$504, '📅 Resumen Diario'!$B$5:$B$504, B112, '📅 Resumen Diario'!$C$5:$C$504, D112), 0))</f>
        <v>585.9756332453826</v>
      </c>
      <c r="M112" s="31">
        <f t="shared" si="10"/>
        <v>36.449999999999996</v>
      </c>
      <c r="N112" s="31">
        <f t="shared" si="11"/>
        <v>622.42563324538264</v>
      </c>
      <c r="O112" s="31">
        <f>IF(OR(B112="",C112=""),"",K112-N112 + IFERROR(E112 / SUMIFS('📅 Resumen Diario'!$D$5:$D$504, '📅 Resumen Diario'!$B$5:$B$504, B112, '📅 Resumen Diario'!$C$5:$C$504, D112) * (SUMIFS('📋 Detalle Diario'!$E$5:$E$489, '📋 Detalle Diario'!$B$5:$B$489, B112, '📋 Detalle Diario'!$C$5:$C$489, D112) * 135 + SUMIFS('📋 Detalle Diario'!$I$5:$I$489, '📋 Detalle Diario'!$B$5:$B$489, B112, '📋 Detalle Diario'!$C$5:$C$489, D112) * 200), 0))</f>
        <v>738.37436675461754</v>
      </c>
      <c r="P112" s="32">
        <f t="shared" si="12"/>
        <v>0.54260315017241145</v>
      </c>
      <c r="Q112" s="33" t="str">
        <f t="shared" si="13"/>
        <v>2026-05</v>
      </c>
    </row>
    <row r="113" spans="2:17" ht="18" customHeight="1" x14ac:dyDescent="0.3">
      <c r="B113" s="26" t="s">
        <v>87</v>
      </c>
      <c r="C113" s="28" t="s">
        <v>150</v>
      </c>
      <c r="D113" s="27" t="s">
        <v>73</v>
      </c>
      <c r="E113" s="29">
        <v>192</v>
      </c>
      <c r="F113" s="29">
        <v>192</v>
      </c>
      <c r="G113" s="29">
        <v>768</v>
      </c>
      <c r="H113" s="30">
        <f t="shared" si="7"/>
        <v>960</v>
      </c>
      <c r="I113" s="31">
        <f>IF(OR(B113="",C113=""),"",IFERROR(E113*IF(E113="",0,VLOOKUP(C113,'📦 Precios Proforma'!$B$5:$D$104,IF(D113="DIA",2,3),FALSE)),0))</f>
        <v>1157.76</v>
      </c>
      <c r="J113" s="31">
        <f t="shared" si="8"/>
        <v>1296</v>
      </c>
      <c r="K113" s="31">
        <f t="shared" si="9"/>
        <v>2453.7600000000002</v>
      </c>
      <c r="L113" s="31">
        <f>IF(OR(B113="",C113=""),"",IFERROR(E113 / SUMIFS('📅 Resumen Diario'!$D$5:$D$504, '📅 Resumen Diario'!$B$5:$B$504, B113, '📅 Resumen Diario'!$C$5:$C$504, D113) * SUMIFS('📅 Resumen Diario'!$K$5:$K$504, '📅 Resumen Diario'!$B$5:$B$504, B113, '📅 Resumen Diario'!$C$5:$C$504, D113), 0))</f>
        <v>833.38756728232192</v>
      </c>
      <c r="M113" s="31">
        <f t="shared" si="10"/>
        <v>86.399999999999991</v>
      </c>
      <c r="N113" s="31">
        <f t="shared" si="11"/>
        <v>919.7875672823219</v>
      </c>
      <c r="O113" s="31">
        <f>IF(OR(B113="",C113=""),"",K113-N113 + IFERROR(E113 / SUMIFS('📅 Resumen Diario'!$D$5:$D$504, '📅 Resumen Diario'!$B$5:$B$504, B113, '📅 Resumen Diario'!$C$5:$C$504, D113) * (SUMIFS('📋 Detalle Diario'!$E$5:$E$489, '📋 Detalle Diario'!$B$5:$B$489, B113, '📋 Detalle Diario'!$C$5:$C$489, D113) * 135 + SUMIFS('📋 Detalle Diario'!$I$5:$I$489, '📋 Detalle Diario'!$B$5:$B$489, B113, '📋 Detalle Diario'!$C$5:$C$489, D113) * 200), 0))</f>
        <v>1533.9724327176782</v>
      </c>
      <c r="P113" s="32">
        <f t="shared" si="12"/>
        <v>0.62515178041767661</v>
      </c>
      <c r="Q113" s="33" t="str">
        <f t="shared" si="13"/>
        <v>2026-05</v>
      </c>
    </row>
    <row r="114" spans="2:17" ht="18" customHeight="1" x14ac:dyDescent="0.3">
      <c r="B114" s="26" t="s">
        <v>88</v>
      </c>
      <c r="C114" s="17" t="s">
        <v>138</v>
      </c>
      <c r="D114" s="27" t="s">
        <v>72</v>
      </c>
      <c r="E114" s="18">
        <v>40</v>
      </c>
      <c r="F114" s="18">
        <v>0</v>
      </c>
      <c r="G114" s="18">
        <v>40</v>
      </c>
      <c r="H114" s="30">
        <f t="shared" si="7"/>
        <v>40</v>
      </c>
      <c r="I114" s="31">
        <f>IF(OR(B114="",C114=""),"",IFERROR(E114*IF(E114="",0,VLOOKUP(C114,'📦 Precios Proforma'!$B$5:$D$104,IF(D114="DIA",2,3),FALSE)),0))</f>
        <v>173.6</v>
      </c>
      <c r="J114" s="31">
        <f t="shared" si="8"/>
        <v>40.4</v>
      </c>
      <c r="K114" s="31">
        <f t="shared" si="9"/>
        <v>214</v>
      </c>
      <c r="L114" s="31">
        <f>IF(OR(B114="",C114=""),"",IFERROR(E114 / SUMIFS('📅 Resumen Diario'!$D$5:$D$504, '📅 Resumen Diario'!$B$5:$B$504, B114, '📅 Resumen Diario'!$C$5:$C$504, D114) * SUMIFS('📅 Resumen Diario'!$K$5:$K$504, '📅 Resumen Diario'!$B$5:$B$504, B114, '📅 Resumen Diario'!$C$5:$C$504, D114), 0))</f>
        <v>1096.6413768115942</v>
      </c>
      <c r="M114" s="31">
        <f t="shared" si="10"/>
        <v>3.5999999999999996</v>
      </c>
      <c r="N114" s="31">
        <f t="shared" si="11"/>
        <v>1100.2413768115941</v>
      </c>
      <c r="O114" s="31">
        <f>IF(OR(B114="",C114=""),"",K114-N114 + IFERROR(E114 / SUMIFS('📅 Resumen Diario'!$D$5:$D$504, '📅 Resumen Diario'!$B$5:$B$504, B114, '📅 Resumen Diario'!$C$5:$C$504, D114) * (SUMIFS('📋 Detalle Diario'!$E$5:$E$489, '📋 Detalle Diario'!$B$5:$B$489, B114, '📋 Detalle Diario'!$C$5:$C$489, D114) * 135 + SUMIFS('📋 Detalle Diario'!$I$5:$I$489, '📋 Detalle Diario'!$B$5:$B$489, B114, '📋 Detalle Diario'!$C$5:$C$489, D114) * 200), 0))</f>
        <v>-886.24137681159414</v>
      </c>
      <c r="P114" s="32">
        <f t="shared" si="12"/>
        <v>-4.1413148449139916</v>
      </c>
      <c r="Q114" s="33" t="str">
        <f t="shared" si="13"/>
        <v>2026-05</v>
      </c>
    </row>
    <row r="115" spans="2:17" ht="18" customHeight="1" x14ac:dyDescent="0.3">
      <c r="B115" s="26" t="s">
        <v>88</v>
      </c>
      <c r="C115" s="28" t="s">
        <v>155</v>
      </c>
      <c r="D115" s="27" t="s">
        <v>72</v>
      </c>
      <c r="E115" s="29">
        <v>21</v>
      </c>
      <c r="F115" s="29">
        <v>21</v>
      </c>
      <c r="G115" s="29">
        <v>42</v>
      </c>
      <c r="H115" s="30">
        <f t="shared" si="7"/>
        <v>63</v>
      </c>
      <c r="I115" s="31">
        <f>IF(OR(B115="",C115=""),"",IFERROR(E115*IF(E115="",0,VLOOKUP(C115,'📦 Precios Proforma'!$B$5:$D$104,IF(D115="DIA",2,3),FALSE)),0))</f>
        <v>94.919999999999987</v>
      </c>
      <c r="J115" s="31">
        <f t="shared" si="8"/>
        <v>63.63</v>
      </c>
      <c r="K115" s="31">
        <f t="shared" si="9"/>
        <v>158.54999999999998</v>
      </c>
      <c r="L115" s="31">
        <f>IF(OR(B115="",C115=""),"",IFERROR(E115 / SUMIFS('📅 Resumen Diario'!$D$5:$D$504, '📅 Resumen Diario'!$B$5:$B$504, B115, '📅 Resumen Diario'!$C$5:$C$504, D115) * SUMIFS('📅 Resumen Diario'!$K$5:$K$504, '📅 Resumen Diario'!$B$5:$B$504, B115, '📅 Resumen Diario'!$C$5:$C$504, D115), 0))</f>
        <v>575.73672282608698</v>
      </c>
      <c r="M115" s="31">
        <f t="shared" si="10"/>
        <v>5.67</v>
      </c>
      <c r="N115" s="31">
        <f t="shared" si="11"/>
        <v>581.40672282608693</v>
      </c>
      <c r="O115" s="31">
        <f>IF(OR(B115="",C115=""),"",K115-N115 + IFERROR(E115 / SUMIFS('📅 Resumen Diario'!$D$5:$D$504, '📅 Resumen Diario'!$B$5:$B$504, B115, '📅 Resumen Diario'!$C$5:$C$504, D115) * (SUMIFS('📋 Detalle Diario'!$E$5:$E$489, '📋 Detalle Diario'!$B$5:$B$489, B115, '📋 Detalle Diario'!$C$5:$C$489, D115) * 135 + SUMIFS('📋 Detalle Diario'!$I$5:$I$489, '📋 Detalle Diario'!$B$5:$B$489, B115, '📋 Detalle Diario'!$C$5:$C$489, D115) * 200), 0))</f>
        <v>-422.85672282608698</v>
      </c>
      <c r="P115" s="32">
        <f t="shared" si="12"/>
        <v>-2.6670244265284579</v>
      </c>
      <c r="Q115" s="33" t="str">
        <f t="shared" si="13"/>
        <v>2026-05</v>
      </c>
    </row>
    <row r="116" spans="2:17" ht="18" customHeight="1" x14ac:dyDescent="0.3">
      <c r="B116" s="26" t="s">
        <v>88</v>
      </c>
      <c r="C116" s="17" t="s">
        <v>137</v>
      </c>
      <c r="D116" s="27" t="s">
        <v>72</v>
      </c>
      <c r="E116" s="18">
        <v>120</v>
      </c>
      <c r="F116" s="18">
        <v>0</v>
      </c>
      <c r="G116" s="18">
        <v>1440</v>
      </c>
      <c r="H116" s="30">
        <f t="shared" si="7"/>
        <v>1440</v>
      </c>
      <c r="I116" s="31">
        <f>IF(OR(B116="",C116=""),"",IFERROR(E116*IF(E116="",0,VLOOKUP(C116,'📦 Precios Proforma'!$B$5:$D$104,IF(D116="DIA",2,3),FALSE)),0))</f>
        <v>667.19999999999993</v>
      </c>
      <c r="J116" s="31">
        <f t="shared" si="8"/>
        <v>1454.4</v>
      </c>
      <c r="K116" s="31">
        <f t="shared" si="9"/>
        <v>2121.6</v>
      </c>
      <c r="L116" s="31">
        <f>IF(OR(B116="",C116=""),"",IFERROR(E116 / SUMIFS('📅 Resumen Diario'!$D$5:$D$504, '📅 Resumen Diario'!$B$5:$B$504, B116, '📅 Resumen Diario'!$C$5:$C$504, D116) * SUMIFS('📅 Resumen Diario'!$K$5:$K$504, '📅 Resumen Diario'!$B$5:$B$504, B116, '📅 Resumen Diario'!$C$5:$C$504, D116), 0))</f>
        <v>3289.9241304347829</v>
      </c>
      <c r="M116" s="31">
        <f t="shared" si="10"/>
        <v>129.6</v>
      </c>
      <c r="N116" s="31">
        <f t="shared" si="11"/>
        <v>3419.5241304347828</v>
      </c>
      <c r="O116" s="31">
        <f>IF(OR(B116="",C116=""),"",K116-N116 + IFERROR(E116 / SUMIFS('📅 Resumen Diario'!$D$5:$D$504, '📅 Resumen Diario'!$B$5:$B$504, B116, '📅 Resumen Diario'!$C$5:$C$504, D116) * (SUMIFS('📋 Detalle Diario'!$E$5:$E$489, '📋 Detalle Diario'!$B$5:$B$489, B116, '📋 Detalle Diario'!$C$5:$C$489, D116) * 135 + SUMIFS('📋 Detalle Diario'!$I$5:$I$489, '📋 Detalle Diario'!$B$5:$B$489, B116, '📋 Detalle Diario'!$C$5:$C$489, D116) * 200), 0))</f>
        <v>-1297.9241304347829</v>
      </c>
      <c r="P116" s="32">
        <f t="shared" si="12"/>
        <v>-0.6117666527313268</v>
      </c>
      <c r="Q116" s="33" t="str">
        <f t="shared" si="13"/>
        <v>2026-05</v>
      </c>
    </row>
    <row r="117" spans="2:17" ht="18" customHeight="1" x14ac:dyDescent="0.3">
      <c r="B117" s="26" t="s">
        <v>88</v>
      </c>
      <c r="C117" s="28" t="s">
        <v>134</v>
      </c>
      <c r="D117" s="27" t="s">
        <v>72</v>
      </c>
      <c r="E117" s="29">
        <v>3</v>
      </c>
      <c r="F117" s="29">
        <v>0</v>
      </c>
      <c r="G117" s="29">
        <v>0</v>
      </c>
      <c r="H117" s="30">
        <f t="shared" si="7"/>
        <v>0</v>
      </c>
      <c r="I117" s="31">
        <f>IF(OR(B117="",C117=""),"",IFERROR(E117*IF(E117="",0,VLOOKUP(C117,'📦 Precios Proforma'!$B$5:$D$104,IF(D117="DIA",2,3),FALSE)),0))</f>
        <v>135</v>
      </c>
      <c r="J117" s="31">
        <f t="shared" si="8"/>
        <v>0</v>
      </c>
      <c r="K117" s="31">
        <f t="shared" si="9"/>
        <v>135</v>
      </c>
      <c r="L117" s="31">
        <f>IF(OR(B117="",C117=""),"",IFERROR(E117 / SUMIFS('📅 Resumen Diario'!$D$5:$D$504, '📅 Resumen Diario'!$B$5:$B$504, B117, '📅 Resumen Diario'!$C$5:$C$504, D117) * SUMIFS('📅 Resumen Diario'!$K$5:$K$504, '📅 Resumen Diario'!$B$5:$B$504, B117, '📅 Resumen Diario'!$C$5:$C$504, D117), 0))</f>
        <v>82.24810326086957</v>
      </c>
      <c r="M117" s="31">
        <f t="shared" si="10"/>
        <v>0</v>
      </c>
      <c r="N117" s="31">
        <f t="shared" si="11"/>
        <v>82.24810326086957</v>
      </c>
      <c r="O117" s="31">
        <f>IF(OR(B117="",C117=""),"",K117-N117 + IFERROR(E117 / SUMIFS('📅 Resumen Diario'!$D$5:$D$504, '📅 Resumen Diario'!$B$5:$B$504, B117, '📅 Resumen Diario'!$C$5:$C$504, D117) * (SUMIFS('📋 Detalle Diario'!$E$5:$E$489, '📋 Detalle Diario'!$B$5:$B$489, B117, '📋 Detalle Diario'!$C$5:$C$489, D117) * 135 + SUMIFS('📋 Detalle Diario'!$I$5:$I$489, '📋 Detalle Diario'!$B$5:$B$489, B117, '📋 Detalle Diario'!$C$5:$C$489, D117) * 200), 0))</f>
        <v>52.75189673913043</v>
      </c>
      <c r="P117" s="32">
        <f t="shared" si="12"/>
        <v>0.39075479066022539</v>
      </c>
      <c r="Q117" s="33" t="str">
        <f t="shared" si="13"/>
        <v>2026-05</v>
      </c>
    </row>
    <row r="118" spans="2:17" ht="18" customHeight="1" x14ac:dyDescent="0.3">
      <c r="B118" s="26" t="s">
        <v>89</v>
      </c>
      <c r="C118" s="17" t="s">
        <v>148</v>
      </c>
      <c r="D118" s="27" t="s">
        <v>72</v>
      </c>
      <c r="E118" s="18">
        <v>945</v>
      </c>
      <c r="F118" s="18">
        <v>945</v>
      </c>
      <c r="G118" s="18">
        <v>1890</v>
      </c>
      <c r="H118" s="30">
        <f t="shared" si="7"/>
        <v>2835</v>
      </c>
      <c r="I118" s="31">
        <f>IF(OR(B118="",C118=""),"",IFERROR(E118*IF(E118="",0,VLOOKUP(C118,'📦 Precios Proforma'!$B$5:$D$104,IF(D118="DIA",2,3),FALSE)),0))</f>
        <v>4271.3999999999996</v>
      </c>
      <c r="J118" s="31">
        <f t="shared" si="8"/>
        <v>2863.35</v>
      </c>
      <c r="K118" s="31">
        <f t="shared" si="9"/>
        <v>7134.75</v>
      </c>
      <c r="L118" s="31">
        <f>IF(OR(B118="",C118=""),"",IFERROR(E118 / SUMIFS('📅 Resumen Diario'!$D$5:$D$504, '📅 Resumen Diario'!$B$5:$B$504, B118, '📅 Resumen Diario'!$C$5:$C$504, D118) * SUMIFS('📅 Resumen Diario'!$K$5:$K$504, '📅 Resumen Diario'!$B$5:$B$504, B118, '📅 Resumen Diario'!$C$5:$C$504, D118), 0))</f>
        <v>5044.5503333333336</v>
      </c>
      <c r="M118" s="31">
        <f t="shared" si="10"/>
        <v>255.14999999999998</v>
      </c>
      <c r="N118" s="31">
        <f t="shared" si="11"/>
        <v>5299.7003333333332</v>
      </c>
      <c r="O118" s="31">
        <f>IF(OR(B118="",C118=""),"",K118-N118 + IFERROR(E118 / SUMIFS('📅 Resumen Diario'!$D$5:$D$504, '📅 Resumen Diario'!$B$5:$B$504, B118, '📅 Resumen Diario'!$C$5:$C$504, D118) * (SUMIFS('📋 Detalle Diario'!$E$5:$E$489, '📋 Detalle Diario'!$B$5:$B$489, B118, '📋 Detalle Diario'!$C$5:$C$489, D118) * 135 + SUMIFS('📋 Detalle Diario'!$I$5:$I$489, '📋 Detalle Diario'!$B$5:$B$489, B118, '📋 Detalle Diario'!$C$5:$C$489, D118) * 200), 0))</f>
        <v>1835.0496666666668</v>
      </c>
      <c r="P118" s="32">
        <f t="shared" si="12"/>
        <v>0.25719887405538622</v>
      </c>
      <c r="Q118" s="33" t="str">
        <f t="shared" si="13"/>
        <v>2026-05</v>
      </c>
    </row>
    <row r="119" spans="2:17" ht="18" customHeight="1" x14ac:dyDescent="0.3">
      <c r="B119" s="26" t="s">
        <v>89</v>
      </c>
      <c r="C119" s="28" t="s">
        <v>134</v>
      </c>
      <c r="D119" s="27" t="s">
        <v>73</v>
      </c>
      <c r="E119" s="29">
        <v>1.1000000000000001</v>
      </c>
      <c r="F119" s="29">
        <v>0</v>
      </c>
      <c r="G119" s="29">
        <v>0</v>
      </c>
      <c r="H119" s="30">
        <f t="shared" si="7"/>
        <v>0</v>
      </c>
      <c r="I119" s="31">
        <f>IF(OR(B119="",C119=""),"",IFERROR(E119*IF(E119="",0,VLOOKUP(C119,'📦 Precios Proforma'!$B$5:$D$104,IF(D119="DIA",2,3),FALSE)),0))</f>
        <v>66</v>
      </c>
      <c r="J119" s="31">
        <f t="shared" si="8"/>
        <v>0</v>
      </c>
      <c r="K119" s="31">
        <f t="shared" si="9"/>
        <v>66</v>
      </c>
      <c r="L119" s="31">
        <f>IF(OR(B119="",C119=""),"",IFERROR(E119 / SUMIFS('📅 Resumen Diario'!$D$5:$D$504, '📅 Resumen Diario'!$B$5:$B$504, B119, '📅 Resumen Diario'!$C$5:$C$504, D119) * SUMIFS('📅 Resumen Diario'!$K$5:$K$504, '📅 Resumen Diario'!$B$5:$B$504, B119, '📅 Resumen Diario'!$C$5:$C$504, D119), 0))</f>
        <v>5.4774883462819099</v>
      </c>
      <c r="M119" s="31">
        <f t="shared" si="10"/>
        <v>0</v>
      </c>
      <c r="N119" s="31">
        <f t="shared" si="11"/>
        <v>5.4774883462819099</v>
      </c>
      <c r="O119" s="31">
        <f>IF(OR(B119="",C119=""),"",K119-N119 + IFERROR(E119 / SUMIFS('📅 Resumen Diario'!$D$5:$D$504, '📅 Resumen Diario'!$B$5:$B$504, B119, '📅 Resumen Diario'!$C$5:$C$504, D119) * (SUMIFS('📋 Detalle Diario'!$E$5:$E$489, '📋 Detalle Diario'!$B$5:$B$489, B119, '📋 Detalle Diario'!$C$5:$C$489, D119) * 135 + SUMIFS('📋 Detalle Diario'!$I$5:$I$489, '📋 Detalle Diario'!$B$5:$B$489, B119, '📋 Detalle Diario'!$C$5:$C$489, D119) * 200), 0))</f>
        <v>60.522511653718091</v>
      </c>
      <c r="P119" s="32">
        <f t="shared" si="12"/>
        <v>0.91700775232906195</v>
      </c>
      <c r="Q119" s="33" t="str">
        <f t="shared" si="13"/>
        <v>2026-05</v>
      </c>
    </row>
    <row r="120" spans="2:17" ht="18" customHeight="1" x14ac:dyDescent="0.3">
      <c r="B120" s="26" t="s">
        <v>89</v>
      </c>
      <c r="C120" s="17" t="s">
        <v>150</v>
      </c>
      <c r="D120" s="27" t="s">
        <v>73</v>
      </c>
      <c r="E120" s="18">
        <v>450</v>
      </c>
      <c r="F120" s="18">
        <v>450</v>
      </c>
      <c r="G120" s="18">
        <v>1800</v>
      </c>
      <c r="H120" s="30">
        <f t="shared" si="7"/>
        <v>2250</v>
      </c>
      <c r="I120" s="31">
        <f>IF(OR(B120="",C120=""),"",IFERROR(E120*IF(E120="",0,VLOOKUP(C120,'📦 Precios Proforma'!$B$5:$D$104,IF(D120="DIA",2,3),FALSE)),0))</f>
        <v>2713.5</v>
      </c>
      <c r="J120" s="31">
        <f t="shared" si="8"/>
        <v>3037.5</v>
      </c>
      <c r="K120" s="31">
        <f t="shared" si="9"/>
        <v>5751</v>
      </c>
      <c r="L120" s="31">
        <f>IF(OR(B120="",C120=""),"",IFERROR(E120 / SUMIFS('📅 Resumen Diario'!$D$5:$D$504, '📅 Resumen Diario'!$B$5:$B$504, B120, '📅 Resumen Diario'!$C$5:$C$504, D120) * SUMIFS('📅 Resumen Diario'!$K$5:$K$504, '📅 Resumen Diario'!$B$5:$B$504, B120, '📅 Resumen Diario'!$C$5:$C$504, D120), 0))</f>
        <v>2240.7906871153268</v>
      </c>
      <c r="M120" s="31">
        <f t="shared" si="10"/>
        <v>202.5</v>
      </c>
      <c r="N120" s="31">
        <f t="shared" si="11"/>
        <v>2443.2906871153268</v>
      </c>
      <c r="O120" s="31">
        <f>IF(OR(B120="",C120=""),"",K120-N120 + IFERROR(E120 / SUMIFS('📅 Resumen Diario'!$D$5:$D$504, '📅 Resumen Diario'!$B$5:$B$504, B120, '📅 Resumen Diario'!$C$5:$C$504, D120) * (SUMIFS('📋 Detalle Diario'!$E$5:$E$489, '📋 Detalle Diario'!$B$5:$B$489, B120, '📋 Detalle Diario'!$C$5:$C$489, D120) * 135 + SUMIFS('📋 Detalle Diario'!$I$5:$I$489, '📋 Detalle Diario'!$B$5:$B$489, B120, '📋 Detalle Diario'!$C$5:$C$489, D120) * 200), 0))</f>
        <v>3307.7093128846732</v>
      </c>
      <c r="P120" s="32">
        <f t="shared" si="12"/>
        <v>0.57515376680310781</v>
      </c>
      <c r="Q120" s="33" t="str">
        <f t="shared" si="13"/>
        <v>2026-05</v>
      </c>
    </row>
    <row r="121" spans="2:17" ht="18" customHeight="1" x14ac:dyDescent="0.3">
      <c r="B121" s="26" t="s">
        <v>89</v>
      </c>
      <c r="C121" s="28" t="s">
        <v>145</v>
      </c>
      <c r="D121" s="27" t="s">
        <v>73</v>
      </c>
      <c r="E121" s="29">
        <v>540</v>
      </c>
      <c r="F121" s="29">
        <v>540</v>
      </c>
      <c r="G121" s="29">
        <v>1080</v>
      </c>
      <c r="H121" s="30">
        <f t="shared" si="7"/>
        <v>1620</v>
      </c>
      <c r="I121" s="31">
        <f>IF(OR(B121="",C121=""),"",IFERROR(E121*IF(E121="",0,VLOOKUP(C121,'📦 Precios Proforma'!$B$5:$D$104,IF(D121="DIA",2,3),FALSE)),0))</f>
        <v>3256.2000000000003</v>
      </c>
      <c r="J121" s="31">
        <f t="shared" si="8"/>
        <v>2187</v>
      </c>
      <c r="K121" s="31">
        <f t="shared" si="9"/>
        <v>5443.2000000000007</v>
      </c>
      <c r="L121" s="31">
        <f>IF(OR(B121="",C121=""),"",IFERROR(E121 / SUMIFS('📅 Resumen Diario'!$D$5:$D$504, '📅 Resumen Diario'!$B$5:$B$504, B121, '📅 Resumen Diario'!$C$5:$C$504, D121) * SUMIFS('📅 Resumen Diario'!$K$5:$K$504, '📅 Resumen Diario'!$B$5:$B$504, B121, '📅 Resumen Diario'!$C$5:$C$504, D121), 0))</f>
        <v>2688.9488245383918</v>
      </c>
      <c r="M121" s="31">
        <f t="shared" si="10"/>
        <v>145.79999999999998</v>
      </c>
      <c r="N121" s="31">
        <f t="shared" si="11"/>
        <v>2834.748824538392</v>
      </c>
      <c r="O121" s="31">
        <f>IF(OR(B121="",C121=""),"",K121-N121 + IFERROR(E121 / SUMIFS('📅 Resumen Diario'!$D$5:$D$504, '📅 Resumen Diario'!$B$5:$B$504, B121, '📅 Resumen Diario'!$C$5:$C$504, D121) * (SUMIFS('📋 Detalle Diario'!$E$5:$E$489, '📋 Detalle Diario'!$B$5:$B$489, B121, '📋 Detalle Diario'!$C$5:$C$489, D121) * 135 + SUMIFS('📋 Detalle Diario'!$I$5:$I$489, '📋 Detalle Diario'!$B$5:$B$489, B121, '📋 Detalle Diario'!$C$5:$C$489, D121) * 200), 0))</f>
        <v>2608.4511754616087</v>
      </c>
      <c r="P121" s="32">
        <f t="shared" si="12"/>
        <v>0.47921281148251182</v>
      </c>
      <c r="Q121" s="33" t="str">
        <f t="shared" si="13"/>
        <v>2026-05</v>
      </c>
    </row>
    <row r="122" spans="2:17" ht="18" customHeight="1" x14ac:dyDescent="0.3">
      <c r="B122" s="26" t="s">
        <v>90</v>
      </c>
      <c r="C122" s="17" t="s">
        <v>156</v>
      </c>
      <c r="D122" s="27" t="s">
        <v>72</v>
      </c>
      <c r="E122" s="18">
        <v>400</v>
      </c>
      <c r="F122" s="18">
        <v>0</v>
      </c>
      <c r="G122" s="18">
        <v>400</v>
      </c>
      <c r="H122" s="30">
        <f t="shared" si="7"/>
        <v>400</v>
      </c>
      <c r="I122" s="31">
        <f>IF(OR(B122="",C122=""),"",IFERROR(E122*IF(E122="",0,VLOOKUP(C122,'📦 Precios Proforma'!$B$5:$D$104,IF(D122="DIA",2,3),FALSE)),0))</f>
        <v>2476</v>
      </c>
      <c r="J122" s="31">
        <f t="shared" si="8"/>
        <v>404</v>
      </c>
      <c r="K122" s="31">
        <f t="shared" si="9"/>
        <v>2880</v>
      </c>
      <c r="L122" s="31">
        <f>IF(OR(B122="",C122=""),"",IFERROR(E122 / SUMIFS('📅 Resumen Diario'!$D$5:$D$504, '📅 Resumen Diario'!$B$5:$B$504, B122, '📅 Resumen Diario'!$C$5:$C$504, D122) * SUMIFS('📅 Resumen Diario'!$K$5:$K$504, '📅 Resumen Diario'!$B$5:$B$504, B122, '📅 Resumen Diario'!$C$5:$C$504, D122), 0))</f>
        <v>1249.4242311661508</v>
      </c>
      <c r="M122" s="31">
        <f t="shared" si="10"/>
        <v>36</v>
      </c>
      <c r="N122" s="31">
        <f t="shared" si="11"/>
        <v>1285.4242311661508</v>
      </c>
      <c r="O122" s="31">
        <f>IF(OR(B122="",C122=""),"",K122-N122 + IFERROR(E122 / SUMIFS('📅 Resumen Diario'!$D$5:$D$504, '📅 Resumen Diario'!$B$5:$B$504, B122, '📅 Resumen Diario'!$C$5:$C$504, D122) * (SUMIFS('📋 Detalle Diario'!$E$5:$E$489, '📋 Detalle Diario'!$B$5:$B$489, B122, '📋 Detalle Diario'!$C$5:$C$489, D122) * 135 + SUMIFS('📋 Detalle Diario'!$I$5:$I$489, '📋 Detalle Diario'!$B$5:$B$489, B122, '📋 Detalle Diario'!$C$5:$C$489, D122) * 200), 0))</f>
        <v>1594.5757688338492</v>
      </c>
      <c r="P122" s="32">
        <f t="shared" si="12"/>
        <v>0.55367214195619763</v>
      </c>
      <c r="Q122" s="33" t="str">
        <f t="shared" si="13"/>
        <v>2026-05</v>
      </c>
    </row>
    <row r="123" spans="2:17" ht="18" customHeight="1" x14ac:dyDescent="0.3">
      <c r="B123" s="26" t="s">
        <v>90</v>
      </c>
      <c r="C123" s="28" t="s">
        <v>148</v>
      </c>
      <c r="D123" s="27" t="s">
        <v>72</v>
      </c>
      <c r="E123" s="29">
        <v>1215</v>
      </c>
      <c r="F123" s="29">
        <v>1215</v>
      </c>
      <c r="G123" s="29">
        <v>2430</v>
      </c>
      <c r="H123" s="30">
        <f t="shared" si="7"/>
        <v>3645</v>
      </c>
      <c r="I123" s="31">
        <f>IF(OR(B123="",C123=""),"",IFERROR(E123*IF(E123="",0,VLOOKUP(C123,'📦 Precios Proforma'!$B$5:$D$104,IF(D123="DIA",2,3),FALSE)),0))</f>
        <v>5491.7999999999993</v>
      </c>
      <c r="J123" s="31">
        <f t="shared" si="8"/>
        <v>3681.45</v>
      </c>
      <c r="K123" s="31">
        <f t="shared" si="9"/>
        <v>9173.25</v>
      </c>
      <c r="L123" s="31">
        <f>IF(OR(B123="",C123=""),"",IFERROR(E123 / SUMIFS('📅 Resumen Diario'!$D$5:$D$504, '📅 Resumen Diario'!$B$5:$B$504, B123, '📅 Resumen Diario'!$C$5:$C$504, D123) * SUMIFS('📅 Resumen Diario'!$K$5:$K$504, '📅 Resumen Diario'!$B$5:$B$504, B123, '📅 Resumen Diario'!$C$5:$C$504, D123), 0))</f>
        <v>3795.126102167183</v>
      </c>
      <c r="M123" s="31">
        <f t="shared" si="10"/>
        <v>328.05</v>
      </c>
      <c r="N123" s="31">
        <f t="shared" si="11"/>
        <v>4123.1761021671828</v>
      </c>
      <c r="O123" s="31">
        <f>IF(OR(B123="",C123=""),"",K123-N123 + IFERROR(E123 / SUMIFS('📅 Resumen Diario'!$D$5:$D$504, '📅 Resumen Diario'!$B$5:$B$504, B123, '📅 Resumen Diario'!$C$5:$C$504, D123) * (SUMIFS('📋 Detalle Diario'!$E$5:$E$489, '📋 Detalle Diario'!$B$5:$B$489, B123, '📋 Detalle Diario'!$C$5:$C$489, D123) * 135 + SUMIFS('📋 Detalle Diario'!$I$5:$I$489, '📋 Detalle Diario'!$B$5:$B$489, B123, '📋 Detalle Diario'!$C$5:$C$489, D123) * 200), 0))</f>
        <v>5050.0738978328172</v>
      </c>
      <c r="P123" s="32">
        <f t="shared" si="12"/>
        <v>0.5505217777595528</v>
      </c>
      <c r="Q123" s="33" t="str">
        <f t="shared" si="13"/>
        <v>2026-05</v>
      </c>
    </row>
    <row r="124" spans="2:17" ht="18" customHeight="1" x14ac:dyDescent="0.3">
      <c r="B124" s="26" t="s">
        <v>90</v>
      </c>
      <c r="C124" s="17" t="s">
        <v>148</v>
      </c>
      <c r="D124" s="27" t="s">
        <v>73</v>
      </c>
      <c r="E124" s="18">
        <v>135</v>
      </c>
      <c r="F124" s="18">
        <v>135</v>
      </c>
      <c r="G124" s="18">
        <v>270</v>
      </c>
      <c r="H124" s="30">
        <f t="shared" si="7"/>
        <v>405</v>
      </c>
      <c r="I124" s="31">
        <f>IF(OR(B124="",C124=""),"",IFERROR(E124*IF(E124="",0,VLOOKUP(C124,'📦 Precios Proforma'!$B$5:$D$104,IF(D124="DIA",2,3),FALSE)),0))</f>
        <v>814.05000000000007</v>
      </c>
      <c r="J124" s="31">
        <f t="shared" si="8"/>
        <v>546.75</v>
      </c>
      <c r="K124" s="31">
        <f t="shared" si="9"/>
        <v>1360.8000000000002</v>
      </c>
      <c r="L124" s="31">
        <f>IF(OR(B124="",C124=""),"",IFERROR(E124 / SUMIFS('📅 Resumen Diario'!$D$5:$D$504, '📅 Resumen Diario'!$B$5:$B$504, B124, '📅 Resumen Diario'!$C$5:$C$504, D124) * SUMIFS('📅 Resumen Diario'!$K$5:$K$504, '📅 Resumen Diario'!$B$5:$B$504, B124, '📅 Resumen Diario'!$C$5:$C$504, D124), 0))</f>
        <v>1830.3689423076926</v>
      </c>
      <c r="M124" s="31">
        <f t="shared" si="10"/>
        <v>36.449999999999996</v>
      </c>
      <c r="N124" s="31">
        <f t="shared" si="11"/>
        <v>1866.8189423076926</v>
      </c>
      <c r="O124" s="31">
        <f>IF(OR(B124="",C124=""),"",K124-N124 + IFERROR(E124 / SUMIFS('📅 Resumen Diario'!$D$5:$D$504, '📅 Resumen Diario'!$B$5:$B$504, B124, '📅 Resumen Diario'!$C$5:$C$504, D124) * (SUMIFS('📋 Detalle Diario'!$E$5:$E$489, '📋 Detalle Diario'!$B$5:$B$489, B124, '📋 Detalle Diario'!$C$5:$C$489, D124) * 135 + SUMIFS('📋 Detalle Diario'!$I$5:$I$489, '📋 Detalle Diario'!$B$5:$B$489, B124, '📋 Detalle Diario'!$C$5:$C$489, D124) * 200), 0))</f>
        <v>-506.01894230769244</v>
      </c>
      <c r="P124" s="32">
        <f t="shared" si="12"/>
        <v>-0.37185401404151408</v>
      </c>
      <c r="Q124" s="33" t="str">
        <f t="shared" si="13"/>
        <v>2026-05</v>
      </c>
    </row>
    <row r="125" spans="2:17" ht="18" customHeight="1" x14ac:dyDescent="0.3">
      <c r="B125" s="26" t="s">
        <v>90</v>
      </c>
      <c r="C125" s="28" t="s">
        <v>150</v>
      </c>
      <c r="D125" s="27" t="s">
        <v>73</v>
      </c>
      <c r="E125" s="29">
        <v>60</v>
      </c>
      <c r="F125" s="29">
        <v>60</v>
      </c>
      <c r="G125" s="29">
        <v>240</v>
      </c>
      <c r="H125" s="30">
        <f t="shared" si="7"/>
        <v>300</v>
      </c>
      <c r="I125" s="31">
        <f>IF(OR(B125="",C125=""),"",IFERROR(E125*IF(E125="",0,VLOOKUP(C125,'📦 Precios Proforma'!$B$5:$D$104,IF(D125="DIA",2,3),FALSE)),0))</f>
        <v>361.8</v>
      </c>
      <c r="J125" s="31">
        <f t="shared" si="8"/>
        <v>405</v>
      </c>
      <c r="K125" s="31">
        <f t="shared" si="9"/>
        <v>766.8</v>
      </c>
      <c r="L125" s="31">
        <f>IF(OR(B125="",C125=""),"",IFERROR(E125 / SUMIFS('📅 Resumen Diario'!$D$5:$D$504, '📅 Resumen Diario'!$B$5:$B$504, B125, '📅 Resumen Diario'!$C$5:$C$504, D125) * SUMIFS('📅 Resumen Diario'!$K$5:$K$504, '📅 Resumen Diario'!$B$5:$B$504, B125, '📅 Resumen Diario'!$C$5:$C$504, D125), 0))</f>
        <v>813.4973076923078</v>
      </c>
      <c r="M125" s="31">
        <f t="shared" si="10"/>
        <v>27</v>
      </c>
      <c r="N125" s="31">
        <f t="shared" si="11"/>
        <v>840.4973076923078</v>
      </c>
      <c r="O125" s="31">
        <f>IF(OR(B125="",C125=""),"",K125-N125 + IFERROR(E125 / SUMIFS('📅 Resumen Diario'!$D$5:$D$504, '📅 Resumen Diario'!$B$5:$B$504, B125, '📅 Resumen Diario'!$C$5:$C$504, D125) * (SUMIFS('📋 Detalle Diario'!$E$5:$E$489, '📋 Detalle Diario'!$B$5:$B$489, B125, '📋 Detalle Diario'!$C$5:$C$489, D125) * 135 + SUMIFS('📋 Detalle Diario'!$I$5:$I$489, '📋 Detalle Diario'!$B$5:$B$489, B125, '📋 Detalle Diario'!$C$5:$C$489, D125) * 200), 0))</f>
        <v>-73.697307692307845</v>
      </c>
      <c r="P125" s="32">
        <f t="shared" si="12"/>
        <v>-9.6110208258095783E-2</v>
      </c>
      <c r="Q125" s="33" t="str">
        <f t="shared" si="13"/>
        <v>2026-05</v>
      </c>
    </row>
    <row r="126" spans="2:17" ht="18" customHeight="1" x14ac:dyDescent="0.3">
      <c r="B126" s="26" t="s">
        <v>90</v>
      </c>
      <c r="C126" s="17" t="s">
        <v>156</v>
      </c>
      <c r="D126" s="27" t="s">
        <v>73</v>
      </c>
      <c r="E126" s="18">
        <v>160</v>
      </c>
      <c r="F126" s="18">
        <v>0</v>
      </c>
      <c r="G126" s="18">
        <v>160</v>
      </c>
      <c r="H126" s="30">
        <f t="shared" si="7"/>
        <v>160</v>
      </c>
      <c r="I126" s="31">
        <f>IF(OR(B126="",C126=""),"",IFERROR(E126*IF(E126="",0,VLOOKUP(C126,'📦 Precios Proforma'!$B$5:$D$104,IF(D126="DIA",2,3),FALSE)),0))</f>
        <v>1320</v>
      </c>
      <c r="J126" s="31">
        <f t="shared" si="8"/>
        <v>216</v>
      </c>
      <c r="K126" s="31">
        <f t="shared" si="9"/>
        <v>1536</v>
      </c>
      <c r="L126" s="31">
        <f>IF(OR(B126="",C126=""),"",IFERROR(E126 / SUMIFS('📅 Resumen Diario'!$D$5:$D$504, '📅 Resumen Diario'!$B$5:$B$504, B126, '📅 Resumen Diario'!$C$5:$C$504, D126) * SUMIFS('📅 Resumen Diario'!$K$5:$K$504, '📅 Resumen Diario'!$B$5:$B$504, B126, '📅 Resumen Diario'!$C$5:$C$504, D126), 0))</f>
        <v>2169.3261538461538</v>
      </c>
      <c r="M126" s="31">
        <f t="shared" si="10"/>
        <v>14.399999999999999</v>
      </c>
      <c r="N126" s="31">
        <f t="shared" si="11"/>
        <v>2183.7261538461539</v>
      </c>
      <c r="O126" s="31">
        <f>IF(OR(B126="",C126=""),"",K126-N126 + IFERROR(E126 / SUMIFS('📅 Resumen Diario'!$D$5:$D$504, '📅 Resumen Diario'!$B$5:$B$504, B126, '📅 Resumen Diario'!$C$5:$C$504, D126) * (SUMIFS('📋 Detalle Diario'!$E$5:$E$489, '📋 Detalle Diario'!$B$5:$B$489, B126, '📋 Detalle Diario'!$C$5:$C$489, D126) * 135 + SUMIFS('📋 Detalle Diario'!$I$5:$I$489, '📋 Detalle Diario'!$B$5:$B$489, B126, '📋 Detalle Diario'!$C$5:$C$489, D126) * 200), 0))</f>
        <v>-647.72615384615392</v>
      </c>
      <c r="P126" s="32">
        <f t="shared" si="12"/>
        <v>-0.42169671474358977</v>
      </c>
      <c r="Q126" s="33" t="str">
        <f t="shared" si="13"/>
        <v>2026-05</v>
      </c>
    </row>
    <row r="127" spans="2:17" ht="18" customHeight="1" x14ac:dyDescent="0.3">
      <c r="B127" s="26" t="s">
        <v>90</v>
      </c>
      <c r="C127" s="28" t="s">
        <v>131</v>
      </c>
      <c r="D127" s="27" t="s">
        <v>73</v>
      </c>
      <c r="E127" s="29">
        <v>9</v>
      </c>
      <c r="F127" s="29">
        <v>0</v>
      </c>
      <c r="G127" s="29">
        <v>0</v>
      </c>
      <c r="H127" s="30">
        <f t="shared" si="7"/>
        <v>0</v>
      </c>
      <c r="I127" s="31">
        <f>IF(OR(B127="",C127=""),"",IFERROR(E127*IF(E127="",0,VLOOKUP(C127,'📦 Precios Proforma'!$B$5:$D$104,IF(D127="DIA",2,3),FALSE)),0))</f>
        <v>540</v>
      </c>
      <c r="J127" s="31">
        <f t="shared" si="8"/>
        <v>0</v>
      </c>
      <c r="K127" s="31">
        <f t="shared" si="9"/>
        <v>540</v>
      </c>
      <c r="L127" s="31">
        <f>IF(OR(B127="",C127=""),"",IFERROR(E127 / SUMIFS('📅 Resumen Diario'!$D$5:$D$504, '📅 Resumen Diario'!$B$5:$B$504, B127, '📅 Resumen Diario'!$C$5:$C$504, D127) * SUMIFS('📅 Resumen Diario'!$K$5:$K$504, '📅 Resumen Diario'!$B$5:$B$504, B127, '📅 Resumen Diario'!$C$5:$C$504, D127), 0))</f>
        <v>122.02459615384616</v>
      </c>
      <c r="M127" s="31">
        <f t="shared" si="10"/>
        <v>0</v>
      </c>
      <c r="N127" s="31">
        <f t="shared" si="11"/>
        <v>122.02459615384616</v>
      </c>
      <c r="O127" s="31">
        <f>IF(OR(B127="",C127=""),"",K127-N127 + IFERROR(E127 / SUMIFS('📅 Resumen Diario'!$D$5:$D$504, '📅 Resumen Diario'!$B$5:$B$504, B127, '📅 Resumen Diario'!$C$5:$C$504, D127) * (SUMIFS('📋 Detalle Diario'!$E$5:$E$489, '📋 Detalle Diario'!$B$5:$B$489, B127, '📋 Detalle Diario'!$C$5:$C$489, D127) * 135 + SUMIFS('📋 Detalle Diario'!$I$5:$I$489, '📋 Detalle Diario'!$B$5:$B$489, B127, '📋 Detalle Diario'!$C$5:$C$489, D127) * 200), 0))</f>
        <v>417.97540384615382</v>
      </c>
      <c r="P127" s="32">
        <f t="shared" si="12"/>
        <v>0.77402852564102564</v>
      </c>
      <c r="Q127" s="33" t="str">
        <f t="shared" si="13"/>
        <v>2026-05</v>
      </c>
    </row>
    <row r="128" spans="2:17" ht="18" customHeight="1" x14ac:dyDescent="0.3">
      <c r="B128" s="26" t="s">
        <v>91</v>
      </c>
      <c r="C128" s="17" t="s">
        <v>150</v>
      </c>
      <c r="D128" s="27" t="s">
        <v>72</v>
      </c>
      <c r="E128" s="18">
        <v>300</v>
      </c>
      <c r="F128" s="18">
        <v>300</v>
      </c>
      <c r="G128" s="18">
        <v>1200</v>
      </c>
      <c r="H128" s="30">
        <f t="shared" si="7"/>
        <v>1500</v>
      </c>
      <c r="I128" s="31">
        <f>IF(OR(B128="",C128=""),"",IFERROR(E128*IF(E128="",0,VLOOKUP(C128,'📦 Precios Proforma'!$B$5:$D$104,IF(D128="DIA",2,3),FALSE)),0))</f>
        <v>1355.9999999999998</v>
      </c>
      <c r="J128" s="31">
        <f t="shared" si="8"/>
        <v>1515</v>
      </c>
      <c r="K128" s="31">
        <f t="shared" si="9"/>
        <v>2871</v>
      </c>
      <c r="L128" s="31">
        <f>IF(OR(B128="",C128=""),"",IFERROR(E128 / SUMIFS('[2]�� Resumen Diario'!$D$5:$D$504, '📅 Resumen Diario'!$B$5:$B$504, B128, '📅 Resumen Diario'!$C$5:$C$504, D128) * SUMIFS('📅 Resumen Diario'!$K$5:$K$504, '📅 Resumen Diario'!$B$5:$B$504, B128, '📅 Resumen Diario'!$C$5:$C$504, D128), 0))</f>
        <v>0</v>
      </c>
      <c r="M128" s="31">
        <f t="shared" si="10"/>
        <v>135</v>
      </c>
      <c r="N128" s="31">
        <f t="shared" si="11"/>
        <v>135</v>
      </c>
      <c r="O128" s="31">
        <f>IF(OR(B128="",C128=""),"",K128-N128 + IFERROR(E128 / SUMIFS('📅 Resumen Diario'!$D$5:$D$504, '📅 Resumen Diario'!$B$5:$B$504, B128, '📅 Resumen Diario'!$C$5:$C$504, D128) * (SUMIFS('📋 Detalle Diario'!$E$5:$E$489, '📋 Detalle Diario'!$B$5:$B$489, B128, '📋 Detalle Diario'!$C$5:$C$489, D128) * 135 + SUMIFS('📋 Detalle Diario'!$I$5:$I$489, '📋 Detalle Diario'!$B$5:$B$489, B128, '📋 Detalle Diario'!$C$5:$C$489, D128) * 200), 0))</f>
        <v>2736</v>
      </c>
      <c r="P128" s="32">
        <f t="shared" si="12"/>
        <v>0.95297805642633227</v>
      </c>
      <c r="Q128" s="33" t="str">
        <f t="shared" si="13"/>
        <v>2026-05</v>
      </c>
    </row>
    <row r="129" spans="2:17" ht="18" customHeight="1" x14ac:dyDescent="0.3">
      <c r="B129" s="26" t="s">
        <v>91</v>
      </c>
      <c r="C129" s="28" t="s">
        <v>147</v>
      </c>
      <c r="D129" s="27" t="s">
        <v>72</v>
      </c>
      <c r="E129" s="29">
        <v>850</v>
      </c>
      <c r="F129" s="29">
        <v>850</v>
      </c>
      <c r="G129" s="29">
        <v>2550</v>
      </c>
      <c r="H129" s="30">
        <f t="shared" si="7"/>
        <v>3400</v>
      </c>
      <c r="I129" s="31">
        <f>IF(OR(B129="",C129=""),"",IFERROR(E129*IF(E129="",0,VLOOKUP(C129,'📦 Precios Proforma'!$B$5:$D$104,IF(D129="DIA",2,3),FALSE)),0))</f>
        <v>3841.9999999999995</v>
      </c>
      <c r="J129" s="31">
        <f t="shared" si="8"/>
        <v>3434</v>
      </c>
      <c r="K129" s="31">
        <f t="shared" si="9"/>
        <v>7276</v>
      </c>
      <c r="L129" s="31">
        <f>IF(OR(B129="",C129=""),"",IFERROR(E129 / SUMIFS('📅 Resumen Diario'!$D$5:$D$504, '📅 Resumen Diario'!$B$5:$B$504, B129, '📅 Resumen Diario'!$C$5:$C$504, D129) * SUMIFS('📅 Resumen Diario'!$K$5:$K$504, '📅 Resumen Diario'!$B$5:$B$504, B129, '📅 Resumen Diario'!$C$5:$C$504, D129), 0))</f>
        <v>2330.362925724638</v>
      </c>
      <c r="M129" s="31">
        <f t="shared" si="10"/>
        <v>306</v>
      </c>
      <c r="N129" s="31">
        <f t="shared" si="11"/>
        <v>2636.362925724638</v>
      </c>
      <c r="O129" s="31">
        <f>IF(OR(B129="",C129=""),"",K129-N129 + IFERROR(E129 / SUMIFS('📅 Resumen Diario'!$D$5:$D$504, '📅 Resumen Diario'!$B$5:$B$504, B129, '📅 Resumen Diario'!$C$5:$C$504, D129) * (SUMIFS('📋 Detalle Diario'!$E$5:$E$489, '📋 Detalle Diario'!$B$5:$B$489, B129, '📋 Detalle Diario'!$C$5:$C$489, D129) * 135 + SUMIFS('📋 Detalle Diario'!$I$5:$I$489, '📋 Detalle Diario'!$B$5:$B$489, B129, '📋 Detalle Diario'!$C$5:$C$489, D129) * 200), 0))</f>
        <v>4639.6370742753625</v>
      </c>
      <c r="P129" s="32">
        <f t="shared" si="12"/>
        <v>0.63766314929567924</v>
      </c>
      <c r="Q129" s="33" t="str">
        <f t="shared" si="13"/>
        <v>2026-05</v>
      </c>
    </row>
    <row r="130" spans="2:17" ht="18" customHeight="1" x14ac:dyDescent="0.3">
      <c r="B130" s="26" t="s">
        <v>91</v>
      </c>
      <c r="C130" s="17" t="s">
        <v>157</v>
      </c>
      <c r="D130" s="27" t="s">
        <v>72</v>
      </c>
      <c r="E130" s="18">
        <v>60</v>
      </c>
      <c r="F130" s="18">
        <v>60</v>
      </c>
      <c r="G130" s="18">
        <v>180</v>
      </c>
      <c r="H130" s="30">
        <f t="shared" si="7"/>
        <v>240</v>
      </c>
      <c r="I130" s="31">
        <f>IF(OR(B130="",C130=""),"",IFERROR(E130*IF(E130="",0,VLOOKUP(C130,'📦 Precios Proforma'!$B$5:$D$104,IF(D130="DIA",2,3),FALSE)),0))</f>
        <v>271.2</v>
      </c>
      <c r="J130" s="31">
        <f t="shared" si="8"/>
        <v>242.4</v>
      </c>
      <c r="K130" s="31">
        <f t="shared" si="9"/>
        <v>513.6</v>
      </c>
      <c r="L130" s="31">
        <f>IF(OR(B130="",C130=""),"",IFERROR(E130 / SUMIFS('📅 Resumen Diario'!$D$5:$D$504, '📅 Resumen Diario'!$B$5:$B$504, B130, '📅 Resumen Diario'!$C$5:$C$504, D130) * SUMIFS('📅 Resumen Diario'!$K$5:$K$504, '📅 Resumen Diario'!$B$5:$B$504, B130, '📅 Resumen Diario'!$C$5:$C$504, D130), 0))</f>
        <v>164.49620652173914</v>
      </c>
      <c r="M130" s="31">
        <f t="shared" si="10"/>
        <v>21.599999999999998</v>
      </c>
      <c r="N130" s="31">
        <f t="shared" si="11"/>
        <v>186.09620652173913</v>
      </c>
      <c r="O130" s="31">
        <f>IF(OR(B130="",C130=""),"",K130-N130 + IFERROR(E130 / SUMIFS('📅 Resumen Diario'!$D$5:$D$504, '📅 Resumen Diario'!$B$5:$B$504, B130, '📅 Resumen Diario'!$C$5:$C$504, D130) * (SUMIFS('📋 Detalle Diario'!$E$5:$E$489, '📋 Detalle Diario'!$B$5:$B$489, B130, '📋 Detalle Diario'!$C$5:$C$489, D130) * 135 + SUMIFS('📋 Detalle Diario'!$I$5:$I$489, '📋 Detalle Diario'!$B$5:$B$489, B130, '📋 Detalle Diario'!$C$5:$C$489, D130) * 200), 0))</f>
        <v>327.50379347826089</v>
      </c>
      <c r="P130" s="32">
        <f t="shared" si="12"/>
        <v>0.63766314929567924</v>
      </c>
      <c r="Q130" s="33" t="str">
        <f t="shared" si="13"/>
        <v>2026-05</v>
      </c>
    </row>
    <row r="131" spans="2:17" ht="18" customHeight="1" x14ac:dyDescent="0.3">
      <c r="B131" s="26" t="s">
        <v>91</v>
      </c>
      <c r="C131" s="28" t="s">
        <v>148</v>
      </c>
      <c r="D131" s="27" t="s">
        <v>72</v>
      </c>
      <c r="E131" s="29">
        <v>630</v>
      </c>
      <c r="F131" s="29">
        <v>630</v>
      </c>
      <c r="G131" s="29">
        <v>1260</v>
      </c>
      <c r="H131" s="30">
        <f t="shared" si="7"/>
        <v>1890</v>
      </c>
      <c r="I131" s="31">
        <f>IF(OR(B131="",C131=""),"",IFERROR(E131*IF(E131="",0,VLOOKUP(C131,'📦 Precios Proforma'!$B$5:$D$104,IF(D131="DIA",2,3),FALSE)),0))</f>
        <v>2847.6</v>
      </c>
      <c r="J131" s="31">
        <f t="shared" si="8"/>
        <v>1908.9</v>
      </c>
      <c r="K131" s="31">
        <f t="shared" si="9"/>
        <v>4756.5</v>
      </c>
      <c r="L131" s="31">
        <f>IF(OR(B131="",C131=""),"",IFERROR(E131 / SUMIFS('📅 Resumen Diario'!$D$5:$D$504, '📅 Resumen Diario'!$B$5:$B$504, B131, '📅 Resumen Diario'!$C$5:$C$504, D131) * SUMIFS('📅 Resumen Diario'!$K$5:$K$504, '📅 Resumen Diario'!$B$5:$B$504, B131, '📅 Resumen Diario'!$C$5:$C$504, D131), 0))</f>
        <v>1727.210168478261</v>
      </c>
      <c r="M131" s="31">
        <f t="shared" si="10"/>
        <v>170.1</v>
      </c>
      <c r="N131" s="31">
        <f t="shared" si="11"/>
        <v>1897.3101684782609</v>
      </c>
      <c r="O131" s="31">
        <f>IF(OR(B131="",C131=""),"",K131-N131 + IFERROR(E131 / SUMIFS('📅 Resumen Diario'!$D$5:$D$504, '📅 Resumen Diario'!$B$5:$B$504, B131, '📅 Resumen Diario'!$C$5:$C$504, D131) * (SUMIFS('📋 Detalle Diario'!$E$5:$E$489, '📋 Detalle Diario'!$B$5:$B$489, B131, '📋 Detalle Diario'!$C$5:$C$489, D131) * 135 + SUMIFS('📋 Detalle Diario'!$I$5:$I$489, '📋 Detalle Diario'!$B$5:$B$489, B131, '📋 Detalle Diario'!$C$5:$C$489, D131) * 200), 0))</f>
        <v>2859.1898315217391</v>
      </c>
      <c r="P131" s="32">
        <f t="shared" si="12"/>
        <v>0.60111212688357807</v>
      </c>
      <c r="Q131" s="33" t="str">
        <f t="shared" si="13"/>
        <v>2026-05</v>
      </c>
    </row>
    <row r="132" spans="2:17" ht="18" customHeight="1" x14ac:dyDescent="0.3">
      <c r="B132" s="26" t="s">
        <v>91</v>
      </c>
      <c r="C132" s="17" t="s">
        <v>148</v>
      </c>
      <c r="D132" s="27" t="s">
        <v>73</v>
      </c>
      <c r="E132" s="18">
        <v>1080</v>
      </c>
      <c r="F132" s="18">
        <v>1080</v>
      </c>
      <c r="G132" s="18">
        <v>2160</v>
      </c>
      <c r="H132" s="30">
        <f t="shared" si="7"/>
        <v>3240</v>
      </c>
      <c r="I132" s="31">
        <f>IF(OR(B132="",C132=""),"",IFERROR(E132*IF(E132="",0,VLOOKUP(C132,'📦 Precios Proforma'!$B$5:$D$104,IF(D132="DIA",2,3),FALSE)),0))</f>
        <v>6512.4000000000005</v>
      </c>
      <c r="J132" s="31">
        <f t="shared" si="8"/>
        <v>4374</v>
      </c>
      <c r="K132" s="31">
        <f t="shared" si="9"/>
        <v>10886.400000000001</v>
      </c>
      <c r="L132" s="31">
        <f>IF(OR(B132="",C132=""),"",IFERROR(E132 / SUMIFS('📅 Resumen Diario'!$D$5:$D$504, '📅 Resumen Diario'!$B$5:$B$504, B132, '📅 Resumen Diario'!$C$5:$C$504, D132) * SUMIFS('📅 Resumen Diario'!$K$5:$K$504, '📅 Resumen Diario'!$B$5:$B$504, B132, '📅 Resumen Diario'!$C$5:$C$504, D132), 0))</f>
        <v>4532.3421428571437</v>
      </c>
      <c r="M132" s="31">
        <f t="shared" si="10"/>
        <v>291.59999999999997</v>
      </c>
      <c r="N132" s="31">
        <f t="shared" si="11"/>
        <v>4823.9421428571441</v>
      </c>
      <c r="O132" s="31">
        <f>IF(OR(B132="",C132=""),"",K132-N132 + IFERROR(E132 / SUMIFS('📅 Resumen Diario'!$D$5:$D$504, '📅 Resumen Diario'!$B$5:$B$504, B132, '📅 Resumen Diario'!$C$5:$C$504, D132) * (SUMIFS('📋 Detalle Diario'!$E$5:$E$489, '📋 Detalle Diario'!$B$5:$B$489, B132, '📋 Detalle Diario'!$C$5:$C$489, D132) * 135 + SUMIFS('📋 Detalle Diario'!$I$5:$I$489, '📋 Detalle Diario'!$B$5:$B$489, B132, '📋 Detalle Diario'!$C$5:$C$489, D132) * 200), 0))</f>
        <v>6062.4578571428574</v>
      </c>
      <c r="P132" s="32">
        <f t="shared" si="12"/>
        <v>0.55688362150415716</v>
      </c>
      <c r="Q132" s="33" t="str">
        <f t="shared" si="13"/>
        <v>2026-05</v>
      </c>
    </row>
    <row r="133" spans="2:17" ht="18" customHeight="1" x14ac:dyDescent="0.3">
      <c r="B133" s="26" t="s">
        <v>91</v>
      </c>
      <c r="C133" s="28" t="s">
        <v>134</v>
      </c>
      <c r="D133" s="27" t="s">
        <v>73</v>
      </c>
      <c r="E133" s="29">
        <v>15</v>
      </c>
      <c r="F133" s="29">
        <v>0</v>
      </c>
      <c r="G133" s="29">
        <v>0</v>
      </c>
      <c r="H133" s="30">
        <f t="shared" si="7"/>
        <v>0</v>
      </c>
      <c r="I133" s="31">
        <f>IF(OR(B133="",C133=""),"",IFERROR(E133*IF(E133="",0,VLOOKUP(C133,'📦 Precios Proforma'!$B$5:$D$104,IF(D133="DIA",2,3),FALSE)),0))</f>
        <v>900</v>
      </c>
      <c r="J133" s="31">
        <f t="shared" si="8"/>
        <v>0</v>
      </c>
      <c r="K133" s="31">
        <f t="shared" si="9"/>
        <v>900</v>
      </c>
      <c r="L133" s="31">
        <f>IF(OR(B133="",C133=""),"",IFERROR(E133 / SUMIFS('📅 Resumen Diario'!$D$5:$D$504, '📅 Resumen Diario'!$B$5:$B$504, B133, '📅 Resumen Diario'!$C$5:$C$504, D133) * SUMIFS('📅 Resumen Diario'!$K$5:$K$504, '📅 Resumen Diario'!$B$5:$B$504, B133, '📅 Resumen Diario'!$C$5:$C$504, D133), 0))</f>
        <v>62.94919642857144</v>
      </c>
      <c r="M133" s="31">
        <f t="shared" si="10"/>
        <v>0</v>
      </c>
      <c r="N133" s="31">
        <f t="shared" si="11"/>
        <v>62.94919642857144</v>
      </c>
      <c r="O133" s="31">
        <f>IF(OR(B133="",C133=""),"",K133-N133 + IFERROR(E133 / SUMIFS('📅 Resumen Diario'!$D$5:$D$504, '📅 Resumen Diario'!$B$5:$B$504, B133, '📅 Resumen Diario'!$C$5:$C$504, D133) * (SUMIFS('📋 Detalle Diario'!$E$5:$E$489, '📋 Detalle Diario'!$B$5:$B$489, B133, '📋 Detalle Diario'!$C$5:$C$489, D133) * 135 + SUMIFS('📋 Detalle Diario'!$I$5:$I$489, '📋 Detalle Diario'!$B$5:$B$489, B133, '📋 Detalle Diario'!$C$5:$C$489, D133) * 200), 0))</f>
        <v>837.05080357142856</v>
      </c>
      <c r="P133" s="32">
        <f t="shared" si="12"/>
        <v>0.93005644841269841</v>
      </c>
      <c r="Q133" s="33" t="str">
        <f t="shared" si="13"/>
        <v>2026-05</v>
      </c>
    </row>
    <row r="134" spans="2:17" ht="18" customHeight="1" x14ac:dyDescent="0.3">
      <c r="B134" s="26" t="s">
        <v>91</v>
      </c>
      <c r="C134" s="17" t="s">
        <v>151</v>
      </c>
      <c r="D134" s="27" t="s">
        <v>73</v>
      </c>
      <c r="E134" s="18">
        <v>81</v>
      </c>
      <c r="F134" s="18">
        <v>0</v>
      </c>
      <c r="G134" s="18">
        <v>81</v>
      </c>
      <c r="H134" s="30">
        <f t="shared" si="7"/>
        <v>81</v>
      </c>
      <c r="I134" s="31">
        <f>IF(OR(B134="",C134=""),"",IFERROR(E134*IF(E134="",0,VLOOKUP(C134,'📦 Precios Proforma'!$B$5:$D$104,IF(D134="DIA",2,3),FALSE)),0))</f>
        <v>488.43</v>
      </c>
      <c r="J134" s="31">
        <f t="shared" si="8"/>
        <v>109.35000000000001</v>
      </c>
      <c r="K134" s="31">
        <f t="shared" si="9"/>
        <v>597.78</v>
      </c>
      <c r="L134" s="31">
        <f>IF(OR(B134="",C134=""),"",IFERROR(E134 / SUMIFS('📅 Resumen Diario'!$D$5:$D$504, '📅 Resumen Diario'!$B$5:$B$504, B134, '📅 Resumen Diario'!$C$5:$C$504, D134) * SUMIFS('📅 Resumen Diario'!$K$5:$K$504, '📅 Resumen Diario'!$B$5:$B$504, B134, '📅 Resumen Diario'!$C$5:$C$504, D134), 0))</f>
        <v>339.9256607142857</v>
      </c>
      <c r="M134" s="31">
        <f t="shared" si="10"/>
        <v>7.29</v>
      </c>
      <c r="N134" s="31">
        <f t="shared" si="11"/>
        <v>347.21566071428572</v>
      </c>
      <c r="O134" s="31">
        <f>IF(OR(B134="",C134=""),"",K134-N134 + IFERROR(E134 / SUMIFS('📅 Resumen Diario'!$D$5:$D$504, '📅 Resumen Diario'!$B$5:$B$504, B134, '📅 Resumen Diario'!$C$5:$C$504, D134) * (SUMIFS('📋 Detalle Diario'!$E$5:$E$489, '📋 Detalle Diario'!$B$5:$B$489, B134, '📋 Detalle Diario'!$C$5:$C$489, D134) * 135 + SUMIFS('📋 Detalle Diario'!$I$5:$I$489, '📋 Detalle Diario'!$B$5:$B$489, B134, '📋 Detalle Diario'!$C$5:$C$489, D134) * 200), 0))</f>
        <v>250.56433928571425</v>
      </c>
      <c r="P134" s="32">
        <f t="shared" si="12"/>
        <v>0.41915811717640983</v>
      </c>
      <c r="Q134" s="33" t="str">
        <f t="shared" si="13"/>
        <v>2026-05</v>
      </c>
    </row>
    <row r="135" spans="2:17" ht="18" customHeight="1" x14ac:dyDescent="0.3">
      <c r="B135" s="26" t="s">
        <v>92</v>
      </c>
      <c r="C135" s="28" t="s">
        <v>158</v>
      </c>
      <c r="D135" s="27" t="s">
        <v>72</v>
      </c>
      <c r="E135" s="29">
        <v>135</v>
      </c>
      <c r="F135" s="29">
        <v>135</v>
      </c>
      <c r="G135" s="29">
        <v>270</v>
      </c>
      <c r="H135" s="30">
        <f t="shared" ref="H135:H198" si="14">IF(OR(B135="",C135=""),"",F135+G135)</f>
        <v>405</v>
      </c>
      <c r="I135" s="31">
        <f>IF(OR(B135="",C135=""),"",IFERROR(E135*IF(E135="",0,VLOOKUP(C135,'📦 Precios Proforma'!$B$5:$D$104,IF(D135="DIA",2,3),FALSE)),0))</f>
        <v>610.19999999999993</v>
      </c>
      <c r="J135" s="31">
        <f t="shared" ref="J135:J198" si="15">IF(OR(B135="",C135=""),"",IF(D135="DIA",H135*1.01,H135*1.35))</f>
        <v>409.05</v>
      </c>
      <c r="K135" s="31">
        <f t="shared" ref="K135:K198" si="16">IF(OR(B135="",C135=""),"",I135+J135)</f>
        <v>1019.25</v>
      </c>
      <c r="L135" s="31">
        <f>IF(OR(B135="",C135=""),"",IFERROR(E135 / SUMIFS('📅 Resumen Diario'!$D$5:$D$504, '📅 Resumen Diario'!$B$5:$B$504, B135, '📅 Resumen Diario'!$C$5:$C$504, D135) * SUMIFS('📅 Resumen Diario'!$K$5:$K$504, '📅 Resumen Diario'!$B$5:$B$504, B135, '📅 Resumen Diario'!$C$5:$C$504, D135), 0))</f>
        <v>2702.4376785714285</v>
      </c>
      <c r="M135" s="31">
        <f t="shared" ref="M135:M198" si="17">IF(OR(B135="",C135=""),"",H135*0.09)</f>
        <v>36.449999999999996</v>
      </c>
      <c r="N135" s="31">
        <f t="shared" ref="N135:N198" si="18">IF(OR(B135="",C135=""),"",L135+M135)</f>
        <v>2738.8876785714283</v>
      </c>
      <c r="O135" s="31">
        <f>IF(OR(B135="",C135=""),"",K135-N135 + IFERROR(E135 / SUMIFS('📅 Resumen Diario'!$D$5:$D$504, '📅 Resumen Diario'!$B$5:$B$504, B135, '📅 Resumen Diario'!$C$5:$C$504, D135) * (SUMIFS('📋 Detalle Diario'!$E$5:$E$489, '📋 Detalle Diario'!$B$5:$B$489, B135, '📋 Detalle Diario'!$C$5:$C$489, D135) * 135 + SUMIFS('📋 Detalle Diario'!$I$5:$I$489, '📋 Detalle Diario'!$B$5:$B$489, B135, '📋 Detalle Diario'!$C$5:$C$489, D135) * 200), 0))</f>
        <v>-1719.6376785714283</v>
      </c>
      <c r="P135" s="32">
        <f t="shared" ref="P135:P198" si="19">IF(OR(B135="",C135=""),"",IF(K135=0, 0, O135/K135))</f>
        <v>-1.6871598514313744</v>
      </c>
      <c r="Q135" s="33" t="str">
        <f t="shared" ref="Q135:Q198" si="20">IF(B135="","",IF(ISNUMBER(B135),YEAR(B135)&amp;"-"&amp;IF(MONTH(B135)&lt;10,"0","")&amp;MONTH(B135),LEFT(B135,7)))</f>
        <v>2026-05</v>
      </c>
    </row>
    <row r="136" spans="2:17" ht="18" customHeight="1" x14ac:dyDescent="0.3">
      <c r="B136" s="26" t="s">
        <v>92</v>
      </c>
      <c r="C136" s="17" t="s">
        <v>134</v>
      </c>
      <c r="D136" s="27" t="s">
        <v>72</v>
      </c>
      <c r="E136" s="18">
        <v>17</v>
      </c>
      <c r="F136" s="18">
        <v>0</v>
      </c>
      <c r="G136" s="18">
        <v>0</v>
      </c>
      <c r="H136" s="30">
        <f t="shared" si="14"/>
        <v>0</v>
      </c>
      <c r="I136" s="31">
        <f>IF(OR(B136="",C136=""),"",IFERROR(E136*IF(E136="",0,VLOOKUP(C136,'📦 Precios Proforma'!$B$5:$D$104,IF(D136="DIA",2,3),FALSE)),0))</f>
        <v>765</v>
      </c>
      <c r="J136" s="31">
        <f t="shared" si="15"/>
        <v>0</v>
      </c>
      <c r="K136" s="31">
        <f t="shared" si="16"/>
        <v>765</v>
      </c>
      <c r="L136" s="31">
        <f>IF(OR(B136="",C136=""),"",IFERROR(E136 / SUMIFS('📅 Resumen Diario'!$D$5:$D$504, '📅 Resumen Diario'!$B$5:$B$504, B136, '📅 Resumen Diario'!$C$5:$C$504, D136) * SUMIFS('📅 Resumen Diario'!$K$5:$K$504, '📅 Resumen Diario'!$B$5:$B$504, B136, '📅 Resumen Diario'!$C$5:$C$504, D136), 0))</f>
        <v>340.30696693121695</v>
      </c>
      <c r="M136" s="31">
        <f t="shared" si="17"/>
        <v>0</v>
      </c>
      <c r="N136" s="31">
        <f t="shared" si="18"/>
        <v>340.30696693121695</v>
      </c>
      <c r="O136" s="31">
        <f>IF(OR(B136="",C136=""),"",K136-N136 + IFERROR(E136 / SUMIFS('📅 Resumen Diario'!$D$5:$D$504, '📅 Resumen Diario'!$B$5:$B$504, B136, '📅 Resumen Diario'!$C$5:$C$504, D136) * (SUMIFS('📋 Detalle Diario'!$E$5:$E$489, '📋 Detalle Diario'!$B$5:$B$489, B136, '📋 Detalle Diario'!$C$5:$C$489, D136) * 135 + SUMIFS('📋 Detalle Diario'!$I$5:$I$489, '📋 Detalle Diario'!$B$5:$B$489, B136, '📋 Detalle Diario'!$C$5:$C$489, D136) * 200), 0))</f>
        <v>424.69303306878305</v>
      </c>
      <c r="P136" s="32">
        <f t="shared" si="19"/>
        <v>0.55515429159318042</v>
      </c>
      <c r="Q136" s="33" t="str">
        <f t="shared" si="20"/>
        <v>2026-05</v>
      </c>
    </row>
    <row r="137" spans="2:17" ht="18" customHeight="1" x14ac:dyDescent="0.3">
      <c r="B137" s="26" t="s">
        <v>92</v>
      </c>
      <c r="C137" s="28" t="s">
        <v>151</v>
      </c>
      <c r="D137" s="27" t="s">
        <v>72</v>
      </c>
      <c r="E137" s="29">
        <v>60</v>
      </c>
      <c r="F137" s="29">
        <v>0</v>
      </c>
      <c r="G137" s="29">
        <v>540</v>
      </c>
      <c r="H137" s="30">
        <f t="shared" si="14"/>
        <v>540</v>
      </c>
      <c r="I137" s="31">
        <f>IF(OR(B137="",C137=""),"",IFERROR(E137*IF(E137="",0,VLOOKUP(C137,'📦 Precios Proforma'!$B$5:$D$104,IF(D137="DIA",2,3),FALSE)),0))</f>
        <v>271.2</v>
      </c>
      <c r="J137" s="31">
        <f t="shared" si="15"/>
        <v>545.4</v>
      </c>
      <c r="K137" s="31">
        <f t="shared" si="16"/>
        <v>816.59999999999991</v>
      </c>
      <c r="L137" s="31">
        <f>IF(OR(B137="",C137=""),"",IFERROR(E137 / SUMIFS('📅 Resumen Diario'!$D$5:$D$504, '📅 Resumen Diario'!$B$5:$B$504, B137, '📅 Resumen Diario'!$C$5:$C$504, D137) * SUMIFS('📅 Resumen Diario'!$K$5:$K$504, '📅 Resumen Diario'!$B$5:$B$504, B137, '📅 Resumen Diario'!$C$5:$C$504, D137), 0))</f>
        <v>1201.0834126984128</v>
      </c>
      <c r="M137" s="31">
        <f t="shared" si="17"/>
        <v>48.6</v>
      </c>
      <c r="N137" s="31">
        <f t="shared" si="18"/>
        <v>1249.6834126984127</v>
      </c>
      <c r="O137" s="31">
        <f>IF(OR(B137="",C137=""),"",K137-N137 + IFERROR(E137 / SUMIFS('📅 Resumen Diario'!$D$5:$D$504, '📅 Resumen Diario'!$B$5:$B$504, B137, '📅 Resumen Diario'!$C$5:$C$504, D137) * (SUMIFS('📋 Detalle Diario'!$E$5:$E$489, '📋 Detalle Diario'!$B$5:$B$489, B137, '📋 Detalle Diario'!$C$5:$C$489, D137) * 135 + SUMIFS('📋 Detalle Diario'!$I$5:$I$489, '📋 Detalle Diario'!$B$5:$B$489, B137, '📋 Detalle Diario'!$C$5:$C$489, D137) * 200), 0))</f>
        <v>-433.08341269841276</v>
      </c>
      <c r="P137" s="32">
        <f t="shared" si="19"/>
        <v>-0.53034951346854375</v>
      </c>
      <c r="Q137" s="33" t="str">
        <f t="shared" si="20"/>
        <v>2026-05</v>
      </c>
    </row>
    <row r="138" spans="2:17" ht="18" customHeight="1" x14ac:dyDescent="0.3">
      <c r="B138" s="26" t="s">
        <v>92</v>
      </c>
      <c r="C138" s="17" t="s">
        <v>138</v>
      </c>
      <c r="D138" s="27" t="s">
        <v>72</v>
      </c>
      <c r="E138" s="18">
        <v>40</v>
      </c>
      <c r="F138" s="18">
        <v>0</v>
      </c>
      <c r="G138" s="18">
        <v>40</v>
      </c>
      <c r="H138" s="30">
        <f t="shared" si="14"/>
        <v>40</v>
      </c>
      <c r="I138" s="31">
        <f>IF(OR(B138="",C138=""),"",IFERROR(E138*IF(E138="",0,VLOOKUP(C138,'📦 Precios Proforma'!$B$5:$D$104,IF(D138="DIA",2,3),FALSE)),0))</f>
        <v>173.6</v>
      </c>
      <c r="J138" s="31">
        <f t="shared" si="15"/>
        <v>40.4</v>
      </c>
      <c r="K138" s="31">
        <f t="shared" si="16"/>
        <v>214</v>
      </c>
      <c r="L138" s="31">
        <f>IF(OR(B138="",C138=""),"",IFERROR(E138 / SUMIFS('📅 Resumen Diario'!$D$5:$D$504, '📅 Resumen Diario'!$B$5:$B$504, B138, '📅 Resumen Diario'!$C$5:$C$504, D138) * SUMIFS('📅 Resumen Diario'!$K$5:$K$504, '📅 Resumen Diario'!$B$5:$B$504, B138, '📅 Resumen Diario'!$C$5:$C$504, D138), 0))</f>
        <v>800.72227513227517</v>
      </c>
      <c r="M138" s="31">
        <f t="shared" si="17"/>
        <v>3.5999999999999996</v>
      </c>
      <c r="N138" s="31">
        <f t="shared" si="18"/>
        <v>804.32227513227519</v>
      </c>
      <c r="O138" s="31">
        <f>IF(OR(B138="",C138=""),"",K138-N138 + IFERROR(E138 / SUMIFS('📅 Resumen Diario'!$D$5:$D$504, '📅 Resumen Diario'!$B$5:$B$504, B138, '📅 Resumen Diario'!$C$5:$C$504, D138) * (SUMIFS('📋 Detalle Diario'!$E$5:$E$489, '📋 Detalle Diario'!$B$5:$B$489, B138, '📋 Detalle Diario'!$C$5:$C$489, D138) * 135 + SUMIFS('📋 Detalle Diario'!$I$5:$I$489, '📋 Detalle Diario'!$B$5:$B$489, B138, '📋 Detalle Diario'!$C$5:$C$489, D138) * 200), 0))</f>
        <v>-590.32227513227519</v>
      </c>
      <c r="P138" s="32">
        <f t="shared" si="19"/>
        <v>-2.7585153043564263</v>
      </c>
      <c r="Q138" s="33" t="str">
        <f t="shared" si="20"/>
        <v>2026-05</v>
      </c>
    </row>
    <row r="139" spans="2:17" ht="18" customHeight="1" x14ac:dyDescent="0.3">
      <c r="B139" s="26" t="s">
        <v>92</v>
      </c>
      <c r="C139" s="28" t="s">
        <v>148</v>
      </c>
      <c r="D139" s="27" t="s">
        <v>73</v>
      </c>
      <c r="E139" s="29">
        <v>285</v>
      </c>
      <c r="F139" s="29">
        <v>285</v>
      </c>
      <c r="G139" s="29">
        <v>570</v>
      </c>
      <c r="H139" s="30">
        <f t="shared" si="14"/>
        <v>855</v>
      </c>
      <c r="I139" s="31">
        <f>IF(OR(B139="",C139=""),"",IFERROR(E139*IF(E139="",0,VLOOKUP(C139,'📦 Precios Proforma'!$B$5:$D$104,IF(D139="DIA",2,3),FALSE)),0))</f>
        <v>1718.5500000000002</v>
      </c>
      <c r="J139" s="31">
        <f t="shared" si="15"/>
        <v>1154.25</v>
      </c>
      <c r="K139" s="31">
        <f t="shared" si="16"/>
        <v>2872.8</v>
      </c>
      <c r="L139" s="31">
        <f>IF(OR(B139="",C139=""),"",IFERROR(E139 / SUMIFS('📅 Resumen Diario'!$D$5:$D$504, '📅 Resumen Diario'!$B$5:$B$504, B139, '📅 Resumen Diario'!$C$5:$C$504, D139) * SUMIFS('📅 Resumen Diario'!$K$5:$K$504, '📅 Resumen Diario'!$B$5:$B$504, B139, '📅 Resumen Diario'!$C$5:$C$504, D139), 0))</f>
        <v>4314.5301993865032</v>
      </c>
      <c r="M139" s="31">
        <f t="shared" si="17"/>
        <v>76.95</v>
      </c>
      <c r="N139" s="31">
        <f t="shared" si="18"/>
        <v>4391.480199386503</v>
      </c>
      <c r="O139" s="31">
        <f>IF(OR(B139="",C139=""),"",K139-N139 + IFERROR(E139 / SUMIFS('📅 Resumen Diario'!$D$5:$D$504, '📅 Resumen Diario'!$B$5:$B$504, B139, '📅 Resumen Diario'!$C$5:$C$504, D139) * (SUMIFS('📋 Detalle Diario'!$E$5:$E$489, '📋 Detalle Diario'!$B$5:$B$489, B139, '📋 Detalle Diario'!$C$5:$C$489, D139) * 135 + SUMIFS('📋 Detalle Diario'!$I$5:$I$489, '📋 Detalle Diario'!$B$5:$B$489, B139, '📋 Detalle Diario'!$C$5:$C$489, D139) * 200), 0))</f>
        <v>-1518.6801993865029</v>
      </c>
      <c r="P139" s="32">
        <f t="shared" si="19"/>
        <v>-0.5286411164670366</v>
      </c>
      <c r="Q139" s="33" t="str">
        <f t="shared" si="20"/>
        <v>2026-05</v>
      </c>
    </row>
    <row r="140" spans="2:17" ht="18" customHeight="1" x14ac:dyDescent="0.3">
      <c r="B140" s="26" t="s">
        <v>92</v>
      </c>
      <c r="C140" s="17" t="s">
        <v>150</v>
      </c>
      <c r="D140" s="27" t="s">
        <v>73</v>
      </c>
      <c r="E140" s="18">
        <v>25</v>
      </c>
      <c r="F140" s="18">
        <v>25</v>
      </c>
      <c r="G140" s="18">
        <v>0</v>
      </c>
      <c r="H140" s="30">
        <f t="shared" si="14"/>
        <v>25</v>
      </c>
      <c r="I140" s="31">
        <f>IF(OR(B140="",C140=""),"",IFERROR(E140*IF(E140="",0,VLOOKUP(C140,'📦 Precios Proforma'!$B$5:$D$104,IF(D140="DIA",2,3),FALSE)),0))</f>
        <v>150.75</v>
      </c>
      <c r="J140" s="31">
        <f t="shared" si="15"/>
        <v>33.75</v>
      </c>
      <c r="K140" s="31">
        <f t="shared" si="16"/>
        <v>184.5</v>
      </c>
      <c r="L140" s="31">
        <f>IF(OR(B140="",C140=""),"",IFERROR(E140 / SUMIFS('📅 Resumen Diario'!$D$5:$D$504, '📅 Resumen Diario'!$B$5:$B$504, B140, '📅 Resumen Diario'!$C$5:$C$504, D140) * SUMIFS('📅 Resumen Diario'!$K$5:$K$504, '📅 Resumen Diario'!$B$5:$B$504, B140, '📅 Resumen Diario'!$C$5:$C$504, D140), 0))</f>
        <v>378.46756134969331</v>
      </c>
      <c r="M140" s="31">
        <f t="shared" si="17"/>
        <v>2.25</v>
      </c>
      <c r="N140" s="31">
        <f t="shared" si="18"/>
        <v>380.71756134969331</v>
      </c>
      <c r="O140" s="31">
        <f>IF(OR(B140="",C140=""),"",K140-N140 + IFERROR(E140 / SUMIFS('📅 Resumen Diario'!$D$5:$D$504, '📅 Resumen Diario'!$B$5:$B$504, B140, '📅 Resumen Diario'!$C$5:$C$504, D140) * (SUMIFS('📋 Detalle Diario'!$E$5:$E$489, '📋 Detalle Diario'!$B$5:$B$489, B140, '📋 Detalle Diario'!$C$5:$C$489, D140) * 135 + SUMIFS('📋 Detalle Diario'!$I$5:$I$489, '📋 Detalle Diario'!$B$5:$B$489, B140, '📋 Detalle Diario'!$C$5:$C$489, D140) * 200), 0))</f>
        <v>-196.21756134969331</v>
      </c>
      <c r="P140" s="32">
        <f t="shared" si="19"/>
        <v>-1.0635098176135138</v>
      </c>
      <c r="Q140" s="33" t="str">
        <f t="shared" si="20"/>
        <v>2026-05</v>
      </c>
    </row>
    <row r="141" spans="2:17" ht="18" customHeight="1" x14ac:dyDescent="0.3">
      <c r="B141" s="26" t="s">
        <v>92</v>
      </c>
      <c r="C141" s="28" t="s">
        <v>134</v>
      </c>
      <c r="D141" s="27" t="s">
        <v>73</v>
      </c>
      <c r="E141" s="29">
        <v>16</v>
      </c>
      <c r="F141" s="29">
        <v>0</v>
      </c>
      <c r="G141" s="29">
        <v>0</v>
      </c>
      <c r="H141" s="30">
        <f t="shared" si="14"/>
        <v>0</v>
      </c>
      <c r="I141" s="31">
        <f>IF(OR(B141="",C141=""),"",IFERROR(E141*IF(E141="",0,VLOOKUP(C141,'📦 Precios Proforma'!$B$5:$D$104,IF(D141="DIA",2,3),FALSE)),0))</f>
        <v>960</v>
      </c>
      <c r="J141" s="31">
        <f t="shared" si="15"/>
        <v>0</v>
      </c>
      <c r="K141" s="31">
        <f t="shared" si="16"/>
        <v>960</v>
      </c>
      <c r="L141" s="31">
        <f>IF(OR(B141="",C141=""),"",IFERROR(E141 / SUMIFS('📅 Resumen Diario'!$D$5:$D$504, '📅 Resumen Diario'!$B$5:$B$504, B141, '📅 Resumen Diario'!$C$5:$C$504, D141) * SUMIFS('📅 Resumen Diario'!$K$5:$K$504, '📅 Resumen Diario'!$B$5:$B$504, B141, '📅 Resumen Diario'!$C$5:$C$504, D141), 0))</f>
        <v>242.2192392638037</v>
      </c>
      <c r="M141" s="31">
        <f t="shared" si="17"/>
        <v>0</v>
      </c>
      <c r="N141" s="31">
        <f t="shared" si="18"/>
        <v>242.2192392638037</v>
      </c>
      <c r="O141" s="31">
        <f>IF(OR(B141="",C141=""),"",K141-N141 + IFERROR(E141 / SUMIFS('📅 Resumen Diario'!$D$5:$D$504, '📅 Resumen Diario'!$B$5:$B$504, B141, '📅 Resumen Diario'!$C$5:$C$504, D141) * (SUMIFS('📋 Detalle Diario'!$E$5:$E$489, '📋 Detalle Diario'!$B$5:$B$489, B141, '📋 Detalle Diario'!$C$5:$C$489, D141) * 135 + SUMIFS('📋 Detalle Diario'!$I$5:$I$489, '📋 Detalle Diario'!$B$5:$B$489, B141, '📋 Detalle Diario'!$C$5:$C$489, D141) * 200), 0))</f>
        <v>717.78076073619627</v>
      </c>
      <c r="P141" s="32">
        <f t="shared" si="19"/>
        <v>0.74768829243353774</v>
      </c>
      <c r="Q141" s="33" t="str">
        <f t="shared" si="20"/>
        <v>2026-05</v>
      </c>
    </row>
    <row r="142" spans="2:17" ht="18" customHeight="1" x14ac:dyDescent="0.3">
      <c r="B142" s="26" t="s">
        <v>93</v>
      </c>
      <c r="C142" s="17" t="s">
        <v>134</v>
      </c>
      <c r="D142" s="27" t="s">
        <v>72</v>
      </c>
      <c r="E142" s="18">
        <v>4.0999999999999996</v>
      </c>
      <c r="F142" s="18">
        <v>0</v>
      </c>
      <c r="G142" s="18">
        <v>0</v>
      </c>
      <c r="H142" s="30">
        <f t="shared" si="14"/>
        <v>0</v>
      </c>
      <c r="I142" s="31">
        <f>IF(OR(B142="",C142=""),"",IFERROR(E142*IF(E142="",0,VLOOKUP(C142,'📦 Precios Proforma'!$B$5:$D$104,IF(D142="DIA",2,3),FALSE)),0))</f>
        <v>184.49999999999997</v>
      </c>
      <c r="J142" s="31">
        <f t="shared" si="15"/>
        <v>0</v>
      </c>
      <c r="K142" s="31">
        <f t="shared" si="16"/>
        <v>184.49999999999997</v>
      </c>
      <c r="L142" s="31">
        <f>IF(OR(B142="",C142=""),"",IFERROR(E142 / SUMIFS('📅 Resumen Diario'!$D$5:$D$504, '📅 Resumen Diario'!$B$5:$B$504, B142, '📅 Resumen Diario'!$C$5:$C$504, D142) * SUMIFS('📅 Resumen Diario'!$K$5:$K$504, '📅 Resumen Diario'!$B$5:$B$504, B142, '📅 Resumen Diario'!$C$5:$C$504, D142), 0))</f>
        <v>45.050438611776656</v>
      </c>
      <c r="M142" s="31">
        <f t="shared" si="17"/>
        <v>0</v>
      </c>
      <c r="N142" s="31">
        <f t="shared" si="18"/>
        <v>45.050438611776656</v>
      </c>
      <c r="O142" s="31">
        <f>IF(OR(B142="",C142=""),"",K142-N142 + IFERROR(E142 / SUMIFS('📅 Resumen Diario'!$D$5:$D$504, '📅 Resumen Diario'!$B$5:$B$504, B142, '📅 Resumen Diario'!$C$5:$C$504, D142) * (SUMIFS('📋 Detalle Diario'!$E$5:$E$489, '📋 Detalle Diario'!$B$5:$B$489, B142, '📋 Detalle Diario'!$C$5:$C$489, D142) * 135 + SUMIFS('📋 Detalle Diario'!$I$5:$I$489, '📋 Detalle Diario'!$B$5:$B$489, B142, '📋 Detalle Diario'!$C$5:$C$489, D142) * 200), 0))</f>
        <v>139.44956138822332</v>
      </c>
      <c r="P142" s="32">
        <f t="shared" si="19"/>
        <v>0.75582418096598014</v>
      </c>
      <c r="Q142" s="33" t="str">
        <f t="shared" si="20"/>
        <v>2026-05</v>
      </c>
    </row>
    <row r="143" spans="2:17" ht="18" customHeight="1" x14ac:dyDescent="0.3">
      <c r="B143" s="26" t="s">
        <v>93</v>
      </c>
      <c r="C143" s="28" t="s">
        <v>159</v>
      </c>
      <c r="D143" s="27" t="s">
        <v>72</v>
      </c>
      <c r="E143" s="29">
        <v>24</v>
      </c>
      <c r="F143" s="29">
        <v>0</v>
      </c>
      <c r="G143" s="29">
        <v>312</v>
      </c>
      <c r="H143" s="30">
        <f t="shared" si="14"/>
        <v>312</v>
      </c>
      <c r="I143" s="31">
        <f>IF(OR(B143="",C143=""),"",IFERROR(E143*IF(E143="",0,VLOOKUP(C143,'📦 Precios Proforma'!$B$5:$D$104,IF(D143="DIA",2,3),FALSE)),0))</f>
        <v>108.47999999999999</v>
      </c>
      <c r="J143" s="31">
        <f t="shared" si="15"/>
        <v>315.12</v>
      </c>
      <c r="K143" s="31">
        <f t="shared" si="16"/>
        <v>423.6</v>
      </c>
      <c r="L143" s="31">
        <f>IF(OR(B143="",C143=""),"",IFERROR(E143 / SUMIFS('📅 Resumen Diario'!$D$5:$D$504, '📅 Resumen Diario'!$B$5:$B$504, B143, '📅 Resumen Diario'!$C$5:$C$504, D143) * SUMIFS('📅 Resumen Diario'!$K$5:$K$504, '📅 Resumen Diario'!$B$5:$B$504, B143, '📅 Resumen Diario'!$C$5:$C$504, D143), 0))</f>
        <v>263.70988455674143</v>
      </c>
      <c r="M143" s="31">
        <f t="shared" si="17"/>
        <v>28.08</v>
      </c>
      <c r="N143" s="31">
        <f t="shared" si="18"/>
        <v>291.78988455674141</v>
      </c>
      <c r="O143" s="31">
        <f>IF(OR(B143="",C143=""),"",K143-N143 + IFERROR(E143 / SUMIFS('📅 Resumen Diario'!$D$5:$D$504, '📅 Resumen Diario'!$B$5:$B$504, B143, '📅 Resumen Diario'!$C$5:$C$504, D143) * (SUMIFS('📋 Detalle Diario'!$E$5:$E$489, '📋 Detalle Diario'!$B$5:$B$489, B143, '📋 Detalle Diario'!$C$5:$C$489, D143) * 135 + SUMIFS('📋 Detalle Diario'!$I$5:$I$489, '📋 Detalle Diario'!$B$5:$B$489, B143, '📋 Detalle Diario'!$C$5:$C$489, D143) * 200), 0))</f>
        <v>131.81011544325861</v>
      </c>
      <c r="P143" s="32">
        <f t="shared" si="19"/>
        <v>0.31116646705207412</v>
      </c>
      <c r="Q143" s="33" t="str">
        <f t="shared" si="20"/>
        <v>2026-05</v>
      </c>
    </row>
    <row r="144" spans="2:17" ht="18" customHeight="1" x14ac:dyDescent="0.3">
      <c r="B144" s="26" t="s">
        <v>93</v>
      </c>
      <c r="C144" s="17" t="s">
        <v>151</v>
      </c>
      <c r="D144" s="27" t="s">
        <v>72</v>
      </c>
      <c r="E144" s="18">
        <v>30</v>
      </c>
      <c r="F144" s="18">
        <v>0</v>
      </c>
      <c r="G144" s="18">
        <v>270</v>
      </c>
      <c r="H144" s="30">
        <f t="shared" si="14"/>
        <v>270</v>
      </c>
      <c r="I144" s="31">
        <f>IF(OR(B144="",C144=""),"",IFERROR(E144*IF(E144="",0,VLOOKUP(C144,'📦 Precios Proforma'!$B$5:$D$104,IF(D144="DIA",2,3),FALSE)),0))</f>
        <v>135.6</v>
      </c>
      <c r="J144" s="31">
        <f t="shared" si="15"/>
        <v>272.7</v>
      </c>
      <c r="K144" s="31">
        <f t="shared" si="16"/>
        <v>408.29999999999995</v>
      </c>
      <c r="L144" s="31">
        <f>IF(OR(B144="",C144=""),"",IFERROR(E144 / SUMIFS('📅 Resumen Diario'!$D$5:$D$504, '📅 Resumen Diario'!$B$5:$B$504, B144, '📅 Resumen Diario'!$C$5:$C$504, D144) * SUMIFS('📅 Resumen Diario'!$K$5:$K$504, '📅 Resumen Diario'!$B$5:$B$504, B144, '📅 Resumen Diario'!$C$5:$C$504, D144), 0))</f>
        <v>329.63735569592683</v>
      </c>
      <c r="M144" s="31">
        <f t="shared" si="17"/>
        <v>24.3</v>
      </c>
      <c r="N144" s="31">
        <f t="shared" si="18"/>
        <v>353.93735569592684</v>
      </c>
      <c r="O144" s="31">
        <f>IF(OR(B144="",C144=""),"",K144-N144 + IFERROR(E144 / SUMIFS('📅 Resumen Diario'!$D$5:$D$504, '📅 Resumen Diario'!$B$5:$B$504, B144, '📅 Resumen Diario'!$C$5:$C$504, D144) * (SUMIFS('📋 Detalle Diario'!$E$5:$E$489, '📋 Detalle Diario'!$B$5:$B$489, B144, '📋 Detalle Diario'!$C$5:$C$489, D144) * 135 + SUMIFS('📋 Detalle Diario'!$I$5:$I$489, '📋 Detalle Diario'!$B$5:$B$489, B144, '📋 Detalle Diario'!$C$5:$C$489, D144) * 200), 0))</f>
        <v>54.362644304073115</v>
      </c>
      <c r="P144" s="32">
        <f t="shared" si="19"/>
        <v>0.13314387534673799</v>
      </c>
      <c r="Q144" s="33" t="str">
        <f t="shared" si="20"/>
        <v>2026-05</v>
      </c>
    </row>
    <row r="145" spans="2:17" ht="18" customHeight="1" x14ac:dyDescent="0.3">
      <c r="B145" s="26" t="s">
        <v>93</v>
      </c>
      <c r="C145" s="28" t="s">
        <v>138</v>
      </c>
      <c r="D145" s="27" t="s">
        <v>72</v>
      </c>
      <c r="E145" s="29">
        <v>20</v>
      </c>
      <c r="F145" s="29">
        <v>0</v>
      </c>
      <c r="G145" s="29">
        <v>20</v>
      </c>
      <c r="H145" s="30">
        <f t="shared" si="14"/>
        <v>20</v>
      </c>
      <c r="I145" s="31">
        <f>IF(OR(B145="",C145=""),"",IFERROR(E145*IF(E145="",0,VLOOKUP(C145,'📦 Precios Proforma'!$B$5:$D$104,IF(D145="DIA",2,3),FALSE)),0))</f>
        <v>86.8</v>
      </c>
      <c r="J145" s="31">
        <f t="shared" si="15"/>
        <v>20.2</v>
      </c>
      <c r="K145" s="31">
        <f t="shared" si="16"/>
        <v>107</v>
      </c>
      <c r="L145" s="31">
        <f>IF(OR(B145="",C145=""),"",IFERROR(E145 / SUMIFS('📅 Resumen Diario'!$D$5:$D$504, '📅 Resumen Diario'!$B$5:$B$504, B145, '📅 Resumen Diario'!$C$5:$C$504, D145) * SUMIFS('📅 Resumen Diario'!$K$5:$K$504, '📅 Resumen Diario'!$B$5:$B$504, B145, '📅 Resumen Diario'!$C$5:$C$504, D145), 0))</f>
        <v>219.75823713061789</v>
      </c>
      <c r="M145" s="31">
        <f t="shared" si="17"/>
        <v>1.7999999999999998</v>
      </c>
      <c r="N145" s="31">
        <f t="shared" si="18"/>
        <v>221.5582371306179</v>
      </c>
      <c r="O145" s="31">
        <f>IF(OR(B145="",C145=""),"",K145-N145 + IFERROR(E145 / SUMIFS('📅 Resumen Diario'!$D$5:$D$504, '📅 Resumen Diario'!$B$5:$B$504, B145, '📅 Resumen Diario'!$C$5:$C$504, D145) * (SUMIFS('📋 Detalle Diario'!$E$5:$E$489, '📋 Detalle Diario'!$B$5:$B$489, B145, '📋 Detalle Diario'!$C$5:$C$489, D145) * 135 + SUMIFS('📋 Detalle Diario'!$I$5:$I$489, '📋 Detalle Diario'!$B$5:$B$489, B145, '📋 Detalle Diario'!$C$5:$C$489, D145) * 200), 0))</f>
        <v>-114.5582371306179</v>
      </c>
      <c r="P145" s="32">
        <f t="shared" si="19"/>
        <v>-1.0706377301926906</v>
      </c>
      <c r="Q145" s="33" t="str">
        <f t="shared" si="20"/>
        <v>2026-05</v>
      </c>
    </row>
    <row r="146" spans="2:17" ht="18" customHeight="1" x14ac:dyDescent="0.3">
      <c r="B146" s="26" t="s">
        <v>93</v>
      </c>
      <c r="C146" s="17" t="s">
        <v>153</v>
      </c>
      <c r="D146" s="27" t="s">
        <v>72</v>
      </c>
      <c r="E146" s="18">
        <v>28</v>
      </c>
      <c r="F146" s="18">
        <v>0</v>
      </c>
      <c r="G146" s="18">
        <v>28</v>
      </c>
      <c r="H146" s="30">
        <f t="shared" si="14"/>
        <v>28</v>
      </c>
      <c r="I146" s="31">
        <f>IF(OR(B146="",C146=""),"",IFERROR(E146*IF(E146="",0,VLOOKUP(C146,'📦 Precios Proforma'!$B$5:$D$104,IF(D146="DIA",2,3),FALSE)),0))</f>
        <v>121.52</v>
      </c>
      <c r="J146" s="31">
        <f t="shared" si="15"/>
        <v>28.28</v>
      </c>
      <c r="K146" s="31">
        <f t="shared" si="16"/>
        <v>149.80000000000001</v>
      </c>
      <c r="L146" s="31">
        <f>IF(OR(B146="",C146=""),"",IFERROR(E146 / SUMIFS('📅 Resumen Diario'!$D$5:$D$504, '📅 Resumen Diario'!$B$5:$B$504, B146, '📅 Resumen Diario'!$C$5:$C$504, D146) * SUMIFS('📅 Resumen Diario'!$K$5:$K$504, '📅 Resumen Diario'!$B$5:$B$504, B146, '📅 Resumen Diario'!$C$5:$C$504, D146), 0))</f>
        <v>307.66153198286503</v>
      </c>
      <c r="M146" s="31">
        <f t="shared" si="17"/>
        <v>2.52</v>
      </c>
      <c r="N146" s="31">
        <f t="shared" si="18"/>
        <v>310.18153198286501</v>
      </c>
      <c r="O146" s="31">
        <f>IF(OR(B146="",C146=""),"",K146-N146 + IFERROR(E146 / SUMIFS('📅 Resumen Diario'!$D$5:$D$504, '📅 Resumen Diario'!$B$5:$B$504, B146, '📅 Resumen Diario'!$C$5:$C$504, D146) * (SUMIFS('📋 Detalle Diario'!$E$5:$E$489, '📋 Detalle Diario'!$B$5:$B$489, B146, '📋 Detalle Diario'!$C$5:$C$489, D146) * 135 + SUMIFS('📋 Detalle Diario'!$I$5:$I$489, '📋 Detalle Diario'!$B$5:$B$489, B146, '📋 Detalle Diario'!$C$5:$C$489, D146) * 200), 0))</f>
        <v>-160.381531982865</v>
      </c>
      <c r="P146" s="32">
        <f t="shared" si="19"/>
        <v>-1.0706377301926902</v>
      </c>
      <c r="Q146" s="33" t="str">
        <f t="shared" si="20"/>
        <v>2026-05</v>
      </c>
    </row>
    <row r="147" spans="2:17" ht="18" customHeight="1" x14ac:dyDescent="0.3">
      <c r="B147" s="26" t="s">
        <v>93</v>
      </c>
      <c r="C147" s="28" t="s">
        <v>160</v>
      </c>
      <c r="D147" s="27" t="s">
        <v>72</v>
      </c>
      <c r="E147" s="29">
        <v>218</v>
      </c>
      <c r="F147" s="29">
        <v>0</v>
      </c>
      <c r="G147" s="29">
        <v>218</v>
      </c>
      <c r="H147" s="30">
        <f t="shared" si="14"/>
        <v>218</v>
      </c>
      <c r="I147" s="31">
        <f>IF(OR(B147="",C147=""),"",IFERROR(E147*IF(E147="",0,VLOOKUP(C147,'📦 Precios Proforma'!$B$5:$D$104,IF(D147="DIA",2,3),FALSE)),0))</f>
        <v>985.3599999999999</v>
      </c>
      <c r="J147" s="31">
        <f t="shared" si="15"/>
        <v>220.18</v>
      </c>
      <c r="K147" s="31">
        <f t="shared" si="16"/>
        <v>1205.54</v>
      </c>
      <c r="L147" s="31">
        <f>IF(OR(B147="",C147=""),"",IFERROR(E147 / SUMIFS('📅 Resumen Diario'!$D$5:$D$504, '📅 Resumen Diario'!$B$5:$B$504, B147, '📅 Resumen Diario'!$C$5:$C$504, D147) * SUMIFS('📅 Resumen Diario'!$K$5:$K$504, '📅 Resumen Diario'!$B$5:$B$504, B147, '📅 Resumen Diario'!$C$5:$C$504, D147), 0))</f>
        <v>2395.3647847237348</v>
      </c>
      <c r="M147" s="31">
        <f t="shared" si="17"/>
        <v>19.62</v>
      </c>
      <c r="N147" s="31">
        <f t="shared" si="18"/>
        <v>2414.9847847237347</v>
      </c>
      <c r="O147" s="31">
        <f>IF(OR(B147="",C147=""),"",K147-N147 + IFERROR(E147 / SUMIFS('📅 Resumen Diario'!$D$5:$D$504, '📅 Resumen Diario'!$B$5:$B$504, B147, '📅 Resumen Diario'!$C$5:$C$504, D147) * (SUMIFS('📋 Detalle Diario'!$E$5:$E$489, '📋 Detalle Diario'!$B$5:$B$489, B147, '📋 Detalle Diario'!$C$5:$C$489, D147) * 135 + SUMIFS('📋 Detalle Diario'!$I$5:$I$489, '📋 Detalle Diario'!$B$5:$B$489, B147, '📋 Detalle Diario'!$C$5:$C$489, D147) * 200), 0))</f>
        <v>-1209.4447847237348</v>
      </c>
      <c r="P147" s="32">
        <f t="shared" si="19"/>
        <v>-1.0032390337307222</v>
      </c>
      <c r="Q147" s="33" t="str">
        <f t="shared" si="20"/>
        <v>2026-05</v>
      </c>
    </row>
    <row r="148" spans="2:17" ht="18" customHeight="1" x14ac:dyDescent="0.3">
      <c r="B148" s="26" t="s">
        <v>93</v>
      </c>
      <c r="C148" s="17" t="s">
        <v>144</v>
      </c>
      <c r="D148" s="27" t="s">
        <v>72</v>
      </c>
      <c r="E148" s="18">
        <v>135</v>
      </c>
      <c r="F148" s="18">
        <v>135</v>
      </c>
      <c r="G148" s="18">
        <v>270</v>
      </c>
      <c r="H148" s="30">
        <f t="shared" si="14"/>
        <v>405</v>
      </c>
      <c r="I148" s="31">
        <f>IF(OR(B148="",C148=""),"",IFERROR(E148*IF(E148="",0,VLOOKUP(C148,'📦 Precios Proforma'!$B$5:$D$104,IF(D148="DIA",2,3),FALSE)),0))</f>
        <v>610.19999999999993</v>
      </c>
      <c r="J148" s="31">
        <f t="shared" si="15"/>
        <v>409.05</v>
      </c>
      <c r="K148" s="31">
        <f t="shared" si="16"/>
        <v>1019.25</v>
      </c>
      <c r="L148" s="31">
        <f>IF(OR(B148="",C148=""),"",IFERROR(E148 / SUMIFS('📅 Resumen Diario'!$D$5:$D$504, '📅 Resumen Diario'!$B$5:$B$504, B148, '📅 Resumen Diario'!$C$5:$C$504, D148) * SUMIFS('📅 Resumen Diario'!$K$5:$K$504, '📅 Resumen Diario'!$B$5:$B$504, B148, '📅 Resumen Diario'!$C$5:$C$504, D148), 0))</f>
        <v>1483.3681006316706</v>
      </c>
      <c r="M148" s="31">
        <f t="shared" si="17"/>
        <v>36.449999999999996</v>
      </c>
      <c r="N148" s="31">
        <f t="shared" si="18"/>
        <v>1519.8181006316706</v>
      </c>
      <c r="O148" s="31">
        <f>IF(OR(B148="",C148=""),"",K148-N148 + IFERROR(E148 / SUMIFS('📅 Resumen Diario'!$D$5:$D$504, '📅 Resumen Diario'!$B$5:$B$504, B148, '📅 Resumen Diario'!$C$5:$C$504, D148) * (SUMIFS('📋 Detalle Diario'!$E$5:$E$489, '📋 Detalle Diario'!$B$5:$B$489, B148, '📋 Detalle Diario'!$C$5:$C$489, D148) * 135 + SUMIFS('📋 Detalle Diario'!$I$5:$I$489, '📋 Detalle Diario'!$B$5:$B$489, B148, '📋 Detalle Diario'!$C$5:$C$489, D148) * 200), 0))</f>
        <v>-500.56810063167063</v>
      </c>
      <c r="P148" s="32">
        <f t="shared" si="19"/>
        <v>-0.4911141531828998</v>
      </c>
      <c r="Q148" s="33" t="str">
        <f t="shared" si="20"/>
        <v>2026-05</v>
      </c>
    </row>
    <row r="149" spans="2:17" ht="18" customHeight="1" x14ac:dyDescent="0.3">
      <c r="B149" s="26" t="s">
        <v>93</v>
      </c>
      <c r="C149" s="28" t="s">
        <v>150</v>
      </c>
      <c r="D149" s="27" t="s">
        <v>73</v>
      </c>
      <c r="E149" s="29">
        <v>60</v>
      </c>
      <c r="F149" s="29">
        <v>60</v>
      </c>
      <c r="G149" s="29">
        <v>240</v>
      </c>
      <c r="H149" s="30">
        <f t="shared" si="14"/>
        <v>300</v>
      </c>
      <c r="I149" s="31">
        <f>IF(OR(B149="",C149=""),"",IFERROR(E149*IF(E149="",0,VLOOKUP(C149,'📦 Precios Proforma'!$B$5:$D$104,IF(D149="DIA",2,3),FALSE)),0))</f>
        <v>361.8</v>
      </c>
      <c r="J149" s="31">
        <f t="shared" si="15"/>
        <v>405</v>
      </c>
      <c r="K149" s="31">
        <f t="shared" si="16"/>
        <v>766.8</v>
      </c>
      <c r="L149" s="31">
        <f>IF(OR(B149="",C149=""),"",IFERROR(E149 / SUMIFS('📅 Resumen Diario'!$D$5:$D$504, '📅 Resumen Diario'!$B$5:$B$504, B149, '📅 Resumen Diario'!$C$5:$C$504, D149) * SUMIFS('📅 Resumen Diario'!$K$5:$K$504, '📅 Resumen Diario'!$B$5:$B$504, B149, '📅 Resumen Diario'!$C$5:$C$504, D149), 0))</f>
        <v>591.04395209580844</v>
      </c>
      <c r="M149" s="31">
        <f t="shared" si="17"/>
        <v>27</v>
      </c>
      <c r="N149" s="31">
        <f t="shared" si="18"/>
        <v>618.04395209580844</v>
      </c>
      <c r="O149" s="31">
        <f>IF(OR(B149="",C149=""),"",K149-N149 + IFERROR(E149 / SUMIFS('📅 Resumen Diario'!$D$5:$D$504, '📅 Resumen Diario'!$B$5:$B$504, B149, '📅 Resumen Diario'!$C$5:$C$504, D149) * (SUMIFS('📋 Detalle Diario'!$E$5:$E$489, '📋 Detalle Diario'!$B$5:$B$489, B149, '📋 Detalle Diario'!$C$5:$C$489, D149) * 135 + SUMIFS('📋 Detalle Diario'!$I$5:$I$489, '📋 Detalle Diario'!$B$5:$B$489, B149, '📋 Detalle Diario'!$C$5:$C$489, D149) * 200), 0))</f>
        <v>148.75604790419152</v>
      </c>
      <c r="P149" s="32">
        <f t="shared" si="19"/>
        <v>0.19399588928559144</v>
      </c>
      <c r="Q149" s="33" t="str">
        <f t="shared" si="20"/>
        <v>2026-05</v>
      </c>
    </row>
    <row r="150" spans="2:17" ht="18" customHeight="1" x14ac:dyDescent="0.3">
      <c r="B150" s="26" t="s">
        <v>93</v>
      </c>
      <c r="C150" s="17" t="s">
        <v>139</v>
      </c>
      <c r="D150" s="27" t="s">
        <v>73</v>
      </c>
      <c r="E150" s="18">
        <v>100</v>
      </c>
      <c r="F150" s="18">
        <v>0</v>
      </c>
      <c r="G150" s="18">
        <v>0</v>
      </c>
      <c r="H150" s="30">
        <f t="shared" si="14"/>
        <v>0</v>
      </c>
      <c r="I150" s="31">
        <f>IF(OR(B150="",C150=""),"",IFERROR(E150*IF(E150="",0,VLOOKUP(C150,'📦 Precios Proforma'!$B$5:$D$104,IF(D150="DIA",2,3),FALSE)),0))</f>
        <v>6000</v>
      </c>
      <c r="J150" s="31">
        <f t="shared" si="15"/>
        <v>0</v>
      </c>
      <c r="K150" s="31">
        <f t="shared" si="16"/>
        <v>6000</v>
      </c>
      <c r="L150" s="31">
        <f>IF(OR(B150="",C150=""),"",IFERROR(E150 / SUMIFS('📅 Resumen Diario'!$D$5:$D$504, '📅 Resumen Diario'!$B$5:$B$504, B150, '📅 Resumen Diario'!$C$5:$C$504, D150) * SUMIFS('📅 Resumen Diario'!$K$5:$K$504, '📅 Resumen Diario'!$B$5:$B$504, B150, '📅 Resumen Diario'!$C$5:$C$504, D150), 0))</f>
        <v>985.07325349301414</v>
      </c>
      <c r="M150" s="31">
        <f t="shared" si="17"/>
        <v>0</v>
      </c>
      <c r="N150" s="31">
        <f t="shared" si="18"/>
        <v>985.07325349301414</v>
      </c>
      <c r="O150" s="31">
        <f>IF(OR(B150="",C150=""),"",K150-N150 + IFERROR(E150 / SUMIFS('📅 Resumen Diario'!$D$5:$D$504, '📅 Resumen Diario'!$B$5:$B$504, B150, '📅 Resumen Diario'!$C$5:$C$504, D150) * (SUMIFS('📋 Detalle Diario'!$E$5:$E$489, '📋 Detalle Diario'!$B$5:$B$489, B150, '📋 Detalle Diario'!$C$5:$C$489, D150) * 135 + SUMIFS('📋 Detalle Diario'!$I$5:$I$489, '📋 Detalle Diario'!$B$5:$B$489, B150, '📋 Detalle Diario'!$C$5:$C$489, D150) * 200), 0))</f>
        <v>5014.9267465069861</v>
      </c>
      <c r="P150" s="32">
        <f t="shared" si="19"/>
        <v>0.83582112441783096</v>
      </c>
      <c r="Q150" s="33" t="str">
        <f t="shared" si="20"/>
        <v>2026-05</v>
      </c>
    </row>
    <row r="151" spans="2:17" ht="18" customHeight="1" x14ac:dyDescent="0.3">
      <c r="B151" s="26" t="s">
        <v>93</v>
      </c>
      <c r="C151" s="28" t="s">
        <v>148</v>
      </c>
      <c r="D151" s="27" t="s">
        <v>73</v>
      </c>
      <c r="E151" s="29">
        <v>270</v>
      </c>
      <c r="F151" s="29">
        <v>270</v>
      </c>
      <c r="G151" s="29">
        <v>540</v>
      </c>
      <c r="H151" s="30">
        <f t="shared" si="14"/>
        <v>810</v>
      </c>
      <c r="I151" s="31">
        <f>IF(OR(B151="",C151=""),"",IFERROR(E151*IF(E151="",0,VLOOKUP(C151,'📦 Precios Proforma'!$B$5:$D$104,IF(D151="DIA",2,3),FALSE)),0))</f>
        <v>1628.1000000000001</v>
      </c>
      <c r="J151" s="31">
        <f t="shared" si="15"/>
        <v>1093.5</v>
      </c>
      <c r="K151" s="31">
        <f t="shared" si="16"/>
        <v>2721.6000000000004</v>
      </c>
      <c r="L151" s="31">
        <f>IF(OR(B151="",C151=""),"",IFERROR(E151 / SUMIFS('📅 Resumen Diario'!$D$5:$D$504, '📅 Resumen Diario'!$B$5:$B$504, B151, '📅 Resumen Diario'!$C$5:$C$504, D151) * SUMIFS('📅 Resumen Diario'!$K$5:$K$504, '📅 Resumen Diario'!$B$5:$B$504, B151, '📅 Resumen Diario'!$C$5:$C$504, D151), 0))</f>
        <v>2659.6977844311382</v>
      </c>
      <c r="M151" s="31">
        <f t="shared" si="17"/>
        <v>72.899999999999991</v>
      </c>
      <c r="N151" s="31">
        <f t="shared" si="18"/>
        <v>2732.5977844311383</v>
      </c>
      <c r="O151" s="31">
        <f>IF(OR(B151="",C151=""),"",K151-N151 + IFERROR(E151 / SUMIFS('📅 Resumen Diario'!$D$5:$D$504, '📅 Resumen Diario'!$B$5:$B$504, B151, '📅 Resumen Diario'!$C$5:$C$504, D151) * (SUMIFS('📋 Detalle Diario'!$E$5:$E$489, '📋 Detalle Diario'!$B$5:$B$489, B151, '📋 Detalle Diario'!$C$5:$C$489, D151) * 135 + SUMIFS('📋 Detalle Diario'!$I$5:$I$489, '📋 Detalle Diario'!$B$5:$B$489, B151, '📋 Detalle Diario'!$C$5:$C$489, D151) * 200), 0))</f>
        <v>-10.997784431137916</v>
      </c>
      <c r="P151" s="32">
        <f t="shared" si="19"/>
        <v>-4.0409260843393274E-3</v>
      </c>
      <c r="Q151" s="33" t="str">
        <f t="shared" si="20"/>
        <v>2026-05</v>
      </c>
    </row>
    <row r="152" spans="2:17" ht="18" customHeight="1" x14ac:dyDescent="0.3">
      <c r="B152" s="26" t="s">
        <v>93</v>
      </c>
      <c r="C152" s="17" t="s">
        <v>151</v>
      </c>
      <c r="D152" s="27" t="s">
        <v>73</v>
      </c>
      <c r="E152" s="18">
        <v>71</v>
      </c>
      <c r="F152" s="18">
        <v>0</v>
      </c>
      <c r="G152" s="18">
        <v>71</v>
      </c>
      <c r="H152" s="30">
        <f t="shared" si="14"/>
        <v>71</v>
      </c>
      <c r="I152" s="31">
        <f>IF(OR(B152="",C152=""),"",IFERROR(E152*IF(E152="",0,VLOOKUP(C152,'📦 Precios Proforma'!$B$5:$D$104,IF(D152="DIA",2,3),FALSE)),0))</f>
        <v>428.13</v>
      </c>
      <c r="J152" s="31">
        <f t="shared" si="15"/>
        <v>95.850000000000009</v>
      </c>
      <c r="K152" s="31">
        <f t="shared" si="16"/>
        <v>523.98</v>
      </c>
      <c r="L152" s="31">
        <f>IF(OR(B152="",C152=""),"",IFERROR(E152 / SUMIFS('📅 Resumen Diario'!$D$5:$D$504, '📅 Resumen Diario'!$B$5:$B$504, B152, '📅 Resumen Diario'!$C$5:$C$504, D152) * SUMIFS('📅 Resumen Diario'!$K$5:$K$504, '📅 Resumen Diario'!$B$5:$B$504, B152, '📅 Resumen Diario'!$C$5:$C$504, D152), 0))</f>
        <v>699.40200998004002</v>
      </c>
      <c r="M152" s="31">
        <f t="shared" si="17"/>
        <v>6.39</v>
      </c>
      <c r="N152" s="31">
        <f t="shared" si="18"/>
        <v>705.79200998004001</v>
      </c>
      <c r="O152" s="31">
        <f>IF(OR(B152="",C152=""),"",K152-N152 + IFERROR(E152 / SUMIFS('📅 Resumen Diario'!$D$5:$D$504, '📅 Resumen Diario'!$B$5:$B$504, B152, '📅 Resumen Diario'!$C$5:$C$504, D152) * (SUMIFS('📋 Detalle Diario'!$E$5:$E$489, '📋 Detalle Diario'!$B$5:$B$489, B152, '📋 Detalle Diario'!$C$5:$C$489, D152) * 135 + SUMIFS('📋 Detalle Diario'!$I$5:$I$489, '📋 Detalle Diario'!$B$5:$B$489, B152, '📋 Detalle Diario'!$C$5:$C$489, D152) * 200), 0))</f>
        <v>-181.81200998003999</v>
      </c>
      <c r="P152" s="32">
        <f t="shared" si="19"/>
        <v>-0.34698272831031718</v>
      </c>
      <c r="Q152" s="33" t="str">
        <f t="shared" si="20"/>
        <v>2026-05</v>
      </c>
    </row>
    <row r="153" spans="2:17" ht="18" customHeight="1" x14ac:dyDescent="0.3">
      <c r="B153" s="26" t="s">
        <v>94</v>
      </c>
      <c r="C153" s="28" t="s">
        <v>139</v>
      </c>
      <c r="D153" s="27" t="s">
        <v>72</v>
      </c>
      <c r="E153" s="29">
        <v>291</v>
      </c>
      <c r="F153" s="29">
        <v>0</v>
      </c>
      <c r="G153" s="29">
        <v>0</v>
      </c>
      <c r="H153" s="30">
        <f t="shared" si="14"/>
        <v>0</v>
      </c>
      <c r="I153" s="31">
        <f>IF(OR(B153="",C153=""),"",IFERROR(E153*IF(E153="",0,VLOOKUP(C153,'📦 Precios Proforma'!$B$5:$D$104,IF(D153="DIA",2,3),FALSE)),0))</f>
        <v>13095</v>
      </c>
      <c r="J153" s="31">
        <f t="shared" si="15"/>
        <v>0</v>
      </c>
      <c r="K153" s="31">
        <f t="shared" si="16"/>
        <v>13095</v>
      </c>
      <c r="L153" s="31">
        <f>IF(OR(B153="",C153=""),"",IFERROR(E153 / SUMIFS('📅 Resumen Diario'!$D$5:$D$504, '📅 Resumen Diario'!$B$5:$B$504, B153, '📅 Resumen Diario'!$C$5:$C$504, D153) * SUMIFS('📅 Resumen Diario'!$K$5:$K$504, '📅 Resumen Diario'!$B$5:$B$504, B153, '📅 Resumen Diario'!$C$5:$C$504, D153), 0))</f>
        <v>5044.5503333333336</v>
      </c>
      <c r="M153" s="31">
        <f t="shared" si="17"/>
        <v>0</v>
      </c>
      <c r="N153" s="31">
        <f t="shared" si="18"/>
        <v>5044.5503333333336</v>
      </c>
      <c r="O153" s="31">
        <f>IF(OR(B153="",C153=""),"",K153-N153 + IFERROR(E153 / SUMIFS('📅 Resumen Diario'!$D$5:$D$504, '📅 Resumen Diario'!$B$5:$B$504, B153, '📅 Resumen Diario'!$C$5:$C$504, D153) * (SUMIFS('📋 Detalle Diario'!$E$5:$E$489, '📋 Detalle Diario'!$B$5:$B$489, B153, '📋 Detalle Diario'!$C$5:$C$489, D153) * 135 + SUMIFS('📋 Detalle Diario'!$I$5:$I$489, '📋 Detalle Diario'!$B$5:$B$489, B153, '📋 Detalle Diario'!$C$5:$C$489, D153) * 200), 0))</f>
        <v>8050.4496666666664</v>
      </c>
      <c r="P153" s="32">
        <f t="shared" si="19"/>
        <v>0.61477278859615625</v>
      </c>
      <c r="Q153" s="33" t="str">
        <f t="shared" si="20"/>
        <v>2026-05</v>
      </c>
    </row>
    <row r="154" spans="2:17" ht="18" customHeight="1" x14ac:dyDescent="0.3">
      <c r="B154" s="26" t="s">
        <v>94</v>
      </c>
      <c r="C154" s="17" t="s">
        <v>150</v>
      </c>
      <c r="D154" s="27" t="s">
        <v>73</v>
      </c>
      <c r="E154" s="18">
        <v>202</v>
      </c>
      <c r="F154" s="18">
        <v>202</v>
      </c>
      <c r="G154" s="18">
        <v>808</v>
      </c>
      <c r="H154" s="30">
        <f t="shared" si="14"/>
        <v>1010</v>
      </c>
      <c r="I154" s="31">
        <f>IF(OR(B154="",C154=""),"",IFERROR(E154*IF(E154="",0,VLOOKUP(C154,'📦 Precios Proforma'!$B$5:$D$104,IF(D154="DIA",2,3),FALSE)),0))</f>
        <v>1218.06</v>
      </c>
      <c r="J154" s="31">
        <f t="shared" si="15"/>
        <v>1363.5</v>
      </c>
      <c r="K154" s="31">
        <f t="shared" si="16"/>
        <v>2581.56</v>
      </c>
      <c r="L154" s="31">
        <f>IF(OR(B154="",C154=""),"",IFERROR(E154 / SUMIFS('📅 Resumen Diario'!$D$5:$D$504, '📅 Resumen Diario'!$B$5:$B$504, B154, '📅 Resumen Diario'!$C$5:$C$504, D154) * SUMIFS('📅 Resumen Diario'!$K$5:$K$504, '📅 Resumen Diario'!$B$5:$B$504, B154, '📅 Resumen Diario'!$C$5:$C$504, D154), 0))</f>
        <v>4188.7135882352941</v>
      </c>
      <c r="M154" s="31">
        <f t="shared" si="17"/>
        <v>90.899999999999991</v>
      </c>
      <c r="N154" s="31">
        <f t="shared" si="18"/>
        <v>4279.6135882352937</v>
      </c>
      <c r="O154" s="31">
        <f>IF(OR(B154="",C154=""),"",K154-N154 + IFERROR(E154 / SUMIFS('📅 Resumen Diario'!$D$5:$D$504, '📅 Resumen Diario'!$B$5:$B$504, B154, '📅 Resumen Diario'!$C$5:$C$504, D154) * (SUMIFS('📋 Detalle Diario'!$E$5:$E$489, '📋 Detalle Diario'!$B$5:$B$489, B154, '📋 Detalle Diario'!$C$5:$C$489, D154) * 135 + SUMIFS('📋 Detalle Diario'!$I$5:$I$489, '📋 Detalle Diario'!$B$5:$B$489, B154, '📋 Detalle Diario'!$C$5:$C$489, D154) * 200), 0))</f>
        <v>-1698.0535882352938</v>
      </c>
      <c r="P154" s="32">
        <f t="shared" si="19"/>
        <v>-0.65776258860351644</v>
      </c>
      <c r="Q154" s="33" t="str">
        <f t="shared" si="20"/>
        <v>2026-05</v>
      </c>
    </row>
    <row r="155" spans="2:17" ht="18" customHeight="1" x14ac:dyDescent="0.3">
      <c r="B155" s="26" t="s">
        <v>94</v>
      </c>
      <c r="C155" s="28" t="s">
        <v>134</v>
      </c>
      <c r="D155" s="27" t="s">
        <v>73</v>
      </c>
      <c r="E155" s="29">
        <v>36</v>
      </c>
      <c r="F155" s="29">
        <v>0</v>
      </c>
      <c r="G155" s="29">
        <v>0</v>
      </c>
      <c r="H155" s="30">
        <f t="shared" si="14"/>
        <v>0</v>
      </c>
      <c r="I155" s="31">
        <f>IF(OR(B155="",C155=""),"",IFERROR(E155*IF(E155="",0,VLOOKUP(C155,'📦 Precios Proforma'!$B$5:$D$104,IF(D155="DIA",2,3),FALSE)),0))</f>
        <v>2160</v>
      </c>
      <c r="J155" s="31">
        <f t="shared" si="15"/>
        <v>0</v>
      </c>
      <c r="K155" s="31">
        <f t="shared" si="16"/>
        <v>2160</v>
      </c>
      <c r="L155" s="31">
        <f>IF(OR(B155="",C155=""),"",IFERROR(E155 / SUMIFS('📅 Resumen Diario'!$D$5:$D$504, '📅 Resumen Diario'!$B$5:$B$504, B155, '📅 Resumen Diario'!$C$5:$C$504, D155) * SUMIFS('📅 Resumen Diario'!$K$5:$K$504, '📅 Resumen Diario'!$B$5:$B$504, B155, '📅 Resumen Diario'!$C$5:$C$504, D155), 0))</f>
        <v>746.5034117647059</v>
      </c>
      <c r="M155" s="31">
        <f t="shared" si="17"/>
        <v>0</v>
      </c>
      <c r="N155" s="31">
        <f t="shared" si="18"/>
        <v>746.5034117647059</v>
      </c>
      <c r="O155" s="31">
        <f>IF(OR(B155="",C155=""),"",K155-N155 + IFERROR(E155 / SUMIFS('📅 Resumen Diario'!$D$5:$D$504, '📅 Resumen Diario'!$B$5:$B$504, B155, '📅 Resumen Diario'!$C$5:$C$504, D155) * (SUMIFS('📋 Detalle Diario'!$E$5:$E$489, '📋 Detalle Diario'!$B$5:$B$489, B155, '📋 Detalle Diario'!$C$5:$C$489, D155) * 135 + SUMIFS('📋 Detalle Diario'!$I$5:$I$489, '📋 Detalle Diario'!$B$5:$B$489, B155, '📋 Detalle Diario'!$C$5:$C$489, D155) * 200), 0))</f>
        <v>1413.496588235294</v>
      </c>
      <c r="P155" s="32">
        <f t="shared" si="19"/>
        <v>0.65439656862745088</v>
      </c>
      <c r="Q155" s="33" t="str">
        <f t="shared" si="20"/>
        <v>2026-05</v>
      </c>
    </row>
    <row r="156" spans="2:17" ht="18" customHeight="1" x14ac:dyDescent="0.3">
      <c r="B156" s="26" t="s">
        <v>95</v>
      </c>
      <c r="C156" s="17" t="s">
        <v>134</v>
      </c>
      <c r="D156" s="27" t="s">
        <v>72</v>
      </c>
      <c r="E156" s="18">
        <v>7.2</v>
      </c>
      <c r="F156" s="18">
        <v>0</v>
      </c>
      <c r="G156" s="18">
        <v>0</v>
      </c>
      <c r="H156" s="30">
        <f t="shared" si="14"/>
        <v>0</v>
      </c>
      <c r="I156" s="31">
        <f>IF(OR(B156="",C156=""),"",IFERROR(E156*IF(E156="",0,VLOOKUP(C156,'📦 Precios Proforma'!$B$5:$D$104,IF(D156="DIA",2,3),FALSE)),0))</f>
        <v>324</v>
      </c>
      <c r="J156" s="31">
        <f t="shared" si="15"/>
        <v>0</v>
      </c>
      <c r="K156" s="31">
        <f t="shared" si="16"/>
        <v>324</v>
      </c>
      <c r="L156" s="31">
        <f>IF(OR(B156="",C156=""),"",IFERROR(E156 / SUMIFS('📅 Resumen Diario'!$D$5:$D$504, '📅 Resumen Diario'!$B$5:$B$504, B156, '📅 Resumen Diario'!$C$5:$C$504, D156) * SUMIFS('📅 Resumen Diario'!$K$5:$K$504, '📅 Resumen Diario'!$B$5:$B$504, B156, '📅 Resumen Diario'!$C$5:$C$504, D156), 0))</f>
        <v>107.71281850533809</v>
      </c>
      <c r="M156" s="31">
        <f t="shared" si="17"/>
        <v>0</v>
      </c>
      <c r="N156" s="31">
        <f t="shared" si="18"/>
        <v>107.71281850533809</v>
      </c>
      <c r="O156" s="31">
        <f>IF(OR(B156="",C156=""),"",K156-N156 + IFERROR(E156 / SUMIFS('📅 Resumen Diario'!$D$5:$D$504, '📅 Resumen Diario'!$B$5:$B$504, B156, '📅 Resumen Diario'!$C$5:$C$504, D156) * (SUMIFS('📋 Detalle Diario'!$E$5:$E$489, '📋 Detalle Diario'!$B$5:$B$489, B156, '📋 Detalle Diario'!$C$5:$C$489, D156) * 135 + SUMIFS('📋 Detalle Diario'!$I$5:$I$489, '📋 Detalle Diario'!$B$5:$B$489, B156, '📋 Detalle Diario'!$C$5:$C$489, D156) * 200), 0))</f>
        <v>216.28718149466192</v>
      </c>
      <c r="P156" s="32">
        <f t="shared" si="19"/>
        <v>0.6675530293045121</v>
      </c>
      <c r="Q156" s="33" t="str">
        <f t="shared" si="20"/>
        <v>2026-05</v>
      </c>
    </row>
    <row r="157" spans="2:17" ht="18" customHeight="1" x14ac:dyDescent="0.3">
      <c r="B157" s="26" t="s">
        <v>95</v>
      </c>
      <c r="C157" s="28" t="s">
        <v>151</v>
      </c>
      <c r="D157" s="27" t="s">
        <v>72</v>
      </c>
      <c r="E157" s="29">
        <v>90</v>
      </c>
      <c r="F157" s="29">
        <v>0</v>
      </c>
      <c r="G157" s="29">
        <v>90</v>
      </c>
      <c r="H157" s="30">
        <f t="shared" si="14"/>
        <v>90</v>
      </c>
      <c r="I157" s="31">
        <f>IF(OR(B157="",C157=""),"",IFERROR(E157*IF(E157="",0,VLOOKUP(C157,'📦 Precios Proforma'!$B$5:$D$104,IF(D157="DIA",2,3),FALSE)),0))</f>
        <v>406.79999999999995</v>
      </c>
      <c r="J157" s="31">
        <f t="shared" si="15"/>
        <v>90.9</v>
      </c>
      <c r="K157" s="31">
        <f t="shared" si="16"/>
        <v>497.69999999999993</v>
      </c>
      <c r="L157" s="31">
        <f>IF(OR(B157="",C157=""),"",IFERROR(E157 / SUMIFS('📅 Resumen Diario'!$D$5:$D$504, '📅 Resumen Diario'!$B$5:$B$504, B157, '📅 Resumen Diario'!$C$5:$C$504, D157) * SUMIFS('📅 Resumen Diario'!$K$5:$K$504, '📅 Resumen Diario'!$B$5:$B$504, B157, '📅 Resumen Diario'!$C$5:$C$504, D157), 0))</f>
        <v>1346.4102313167261</v>
      </c>
      <c r="M157" s="31">
        <f t="shared" si="17"/>
        <v>8.1</v>
      </c>
      <c r="N157" s="31">
        <f t="shared" si="18"/>
        <v>1354.510231316726</v>
      </c>
      <c r="O157" s="31">
        <f>IF(OR(B157="",C157=""),"",K157-N157 + IFERROR(E157 / SUMIFS('📅 Resumen Diario'!$D$5:$D$504, '📅 Resumen Diario'!$B$5:$B$504, B157, '📅 Resumen Diario'!$C$5:$C$504, D157) * (SUMIFS('📋 Detalle Diario'!$E$5:$E$489, '📋 Detalle Diario'!$B$5:$B$489, B157, '📋 Detalle Diario'!$C$5:$C$489, D157) * 135 + SUMIFS('📋 Detalle Diario'!$I$5:$I$489, '📋 Detalle Diario'!$B$5:$B$489, B157, '📋 Detalle Diario'!$C$5:$C$489, D157) * 200), 0))</f>
        <v>-856.81023131672612</v>
      </c>
      <c r="P157" s="32">
        <f t="shared" si="19"/>
        <v>-1.7215395445383288</v>
      </c>
      <c r="Q157" s="33" t="str">
        <f t="shared" si="20"/>
        <v>2026-05</v>
      </c>
    </row>
    <row r="158" spans="2:17" ht="18" customHeight="1" x14ac:dyDescent="0.3">
      <c r="B158" s="26" t="s">
        <v>95</v>
      </c>
      <c r="C158" s="17" t="s">
        <v>137</v>
      </c>
      <c r="D158" s="27" t="s">
        <v>72</v>
      </c>
      <c r="E158" s="18">
        <v>120</v>
      </c>
      <c r="F158" s="18">
        <v>0</v>
      </c>
      <c r="G158" s="18">
        <v>1440</v>
      </c>
      <c r="H158" s="30">
        <f t="shared" si="14"/>
        <v>1440</v>
      </c>
      <c r="I158" s="31">
        <f>IF(OR(B158="",C158=""),"",IFERROR(E158*IF(E158="",0,VLOOKUP(C158,'📦 Precios Proforma'!$B$5:$D$104,IF(D158="DIA",2,3),FALSE)),0))</f>
        <v>667.19999999999993</v>
      </c>
      <c r="J158" s="31">
        <f t="shared" si="15"/>
        <v>1454.4</v>
      </c>
      <c r="K158" s="31">
        <f t="shared" si="16"/>
        <v>2121.6</v>
      </c>
      <c r="L158" s="31">
        <f>IF(OR(B158="",C158=""),"",IFERROR(E158 / SUMIFS('📅 Resumen Diario'!$D$5:$D$504, '📅 Resumen Diario'!$B$5:$B$504, B158, '📅 Resumen Diario'!$C$5:$C$504, D158) * SUMIFS('📅 Resumen Diario'!$K$5:$K$504, '📅 Resumen Diario'!$B$5:$B$504, B158, '📅 Resumen Diario'!$C$5:$C$504, D158), 0))</f>
        <v>1795.2136417556349</v>
      </c>
      <c r="M158" s="31">
        <f t="shared" si="17"/>
        <v>129.6</v>
      </c>
      <c r="N158" s="31">
        <f t="shared" si="18"/>
        <v>1924.8136417556348</v>
      </c>
      <c r="O158" s="31">
        <f>IF(OR(B158="",C158=""),"",K158-N158 + IFERROR(E158 / SUMIFS('📅 Resumen Diario'!$D$5:$D$504, '📅 Resumen Diario'!$B$5:$B$504, B158, '📅 Resumen Diario'!$C$5:$C$504, D158) * (SUMIFS('📋 Detalle Diario'!$E$5:$E$489, '📋 Detalle Diario'!$B$5:$B$489, B158, '📋 Detalle Diario'!$C$5:$C$489, D158) * 135 + SUMIFS('📋 Detalle Diario'!$I$5:$I$489, '📋 Detalle Diario'!$B$5:$B$489, B158, '📋 Detalle Diario'!$C$5:$C$489, D158) * 200), 0))</f>
        <v>196.78635824436515</v>
      </c>
      <c r="P158" s="32">
        <f t="shared" si="19"/>
        <v>9.2753751057864417E-2</v>
      </c>
      <c r="Q158" s="33" t="str">
        <f t="shared" si="20"/>
        <v>2026-05</v>
      </c>
    </row>
    <row r="159" spans="2:17" ht="18" customHeight="1" x14ac:dyDescent="0.3">
      <c r="B159" s="26" t="s">
        <v>95</v>
      </c>
      <c r="C159" s="28" t="s">
        <v>161</v>
      </c>
      <c r="D159" s="27" t="s">
        <v>72</v>
      </c>
      <c r="E159" s="29">
        <v>120</v>
      </c>
      <c r="F159" s="29">
        <v>0</v>
      </c>
      <c r="G159" s="29">
        <v>120</v>
      </c>
      <c r="H159" s="30">
        <f t="shared" si="14"/>
        <v>120</v>
      </c>
      <c r="I159" s="31">
        <f>IF(OR(B159="",C159=""),"",IFERROR(E159*IF(E159="",0,VLOOKUP(C159,'📦 Precios Proforma'!$B$5:$D$104,IF(D159="DIA",2,3),FALSE)),0))</f>
        <v>542.4</v>
      </c>
      <c r="J159" s="31">
        <f t="shared" si="15"/>
        <v>121.2</v>
      </c>
      <c r="K159" s="31">
        <f t="shared" si="16"/>
        <v>663.6</v>
      </c>
      <c r="L159" s="31">
        <f>IF(OR(B159="",C159=""),"",IFERROR(E159 / SUMIFS('📅 Resumen Diario'!$D$5:$D$504, '📅 Resumen Diario'!$B$5:$B$504, B159, '📅 Resumen Diario'!$C$5:$C$504, D159) * SUMIFS('📅 Resumen Diario'!$K$5:$K$504, '📅 Resumen Diario'!$B$5:$B$504, B159, '📅 Resumen Diario'!$C$5:$C$504, D159), 0))</f>
        <v>1795.2136417556349</v>
      </c>
      <c r="M159" s="31">
        <f t="shared" si="17"/>
        <v>10.799999999999999</v>
      </c>
      <c r="N159" s="31">
        <f t="shared" si="18"/>
        <v>1806.0136417556348</v>
      </c>
      <c r="O159" s="31">
        <f>IF(OR(B159="",C159=""),"",K159-N159 + IFERROR(E159 / SUMIFS('📅 Resumen Diario'!$D$5:$D$504, '📅 Resumen Diario'!$B$5:$B$504, B159, '📅 Resumen Diario'!$C$5:$C$504, D159) * (SUMIFS('📋 Detalle Diario'!$E$5:$E$489, '📋 Detalle Diario'!$B$5:$B$489, B159, '📋 Detalle Diario'!$C$5:$C$489, D159) * 135 + SUMIFS('📋 Detalle Diario'!$I$5:$I$489, '📋 Detalle Diario'!$B$5:$B$489, B159, '📋 Detalle Diario'!$C$5:$C$489, D159) * 200), 0))</f>
        <v>-1142.4136417556347</v>
      </c>
      <c r="P159" s="32">
        <f t="shared" si="19"/>
        <v>-1.7215395445383284</v>
      </c>
      <c r="Q159" s="33" t="str">
        <f t="shared" si="20"/>
        <v>2026-05</v>
      </c>
    </row>
    <row r="160" spans="2:17" ht="18" customHeight="1" x14ac:dyDescent="0.3">
      <c r="B160" s="26" t="s">
        <v>96</v>
      </c>
      <c r="C160" s="17" t="s">
        <v>161</v>
      </c>
      <c r="D160" s="27" t="s">
        <v>72</v>
      </c>
      <c r="E160" s="18">
        <v>120</v>
      </c>
      <c r="F160" s="18">
        <v>1440</v>
      </c>
      <c r="G160" s="18">
        <v>120</v>
      </c>
      <c r="H160" s="30">
        <f t="shared" si="14"/>
        <v>1560</v>
      </c>
      <c r="I160" s="31">
        <f>IF(OR(B160="",C160=""),"",IFERROR(E160*IF(E160="",0,VLOOKUP(C160,'📦 Precios Proforma'!$B$5:$D$104,IF(D160="DIA",2,3),FALSE)),0))</f>
        <v>542.4</v>
      </c>
      <c r="J160" s="31">
        <f t="shared" si="15"/>
        <v>1575.6</v>
      </c>
      <c r="K160" s="31">
        <f t="shared" si="16"/>
        <v>2118</v>
      </c>
      <c r="L160" s="31">
        <f>IF(OR(B160="",C160=""),"",IFERROR(E160 / SUMIFS('📅 Resumen Diario'!$D$5:$D$504, '📅 Resumen Diario'!$B$5:$B$504, B160, '📅 Resumen Diario'!$C$5:$C$504, D160) * SUMIFS('📅 Resumen Diario'!$K$5:$K$504, '📅 Resumen Diario'!$B$5:$B$504, B160, '📅 Resumen Diario'!$C$5:$C$504, D160), 0))</f>
        <v>2620.5456277056278</v>
      </c>
      <c r="M160" s="31">
        <f t="shared" si="17"/>
        <v>140.4</v>
      </c>
      <c r="N160" s="31">
        <f t="shared" si="18"/>
        <v>2760.9456277056279</v>
      </c>
      <c r="O160" s="31">
        <f>IF(OR(B160="",C160=""),"",K160-N160 + IFERROR(E160 / SUMIFS('📅 Resumen Diario'!$D$5:$D$504, '📅 Resumen Diario'!$B$5:$B$504, B160, '📅 Resumen Diario'!$C$5:$C$504, D160) * (SUMIFS('📋 Detalle Diario'!$E$5:$E$489, '📋 Detalle Diario'!$B$5:$B$489, B160, '📋 Detalle Diario'!$C$5:$C$489, D160) * 135 + SUMIFS('📋 Detalle Diario'!$I$5:$I$489, '📋 Detalle Diario'!$B$5:$B$489, B160, '📋 Detalle Diario'!$C$5:$C$489, D160) * 200), 0))</f>
        <v>-642.94562770562789</v>
      </c>
      <c r="P160" s="32">
        <f t="shared" si="19"/>
        <v>-0.30356261931332762</v>
      </c>
      <c r="Q160" s="33" t="str">
        <f t="shared" si="20"/>
        <v>2026-05</v>
      </c>
    </row>
    <row r="161" spans="2:17" ht="18" customHeight="1" x14ac:dyDescent="0.3">
      <c r="B161" s="26" t="s">
        <v>96</v>
      </c>
      <c r="C161" s="28" t="s">
        <v>148</v>
      </c>
      <c r="D161" s="27" t="s">
        <v>72</v>
      </c>
      <c r="E161" s="29">
        <v>27</v>
      </c>
      <c r="F161" s="29">
        <v>27</v>
      </c>
      <c r="G161" s="29">
        <v>54</v>
      </c>
      <c r="H161" s="30">
        <f t="shared" si="14"/>
        <v>81</v>
      </c>
      <c r="I161" s="31">
        <f>IF(OR(B161="",C161=""),"",IFERROR(E161*IF(E161="",0,VLOOKUP(C161,'📦 Precios Proforma'!$B$5:$D$104,IF(D161="DIA",2,3),FALSE)),0))</f>
        <v>122.03999999999999</v>
      </c>
      <c r="J161" s="31">
        <f t="shared" si="15"/>
        <v>81.81</v>
      </c>
      <c r="K161" s="31">
        <f t="shared" si="16"/>
        <v>203.85</v>
      </c>
      <c r="L161" s="31">
        <f>IF(OR(B161="",C161=""),"",IFERROR(E161 / SUMIFS('📅 Resumen Diario'!$D$5:$D$504, '📅 Resumen Diario'!$B$5:$B$504, B161, '📅 Resumen Diario'!$C$5:$C$504, D161) * SUMIFS('📅 Resumen Diario'!$K$5:$K$504, '📅 Resumen Diario'!$B$5:$B$504, B161, '📅 Resumen Diario'!$C$5:$C$504, D161), 0))</f>
        <v>589.62276623376624</v>
      </c>
      <c r="M161" s="31">
        <f t="shared" si="17"/>
        <v>7.29</v>
      </c>
      <c r="N161" s="31">
        <f t="shared" si="18"/>
        <v>596.91276623376621</v>
      </c>
      <c r="O161" s="31">
        <f>IF(OR(B161="",C161=""),"",K161-N161 + IFERROR(E161 / SUMIFS('📅 Resumen Diario'!$D$5:$D$504, '📅 Resumen Diario'!$B$5:$B$504, B161, '📅 Resumen Diario'!$C$5:$C$504, D161) * (SUMIFS('📋 Detalle Diario'!$E$5:$E$489, '📋 Detalle Diario'!$B$5:$B$489, B161, '📋 Detalle Diario'!$C$5:$C$489, D161) * 135 + SUMIFS('📋 Detalle Diario'!$I$5:$I$489, '📋 Detalle Diario'!$B$5:$B$489, B161, '📋 Detalle Diario'!$C$5:$C$489, D161) * 200), 0))</f>
        <v>-393.06276623376618</v>
      </c>
      <c r="P161" s="32">
        <f t="shared" si="19"/>
        <v>-1.928196057070229</v>
      </c>
      <c r="Q161" s="33" t="str">
        <f t="shared" si="20"/>
        <v>2026-05</v>
      </c>
    </row>
    <row r="162" spans="2:17" ht="18" customHeight="1" x14ac:dyDescent="0.3">
      <c r="B162" s="26" t="s">
        <v>96</v>
      </c>
      <c r="C162" s="17" t="s">
        <v>151</v>
      </c>
      <c r="D162" s="27" t="s">
        <v>72</v>
      </c>
      <c r="E162" s="18">
        <v>72</v>
      </c>
      <c r="F162" s="18">
        <v>0</v>
      </c>
      <c r="G162" s="18">
        <v>72</v>
      </c>
      <c r="H162" s="30">
        <f t="shared" si="14"/>
        <v>72</v>
      </c>
      <c r="I162" s="31">
        <f>IF(OR(B162="",C162=""),"",IFERROR(E162*IF(E162="",0,VLOOKUP(C162,'📦 Precios Proforma'!$B$5:$D$104,IF(D162="DIA",2,3),FALSE)),0))</f>
        <v>325.43999999999994</v>
      </c>
      <c r="J162" s="31">
        <f t="shared" si="15"/>
        <v>72.72</v>
      </c>
      <c r="K162" s="31">
        <f t="shared" si="16"/>
        <v>398.15999999999997</v>
      </c>
      <c r="L162" s="31">
        <f>IF(OR(B162="",C162=""),"",IFERROR(E162 / SUMIFS('📅 Resumen Diario'!$D$5:$D$504, '📅 Resumen Diario'!$B$5:$B$504, B162, '📅 Resumen Diario'!$C$5:$C$504, D162) * SUMIFS('📅 Resumen Diario'!$K$5:$K$504, '📅 Resumen Diario'!$B$5:$B$504, B162, '📅 Resumen Diario'!$C$5:$C$504, D162), 0))</f>
        <v>1572.3273766233767</v>
      </c>
      <c r="M162" s="31">
        <f t="shared" si="17"/>
        <v>6.4799999999999995</v>
      </c>
      <c r="N162" s="31">
        <f t="shared" si="18"/>
        <v>1578.8073766233767</v>
      </c>
      <c r="O162" s="31">
        <f>IF(OR(B162="",C162=""),"",K162-N162 + IFERROR(E162 / SUMIFS('📅 Resumen Diario'!$D$5:$D$504, '📅 Resumen Diario'!$B$5:$B$504, B162, '📅 Resumen Diario'!$C$5:$C$504, D162) * (SUMIFS('📋 Detalle Diario'!$E$5:$E$489, '📋 Detalle Diario'!$B$5:$B$489, B162, '📋 Detalle Diario'!$C$5:$C$489, D162) * 135 + SUMIFS('📋 Detalle Diario'!$I$5:$I$489, '📋 Detalle Diario'!$B$5:$B$489, B162, '📋 Detalle Diario'!$C$5:$C$489, D162) * 200), 0))</f>
        <v>-1180.6473766233767</v>
      </c>
      <c r="P162" s="32">
        <f t="shared" si="19"/>
        <v>-2.9652586312622482</v>
      </c>
      <c r="Q162" s="33" t="str">
        <f t="shared" si="20"/>
        <v>2026-05</v>
      </c>
    </row>
    <row r="163" spans="2:17" ht="18" customHeight="1" x14ac:dyDescent="0.3">
      <c r="B163" s="26" t="s">
        <v>96</v>
      </c>
      <c r="C163" s="28" t="s">
        <v>131</v>
      </c>
      <c r="D163" s="27" t="s">
        <v>72</v>
      </c>
      <c r="E163" s="29">
        <v>12</v>
      </c>
      <c r="F163" s="29">
        <v>0</v>
      </c>
      <c r="G163" s="29">
        <v>880</v>
      </c>
      <c r="H163" s="30">
        <f t="shared" si="14"/>
        <v>880</v>
      </c>
      <c r="I163" s="31">
        <f>IF(OR(B163="",C163=""),"",IFERROR(E163*IF(E163="",0,VLOOKUP(C163,'📦 Precios Proforma'!$B$5:$D$104,IF(D163="DIA",2,3),FALSE)),0))</f>
        <v>540</v>
      </c>
      <c r="J163" s="31">
        <f t="shared" si="15"/>
        <v>888.8</v>
      </c>
      <c r="K163" s="31">
        <f t="shared" si="16"/>
        <v>1428.8</v>
      </c>
      <c r="L163" s="31">
        <f>IF(OR(B163="",C163=""),"",IFERROR(E163 / SUMIFS('📅 Resumen Diario'!$D$5:$D$504, '📅 Resumen Diario'!$B$5:$B$504, B163, '📅 Resumen Diario'!$C$5:$C$504, D163) * SUMIFS('📅 Resumen Diario'!$K$5:$K$504, '📅 Resumen Diario'!$B$5:$B$504, B163, '📅 Resumen Diario'!$C$5:$C$504, D163), 0))</f>
        <v>262.05456277056282</v>
      </c>
      <c r="M163" s="31">
        <f t="shared" si="17"/>
        <v>79.2</v>
      </c>
      <c r="N163" s="31">
        <f t="shared" si="18"/>
        <v>341.25456277056281</v>
      </c>
      <c r="O163" s="31">
        <f>IF(OR(B163="",C163=""),"",K163-N163 + IFERROR(E163 / SUMIFS('📅 Resumen Diario'!$D$5:$D$504, '📅 Resumen Diario'!$B$5:$B$504, B163, '📅 Resumen Diario'!$C$5:$C$504, D163) * (SUMIFS('📋 Detalle Diario'!$E$5:$E$489, '📋 Detalle Diario'!$B$5:$B$489, B163, '📋 Detalle Diario'!$C$5:$C$489, D163) * 135 + SUMIFS('📋 Detalle Diario'!$I$5:$I$489, '📋 Detalle Diario'!$B$5:$B$489, B163, '📋 Detalle Diario'!$C$5:$C$489, D163) * 200), 0))</f>
        <v>1087.5454372294371</v>
      </c>
      <c r="P163" s="32">
        <f t="shared" si="19"/>
        <v>0.76116002045733278</v>
      </c>
      <c r="Q163" s="33" t="str">
        <f t="shared" si="20"/>
        <v>2026-05</v>
      </c>
    </row>
    <row r="164" spans="2:17" ht="18" customHeight="1" x14ac:dyDescent="0.3">
      <c r="B164" s="26" t="s">
        <v>96</v>
      </c>
      <c r="C164" s="17" t="s">
        <v>150</v>
      </c>
      <c r="D164" s="27" t="s">
        <v>73</v>
      </c>
      <c r="E164" s="18">
        <v>585</v>
      </c>
      <c r="F164" s="18">
        <v>585</v>
      </c>
      <c r="G164" s="18">
        <v>2340</v>
      </c>
      <c r="H164" s="30">
        <f t="shared" si="14"/>
        <v>2925</v>
      </c>
      <c r="I164" s="31">
        <f>IF(OR(B164="",C164=""),"",IFERROR(E164*IF(E164="",0,VLOOKUP(C164,'📦 Precios Proforma'!$B$5:$D$104,IF(D164="DIA",2,3),FALSE)),0))</f>
        <v>3527.55</v>
      </c>
      <c r="J164" s="31">
        <f t="shared" si="15"/>
        <v>3948.7500000000005</v>
      </c>
      <c r="K164" s="31">
        <f t="shared" si="16"/>
        <v>7476.3000000000011</v>
      </c>
      <c r="L164" s="31">
        <f>IF(OR(B164="",C164=""),"",IFERROR(E164 / SUMIFS('📅 Resumen Diario'!$D$5:$D$504, '📅 Resumen Diario'!$B$5:$B$504, B164, '📅 Resumen Diario'!$C$5:$C$504, D164) * SUMIFS('📅 Resumen Diario'!$K$5:$K$504, '📅 Resumen Diario'!$B$5:$B$504, B164, '📅 Resumen Diario'!$C$5:$C$504, D164), 0))</f>
        <v>2566.3128400000005</v>
      </c>
      <c r="M164" s="31">
        <f t="shared" si="17"/>
        <v>263.25</v>
      </c>
      <c r="N164" s="31">
        <f t="shared" si="18"/>
        <v>2829.5628400000005</v>
      </c>
      <c r="O164" s="31">
        <f>IF(OR(B164="",C164=""),"",K164-N164 + IFERROR(E164 / SUMIFS('📅 Resumen Diario'!$D$5:$D$504, '📅 Resumen Diario'!$B$5:$B$504, B164, '📅 Resumen Diario'!$C$5:$C$504, D164) * (SUMIFS('📋 Detalle Diario'!$E$5:$E$489, '📋 Detalle Diario'!$B$5:$B$489, B164, '📋 Detalle Diario'!$C$5:$C$489, D164) * 135 + SUMIFS('📋 Detalle Diario'!$I$5:$I$489, '📋 Detalle Diario'!$B$5:$B$489, B164, '📋 Detalle Diario'!$C$5:$C$489, D164) * 200), 0))</f>
        <v>4646.7371600000006</v>
      </c>
      <c r="P164" s="32">
        <f t="shared" si="19"/>
        <v>0.62152898626325859</v>
      </c>
      <c r="Q164" s="33" t="str">
        <f t="shared" si="20"/>
        <v>2026-05</v>
      </c>
    </row>
    <row r="165" spans="2:17" ht="18" customHeight="1" x14ac:dyDescent="0.3">
      <c r="B165" s="26" t="s">
        <v>96</v>
      </c>
      <c r="C165" s="28" t="s">
        <v>148</v>
      </c>
      <c r="D165" s="27" t="s">
        <v>73</v>
      </c>
      <c r="E165" s="29">
        <v>540</v>
      </c>
      <c r="F165" s="29">
        <v>540</v>
      </c>
      <c r="G165" s="29">
        <v>1080</v>
      </c>
      <c r="H165" s="30">
        <f t="shared" si="14"/>
        <v>1620</v>
      </c>
      <c r="I165" s="31">
        <f>IF(OR(B165="",C165=""),"",IFERROR(E165*IF(E165="",0,VLOOKUP(C165,'📦 Precios Proforma'!$B$5:$D$104,IF(D165="DIA",2,3),FALSE)),0))</f>
        <v>3256.2000000000003</v>
      </c>
      <c r="J165" s="31">
        <f t="shared" si="15"/>
        <v>2187</v>
      </c>
      <c r="K165" s="31">
        <f t="shared" si="16"/>
        <v>5443.2000000000007</v>
      </c>
      <c r="L165" s="31">
        <f>IF(OR(B165="",C165=""),"",IFERROR(E165 / SUMIFS('📅 Resumen Diario'!$D$5:$D$504, '📅 Resumen Diario'!$B$5:$B$504, B165, '📅 Resumen Diario'!$C$5:$C$504, D165) * SUMIFS('📅 Resumen Diario'!$K$5:$K$504, '📅 Resumen Diario'!$B$5:$B$504, B165, '📅 Resumen Diario'!$C$5:$C$504, D165), 0))</f>
        <v>2368.90416</v>
      </c>
      <c r="M165" s="31">
        <f t="shared" si="17"/>
        <v>145.79999999999998</v>
      </c>
      <c r="N165" s="31">
        <f t="shared" si="18"/>
        <v>2514.7041600000002</v>
      </c>
      <c r="O165" s="31">
        <f>IF(OR(B165="",C165=""),"",K165-N165 + IFERROR(E165 / SUMIFS('📅 Resumen Diario'!$D$5:$D$504, '📅 Resumen Diario'!$B$5:$B$504, B165, '📅 Resumen Diario'!$C$5:$C$504, D165) * (SUMIFS('📋 Detalle Diario'!$E$5:$E$489, '📋 Detalle Diario'!$B$5:$B$489, B165, '📋 Detalle Diario'!$C$5:$C$489, D165) * 135 + SUMIFS('📋 Detalle Diario'!$I$5:$I$489, '📋 Detalle Diario'!$B$5:$B$489, B165, '📋 Detalle Diario'!$C$5:$C$489, D165) * 200), 0))</f>
        <v>2928.4958400000005</v>
      </c>
      <c r="P165" s="32">
        <f t="shared" si="19"/>
        <v>0.53800996472663143</v>
      </c>
      <c r="Q165" s="33" t="str">
        <f t="shared" si="20"/>
        <v>2026-05</v>
      </c>
    </row>
    <row r="166" spans="2:17" ht="18" customHeight="1" x14ac:dyDescent="0.3">
      <c r="B166" s="26" t="s">
        <v>97</v>
      </c>
      <c r="C166" s="17" t="s">
        <v>134</v>
      </c>
      <c r="D166" s="27" t="s">
        <v>72</v>
      </c>
      <c r="E166" s="18">
        <v>9</v>
      </c>
      <c r="F166" s="18">
        <v>0</v>
      </c>
      <c r="G166" s="18">
        <v>0</v>
      </c>
      <c r="H166" s="30">
        <f t="shared" si="14"/>
        <v>0</v>
      </c>
      <c r="I166" s="31">
        <f>IF(OR(B166="",C166=""),"",IFERROR(E166*IF(E166="",0,VLOOKUP(C166,'📦 Precios Proforma'!$B$5:$D$104,IF(D166="DIA",2,3),FALSE)),0))</f>
        <v>405</v>
      </c>
      <c r="J166" s="31">
        <f t="shared" si="15"/>
        <v>0</v>
      </c>
      <c r="K166" s="31">
        <f t="shared" si="16"/>
        <v>405</v>
      </c>
      <c r="L166" s="31">
        <f>IF(OR(B166="",C166=""),"",IFERROR(E166 / SUMIFS('📅 Resumen Diario'!$D$5:$D$504, '📅 Resumen Diario'!$B$5:$B$504, B166, '📅 Resumen Diario'!$C$5:$C$504, D166) * SUMIFS('📅 Resumen Diario'!$K$5:$K$504, '📅 Resumen Diario'!$B$5:$B$504, B166, '📅 Resumen Diario'!$C$5:$C$504, D166), 0))</f>
        <v>44.995989098116951</v>
      </c>
      <c r="M166" s="31">
        <f t="shared" si="17"/>
        <v>0</v>
      </c>
      <c r="N166" s="31">
        <f t="shared" si="18"/>
        <v>44.995989098116951</v>
      </c>
      <c r="O166" s="31">
        <f>IF(OR(B166="",C166=""),"",K166-N166 + IFERROR(E166 / SUMIFS('📅 Resumen Diario'!$D$5:$D$504, '📅 Resumen Diario'!$B$5:$B$504, B166, '📅 Resumen Diario'!$C$5:$C$504, D166) * (SUMIFS('📋 Detalle Diario'!$E$5:$E$489, '📋 Detalle Diario'!$B$5:$B$489, B166, '📋 Detalle Diario'!$C$5:$C$489, D166) * 135 + SUMIFS('📋 Detalle Diario'!$I$5:$I$489, '📋 Detalle Diario'!$B$5:$B$489, B166, '📋 Detalle Diario'!$C$5:$C$489, D166) * 200), 0))</f>
        <v>360.00401090188302</v>
      </c>
      <c r="P166" s="32">
        <f t="shared" si="19"/>
        <v>0.88889879235032843</v>
      </c>
      <c r="Q166" s="33" t="str">
        <f t="shared" si="20"/>
        <v>2026-05</v>
      </c>
    </row>
    <row r="167" spans="2:17" ht="18" customHeight="1" x14ac:dyDescent="0.3">
      <c r="B167" s="26" t="s">
        <v>97</v>
      </c>
      <c r="C167" s="28" t="s">
        <v>156</v>
      </c>
      <c r="D167" s="27" t="s">
        <v>72</v>
      </c>
      <c r="E167" s="29">
        <v>640</v>
      </c>
      <c r="F167" s="29">
        <v>0</v>
      </c>
      <c r="G167" s="29">
        <v>640</v>
      </c>
      <c r="H167" s="30">
        <f t="shared" si="14"/>
        <v>640</v>
      </c>
      <c r="I167" s="31">
        <f>IF(OR(B167="",C167=""),"",IFERROR(E167*IF(E167="",0,VLOOKUP(C167,'📦 Precios Proforma'!$B$5:$D$104,IF(D167="DIA",2,3),FALSE)),0))</f>
        <v>3961.6000000000004</v>
      </c>
      <c r="J167" s="31">
        <f t="shared" si="15"/>
        <v>646.4</v>
      </c>
      <c r="K167" s="31">
        <f t="shared" si="16"/>
        <v>4608</v>
      </c>
      <c r="L167" s="31">
        <f>IF(OR(B167="",C167=""),"",IFERROR(E167 / SUMIFS('📅 Resumen Diario'!$D$5:$D$504, '📅 Resumen Diario'!$B$5:$B$504, B167, '📅 Resumen Diario'!$C$5:$C$504, D167) * SUMIFS('📅 Resumen Diario'!$K$5:$K$504, '📅 Resumen Diario'!$B$5:$B$504, B167, '📅 Resumen Diario'!$C$5:$C$504, D167), 0))</f>
        <v>3199.7147803105386</v>
      </c>
      <c r="M167" s="31">
        <f t="shared" si="17"/>
        <v>57.599999999999994</v>
      </c>
      <c r="N167" s="31">
        <f t="shared" si="18"/>
        <v>3257.3147803105385</v>
      </c>
      <c r="O167" s="31">
        <f>IF(OR(B167="",C167=""),"",K167-N167 + IFERROR(E167 / SUMIFS('📅 Resumen Diario'!$D$5:$D$504, '📅 Resumen Diario'!$B$5:$B$504, B167, '📅 Resumen Diario'!$C$5:$C$504, D167) * (SUMIFS('📋 Detalle Diario'!$E$5:$E$489, '📋 Detalle Diario'!$B$5:$B$489, B167, '📋 Detalle Diario'!$C$5:$C$489, D167) * 135 + SUMIFS('📋 Detalle Diario'!$I$5:$I$489, '📋 Detalle Diario'!$B$5:$B$489, B167, '📋 Detalle Diario'!$C$5:$C$489, D167) * 200), 0))</f>
        <v>1350.6852196894615</v>
      </c>
      <c r="P167" s="32">
        <f t="shared" si="19"/>
        <v>0.29311745218955326</v>
      </c>
      <c r="Q167" s="33" t="str">
        <f t="shared" si="20"/>
        <v>2026-05</v>
      </c>
    </row>
    <row r="168" spans="2:17" ht="18" customHeight="1" x14ac:dyDescent="0.3">
      <c r="B168" s="26" t="s">
        <v>97</v>
      </c>
      <c r="C168" s="17" t="s">
        <v>162</v>
      </c>
      <c r="D168" s="27" t="s">
        <v>72</v>
      </c>
      <c r="E168" s="18">
        <v>360</v>
      </c>
      <c r="F168" s="18">
        <v>360</v>
      </c>
      <c r="G168" s="18">
        <v>1080</v>
      </c>
      <c r="H168" s="30">
        <f t="shared" si="14"/>
        <v>1440</v>
      </c>
      <c r="I168" s="31">
        <f>IF(OR(B168="",C168=""),"",IFERROR(E168*IF(E168="",0,VLOOKUP(C168,'📦 Precios Proforma'!$B$5:$D$104,IF(D168="DIA",2,3),FALSE)),0))</f>
        <v>1627.1999999999998</v>
      </c>
      <c r="J168" s="31">
        <f t="shared" si="15"/>
        <v>1454.4</v>
      </c>
      <c r="K168" s="31">
        <f t="shared" si="16"/>
        <v>3081.6</v>
      </c>
      <c r="L168" s="31">
        <f>IF(OR(B168="",C168=""),"",IFERROR(E168 / SUMIFS('📅 Resumen Diario'!$D$5:$D$504, '📅 Resumen Diario'!$B$5:$B$504, B168, '📅 Resumen Diario'!$C$5:$C$504, D168) * SUMIFS('📅 Resumen Diario'!$K$5:$K$504, '📅 Resumen Diario'!$B$5:$B$504, B168, '📅 Resumen Diario'!$C$5:$C$504, D168), 0))</f>
        <v>1799.839563924678</v>
      </c>
      <c r="M168" s="31">
        <f t="shared" si="17"/>
        <v>129.6</v>
      </c>
      <c r="N168" s="31">
        <f t="shared" si="18"/>
        <v>1929.4395639246779</v>
      </c>
      <c r="O168" s="31">
        <f>IF(OR(B168="",C168=""),"",K168-N168 + IFERROR(E168 / SUMIFS('📅 Resumen Diario'!$D$5:$D$504, '📅 Resumen Diario'!$B$5:$B$504, B168, '📅 Resumen Diario'!$C$5:$C$504, D168) * (SUMIFS('📋 Detalle Diario'!$E$5:$E$489, '📋 Detalle Diario'!$B$5:$B$489, B168, '📋 Detalle Diario'!$C$5:$C$489, D168) * 135 + SUMIFS('📋 Detalle Diario'!$I$5:$I$489, '📋 Detalle Diario'!$B$5:$B$489, B168, '📋 Detalle Diario'!$C$5:$C$489, D168) * 200), 0))</f>
        <v>1152.160436075322</v>
      </c>
      <c r="P168" s="32">
        <f t="shared" si="19"/>
        <v>0.37388383829027844</v>
      </c>
      <c r="Q168" s="33" t="str">
        <f t="shared" si="20"/>
        <v>2026-05</v>
      </c>
    </row>
    <row r="169" spans="2:17" ht="18" customHeight="1" x14ac:dyDescent="0.3">
      <c r="B169" s="26" t="s">
        <v>97</v>
      </c>
      <c r="C169" s="28" t="s">
        <v>150</v>
      </c>
      <c r="D169" s="27" t="s">
        <v>73</v>
      </c>
      <c r="E169" s="29">
        <v>250</v>
      </c>
      <c r="F169" s="29">
        <v>250</v>
      </c>
      <c r="G169" s="29">
        <v>1000</v>
      </c>
      <c r="H169" s="30">
        <f t="shared" si="14"/>
        <v>1250</v>
      </c>
      <c r="I169" s="31">
        <f>IF(OR(B169="",C169=""),"",IFERROR(E169*IF(E169="",0,VLOOKUP(C169,'📦 Precios Proforma'!$B$5:$D$104,IF(D169="DIA",2,3),FALSE)),0))</f>
        <v>1507.5</v>
      </c>
      <c r="J169" s="31">
        <f t="shared" si="15"/>
        <v>1687.5</v>
      </c>
      <c r="K169" s="31">
        <f t="shared" si="16"/>
        <v>3195</v>
      </c>
      <c r="L169" s="31">
        <f>IF(OR(B169="",C169=""),"",IFERROR(E169 / SUMIFS('📅 Resumen Diario'!$D$5:$D$504, '📅 Resumen Diario'!$B$5:$B$504, B169, '📅 Resumen Diario'!$C$5:$C$504, D169) * SUMIFS('📅 Resumen Diario'!$K$5:$K$504, '📅 Resumen Diario'!$B$5:$B$504, B169, '📅 Resumen Diario'!$C$5:$C$504, D169), 0))</f>
        <v>2869.3122093023262</v>
      </c>
      <c r="M169" s="31">
        <f t="shared" si="17"/>
        <v>112.5</v>
      </c>
      <c r="N169" s="31">
        <f t="shared" si="18"/>
        <v>2981.8122093023262</v>
      </c>
      <c r="O169" s="31">
        <f>IF(OR(B169="",C169=""),"",K169-N169 + IFERROR(E169 / SUMIFS('📅 Resumen Diario'!$D$5:$D$504, '📅 Resumen Diario'!$B$5:$B$504, B169, '📅 Resumen Diario'!$C$5:$C$504, D169) * (SUMIFS('📋 Detalle Diario'!$E$5:$E$489, '📋 Detalle Diario'!$B$5:$B$489, B169, '📋 Detalle Diario'!$C$5:$C$489, D169) * 135 + SUMIFS('📋 Detalle Diario'!$I$5:$I$489, '📋 Detalle Diario'!$B$5:$B$489, B169, '📋 Detalle Diario'!$C$5:$C$489, D169) * 200), 0))</f>
        <v>213.18779069767379</v>
      </c>
      <c r="P169" s="32">
        <f t="shared" si="19"/>
        <v>6.6725443097863477E-2</v>
      </c>
      <c r="Q169" s="33" t="str">
        <f t="shared" si="20"/>
        <v>2026-05</v>
      </c>
    </row>
    <row r="170" spans="2:17" ht="18" customHeight="1" x14ac:dyDescent="0.3">
      <c r="B170" s="26" t="s">
        <v>97</v>
      </c>
      <c r="C170" s="17" t="s">
        <v>151</v>
      </c>
      <c r="D170" s="27" t="s">
        <v>73</v>
      </c>
      <c r="E170" s="18">
        <v>140</v>
      </c>
      <c r="F170" s="18">
        <v>0</v>
      </c>
      <c r="G170" s="18">
        <v>140</v>
      </c>
      <c r="H170" s="30">
        <f t="shared" si="14"/>
        <v>140</v>
      </c>
      <c r="I170" s="31">
        <f>IF(OR(B170="",C170=""),"",IFERROR(E170*IF(E170="",0,VLOOKUP(C170,'📦 Precios Proforma'!$B$5:$D$104,IF(D170="DIA",2,3),FALSE)),0))</f>
        <v>844.2</v>
      </c>
      <c r="J170" s="31">
        <f t="shared" si="15"/>
        <v>189</v>
      </c>
      <c r="K170" s="31">
        <f t="shared" si="16"/>
        <v>1033.2</v>
      </c>
      <c r="L170" s="31">
        <f>IF(OR(B170="",C170=""),"",IFERROR(E170 / SUMIFS('📅 Resumen Diario'!$D$5:$D$504, '📅 Resumen Diario'!$B$5:$B$504, B170, '📅 Resumen Diario'!$C$5:$C$504, D170) * SUMIFS('📅 Resumen Diario'!$K$5:$K$504, '📅 Resumen Diario'!$B$5:$B$504, B170, '📅 Resumen Diario'!$C$5:$C$504, D170), 0))</f>
        <v>1606.8148372093026</v>
      </c>
      <c r="M170" s="31">
        <f t="shared" si="17"/>
        <v>12.6</v>
      </c>
      <c r="N170" s="31">
        <f t="shared" si="18"/>
        <v>1619.4148372093025</v>
      </c>
      <c r="O170" s="31">
        <f>IF(OR(B170="",C170=""),"",K170-N170 + IFERROR(E170 / SUMIFS('📅 Resumen Diario'!$D$5:$D$504, '📅 Resumen Diario'!$B$5:$B$504, B170, '📅 Resumen Diario'!$C$5:$C$504, D170) * (SUMIFS('📋 Detalle Diario'!$E$5:$E$489, '📋 Detalle Diario'!$B$5:$B$489, B170, '📋 Detalle Diario'!$C$5:$C$489, D170) * 135 + SUMIFS('📋 Detalle Diario'!$I$5:$I$489, '📋 Detalle Diario'!$B$5:$B$489, B170, '📋 Detalle Diario'!$C$5:$C$489, D170) * 200), 0))</f>
        <v>-586.21483720930246</v>
      </c>
      <c r="P170" s="32">
        <f t="shared" si="19"/>
        <v>-0.56737789122077276</v>
      </c>
      <c r="Q170" s="33" t="str">
        <f t="shared" si="20"/>
        <v>2026-05</v>
      </c>
    </row>
    <row r="171" spans="2:17" ht="18" customHeight="1" x14ac:dyDescent="0.3">
      <c r="B171" s="26" t="s">
        <v>97</v>
      </c>
      <c r="C171" s="28" t="s">
        <v>138</v>
      </c>
      <c r="D171" s="27" t="s">
        <v>73</v>
      </c>
      <c r="E171" s="29">
        <v>40</v>
      </c>
      <c r="F171" s="29">
        <v>0</v>
      </c>
      <c r="G171" s="29">
        <v>40</v>
      </c>
      <c r="H171" s="30">
        <f t="shared" si="14"/>
        <v>40</v>
      </c>
      <c r="I171" s="31">
        <f>IF(OR(B171="",C171=""),"",IFERROR(E171*IF(E171="",0,VLOOKUP(C171,'📦 Precios Proforma'!$B$5:$D$104,IF(D171="DIA",2,3),FALSE)),0))</f>
        <v>231.6</v>
      </c>
      <c r="J171" s="31">
        <f t="shared" si="15"/>
        <v>54</v>
      </c>
      <c r="K171" s="31">
        <f t="shared" si="16"/>
        <v>285.60000000000002</v>
      </c>
      <c r="L171" s="31">
        <f>IF(OR(B171="",C171=""),"",IFERROR(E171 / SUMIFS('📅 Resumen Diario'!$D$5:$D$504, '📅 Resumen Diario'!$B$5:$B$504, B171, '📅 Resumen Diario'!$C$5:$C$504, D171) * SUMIFS('📅 Resumen Diario'!$K$5:$K$504, '📅 Resumen Diario'!$B$5:$B$504, B171, '📅 Resumen Diario'!$C$5:$C$504, D171), 0))</f>
        <v>459.08995348837215</v>
      </c>
      <c r="M171" s="31">
        <f t="shared" si="17"/>
        <v>3.5999999999999996</v>
      </c>
      <c r="N171" s="31">
        <f t="shared" si="18"/>
        <v>462.68995348837217</v>
      </c>
      <c r="O171" s="31">
        <f>IF(OR(B171="",C171=""),"",K171-N171 + IFERROR(E171 / SUMIFS('📅 Resumen Diario'!$D$5:$D$504, '📅 Resumen Diario'!$B$5:$B$504, B171, '📅 Resumen Diario'!$C$5:$C$504, D171) * (SUMIFS('📋 Detalle Diario'!$E$5:$E$489, '📋 Detalle Diario'!$B$5:$B$489, B171, '📋 Detalle Diario'!$C$5:$C$489, D171) * 135 + SUMIFS('📋 Detalle Diario'!$I$5:$I$489, '📋 Detalle Diario'!$B$5:$B$489, B171, '📋 Detalle Diario'!$C$5:$C$489, D171) * 200), 0))</f>
        <v>-177.08995348837215</v>
      </c>
      <c r="P171" s="32">
        <f t="shared" si="19"/>
        <v>-0.62006286235424413</v>
      </c>
      <c r="Q171" s="33" t="str">
        <f t="shared" si="20"/>
        <v>2026-05</v>
      </c>
    </row>
    <row r="172" spans="2:17" ht="18" customHeight="1" x14ac:dyDescent="0.3">
      <c r="B172" s="26" t="s">
        <v>98</v>
      </c>
      <c r="C172" s="17" t="s">
        <v>150</v>
      </c>
      <c r="D172" s="27" t="s">
        <v>72</v>
      </c>
      <c r="E172" s="18">
        <v>240</v>
      </c>
      <c r="F172" s="18">
        <v>240</v>
      </c>
      <c r="G172" s="18">
        <v>960</v>
      </c>
      <c r="H172" s="30">
        <f t="shared" si="14"/>
        <v>1200</v>
      </c>
      <c r="I172" s="31">
        <f>IF(OR(B172="",C172=""),"",IFERROR(E172*IF(E172="",0,VLOOKUP(C172,'📦 Precios Proforma'!$B$5:$D$104,IF(D172="DIA",2,3),FALSE)),0))</f>
        <v>1084.8</v>
      </c>
      <c r="J172" s="31">
        <f t="shared" si="15"/>
        <v>1212</v>
      </c>
      <c r="K172" s="31">
        <f t="shared" si="16"/>
        <v>2296.8000000000002</v>
      </c>
      <c r="L172" s="31">
        <f>IF(OR(B172="",C172=""),"",IFERROR(E172 / SUMIFS('📅 Resumen Diario'!$D$5:$D$504, '📅 Resumen Diario'!$B$5:$B$504, B172, '📅 Resumen Diario'!$C$5:$C$504, D172) * SUMIFS('📅 Resumen Diario'!$K$5:$K$504, '📅 Resumen Diario'!$B$5:$B$504, B172, '📅 Resumen Diario'!$C$5:$C$504, D172), 0))</f>
        <v>4551.4739849624057</v>
      </c>
      <c r="M172" s="31">
        <f t="shared" si="17"/>
        <v>108</v>
      </c>
      <c r="N172" s="31">
        <f t="shared" si="18"/>
        <v>4659.4739849624057</v>
      </c>
      <c r="O172" s="31">
        <f>IF(OR(B172="",C172=""),"",K172-N172 + IFERROR(E172 / SUMIFS('📅 Resumen Diario'!$D$5:$D$504, '📅 Resumen Diario'!$B$5:$B$504, B172, '📅 Resumen Diario'!$C$5:$C$504, D172) * (SUMIFS('📋 Detalle Diario'!$E$5:$E$489, '📋 Detalle Diario'!$B$5:$B$489, B172, '📋 Detalle Diario'!$C$5:$C$489, D172) * 135 + SUMIFS('📋 Detalle Diario'!$I$5:$I$489, '📋 Detalle Diario'!$B$5:$B$489, B172, '📋 Detalle Diario'!$C$5:$C$489, D172) * 200), 0))</f>
        <v>-2362.6739849624055</v>
      </c>
      <c r="P172" s="32">
        <f t="shared" si="19"/>
        <v>-1.028680766702545</v>
      </c>
      <c r="Q172" s="33" t="str">
        <f t="shared" si="20"/>
        <v>2026-05</v>
      </c>
    </row>
    <row r="173" spans="2:17" ht="18" customHeight="1" x14ac:dyDescent="0.3">
      <c r="B173" s="26" t="s">
        <v>98</v>
      </c>
      <c r="C173" s="28" t="s">
        <v>134</v>
      </c>
      <c r="D173" s="27" t="s">
        <v>72</v>
      </c>
      <c r="E173" s="29">
        <v>26</v>
      </c>
      <c r="F173" s="29">
        <v>0</v>
      </c>
      <c r="G173" s="29">
        <v>0</v>
      </c>
      <c r="H173" s="30">
        <f t="shared" si="14"/>
        <v>0</v>
      </c>
      <c r="I173" s="31">
        <f>IF(OR(B173="",C173=""),"",IFERROR(E173*IF(E173="",0,VLOOKUP(C173,'📦 Precios Proforma'!$B$5:$D$104,IF(D173="DIA",2,3),FALSE)),0))</f>
        <v>1170</v>
      </c>
      <c r="J173" s="31">
        <f t="shared" si="15"/>
        <v>0</v>
      </c>
      <c r="K173" s="31">
        <f t="shared" si="16"/>
        <v>1170</v>
      </c>
      <c r="L173" s="31">
        <f>IF(OR(B173="",C173=""),"",IFERROR(E173 / SUMIFS('📅 Resumen Diario'!$D$5:$D$504, '📅 Resumen Diario'!$B$5:$B$504, B173, '📅 Resumen Diario'!$C$5:$C$504, D173) * SUMIFS('📅 Resumen Diario'!$K$5:$K$504, '📅 Resumen Diario'!$B$5:$B$504, B173, '📅 Resumen Diario'!$C$5:$C$504, D173), 0))</f>
        <v>493.07634837092729</v>
      </c>
      <c r="M173" s="31">
        <f t="shared" si="17"/>
        <v>0</v>
      </c>
      <c r="N173" s="31">
        <f t="shared" si="18"/>
        <v>493.07634837092729</v>
      </c>
      <c r="O173" s="31">
        <f>IF(OR(B173="",C173=""),"",K173-N173 + IFERROR(E173 / SUMIFS('📅 Resumen Diario'!$D$5:$D$504, '📅 Resumen Diario'!$B$5:$B$504, B173, '📅 Resumen Diario'!$C$5:$C$504, D173) * (SUMIFS('📋 Detalle Diario'!$E$5:$E$489, '📋 Detalle Diario'!$B$5:$B$489, B173, '📋 Detalle Diario'!$C$5:$C$489, D173) * 135 + SUMIFS('📋 Detalle Diario'!$I$5:$I$489, '📋 Detalle Diario'!$B$5:$B$489, B173, '📋 Detalle Diario'!$C$5:$C$489, D173) * 200), 0))</f>
        <v>676.92365162907276</v>
      </c>
      <c r="P173" s="32">
        <f t="shared" si="19"/>
        <v>0.57856722361459212</v>
      </c>
      <c r="Q173" s="33" t="str">
        <f t="shared" si="20"/>
        <v>2026-05</v>
      </c>
    </row>
    <row r="174" spans="2:17" ht="18" customHeight="1" x14ac:dyDescent="0.3">
      <c r="B174" s="26" t="s">
        <v>98</v>
      </c>
      <c r="C174" s="17" t="s">
        <v>138</v>
      </c>
      <c r="D174" s="27" t="s">
        <v>73</v>
      </c>
      <c r="E174" s="18">
        <v>40</v>
      </c>
      <c r="F174" s="18">
        <v>0</v>
      </c>
      <c r="G174" s="18">
        <v>40</v>
      </c>
      <c r="H174" s="30">
        <f t="shared" si="14"/>
        <v>40</v>
      </c>
      <c r="I174" s="31">
        <f>IF(OR(B174="",C174=""),"",IFERROR(E174*IF(E174="",0,VLOOKUP(C174,'📦 Precios Proforma'!$B$5:$D$104,IF(D174="DIA",2,3),FALSE)),0))</f>
        <v>231.6</v>
      </c>
      <c r="J174" s="31">
        <f t="shared" si="15"/>
        <v>54</v>
      </c>
      <c r="K174" s="31">
        <f t="shared" si="16"/>
        <v>285.60000000000002</v>
      </c>
      <c r="L174" s="31">
        <f>IF(OR(B174="",C174=""),"",IFERROR(E174 / SUMIFS('📅 Resumen Diario'!$D$5:$D$504, '📅 Resumen Diario'!$B$5:$B$504, B174, '📅 Resumen Diario'!$C$5:$C$504, D174) * SUMIFS('📅 Resumen Diario'!$K$5:$K$504, '📅 Resumen Diario'!$B$5:$B$504, B174, '📅 Resumen Diario'!$C$5:$C$504, D174), 0))</f>
        <v>394.81736000000006</v>
      </c>
      <c r="M174" s="31">
        <f t="shared" si="17"/>
        <v>3.5999999999999996</v>
      </c>
      <c r="N174" s="31">
        <f t="shared" si="18"/>
        <v>398.41736000000009</v>
      </c>
      <c r="O174" s="31">
        <f>IF(OR(B174="",C174=""),"",K174-N174 + IFERROR(E174 / SUMIFS('📅 Resumen Diario'!$D$5:$D$504, '📅 Resumen Diario'!$B$5:$B$504, B174, '📅 Resumen Diario'!$C$5:$C$504, D174) * (SUMIFS('📋 Detalle Diario'!$E$5:$E$489, '📋 Detalle Diario'!$B$5:$B$489, B174, '📋 Detalle Diario'!$C$5:$C$489, D174) * 135 + SUMIFS('📋 Detalle Diario'!$I$5:$I$489, '📋 Detalle Diario'!$B$5:$B$489, B174, '📋 Detalle Diario'!$C$5:$C$489, D174) * 200), 0))</f>
        <v>-112.81736000000006</v>
      </c>
      <c r="P174" s="32">
        <f t="shared" si="19"/>
        <v>-0.39501876750700299</v>
      </c>
      <c r="Q174" s="33" t="str">
        <f t="shared" si="20"/>
        <v>2026-05</v>
      </c>
    </row>
    <row r="175" spans="2:17" ht="18" customHeight="1" x14ac:dyDescent="0.3">
      <c r="B175" s="26" t="s">
        <v>98</v>
      </c>
      <c r="C175" s="28" t="s">
        <v>151</v>
      </c>
      <c r="D175" s="27" t="s">
        <v>73</v>
      </c>
      <c r="E175" s="29">
        <v>240</v>
      </c>
      <c r="F175" s="29">
        <v>0</v>
      </c>
      <c r="G175" s="29">
        <v>0</v>
      </c>
      <c r="H175" s="30">
        <f t="shared" si="14"/>
        <v>0</v>
      </c>
      <c r="I175" s="31">
        <f>IF(OR(B175="",C175=""),"",IFERROR(E175*IF(E175="",0,VLOOKUP(C175,'📦 Precios Proforma'!$B$5:$D$104,IF(D175="DIA",2,3),FALSE)),0))</f>
        <v>1447.2</v>
      </c>
      <c r="J175" s="31">
        <f t="shared" si="15"/>
        <v>0</v>
      </c>
      <c r="K175" s="31">
        <f t="shared" si="16"/>
        <v>1447.2</v>
      </c>
      <c r="L175" s="31">
        <f>IF(OR(B175="",C175=""),"",IFERROR(E175 / SUMIFS('📅 Resumen Diario'!$D$5:$D$504, '📅 Resumen Diario'!$B$5:$B$504, B175, '📅 Resumen Diario'!$C$5:$C$504, D175) * SUMIFS('📅 Resumen Diario'!$K$5:$K$504, '📅 Resumen Diario'!$B$5:$B$504, B175, '📅 Resumen Diario'!$C$5:$C$504, D175), 0))</f>
        <v>2368.90416</v>
      </c>
      <c r="M175" s="31">
        <f t="shared" si="17"/>
        <v>0</v>
      </c>
      <c r="N175" s="31">
        <f t="shared" si="18"/>
        <v>2368.90416</v>
      </c>
      <c r="O175" s="31">
        <f>IF(OR(B175="",C175=""),"",K175-N175 + IFERROR(E175 / SUMIFS('📅 Resumen Diario'!$D$5:$D$504, '📅 Resumen Diario'!$B$5:$B$504, B175, '📅 Resumen Diario'!$C$5:$C$504, D175) * (SUMIFS('📋 Detalle Diario'!$E$5:$E$489, '📋 Detalle Diario'!$B$5:$B$489, B175, '📋 Detalle Diario'!$C$5:$C$489, D175) * 135 + SUMIFS('📋 Detalle Diario'!$I$5:$I$489, '📋 Detalle Diario'!$B$5:$B$489, B175, '📋 Detalle Diario'!$C$5:$C$489, D175) * 200), 0))</f>
        <v>-921.70416</v>
      </c>
      <c r="P175" s="32">
        <f t="shared" si="19"/>
        <v>-0.63688789386401323</v>
      </c>
      <c r="Q175" s="33" t="str">
        <f t="shared" si="20"/>
        <v>2026-05</v>
      </c>
    </row>
    <row r="176" spans="2:17" ht="18" customHeight="1" x14ac:dyDescent="0.3">
      <c r="B176" s="26" t="s">
        <v>98</v>
      </c>
      <c r="C176" s="17" t="s">
        <v>150</v>
      </c>
      <c r="D176" s="27" t="s">
        <v>73</v>
      </c>
      <c r="E176" s="18">
        <v>40</v>
      </c>
      <c r="F176" s="18">
        <v>40</v>
      </c>
      <c r="G176" s="18">
        <v>160</v>
      </c>
      <c r="H176" s="30">
        <f t="shared" si="14"/>
        <v>200</v>
      </c>
      <c r="I176" s="31">
        <f>IF(OR(B176="",C176=""),"",IFERROR(E176*IF(E176="",0,VLOOKUP(C176,'📦 Precios Proforma'!$B$5:$D$104,IF(D176="DIA",2,3),FALSE)),0))</f>
        <v>241.20000000000002</v>
      </c>
      <c r="J176" s="31">
        <f t="shared" si="15"/>
        <v>270</v>
      </c>
      <c r="K176" s="31">
        <f t="shared" si="16"/>
        <v>511.20000000000005</v>
      </c>
      <c r="L176" s="31">
        <f>IF(OR(B176="",C176=""),"",IFERROR(E176 / SUMIFS('📅 Resumen Diario'!$D$5:$D$504, '📅 Resumen Diario'!$B$5:$B$504, B176, '📅 Resumen Diario'!$C$5:$C$504, D176) * SUMIFS('📅 Resumen Diario'!$K$5:$K$504, '📅 Resumen Diario'!$B$5:$B$504, B176, '📅 Resumen Diario'!$C$5:$C$504, D176), 0))</f>
        <v>394.81736000000006</v>
      </c>
      <c r="M176" s="31">
        <f t="shared" si="17"/>
        <v>18</v>
      </c>
      <c r="N176" s="31">
        <f t="shared" si="18"/>
        <v>412.81736000000006</v>
      </c>
      <c r="O176" s="31">
        <f>IF(OR(B176="",C176=""),"",K176-N176 + IFERROR(E176 / SUMIFS('📅 Resumen Diario'!$D$5:$D$504, '📅 Resumen Diario'!$B$5:$B$504, B176, '📅 Resumen Diario'!$C$5:$C$504, D176) * (SUMIFS('📋 Detalle Diario'!$E$5:$E$489, '📋 Detalle Diario'!$B$5:$B$489, B176, '📋 Detalle Diario'!$C$5:$C$489, D176) * 135 + SUMIFS('📋 Detalle Diario'!$I$5:$I$489, '📋 Detalle Diario'!$B$5:$B$489, B176, '📋 Detalle Diario'!$C$5:$C$489, D176) * 200), 0))</f>
        <v>98.382639999999981</v>
      </c>
      <c r="P176" s="32">
        <f t="shared" si="19"/>
        <v>0.19245430359937396</v>
      </c>
      <c r="Q176" s="33" t="str">
        <f t="shared" si="20"/>
        <v>2026-05</v>
      </c>
    </row>
    <row r="177" spans="2:17" ht="18" customHeight="1" x14ac:dyDescent="0.3">
      <c r="B177" s="26" t="s">
        <v>98</v>
      </c>
      <c r="C177" s="28" t="s">
        <v>160</v>
      </c>
      <c r="D177" s="27" t="s">
        <v>73</v>
      </c>
      <c r="E177" s="29">
        <v>60</v>
      </c>
      <c r="F177" s="29">
        <v>60</v>
      </c>
      <c r="G177" s="29">
        <v>180</v>
      </c>
      <c r="H177" s="30">
        <f t="shared" si="14"/>
        <v>240</v>
      </c>
      <c r="I177" s="31">
        <f>IF(OR(B177="",C177=""),"",IFERROR(E177*IF(E177="",0,VLOOKUP(C177,'📦 Precios Proforma'!$B$5:$D$104,IF(D177="DIA",2,3),FALSE)),0))</f>
        <v>361.8</v>
      </c>
      <c r="J177" s="31">
        <f t="shared" si="15"/>
        <v>324</v>
      </c>
      <c r="K177" s="31">
        <f t="shared" si="16"/>
        <v>685.8</v>
      </c>
      <c r="L177" s="31">
        <f>IF(OR(B177="",C177=""),"",IFERROR(E177 / SUMIFS('📅 Resumen Diario'!$D$5:$D$504, '📅 Resumen Diario'!$B$5:$B$504, B177, '📅 Resumen Diario'!$C$5:$C$504, D177) * SUMIFS('📅 Resumen Diario'!$K$5:$K$504, '📅 Resumen Diario'!$B$5:$B$504, B177, '📅 Resumen Diario'!$C$5:$C$504, D177), 0))</f>
        <v>592.22604000000001</v>
      </c>
      <c r="M177" s="31">
        <f t="shared" si="17"/>
        <v>21.599999999999998</v>
      </c>
      <c r="N177" s="31">
        <f t="shared" si="18"/>
        <v>613.82604000000003</v>
      </c>
      <c r="O177" s="31">
        <f>IF(OR(B177="",C177=""),"",K177-N177 + IFERROR(E177 / SUMIFS('📅 Resumen Diario'!$D$5:$D$504, '📅 Resumen Diario'!$B$5:$B$504, B177, '📅 Resumen Diario'!$C$5:$C$504, D177) * (SUMIFS('📋 Detalle Diario'!$E$5:$E$489, '📋 Detalle Diario'!$B$5:$B$489, B177, '📋 Detalle Diario'!$C$5:$C$489, D177) * 135 + SUMIFS('📋 Detalle Diario'!$I$5:$I$489, '📋 Detalle Diario'!$B$5:$B$489, B177, '📋 Detalle Diario'!$C$5:$C$489, D177) * 200), 0))</f>
        <v>71.97395999999992</v>
      </c>
      <c r="P177" s="32">
        <f t="shared" si="19"/>
        <v>0.10494890638670155</v>
      </c>
      <c r="Q177" s="33" t="str">
        <f t="shared" si="20"/>
        <v>2026-05</v>
      </c>
    </row>
    <row r="178" spans="2:17" ht="18" customHeight="1" x14ac:dyDescent="0.3">
      <c r="B178" s="26" t="s">
        <v>98</v>
      </c>
      <c r="C178" s="17" t="s">
        <v>163</v>
      </c>
      <c r="D178" s="27" t="s">
        <v>73</v>
      </c>
      <c r="E178" s="18">
        <v>120</v>
      </c>
      <c r="F178" s="18">
        <v>0</v>
      </c>
      <c r="G178" s="18">
        <v>1440</v>
      </c>
      <c r="H178" s="30">
        <f t="shared" si="14"/>
        <v>1440</v>
      </c>
      <c r="I178" s="31">
        <f>IF(OR(B178="",C178=""),"",IFERROR(E178*IF(E178="",0,VLOOKUP(C178,'📦 Precios Proforma'!$B$5:$D$104,IF(D178="DIA",2,3),FALSE)),0))</f>
        <v>889.2</v>
      </c>
      <c r="J178" s="31">
        <f t="shared" si="15"/>
        <v>1944.0000000000002</v>
      </c>
      <c r="K178" s="31">
        <f t="shared" si="16"/>
        <v>2833.2000000000003</v>
      </c>
      <c r="L178" s="31">
        <f>IF(OR(B178="",C178=""),"",IFERROR(E178 / SUMIFS('📅 Resumen Diario'!$D$5:$D$504, '📅 Resumen Diario'!$B$5:$B$504, B178, '📅 Resumen Diario'!$C$5:$C$504, D178) * SUMIFS('📅 Resumen Diario'!$K$5:$K$504, '📅 Resumen Diario'!$B$5:$B$504, B178, '📅 Resumen Diario'!$C$5:$C$504, D178), 0))</f>
        <v>1184.45208</v>
      </c>
      <c r="M178" s="31">
        <f t="shared" si="17"/>
        <v>129.6</v>
      </c>
      <c r="N178" s="31">
        <f t="shared" si="18"/>
        <v>1314.0520799999999</v>
      </c>
      <c r="O178" s="31">
        <f>IF(OR(B178="",C178=""),"",K178-N178 + IFERROR(E178 / SUMIFS('📅 Resumen Diario'!$D$5:$D$504, '📅 Resumen Diario'!$B$5:$B$504, B178, '📅 Resumen Diario'!$C$5:$C$504, D178) * (SUMIFS('📋 Detalle Diario'!$E$5:$E$489, '📋 Detalle Diario'!$B$5:$B$489, B178, '📋 Detalle Diario'!$C$5:$C$489, D178) * 135 + SUMIFS('📋 Detalle Diario'!$I$5:$I$489, '📋 Detalle Diario'!$B$5:$B$489, B178, '📋 Detalle Diario'!$C$5:$C$489, D178) * 200), 0))</f>
        <v>1519.1479200000003</v>
      </c>
      <c r="P178" s="32">
        <f t="shared" si="19"/>
        <v>0.53619508682761552</v>
      </c>
      <c r="Q178" s="33" t="str">
        <f t="shared" si="20"/>
        <v>2026-05</v>
      </c>
    </row>
    <row r="179" spans="2:17" ht="18" customHeight="1" x14ac:dyDescent="0.3">
      <c r="B179" s="26" t="s">
        <v>99</v>
      </c>
      <c r="C179" s="28" t="s">
        <v>148</v>
      </c>
      <c r="D179" s="27" t="s">
        <v>72</v>
      </c>
      <c r="E179" s="29">
        <v>135</v>
      </c>
      <c r="F179" s="29">
        <v>135</v>
      </c>
      <c r="G179" s="29">
        <v>270</v>
      </c>
      <c r="H179" s="30">
        <f t="shared" si="14"/>
        <v>405</v>
      </c>
      <c r="I179" s="31">
        <f>IF(OR(B179="",C179=""),"",IFERROR(E179*IF(E179="",0,VLOOKUP(C179,'📦 Precios Proforma'!$B$5:$D$104,IF(D179="DIA",2,3),FALSE)),0))</f>
        <v>610.19999999999993</v>
      </c>
      <c r="J179" s="31">
        <f t="shared" si="15"/>
        <v>409.05</v>
      </c>
      <c r="K179" s="31">
        <f t="shared" si="16"/>
        <v>1019.25</v>
      </c>
      <c r="L179" s="31">
        <f>IF(OR(B179="",C179=""),"",IFERROR(E179 / SUMIFS('📅 Resumen Diario'!$D$5:$D$504, '📅 Resumen Diario'!$B$5:$B$504, B179, '📅 Resumen Diario'!$C$5:$C$504, D179) * SUMIFS('📅 Resumen Diario'!$K$5:$K$504, '📅 Resumen Diario'!$B$5:$B$504, B179, '📅 Resumen Diario'!$C$5:$C$504, D179), 0))</f>
        <v>2935.4064439655172</v>
      </c>
      <c r="M179" s="31">
        <f t="shared" si="17"/>
        <v>36.449999999999996</v>
      </c>
      <c r="N179" s="31">
        <f t="shared" si="18"/>
        <v>2971.856443965517</v>
      </c>
      <c r="O179" s="31">
        <f>IF(OR(B179="",C179=""),"",K179-N179 + IFERROR(E179 / SUMIFS('📅 Resumen Diario'!$D$5:$D$504, '📅 Resumen Diario'!$B$5:$B$504, B179, '📅 Resumen Diario'!$C$5:$C$504, D179) * (SUMIFS('📋 Detalle Diario'!$E$5:$E$489, '📋 Detalle Diario'!$B$5:$B$489, B179, '📋 Detalle Diario'!$C$5:$C$489, D179) * 135 + SUMIFS('📋 Detalle Diario'!$I$5:$I$489, '📋 Detalle Diario'!$B$5:$B$489, B179, '📋 Detalle Diario'!$C$5:$C$489, D179) * 200), 0))</f>
        <v>-1952.606443965517</v>
      </c>
      <c r="P179" s="32">
        <f t="shared" si="19"/>
        <v>-1.9157286671233917</v>
      </c>
      <c r="Q179" s="33" t="str">
        <f t="shared" si="20"/>
        <v>2026-05</v>
      </c>
    </row>
    <row r="180" spans="2:17" ht="18" customHeight="1" x14ac:dyDescent="0.3">
      <c r="B180" s="26" t="s">
        <v>99</v>
      </c>
      <c r="C180" s="17" t="s">
        <v>151</v>
      </c>
      <c r="D180" s="27" t="s">
        <v>72</v>
      </c>
      <c r="E180" s="18">
        <v>30</v>
      </c>
      <c r="F180" s="18">
        <v>0</v>
      </c>
      <c r="G180" s="18">
        <v>270</v>
      </c>
      <c r="H180" s="30">
        <f t="shared" si="14"/>
        <v>270</v>
      </c>
      <c r="I180" s="31">
        <f>IF(OR(B180="",C180=""),"",IFERROR(E180*IF(E180="",0,VLOOKUP(C180,'📦 Precios Proforma'!$B$5:$D$104,IF(D180="DIA",2,3),FALSE)),0))</f>
        <v>135.6</v>
      </c>
      <c r="J180" s="31">
        <f t="shared" si="15"/>
        <v>272.7</v>
      </c>
      <c r="K180" s="31">
        <f t="shared" si="16"/>
        <v>408.29999999999995</v>
      </c>
      <c r="L180" s="31">
        <f>IF(OR(B180="",C180=""),"",IFERROR(E180 / SUMIFS('📅 Resumen Diario'!$D$5:$D$504, '📅 Resumen Diario'!$B$5:$B$504, B180, '📅 Resumen Diario'!$C$5:$C$504, D180) * SUMIFS('📅 Resumen Diario'!$K$5:$K$504, '📅 Resumen Diario'!$B$5:$B$504, B180, '📅 Resumen Diario'!$C$5:$C$504, D180), 0))</f>
        <v>652.31254310344832</v>
      </c>
      <c r="M180" s="31">
        <f t="shared" si="17"/>
        <v>24.3</v>
      </c>
      <c r="N180" s="31">
        <f t="shared" si="18"/>
        <v>676.61254310344827</v>
      </c>
      <c r="O180" s="31">
        <f>IF(OR(B180="",C180=""),"",K180-N180 + IFERROR(E180 / SUMIFS('📅 Resumen Diario'!$D$5:$D$504, '📅 Resumen Diario'!$B$5:$B$504, B180, '📅 Resumen Diario'!$C$5:$C$504, D180) * (SUMIFS('📋 Detalle Diario'!$E$5:$E$489, '📋 Detalle Diario'!$B$5:$B$489, B180, '📋 Detalle Diario'!$C$5:$C$489, D180) * 135 + SUMIFS('📋 Detalle Diario'!$I$5:$I$489, '📋 Detalle Diario'!$B$5:$B$489, B180, '📋 Detalle Diario'!$C$5:$C$489, D180) * 200), 0))</f>
        <v>-268.31254310344832</v>
      </c>
      <c r="P180" s="32">
        <f t="shared" si="19"/>
        <v>-0.65714558683185975</v>
      </c>
      <c r="Q180" s="33" t="str">
        <f t="shared" si="20"/>
        <v>2026-05</v>
      </c>
    </row>
    <row r="181" spans="2:17" ht="18" customHeight="1" x14ac:dyDescent="0.3">
      <c r="B181" s="26" t="s">
        <v>99</v>
      </c>
      <c r="C181" s="28" t="s">
        <v>138</v>
      </c>
      <c r="D181" s="27" t="s">
        <v>72</v>
      </c>
      <c r="E181" s="29">
        <v>40</v>
      </c>
      <c r="F181" s="29">
        <v>0</v>
      </c>
      <c r="G181" s="29">
        <v>40</v>
      </c>
      <c r="H181" s="30">
        <f t="shared" si="14"/>
        <v>40</v>
      </c>
      <c r="I181" s="31">
        <f>IF(OR(B181="",C181=""),"",IFERROR(E181*IF(E181="",0,VLOOKUP(C181,'📦 Precios Proforma'!$B$5:$D$104,IF(D181="DIA",2,3),FALSE)),0))</f>
        <v>173.6</v>
      </c>
      <c r="J181" s="31">
        <f t="shared" si="15"/>
        <v>40.4</v>
      </c>
      <c r="K181" s="31">
        <f t="shared" si="16"/>
        <v>214</v>
      </c>
      <c r="L181" s="31">
        <f>IF(OR(B181="",C181=""),"",IFERROR(E181 / SUMIFS('📅 Resumen Diario'!$D$5:$D$504, '📅 Resumen Diario'!$B$5:$B$504, B181, '📅 Resumen Diario'!$C$5:$C$504, D181) * SUMIFS('📅 Resumen Diario'!$K$5:$K$504, '📅 Resumen Diario'!$B$5:$B$504, B181, '📅 Resumen Diario'!$C$5:$C$504, D181), 0))</f>
        <v>869.75005747126443</v>
      </c>
      <c r="M181" s="31">
        <f t="shared" si="17"/>
        <v>3.5999999999999996</v>
      </c>
      <c r="N181" s="31">
        <f t="shared" si="18"/>
        <v>873.35005747126445</v>
      </c>
      <c r="O181" s="31">
        <f>IF(OR(B181="",C181=""),"",K181-N181 + IFERROR(E181 / SUMIFS('📅 Resumen Diario'!$D$5:$D$504, '📅 Resumen Diario'!$B$5:$B$504, B181, '📅 Resumen Diario'!$C$5:$C$504, D181) * (SUMIFS('📋 Detalle Diario'!$E$5:$E$489, '📋 Detalle Diario'!$B$5:$B$489, B181, '📋 Detalle Diario'!$C$5:$C$489, D181) * 135 + SUMIFS('📋 Detalle Diario'!$I$5:$I$489, '📋 Detalle Diario'!$B$5:$B$489, B181, '📋 Detalle Diario'!$C$5:$C$489, D181) * 200), 0))</f>
        <v>-659.35005747126445</v>
      </c>
      <c r="P181" s="32">
        <f t="shared" si="19"/>
        <v>-3.0810750349124505</v>
      </c>
      <c r="Q181" s="33" t="str">
        <f t="shared" si="20"/>
        <v>2026-05</v>
      </c>
    </row>
    <row r="182" spans="2:17" ht="18" customHeight="1" x14ac:dyDescent="0.3">
      <c r="B182" s="26" t="s">
        <v>99</v>
      </c>
      <c r="C182" s="17" t="s">
        <v>134</v>
      </c>
      <c r="D182" s="27" t="s">
        <v>72</v>
      </c>
      <c r="E182" s="18">
        <v>27</v>
      </c>
      <c r="F182" s="18">
        <v>0</v>
      </c>
      <c r="G182" s="18">
        <v>0</v>
      </c>
      <c r="H182" s="30">
        <f t="shared" si="14"/>
        <v>0</v>
      </c>
      <c r="I182" s="31">
        <f>IF(OR(B182="",C182=""),"",IFERROR(E182*IF(E182="",0,VLOOKUP(C182,'📦 Precios Proforma'!$B$5:$D$104,IF(D182="DIA",2,3),FALSE)),0))</f>
        <v>1215</v>
      </c>
      <c r="J182" s="31">
        <f t="shared" si="15"/>
        <v>0</v>
      </c>
      <c r="K182" s="31">
        <f t="shared" si="16"/>
        <v>1215</v>
      </c>
      <c r="L182" s="31">
        <f>IF(OR(B182="",C182=""),"",IFERROR(E182 / SUMIFS('📅 Resumen Diario'!$D$5:$D$504, '📅 Resumen Diario'!$B$5:$B$504, B182, '📅 Resumen Diario'!$C$5:$C$504, D182) * SUMIFS('📅 Resumen Diario'!$K$5:$K$504, '📅 Resumen Diario'!$B$5:$B$504, B182, '📅 Resumen Diario'!$C$5:$C$504, D182), 0))</f>
        <v>587.08128879310345</v>
      </c>
      <c r="M182" s="31">
        <f t="shared" si="17"/>
        <v>0</v>
      </c>
      <c r="N182" s="31">
        <f t="shared" si="18"/>
        <v>587.08128879310345</v>
      </c>
      <c r="O182" s="31">
        <f>IF(OR(B182="",C182=""),"",K182-N182 + IFERROR(E182 / SUMIFS('📅 Resumen Diario'!$D$5:$D$504, '📅 Resumen Diario'!$B$5:$B$504, B182, '📅 Resumen Diario'!$C$5:$C$504, D182) * (SUMIFS('📋 Detalle Diario'!$E$5:$E$489, '📋 Detalle Diario'!$B$5:$B$489, B182, '📋 Detalle Diario'!$C$5:$C$489, D182) * 135 + SUMIFS('📋 Detalle Diario'!$I$5:$I$489, '📋 Detalle Diario'!$B$5:$B$489, B182, '📋 Detalle Diario'!$C$5:$C$489, D182) * 200), 0))</f>
        <v>627.91871120689655</v>
      </c>
      <c r="P182" s="32">
        <f t="shared" si="19"/>
        <v>0.51680552362707532</v>
      </c>
      <c r="Q182" s="33" t="str">
        <f t="shared" si="20"/>
        <v>2026-05</v>
      </c>
    </row>
    <row r="183" spans="2:17" ht="18" customHeight="1" x14ac:dyDescent="0.3">
      <c r="B183" s="26" t="s">
        <v>99</v>
      </c>
      <c r="C183" s="28" t="s">
        <v>163</v>
      </c>
      <c r="D183" s="27" t="s">
        <v>73</v>
      </c>
      <c r="E183" s="29">
        <v>120</v>
      </c>
      <c r="F183" s="29">
        <v>0</v>
      </c>
      <c r="G183" s="29">
        <v>1440</v>
      </c>
      <c r="H183" s="30">
        <f t="shared" si="14"/>
        <v>1440</v>
      </c>
      <c r="I183" s="31">
        <f>IF(OR(B183="",C183=""),"",IFERROR(E183*IF(E183="",0,VLOOKUP(C183,'📦 Precios Proforma'!$B$5:$D$104,IF(D183="DIA",2,3),FALSE)),0))</f>
        <v>889.2</v>
      </c>
      <c r="J183" s="31">
        <f t="shared" si="15"/>
        <v>1944.0000000000002</v>
      </c>
      <c r="K183" s="31">
        <f t="shared" si="16"/>
        <v>2833.2000000000003</v>
      </c>
      <c r="L183" s="31">
        <f>IF(OR(B183="",C183=""),"",IFERROR(E183 / SUMIFS('📅 Resumen Diario'!$D$5:$D$504, '📅 Resumen Diario'!$B$5:$B$504, B183, '📅 Resumen Diario'!$C$5:$C$504, D183) * SUMIFS('📅 Resumen Diario'!$K$5:$K$504, '📅 Resumen Diario'!$B$5:$B$504, B183, '📅 Resumen Diario'!$C$5:$C$504, D183), 0))</f>
        <v>1053.7829893238436</v>
      </c>
      <c r="M183" s="31">
        <f t="shared" si="17"/>
        <v>129.6</v>
      </c>
      <c r="N183" s="31">
        <f t="shared" si="18"/>
        <v>1183.3829893238435</v>
      </c>
      <c r="O183" s="31">
        <f>IF(OR(B183="",C183=""),"",K183-N183 + IFERROR(E183 / SUMIFS('📅 Resumen Diario'!$D$5:$D$504, '📅 Resumen Diario'!$B$5:$B$504, B183, '📅 Resumen Diario'!$C$5:$C$504, D183) * (SUMIFS('📋 Detalle Diario'!$E$5:$E$489, '📋 Detalle Diario'!$B$5:$B$489, B183, '📋 Detalle Diario'!$C$5:$C$489, D183) * 135 + SUMIFS('📋 Detalle Diario'!$I$5:$I$489, '📋 Detalle Diario'!$B$5:$B$489, B183, '📋 Detalle Diario'!$C$5:$C$489, D183) * 200), 0))</f>
        <v>1649.8170106761568</v>
      </c>
      <c r="P183" s="32">
        <f t="shared" si="19"/>
        <v>0.58231575980381078</v>
      </c>
      <c r="Q183" s="33" t="str">
        <f t="shared" si="20"/>
        <v>2026-05</v>
      </c>
    </row>
    <row r="184" spans="2:17" ht="18" customHeight="1" x14ac:dyDescent="0.3">
      <c r="B184" s="26" t="s">
        <v>99</v>
      </c>
      <c r="C184" s="17" t="s">
        <v>160</v>
      </c>
      <c r="D184" s="27" t="s">
        <v>73</v>
      </c>
      <c r="E184" s="18">
        <v>360</v>
      </c>
      <c r="F184" s="18">
        <v>360</v>
      </c>
      <c r="G184" s="18">
        <v>1080</v>
      </c>
      <c r="H184" s="30">
        <f t="shared" si="14"/>
        <v>1440</v>
      </c>
      <c r="I184" s="31">
        <f>IF(OR(B184="",C184=""),"",IFERROR(E184*IF(E184="",0,VLOOKUP(C184,'📦 Precios Proforma'!$B$5:$D$104,IF(D184="DIA",2,3),FALSE)),0))</f>
        <v>2170.8000000000002</v>
      </c>
      <c r="J184" s="31">
        <f t="shared" si="15"/>
        <v>1944.0000000000002</v>
      </c>
      <c r="K184" s="31">
        <f t="shared" si="16"/>
        <v>4114.8</v>
      </c>
      <c r="L184" s="31">
        <f>IF(OR(B184="",C184=""),"",IFERROR(E184 / SUMIFS('📅 Resumen Diario'!$D$5:$D$504, '📅 Resumen Diario'!$B$5:$B$504, B184, '📅 Resumen Diario'!$C$5:$C$504, D184) * SUMIFS('📅 Resumen Diario'!$K$5:$K$504, '📅 Resumen Diario'!$B$5:$B$504, B184, '📅 Resumen Diario'!$C$5:$C$504, D184), 0))</f>
        <v>3161.3489679715308</v>
      </c>
      <c r="M184" s="31">
        <f t="shared" si="17"/>
        <v>129.6</v>
      </c>
      <c r="N184" s="31">
        <f t="shared" si="18"/>
        <v>3290.9489679715307</v>
      </c>
      <c r="O184" s="31">
        <f>IF(OR(B184="",C184=""),"",K184-N184 + IFERROR(E184 / SUMIFS('📅 Resumen Diario'!$D$5:$D$504, '📅 Resumen Diario'!$B$5:$B$504, B184, '📅 Resumen Diario'!$C$5:$C$504, D184) * (SUMIFS('📋 Detalle Diario'!$E$5:$E$489, '📋 Detalle Diario'!$B$5:$B$489, B184, '📋 Detalle Diario'!$C$5:$C$489, D184) * 135 + SUMIFS('📋 Detalle Diario'!$I$5:$I$489, '📋 Detalle Diario'!$B$5:$B$489, B184, '📋 Detalle Diario'!$C$5:$C$489, D184) * 200), 0))</f>
        <v>823.85103202846949</v>
      </c>
      <c r="P184" s="32">
        <f t="shared" si="19"/>
        <v>0.20021654321679533</v>
      </c>
      <c r="Q184" s="33" t="str">
        <f t="shared" si="20"/>
        <v>2026-05</v>
      </c>
    </row>
    <row r="185" spans="2:17" ht="18" customHeight="1" x14ac:dyDescent="0.3">
      <c r="B185" s="26" t="s">
        <v>99</v>
      </c>
      <c r="C185" s="28" t="s">
        <v>150</v>
      </c>
      <c r="D185" s="27" t="s">
        <v>73</v>
      </c>
      <c r="E185" s="29">
        <v>82</v>
      </c>
      <c r="F185" s="29">
        <v>82</v>
      </c>
      <c r="G185" s="29">
        <v>320</v>
      </c>
      <c r="H185" s="30">
        <f t="shared" si="14"/>
        <v>402</v>
      </c>
      <c r="I185" s="31">
        <f>IF(OR(B185="",C185=""),"",IFERROR(E185*IF(E185="",0,VLOOKUP(C185,'📦 Precios Proforma'!$B$5:$D$104,IF(D185="DIA",2,3),FALSE)),0))</f>
        <v>494.46000000000004</v>
      </c>
      <c r="J185" s="31">
        <f t="shared" si="15"/>
        <v>542.70000000000005</v>
      </c>
      <c r="K185" s="31">
        <f t="shared" si="16"/>
        <v>1037.1600000000001</v>
      </c>
      <c r="L185" s="31">
        <f>IF(OR(B185="",C185=""),"",IFERROR(E185 / SUMIFS('📅 Resumen Diario'!$D$5:$D$504, '📅 Resumen Diario'!$B$5:$B$504, B185, '📅 Resumen Diario'!$C$5:$C$504, D185) * SUMIFS('📅 Resumen Diario'!$K$5:$K$504, '📅 Resumen Diario'!$B$5:$B$504, B185, '📅 Resumen Diario'!$C$5:$C$504, D185), 0))</f>
        <v>720.0850427046264</v>
      </c>
      <c r="M185" s="31">
        <f t="shared" si="17"/>
        <v>36.18</v>
      </c>
      <c r="N185" s="31">
        <f t="shared" si="18"/>
        <v>756.26504270462635</v>
      </c>
      <c r="O185" s="31">
        <f>IF(OR(B185="",C185=""),"",K185-N185 + IFERROR(E185 / SUMIFS('📅 Resumen Diario'!$D$5:$D$504, '📅 Resumen Diario'!$B$5:$B$504, B185, '📅 Resumen Diario'!$C$5:$C$504, D185) * (SUMIFS('📋 Detalle Diario'!$E$5:$E$489, '📋 Detalle Diario'!$B$5:$B$489, B185, '📋 Detalle Diario'!$C$5:$C$489, D185) * 135 + SUMIFS('📋 Detalle Diario'!$I$5:$I$489, '📋 Detalle Diario'!$B$5:$B$489, B185, '📋 Detalle Diario'!$C$5:$C$489, D185) * 200), 0))</f>
        <v>280.89495729537373</v>
      </c>
      <c r="P185" s="32">
        <f t="shared" si="19"/>
        <v>0.27083088173027664</v>
      </c>
      <c r="Q185" s="33" t="str">
        <f t="shared" si="20"/>
        <v>2026-05</v>
      </c>
    </row>
    <row r="186" spans="2:17" ht="18" customHeight="1" x14ac:dyDescent="0.3">
      <c r="B186" s="26" t="s">
        <v>100</v>
      </c>
      <c r="C186" s="17" t="s">
        <v>160</v>
      </c>
      <c r="D186" s="27" t="s">
        <v>72</v>
      </c>
      <c r="E186" s="18">
        <v>720</v>
      </c>
      <c r="F186" s="18">
        <v>720</v>
      </c>
      <c r="G186" s="18">
        <v>2160</v>
      </c>
      <c r="H186" s="30">
        <f t="shared" si="14"/>
        <v>2880</v>
      </c>
      <c r="I186" s="31">
        <f>IF(OR(B186="",C186=""),"",IFERROR(E186*IF(E186="",0,VLOOKUP(C186,'📦 Precios Proforma'!$B$5:$D$104,IF(D186="DIA",2,3),FALSE)),0))</f>
        <v>3254.3999999999996</v>
      </c>
      <c r="J186" s="31">
        <f t="shared" si="15"/>
        <v>2908.8</v>
      </c>
      <c r="K186" s="31">
        <f t="shared" si="16"/>
        <v>6163.2</v>
      </c>
      <c r="L186" s="31">
        <f>IF(OR(B186="",C186=""),"",IFERROR(E186 / SUMIFS('📅 Resumen Diario'!$D$5:$D$504, '📅 Resumen Diario'!$B$5:$B$504, B186, '📅 Resumen Diario'!$C$5:$C$504, D186) * SUMIFS('📅 Resumen Diario'!$K$5:$K$504, '📅 Resumen Diario'!$B$5:$B$504, B186, '📅 Resumen Diario'!$C$5:$C$504, D186), 0))</f>
        <v>4842.7683200000001</v>
      </c>
      <c r="M186" s="31">
        <f t="shared" si="17"/>
        <v>259.2</v>
      </c>
      <c r="N186" s="31">
        <f t="shared" si="18"/>
        <v>5101.9683199999999</v>
      </c>
      <c r="O186" s="31">
        <f>IF(OR(B186="",C186=""),"",K186-N186 + IFERROR(E186 / SUMIFS('📅 Resumen Diario'!$D$5:$D$504, '📅 Resumen Diario'!$B$5:$B$504, B186, '📅 Resumen Diario'!$C$5:$C$504, D186) * (SUMIFS('📋 Detalle Diario'!$E$5:$E$489, '📋 Detalle Diario'!$B$5:$B$489, B186, '📋 Detalle Diario'!$C$5:$C$489, D186) * 135 + SUMIFS('📋 Detalle Diario'!$I$5:$I$489, '📋 Detalle Diario'!$B$5:$B$489, B186, '📋 Detalle Diario'!$C$5:$C$489, D186) * 200), 0))</f>
        <v>1061.2316799999999</v>
      </c>
      <c r="P186" s="32">
        <f t="shared" si="19"/>
        <v>0.17218842159916925</v>
      </c>
      <c r="Q186" s="33" t="str">
        <f t="shared" si="20"/>
        <v>2026-05</v>
      </c>
    </row>
    <row r="187" spans="2:17" ht="18" customHeight="1" x14ac:dyDescent="0.3">
      <c r="B187" s="26" t="s">
        <v>100</v>
      </c>
      <c r="C187" s="28" t="s">
        <v>134</v>
      </c>
      <c r="D187" s="27" t="s">
        <v>72</v>
      </c>
      <c r="E187" s="29">
        <v>30</v>
      </c>
      <c r="F187" s="29">
        <v>0</v>
      </c>
      <c r="G187" s="29">
        <v>0</v>
      </c>
      <c r="H187" s="30">
        <f t="shared" si="14"/>
        <v>0</v>
      </c>
      <c r="I187" s="31">
        <f>IF(OR(B187="",C187=""),"",IFERROR(E187*IF(E187="",0,VLOOKUP(C187,'📦 Precios Proforma'!$B$5:$D$104,IF(D187="DIA",2,3),FALSE)),0))</f>
        <v>1350</v>
      </c>
      <c r="J187" s="31">
        <f t="shared" si="15"/>
        <v>0</v>
      </c>
      <c r="K187" s="31">
        <f t="shared" si="16"/>
        <v>1350</v>
      </c>
      <c r="L187" s="31">
        <f>IF(OR(B187="",C187=""),"",IFERROR(E187 / SUMIFS('📅 Resumen Diario'!$D$5:$D$504, '📅 Resumen Diario'!$B$5:$B$504, B187, '📅 Resumen Diario'!$C$5:$C$504, D187) * SUMIFS('📅 Resumen Diario'!$K$5:$K$504, '📅 Resumen Diario'!$B$5:$B$504, B187, '📅 Resumen Diario'!$C$5:$C$504, D187), 0))</f>
        <v>201.78201333333334</v>
      </c>
      <c r="M187" s="31">
        <f t="shared" si="17"/>
        <v>0</v>
      </c>
      <c r="N187" s="31">
        <f t="shared" si="18"/>
        <v>201.78201333333334</v>
      </c>
      <c r="O187" s="31">
        <f>IF(OR(B187="",C187=""),"",K187-N187 + IFERROR(E187 / SUMIFS('📅 Resumen Diario'!$D$5:$D$504, '📅 Resumen Diario'!$B$5:$B$504, B187, '📅 Resumen Diario'!$C$5:$C$504, D187) * (SUMIFS('📋 Detalle Diario'!$E$5:$E$489, '📋 Detalle Diario'!$B$5:$B$489, B187, '📋 Detalle Diario'!$C$5:$C$489, D187) * 135 + SUMIFS('📋 Detalle Diario'!$I$5:$I$489, '📋 Detalle Diario'!$B$5:$B$489, B187, '📋 Detalle Diario'!$C$5:$C$489, D187) * 200), 0))</f>
        <v>1148.2179866666665</v>
      </c>
      <c r="P187" s="32">
        <f t="shared" si="19"/>
        <v>0.85053184197530851</v>
      </c>
      <c r="Q187" s="33" t="str">
        <f t="shared" si="20"/>
        <v>2026-05</v>
      </c>
    </row>
    <row r="188" spans="2:17" ht="18" customHeight="1" x14ac:dyDescent="0.3">
      <c r="B188" s="26" t="s">
        <v>100</v>
      </c>
      <c r="C188" s="17" t="s">
        <v>160</v>
      </c>
      <c r="D188" s="27" t="s">
        <v>73</v>
      </c>
      <c r="E188" s="18">
        <v>360</v>
      </c>
      <c r="F188" s="18">
        <v>360</v>
      </c>
      <c r="G188" s="18">
        <v>1000</v>
      </c>
      <c r="H188" s="30">
        <f t="shared" si="14"/>
        <v>1360</v>
      </c>
      <c r="I188" s="31">
        <f>IF(OR(B188="",C188=""),"",IFERROR(E188*IF(E188="",0,VLOOKUP(C188,'📦 Precios Proforma'!$B$5:$D$104,IF(D188="DIA",2,3),FALSE)),0))</f>
        <v>2170.8000000000002</v>
      </c>
      <c r="J188" s="31">
        <f t="shared" si="15"/>
        <v>1836.0000000000002</v>
      </c>
      <c r="K188" s="31">
        <f t="shared" si="16"/>
        <v>4006.8</v>
      </c>
      <c r="L188" s="31">
        <f>IF(OR(B188="",C188=""),"",IFERROR(E188 / SUMIFS('📅 Resumen Diario'!$D$5:$D$504, '📅 Resumen Diario'!$B$5:$B$504, B188, '📅 Resumen Diario'!$C$5:$C$504, D188) * SUMIFS('📅 Resumen Diario'!$K$5:$K$504, '📅 Resumen Diario'!$B$5:$B$504, B188, '📅 Resumen Diario'!$C$5:$C$504, D188), 0))</f>
        <v>1386.9462295081967</v>
      </c>
      <c r="M188" s="31">
        <f t="shared" si="17"/>
        <v>122.39999999999999</v>
      </c>
      <c r="N188" s="31">
        <f t="shared" si="18"/>
        <v>1509.3462295081968</v>
      </c>
      <c r="O188" s="31">
        <f>IF(OR(B188="",C188=""),"",K188-N188 + IFERROR(E188 / SUMIFS('📅 Resumen Diario'!$D$5:$D$504, '📅 Resumen Diario'!$B$5:$B$504, B188, '📅 Resumen Diario'!$C$5:$C$504, D188) * (SUMIFS('📋 Detalle Diario'!$E$5:$E$489, '📋 Detalle Diario'!$B$5:$B$489, B188, '📋 Detalle Diario'!$C$5:$C$489, D188) * 135 + SUMIFS('📋 Detalle Diario'!$I$5:$I$489, '📋 Detalle Diario'!$B$5:$B$489, B188, '📋 Detalle Diario'!$C$5:$C$489, D188) * 200), 0))</f>
        <v>2497.4537704918034</v>
      </c>
      <c r="P188" s="32">
        <f t="shared" si="19"/>
        <v>0.62330382611854929</v>
      </c>
      <c r="Q188" s="33" t="str">
        <f t="shared" si="20"/>
        <v>2026-05</v>
      </c>
    </row>
    <row r="189" spans="2:17" ht="18" customHeight="1" x14ac:dyDescent="0.3">
      <c r="B189" s="26" t="s">
        <v>100</v>
      </c>
      <c r="C189" s="28" t="s">
        <v>134</v>
      </c>
      <c r="D189" s="27" t="s">
        <v>73</v>
      </c>
      <c r="E189" s="29">
        <v>6</v>
      </c>
      <c r="F189" s="29">
        <v>0</v>
      </c>
      <c r="G189" s="29">
        <v>0</v>
      </c>
      <c r="H189" s="30">
        <f t="shared" si="14"/>
        <v>0</v>
      </c>
      <c r="I189" s="31">
        <f>IF(OR(B189="",C189=""),"",IFERROR(E189*IF(E189="",0,VLOOKUP(C189,'📦 Precios Proforma'!$B$5:$D$104,IF(D189="DIA",2,3),FALSE)),0))</f>
        <v>360</v>
      </c>
      <c r="J189" s="31">
        <f t="shared" si="15"/>
        <v>0</v>
      </c>
      <c r="K189" s="31">
        <f t="shared" si="16"/>
        <v>360</v>
      </c>
      <c r="L189" s="31">
        <f>IF(OR(B189="",C189=""),"",IFERROR(E189 / SUMIFS('📅 Resumen Diario'!$D$5:$D$504, '📅 Resumen Diario'!$B$5:$B$504, B189, '📅 Resumen Diario'!$C$5:$C$504, D189) * SUMIFS('📅 Resumen Diario'!$K$5:$K$504, '📅 Resumen Diario'!$B$5:$B$504, B189, '📅 Resumen Diario'!$C$5:$C$504, D189), 0))</f>
        <v>23.115770491803282</v>
      </c>
      <c r="M189" s="31">
        <f t="shared" si="17"/>
        <v>0</v>
      </c>
      <c r="N189" s="31">
        <f t="shared" si="18"/>
        <v>23.115770491803282</v>
      </c>
      <c r="O189" s="31">
        <f>IF(OR(B189="",C189=""),"",K189-N189 + IFERROR(E189 / SUMIFS('📅 Resumen Diario'!$D$5:$D$504, '📅 Resumen Diario'!$B$5:$B$504, B189, '📅 Resumen Diario'!$C$5:$C$504, D189) * (SUMIFS('📋 Detalle Diario'!$E$5:$E$489, '📋 Detalle Diario'!$B$5:$B$489, B189, '📋 Detalle Diario'!$C$5:$C$489, D189) * 135 + SUMIFS('📋 Detalle Diario'!$I$5:$I$489, '📋 Detalle Diario'!$B$5:$B$489, B189, '📋 Detalle Diario'!$C$5:$C$489, D189) * 200), 0))</f>
        <v>336.88422950819671</v>
      </c>
      <c r="P189" s="32">
        <f t="shared" si="19"/>
        <v>0.93578952641165758</v>
      </c>
      <c r="Q189" s="33" t="str">
        <f t="shared" si="20"/>
        <v>2026-05</v>
      </c>
    </row>
    <row r="190" spans="2:17" ht="18" customHeight="1" x14ac:dyDescent="0.3">
      <c r="B190" s="26" t="s">
        <v>100</v>
      </c>
      <c r="C190" s="17" t="s">
        <v>144</v>
      </c>
      <c r="D190" s="27" t="s">
        <v>73</v>
      </c>
      <c r="E190" s="18">
        <v>135</v>
      </c>
      <c r="F190" s="18">
        <v>135</v>
      </c>
      <c r="G190" s="18">
        <v>270</v>
      </c>
      <c r="H190" s="30">
        <f t="shared" si="14"/>
        <v>405</v>
      </c>
      <c r="I190" s="31">
        <f>IF(OR(B190="",C190=""),"",IFERROR(E190*IF(E190="",0,VLOOKUP(C190,'📦 Precios Proforma'!$B$5:$D$104,IF(D190="DIA",2,3),FALSE)),0))</f>
        <v>814.05000000000007</v>
      </c>
      <c r="J190" s="31">
        <f t="shared" si="15"/>
        <v>546.75</v>
      </c>
      <c r="K190" s="31">
        <f t="shared" si="16"/>
        <v>1360.8000000000002</v>
      </c>
      <c r="L190" s="31">
        <f>IF(OR(B190="",C190=""),"",IFERROR(E190 / SUMIFS('📅 Resumen Diario'!$D$5:$D$504, '📅 Resumen Diario'!$B$5:$B$504, B190, '📅 Resumen Diario'!$C$5:$C$504, D190) * SUMIFS('📅 Resumen Diario'!$K$5:$K$504, '📅 Resumen Diario'!$B$5:$B$504, B190, '📅 Resumen Diario'!$C$5:$C$504, D190), 0))</f>
        <v>520.10483606557386</v>
      </c>
      <c r="M190" s="31">
        <f t="shared" si="17"/>
        <v>36.449999999999996</v>
      </c>
      <c r="N190" s="31">
        <f t="shared" si="18"/>
        <v>556.55483606557391</v>
      </c>
      <c r="O190" s="31">
        <f>IF(OR(B190="",C190=""),"",K190-N190 + IFERROR(E190 / SUMIFS('📅 Resumen Diario'!$D$5:$D$504, '📅 Resumen Diario'!$B$5:$B$504, B190, '📅 Resumen Diario'!$C$5:$C$504, D190) * (SUMIFS('📋 Detalle Diario'!$E$5:$E$489, '📋 Detalle Diario'!$B$5:$B$489, B190, '📋 Detalle Diario'!$C$5:$C$489, D190) * 135 + SUMIFS('📋 Detalle Diario'!$I$5:$I$489, '📋 Detalle Diario'!$B$5:$B$489, B190, '📋 Detalle Diario'!$C$5:$C$489, D190) * 200), 0))</f>
        <v>804.24516393442627</v>
      </c>
      <c r="P190" s="32">
        <f t="shared" si="19"/>
        <v>0.59100908578367595</v>
      </c>
      <c r="Q190" s="33" t="str">
        <f t="shared" si="20"/>
        <v>2026-05</v>
      </c>
    </row>
    <row r="191" spans="2:17" ht="18" customHeight="1" x14ac:dyDescent="0.3">
      <c r="B191" s="26" t="s">
        <v>100</v>
      </c>
      <c r="C191" s="28" t="s">
        <v>153</v>
      </c>
      <c r="D191" s="27" t="s">
        <v>73</v>
      </c>
      <c r="E191" s="29">
        <v>140</v>
      </c>
      <c r="F191" s="29">
        <v>0</v>
      </c>
      <c r="G191" s="29">
        <v>140</v>
      </c>
      <c r="H191" s="30">
        <f t="shared" si="14"/>
        <v>140</v>
      </c>
      <c r="I191" s="31">
        <f>IF(OR(B191="",C191=""),"",IFERROR(E191*IF(E191="",0,VLOOKUP(C191,'📦 Precios Proforma'!$B$5:$D$104,IF(D191="DIA",2,3),FALSE)),0))</f>
        <v>810.6</v>
      </c>
      <c r="J191" s="31">
        <f t="shared" si="15"/>
        <v>189</v>
      </c>
      <c r="K191" s="31">
        <f t="shared" si="16"/>
        <v>999.6</v>
      </c>
      <c r="L191" s="31">
        <f>IF(OR(B191="",C191=""),"",IFERROR(E191 / SUMIFS('📅 Resumen Diario'!$D$5:$D$504, '📅 Resumen Diario'!$B$5:$B$504, B191, '📅 Resumen Diario'!$C$5:$C$504, D191) * SUMIFS('📅 Resumen Diario'!$K$5:$K$504, '📅 Resumen Diario'!$B$5:$B$504, B191, '📅 Resumen Diario'!$C$5:$C$504, D191), 0))</f>
        <v>539.36797814207659</v>
      </c>
      <c r="M191" s="31">
        <f t="shared" si="17"/>
        <v>12.6</v>
      </c>
      <c r="N191" s="31">
        <f t="shared" si="18"/>
        <v>551.96797814207662</v>
      </c>
      <c r="O191" s="31">
        <f>IF(OR(B191="",C191=""),"",K191-N191 + IFERROR(E191 / SUMIFS('📅 Resumen Diario'!$D$5:$D$504, '📅 Resumen Diario'!$B$5:$B$504, B191, '📅 Resumen Diario'!$C$5:$C$504, D191) * (SUMIFS('📋 Detalle Diario'!$E$5:$E$489, '📋 Detalle Diario'!$B$5:$B$489, B191, '📋 Detalle Diario'!$C$5:$C$489, D191) * 135 + SUMIFS('📋 Detalle Diario'!$I$5:$I$489, '📋 Detalle Diario'!$B$5:$B$489, B191, '📋 Detalle Diario'!$C$5:$C$489, D191) * 200), 0))</f>
        <v>447.63202185792341</v>
      </c>
      <c r="P191" s="32">
        <f t="shared" si="19"/>
        <v>0.44781114631644997</v>
      </c>
      <c r="Q191" s="33" t="str">
        <f t="shared" si="20"/>
        <v>2026-05</v>
      </c>
    </row>
    <row r="192" spans="2:17" ht="18" customHeight="1" x14ac:dyDescent="0.3">
      <c r="B192" s="26" t="s">
        <v>100</v>
      </c>
      <c r="C192" s="17" t="s">
        <v>156</v>
      </c>
      <c r="D192" s="27" t="s">
        <v>73</v>
      </c>
      <c r="E192" s="18">
        <v>640</v>
      </c>
      <c r="F192" s="18">
        <v>0</v>
      </c>
      <c r="G192" s="18">
        <v>640</v>
      </c>
      <c r="H192" s="30">
        <f t="shared" si="14"/>
        <v>640</v>
      </c>
      <c r="I192" s="31">
        <f>IF(OR(B192="",C192=""),"",IFERROR(E192*IF(E192="",0,VLOOKUP(C192,'📦 Precios Proforma'!$B$5:$D$104,IF(D192="DIA",2,3),FALSE)),0))</f>
        <v>5280</v>
      </c>
      <c r="J192" s="31">
        <f t="shared" si="15"/>
        <v>864</v>
      </c>
      <c r="K192" s="31">
        <f t="shared" si="16"/>
        <v>6144</v>
      </c>
      <c r="L192" s="31">
        <f>IF(OR(B192="",C192=""),"",IFERROR(E192 / SUMIFS('📅 Resumen Diario'!$D$5:$D$504, '📅 Resumen Diario'!$B$5:$B$504, B192, '📅 Resumen Diario'!$C$5:$C$504, D192) * SUMIFS('📅 Resumen Diario'!$K$5:$K$504, '📅 Resumen Diario'!$B$5:$B$504, B192, '📅 Resumen Diario'!$C$5:$C$504, D192), 0))</f>
        <v>2465.6821857923501</v>
      </c>
      <c r="M192" s="31">
        <f t="shared" si="17"/>
        <v>57.599999999999994</v>
      </c>
      <c r="N192" s="31">
        <f t="shared" si="18"/>
        <v>2523.28218579235</v>
      </c>
      <c r="O192" s="31">
        <f>IF(OR(B192="",C192=""),"",K192-N192 + IFERROR(E192 / SUMIFS('📅 Resumen Diario'!$D$5:$D$504, '📅 Resumen Diario'!$B$5:$B$504, B192, '📅 Resumen Diario'!$C$5:$C$504, D192) * (SUMIFS('📋 Detalle Diario'!$E$5:$E$489, '📋 Detalle Diario'!$B$5:$B$489, B192, '📋 Detalle Diario'!$C$5:$C$489, D192) * 135 + SUMIFS('📋 Detalle Diario'!$I$5:$I$489, '📋 Detalle Diario'!$B$5:$B$489, B192, '📋 Detalle Diario'!$C$5:$C$489, D192) * 200), 0))</f>
        <v>3620.71781420765</v>
      </c>
      <c r="P192" s="32">
        <f t="shared" si="19"/>
        <v>0.58930954007285974</v>
      </c>
      <c r="Q192" s="33" t="str">
        <f t="shared" si="20"/>
        <v>2026-05</v>
      </c>
    </row>
    <row r="193" spans="2:17" ht="18" customHeight="1" x14ac:dyDescent="0.3">
      <c r="B193" s="26" t="s">
        <v>101</v>
      </c>
      <c r="C193" s="28" t="s">
        <v>156</v>
      </c>
      <c r="D193" s="27" t="s">
        <v>72</v>
      </c>
      <c r="E193" s="29">
        <v>480</v>
      </c>
      <c r="F193" s="29">
        <v>0</v>
      </c>
      <c r="G193" s="29">
        <v>480</v>
      </c>
      <c r="H193" s="30">
        <f t="shared" si="14"/>
        <v>480</v>
      </c>
      <c r="I193" s="31">
        <f>IF(OR(B193="",C193=""),"",IFERROR(E193*IF(E193="",0,VLOOKUP(C193,'📦 Precios Proforma'!$B$5:$D$104,IF(D193="DIA",2,3),FALSE)),0))</f>
        <v>2971.2000000000003</v>
      </c>
      <c r="J193" s="31">
        <f t="shared" si="15"/>
        <v>484.8</v>
      </c>
      <c r="K193" s="31">
        <f t="shared" si="16"/>
        <v>3456.0000000000005</v>
      </c>
      <c r="L193" s="31">
        <f>IF(OR(B193="",C193=""),"",IFERROR(E193 / SUMIFS('📅 Resumen Diario'!$D$5:$D$504, '📅 Resumen Diario'!$B$5:$B$504, B193, '📅 Resumen Diario'!$C$5:$C$504, D193) * SUMIFS('📅 Resumen Diario'!$K$5:$K$504, '📅 Resumen Diario'!$B$5:$B$504, B193, '📅 Resumen Diario'!$C$5:$C$504, D193), 0))</f>
        <v>4701.7168155339814</v>
      </c>
      <c r="M193" s="31">
        <f t="shared" si="17"/>
        <v>43.199999999999996</v>
      </c>
      <c r="N193" s="31">
        <f t="shared" si="18"/>
        <v>4744.9168155339812</v>
      </c>
      <c r="O193" s="31">
        <f>IF(OR(B193="",C193=""),"",K193-N193 + IFERROR(E193 / SUMIFS('📅 Resumen Diario'!$D$5:$D$504, '📅 Resumen Diario'!$B$5:$B$504, B193, '📅 Resumen Diario'!$C$5:$C$504, D193) * (SUMIFS('📋 Detalle Diario'!$E$5:$E$489, '📋 Detalle Diario'!$B$5:$B$489, B193, '📋 Detalle Diario'!$C$5:$C$489, D193) * 135 + SUMIFS('📋 Detalle Diario'!$I$5:$I$489, '📋 Detalle Diario'!$B$5:$B$489, B193, '📋 Detalle Diario'!$C$5:$C$489, D193) * 200), 0))</f>
        <v>-1288.9168155339808</v>
      </c>
      <c r="P193" s="32">
        <f t="shared" si="19"/>
        <v>-0.37295046745774901</v>
      </c>
      <c r="Q193" s="33" t="str">
        <f t="shared" si="20"/>
        <v>2026-05</v>
      </c>
    </row>
    <row r="194" spans="2:17" ht="18" customHeight="1" x14ac:dyDescent="0.3">
      <c r="B194" s="26" t="s">
        <v>101</v>
      </c>
      <c r="C194" s="17" t="s">
        <v>134</v>
      </c>
      <c r="D194" s="27" t="s">
        <v>72</v>
      </c>
      <c r="E194" s="18">
        <v>35</v>
      </c>
      <c r="F194" s="18">
        <v>0</v>
      </c>
      <c r="G194" s="18">
        <v>0</v>
      </c>
      <c r="H194" s="30">
        <f t="shared" si="14"/>
        <v>0</v>
      </c>
      <c r="I194" s="31">
        <f>IF(OR(B194="",C194=""),"",IFERROR(E194*IF(E194="",0,VLOOKUP(C194,'📦 Precios Proforma'!$B$5:$D$104,IF(D194="DIA",2,3),FALSE)),0))</f>
        <v>1575</v>
      </c>
      <c r="J194" s="31">
        <f t="shared" si="15"/>
        <v>0</v>
      </c>
      <c r="K194" s="31">
        <f t="shared" si="16"/>
        <v>1575</v>
      </c>
      <c r="L194" s="31">
        <f>IF(OR(B194="",C194=""),"",IFERROR(E194 / SUMIFS('📅 Resumen Diario'!$D$5:$D$504, '📅 Resumen Diario'!$B$5:$B$504, B194, '📅 Resumen Diario'!$C$5:$C$504, D194) * SUMIFS('📅 Resumen Diario'!$K$5:$K$504, '📅 Resumen Diario'!$B$5:$B$504, B194, '📅 Resumen Diario'!$C$5:$C$504, D194), 0))</f>
        <v>342.83351779935276</v>
      </c>
      <c r="M194" s="31">
        <f t="shared" si="17"/>
        <v>0</v>
      </c>
      <c r="N194" s="31">
        <f t="shared" si="18"/>
        <v>342.83351779935276</v>
      </c>
      <c r="O194" s="31">
        <f>IF(OR(B194="",C194=""),"",K194-N194 + IFERROR(E194 / SUMIFS('📅 Resumen Diario'!$D$5:$D$504, '📅 Resumen Diario'!$B$5:$B$504, B194, '📅 Resumen Diario'!$C$5:$C$504, D194) * (SUMIFS('📋 Detalle Diario'!$E$5:$E$489, '📋 Detalle Diario'!$B$5:$B$489, B194, '📋 Detalle Diario'!$C$5:$C$489, D194) * 135 + SUMIFS('📋 Detalle Diario'!$I$5:$I$489, '📋 Detalle Diario'!$B$5:$B$489, B194, '📋 Detalle Diario'!$C$5:$C$489, D194) * 200), 0))</f>
        <v>1232.1664822006474</v>
      </c>
      <c r="P194" s="32">
        <f t="shared" si="19"/>
        <v>0.7823279252067602</v>
      </c>
      <c r="Q194" s="33" t="str">
        <f t="shared" si="20"/>
        <v>2026-05</v>
      </c>
    </row>
    <row r="195" spans="2:17" ht="18" customHeight="1" x14ac:dyDescent="0.3">
      <c r="B195" s="26" t="s">
        <v>101</v>
      </c>
      <c r="C195" s="28" t="s">
        <v>151</v>
      </c>
      <c r="D195" s="27" t="s">
        <v>73</v>
      </c>
      <c r="E195" s="29">
        <v>90</v>
      </c>
      <c r="F195" s="29">
        <v>0</v>
      </c>
      <c r="G195" s="29">
        <v>810</v>
      </c>
      <c r="H195" s="30">
        <f t="shared" si="14"/>
        <v>810</v>
      </c>
      <c r="I195" s="31">
        <f>IF(OR(B195="",C195=""),"",IFERROR(E195*IF(E195="",0,VLOOKUP(C195,'📦 Precios Proforma'!$B$5:$D$104,IF(D195="DIA",2,3),FALSE)),0))</f>
        <v>542.70000000000005</v>
      </c>
      <c r="J195" s="31">
        <f t="shared" si="15"/>
        <v>1093.5</v>
      </c>
      <c r="K195" s="31">
        <f t="shared" si="16"/>
        <v>1636.2</v>
      </c>
      <c r="L195" s="31">
        <f>IF(OR(B195="",C195=""),"",IFERROR(E195 / SUMIFS('📅 Resumen Diario'!$D$5:$D$504, '📅 Resumen Diario'!$B$5:$B$504, B195, '📅 Resumen Diario'!$C$5:$C$504, D195) * SUMIFS('📅 Resumen Diario'!$K$5:$K$504, '📅 Resumen Diario'!$B$5:$B$504, B195, '📅 Resumen Diario'!$C$5:$C$504, D195), 0))</f>
        <v>553.96549014716902</v>
      </c>
      <c r="M195" s="31">
        <f t="shared" si="17"/>
        <v>72.899999999999991</v>
      </c>
      <c r="N195" s="31">
        <f t="shared" si="18"/>
        <v>626.865490147169</v>
      </c>
      <c r="O195" s="31">
        <f>IF(OR(B195="",C195=""),"",K195-N195 + IFERROR(E195 / SUMIFS('📅 Resumen Diario'!$D$5:$D$504, '📅 Resumen Diario'!$B$5:$B$504, B195, '📅 Resumen Diario'!$C$5:$C$504, D195) * (SUMIFS('📋 Detalle Diario'!$E$5:$E$489, '📋 Detalle Diario'!$B$5:$B$489, B195, '📋 Detalle Diario'!$C$5:$C$489, D195) * 135 + SUMIFS('📋 Detalle Diario'!$I$5:$I$489, '📋 Detalle Diario'!$B$5:$B$489, B195, '📋 Detalle Diario'!$C$5:$C$489, D195) * 200), 0))</f>
        <v>1009.334509852831</v>
      </c>
      <c r="P195" s="32">
        <f t="shared" si="19"/>
        <v>0.61687722152110436</v>
      </c>
      <c r="Q195" s="33" t="str">
        <f t="shared" si="20"/>
        <v>2026-05</v>
      </c>
    </row>
    <row r="196" spans="2:17" ht="18" customHeight="1" x14ac:dyDescent="0.3">
      <c r="B196" s="26" t="s">
        <v>101</v>
      </c>
      <c r="C196" s="17" t="s">
        <v>138</v>
      </c>
      <c r="D196" s="27" t="s">
        <v>73</v>
      </c>
      <c r="E196" s="18">
        <v>80</v>
      </c>
      <c r="F196" s="18">
        <v>0</v>
      </c>
      <c r="G196" s="18">
        <v>80</v>
      </c>
      <c r="H196" s="30">
        <f t="shared" si="14"/>
        <v>80</v>
      </c>
      <c r="I196" s="31">
        <f>IF(OR(B196="",C196=""),"",IFERROR(E196*IF(E196="",0,VLOOKUP(C196,'📦 Precios Proforma'!$B$5:$D$104,IF(D196="DIA",2,3),FALSE)),0))</f>
        <v>463.2</v>
      </c>
      <c r="J196" s="31">
        <f t="shared" si="15"/>
        <v>108</v>
      </c>
      <c r="K196" s="31">
        <f t="shared" si="16"/>
        <v>571.20000000000005</v>
      </c>
      <c r="L196" s="31">
        <f>IF(OR(B196="",C196=""),"",IFERROR(E196 / SUMIFS('📅 Resumen Diario'!$D$5:$D$504, '📅 Resumen Diario'!$B$5:$B$504, B196, '📅 Resumen Diario'!$C$5:$C$504, D196) * SUMIFS('📅 Resumen Diario'!$K$5:$K$504, '📅 Resumen Diario'!$B$5:$B$504, B196, '📅 Resumen Diario'!$C$5:$C$504, D196), 0))</f>
        <v>492.41376901970574</v>
      </c>
      <c r="M196" s="31">
        <f t="shared" si="17"/>
        <v>7.1999999999999993</v>
      </c>
      <c r="N196" s="31">
        <f t="shared" si="18"/>
        <v>499.61376901970573</v>
      </c>
      <c r="O196" s="31">
        <f>IF(OR(B196="",C196=""),"",K196-N196 + IFERROR(E196 / SUMIFS('📅 Resumen Diario'!$D$5:$D$504, '📅 Resumen Diario'!$B$5:$B$504, B196, '📅 Resumen Diario'!$C$5:$C$504, D196) * (SUMIFS('📋 Detalle Diario'!$E$5:$E$489, '📋 Detalle Diario'!$B$5:$B$489, B196, '📋 Detalle Diario'!$C$5:$C$489, D196) * 135 + SUMIFS('📋 Detalle Diario'!$I$5:$I$489, '📋 Detalle Diario'!$B$5:$B$489, B196, '📋 Detalle Diario'!$C$5:$C$489, D196) * 200), 0))</f>
        <v>71.586230980294317</v>
      </c>
      <c r="P196" s="32">
        <f t="shared" si="19"/>
        <v>0.12532603462936678</v>
      </c>
      <c r="Q196" s="33" t="str">
        <f t="shared" si="20"/>
        <v>2026-05</v>
      </c>
    </row>
    <row r="197" spans="2:17" ht="18" customHeight="1" x14ac:dyDescent="0.3">
      <c r="B197" s="26" t="s">
        <v>101</v>
      </c>
      <c r="C197" s="28" t="s">
        <v>134</v>
      </c>
      <c r="D197" s="27" t="s">
        <v>73</v>
      </c>
      <c r="E197" s="29">
        <v>3.8</v>
      </c>
      <c r="F197" s="29">
        <v>0</v>
      </c>
      <c r="G197" s="29">
        <v>0</v>
      </c>
      <c r="H197" s="30">
        <f t="shared" si="14"/>
        <v>0</v>
      </c>
      <c r="I197" s="31">
        <f>IF(OR(B197="",C197=""),"",IFERROR(E197*IF(E197="",0,VLOOKUP(C197,'📦 Precios Proforma'!$B$5:$D$104,IF(D197="DIA",2,3),FALSE)),0))</f>
        <v>228</v>
      </c>
      <c r="J197" s="31">
        <f t="shared" si="15"/>
        <v>0</v>
      </c>
      <c r="K197" s="31">
        <f t="shared" si="16"/>
        <v>228</v>
      </c>
      <c r="L197" s="31">
        <f>IF(OR(B197="",C197=""),"",IFERROR(E197 / SUMIFS('📅 Resumen Diario'!$D$5:$D$504, '📅 Resumen Diario'!$B$5:$B$504, B197, '📅 Resumen Diario'!$C$5:$C$504, D197) * SUMIFS('📅 Resumen Diario'!$K$5:$K$504, '📅 Resumen Diario'!$B$5:$B$504, B197, '📅 Resumen Diario'!$C$5:$C$504, D197), 0))</f>
        <v>23.389654028436023</v>
      </c>
      <c r="M197" s="31">
        <f t="shared" si="17"/>
        <v>0</v>
      </c>
      <c r="N197" s="31">
        <f t="shared" si="18"/>
        <v>23.389654028436023</v>
      </c>
      <c r="O197" s="31">
        <f>IF(OR(B197="",C197=""),"",K197-N197 + IFERROR(E197 / SUMIFS('📅 Resumen Diario'!$D$5:$D$504, '📅 Resumen Diario'!$B$5:$B$504, B197, '📅 Resumen Diario'!$C$5:$C$504, D197) * (SUMIFS('📋 Detalle Diario'!$E$5:$E$489, '📋 Detalle Diario'!$B$5:$B$489, B197, '📋 Detalle Diario'!$C$5:$C$489, D197) * 135 + SUMIFS('📋 Detalle Diario'!$I$5:$I$489, '📋 Detalle Diario'!$B$5:$B$489, B197, '📋 Detalle Diario'!$C$5:$C$489, D197) * 200), 0))</f>
        <v>204.61034597156399</v>
      </c>
      <c r="P197" s="32">
        <f t="shared" si="19"/>
        <v>0.89741379812089472</v>
      </c>
      <c r="Q197" s="33" t="str">
        <f t="shared" si="20"/>
        <v>2026-05</v>
      </c>
    </row>
    <row r="198" spans="2:17" ht="18" customHeight="1" x14ac:dyDescent="0.3">
      <c r="B198" s="26" t="s">
        <v>101</v>
      </c>
      <c r="C198" s="17" t="s">
        <v>149</v>
      </c>
      <c r="D198" s="27" t="s">
        <v>73</v>
      </c>
      <c r="E198" s="18">
        <v>93</v>
      </c>
      <c r="F198" s="18">
        <v>0</v>
      </c>
      <c r="G198" s="18">
        <v>93</v>
      </c>
      <c r="H198" s="30">
        <f t="shared" si="14"/>
        <v>93</v>
      </c>
      <c r="I198" s="31">
        <f>IF(OR(B198="",C198=""),"",IFERROR(E198*IF(E198="",0,VLOOKUP(C198,'📦 Precios Proforma'!$B$5:$D$104,IF(D198="DIA",2,3),FALSE)),0))</f>
        <v>587.76</v>
      </c>
      <c r="J198" s="31">
        <f t="shared" si="15"/>
        <v>125.55000000000001</v>
      </c>
      <c r="K198" s="31">
        <f t="shared" si="16"/>
        <v>713.31</v>
      </c>
      <c r="L198" s="31">
        <f>IF(OR(B198="",C198=""),"",IFERROR(E198 / SUMIFS('📅 Resumen Diario'!$D$5:$D$504, '📅 Resumen Diario'!$B$5:$B$504, B198, '📅 Resumen Diario'!$C$5:$C$504, D198) * SUMIFS('📅 Resumen Diario'!$K$5:$K$504, '📅 Resumen Diario'!$B$5:$B$504, B198, '📅 Resumen Diario'!$C$5:$C$504, D198), 0))</f>
        <v>572.43100648540792</v>
      </c>
      <c r="M198" s="31">
        <f t="shared" si="17"/>
        <v>8.3699999999999992</v>
      </c>
      <c r="N198" s="31">
        <f t="shared" si="18"/>
        <v>580.80100648540792</v>
      </c>
      <c r="O198" s="31">
        <f>IF(OR(B198="",C198=""),"",K198-N198 + IFERROR(E198 / SUMIFS('📅 Resumen Diario'!$D$5:$D$504, '📅 Resumen Diario'!$B$5:$B$504, B198, '📅 Resumen Diario'!$C$5:$C$504, D198) * (SUMIFS('📋 Detalle Diario'!$E$5:$E$489, '📋 Detalle Diario'!$B$5:$B$489, B198, '📋 Detalle Diario'!$C$5:$C$489, D198) * 135 + SUMIFS('📋 Detalle Diario'!$I$5:$I$489, '📋 Detalle Diario'!$B$5:$B$489, B198, '📋 Detalle Diario'!$C$5:$C$489, D198) * 200), 0))</f>
        <v>132.50899351459202</v>
      </c>
      <c r="P198" s="32">
        <f t="shared" si="19"/>
        <v>0.18576634775145734</v>
      </c>
      <c r="Q198" s="33" t="str">
        <f t="shared" si="20"/>
        <v>2026-05</v>
      </c>
    </row>
    <row r="199" spans="2:17" ht="18" customHeight="1" x14ac:dyDescent="0.3">
      <c r="B199" s="26" t="s">
        <v>101</v>
      </c>
      <c r="C199" s="28" t="s">
        <v>150</v>
      </c>
      <c r="D199" s="27" t="s">
        <v>73</v>
      </c>
      <c r="E199" s="29">
        <v>295</v>
      </c>
      <c r="F199" s="29">
        <v>295</v>
      </c>
      <c r="G199" s="29">
        <v>1180</v>
      </c>
      <c r="H199" s="30">
        <f t="shared" ref="H199:H262" si="21">IF(OR(B199="",C199=""),"",F199+G199)</f>
        <v>1475</v>
      </c>
      <c r="I199" s="31">
        <f>IF(OR(B199="",C199=""),"",IFERROR(E199*IF(E199="",0,VLOOKUP(C199,'📦 Precios Proforma'!$B$5:$D$104,IF(D199="DIA",2,3),FALSE)),0))</f>
        <v>1778.8500000000001</v>
      </c>
      <c r="J199" s="31">
        <f t="shared" ref="J199:J262" si="22">IF(OR(B199="",C199=""),"",IF(D199="DIA",H199*1.01,H199*1.35))</f>
        <v>1991.2500000000002</v>
      </c>
      <c r="K199" s="31">
        <f t="shared" ref="K199:K262" si="23">IF(OR(B199="",C199=""),"",I199+J199)</f>
        <v>3770.1000000000004</v>
      </c>
      <c r="L199" s="31">
        <f>IF(OR(B199="",C199=""),"",IFERROR(E199 / SUMIFS('📅 Resumen Diario'!$D$5:$D$504, '📅 Resumen Diario'!$B$5:$B$504, B199, '📅 Resumen Diario'!$C$5:$C$504, D199) * SUMIFS('📅 Resumen Diario'!$K$5:$K$504, '📅 Resumen Diario'!$B$5:$B$504, B199, '📅 Resumen Diario'!$C$5:$C$504, D199), 0))</f>
        <v>1815.7757732601649</v>
      </c>
      <c r="M199" s="31">
        <f t="shared" ref="M199:M262" si="24">IF(OR(B199="",C199=""),"",H199*0.09)</f>
        <v>132.75</v>
      </c>
      <c r="N199" s="31">
        <f t="shared" ref="N199:N262" si="25">IF(OR(B199="",C199=""),"",L199+M199)</f>
        <v>1948.5257732601649</v>
      </c>
      <c r="O199" s="31">
        <f>IF(OR(B199="",C199=""),"",K199-N199 + IFERROR(E199 / SUMIFS('📅 Resumen Diario'!$D$5:$D$504, '📅 Resumen Diario'!$B$5:$B$504, B199, '📅 Resumen Diario'!$C$5:$C$504, D199) * (SUMIFS('📋 Detalle Diario'!$E$5:$E$489, '📋 Detalle Diario'!$B$5:$B$489, B199, '📋 Detalle Diario'!$C$5:$C$489, D199) * 135 + SUMIFS('📋 Detalle Diario'!$I$5:$I$489, '📋 Detalle Diario'!$B$5:$B$489, B199, '📋 Detalle Diario'!$C$5:$C$489, D199) * 200), 0))</f>
        <v>1821.5742267398355</v>
      </c>
      <c r="P199" s="32">
        <f t="shared" ref="P199:P262" si="26">IF(OR(B199="",C199=""),"",IF(K199=0, 0, O199/K199))</f>
        <v>0.48316337145959931</v>
      </c>
      <c r="Q199" s="33" t="str">
        <f t="shared" ref="Q199:Q262" si="27">IF(B199="","",IF(ISNUMBER(B199),YEAR(B199)&amp;"-"&amp;IF(MONTH(B199)&lt;10,"0","")&amp;MONTH(B199),LEFT(B199,7)))</f>
        <v>2026-05</v>
      </c>
    </row>
    <row r="200" spans="2:17" ht="18" customHeight="1" x14ac:dyDescent="0.3">
      <c r="B200" s="26" t="s">
        <v>101</v>
      </c>
      <c r="C200" s="17" t="s">
        <v>163</v>
      </c>
      <c r="D200" s="27" t="s">
        <v>73</v>
      </c>
      <c r="E200" s="18">
        <v>120</v>
      </c>
      <c r="F200" s="18">
        <v>0</v>
      </c>
      <c r="G200" s="18">
        <v>1440</v>
      </c>
      <c r="H200" s="30">
        <f t="shared" si="21"/>
        <v>1440</v>
      </c>
      <c r="I200" s="31">
        <f>IF(OR(B200="",C200=""),"",IFERROR(E200*IF(E200="",0,VLOOKUP(C200,'📦 Precios Proforma'!$B$5:$D$104,IF(D200="DIA",2,3),FALSE)),0))</f>
        <v>889.2</v>
      </c>
      <c r="J200" s="31">
        <f t="shared" si="22"/>
        <v>1944.0000000000002</v>
      </c>
      <c r="K200" s="31">
        <f t="shared" si="23"/>
        <v>2833.2000000000003</v>
      </c>
      <c r="L200" s="31">
        <f>IF(OR(B200="",C200=""),"",IFERROR(E200 / SUMIFS('📅 Resumen Diario'!$D$5:$D$504, '📅 Resumen Diario'!$B$5:$B$504, B200, '📅 Resumen Diario'!$C$5:$C$504, D200) * SUMIFS('📅 Resumen Diario'!$K$5:$K$504, '📅 Resumen Diario'!$B$5:$B$504, B200, '📅 Resumen Diario'!$C$5:$C$504, D200), 0))</f>
        <v>738.62065352955858</v>
      </c>
      <c r="M200" s="31">
        <f t="shared" si="24"/>
        <v>129.6</v>
      </c>
      <c r="N200" s="31">
        <f t="shared" si="25"/>
        <v>868.2206535295586</v>
      </c>
      <c r="O200" s="31">
        <f>IF(OR(B200="",C200=""),"",K200-N200 + IFERROR(E200 / SUMIFS('📅 Resumen Diario'!$D$5:$D$504, '📅 Resumen Diario'!$B$5:$B$504, B200, '📅 Resumen Diario'!$C$5:$C$504, D200) * (SUMIFS('📋 Detalle Diario'!$E$5:$E$489, '📋 Detalle Diario'!$B$5:$B$489, B200, '📋 Detalle Diario'!$C$5:$C$489, D200) * 135 + SUMIFS('📋 Detalle Diario'!$I$5:$I$489, '📋 Detalle Diario'!$B$5:$B$489, B200, '📋 Detalle Diario'!$C$5:$C$489, D200) * 200), 0))</f>
        <v>1964.9793464704417</v>
      </c>
      <c r="P200" s="32">
        <f t="shared" si="26"/>
        <v>0.69355476015475137</v>
      </c>
      <c r="Q200" s="33" t="str">
        <f t="shared" si="27"/>
        <v>2026-05</v>
      </c>
    </row>
    <row r="201" spans="2:17" ht="18" customHeight="1" x14ac:dyDescent="0.3">
      <c r="B201" s="26" t="s">
        <v>101</v>
      </c>
      <c r="C201" s="28" t="s">
        <v>152</v>
      </c>
      <c r="D201" s="27" t="s">
        <v>73</v>
      </c>
      <c r="E201" s="29">
        <v>120</v>
      </c>
      <c r="F201" s="29">
        <v>1440</v>
      </c>
      <c r="G201" s="29">
        <v>120</v>
      </c>
      <c r="H201" s="30">
        <f t="shared" si="21"/>
        <v>1560</v>
      </c>
      <c r="I201" s="31">
        <f>IF(OR(B201="",C201=""),"",IFERROR(E201*IF(E201="",0,VLOOKUP(C201,'📦 Precios Proforma'!$B$5:$D$104,IF(D201="DIA",2,3),FALSE)),0))</f>
        <v>723.6</v>
      </c>
      <c r="J201" s="31">
        <f t="shared" si="22"/>
        <v>2106</v>
      </c>
      <c r="K201" s="31">
        <f t="shared" si="23"/>
        <v>2829.6</v>
      </c>
      <c r="L201" s="31">
        <f>IF(OR(B201="",C201=""),"",IFERROR(E201 / SUMIFS('📅 Resumen Diario'!$D$5:$D$504, '📅 Resumen Diario'!$B$5:$B$504, B201, '📅 Resumen Diario'!$C$5:$C$504, D201) * SUMIFS('📅 Resumen Diario'!$K$5:$K$504, '📅 Resumen Diario'!$B$5:$B$504, B201, '📅 Resumen Diario'!$C$5:$C$504, D201), 0))</f>
        <v>738.62065352955858</v>
      </c>
      <c r="M201" s="31">
        <f t="shared" si="24"/>
        <v>140.4</v>
      </c>
      <c r="N201" s="31">
        <f t="shared" si="25"/>
        <v>879.02065352955856</v>
      </c>
      <c r="O201" s="31">
        <f>IF(OR(B201="",C201=""),"",K201-N201 + IFERROR(E201 / SUMIFS('📅 Resumen Diario'!$D$5:$D$504, '📅 Resumen Diario'!$B$5:$B$504, B201, '📅 Resumen Diario'!$C$5:$C$504, D201) * (SUMIFS('📋 Detalle Diario'!$E$5:$E$489, '📋 Detalle Diario'!$B$5:$B$489, B201, '📋 Detalle Diario'!$C$5:$C$489, D201) * 135 + SUMIFS('📋 Detalle Diario'!$I$5:$I$489, '📋 Detalle Diario'!$B$5:$B$489, B201, '📋 Detalle Diario'!$C$5:$C$489, D201) * 200), 0))</f>
        <v>1950.5793464704414</v>
      </c>
      <c r="P201" s="32">
        <f t="shared" si="26"/>
        <v>0.68934808682161486</v>
      </c>
      <c r="Q201" s="33" t="str">
        <f t="shared" si="27"/>
        <v>2026-05</v>
      </c>
    </row>
    <row r="202" spans="2:17" ht="18" customHeight="1" x14ac:dyDescent="0.3">
      <c r="B202" s="26" t="s">
        <v>102</v>
      </c>
      <c r="C202" s="17" t="s">
        <v>163</v>
      </c>
      <c r="D202" s="27" t="s">
        <v>72</v>
      </c>
      <c r="E202" s="18">
        <v>120</v>
      </c>
      <c r="F202" s="18">
        <v>0</v>
      </c>
      <c r="G202" s="18">
        <v>1440</v>
      </c>
      <c r="H202" s="30">
        <f t="shared" si="21"/>
        <v>1440</v>
      </c>
      <c r="I202" s="31">
        <f>IF(OR(B202="",C202=""),"",IFERROR(E202*IF(E202="",0,VLOOKUP(C202,'📦 Precios Proforma'!$B$5:$D$104,IF(D202="DIA",2,3),FALSE)),0))</f>
        <v>667.19999999999993</v>
      </c>
      <c r="J202" s="31">
        <f t="shared" si="22"/>
        <v>1454.4</v>
      </c>
      <c r="K202" s="31">
        <f t="shared" si="23"/>
        <v>2121.6</v>
      </c>
      <c r="L202" s="31">
        <f>IF(OR(B202="",C202=""),"",IFERROR(E202 / SUMIFS('📅 Resumen Diario'!$D$5:$D$504, '📅 Resumen Diario'!$B$5:$B$504, B202, '📅 Resumen Diario'!$C$5:$C$504, D202) * SUMIFS('📅 Resumen Diario'!$K$5:$K$504, '📅 Resumen Diario'!$B$5:$B$504, B202, '📅 Resumen Diario'!$C$5:$C$504, D202), 0))</f>
        <v>4118.000272108844</v>
      </c>
      <c r="M202" s="31">
        <f t="shared" si="24"/>
        <v>129.6</v>
      </c>
      <c r="N202" s="31">
        <f t="shared" si="25"/>
        <v>4247.6002721088444</v>
      </c>
      <c r="O202" s="31">
        <f>IF(OR(B202="",C202=""),"",K202-N202 + IFERROR(E202 / SUMIFS('📅 Resumen Diario'!$D$5:$D$504, '📅 Resumen Diario'!$B$5:$B$504, B202, '📅 Resumen Diario'!$C$5:$C$504, D202) * (SUMIFS('📋 Detalle Diario'!$E$5:$E$489, '📋 Detalle Diario'!$B$5:$B$489, B202, '📋 Detalle Diario'!$C$5:$C$489, D202) * 135 + SUMIFS('📋 Detalle Diario'!$I$5:$I$489, '📋 Detalle Diario'!$B$5:$B$489, B202, '📋 Detalle Diario'!$C$5:$C$489, D202) * 200), 0))</f>
        <v>-2126.0002721088445</v>
      </c>
      <c r="P202" s="32">
        <f t="shared" si="26"/>
        <v>-1.0020740347421024</v>
      </c>
      <c r="Q202" s="33" t="str">
        <f t="shared" si="27"/>
        <v>2026-05</v>
      </c>
    </row>
    <row r="203" spans="2:17" ht="18" customHeight="1" x14ac:dyDescent="0.3">
      <c r="B203" s="26" t="s">
        <v>102</v>
      </c>
      <c r="C203" s="28" t="s">
        <v>159</v>
      </c>
      <c r="D203" s="27" t="s">
        <v>72</v>
      </c>
      <c r="E203" s="29">
        <v>24</v>
      </c>
      <c r="F203" s="29">
        <v>288</v>
      </c>
      <c r="G203" s="29">
        <v>24</v>
      </c>
      <c r="H203" s="30">
        <f t="shared" si="21"/>
        <v>312</v>
      </c>
      <c r="I203" s="31">
        <f>IF(OR(B203="",C203=""),"",IFERROR(E203*IF(E203="",0,VLOOKUP(C203,'📦 Precios Proforma'!$B$5:$D$104,IF(D203="DIA",2,3),FALSE)),0))</f>
        <v>108.47999999999999</v>
      </c>
      <c r="J203" s="31">
        <f t="shared" si="22"/>
        <v>315.12</v>
      </c>
      <c r="K203" s="31">
        <f t="shared" si="23"/>
        <v>423.6</v>
      </c>
      <c r="L203" s="31">
        <f>IF(OR(B203="",C203=""),"",IFERROR(E203 / SUMIFS('📅 Resumen Diario'!$D$5:$D$504, '📅 Resumen Diario'!$B$5:$B$504, B203, '📅 Resumen Diario'!$C$5:$C$504, D203) * SUMIFS('📅 Resumen Diario'!$K$5:$K$504, '📅 Resumen Diario'!$B$5:$B$504, B203, '📅 Resumen Diario'!$C$5:$C$504, D203), 0))</f>
        <v>823.60005442176873</v>
      </c>
      <c r="M203" s="31">
        <f t="shared" si="24"/>
        <v>28.08</v>
      </c>
      <c r="N203" s="31">
        <f t="shared" si="25"/>
        <v>851.68005442176877</v>
      </c>
      <c r="O203" s="31">
        <f>IF(OR(B203="",C203=""),"",K203-N203 + IFERROR(E203 / SUMIFS('📅 Resumen Diario'!$D$5:$D$504, '📅 Resumen Diario'!$B$5:$B$504, B203, '📅 Resumen Diario'!$C$5:$C$504, D203) * (SUMIFS('📋 Detalle Diario'!$E$5:$E$489, '📋 Detalle Diario'!$B$5:$B$489, B203, '📋 Detalle Diario'!$C$5:$C$489, D203) * 135 + SUMIFS('📋 Detalle Diario'!$I$5:$I$489, '📋 Detalle Diario'!$B$5:$B$489, B203, '📋 Detalle Diario'!$C$5:$C$489, D203) * 200), 0))</f>
        <v>-428.08005442176875</v>
      </c>
      <c r="P203" s="32">
        <f t="shared" si="26"/>
        <v>-1.0105761435830234</v>
      </c>
      <c r="Q203" s="33" t="str">
        <f t="shared" si="27"/>
        <v>2026-05</v>
      </c>
    </row>
    <row r="204" spans="2:17" ht="18" customHeight="1" x14ac:dyDescent="0.3">
      <c r="B204" s="26" t="s">
        <v>102</v>
      </c>
      <c r="C204" s="17" t="s">
        <v>134</v>
      </c>
      <c r="D204" s="27" t="s">
        <v>72</v>
      </c>
      <c r="E204" s="18">
        <v>3</v>
      </c>
      <c r="F204" s="18">
        <v>0</v>
      </c>
      <c r="G204" s="18">
        <v>0</v>
      </c>
      <c r="H204" s="30">
        <f t="shared" si="21"/>
        <v>0</v>
      </c>
      <c r="I204" s="31">
        <f>IF(OR(B204="",C204=""),"",IFERROR(E204*IF(E204="",0,VLOOKUP(C204,'📦 Precios Proforma'!$B$5:$D$104,IF(D204="DIA",2,3),FALSE)),0))</f>
        <v>135</v>
      </c>
      <c r="J204" s="31">
        <f t="shared" si="22"/>
        <v>0</v>
      </c>
      <c r="K204" s="31">
        <f t="shared" si="23"/>
        <v>135</v>
      </c>
      <c r="L204" s="31">
        <f>IF(OR(B204="",C204=""),"",IFERROR(E204 / SUMIFS('📅 Resumen Diario'!$D$5:$D$504, '📅 Resumen Diario'!$B$5:$B$504, B204, '📅 Resumen Diario'!$C$5:$C$504, D204) * SUMIFS('📅 Resumen Diario'!$K$5:$K$504, '📅 Resumen Diario'!$B$5:$B$504, B204, '📅 Resumen Diario'!$C$5:$C$504, D204), 0))</f>
        <v>102.95000680272109</v>
      </c>
      <c r="M204" s="31">
        <f t="shared" si="24"/>
        <v>0</v>
      </c>
      <c r="N204" s="31">
        <f t="shared" si="25"/>
        <v>102.95000680272109</v>
      </c>
      <c r="O204" s="31">
        <f>IF(OR(B204="",C204=""),"",K204-N204 + IFERROR(E204 / SUMIFS('📅 Resumen Diario'!$D$5:$D$504, '📅 Resumen Diario'!$B$5:$B$504, B204, '📅 Resumen Diario'!$C$5:$C$504, D204) * (SUMIFS('📋 Detalle Diario'!$E$5:$E$489, '📋 Detalle Diario'!$B$5:$B$489, B204, '📋 Detalle Diario'!$C$5:$C$489, D204) * 135 + SUMIFS('📋 Detalle Diario'!$I$5:$I$489, '📋 Detalle Diario'!$B$5:$B$489, B204, '📋 Detalle Diario'!$C$5:$C$489, D204) * 200), 0))</f>
        <v>32.049993197278908</v>
      </c>
      <c r="P204" s="32">
        <f t="shared" si="26"/>
        <v>0.23740735701688082</v>
      </c>
      <c r="Q204" s="33" t="str">
        <f t="shared" si="27"/>
        <v>2026-05</v>
      </c>
    </row>
    <row r="205" spans="2:17" ht="18" customHeight="1" x14ac:dyDescent="0.3">
      <c r="B205" s="26" t="s">
        <v>103</v>
      </c>
      <c r="C205" s="28" t="s">
        <v>161</v>
      </c>
      <c r="D205" s="27" t="s">
        <v>72</v>
      </c>
      <c r="E205" s="29">
        <v>50</v>
      </c>
      <c r="F205" s="29">
        <v>600</v>
      </c>
      <c r="G205" s="29">
        <v>50</v>
      </c>
      <c r="H205" s="30">
        <f t="shared" si="21"/>
        <v>650</v>
      </c>
      <c r="I205" s="31">
        <f>IF(OR(B205="",C205=""),"",IFERROR(E205*IF(E205="",0,VLOOKUP(C205,'📦 Precios Proforma'!$B$5:$D$104,IF(D205="DIA",2,3),FALSE)),0))</f>
        <v>225.99999999999997</v>
      </c>
      <c r="J205" s="31">
        <f t="shared" si="22"/>
        <v>656.5</v>
      </c>
      <c r="K205" s="31">
        <f t="shared" si="23"/>
        <v>882.5</v>
      </c>
      <c r="L205" s="31">
        <f>IF(OR(B205="",C205=""),"",IFERROR(E205 / SUMIFS('📅 Resumen Diario'!$D$5:$D$504, '📅 Resumen Diario'!$B$5:$B$504, B205, '📅 Resumen Diario'!$C$5:$C$504, D205) * SUMIFS('📅 Resumen Diario'!$K$5:$K$504, '📅 Resumen Diario'!$B$5:$B$504, B205, '📅 Resumen Diario'!$C$5:$C$504, D205), 0))</f>
        <v>609.24520933977453</v>
      </c>
      <c r="M205" s="31">
        <f t="shared" si="24"/>
        <v>58.5</v>
      </c>
      <c r="N205" s="31">
        <f t="shared" si="25"/>
        <v>667.74520933977453</v>
      </c>
      <c r="O205" s="31">
        <f>IF(OR(B205="",C205=""),"",K205-N205 + IFERROR(E205 / SUMIFS('📅 Resumen Diario'!$D$5:$D$504, '📅 Resumen Diario'!$B$5:$B$504, B205, '📅 Resumen Diario'!$C$5:$C$504, D205) * (SUMIFS('📋 Detalle Diario'!$E$5:$E$489, '📋 Detalle Diario'!$B$5:$B$489, B205, '📋 Detalle Diario'!$C$5:$C$489, D205) * 135 + SUMIFS('📋 Detalle Diario'!$I$5:$I$489, '📋 Detalle Diario'!$B$5:$B$489, B205, '📋 Detalle Diario'!$C$5:$C$489, D205) * 200), 0))</f>
        <v>214.75479066022547</v>
      </c>
      <c r="P205" s="32">
        <f t="shared" si="26"/>
        <v>0.24334820471413651</v>
      </c>
      <c r="Q205" s="33" t="str">
        <f t="shared" si="27"/>
        <v>2026-05</v>
      </c>
    </row>
    <row r="206" spans="2:17" ht="18" customHeight="1" x14ac:dyDescent="0.3">
      <c r="B206" s="26" t="s">
        <v>103</v>
      </c>
      <c r="C206" s="17" t="s">
        <v>148</v>
      </c>
      <c r="D206" s="27" t="s">
        <v>72</v>
      </c>
      <c r="E206" s="18">
        <v>58</v>
      </c>
      <c r="F206" s="18">
        <v>58</v>
      </c>
      <c r="G206" s="18">
        <v>116</v>
      </c>
      <c r="H206" s="30">
        <f t="shared" si="21"/>
        <v>174</v>
      </c>
      <c r="I206" s="31">
        <f>IF(OR(B206="",C206=""),"",IFERROR(E206*IF(E206="",0,VLOOKUP(C206,'📦 Precios Proforma'!$B$5:$D$104,IF(D206="DIA",2,3),FALSE)),0))</f>
        <v>262.15999999999997</v>
      </c>
      <c r="J206" s="31">
        <f t="shared" si="22"/>
        <v>175.74</v>
      </c>
      <c r="K206" s="31">
        <f t="shared" si="23"/>
        <v>437.9</v>
      </c>
      <c r="L206" s="31">
        <f>IF(OR(B206="",C206=""),"",IFERROR(E206 / SUMIFS('📅 Resumen Diario'!$D$5:$D$504, '📅 Resumen Diario'!$B$5:$B$504, B206, '📅 Resumen Diario'!$C$5:$C$504, D206) * SUMIFS('📅 Resumen Diario'!$K$5:$K$504, '📅 Resumen Diario'!$B$5:$B$504, B206, '📅 Resumen Diario'!$C$5:$C$504, D206), 0))</f>
        <v>706.72444283413859</v>
      </c>
      <c r="M206" s="31">
        <f t="shared" si="24"/>
        <v>15.66</v>
      </c>
      <c r="N206" s="31">
        <f t="shared" si="25"/>
        <v>722.38444283413855</v>
      </c>
      <c r="O206" s="31">
        <f>IF(OR(B206="",C206=""),"",K206-N206 + IFERROR(E206 / SUMIFS('📅 Resumen Diario'!$D$5:$D$504, '📅 Resumen Diario'!$B$5:$B$504, B206, '📅 Resumen Diario'!$C$5:$C$504, D206) * (SUMIFS('📋 Detalle Diario'!$E$5:$E$489, '📋 Detalle Diario'!$B$5:$B$489, B206, '📋 Detalle Diario'!$C$5:$C$489, D206) * 135 + SUMIFS('📋 Detalle Diario'!$I$5:$I$489, '📋 Detalle Diario'!$B$5:$B$489, B206, '📋 Detalle Diario'!$C$5:$C$489, D206) * 200), 0))</f>
        <v>-284.48444283413858</v>
      </c>
      <c r="P206" s="32">
        <f t="shared" si="26"/>
        <v>-0.64965618368152223</v>
      </c>
      <c r="Q206" s="33" t="str">
        <f t="shared" si="27"/>
        <v>2026-05</v>
      </c>
    </row>
    <row r="207" spans="2:17" ht="18" customHeight="1" x14ac:dyDescent="0.3">
      <c r="B207" s="26" t="s">
        <v>103</v>
      </c>
      <c r="C207" s="28" t="s">
        <v>150</v>
      </c>
      <c r="D207" s="27" t="s">
        <v>72</v>
      </c>
      <c r="E207" s="29">
        <v>180</v>
      </c>
      <c r="F207" s="29">
        <v>180</v>
      </c>
      <c r="G207" s="29">
        <v>720</v>
      </c>
      <c r="H207" s="30">
        <f t="shared" si="21"/>
        <v>900</v>
      </c>
      <c r="I207" s="31">
        <f>IF(OR(B207="",C207=""),"",IFERROR(E207*IF(E207="",0,VLOOKUP(C207,'📦 Precios Proforma'!$B$5:$D$104,IF(D207="DIA",2,3),FALSE)),0))</f>
        <v>813.59999999999991</v>
      </c>
      <c r="J207" s="31">
        <f t="shared" si="22"/>
        <v>909</v>
      </c>
      <c r="K207" s="31">
        <f t="shared" si="23"/>
        <v>1722.6</v>
      </c>
      <c r="L207" s="31">
        <f>IF(OR(B207="",C207=""),"",IFERROR(E207 / SUMIFS('📅 Resumen Diario'!$D$5:$D$504, '📅 Resumen Diario'!$B$5:$B$504, B207, '📅 Resumen Diario'!$C$5:$C$504, D207) * SUMIFS('📅 Resumen Diario'!$K$5:$K$504, '📅 Resumen Diario'!$B$5:$B$504, B207, '📅 Resumen Diario'!$C$5:$C$504, D207), 0))</f>
        <v>2193.2827536231885</v>
      </c>
      <c r="M207" s="31">
        <f t="shared" si="24"/>
        <v>81</v>
      </c>
      <c r="N207" s="31">
        <f t="shared" si="25"/>
        <v>2274.2827536231885</v>
      </c>
      <c r="O207" s="31">
        <f>IF(OR(B207="",C207=""),"",K207-N207 + IFERROR(E207 / SUMIFS('📅 Resumen Diario'!$D$5:$D$504, '📅 Resumen Diario'!$B$5:$B$504, B207, '📅 Resumen Diario'!$C$5:$C$504, D207) * (SUMIFS('📋 Detalle Diario'!$E$5:$E$489, '📋 Detalle Diario'!$B$5:$B$489, B207, '📋 Detalle Diario'!$C$5:$C$489, D207) * 135 + SUMIFS('📋 Detalle Diario'!$I$5:$I$489, '📋 Detalle Diario'!$B$5:$B$489, B207, '📋 Detalle Diario'!$C$5:$C$489, D207) * 200), 0))</f>
        <v>-551.68275362318855</v>
      </c>
      <c r="P207" s="32">
        <f t="shared" si="26"/>
        <v>-0.32026167051154569</v>
      </c>
      <c r="Q207" s="33" t="str">
        <f t="shared" si="27"/>
        <v>2026-05</v>
      </c>
    </row>
    <row r="208" spans="2:17" ht="18" customHeight="1" x14ac:dyDescent="0.3">
      <c r="B208" s="26" t="s">
        <v>103</v>
      </c>
      <c r="C208" s="17" t="s">
        <v>149</v>
      </c>
      <c r="D208" s="27" t="s">
        <v>72</v>
      </c>
      <c r="E208" s="18">
        <v>72</v>
      </c>
      <c r="F208" s="18">
        <v>0</v>
      </c>
      <c r="G208" s="18">
        <v>72</v>
      </c>
      <c r="H208" s="30">
        <f t="shared" si="21"/>
        <v>72</v>
      </c>
      <c r="I208" s="31">
        <f>IF(OR(B208="",C208=""),"",IFERROR(E208*IF(E208="",0,VLOOKUP(C208,'📦 Precios Proforma'!$B$5:$D$104,IF(D208="DIA",2,3),FALSE)),0))</f>
        <v>341.28000000000003</v>
      </c>
      <c r="J208" s="31">
        <f t="shared" si="22"/>
        <v>72.72</v>
      </c>
      <c r="K208" s="31">
        <f t="shared" si="23"/>
        <v>414</v>
      </c>
      <c r="L208" s="31">
        <f>IF(OR(B208="",C208=""),"",IFERROR(E208 / SUMIFS('📅 Resumen Diario'!$D$5:$D$504, '📅 Resumen Diario'!$B$5:$B$504, B208, '📅 Resumen Diario'!$C$5:$C$504, D208) * SUMIFS('📅 Resumen Diario'!$K$5:$K$504, '📅 Resumen Diario'!$B$5:$B$504, B208, '📅 Resumen Diario'!$C$5:$C$504, D208), 0))</f>
        <v>877.31310144927534</v>
      </c>
      <c r="M208" s="31">
        <f t="shared" si="24"/>
        <v>6.4799999999999995</v>
      </c>
      <c r="N208" s="31">
        <f t="shared" si="25"/>
        <v>883.79310144927535</v>
      </c>
      <c r="O208" s="31">
        <f>IF(OR(B208="",C208=""),"",K208-N208 + IFERROR(E208 / SUMIFS('📅 Resumen Diario'!$D$5:$D$504, '📅 Resumen Diario'!$B$5:$B$504, B208, '📅 Resumen Diario'!$C$5:$C$504, D208) * (SUMIFS('📋 Detalle Diario'!$E$5:$E$489, '📋 Detalle Diario'!$B$5:$B$489, B208, '📋 Detalle Diario'!$C$5:$C$489, D208) * 135 + SUMIFS('📋 Detalle Diario'!$I$5:$I$489, '📋 Detalle Diario'!$B$5:$B$489, B208, '📋 Detalle Diario'!$C$5:$C$489, D208) * 200), 0))</f>
        <v>-469.79310144927535</v>
      </c>
      <c r="P208" s="32">
        <f t="shared" si="26"/>
        <v>-1.1347659455296506</v>
      </c>
      <c r="Q208" s="33" t="str">
        <f t="shared" si="27"/>
        <v>2026-05</v>
      </c>
    </row>
    <row r="209" spans="2:17" ht="18" customHeight="1" x14ac:dyDescent="0.3">
      <c r="B209" s="26" t="s">
        <v>103</v>
      </c>
      <c r="C209" s="28" t="s">
        <v>151</v>
      </c>
      <c r="D209" s="27" t="s">
        <v>72</v>
      </c>
      <c r="E209" s="29">
        <v>54</v>
      </c>
      <c r="F209" s="29">
        <v>0</v>
      </c>
      <c r="G209" s="29">
        <v>486</v>
      </c>
      <c r="H209" s="30">
        <f t="shared" si="21"/>
        <v>486</v>
      </c>
      <c r="I209" s="31">
        <f>IF(OR(B209="",C209=""),"",IFERROR(E209*IF(E209="",0,VLOOKUP(C209,'📦 Precios Proforma'!$B$5:$D$104,IF(D209="DIA",2,3),FALSE)),0))</f>
        <v>244.07999999999998</v>
      </c>
      <c r="J209" s="31">
        <f t="shared" si="22"/>
        <v>490.86</v>
      </c>
      <c r="K209" s="31">
        <f t="shared" si="23"/>
        <v>734.94</v>
      </c>
      <c r="L209" s="31">
        <f>IF(OR(B209="",C209=""),"",IFERROR(E209 / SUMIFS('📅 Resumen Diario'!$D$5:$D$504, '📅 Resumen Diario'!$B$5:$B$504, B209, '📅 Resumen Diario'!$C$5:$C$504, D209) * SUMIFS('📅 Resumen Diario'!$K$5:$K$504, '📅 Resumen Diario'!$B$5:$B$504, B209, '📅 Resumen Diario'!$C$5:$C$504, D209), 0))</f>
        <v>657.98482608695656</v>
      </c>
      <c r="M209" s="31">
        <f t="shared" si="24"/>
        <v>43.739999999999995</v>
      </c>
      <c r="N209" s="31">
        <f t="shared" si="25"/>
        <v>701.72482608695657</v>
      </c>
      <c r="O209" s="31">
        <f>IF(OR(B209="",C209=""),"",K209-N209 + IFERROR(E209 / SUMIFS('📅 Resumen Diario'!$D$5:$D$504, '📅 Resumen Diario'!$B$5:$B$504, B209, '📅 Resumen Diario'!$C$5:$C$504, D209) * (SUMIFS('📋 Detalle Diario'!$E$5:$E$489, '📋 Detalle Diario'!$B$5:$B$489, B209, '📋 Detalle Diario'!$C$5:$C$489, D209) * 135 + SUMIFS('📋 Detalle Diario'!$I$5:$I$489, '📋 Detalle Diario'!$B$5:$B$489, B209, '📋 Detalle Diario'!$C$5:$C$489, D209) * 200), 0))</f>
        <v>33.215173913043486</v>
      </c>
      <c r="P209" s="32">
        <f t="shared" si="26"/>
        <v>4.5194402145812558E-2</v>
      </c>
      <c r="Q209" s="33" t="str">
        <f t="shared" si="27"/>
        <v>2026-05</v>
      </c>
    </row>
    <row r="210" spans="2:17" ht="18" customHeight="1" x14ac:dyDescent="0.3">
      <c r="B210" s="26" t="s">
        <v>103</v>
      </c>
      <c r="C210" s="17" t="s">
        <v>150</v>
      </c>
      <c r="D210" s="27" t="s">
        <v>73</v>
      </c>
      <c r="E210" s="18">
        <v>166</v>
      </c>
      <c r="F210" s="18">
        <v>166</v>
      </c>
      <c r="G210" s="18">
        <v>664</v>
      </c>
      <c r="H210" s="30">
        <f t="shared" si="21"/>
        <v>830</v>
      </c>
      <c r="I210" s="31">
        <f>IF(OR(B210="",C210=""),"",IFERROR(E210*IF(E210="",0,VLOOKUP(C210,'📦 Precios Proforma'!$B$5:$D$104,IF(D210="DIA",2,3),FALSE)),0))</f>
        <v>1000.98</v>
      </c>
      <c r="J210" s="31">
        <f t="shared" si="22"/>
        <v>1120.5</v>
      </c>
      <c r="K210" s="31">
        <f t="shared" si="23"/>
        <v>2121.48</v>
      </c>
      <c r="L210" s="31">
        <f>IF(OR(B210="",C210=""),"",IFERROR(E210 / SUMIFS('📅 Resumen Diario'!$D$5:$D$504, '📅 Resumen Diario'!$B$5:$B$504, B210, '📅 Resumen Diario'!$C$5:$C$504, D210) * SUMIFS('📅 Resumen Diario'!$K$5:$K$504, '📅 Resumen Diario'!$B$5:$B$504, B210, '📅 Resumen Diario'!$C$5:$C$504, D210), 0))</f>
        <v>510.11582938978836</v>
      </c>
      <c r="M210" s="31">
        <f t="shared" si="24"/>
        <v>74.7</v>
      </c>
      <c r="N210" s="31">
        <f t="shared" si="25"/>
        <v>584.81582938978841</v>
      </c>
      <c r="O210" s="31">
        <f>IF(OR(B210="",C210=""),"",K210-N210 + IFERROR(E210 / SUMIFS('📅 Resumen Diario'!$D$5:$D$504, '📅 Resumen Diario'!$B$5:$B$504, B210, '📅 Resumen Diario'!$C$5:$C$504, D210) * (SUMIFS('📋 Detalle Diario'!$E$5:$E$489, '📋 Detalle Diario'!$B$5:$B$489, B210, '📋 Detalle Diario'!$C$5:$C$489, D210) * 135 + SUMIFS('📋 Detalle Diario'!$I$5:$I$489, '📋 Detalle Diario'!$B$5:$B$489, B210, '📋 Detalle Diario'!$C$5:$C$489, D210) * 200), 0))</f>
        <v>1536.6641706102116</v>
      </c>
      <c r="P210" s="32">
        <f t="shared" si="26"/>
        <v>0.72433592143702119</v>
      </c>
      <c r="Q210" s="33" t="str">
        <f t="shared" si="27"/>
        <v>2026-05</v>
      </c>
    </row>
    <row r="211" spans="2:17" ht="18" customHeight="1" x14ac:dyDescent="0.3">
      <c r="B211" s="26" t="s">
        <v>103</v>
      </c>
      <c r="C211" s="28" t="s">
        <v>148</v>
      </c>
      <c r="D211" s="27" t="s">
        <v>73</v>
      </c>
      <c r="E211" s="29">
        <v>1350</v>
      </c>
      <c r="F211" s="29">
        <v>1350</v>
      </c>
      <c r="G211" s="29">
        <v>2700</v>
      </c>
      <c r="H211" s="30">
        <f t="shared" si="21"/>
        <v>4050</v>
      </c>
      <c r="I211" s="31">
        <f>IF(OR(B211="",C211=""),"",IFERROR(E211*IF(E211="",0,VLOOKUP(C211,'📦 Precios Proforma'!$B$5:$D$104,IF(D211="DIA",2,3),FALSE)),0))</f>
        <v>8140.5</v>
      </c>
      <c r="J211" s="31">
        <f t="shared" si="22"/>
        <v>5467.5</v>
      </c>
      <c r="K211" s="31">
        <f t="shared" si="23"/>
        <v>13608</v>
      </c>
      <c r="L211" s="31">
        <f>IF(OR(B211="",C211=""),"",IFERROR(E211 / SUMIFS('📅 Resumen Diario'!$D$5:$D$504, '📅 Resumen Diario'!$B$5:$B$504, B211, '📅 Resumen Diario'!$C$5:$C$504, D211) * SUMIFS('📅 Resumen Diario'!$K$5:$K$504, '📅 Resumen Diario'!$B$5:$B$504, B211, '📅 Resumen Diario'!$C$5:$C$504, D211), 0))</f>
        <v>4148.5323474470742</v>
      </c>
      <c r="M211" s="31">
        <f t="shared" si="24"/>
        <v>364.5</v>
      </c>
      <c r="N211" s="31">
        <f t="shared" si="25"/>
        <v>4513.0323474470742</v>
      </c>
      <c r="O211" s="31">
        <f>IF(OR(B211="",C211=""),"",K211-N211 + IFERROR(E211 / SUMIFS('📅 Resumen Diario'!$D$5:$D$504, '📅 Resumen Diario'!$B$5:$B$504, B211, '📅 Resumen Diario'!$C$5:$C$504, D211) * (SUMIFS('📋 Detalle Diario'!$E$5:$E$489, '📋 Detalle Diario'!$B$5:$B$489, B211, '📋 Detalle Diario'!$C$5:$C$489, D211) * 135 + SUMIFS('📋 Detalle Diario'!$I$5:$I$489, '📋 Detalle Diario'!$B$5:$B$489, B211, '📋 Detalle Diario'!$C$5:$C$489, D211) * 200), 0))</f>
        <v>9094.9676525529248</v>
      </c>
      <c r="P211" s="32">
        <f t="shared" si="26"/>
        <v>0.66835447182193741</v>
      </c>
      <c r="Q211" s="33" t="str">
        <f t="shared" si="27"/>
        <v>2026-05</v>
      </c>
    </row>
    <row r="212" spans="2:17" ht="18" customHeight="1" x14ac:dyDescent="0.3">
      <c r="B212" s="26" t="s">
        <v>103</v>
      </c>
      <c r="C212" s="17" t="s">
        <v>151</v>
      </c>
      <c r="D212" s="27" t="s">
        <v>73</v>
      </c>
      <c r="E212" s="18">
        <v>90</v>
      </c>
      <c r="F212" s="18">
        <v>0</v>
      </c>
      <c r="G212" s="18">
        <v>0</v>
      </c>
      <c r="H212" s="30">
        <f t="shared" si="21"/>
        <v>0</v>
      </c>
      <c r="I212" s="31">
        <f>IF(OR(B212="",C212=""),"",IFERROR(E212*IF(E212="",0,VLOOKUP(C212,'📦 Precios Proforma'!$B$5:$D$104,IF(D212="DIA",2,3),FALSE)),0))</f>
        <v>542.70000000000005</v>
      </c>
      <c r="J212" s="31">
        <f t="shared" si="22"/>
        <v>0</v>
      </c>
      <c r="K212" s="31">
        <f t="shared" si="23"/>
        <v>542.70000000000005</v>
      </c>
      <c r="L212" s="31">
        <f>IF(OR(B212="",C212=""),"",IFERROR(E212 / SUMIFS('📅 Resumen Diario'!$D$5:$D$504, '📅 Resumen Diario'!$B$5:$B$504, B212, '📅 Resumen Diario'!$C$5:$C$504, D212) * SUMIFS('📅 Resumen Diario'!$K$5:$K$504, '📅 Resumen Diario'!$B$5:$B$504, B212, '📅 Resumen Diario'!$C$5:$C$504, D212), 0))</f>
        <v>276.56882316313829</v>
      </c>
      <c r="M212" s="31">
        <f t="shared" si="24"/>
        <v>0</v>
      </c>
      <c r="N212" s="31">
        <f t="shared" si="25"/>
        <v>276.56882316313829</v>
      </c>
      <c r="O212" s="31">
        <f>IF(OR(B212="",C212=""),"",K212-N212 + IFERROR(E212 / SUMIFS('📅 Resumen Diario'!$D$5:$D$504, '📅 Resumen Diario'!$B$5:$B$504, B212, '📅 Resumen Diario'!$C$5:$C$504, D212) * (SUMIFS('📋 Detalle Diario'!$E$5:$E$489, '📋 Detalle Diario'!$B$5:$B$489, B212, '📋 Detalle Diario'!$C$5:$C$489, D212) * 135 + SUMIFS('📋 Detalle Diario'!$I$5:$I$489, '📋 Detalle Diario'!$B$5:$B$489, B212, '📋 Detalle Diario'!$C$5:$C$489, D212) * 200), 0))</f>
        <v>266.13117683686175</v>
      </c>
      <c r="P212" s="32">
        <f t="shared" si="26"/>
        <v>0.49038359468741799</v>
      </c>
      <c r="Q212" s="33" t="str">
        <f t="shared" si="27"/>
        <v>2026-05</v>
      </c>
    </row>
    <row r="213" spans="2:17" ht="18" customHeight="1" x14ac:dyDescent="0.3">
      <c r="B213" s="26" t="s">
        <v>104</v>
      </c>
      <c r="C213" s="28" t="s">
        <v>164</v>
      </c>
      <c r="D213" s="27" t="s">
        <v>72</v>
      </c>
      <c r="E213" s="29">
        <v>120</v>
      </c>
      <c r="F213" s="29">
        <v>0</v>
      </c>
      <c r="G213" s="29">
        <v>120</v>
      </c>
      <c r="H213" s="30">
        <f t="shared" si="21"/>
        <v>120</v>
      </c>
      <c r="I213" s="31">
        <f>IF(OR(B213="",C213=""),"",IFERROR(E213*IF(E213="",0,VLOOKUP(C213,'📦 Precios Proforma'!$B$5:$D$104,IF(D213="DIA",2,3),FALSE)),0))</f>
        <v>742.80000000000007</v>
      </c>
      <c r="J213" s="31">
        <f t="shared" si="22"/>
        <v>121.2</v>
      </c>
      <c r="K213" s="31">
        <f t="shared" si="23"/>
        <v>864.00000000000011</v>
      </c>
      <c r="L213" s="31">
        <f>IF(OR(B213="",C213=""),"",IFERROR(E213 / SUMIFS('📅 Resumen Diario'!$D$5:$D$504, '📅 Resumen Diario'!$B$5:$B$504, B213, '📅 Resumen Diario'!$C$5:$C$504, D213) * SUMIFS('📅 Resumen Diario'!$K$5:$K$504, '📅 Resumen Diario'!$B$5:$B$504, B213, '📅 Resumen Diario'!$C$5:$C$504, D213), 0))</f>
        <v>1625.917354988399</v>
      </c>
      <c r="M213" s="31">
        <f t="shared" si="24"/>
        <v>10.799999999999999</v>
      </c>
      <c r="N213" s="31">
        <f t="shared" si="25"/>
        <v>1636.7173549883989</v>
      </c>
      <c r="O213" s="31">
        <f>IF(OR(B213="",C213=""),"",K213-N213 + IFERROR(E213 / SUMIFS('📅 Resumen Diario'!$D$5:$D$504, '📅 Resumen Diario'!$B$5:$B$504, B213, '📅 Resumen Diario'!$C$5:$C$504, D213) * (SUMIFS('📋 Detalle Diario'!$E$5:$E$489, '📋 Detalle Diario'!$B$5:$B$489, B213, '📋 Detalle Diario'!$C$5:$C$489, D213) * 135 + SUMIFS('📋 Detalle Diario'!$I$5:$I$489, '📋 Detalle Diario'!$B$5:$B$489, B213, '📋 Detalle Diario'!$C$5:$C$489, D213) * 200), 0))</f>
        <v>-772.71735498839882</v>
      </c>
      <c r="P213" s="32">
        <f t="shared" si="26"/>
        <v>-0.89434879049583182</v>
      </c>
      <c r="Q213" s="33" t="str">
        <f t="shared" si="27"/>
        <v>2026-06</v>
      </c>
    </row>
    <row r="214" spans="2:17" ht="18" customHeight="1" x14ac:dyDescent="0.3">
      <c r="B214" s="26" t="s">
        <v>104</v>
      </c>
      <c r="C214" s="17" t="s">
        <v>131</v>
      </c>
      <c r="D214" s="27" t="s">
        <v>72</v>
      </c>
      <c r="E214" s="18">
        <v>11</v>
      </c>
      <c r="F214" s="18">
        <v>0</v>
      </c>
      <c r="G214" s="18">
        <v>0</v>
      </c>
      <c r="H214" s="30">
        <f t="shared" si="21"/>
        <v>0</v>
      </c>
      <c r="I214" s="31">
        <f>IF(OR(B214="",C214=""),"",IFERROR(E214*IF(E214="",0,VLOOKUP(C214,'📦 Precios Proforma'!$B$5:$D$104,IF(D214="DIA",2,3),FALSE)),0))</f>
        <v>495</v>
      </c>
      <c r="J214" s="31">
        <f t="shared" si="22"/>
        <v>0</v>
      </c>
      <c r="K214" s="31">
        <f t="shared" si="23"/>
        <v>495</v>
      </c>
      <c r="L214" s="31">
        <f>IF(OR(B214="",C214=""),"",IFERROR(E214 / SUMIFS('📅 Resumen Diario'!$D$5:$D$504, '📅 Resumen Diario'!$B$5:$B$504, B214, '📅 Resumen Diario'!$C$5:$C$504, D214) * SUMIFS('📅 Resumen Diario'!$K$5:$K$504, '📅 Resumen Diario'!$B$5:$B$504, B214, '📅 Resumen Diario'!$C$5:$C$504, D214), 0))</f>
        <v>149.0424242072699</v>
      </c>
      <c r="M214" s="31">
        <f t="shared" si="24"/>
        <v>0</v>
      </c>
      <c r="N214" s="31">
        <f t="shared" si="25"/>
        <v>149.0424242072699</v>
      </c>
      <c r="O214" s="31">
        <f>IF(OR(B214="",C214=""),"",K214-N214 + IFERROR(E214 / SUMIFS('📅 Resumen Diario'!$D$5:$D$504, '📅 Resumen Diario'!$B$5:$B$504, B214, '📅 Resumen Diario'!$C$5:$C$504, D214) * (SUMIFS('📋 Detalle Diario'!$E$5:$E$489, '📋 Detalle Diario'!$B$5:$B$489, B214, '📋 Detalle Diario'!$C$5:$C$489, D214) * 135 + SUMIFS('📋 Detalle Diario'!$I$5:$I$489, '📋 Detalle Diario'!$B$5:$B$489, B214, '📋 Detalle Diario'!$C$5:$C$489, D214) * 200), 0))</f>
        <v>345.9575757927301</v>
      </c>
      <c r="P214" s="32">
        <f t="shared" si="26"/>
        <v>0.69890419352066691</v>
      </c>
      <c r="Q214" s="33" t="str">
        <f t="shared" si="27"/>
        <v>2026-06</v>
      </c>
    </row>
    <row r="215" spans="2:17" ht="18" customHeight="1" x14ac:dyDescent="0.3">
      <c r="B215" s="26" t="s">
        <v>104</v>
      </c>
      <c r="C215" s="28" t="s">
        <v>150</v>
      </c>
      <c r="D215" s="27" t="s">
        <v>72</v>
      </c>
      <c r="E215" s="29">
        <v>300</v>
      </c>
      <c r="F215" s="29">
        <v>300</v>
      </c>
      <c r="G215" s="29">
        <v>1200</v>
      </c>
      <c r="H215" s="30">
        <f t="shared" si="21"/>
        <v>1500</v>
      </c>
      <c r="I215" s="31">
        <f>IF(OR(B215="",C215=""),"",IFERROR(E215*IF(E215="",0,VLOOKUP(C215,'📦 Precios Proforma'!$B$5:$D$104,IF(D215="DIA",2,3),FALSE)),0))</f>
        <v>1355.9999999999998</v>
      </c>
      <c r="J215" s="31">
        <f t="shared" si="22"/>
        <v>1515</v>
      </c>
      <c r="K215" s="31">
        <f t="shared" si="23"/>
        <v>2871</v>
      </c>
      <c r="L215" s="31">
        <f>IF(OR(B215="",C215=""),"",IFERROR(E215 / SUMIFS('📅 Resumen Diario'!$D$5:$D$504, '📅 Resumen Diario'!$B$5:$B$504, B215, '📅 Resumen Diario'!$C$5:$C$504, D215) * SUMIFS('📅 Resumen Diario'!$K$5:$K$504, '📅 Resumen Diario'!$B$5:$B$504, B215, '📅 Resumen Diario'!$C$5:$C$504, D215), 0))</f>
        <v>4064.7933874709975</v>
      </c>
      <c r="M215" s="31">
        <f t="shared" si="24"/>
        <v>135</v>
      </c>
      <c r="N215" s="31">
        <f t="shared" si="25"/>
        <v>4199.7933874709979</v>
      </c>
      <c r="O215" s="31">
        <f>IF(OR(B215="",C215=""),"",K215-N215 + IFERROR(E215 / SUMIFS('📅 Resumen Diario'!$D$5:$D$504, '📅 Resumen Diario'!$B$5:$B$504, B215, '📅 Resumen Diario'!$C$5:$C$504, D215) * (SUMIFS('📋 Detalle Diario'!$E$5:$E$489, '📋 Detalle Diario'!$B$5:$B$489, B215, '📋 Detalle Diario'!$C$5:$C$489, D215) * 135 + SUMIFS('📋 Detalle Diario'!$I$5:$I$489, '📋 Detalle Diario'!$B$5:$B$489, B215, '📋 Detalle Diario'!$C$5:$C$489, D215) * 200), 0))</f>
        <v>-1328.7933874709979</v>
      </c>
      <c r="P215" s="32">
        <f t="shared" si="26"/>
        <v>-0.4628329458275855</v>
      </c>
      <c r="Q215" s="33" t="str">
        <f t="shared" si="27"/>
        <v>2026-06</v>
      </c>
    </row>
    <row r="216" spans="2:17" ht="18" customHeight="1" x14ac:dyDescent="0.3">
      <c r="B216" s="26" t="s">
        <v>104</v>
      </c>
      <c r="C216" s="17" t="s">
        <v>150</v>
      </c>
      <c r="D216" s="27" t="s">
        <v>73</v>
      </c>
      <c r="E216" s="18">
        <v>48</v>
      </c>
      <c r="F216" s="18">
        <v>48</v>
      </c>
      <c r="G216" s="18">
        <v>192</v>
      </c>
      <c r="H216" s="30">
        <f t="shared" si="21"/>
        <v>240</v>
      </c>
      <c r="I216" s="31">
        <f>IF(OR(B216="",C216=""),"",IFERROR(E216*IF(E216="",0,VLOOKUP(C216,'📦 Precios Proforma'!$B$5:$D$104,IF(D216="DIA",2,3),FALSE)),0))</f>
        <v>289.44</v>
      </c>
      <c r="J216" s="31">
        <f t="shared" si="22"/>
        <v>324</v>
      </c>
      <c r="K216" s="31">
        <f t="shared" si="23"/>
        <v>613.44000000000005</v>
      </c>
      <c r="L216" s="31">
        <f>IF(OR(B216="",C216=""),"",IFERROR(E216 / SUMIFS('📅 Resumen Diario'!$D$5:$D$504, '📅 Resumen Diario'!$B$5:$B$504, B216, '📅 Resumen Diario'!$C$5:$C$504, D216) * SUMIFS('📅 Resumen Diario'!$K$5:$K$504, '📅 Resumen Diario'!$B$5:$B$504, B216, '📅 Resumen Diario'!$C$5:$C$504, D216), 0))</f>
        <v>774.81732957746476</v>
      </c>
      <c r="M216" s="31">
        <f t="shared" si="24"/>
        <v>21.599999999999998</v>
      </c>
      <c r="N216" s="31">
        <f t="shared" si="25"/>
        <v>796.41732957746478</v>
      </c>
      <c r="O216" s="31">
        <f>IF(OR(B216="",C216=""),"",K216-N216 + IFERROR(E216 / SUMIFS('📅 Resumen Diario'!$D$5:$D$504, '📅 Resumen Diario'!$B$5:$B$504, B216, '📅 Resumen Diario'!$C$5:$C$504, D216) * (SUMIFS('📋 Detalle Diario'!$E$5:$E$489, '📋 Detalle Diario'!$B$5:$B$489, B216, '📋 Detalle Diario'!$C$5:$C$489, D216) * 135 + SUMIFS('📋 Detalle Diario'!$I$5:$I$489, '📋 Detalle Diario'!$B$5:$B$489, B216, '📋 Detalle Diario'!$C$5:$C$489, D216) * 200), 0))</f>
        <v>-182.97732957746473</v>
      </c>
      <c r="P216" s="32">
        <f t="shared" si="26"/>
        <v>-0.29828072766279456</v>
      </c>
      <c r="Q216" s="33" t="str">
        <f t="shared" si="27"/>
        <v>2026-06</v>
      </c>
    </row>
    <row r="217" spans="2:17" ht="18" customHeight="1" x14ac:dyDescent="0.3">
      <c r="B217" s="26" t="s">
        <v>104</v>
      </c>
      <c r="C217" s="28" t="s">
        <v>164</v>
      </c>
      <c r="D217" s="27" t="s">
        <v>73</v>
      </c>
      <c r="E217" s="29">
        <v>300</v>
      </c>
      <c r="F217" s="29">
        <v>0</v>
      </c>
      <c r="G217" s="29">
        <v>300</v>
      </c>
      <c r="H217" s="30">
        <f t="shared" si="21"/>
        <v>300</v>
      </c>
      <c r="I217" s="31">
        <f>IF(OR(B217="",C217=""),"",IFERROR(E217*IF(E217="",0,VLOOKUP(C217,'📦 Precios Proforma'!$B$5:$D$104,IF(D217="DIA",2,3),FALSE)),0))</f>
        <v>2475</v>
      </c>
      <c r="J217" s="31">
        <f t="shared" si="22"/>
        <v>405</v>
      </c>
      <c r="K217" s="31">
        <f t="shared" si="23"/>
        <v>2880</v>
      </c>
      <c r="L217" s="31">
        <f>IF(OR(B217="",C217=""),"",IFERROR(E217 / SUMIFS('📅 Resumen Diario'!$D$5:$D$504, '📅 Resumen Diario'!$B$5:$B$504, B217, '📅 Resumen Diario'!$C$5:$C$504, D217) * SUMIFS('📅 Resumen Diario'!$K$5:$K$504, '📅 Resumen Diario'!$B$5:$B$504, B217, '📅 Resumen Diario'!$C$5:$C$504, D217), 0))</f>
        <v>4842.6083098591553</v>
      </c>
      <c r="M217" s="31">
        <f t="shared" si="24"/>
        <v>27</v>
      </c>
      <c r="N217" s="31">
        <f t="shared" si="25"/>
        <v>4869.6083098591553</v>
      </c>
      <c r="O217" s="31">
        <f>IF(OR(B217="",C217=""),"",K217-N217 + IFERROR(E217 / SUMIFS('📅 Resumen Diario'!$D$5:$D$504, '📅 Resumen Diario'!$B$5:$B$504, B217, '📅 Resumen Diario'!$C$5:$C$504, D217) * (SUMIFS('📋 Detalle Diario'!$E$5:$E$489, '📋 Detalle Diario'!$B$5:$B$489, B217, '📋 Detalle Diario'!$C$5:$C$489, D217) * 135 + SUMIFS('📋 Detalle Diario'!$I$5:$I$489, '📋 Detalle Diario'!$B$5:$B$489, B217, '📋 Detalle Diario'!$C$5:$C$489, D217) * 200), 0))</f>
        <v>-1989.6083098591553</v>
      </c>
      <c r="P217" s="32">
        <f t="shared" si="26"/>
        <v>-0.69083621870109557</v>
      </c>
      <c r="Q217" s="33" t="str">
        <f t="shared" si="27"/>
        <v>2026-06</v>
      </c>
    </row>
    <row r="218" spans="2:17" ht="18" customHeight="1" x14ac:dyDescent="0.3">
      <c r="B218" s="26" t="s">
        <v>104</v>
      </c>
      <c r="C218" s="17" t="s">
        <v>134</v>
      </c>
      <c r="D218" s="27" t="s">
        <v>73</v>
      </c>
      <c r="E218" s="18">
        <v>7</v>
      </c>
      <c r="F218" s="18">
        <v>0</v>
      </c>
      <c r="G218" s="18">
        <v>0</v>
      </c>
      <c r="H218" s="30">
        <f t="shared" si="21"/>
        <v>0</v>
      </c>
      <c r="I218" s="31">
        <f>IF(OR(B218="",C218=""),"",IFERROR(E218*IF(E218="",0,VLOOKUP(C218,'📦 Precios Proforma'!$B$5:$D$104,IF(D218="DIA",2,3),FALSE)),0))</f>
        <v>420</v>
      </c>
      <c r="J218" s="31">
        <f t="shared" si="22"/>
        <v>0</v>
      </c>
      <c r="K218" s="31">
        <f t="shared" si="23"/>
        <v>420</v>
      </c>
      <c r="L218" s="31">
        <f>IF(OR(B218="",C218=""),"",IFERROR(E218 / SUMIFS('📅 Resumen Diario'!$D$5:$D$504, '📅 Resumen Diario'!$B$5:$B$504, B218, '📅 Resumen Diario'!$C$5:$C$504, D218) * SUMIFS('📅 Resumen Diario'!$K$5:$K$504, '📅 Resumen Diario'!$B$5:$B$504, B218, '📅 Resumen Diario'!$C$5:$C$504, D218), 0))</f>
        <v>112.99419389671363</v>
      </c>
      <c r="M218" s="31">
        <f t="shared" si="24"/>
        <v>0</v>
      </c>
      <c r="N218" s="31">
        <f t="shared" si="25"/>
        <v>112.99419389671363</v>
      </c>
      <c r="O218" s="31">
        <f>IF(OR(B218="",C218=""),"",K218-N218 + IFERROR(E218 / SUMIFS('📅 Resumen Diario'!$D$5:$D$504, '📅 Resumen Diario'!$B$5:$B$504, B218, '📅 Resumen Diario'!$C$5:$C$504, D218) * (SUMIFS('📋 Detalle Diario'!$E$5:$E$489, '📋 Detalle Diario'!$B$5:$B$489, B218, '📋 Detalle Diario'!$C$5:$C$489, D218) * 135 + SUMIFS('📋 Detalle Diario'!$I$5:$I$489, '📋 Detalle Diario'!$B$5:$B$489, B218, '📋 Detalle Diario'!$C$5:$C$489, D218) * 200), 0))</f>
        <v>307.00580610328637</v>
      </c>
      <c r="P218" s="32">
        <f t="shared" si="26"/>
        <v>0.73096620500782472</v>
      </c>
      <c r="Q218" s="33" t="str">
        <f t="shared" si="27"/>
        <v>2026-06</v>
      </c>
    </row>
    <row r="219" spans="2:17" ht="18" customHeight="1" x14ac:dyDescent="0.3">
      <c r="B219" s="26" t="s">
        <v>105</v>
      </c>
      <c r="C219" s="28" t="s">
        <v>164</v>
      </c>
      <c r="D219" s="27" t="s">
        <v>72</v>
      </c>
      <c r="E219" s="29">
        <v>180</v>
      </c>
      <c r="F219" s="29">
        <v>0</v>
      </c>
      <c r="G219" s="29">
        <v>180</v>
      </c>
      <c r="H219" s="30">
        <f t="shared" si="21"/>
        <v>180</v>
      </c>
      <c r="I219" s="31">
        <f>IF(OR(B219="",C219=""),"",IFERROR(E219*IF(E219="",0,VLOOKUP(C219,'📦 Precios Proforma'!$B$5:$D$104,IF(D219="DIA",2,3),FALSE)),0))</f>
        <v>1114.2</v>
      </c>
      <c r="J219" s="31">
        <f t="shared" si="22"/>
        <v>181.8</v>
      </c>
      <c r="K219" s="31">
        <f t="shared" si="23"/>
        <v>1296</v>
      </c>
      <c r="L219" s="31">
        <f>IF(OR(B219="",C219=""),"",IFERROR(E219 / SUMIFS('📅 Resumen Diario'!$D$5:$D$504, '📅 Resumen Diario'!$B$5:$B$504, B219, '📅 Resumen Diario'!$C$5:$C$504, D219) * SUMIFS('📅 Resumen Diario'!$K$5:$K$504, '📅 Resumen Diario'!$B$5:$B$504, B219, '📅 Resumen Diario'!$C$5:$C$504, D219), 0))</f>
        <v>593.47650980392154</v>
      </c>
      <c r="M219" s="31">
        <f t="shared" si="24"/>
        <v>16.2</v>
      </c>
      <c r="N219" s="31">
        <f t="shared" si="25"/>
        <v>609.67650980392159</v>
      </c>
      <c r="O219" s="31">
        <f>IF(OR(B219="",C219=""),"",K219-N219 + IFERROR(E219 / SUMIFS('📅 Resumen Diario'!$D$5:$D$504, '📅 Resumen Diario'!$B$5:$B$504, B219, '📅 Resumen Diario'!$C$5:$C$504, D219) * (SUMIFS('📋 Detalle Diario'!$E$5:$E$489, '📋 Detalle Diario'!$B$5:$B$489, B219, '📋 Detalle Diario'!$C$5:$C$489, D219) * 135 + SUMIFS('📋 Detalle Diario'!$I$5:$I$489, '📋 Detalle Diario'!$B$5:$B$489, B219, '📋 Detalle Diario'!$C$5:$C$489, D219) * 200), 0))</f>
        <v>686.32349019607841</v>
      </c>
      <c r="P219" s="32">
        <f t="shared" si="26"/>
        <v>0.52957059428709752</v>
      </c>
      <c r="Q219" s="33" t="str">
        <f t="shared" si="27"/>
        <v>2026-06</v>
      </c>
    </row>
    <row r="220" spans="2:17" ht="18" customHeight="1" x14ac:dyDescent="0.3">
      <c r="B220" s="26" t="s">
        <v>105</v>
      </c>
      <c r="C220" s="17" t="s">
        <v>148</v>
      </c>
      <c r="D220" s="27" t="s">
        <v>72</v>
      </c>
      <c r="E220" s="18">
        <v>1350</v>
      </c>
      <c r="F220" s="18">
        <v>1350</v>
      </c>
      <c r="G220" s="18">
        <v>2700</v>
      </c>
      <c r="H220" s="30">
        <f t="shared" si="21"/>
        <v>4050</v>
      </c>
      <c r="I220" s="31">
        <f>IF(OR(B220="",C220=""),"",IFERROR(E220*IF(E220="",0,VLOOKUP(C220,'📦 Precios Proforma'!$B$5:$D$104,IF(D220="DIA",2,3),FALSE)),0))</f>
        <v>6101.9999999999991</v>
      </c>
      <c r="J220" s="31">
        <f t="shared" si="22"/>
        <v>4090.5</v>
      </c>
      <c r="K220" s="31">
        <f t="shared" si="23"/>
        <v>10192.5</v>
      </c>
      <c r="L220" s="31">
        <f>IF(OR(B220="",C220=""),"",IFERROR(E220 / SUMIFS('📅 Resumen Diario'!$D$5:$D$504, '📅 Resumen Diario'!$B$5:$B$504, B220, '📅 Resumen Diario'!$C$5:$C$504, D220) * SUMIFS('📅 Resumen Diario'!$K$5:$K$504, '📅 Resumen Diario'!$B$5:$B$504, B220, '📅 Resumen Diario'!$C$5:$C$504, D220), 0))</f>
        <v>4451.073823529412</v>
      </c>
      <c r="M220" s="31">
        <f t="shared" si="24"/>
        <v>364.5</v>
      </c>
      <c r="N220" s="31">
        <f t="shared" si="25"/>
        <v>4815.573823529412</v>
      </c>
      <c r="O220" s="31">
        <f>IF(OR(B220="",C220=""),"",K220-N220 + IFERROR(E220 / SUMIFS('📅 Resumen Diario'!$D$5:$D$504, '📅 Resumen Diario'!$B$5:$B$504, B220, '📅 Resumen Diario'!$C$5:$C$504, D220) * (SUMIFS('📋 Detalle Diario'!$E$5:$E$489, '📋 Detalle Diario'!$B$5:$B$489, B220, '📋 Detalle Diario'!$C$5:$C$489, D220) * 135 + SUMIFS('📋 Detalle Diario'!$I$5:$I$489, '📋 Detalle Diario'!$B$5:$B$489, B220, '📋 Detalle Diario'!$C$5:$C$489, D220) * 200), 0))</f>
        <v>5376.926176470588</v>
      </c>
      <c r="P220" s="32">
        <f t="shared" si="26"/>
        <v>0.52753752037974866</v>
      </c>
      <c r="Q220" s="33" t="str">
        <f t="shared" si="27"/>
        <v>2026-06</v>
      </c>
    </row>
    <row r="221" spans="2:17" ht="18" customHeight="1" x14ac:dyDescent="0.3">
      <c r="B221" s="26" t="s">
        <v>105</v>
      </c>
      <c r="C221" s="28" t="s">
        <v>163</v>
      </c>
      <c r="D221" s="27" t="s">
        <v>73</v>
      </c>
      <c r="E221" s="29">
        <v>120</v>
      </c>
      <c r="F221" s="29">
        <v>0</v>
      </c>
      <c r="G221" s="29">
        <v>1440</v>
      </c>
      <c r="H221" s="30">
        <f t="shared" si="21"/>
        <v>1440</v>
      </c>
      <c r="I221" s="31">
        <f>IF(OR(B221="",C221=""),"",IFERROR(E221*IF(E221="",0,VLOOKUP(C221,'📦 Precios Proforma'!$B$5:$D$104,IF(D221="DIA",2,3),FALSE)),0))</f>
        <v>889.2</v>
      </c>
      <c r="J221" s="31">
        <f t="shared" si="22"/>
        <v>1944.0000000000002</v>
      </c>
      <c r="K221" s="31">
        <f t="shared" si="23"/>
        <v>2833.2000000000003</v>
      </c>
      <c r="L221" s="31">
        <f>IF(OR(B221="",C221=""),"",IFERROR(E221 / SUMIFS('📅 Resumen Diario'!$D$5:$D$504, '📅 Resumen Diario'!$B$5:$B$504, B221, '📅 Resumen Diario'!$C$5:$C$504, D221) * SUMIFS('📅 Resumen Diario'!$K$5:$K$504, '📅 Resumen Diario'!$B$5:$B$504, B221, '📅 Resumen Diario'!$C$5:$C$504, D221), 0))</f>
        <v>2350.1033333333335</v>
      </c>
      <c r="M221" s="31">
        <f t="shared" si="24"/>
        <v>129.6</v>
      </c>
      <c r="N221" s="31">
        <f t="shared" si="25"/>
        <v>2479.7033333333334</v>
      </c>
      <c r="O221" s="31">
        <f>IF(OR(B221="",C221=""),"",K221-N221 + IFERROR(E221 / SUMIFS('📅 Resumen Diario'!$D$5:$D$504, '📅 Resumen Diario'!$B$5:$B$504, B221, '📅 Resumen Diario'!$C$5:$C$504, D221) * (SUMIFS('📋 Detalle Diario'!$E$5:$E$489, '📋 Detalle Diario'!$B$5:$B$489, B221, '📋 Detalle Diario'!$C$5:$C$489, D221) * 135 + SUMIFS('📋 Detalle Diario'!$I$5:$I$489, '📋 Detalle Diario'!$B$5:$B$489, B221, '📋 Detalle Diario'!$C$5:$C$489, D221) * 200), 0))</f>
        <v>546.35380952380979</v>
      </c>
      <c r="P221" s="32">
        <f t="shared" si="26"/>
        <v>0.1928398311181031</v>
      </c>
      <c r="Q221" s="33" t="str">
        <f t="shared" si="27"/>
        <v>2026-06</v>
      </c>
    </row>
    <row r="222" spans="2:17" ht="18" customHeight="1" x14ac:dyDescent="0.3">
      <c r="B222" s="26" t="s">
        <v>105</v>
      </c>
      <c r="C222" s="17" t="s">
        <v>153</v>
      </c>
      <c r="D222" s="27" t="s">
        <v>73</v>
      </c>
      <c r="E222" s="18">
        <v>112</v>
      </c>
      <c r="F222" s="18">
        <v>0</v>
      </c>
      <c r="G222" s="18">
        <v>112</v>
      </c>
      <c r="H222" s="30">
        <f t="shared" si="21"/>
        <v>112</v>
      </c>
      <c r="I222" s="31">
        <f>IF(OR(B222="",C222=""),"",IFERROR(E222*IF(E222="",0,VLOOKUP(C222,'📦 Precios Proforma'!$B$5:$D$104,IF(D222="DIA",2,3),FALSE)),0))</f>
        <v>648.48</v>
      </c>
      <c r="J222" s="31">
        <f t="shared" si="22"/>
        <v>151.20000000000002</v>
      </c>
      <c r="K222" s="31">
        <f t="shared" si="23"/>
        <v>799.68000000000006</v>
      </c>
      <c r="L222" s="31">
        <f>IF(OR(B222="",C222=""),"",IFERROR(E222 / SUMIFS('📅 Resumen Diario'!$D$5:$D$504, '📅 Resumen Diario'!$B$5:$B$504, B222, '📅 Resumen Diario'!$C$5:$C$504, D222) * SUMIFS('📅 Resumen Diario'!$K$5:$K$504, '📅 Resumen Diario'!$B$5:$B$504, B222, '📅 Resumen Diario'!$C$5:$C$504, D222), 0))</f>
        <v>2193.4297777777779</v>
      </c>
      <c r="M222" s="31">
        <f t="shared" si="24"/>
        <v>10.08</v>
      </c>
      <c r="N222" s="31">
        <f t="shared" si="25"/>
        <v>2203.5097777777778</v>
      </c>
      <c r="O222" s="31">
        <f>IF(OR(B222="",C222=""),"",K222-N222 + IFERROR(E222 / SUMIFS('📅 Resumen Diario'!$D$5:$D$504, '📅 Resumen Diario'!$B$5:$B$504, B222, '📅 Resumen Diario'!$C$5:$C$504, D222) * (SUMIFS('📋 Detalle Diario'!$E$5:$E$489, '📋 Detalle Diario'!$B$5:$B$489, B222, '📋 Detalle Diario'!$C$5:$C$489, D222) * 135 + SUMIFS('📋 Detalle Diario'!$I$5:$I$489, '📋 Detalle Diario'!$B$5:$B$489, B222, '📋 Detalle Diario'!$C$5:$C$489, D222) * 200), 0))</f>
        <v>-1223.8297777777777</v>
      </c>
      <c r="P222" s="32">
        <f t="shared" si="26"/>
        <v>-1.5303993819750121</v>
      </c>
      <c r="Q222" s="33" t="str">
        <f t="shared" si="27"/>
        <v>2026-06</v>
      </c>
    </row>
    <row r="223" spans="2:17" ht="18" customHeight="1" x14ac:dyDescent="0.3">
      <c r="B223" s="26" t="s">
        <v>105</v>
      </c>
      <c r="C223" s="28" t="s">
        <v>134</v>
      </c>
      <c r="D223" s="27" t="s">
        <v>73</v>
      </c>
      <c r="E223" s="29">
        <v>20</v>
      </c>
      <c r="F223" s="29">
        <v>0</v>
      </c>
      <c r="G223" s="29">
        <v>0</v>
      </c>
      <c r="H223" s="30">
        <f t="shared" si="21"/>
        <v>0</v>
      </c>
      <c r="I223" s="31">
        <f>IF(OR(B223="",C223=""),"",IFERROR(E223*IF(E223="",0,VLOOKUP(C223,'📦 Precios Proforma'!$B$5:$D$104,IF(D223="DIA",2,3),FALSE)),0))</f>
        <v>1200</v>
      </c>
      <c r="J223" s="31">
        <f t="shared" si="22"/>
        <v>0</v>
      </c>
      <c r="K223" s="31">
        <f t="shared" si="23"/>
        <v>1200</v>
      </c>
      <c r="L223" s="31">
        <f>IF(OR(B223="",C223=""),"",IFERROR(E223 / SUMIFS('📅 Resumen Diario'!$D$5:$D$504, '📅 Resumen Diario'!$B$5:$B$504, B223, '📅 Resumen Diario'!$C$5:$C$504, D223) * SUMIFS('📅 Resumen Diario'!$K$5:$K$504, '📅 Resumen Diario'!$B$5:$B$504, B223, '📅 Resumen Diario'!$C$5:$C$504, D223), 0))</f>
        <v>391.68388888888893</v>
      </c>
      <c r="M223" s="31">
        <f t="shared" si="24"/>
        <v>0</v>
      </c>
      <c r="N223" s="31">
        <f t="shared" si="25"/>
        <v>391.68388888888893</v>
      </c>
      <c r="O223" s="31">
        <f>IF(OR(B223="",C223=""),"",K223-N223 + IFERROR(E223 / SUMIFS('📅 Resumen Diario'!$D$5:$D$504, '📅 Resumen Diario'!$B$5:$B$504, B223, '📅 Resumen Diario'!$C$5:$C$504, D223) * (SUMIFS('📋 Detalle Diario'!$E$5:$E$489, '📋 Detalle Diario'!$B$5:$B$489, B223, '📋 Detalle Diario'!$C$5:$C$489, D223) * 135 + SUMIFS('📋 Detalle Diario'!$I$5:$I$489, '📋 Detalle Diario'!$B$5:$B$489, B223, '📋 Detalle Diario'!$C$5:$C$489, D223) * 200), 0))</f>
        <v>840.45896825396812</v>
      </c>
      <c r="P223" s="32">
        <f t="shared" si="26"/>
        <v>0.70038247354497341</v>
      </c>
      <c r="Q223" s="33" t="str">
        <f t="shared" si="27"/>
        <v>2026-06</v>
      </c>
    </row>
    <row r="224" spans="2:17" ht="18" customHeight="1" x14ac:dyDescent="0.3">
      <c r="B224" s="26" t="s">
        <v>106</v>
      </c>
      <c r="C224" s="17" t="s">
        <v>134</v>
      </c>
      <c r="D224" s="27" t="s">
        <v>72</v>
      </c>
      <c r="E224" s="18">
        <v>21.8</v>
      </c>
      <c r="F224" s="18">
        <v>0</v>
      </c>
      <c r="G224" s="18">
        <v>0</v>
      </c>
      <c r="H224" s="30">
        <f t="shared" si="21"/>
        <v>0</v>
      </c>
      <c r="I224" s="31">
        <f>IF(OR(B224="",C224=""),"",IFERROR(E224*IF(E224="",0,VLOOKUP(C224,'📦 Precios Proforma'!$B$5:$D$104,IF(D224="DIA",2,3),FALSE)),0))</f>
        <v>981</v>
      </c>
      <c r="J224" s="31">
        <f t="shared" si="22"/>
        <v>0</v>
      </c>
      <c r="K224" s="31">
        <f t="shared" si="23"/>
        <v>981</v>
      </c>
      <c r="L224" s="31">
        <f>IF(OR(B224="",C224=""),"",IFERROR(E224 / SUMIFS('📅 Resumen Diario'!$D$5:$D$504, '📅 Resumen Diario'!$B$5:$B$504, B224, '📅 Resumen Diario'!$C$5:$C$504, D224) * SUMIFS('📅 Resumen Diario'!$K$5:$K$504, '📅 Resumen Diario'!$B$5:$B$504, B224, '📅 Resumen Diario'!$C$5:$C$504, D224), 0))</f>
        <v>209.79996544715448</v>
      </c>
      <c r="M224" s="31">
        <f t="shared" si="24"/>
        <v>0</v>
      </c>
      <c r="N224" s="31">
        <f t="shared" si="25"/>
        <v>209.79996544715448</v>
      </c>
      <c r="O224" s="31">
        <f>IF(OR(B224="",C224=""),"",K224-N224 + IFERROR(E224 / SUMIFS('📅 Resumen Diario'!$D$5:$D$504, '📅 Resumen Diario'!$B$5:$B$504, B224, '📅 Resumen Diario'!$C$5:$C$504, D224) * (SUMIFS('📋 Detalle Diario'!$E$5:$E$489, '📋 Detalle Diario'!$B$5:$B$489, B224, '📋 Detalle Diario'!$C$5:$C$489, D224) * 135 + SUMIFS('📋 Detalle Diario'!$I$5:$I$489, '📋 Detalle Diario'!$B$5:$B$489, B224, '📋 Detalle Diario'!$C$5:$C$489, D224) * 200), 0))</f>
        <v>771.20003455284552</v>
      </c>
      <c r="P224" s="32">
        <f t="shared" si="26"/>
        <v>0.786136630532972</v>
      </c>
      <c r="Q224" s="33" t="str">
        <f t="shared" si="27"/>
        <v>2026-06</v>
      </c>
    </row>
    <row r="225" spans="2:17" ht="18" customHeight="1" x14ac:dyDescent="0.3">
      <c r="B225" s="26" t="s">
        <v>106</v>
      </c>
      <c r="C225" s="28" t="s">
        <v>160</v>
      </c>
      <c r="D225" s="27" t="s">
        <v>72</v>
      </c>
      <c r="E225" s="29">
        <v>450</v>
      </c>
      <c r="F225" s="29">
        <v>450</v>
      </c>
      <c r="G225" s="29">
        <v>1350</v>
      </c>
      <c r="H225" s="30">
        <f t="shared" si="21"/>
        <v>1800</v>
      </c>
      <c r="I225" s="31">
        <f>IF(OR(B225="",C225=""),"",IFERROR(E225*IF(E225="",0,VLOOKUP(C225,'📦 Precios Proforma'!$B$5:$D$104,IF(D225="DIA",2,3),FALSE)),0))</f>
        <v>2033.9999999999998</v>
      </c>
      <c r="J225" s="31">
        <f t="shared" si="22"/>
        <v>1818</v>
      </c>
      <c r="K225" s="31">
        <f t="shared" si="23"/>
        <v>3852</v>
      </c>
      <c r="L225" s="31">
        <f>IF(OR(B225="",C225=""),"",IFERROR(E225 / SUMIFS('📅 Resumen Diario'!$D$5:$D$504, '📅 Resumen Diario'!$B$5:$B$504, B225, '📅 Resumen Diario'!$C$5:$C$504, D225) * SUMIFS('📅 Resumen Diario'!$K$5:$K$504, '📅 Resumen Diario'!$B$5:$B$504, B225, '📅 Resumen Diario'!$C$5:$C$504, D225), 0))</f>
        <v>4330.7332317073178</v>
      </c>
      <c r="M225" s="31">
        <f t="shared" si="24"/>
        <v>162</v>
      </c>
      <c r="N225" s="31">
        <f t="shared" si="25"/>
        <v>4492.7332317073178</v>
      </c>
      <c r="O225" s="31">
        <f>IF(OR(B225="",C225=""),"",K225-N225 + IFERROR(E225 / SUMIFS('📅 Resumen Diario'!$D$5:$D$504, '📅 Resumen Diario'!$B$5:$B$504, B225, '📅 Resumen Diario'!$C$5:$C$504, D225) * (SUMIFS('📋 Detalle Diario'!$E$5:$E$489, '📋 Detalle Diario'!$B$5:$B$489, B225, '📋 Detalle Diario'!$C$5:$C$489, D225) * 135 + SUMIFS('📋 Detalle Diario'!$I$5:$I$489, '📋 Detalle Diario'!$B$5:$B$489, B225, '📋 Detalle Diario'!$C$5:$C$489, D225) * 200), 0))</f>
        <v>-640.73323170731783</v>
      </c>
      <c r="P225" s="32">
        <f t="shared" si="26"/>
        <v>-0.16633780677760068</v>
      </c>
      <c r="Q225" s="33" t="str">
        <f t="shared" si="27"/>
        <v>2026-06</v>
      </c>
    </row>
    <row r="226" spans="2:17" ht="18" customHeight="1" x14ac:dyDescent="0.3">
      <c r="B226" s="26" t="s">
        <v>106</v>
      </c>
      <c r="C226" s="17" t="s">
        <v>144</v>
      </c>
      <c r="D226" s="27" t="s">
        <v>72</v>
      </c>
      <c r="E226" s="18">
        <v>135</v>
      </c>
      <c r="F226" s="18">
        <v>135</v>
      </c>
      <c r="G226" s="18">
        <v>270</v>
      </c>
      <c r="H226" s="30">
        <f t="shared" si="21"/>
        <v>405</v>
      </c>
      <c r="I226" s="31">
        <f>IF(OR(B226="",C226=""),"",IFERROR(E226*IF(E226="",0,VLOOKUP(C226,'📦 Precios Proforma'!$B$5:$D$104,IF(D226="DIA",2,3),FALSE)),0))</f>
        <v>610.19999999999993</v>
      </c>
      <c r="J226" s="31">
        <f t="shared" si="22"/>
        <v>409.05</v>
      </c>
      <c r="K226" s="31">
        <f t="shared" si="23"/>
        <v>1019.25</v>
      </c>
      <c r="L226" s="31">
        <f>IF(OR(B226="",C226=""),"",IFERROR(E226 / SUMIFS('📅 Resumen Diario'!$D$5:$D$504, '📅 Resumen Diario'!$B$5:$B$504, B226, '📅 Resumen Diario'!$C$5:$C$504, D226) * SUMIFS('📅 Resumen Diario'!$K$5:$K$504, '📅 Resumen Diario'!$B$5:$B$504, B226, '📅 Resumen Diario'!$C$5:$C$504, D226), 0))</f>
        <v>1299.2199695121951</v>
      </c>
      <c r="M226" s="31">
        <f t="shared" si="24"/>
        <v>36.449999999999996</v>
      </c>
      <c r="N226" s="31">
        <f t="shared" si="25"/>
        <v>1335.6699695121952</v>
      </c>
      <c r="O226" s="31">
        <f>IF(OR(B226="",C226=""),"",K226-N226 + IFERROR(E226 / SUMIFS('📅 Resumen Diario'!$D$5:$D$504, '📅 Resumen Diario'!$B$5:$B$504, B226, '📅 Resumen Diario'!$C$5:$C$504, D226) * (SUMIFS('📋 Detalle Diario'!$E$5:$E$489, '📋 Detalle Diario'!$B$5:$B$489, B226, '📋 Detalle Diario'!$C$5:$C$489, D226) * 135 + SUMIFS('📋 Detalle Diario'!$I$5:$I$489, '📋 Detalle Diario'!$B$5:$B$489, B226, '📋 Detalle Diario'!$C$5:$C$489, D226) * 200), 0))</f>
        <v>-316.41996951219517</v>
      </c>
      <c r="P226" s="32">
        <f t="shared" si="26"/>
        <v>-0.31044392397566362</v>
      </c>
      <c r="Q226" s="33" t="str">
        <f t="shared" si="27"/>
        <v>2026-06</v>
      </c>
    </row>
    <row r="227" spans="2:17" ht="18" customHeight="1" x14ac:dyDescent="0.3">
      <c r="B227" s="26" t="s">
        <v>106</v>
      </c>
      <c r="C227" s="28" t="s">
        <v>150</v>
      </c>
      <c r="D227" s="27" t="s">
        <v>73</v>
      </c>
      <c r="E227" s="29">
        <v>485</v>
      </c>
      <c r="F227" s="29">
        <v>485</v>
      </c>
      <c r="G227" s="29">
        <v>5820</v>
      </c>
      <c r="H227" s="30">
        <f t="shared" si="21"/>
        <v>6305</v>
      </c>
      <c r="I227" s="31">
        <f>IF(OR(B227="",C227=""),"",IFERROR(E227*IF(E227="",0,VLOOKUP(C227,'📦 Precios Proforma'!$B$5:$D$104,IF(D227="DIA",2,3),FALSE)),0))</f>
        <v>2924.55</v>
      </c>
      <c r="J227" s="31">
        <f t="shared" si="22"/>
        <v>8511.75</v>
      </c>
      <c r="K227" s="31">
        <f t="shared" si="23"/>
        <v>11436.3</v>
      </c>
      <c r="L227" s="31">
        <f>IF(OR(B227="",C227=""),"",IFERROR(E227 / SUMIFS('📅 Resumen Diario'!$D$5:$D$504, '📅 Resumen Diario'!$B$5:$B$504, B227, '📅 Resumen Diario'!$C$5:$C$504, D227) * SUMIFS('📅 Resumen Diario'!$K$5:$K$504, '📅 Resumen Diario'!$B$5:$B$504, B227, '📅 Resumen Diario'!$C$5:$C$504, D227), 0))</f>
        <v>3661.7307235397452</v>
      </c>
      <c r="M227" s="31">
        <f t="shared" si="24"/>
        <v>567.44999999999993</v>
      </c>
      <c r="N227" s="31">
        <f t="shared" si="25"/>
        <v>4229.1807235397455</v>
      </c>
      <c r="O227" s="31">
        <f>IF(OR(B227="",C227=""),"",K227-N227 + IFERROR(E227 / SUMIFS('📅 Resumen Diario'!$D$5:$D$504, '📅 Resumen Diario'!$B$5:$B$504, B227, '📅 Resumen Diario'!$C$5:$C$504, D227) * (SUMIFS('📋 Detalle Diario'!$E$5:$E$489, '📋 Detalle Diario'!$B$5:$B$489, B227, '📋 Detalle Diario'!$C$5:$C$489, D227) * 135 + SUMIFS('📋 Detalle Diario'!$I$5:$I$489, '📋 Detalle Diario'!$B$5:$B$489, B227, '📋 Detalle Diario'!$C$5:$C$489, D227) * 200), 0))</f>
        <v>8112.8999088713208</v>
      </c>
      <c r="P227" s="32">
        <f t="shared" si="26"/>
        <v>0.70939901094508895</v>
      </c>
      <c r="Q227" s="33" t="str">
        <f t="shared" si="27"/>
        <v>2026-06</v>
      </c>
    </row>
    <row r="228" spans="2:17" ht="18" customHeight="1" x14ac:dyDescent="0.3">
      <c r="B228" s="26" t="s">
        <v>106</v>
      </c>
      <c r="C228" s="17" t="s">
        <v>160</v>
      </c>
      <c r="D228" s="27" t="s">
        <v>73</v>
      </c>
      <c r="E228" s="18">
        <v>270</v>
      </c>
      <c r="F228" s="18">
        <v>270</v>
      </c>
      <c r="G228" s="18">
        <v>810</v>
      </c>
      <c r="H228" s="30">
        <f t="shared" si="21"/>
        <v>1080</v>
      </c>
      <c r="I228" s="31">
        <f>IF(OR(B228="",C228=""),"",IFERROR(E228*IF(E228="",0,VLOOKUP(C228,'📦 Precios Proforma'!$B$5:$D$104,IF(D228="DIA",2,3),FALSE)),0))</f>
        <v>1628.1000000000001</v>
      </c>
      <c r="J228" s="31">
        <f t="shared" si="22"/>
        <v>1458</v>
      </c>
      <c r="K228" s="31">
        <f t="shared" si="23"/>
        <v>3086.1000000000004</v>
      </c>
      <c r="L228" s="31">
        <f>IF(OR(B228="",C228=""),"",IFERROR(E228 / SUMIFS('📅 Resumen Diario'!$D$5:$D$504, '📅 Resumen Diario'!$B$5:$B$504, B228, '📅 Resumen Diario'!$C$5:$C$504, D228) * SUMIFS('📅 Resumen Diario'!$K$5:$K$504, '📅 Resumen Diario'!$B$5:$B$504, B228, '📅 Resumen Diario'!$C$5:$C$504, D228), 0))</f>
        <v>2038.4892687747035</v>
      </c>
      <c r="M228" s="31">
        <f t="shared" si="24"/>
        <v>97.2</v>
      </c>
      <c r="N228" s="31">
        <f t="shared" si="25"/>
        <v>2135.6892687747036</v>
      </c>
      <c r="O228" s="31">
        <f>IF(OR(B228="",C228=""),"",K228-N228 + IFERROR(E228 / SUMIFS('📅 Resumen Diario'!$D$5:$D$504, '📅 Resumen Diario'!$B$5:$B$504, B228, '📅 Resumen Diario'!$C$5:$C$504, D228) * (SUMIFS('📋 Detalle Diario'!$E$5:$E$489, '📋 Detalle Diario'!$B$5:$B$489, B228, '📋 Detalle Diario'!$C$5:$C$489, D228) * 135 + SUMIFS('📋 Detalle Diario'!$I$5:$I$489, '📋 Detalle Diario'!$B$5:$B$489, B228, '📋 Detalle Diario'!$C$5:$C$489, D228) * 200), 0))</f>
        <v>1454.6597430830043</v>
      </c>
      <c r="P228" s="32">
        <f t="shared" si="26"/>
        <v>0.47135858950876647</v>
      </c>
      <c r="Q228" s="33" t="str">
        <f t="shared" si="27"/>
        <v>2026-06</v>
      </c>
    </row>
    <row r="229" spans="2:17" ht="18" customHeight="1" x14ac:dyDescent="0.3">
      <c r="B229" s="26" t="s">
        <v>106</v>
      </c>
      <c r="C229" s="28" t="s">
        <v>134</v>
      </c>
      <c r="D229" s="27" t="s">
        <v>73</v>
      </c>
      <c r="E229" s="29">
        <v>4</v>
      </c>
      <c r="F229" s="29">
        <v>0</v>
      </c>
      <c r="G229" s="29">
        <v>0</v>
      </c>
      <c r="H229" s="30">
        <f t="shared" si="21"/>
        <v>0</v>
      </c>
      <c r="I229" s="31">
        <f>IF(OR(B229="",C229=""),"",IFERROR(E229*IF(E229="",0,VLOOKUP(C229,'📦 Precios Proforma'!$B$5:$D$104,IF(D229="DIA",2,3),FALSE)),0))</f>
        <v>240</v>
      </c>
      <c r="J229" s="31">
        <f t="shared" si="22"/>
        <v>0</v>
      </c>
      <c r="K229" s="31">
        <f t="shared" si="23"/>
        <v>240</v>
      </c>
      <c r="L229" s="31">
        <f>IF(OR(B229="",C229=""),"",IFERROR(E229 / SUMIFS('📅 Resumen Diario'!$D$5:$D$504, '📅 Resumen Diario'!$B$5:$B$504, B229, '📅 Resumen Diario'!$C$5:$C$504, D229) * SUMIFS('📅 Resumen Diario'!$K$5:$K$504, '📅 Resumen Diario'!$B$5:$B$504, B229, '📅 Resumen Diario'!$C$5:$C$504, D229), 0))</f>
        <v>30.199841018884499</v>
      </c>
      <c r="M229" s="31">
        <f t="shared" si="24"/>
        <v>0</v>
      </c>
      <c r="N229" s="31">
        <f t="shared" si="25"/>
        <v>30.199841018884499</v>
      </c>
      <c r="O229" s="31">
        <f>IF(OR(B229="",C229=""),"",K229-N229 + IFERROR(E229 / SUMIFS('📅 Resumen Diario'!$D$5:$D$504, '📅 Resumen Diario'!$B$5:$B$504, B229, '📅 Resumen Diario'!$C$5:$C$504, D229) * (SUMIFS('📋 Detalle Diario'!$E$5:$E$489, '📋 Detalle Diario'!$B$5:$B$489, B229, '📋 Detalle Diario'!$C$5:$C$489, D229) * 135 + SUMIFS('📋 Detalle Diario'!$I$5:$I$489, '📋 Detalle Diario'!$B$5:$B$489, B229, '📋 Detalle Diario'!$C$5:$C$489, D229) * 200), 0))</f>
        <v>217.2705147123408</v>
      </c>
      <c r="P229" s="32">
        <f t="shared" si="26"/>
        <v>0.90529381130141995</v>
      </c>
      <c r="Q229" s="33" t="str">
        <f t="shared" si="27"/>
        <v>2026-06</v>
      </c>
    </row>
    <row r="230" spans="2:17" ht="18" customHeight="1" x14ac:dyDescent="0.3">
      <c r="B230" s="26" t="s">
        <v>107</v>
      </c>
      <c r="C230" s="17" t="s">
        <v>134</v>
      </c>
      <c r="D230" s="27" t="s">
        <v>72</v>
      </c>
      <c r="E230" s="18">
        <v>19.600000000000001</v>
      </c>
      <c r="F230" s="18">
        <v>0</v>
      </c>
      <c r="G230" s="18">
        <v>0</v>
      </c>
      <c r="H230" s="30">
        <f t="shared" si="21"/>
        <v>0</v>
      </c>
      <c r="I230" s="31">
        <f>IF(OR(B230="",C230=""),"",IFERROR(E230*IF(E230="",0,VLOOKUP(C230,'📦 Precios Proforma'!$B$5:$D$104,IF(D230="DIA",2,3),FALSE)),0))</f>
        <v>882.00000000000011</v>
      </c>
      <c r="J230" s="31">
        <f t="shared" si="22"/>
        <v>0</v>
      </c>
      <c r="K230" s="31">
        <f t="shared" si="23"/>
        <v>882.00000000000011</v>
      </c>
      <c r="L230" s="31">
        <f>IF(OR(B230="",C230=""),"",IFERROR(E230 / SUMIFS('📅 Resumen Diario'!$D$5:$D$504, '📅 Resumen Diario'!$B$5:$B$504, B230, '📅 Resumen Diario'!$C$5:$C$504, D230) * SUMIFS('📅 Resumen Diario'!$K$5:$K$504, '📅 Resumen Diario'!$B$5:$B$504, B230, '📅 Resumen Diario'!$C$5:$C$504, D230), 0))</f>
        <v>516.87256597774251</v>
      </c>
      <c r="M230" s="31">
        <f t="shared" si="24"/>
        <v>0</v>
      </c>
      <c r="N230" s="31">
        <f t="shared" si="25"/>
        <v>516.87256597774251</v>
      </c>
      <c r="O230" s="31">
        <f>IF(OR(B230="",C230=""),"",K230-N230 + IFERROR(E230 / SUMIFS('📅 Resumen Diario'!$D$5:$D$504, '📅 Resumen Diario'!$B$5:$B$504, B230, '📅 Resumen Diario'!$C$5:$C$504, D230) * (SUMIFS('📋 Detalle Diario'!$E$5:$E$489, '📋 Detalle Diario'!$B$5:$B$489, B230, '📋 Detalle Diario'!$C$5:$C$489, D230) * 135 + SUMIFS('📋 Detalle Diario'!$I$5:$I$489, '📋 Detalle Diario'!$B$5:$B$489, B230, '📋 Detalle Diario'!$C$5:$C$489, D230) * 200), 0))</f>
        <v>365.1274340222576</v>
      </c>
      <c r="P230" s="32">
        <f t="shared" si="26"/>
        <v>0.41397668256491787</v>
      </c>
      <c r="Q230" s="33" t="str">
        <f t="shared" si="27"/>
        <v>2026-06</v>
      </c>
    </row>
    <row r="231" spans="2:17" ht="18" customHeight="1" x14ac:dyDescent="0.3">
      <c r="B231" s="26" t="s">
        <v>107</v>
      </c>
      <c r="C231" s="28" t="s">
        <v>163</v>
      </c>
      <c r="D231" s="27" t="s">
        <v>72</v>
      </c>
      <c r="E231" s="29">
        <v>120</v>
      </c>
      <c r="F231" s="29">
        <v>0</v>
      </c>
      <c r="G231" s="29">
        <v>1440</v>
      </c>
      <c r="H231" s="30">
        <f t="shared" si="21"/>
        <v>1440</v>
      </c>
      <c r="I231" s="31">
        <f>IF(OR(B231="",C231=""),"",IFERROR(E231*IF(E231="",0,VLOOKUP(C231,'📦 Precios Proforma'!$B$5:$D$104,IF(D231="DIA",2,3),FALSE)),0))</f>
        <v>667.19999999999993</v>
      </c>
      <c r="J231" s="31">
        <f t="shared" si="22"/>
        <v>1454.4</v>
      </c>
      <c r="K231" s="31">
        <f t="shared" si="23"/>
        <v>2121.6</v>
      </c>
      <c r="L231" s="31">
        <f>IF(OR(B231="",C231=""),"",IFERROR(E231 / SUMIFS('📅 Resumen Diario'!$D$5:$D$504, '📅 Resumen Diario'!$B$5:$B$504, B231, '📅 Resumen Diario'!$C$5:$C$504, D231) * SUMIFS('📅 Resumen Diario'!$K$5:$K$504, '📅 Resumen Diario'!$B$5:$B$504, B231, '📅 Resumen Diario'!$C$5:$C$504, D231), 0))</f>
        <v>3164.5259141494435</v>
      </c>
      <c r="M231" s="31">
        <f t="shared" si="24"/>
        <v>129.6</v>
      </c>
      <c r="N231" s="31">
        <f t="shared" si="25"/>
        <v>3294.1259141494434</v>
      </c>
      <c r="O231" s="31">
        <f>IF(OR(B231="",C231=""),"",K231-N231 + IFERROR(E231 / SUMIFS('📅 Resumen Diario'!$D$5:$D$504, '📅 Resumen Diario'!$B$5:$B$504, B231, '📅 Resumen Diario'!$C$5:$C$504, D231) * (SUMIFS('📋 Detalle Diario'!$E$5:$E$489, '📋 Detalle Diario'!$B$5:$B$489, B231, '📋 Detalle Diario'!$C$5:$C$489, D231) * 135 + SUMIFS('📋 Detalle Diario'!$I$5:$I$489, '📋 Detalle Diario'!$B$5:$B$489, B231, '📋 Detalle Diario'!$C$5:$C$489, D231) * 200), 0))</f>
        <v>-1172.5259141494435</v>
      </c>
      <c r="P231" s="32">
        <f t="shared" si="26"/>
        <v>-0.55266115863001675</v>
      </c>
      <c r="Q231" s="33" t="str">
        <f t="shared" si="27"/>
        <v>2026-06</v>
      </c>
    </row>
    <row r="232" spans="2:17" ht="18" customHeight="1" x14ac:dyDescent="0.3">
      <c r="B232" s="26" t="s">
        <v>107</v>
      </c>
      <c r="C232" s="17" t="s">
        <v>153</v>
      </c>
      <c r="D232" s="27" t="s">
        <v>72</v>
      </c>
      <c r="E232" s="18">
        <v>112</v>
      </c>
      <c r="F232" s="18">
        <v>0</v>
      </c>
      <c r="G232" s="18">
        <v>112</v>
      </c>
      <c r="H232" s="30">
        <f t="shared" si="21"/>
        <v>112</v>
      </c>
      <c r="I232" s="31">
        <f>IF(OR(B232="",C232=""),"",IFERROR(E232*IF(E232="",0,VLOOKUP(C232,'📦 Precios Proforma'!$B$5:$D$104,IF(D232="DIA",2,3),FALSE)),0))</f>
        <v>486.08</v>
      </c>
      <c r="J232" s="31">
        <f t="shared" si="22"/>
        <v>113.12</v>
      </c>
      <c r="K232" s="31">
        <f t="shared" si="23"/>
        <v>599.20000000000005</v>
      </c>
      <c r="L232" s="31">
        <f>IF(OR(B232="",C232=""),"",IFERROR(E232 / SUMIFS('📅 Resumen Diario'!$D$5:$D$504, '📅 Resumen Diario'!$B$5:$B$504, B232, '📅 Resumen Diario'!$C$5:$C$504, D232) * SUMIFS('📅 Resumen Diario'!$K$5:$K$504, '📅 Resumen Diario'!$B$5:$B$504, B232, '📅 Resumen Diario'!$C$5:$C$504, D232), 0))</f>
        <v>2953.5575198728138</v>
      </c>
      <c r="M232" s="31">
        <f t="shared" si="24"/>
        <v>10.08</v>
      </c>
      <c r="N232" s="31">
        <f t="shared" si="25"/>
        <v>2963.6375198728138</v>
      </c>
      <c r="O232" s="31">
        <f>IF(OR(B232="",C232=""),"",K232-N232 + IFERROR(E232 / SUMIFS('📅 Resumen Diario'!$D$5:$D$504, '📅 Resumen Diario'!$B$5:$B$504, B232, '📅 Resumen Diario'!$C$5:$C$504, D232) * (SUMIFS('📋 Detalle Diario'!$E$5:$E$489, '📋 Detalle Diario'!$B$5:$B$489, B232, '📋 Detalle Diario'!$C$5:$C$489, D232) * 135 + SUMIFS('📋 Detalle Diario'!$I$5:$I$489, '📋 Detalle Diario'!$B$5:$B$489, B232, '📋 Detalle Diario'!$C$5:$C$489, D232) * 200), 0))</f>
        <v>-2364.4375198728139</v>
      </c>
      <c r="P232" s="32">
        <f t="shared" si="26"/>
        <v>-3.9459905204819989</v>
      </c>
      <c r="Q232" s="33" t="str">
        <f t="shared" si="27"/>
        <v>2026-06</v>
      </c>
    </row>
    <row r="233" spans="2:17" ht="18" customHeight="1" x14ac:dyDescent="0.3">
      <c r="B233" s="26" t="s">
        <v>107</v>
      </c>
      <c r="C233" s="28" t="s">
        <v>160</v>
      </c>
      <c r="D233" s="27" t="s">
        <v>73</v>
      </c>
      <c r="E233" s="29">
        <v>240</v>
      </c>
      <c r="F233" s="29">
        <v>1620</v>
      </c>
      <c r="G233" s="29">
        <v>0</v>
      </c>
      <c r="H233" s="30">
        <f t="shared" si="21"/>
        <v>1620</v>
      </c>
      <c r="I233" s="31">
        <f>IF(OR(B233="",C233=""),"",IFERROR(E233*IF(E233="",0,VLOOKUP(C233,'📦 Precios Proforma'!$B$5:$D$104,IF(D233="DIA",2,3),FALSE)),0))</f>
        <v>1447.2</v>
      </c>
      <c r="J233" s="31">
        <f t="shared" si="22"/>
        <v>2187</v>
      </c>
      <c r="K233" s="31">
        <f t="shared" si="23"/>
        <v>3634.2</v>
      </c>
      <c r="L233" s="31">
        <f>IF(OR(B233="",C233=""),"",IFERROR(E233 / SUMIFS('📅 Resumen Diario'!$D$5:$D$504, '📅 Resumen Diario'!$B$5:$B$504, B233, '📅 Resumen Diario'!$C$5:$C$504, D233) * SUMIFS('📅 Resumen Diario'!$K$5:$K$504, '📅 Resumen Diario'!$B$5:$B$504, B233, '📅 Resumen Diario'!$C$5:$C$504, D233), 0))</f>
        <v>2696.668156862745</v>
      </c>
      <c r="M233" s="31">
        <f t="shared" si="24"/>
        <v>145.79999999999998</v>
      </c>
      <c r="N233" s="31">
        <f t="shared" si="25"/>
        <v>2842.4681568627452</v>
      </c>
      <c r="O233" s="31">
        <f>IF(OR(B233="",C233=""),"",K233-N233 + IFERROR(E233 / SUMIFS('📅 Resumen Diario'!$D$5:$D$504, '📅 Resumen Diario'!$B$5:$B$504, B233, '📅 Resumen Diario'!$C$5:$C$504, D233) * (SUMIFS('📋 Detalle Diario'!$E$5:$E$489, '📋 Detalle Diario'!$B$5:$B$489, B233, '📋 Detalle Diario'!$C$5:$C$489, D233) * 135 + SUMIFS('📋 Detalle Diario'!$I$5:$I$489, '📋 Detalle Diario'!$B$5:$B$489, B233, '📋 Detalle Diario'!$C$5:$C$489, D233) * 200), 0))</f>
        <v>1014.0847843137252</v>
      </c>
      <c r="P233" s="32">
        <f t="shared" si="26"/>
        <v>0.27903934409601155</v>
      </c>
      <c r="Q233" s="33" t="str">
        <f t="shared" si="27"/>
        <v>2026-06</v>
      </c>
    </row>
    <row r="234" spans="2:17" ht="18" customHeight="1" x14ac:dyDescent="0.3">
      <c r="B234" s="26" t="s">
        <v>107</v>
      </c>
      <c r="C234" s="17" t="s">
        <v>148</v>
      </c>
      <c r="D234" s="27" t="s">
        <v>73</v>
      </c>
      <c r="E234" s="18">
        <v>270</v>
      </c>
      <c r="F234" s="18">
        <v>540</v>
      </c>
      <c r="G234" s="18">
        <v>0</v>
      </c>
      <c r="H234" s="30">
        <f t="shared" si="21"/>
        <v>540</v>
      </c>
      <c r="I234" s="31">
        <f>IF(OR(B234="",C234=""),"",IFERROR(E234*IF(E234="",0,VLOOKUP(C234,'📦 Precios Proforma'!$B$5:$D$104,IF(D234="DIA",2,3),FALSE)),0))</f>
        <v>1628.1000000000001</v>
      </c>
      <c r="J234" s="31">
        <f t="shared" si="22"/>
        <v>729</v>
      </c>
      <c r="K234" s="31">
        <f t="shared" si="23"/>
        <v>2357.1000000000004</v>
      </c>
      <c r="L234" s="31">
        <f>IF(OR(B234="",C234=""),"",IFERROR(E234 / SUMIFS('📅 Resumen Diario'!$D$5:$D$504, '📅 Resumen Diario'!$B$5:$B$504, B234, '📅 Resumen Diario'!$C$5:$C$504, D234) * SUMIFS('📅 Resumen Diario'!$K$5:$K$504, '📅 Resumen Diario'!$B$5:$B$504, B234, '📅 Resumen Diario'!$C$5:$C$504, D234), 0))</f>
        <v>3033.7516764705883</v>
      </c>
      <c r="M234" s="31">
        <f t="shared" si="24"/>
        <v>48.6</v>
      </c>
      <c r="N234" s="31">
        <f t="shared" si="25"/>
        <v>3082.3516764705882</v>
      </c>
      <c r="O234" s="31">
        <f>IF(OR(B234="",C234=""),"",K234-N234 + IFERROR(E234 / SUMIFS('📅 Resumen Diario'!$D$5:$D$504, '📅 Resumen Diario'!$B$5:$B$504, B234, '📅 Resumen Diario'!$C$5:$C$504, D234) * (SUMIFS('📋 Detalle Diario'!$E$5:$E$489, '📋 Detalle Diario'!$B$5:$B$489, B234, '📋 Detalle Diario'!$C$5:$C$489, D234) * 135 + SUMIFS('📋 Detalle Diario'!$I$5:$I$489, '📋 Detalle Diario'!$B$5:$B$489, B234, '📋 Detalle Diario'!$C$5:$C$489, D234) * 200), 0))</f>
        <v>-475.10461764705849</v>
      </c>
      <c r="P234" s="32">
        <f t="shared" si="26"/>
        <v>-0.20156319954480439</v>
      </c>
      <c r="Q234" s="33" t="str">
        <f t="shared" si="27"/>
        <v>2026-06</v>
      </c>
    </row>
    <row r="235" spans="2:17" ht="18" customHeight="1" x14ac:dyDescent="0.3">
      <c r="B235" s="26" t="s">
        <v>108</v>
      </c>
      <c r="C235" s="28" t="s">
        <v>139</v>
      </c>
      <c r="D235" s="27" t="s">
        <v>72</v>
      </c>
      <c r="E235" s="29">
        <v>112</v>
      </c>
      <c r="F235" s="29">
        <v>0</v>
      </c>
      <c r="G235" s="29">
        <v>0</v>
      </c>
      <c r="H235" s="30">
        <f t="shared" si="21"/>
        <v>0</v>
      </c>
      <c r="I235" s="31">
        <f>IF(OR(B235="",C235=""),"",IFERROR(E235*IF(E235="",0,VLOOKUP(C235,'📦 Precios Proforma'!$B$5:$D$104,IF(D235="DIA",2,3),FALSE)),0))</f>
        <v>5040</v>
      </c>
      <c r="J235" s="31">
        <f t="shared" si="22"/>
        <v>0</v>
      </c>
      <c r="K235" s="31">
        <f t="shared" si="23"/>
        <v>5040</v>
      </c>
      <c r="L235" s="31">
        <f>IF(OR(B235="",C235=""),"",IFERROR(E235 / SUMIFS('📅 Resumen Diario'!$D$5:$D$504, '📅 Resumen Diario'!$B$5:$B$504, B235, '📅 Resumen Diario'!$C$5:$C$504, D235) * SUMIFS('📅 Resumen Diario'!$K$5:$K$504, '📅 Resumen Diario'!$B$5:$B$504, B235, '📅 Resumen Diario'!$C$5:$C$504, D235), 0))</f>
        <v>6406.1644137931034</v>
      </c>
      <c r="M235" s="31">
        <f t="shared" si="24"/>
        <v>0</v>
      </c>
      <c r="N235" s="31">
        <f t="shared" si="25"/>
        <v>6406.1644137931034</v>
      </c>
      <c r="O235" s="31">
        <f>IF(OR(B235="",C235=""),"",K235-N235 + IFERROR(E235 / SUMIFS('📅 Resumen Diario'!$D$5:$D$504, '📅 Resumen Diario'!$B$5:$B$504, B235, '📅 Resumen Diario'!$C$5:$C$504, D235) * (SUMIFS('📋 Detalle Diario'!$E$5:$E$489, '📋 Detalle Diario'!$B$5:$B$489, B235, '📋 Detalle Diario'!$C$5:$C$489, D235) * 135 + SUMIFS('📋 Detalle Diario'!$I$5:$I$489, '📋 Detalle Diario'!$B$5:$B$489, B235, '📋 Detalle Diario'!$C$5:$C$489, D235) * 200), 0))</f>
        <v>-1366.1644137931034</v>
      </c>
      <c r="P235" s="32">
        <f t="shared" si="26"/>
        <v>-0.27106436781609194</v>
      </c>
      <c r="Q235" s="33" t="str">
        <f t="shared" si="27"/>
        <v>2026-06</v>
      </c>
    </row>
    <row r="236" spans="2:17" ht="18" customHeight="1" x14ac:dyDescent="0.3">
      <c r="B236" s="26" t="s">
        <v>108</v>
      </c>
      <c r="C236" s="17" t="s">
        <v>134</v>
      </c>
      <c r="D236" s="27" t="s">
        <v>72</v>
      </c>
      <c r="E236" s="18">
        <v>4</v>
      </c>
      <c r="F236" s="18">
        <v>0</v>
      </c>
      <c r="G236" s="18">
        <v>0</v>
      </c>
      <c r="H236" s="30">
        <f t="shared" si="21"/>
        <v>0</v>
      </c>
      <c r="I236" s="31">
        <f>IF(OR(B236="",C236=""),"",IFERROR(E236*IF(E236="",0,VLOOKUP(C236,'📦 Precios Proforma'!$B$5:$D$104,IF(D236="DIA",2,3),FALSE)),0))</f>
        <v>180</v>
      </c>
      <c r="J236" s="31">
        <f t="shared" si="22"/>
        <v>0</v>
      </c>
      <c r="K236" s="31">
        <f t="shared" si="23"/>
        <v>180</v>
      </c>
      <c r="L236" s="31">
        <f>IF(OR(B236="",C236=""),"",IFERROR(E236 / SUMIFS('📅 Resumen Diario'!$D$5:$D$504, '📅 Resumen Diario'!$B$5:$B$504, B236, '📅 Resumen Diario'!$C$5:$C$504, D236) * SUMIFS('📅 Resumen Diario'!$K$5:$K$504, '📅 Resumen Diario'!$B$5:$B$504, B236, '📅 Resumen Diario'!$C$5:$C$504, D236), 0))</f>
        <v>228.79158620689654</v>
      </c>
      <c r="M236" s="31">
        <f t="shared" si="24"/>
        <v>0</v>
      </c>
      <c r="N236" s="31">
        <f t="shared" si="25"/>
        <v>228.79158620689654</v>
      </c>
      <c r="O236" s="31">
        <f>IF(OR(B236="",C236=""),"",K236-N236 + IFERROR(E236 / SUMIFS('📅 Resumen Diario'!$D$5:$D$504, '📅 Resumen Diario'!$B$5:$B$504, B236, '📅 Resumen Diario'!$C$5:$C$504, D236) * (SUMIFS('📋 Detalle Diario'!$E$5:$E$489, '📋 Detalle Diario'!$B$5:$B$489, B236, '📋 Detalle Diario'!$C$5:$C$489, D236) * 135 + SUMIFS('📋 Detalle Diario'!$I$5:$I$489, '📋 Detalle Diario'!$B$5:$B$489, B236, '📋 Detalle Diario'!$C$5:$C$489, D236) * 200), 0))</f>
        <v>-48.79158620689654</v>
      </c>
      <c r="P236" s="32">
        <f t="shared" si="26"/>
        <v>-0.27106436781609189</v>
      </c>
      <c r="Q236" s="33" t="str">
        <f t="shared" si="27"/>
        <v>2026-06</v>
      </c>
    </row>
    <row r="237" spans="2:17" ht="18" customHeight="1" x14ac:dyDescent="0.3">
      <c r="B237" s="26" t="s">
        <v>108</v>
      </c>
      <c r="C237" s="28" t="s">
        <v>155</v>
      </c>
      <c r="D237" s="27" t="s">
        <v>73</v>
      </c>
      <c r="E237" s="29">
        <v>33</v>
      </c>
      <c r="F237" s="29">
        <v>33</v>
      </c>
      <c r="G237" s="29">
        <v>66</v>
      </c>
      <c r="H237" s="30">
        <f t="shared" si="21"/>
        <v>99</v>
      </c>
      <c r="I237" s="31">
        <f>IF(OR(B237="",C237=""),"",IFERROR(E237*IF(E237="",0,VLOOKUP(C237,'📦 Precios Proforma'!$B$5:$D$104,IF(D237="DIA",2,3),FALSE)),0))</f>
        <v>198.99</v>
      </c>
      <c r="J237" s="31">
        <f t="shared" si="22"/>
        <v>133.65</v>
      </c>
      <c r="K237" s="31">
        <f t="shared" si="23"/>
        <v>332.64</v>
      </c>
      <c r="L237" s="31">
        <f>IF(OR(B237="",C237=""),"",IFERROR(E237 / SUMIFS('📅 Resumen Diario'!$D$5:$D$504, '📅 Resumen Diario'!$B$5:$B$504, B237, '📅 Resumen Diario'!$C$5:$C$504, D237) * SUMIFS('📅 Resumen Diario'!$K$5:$K$504, '📅 Resumen Diario'!$B$5:$B$504, B237, '📅 Resumen Diario'!$C$5:$C$504, D237), 0))</f>
        <v>3438.2518999999998</v>
      </c>
      <c r="M237" s="31">
        <f t="shared" si="24"/>
        <v>8.91</v>
      </c>
      <c r="N237" s="31">
        <f t="shared" si="25"/>
        <v>3447.1618999999996</v>
      </c>
      <c r="O237" s="31">
        <f>IF(OR(B237="",C237=""),"",K237-N237 + IFERROR(E237 / SUMIFS('📅 Resumen Diario'!$D$5:$D$504, '📅 Resumen Diario'!$B$5:$B$504, B237, '📅 Resumen Diario'!$C$5:$C$504, D237) * (SUMIFS('📋 Detalle Diario'!$E$5:$E$489, '📋 Detalle Diario'!$B$5:$B$489, B237, '📋 Detalle Diario'!$C$5:$C$489, D237) * 135 + SUMIFS('📋 Detalle Diario'!$I$5:$I$489, '📋 Detalle Diario'!$B$5:$B$489, B237, '📋 Detalle Diario'!$C$5:$C$489, D237) * 200), 0))</f>
        <v>-2831.0218999999997</v>
      </c>
      <c r="P237" s="32">
        <f t="shared" si="26"/>
        <v>-8.5107680976430977</v>
      </c>
      <c r="Q237" s="33" t="str">
        <f t="shared" si="27"/>
        <v>2026-06</v>
      </c>
    </row>
    <row r="238" spans="2:17" ht="18" customHeight="1" x14ac:dyDescent="0.3">
      <c r="B238" s="26" t="s">
        <v>108</v>
      </c>
      <c r="C238" s="17" t="s">
        <v>134</v>
      </c>
      <c r="D238" s="27" t="s">
        <v>73</v>
      </c>
      <c r="E238" s="18">
        <v>22</v>
      </c>
      <c r="F238" s="18">
        <v>0</v>
      </c>
      <c r="G238" s="18">
        <v>0</v>
      </c>
      <c r="H238" s="30">
        <f t="shared" si="21"/>
        <v>0</v>
      </c>
      <c r="I238" s="31">
        <f>IF(OR(B238="",C238=""),"",IFERROR(E238*IF(E238="",0,VLOOKUP(C238,'📦 Precios Proforma'!$B$5:$D$104,IF(D238="DIA",2,3),FALSE)),0))</f>
        <v>1320</v>
      </c>
      <c r="J238" s="31">
        <f t="shared" si="22"/>
        <v>0</v>
      </c>
      <c r="K238" s="31">
        <f t="shared" si="23"/>
        <v>1320</v>
      </c>
      <c r="L238" s="31">
        <f>IF(OR(B238="",C238=""),"",IFERROR(E238 / SUMIFS('📅 Resumen Diario'!$D$5:$D$504, '📅 Resumen Diario'!$B$5:$B$504, B238, '📅 Resumen Diario'!$C$5:$C$504, D238) * SUMIFS('📅 Resumen Diario'!$K$5:$K$504, '📅 Resumen Diario'!$B$5:$B$504, B238, '📅 Resumen Diario'!$C$5:$C$504, D238), 0))</f>
        <v>2292.1679333333336</v>
      </c>
      <c r="M238" s="31">
        <f t="shared" si="24"/>
        <v>0</v>
      </c>
      <c r="N238" s="31">
        <f t="shared" si="25"/>
        <v>2292.1679333333336</v>
      </c>
      <c r="O238" s="31">
        <f>IF(OR(B238="",C238=""),"",K238-N238 + IFERROR(E238 / SUMIFS('📅 Resumen Diario'!$D$5:$D$504, '📅 Resumen Diario'!$B$5:$B$504, B238, '📅 Resumen Diario'!$C$5:$C$504, D238) * (SUMIFS('📋 Detalle Diario'!$E$5:$E$489, '📋 Detalle Diario'!$B$5:$B$489, B238, '📋 Detalle Diario'!$C$5:$C$489, D238) * 135 + SUMIFS('📋 Detalle Diario'!$I$5:$I$489, '📋 Detalle Diario'!$B$5:$B$489, B238, '📋 Detalle Diario'!$C$5:$C$489, D238) * 200), 0))</f>
        <v>-783.16793333333362</v>
      </c>
      <c r="P238" s="32">
        <f t="shared" si="26"/>
        <v>-0.59330904040404064</v>
      </c>
      <c r="Q238" s="33" t="str">
        <f t="shared" si="27"/>
        <v>2026-06</v>
      </c>
    </row>
    <row r="239" spans="2:17" ht="18" customHeight="1" x14ac:dyDescent="0.3">
      <c r="B239" s="26" t="s">
        <v>109</v>
      </c>
      <c r="C239" s="28" t="s">
        <v>164</v>
      </c>
      <c r="D239" s="27" t="s">
        <v>72</v>
      </c>
      <c r="E239" s="29">
        <v>120</v>
      </c>
      <c r="F239" s="29">
        <v>0</v>
      </c>
      <c r="G239" s="29">
        <v>120</v>
      </c>
      <c r="H239" s="30">
        <f t="shared" si="21"/>
        <v>120</v>
      </c>
      <c r="I239" s="31">
        <f>IF(OR(B239="",C239=""),"",IFERROR(E239*IF(E239="",0,VLOOKUP(C239,'📦 Precios Proforma'!$B$5:$D$104,IF(D239="DIA",2,3),FALSE)),0))</f>
        <v>742.80000000000007</v>
      </c>
      <c r="J239" s="31">
        <f t="shared" si="22"/>
        <v>121.2</v>
      </c>
      <c r="K239" s="31">
        <f t="shared" si="23"/>
        <v>864.00000000000011</v>
      </c>
      <c r="L239" s="31">
        <f>IF(OR(B239="",C239=""),"",IFERROR(E239 / SUMIFS('📅 Resumen Diario'!$D$5:$D$504, '📅 Resumen Diario'!$B$5:$B$504, B239, '📅 Resumen Diario'!$C$5:$C$504, D239) * SUMIFS('📅 Resumen Diario'!$K$5:$K$504, '📅 Resumen Diario'!$B$5:$B$504, B239, '📅 Resumen Diario'!$C$5:$C$504, D239), 0))</f>
        <v>6077.8222900763358</v>
      </c>
      <c r="M239" s="31">
        <f t="shared" si="24"/>
        <v>10.799999999999999</v>
      </c>
      <c r="N239" s="31">
        <f t="shared" si="25"/>
        <v>6088.622290076336</v>
      </c>
      <c r="O239" s="31">
        <f>IF(OR(B239="",C239=""),"",K239-N239 + IFERROR(E239 / SUMIFS('📅 Resumen Diario'!$D$5:$D$504, '📅 Resumen Diario'!$B$5:$B$504, B239, '📅 Resumen Diario'!$C$5:$C$504, D239) * (SUMIFS('📋 Detalle Diario'!$E$5:$E$489, '📋 Detalle Diario'!$B$5:$B$489, B239, '📋 Detalle Diario'!$C$5:$C$489, D239) * 135 + SUMIFS('📋 Detalle Diario'!$I$5:$I$489, '📋 Detalle Diario'!$B$5:$B$489, B239, '📋 Detalle Diario'!$C$5:$C$489, D239) * 200), 0))</f>
        <v>-5224.622290076336</v>
      </c>
      <c r="P239" s="32">
        <f t="shared" si="26"/>
        <v>-6.0470165394402029</v>
      </c>
      <c r="Q239" s="33" t="str">
        <f t="shared" si="27"/>
        <v>2026-06</v>
      </c>
    </row>
    <row r="240" spans="2:17" ht="18" customHeight="1" x14ac:dyDescent="0.3">
      <c r="B240" s="26" t="s">
        <v>109</v>
      </c>
      <c r="C240" s="17" t="s">
        <v>134</v>
      </c>
      <c r="D240" s="27" t="s">
        <v>72</v>
      </c>
      <c r="E240" s="18">
        <v>11</v>
      </c>
      <c r="F240" s="18">
        <v>0</v>
      </c>
      <c r="G240" s="18">
        <v>0</v>
      </c>
      <c r="H240" s="30">
        <f t="shared" si="21"/>
        <v>0</v>
      </c>
      <c r="I240" s="31">
        <f>IF(OR(B240="",C240=""),"",IFERROR(E240*IF(E240="",0,VLOOKUP(C240,'📦 Precios Proforma'!$B$5:$D$104,IF(D240="DIA",2,3),FALSE)),0))</f>
        <v>495</v>
      </c>
      <c r="J240" s="31">
        <f t="shared" si="22"/>
        <v>0</v>
      </c>
      <c r="K240" s="31">
        <f t="shared" si="23"/>
        <v>495</v>
      </c>
      <c r="L240" s="31">
        <f>IF(OR(B240="",C240=""),"",IFERROR(E240 / SUMIFS('📅 Resumen Diario'!$D$5:$D$504, '📅 Resumen Diario'!$B$5:$B$504, B240, '📅 Resumen Diario'!$C$5:$C$504, D240) * SUMIFS('📅 Resumen Diario'!$K$5:$K$504, '📅 Resumen Diario'!$B$5:$B$504, B240, '📅 Resumen Diario'!$C$5:$C$504, D240), 0))</f>
        <v>557.13370992366413</v>
      </c>
      <c r="M240" s="31">
        <f t="shared" si="24"/>
        <v>0</v>
      </c>
      <c r="N240" s="31">
        <f t="shared" si="25"/>
        <v>557.13370992366413</v>
      </c>
      <c r="O240" s="31">
        <f>IF(OR(B240="",C240=""),"",K240-N240 + IFERROR(E240 / SUMIFS('📅 Resumen Diario'!$D$5:$D$504, '📅 Resumen Diario'!$B$5:$B$504, B240, '📅 Resumen Diario'!$C$5:$C$504, D240) * (SUMIFS('📋 Detalle Diario'!$E$5:$E$489, '📋 Detalle Diario'!$B$5:$B$489, B240, '📋 Detalle Diario'!$C$5:$C$489, D240) * 135 + SUMIFS('📋 Detalle Diario'!$I$5:$I$489, '📋 Detalle Diario'!$B$5:$B$489, B240, '📋 Detalle Diario'!$C$5:$C$489, D240) * 200), 0))</f>
        <v>-62.133709923664128</v>
      </c>
      <c r="P240" s="32">
        <f t="shared" si="26"/>
        <v>-0.12552264631043258</v>
      </c>
      <c r="Q240" s="33" t="str">
        <f t="shared" si="27"/>
        <v>2026-06</v>
      </c>
    </row>
    <row r="241" spans="2:17" ht="18" customHeight="1" x14ac:dyDescent="0.3">
      <c r="B241" s="26" t="s">
        <v>110</v>
      </c>
      <c r="C241" s="28" t="s">
        <v>151</v>
      </c>
      <c r="D241" s="27" t="s">
        <v>73</v>
      </c>
      <c r="E241" s="29">
        <v>30</v>
      </c>
      <c r="F241" s="29">
        <v>0</v>
      </c>
      <c r="G241" s="29">
        <v>270</v>
      </c>
      <c r="H241" s="30">
        <f t="shared" si="21"/>
        <v>270</v>
      </c>
      <c r="I241" s="31">
        <f>IF(OR(B241="",C241=""),"",IFERROR(E241*IF(E241="",0,VLOOKUP(C241,'📦 Precios Proforma'!$B$5:$D$104,IF(D241="DIA",2,3),FALSE)),0))</f>
        <v>180.9</v>
      </c>
      <c r="J241" s="31">
        <f t="shared" si="22"/>
        <v>364.5</v>
      </c>
      <c r="K241" s="31">
        <f t="shared" si="23"/>
        <v>545.4</v>
      </c>
      <c r="L241" s="31">
        <f>IF(OR(B241="",C241=""),"",IFERROR(E241 / SUMIFS('📅 Resumen Diario'!$D$5:$D$504, '📅 Resumen Diario'!$B$5:$B$504, B241, '📅 Resumen Diario'!$C$5:$C$504, D241) * SUMIFS('📅 Resumen Diario'!$K$5:$K$504, '📅 Resumen Diario'!$B$5:$B$504, B241, '📅 Resumen Diario'!$C$5:$C$504, D241), 0))</f>
        <v>164.69022246941046</v>
      </c>
      <c r="M241" s="31">
        <f t="shared" si="24"/>
        <v>24.3</v>
      </c>
      <c r="N241" s="31">
        <f t="shared" si="25"/>
        <v>188.99022246941047</v>
      </c>
      <c r="O241" s="31">
        <f>IF(OR(B241="",C241=""),"",K241-N241 + IFERROR(E241 / SUMIFS('📅 Resumen Diario'!$D$5:$D$504, '📅 Resumen Diario'!$B$5:$B$504, B241, '📅 Resumen Diario'!$C$5:$C$504, D241) * (SUMIFS('📋 Detalle Diario'!$E$5:$E$489, '📋 Detalle Diario'!$B$5:$B$489, B241, '📋 Detalle Diario'!$C$5:$C$489, D241) * 135 + SUMIFS('📋 Detalle Diario'!$I$5:$I$489, '📋 Detalle Diario'!$B$5:$B$489, B241, '📋 Detalle Diario'!$C$5:$C$489, D241) * 200), 0))</f>
        <v>356.40977753058951</v>
      </c>
      <c r="P241" s="32">
        <f t="shared" si="26"/>
        <v>0.6534832738001275</v>
      </c>
      <c r="Q241" s="33" t="str">
        <f t="shared" si="27"/>
        <v>2026-06</v>
      </c>
    </row>
    <row r="242" spans="2:17" ht="18" customHeight="1" x14ac:dyDescent="0.3">
      <c r="B242" s="26" t="s">
        <v>110</v>
      </c>
      <c r="C242" s="17" t="s">
        <v>152</v>
      </c>
      <c r="D242" s="27" t="s">
        <v>73</v>
      </c>
      <c r="E242" s="18">
        <v>38</v>
      </c>
      <c r="F242" s="18">
        <v>456</v>
      </c>
      <c r="G242" s="18">
        <v>38</v>
      </c>
      <c r="H242" s="30">
        <f t="shared" si="21"/>
        <v>494</v>
      </c>
      <c r="I242" s="31">
        <f>IF(OR(B242="",C242=""),"",IFERROR(E242*IF(E242="",0,VLOOKUP(C242,'📦 Precios Proforma'!$B$5:$D$104,IF(D242="DIA",2,3),FALSE)),0))</f>
        <v>229.14000000000001</v>
      </c>
      <c r="J242" s="31">
        <f t="shared" si="22"/>
        <v>666.90000000000009</v>
      </c>
      <c r="K242" s="31">
        <f t="shared" si="23"/>
        <v>896.04000000000008</v>
      </c>
      <c r="L242" s="31">
        <f>IF(OR(B242="",C242=""),"",IFERROR(E242 / SUMIFS('📅 Resumen Diario'!$D$5:$D$504, '📅 Resumen Diario'!$B$5:$B$504, B242, '📅 Resumen Diario'!$C$5:$C$504, D242) * SUMIFS('📅 Resumen Diario'!$K$5:$K$504, '📅 Resumen Diario'!$B$5:$B$504, B242, '📅 Resumen Diario'!$C$5:$C$504, D242), 0))</f>
        <v>208.60761512791993</v>
      </c>
      <c r="M242" s="31">
        <f t="shared" si="24"/>
        <v>44.46</v>
      </c>
      <c r="N242" s="31">
        <f t="shared" si="25"/>
        <v>253.06761512791994</v>
      </c>
      <c r="O242" s="31">
        <f>IF(OR(B242="",C242=""),"",K242-N242 + IFERROR(E242 / SUMIFS('📅 Resumen Diario'!$D$5:$D$504, '📅 Resumen Diario'!$B$5:$B$504, B242, '📅 Resumen Diario'!$C$5:$C$504, D242) * (SUMIFS('📋 Detalle Diario'!$E$5:$E$489, '📋 Detalle Diario'!$B$5:$B$489, B242, '📋 Detalle Diario'!$C$5:$C$489, D242) * 135 + SUMIFS('📋 Detalle Diario'!$I$5:$I$489, '📋 Detalle Diario'!$B$5:$B$489, B242, '📋 Detalle Diario'!$C$5:$C$489, D242) * 200), 0))</f>
        <v>642.97238487208017</v>
      </c>
      <c r="P242" s="32">
        <f t="shared" si="26"/>
        <v>0.71757107369322815</v>
      </c>
      <c r="Q242" s="33" t="str">
        <f t="shared" si="27"/>
        <v>2026-06</v>
      </c>
    </row>
    <row r="243" spans="2:17" ht="18" customHeight="1" x14ac:dyDescent="0.3">
      <c r="B243" s="26" t="s">
        <v>110</v>
      </c>
      <c r="C243" s="28" t="s">
        <v>149</v>
      </c>
      <c r="D243" s="27" t="s">
        <v>73</v>
      </c>
      <c r="E243" s="29">
        <v>72</v>
      </c>
      <c r="F243" s="29">
        <v>0</v>
      </c>
      <c r="G243" s="29">
        <v>72</v>
      </c>
      <c r="H243" s="30">
        <f t="shared" si="21"/>
        <v>72</v>
      </c>
      <c r="I243" s="31">
        <f>IF(OR(B243="",C243=""),"",IFERROR(E243*IF(E243="",0,VLOOKUP(C243,'📦 Precios Proforma'!$B$5:$D$104,IF(D243="DIA",2,3),FALSE)),0))</f>
        <v>455.04</v>
      </c>
      <c r="J243" s="31">
        <f t="shared" si="22"/>
        <v>97.2</v>
      </c>
      <c r="K243" s="31">
        <f t="shared" si="23"/>
        <v>552.24</v>
      </c>
      <c r="L243" s="31">
        <f>IF(OR(B243="",C243=""),"",IFERROR(E243 / SUMIFS('📅 Resumen Diario'!$D$5:$D$504, '📅 Resumen Diario'!$B$5:$B$504, B243, '📅 Resumen Diario'!$C$5:$C$504, D243) * SUMIFS('📅 Resumen Diario'!$K$5:$K$504, '📅 Resumen Diario'!$B$5:$B$504, B243, '📅 Resumen Diario'!$C$5:$C$504, D243), 0))</f>
        <v>395.25653392658512</v>
      </c>
      <c r="M243" s="31">
        <f t="shared" si="24"/>
        <v>6.4799999999999995</v>
      </c>
      <c r="N243" s="31">
        <f t="shared" si="25"/>
        <v>401.73653392658514</v>
      </c>
      <c r="O243" s="31">
        <f>IF(OR(B243="",C243=""),"",K243-N243 + IFERROR(E243 / SUMIFS('📅 Resumen Diario'!$D$5:$D$504, '📅 Resumen Diario'!$B$5:$B$504, B243, '📅 Resumen Diario'!$C$5:$C$504, D243) * (SUMIFS('📋 Detalle Diario'!$E$5:$E$489, '📋 Detalle Diario'!$B$5:$B$489, B243, '📋 Detalle Diario'!$C$5:$C$489, D243) * 135 + SUMIFS('📋 Detalle Diario'!$I$5:$I$489, '📋 Detalle Diario'!$B$5:$B$489, B243, '📋 Detalle Diario'!$C$5:$C$489, D243) * 200), 0))</f>
        <v>150.50346607341487</v>
      </c>
      <c r="P243" s="32">
        <f t="shared" si="26"/>
        <v>0.27253271417031522</v>
      </c>
      <c r="Q243" s="33" t="str">
        <f t="shared" si="27"/>
        <v>2026-06</v>
      </c>
    </row>
    <row r="244" spans="2:17" ht="18" customHeight="1" x14ac:dyDescent="0.3">
      <c r="B244" s="26" t="s">
        <v>110</v>
      </c>
      <c r="C244" s="17" t="s">
        <v>150</v>
      </c>
      <c r="D244" s="27" t="s">
        <v>73</v>
      </c>
      <c r="E244" s="18">
        <v>706</v>
      </c>
      <c r="F244" s="18">
        <v>706</v>
      </c>
      <c r="G244" s="18">
        <v>2824</v>
      </c>
      <c r="H244" s="30">
        <f t="shared" si="21"/>
        <v>3530</v>
      </c>
      <c r="I244" s="31">
        <f>IF(OR(B244="",C244=""),"",IFERROR(E244*IF(E244="",0,VLOOKUP(C244,'📦 Precios Proforma'!$B$5:$D$104,IF(D244="DIA",2,3),FALSE)),0))</f>
        <v>4257.18</v>
      </c>
      <c r="J244" s="31">
        <f t="shared" si="22"/>
        <v>4765.5</v>
      </c>
      <c r="K244" s="31">
        <f t="shared" si="23"/>
        <v>9022.68</v>
      </c>
      <c r="L244" s="31">
        <f>IF(OR(B244="",C244=""),"",IFERROR(E244 / SUMIFS('📅 Resumen Diario'!$D$5:$D$504, '📅 Resumen Diario'!$B$5:$B$504, B244, '📅 Resumen Diario'!$C$5:$C$504, D244) * SUMIFS('📅 Resumen Diario'!$K$5:$K$504, '📅 Resumen Diario'!$B$5:$B$504, B244, '📅 Resumen Diario'!$C$5:$C$504, D244), 0))</f>
        <v>3875.70990211346</v>
      </c>
      <c r="M244" s="31">
        <f t="shared" si="24"/>
        <v>317.7</v>
      </c>
      <c r="N244" s="31">
        <f t="shared" si="25"/>
        <v>4193.4099021134598</v>
      </c>
      <c r="O244" s="31">
        <f>IF(OR(B244="",C244=""),"",K244-N244 + IFERROR(E244 / SUMIFS('📅 Resumen Diario'!$D$5:$D$504, '📅 Resumen Diario'!$B$5:$B$504, B244, '📅 Resumen Diario'!$C$5:$C$504, D244) * (SUMIFS('📋 Detalle Diario'!$E$5:$E$489, '📋 Detalle Diario'!$B$5:$B$489, B244, '📋 Detalle Diario'!$C$5:$C$489, D244) * 135 + SUMIFS('📋 Detalle Diario'!$I$5:$I$489, '📋 Detalle Diario'!$B$5:$B$489, B244, '📋 Detalle Diario'!$C$5:$C$489, D244) * 200), 0))</f>
        <v>4829.2700978865405</v>
      </c>
      <c r="P244" s="32">
        <f t="shared" si="26"/>
        <v>0.5352367697720124</v>
      </c>
      <c r="Q244" s="33" t="str">
        <f t="shared" si="27"/>
        <v>2026-06</v>
      </c>
    </row>
    <row r="245" spans="2:17" ht="18" customHeight="1" x14ac:dyDescent="0.3">
      <c r="B245" s="26" t="s">
        <v>110</v>
      </c>
      <c r="C245" s="28" t="s">
        <v>148</v>
      </c>
      <c r="D245" s="27" t="s">
        <v>73</v>
      </c>
      <c r="E245" s="29">
        <v>53</v>
      </c>
      <c r="F245" s="29">
        <v>53</v>
      </c>
      <c r="G245" s="29">
        <v>106</v>
      </c>
      <c r="H245" s="30">
        <f t="shared" si="21"/>
        <v>159</v>
      </c>
      <c r="I245" s="31">
        <f>IF(OR(B245="",C245=""),"",IFERROR(E245*IF(E245="",0,VLOOKUP(C245,'📦 Precios Proforma'!$B$5:$D$104,IF(D245="DIA",2,3),FALSE)),0))</f>
        <v>319.59000000000003</v>
      </c>
      <c r="J245" s="31">
        <f t="shared" si="22"/>
        <v>214.65</v>
      </c>
      <c r="K245" s="31">
        <f t="shared" si="23"/>
        <v>534.24</v>
      </c>
      <c r="L245" s="31">
        <f>IF(OR(B245="",C245=""),"",IFERROR(E245 / SUMIFS('📅 Resumen Diario'!$D$5:$D$504, '📅 Resumen Diario'!$B$5:$B$504, B245, '📅 Resumen Diario'!$C$5:$C$504, D245) * SUMIFS('📅 Resumen Diario'!$K$5:$K$504, '📅 Resumen Diario'!$B$5:$B$504, B245, '📅 Resumen Diario'!$C$5:$C$504, D245), 0))</f>
        <v>290.95272636262519</v>
      </c>
      <c r="M245" s="31">
        <f t="shared" si="24"/>
        <v>14.309999999999999</v>
      </c>
      <c r="N245" s="31">
        <f t="shared" si="25"/>
        <v>305.26272636262519</v>
      </c>
      <c r="O245" s="31">
        <f>IF(OR(B245="",C245=""),"",K245-N245 + IFERROR(E245 / SUMIFS('📅 Resumen Diario'!$D$5:$D$504, '📅 Resumen Diario'!$B$5:$B$504, B245, '📅 Resumen Diario'!$C$5:$C$504, D245) * (SUMIFS('📋 Detalle Diario'!$E$5:$E$489, '📋 Detalle Diario'!$B$5:$B$489, B245, '📋 Detalle Diario'!$C$5:$C$489, D245) * 135 + SUMIFS('📋 Detalle Diario'!$I$5:$I$489, '📋 Detalle Diario'!$B$5:$B$489, B245, '📋 Detalle Diario'!$C$5:$C$489, D245) * 200), 0))</f>
        <v>228.97727363737482</v>
      </c>
      <c r="P245" s="32">
        <f t="shared" si="26"/>
        <v>0.4286037616752299</v>
      </c>
      <c r="Q245" s="33" t="str">
        <f t="shared" si="27"/>
        <v>2026-06</v>
      </c>
    </row>
    <row r="246" spans="2:17" ht="18" customHeight="1" x14ac:dyDescent="0.3">
      <c r="B246" s="26" t="s">
        <v>111</v>
      </c>
      <c r="C246" s="17" t="s">
        <v>156</v>
      </c>
      <c r="D246" s="27" t="s">
        <v>72</v>
      </c>
      <c r="E246" s="18">
        <v>250</v>
      </c>
      <c r="F246" s="18">
        <v>0</v>
      </c>
      <c r="G246" s="18">
        <v>250</v>
      </c>
      <c r="H246" s="30">
        <f t="shared" si="21"/>
        <v>250</v>
      </c>
      <c r="I246" s="31">
        <f>IF(OR(B246="",C246=""),"",IFERROR(E246*IF(E246="",0,VLOOKUP(C246,'📦 Precios Proforma'!$B$5:$D$104,IF(D246="DIA",2,3),FALSE)),0))</f>
        <v>1547.5</v>
      </c>
      <c r="J246" s="31">
        <f t="shared" si="22"/>
        <v>252.5</v>
      </c>
      <c r="K246" s="31">
        <f t="shared" si="23"/>
        <v>1800</v>
      </c>
      <c r="L246" s="31">
        <f>IF(OR(B246="",C246=""),"",IFERROR(E246 / SUMIFS('📅 Resumen Diario'!$D$5:$D$504, '📅 Resumen Diario'!$B$5:$B$504, B246, '📅 Resumen Diario'!$C$5:$C$504, D246) * SUMIFS('📅 Resumen Diario'!$K$5:$K$504, '📅 Resumen Diario'!$B$5:$B$504, B246, '📅 Resumen Diario'!$C$5:$C$504, D246), 0))</f>
        <v>2115.8525966183574</v>
      </c>
      <c r="M246" s="31">
        <f t="shared" si="24"/>
        <v>22.5</v>
      </c>
      <c r="N246" s="31">
        <f t="shared" si="25"/>
        <v>2138.3525966183574</v>
      </c>
      <c r="O246" s="31">
        <f>IF(OR(B246="",C246=""),"",K246-N246 + IFERROR(E246 / SUMIFS('📅 Resumen Diario'!$D$5:$D$504, '📅 Resumen Diario'!$B$5:$B$504, B246, '📅 Resumen Diario'!$C$5:$C$504, D246) * (SUMIFS('📋 Detalle Diario'!$E$5:$E$489, '📋 Detalle Diario'!$B$5:$B$489, B246, '📋 Detalle Diario'!$C$5:$C$489, D246) * 135 + SUMIFS('📋 Detalle Diario'!$I$5:$I$489, '📋 Detalle Diario'!$B$5:$B$489, B246, '📋 Detalle Diario'!$C$5:$C$489, D246) * 200), 0))</f>
        <v>-338.35259661835744</v>
      </c>
      <c r="P246" s="32">
        <f t="shared" si="26"/>
        <v>-0.18797366478797636</v>
      </c>
      <c r="Q246" s="33" t="str">
        <f t="shared" si="27"/>
        <v>2026-06</v>
      </c>
    </row>
    <row r="247" spans="2:17" ht="18" customHeight="1" x14ac:dyDescent="0.3">
      <c r="B247" s="26" t="s">
        <v>111</v>
      </c>
      <c r="C247" s="28" t="s">
        <v>150</v>
      </c>
      <c r="D247" s="27" t="s">
        <v>72</v>
      </c>
      <c r="E247" s="29">
        <v>200</v>
      </c>
      <c r="F247" s="29">
        <v>200</v>
      </c>
      <c r="G247" s="29">
        <v>800</v>
      </c>
      <c r="H247" s="30">
        <f t="shared" si="21"/>
        <v>1000</v>
      </c>
      <c r="I247" s="31">
        <f>IF(OR(B247="",C247=""),"",IFERROR(E247*IF(E247="",0,VLOOKUP(C247,'📦 Precios Proforma'!$B$5:$D$104,IF(D247="DIA",2,3),FALSE)),0))</f>
        <v>903.99999999999989</v>
      </c>
      <c r="J247" s="31">
        <f t="shared" si="22"/>
        <v>1010</v>
      </c>
      <c r="K247" s="31">
        <f t="shared" si="23"/>
        <v>1914</v>
      </c>
      <c r="L247" s="31">
        <f>IF(OR(B247="",C247=""),"",IFERROR(E247 / SUMIFS('📅 Resumen Diario'!$D$5:$D$504, '📅 Resumen Diario'!$B$5:$B$504, B247, '📅 Resumen Diario'!$C$5:$C$504, D247) * SUMIFS('📅 Resumen Diario'!$K$5:$K$504, '📅 Resumen Diario'!$B$5:$B$504, B247, '📅 Resumen Diario'!$C$5:$C$504, D247), 0))</f>
        <v>1692.682077294686</v>
      </c>
      <c r="M247" s="31">
        <f t="shared" si="24"/>
        <v>90</v>
      </c>
      <c r="N247" s="31">
        <f t="shared" si="25"/>
        <v>1782.682077294686</v>
      </c>
      <c r="O247" s="31">
        <f>IF(OR(B247="",C247=""),"",K247-N247 + IFERROR(E247 / SUMIFS('📅 Resumen Diario'!$D$5:$D$504, '📅 Resumen Diario'!$B$5:$B$504, B247, '📅 Resumen Diario'!$C$5:$C$504, D247) * (SUMIFS('📋 Detalle Diario'!$E$5:$E$489, '📋 Detalle Diario'!$B$5:$B$489, B247, '📋 Detalle Diario'!$C$5:$C$489, D247) * 135 + SUMIFS('📋 Detalle Diario'!$I$5:$I$489, '📋 Detalle Diario'!$B$5:$B$489, B247, '📋 Detalle Diario'!$C$5:$C$489, D247) * 200), 0))</f>
        <v>131.317922705314</v>
      </c>
      <c r="P247" s="32">
        <f t="shared" si="26"/>
        <v>6.8609155018450371E-2</v>
      </c>
      <c r="Q247" s="33" t="str">
        <f t="shared" si="27"/>
        <v>2026-06</v>
      </c>
    </row>
    <row r="248" spans="2:17" ht="18" customHeight="1" x14ac:dyDescent="0.3">
      <c r="B248" s="26" t="s">
        <v>111</v>
      </c>
      <c r="C248" s="17" t="s">
        <v>165</v>
      </c>
      <c r="D248" s="27" t="s">
        <v>72</v>
      </c>
      <c r="E248" s="18">
        <v>240</v>
      </c>
      <c r="F248" s="18">
        <v>0</v>
      </c>
      <c r="G248" s="18">
        <v>240</v>
      </c>
      <c r="H248" s="30">
        <f t="shared" si="21"/>
        <v>240</v>
      </c>
      <c r="I248" s="31">
        <f>IF(OR(B248="",C248=""),"",IFERROR(E248*IF(E248="",0,VLOOKUP(C248,'📦 Precios Proforma'!$B$5:$D$104,IF(D248="DIA",2,3),FALSE)),0))</f>
        <v>1485.6000000000001</v>
      </c>
      <c r="J248" s="31">
        <f t="shared" si="22"/>
        <v>242.4</v>
      </c>
      <c r="K248" s="31">
        <f t="shared" si="23"/>
        <v>1728.0000000000002</v>
      </c>
      <c r="L248" s="31">
        <f>IF(OR(B248="",C248=""),"",IFERROR(E248 / SUMIFS('📅 Resumen Diario'!$D$5:$D$504, '📅 Resumen Diario'!$B$5:$B$504, B248, '📅 Resumen Diario'!$C$5:$C$504, D248) * SUMIFS('📅 Resumen Diario'!$K$5:$K$504, '📅 Resumen Diario'!$B$5:$B$504, B248, '📅 Resumen Diario'!$C$5:$C$504, D248), 0))</f>
        <v>2031.218492753623</v>
      </c>
      <c r="M248" s="31">
        <f t="shared" si="24"/>
        <v>21.599999999999998</v>
      </c>
      <c r="N248" s="31">
        <f t="shared" si="25"/>
        <v>2052.8184927536231</v>
      </c>
      <c r="O248" s="31">
        <f>IF(OR(B248="",C248=""),"",K248-N248 + IFERROR(E248 / SUMIFS('📅 Resumen Diario'!$D$5:$D$504, '📅 Resumen Diario'!$B$5:$B$504, B248, '📅 Resumen Diario'!$C$5:$C$504, D248) * (SUMIFS('📋 Detalle Diario'!$E$5:$E$489, '📋 Detalle Diario'!$B$5:$B$489, B248, '📋 Detalle Diario'!$C$5:$C$489, D248) * 135 + SUMIFS('📋 Detalle Diario'!$I$5:$I$489, '📋 Detalle Diario'!$B$5:$B$489, B248, '📋 Detalle Diario'!$C$5:$C$489, D248) * 200), 0))</f>
        <v>-324.81849275362288</v>
      </c>
      <c r="P248" s="32">
        <f t="shared" si="26"/>
        <v>-0.18797366478797617</v>
      </c>
      <c r="Q248" s="33" t="str">
        <f t="shared" si="27"/>
        <v>2026-06</v>
      </c>
    </row>
    <row r="249" spans="2:17" ht="18" customHeight="1" x14ac:dyDescent="0.3">
      <c r="B249" s="26" t="s">
        <v>111</v>
      </c>
      <c r="C249" s="28" t="s">
        <v>150</v>
      </c>
      <c r="D249" s="27" t="s">
        <v>73</v>
      </c>
      <c r="E249" s="29">
        <v>681</v>
      </c>
      <c r="F249" s="29">
        <v>681</v>
      </c>
      <c r="G249" s="29">
        <v>2724</v>
      </c>
      <c r="H249" s="30">
        <f t="shared" si="21"/>
        <v>3405</v>
      </c>
      <c r="I249" s="31">
        <f>IF(OR(B249="",C249=""),"",IFERROR(E249*IF(E249="",0,VLOOKUP(C249,'📦 Precios Proforma'!$B$5:$D$104,IF(D249="DIA",2,3),FALSE)),0))</f>
        <v>4106.43</v>
      </c>
      <c r="J249" s="31">
        <f t="shared" si="22"/>
        <v>4596.75</v>
      </c>
      <c r="K249" s="31">
        <f t="shared" si="23"/>
        <v>8703.18</v>
      </c>
      <c r="L249" s="31">
        <f>IF(OR(B249="",C249=""),"",IFERROR(E249 / SUMIFS('📅 Resumen Diario'!$D$5:$D$504, '📅 Resumen Diario'!$B$5:$B$504, B249, '📅 Resumen Diario'!$C$5:$C$504, D249) * SUMIFS('📅 Resumen Diario'!$K$5:$K$504, '📅 Resumen Diario'!$B$5:$B$504, B249, '📅 Resumen Diario'!$C$5:$C$504, D249), 0))</f>
        <v>4080.7612819100095</v>
      </c>
      <c r="M249" s="31">
        <f t="shared" si="24"/>
        <v>306.45</v>
      </c>
      <c r="N249" s="31">
        <f t="shared" si="25"/>
        <v>4387.2112819100093</v>
      </c>
      <c r="O249" s="31">
        <f>IF(OR(B249="",C249=""),"",K249-N249 + IFERROR(E249 / SUMIFS('📅 Resumen Diario'!$D$5:$D$504, '📅 Resumen Diario'!$B$5:$B$504, B249, '📅 Resumen Diario'!$C$5:$C$504, D249) * (SUMIFS('📋 Detalle Diario'!$E$5:$E$489, '📋 Detalle Diario'!$B$5:$B$489, B249, '📋 Detalle Diario'!$C$5:$C$489, D249) * 135 + SUMIFS('📋 Detalle Diario'!$I$5:$I$489, '📋 Detalle Diario'!$B$5:$B$489, B249, '📋 Detalle Diario'!$C$5:$C$489, D249) * 200), 0))</f>
        <v>4315.9687180899909</v>
      </c>
      <c r="P249" s="32">
        <f t="shared" si="26"/>
        <v>0.49590709580750836</v>
      </c>
      <c r="Q249" s="33" t="str">
        <f t="shared" si="27"/>
        <v>2026-06</v>
      </c>
    </row>
    <row r="250" spans="2:17" ht="18" customHeight="1" x14ac:dyDescent="0.3">
      <c r="B250" s="26" t="s">
        <v>111</v>
      </c>
      <c r="C250" s="17" t="s">
        <v>151</v>
      </c>
      <c r="D250" s="27" t="s">
        <v>73</v>
      </c>
      <c r="E250" s="18">
        <v>300</v>
      </c>
      <c r="F250" s="18">
        <v>0</v>
      </c>
      <c r="G250" s="18">
        <v>300</v>
      </c>
      <c r="H250" s="30">
        <f t="shared" si="21"/>
        <v>300</v>
      </c>
      <c r="I250" s="31">
        <f>IF(OR(B250="",C250=""),"",IFERROR(E250*IF(E250="",0,VLOOKUP(C250,'📦 Precios Proforma'!$B$5:$D$104,IF(D250="DIA",2,3),FALSE)),0))</f>
        <v>1809</v>
      </c>
      <c r="J250" s="31">
        <f t="shared" si="22"/>
        <v>405</v>
      </c>
      <c r="K250" s="31">
        <f t="shared" si="23"/>
        <v>2214</v>
      </c>
      <c r="L250" s="31">
        <f>IF(OR(B250="",C250=""),"",IFERROR(E250 / SUMIFS('📅 Resumen Diario'!$D$5:$D$504, '📅 Resumen Diario'!$B$5:$B$504, B250, '📅 Resumen Diario'!$C$5:$C$504, D250) * SUMIFS('📅 Resumen Diario'!$K$5:$K$504, '📅 Resumen Diario'!$B$5:$B$504, B250, '📅 Resumen Diario'!$C$5:$C$504, D250), 0))</f>
        <v>1797.6921946740131</v>
      </c>
      <c r="M250" s="31">
        <f t="shared" si="24"/>
        <v>27</v>
      </c>
      <c r="N250" s="31">
        <f t="shared" si="25"/>
        <v>1824.6921946740131</v>
      </c>
      <c r="O250" s="31">
        <f>IF(OR(B250="",C250=""),"",K250-N250 + IFERROR(E250 / SUMIFS('📅 Resumen Diario'!$D$5:$D$504, '📅 Resumen Diario'!$B$5:$B$504, B250, '📅 Resumen Diario'!$C$5:$C$504, D250) * (SUMIFS('📋 Detalle Diario'!$E$5:$E$489, '📋 Detalle Diario'!$B$5:$B$489, B250, '📋 Detalle Diario'!$C$5:$C$489, D250) * 135 + SUMIFS('📋 Detalle Diario'!$I$5:$I$489, '📋 Detalle Diario'!$B$5:$B$489, B250, '📋 Detalle Diario'!$C$5:$C$489, D250) * 200), 0))</f>
        <v>389.30780532598692</v>
      </c>
      <c r="P250" s="32">
        <f t="shared" si="26"/>
        <v>0.17583911713007538</v>
      </c>
      <c r="Q250" s="33" t="str">
        <f t="shared" si="27"/>
        <v>2026-06</v>
      </c>
    </row>
    <row r="251" spans="2:17" ht="18" customHeight="1" x14ac:dyDescent="0.3">
      <c r="B251" s="26" t="s">
        <v>111</v>
      </c>
      <c r="C251" s="28" t="s">
        <v>152</v>
      </c>
      <c r="D251" s="27" t="s">
        <v>73</v>
      </c>
      <c r="E251" s="29">
        <v>36</v>
      </c>
      <c r="F251" s="29">
        <v>432</v>
      </c>
      <c r="G251" s="29">
        <v>36</v>
      </c>
      <c r="H251" s="30">
        <f t="shared" si="21"/>
        <v>468</v>
      </c>
      <c r="I251" s="31">
        <f>IF(OR(B251="",C251=""),"",IFERROR(E251*IF(E251="",0,VLOOKUP(C251,'📦 Precios Proforma'!$B$5:$D$104,IF(D251="DIA",2,3),FALSE)),0))</f>
        <v>217.08</v>
      </c>
      <c r="J251" s="31">
        <f t="shared" si="22"/>
        <v>631.80000000000007</v>
      </c>
      <c r="K251" s="31">
        <f t="shared" si="23"/>
        <v>848.88000000000011</v>
      </c>
      <c r="L251" s="31">
        <f>IF(OR(B251="",C251=""),"",IFERROR(E251 / SUMIFS('📅 Resumen Diario'!$D$5:$D$504, '📅 Resumen Diario'!$B$5:$B$504, B251, '📅 Resumen Diario'!$C$5:$C$504, D251) * SUMIFS('📅 Resumen Diario'!$K$5:$K$504, '📅 Resumen Diario'!$B$5:$B$504, B251, '📅 Resumen Diario'!$C$5:$C$504, D251), 0))</f>
        <v>215.72306336088155</v>
      </c>
      <c r="M251" s="31">
        <f t="shared" si="24"/>
        <v>42.12</v>
      </c>
      <c r="N251" s="31">
        <f t="shared" si="25"/>
        <v>257.84306336088156</v>
      </c>
      <c r="O251" s="31">
        <f>IF(OR(B251="",C251=""),"",K251-N251 + IFERROR(E251 / SUMIFS('📅 Resumen Diario'!$D$5:$D$504, '📅 Resumen Diario'!$B$5:$B$504, B251, '📅 Resumen Diario'!$C$5:$C$504, D251) * (SUMIFS('📋 Detalle Diario'!$E$5:$E$489, '📋 Detalle Diario'!$B$5:$B$489, B251, '📋 Detalle Diario'!$C$5:$C$489, D251) * 135 + SUMIFS('📋 Detalle Diario'!$I$5:$I$489, '📋 Detalle Diario'!$B$5:$B$489, B251, '📋 Detalle Diario'!$C$5:$C$489, D251) * 200), 0))</f>
        <v>591.03693663911849</v>
      </c>
      <c r="P251" s="32">
        <f t="shared" si="26"/>
        <v>0.69625499085750453</v>
      </c>
      <c r="Q251" s="33" t="str">
        <f t="shared" si="27"/>
        <v>2026-06</v>
      </c>
    </row>
    <row r="252" spans="2:17" ht="18" customHeight="1" x14ac:dyDescent="0.3">
      <c r="B252" s="26" t="s">
        <v>111</v>
      </c>
      <c r="C252" s="17" t="s">
        <v>149</v>
      </c>
      <c r="D252" s="27" t="s">
        <v>73</v>
      </c>
      <c r="E252" s="18">
        <v>72</v>
      </c>
      <c r="F252" s="18">
        <v>0</v>
      </c>
      <c r="G252" s="18">
        <v>72</v>
      </c>
      <c r="H252" s="30">
        <f t="shared" si="21"/>
        <v>72</v>
      </c>
      <c r="I252" s="31">
        <f>IF(OR(B252="",C252=""),"",IFERROR(E252*IF(E252="",0,VLOOKUP(C252,'📦 Precios Proforma'!$B$5:$D$104,IF(D252="DIA",2,3),FALSE)),0))</f>
        <v>455.04</v>
      </c>
      <c r="J252" s="31">
        <f t="shared" si="22"/>
        <v>97.2</v>
      </c>
      <c r="K252" s="31">
        <f t="shared" si="23"/>
        <v>552.24</v>
      </c>
      <c r="L252" s="31">
        <f>IF(OR(B252="",C252=""),"",IFERROR(E252 / SUMIFS('📅 Resumen Diario'!$D$5:$D$504, '📅 Resumen Diario'!$B$5:$B$504, B252, '📅 Resumen Diario'!$C$5:$C$504, D252) * SUMIFS('📅 Resumen Diario'!$K$5:$K$504, '📅 Resumen Diario'!$B$5:$B$504, B252, '📅 Resumen Diario'!$C$5:$C$504, D252), 0))</f>
        <v>431.44612672176311</v>
      </c>
      <c r="M252" s="31">
        <f t="shared" si="24"/>
        <v>6.4799999999999995</v>
      </c>
      <c r="N252" s="31">
        <f t="shared" si="25"/>
        <v>437.92612672176313</v>
      </c>
      <c r="O252" s="31">
        <f>IF(OR(B252="",C252=""),"",K252-N252 + IFERROR(E252 / SUMIFS('📅 Resumen Diario'!$D$5:$D$504, '📅 Resumen Diario'!$B$5:$B$504, B252, '📅 Resumen Diario'!$C$5:$C$504, D252) * (SUMIFS('📋 Detalle Diario'!$E$5:$E$489, '📋 Detalle Diario'!$B$5:$B$489, B252, '📋 Detalle Diario'!$C$5:$C$489, D252) * 135 + SUMIFS('📋 Detalle Diario'!$I$5:$I$489, '📋 Detalle Diario'!$B$5:$B$489, B252, '📋 Detalle Diario'!$C$5:$C$489, D252) * 200), 0))</f>
        <v>114.31387327823688</v>
      </c>
      <c r="P252" s="32">
        <f t="shared" si="26"/>
        <v>0.2070003499895641</v>
      </c>
      <c r="Q252" s="33" t="str">
        <f t="shared" si="27"/>
        <v>2026-06</v>
      </c>
    </row>
    <row r="253" spans="2:17" ht="18" customHeight="1" x14ac:dyDescent="0.3">
      <c r="B253" s="26" t="s">
        <v>112</v>
      </c>
      <c r="C253" s="28" t="s">
        <v>144</v>
      </c>
      <c r="D253" s="27" t="s">
        <v>72</v>
      </c>
      <c r="E253" s="29">
        <v>135</v>
      </c>
      <c r="F253" s="29">
        <v>135</v>
      </c>
      <c r="G253" s="29">
        <v>270</v>
      </c>
      <c r="H253" s="30">
        <f t="shared" si="21"/>
        <v>405</v>
      </c>
      <c r="I253" s="31">
        <f>IF(OR(B253="",C253=""),"",IFERROR(E253*IF(E253="",0,VLOOKUP(C253,'📦 Precios Proforma'!$B$5:$D$104,IF(D253="DIA",2,3),FALSE)),0))</f>
        <v>610.19999999999993</v>
      </c>
      <c r="J253" s="31">
        <f t="shared" si="22"/>
        <v>409.05</v>
      </c>
      <c r="K253" s="31">
        <f t="shared" si="23"/>
        <v>1019.25</v>
      </c>
      <c r="L253" s="31">
        <f>IF(OR(B253="",C253=""),"",IFERROR(E253 / SUMIFS('📅 Resumen Diario'!$D$5:$D$504, '📅 Resumen Diario'!$B$5:$B$504, B253, '📅 Resumen Diario'!$C$5:$C$504, D253) * SUMIFS('📅 Resumen Diario'!$K$5:$K$504, '📅 Resumen Diario'!$B$5:$B$504, B253, '📅 Resumen Diario'!$C$5:$C$504, D253), 0))</f>
        <v>1363.9561894463668</v>
      </c>
      <c r="M253" s="31">
        <f t="shared" si="24"/>
        <v>36.449999999999996</v>
      </c>
      <c r="N253" s="31">
        <f t="shared" si="25"/>
        <v>1400.4061894463669</v>
      </c>
      <c r="O253" s="31">
        <f>IF(OR(B253="",C253=""),"",K253-N253 + IFERROR(E253 / SUMIFS('📅 Resumen Diario'!$D$5:$D$504, '📅 Resumen Diario'!$B$5:$B$504, B253, '📅 Resumen Diario'!$C$5:$C$504, D253) * (SUMIFS('📋 Detalle Diario'!$E$5:$E$489, '📋 Detalle Diario'!$B$5:$B$489, B253, '📋 Detalle Diario'!$C$5:$C$489, D253) * 135 + SUMIFS('📋 Detalle Diario'!$I$5:$I$489, '📋 Detalle Diario'!$B$5:$B$489, B253, '📋 Detalle Diario'!$C$5:$C$489, D253) * 200), 0))</f>
        <v>-381.15618944636685</v>
      </c>
      <c r="P253" s="32">
        <f t="shared" si="26"/>
        <v>-0.37395750742837069</v>
      </c>
      <c r="Q253" s="33" t="str">
        <f t="shared" si="27"/>
        <v>2026-06</v>
      </c>
    </row>
    <row r="254" spans="2:17" ht="18" customHeight="1" x14ac:dyDescent="0.3">
      <c r="B254" s="26" t="s">
        <v>112</v>
      </c>
      <c r="C254" s="17" t="s">
        <v>138</v>
      </c>
      <c r="D254" s="27" t="s">
        <v>72</v>
      </c>
      <c r="E254" s="18">
        <v>60</v>
      </c>
      <c r="F254" s="18">
        <v>0</v>
      </c>
      <c r="G254" s="18">
        <v>60</v>
      </c>
      <c r="H254" s="30">
        <f t="shared" si="21"/>
        <v>60</v>
      </c>
      <c r="I254" s="31">
        <f>IF(OR(B254="",C254=""),"",IFERROR(E254*IF(E254="",0,VLOOKUP(C254,'📦 Precios Proforma'!$B$5:$D$104,IF(D254="DIA",2,3),FALSE)),0))</f>
        <v>260.39999999999998</v>
      </c>
      <c r="J254" s="31">
        <f t="shared" si="22"/>
        <v>60.6</v>
      </c>
      <c r="K254" s="31">
        <f t="shared" si="23"/>
        <v>321</v>
      </c>
      <c r="L254" s="31">
        <f>IF(OR(B254="",C254=""),"",IFERROR(E254 / SUMIFS('📅 Resumen Diario'!$D$5:$D$504, '📅 Resumen Diario'!$B$5:$B$504, B254, '📅 Resumen Diario'!$C$5:$C$504, D254) * SUMIFS('📅 Resumen Diario'!$K$5:$K$504, '📅 Resumen Diario'!$B$5:$B$504, B254, '📅 Resumen Diario'!$C$5:$C$504, D254), 0))</f>
        <v>606.20275086505183</v>
      </c>
      <c r="M254" s="31">
        <f t="shared" si="24"/>
        <v>5.3999999999999995</v>
      </c>
      <c r="N254" s="31">
        <f t="shared" si="25"/>
        <v>611.6027508650518</v>
      </c>
      <c r="O254" s="31">
        <f>IF(OR(B254="",C254=""),"",K254-N254 + IFERROR(E254 / SUMIFS('📅 Resumen Diario'!$D$5:$D$504, '📅 Resumen Diario'!$B$5:$B$504, B254, '📅 Resumen Diario'!$C$5:$C$504, D254) * (SUMIFS('📋 Detalle Diario'!$E$5:$E$489, '📋 Detalle Diario'!$B$5:$B$489, B254, '📋 Detalle Diario'!$C$5:$C$489, D254) * 135 + SUMIFS('📋 Detalle Diario'!$I$5:$I$489, '📋 Detalle Diario'!$B$5:$B$489, B254, '📋 Detalle Diario'!$C$5:$C$489, D254) * 200), 0))</f>
        <v>-290.6027508650518</v>
      </c>
      <c r="P254" s="32">
        <f t="shared" si="26"/>
        <v>-0.90530451982882176</v>
      </c>
      <c r="Q254" s="33" t="str">
        <f t="shared" si="27"/>
        <v>2026-06</v>
      </c>
    </row>
    <row r="255" spans="2:17" ht="18" customHeight="1" x14ac:dyDescent="0.3">
      <c r="B255" s="26" t="s">
        <v>112</v>
      </c>
      <c r="C255" s="28" t="s">
        <v>151</v>
      </c>
      <c r="D255" s="27" t="s">
        <v>72</v>
      </c>
      <c r="E255" s="29">
        <v>180</v>
      </c>
      <c r="F255" s="29">
        <v>0</v>
      </c>
      <c r="G255" s="29">
        <v>1620</v>
      </c>
      <c r="H255" s="30">
        <f t="shared" si="21"/>
        <v>1620</v>
      </c>
      <c r="I255" s="31">
        <f>IF(OR(B255="",C255=""),"",IFERROR(E255*IF(E255="",0,VLOOKUP(C255,'📦 Precios Proforma'!$B$5:$D$104,IF(D255="DIA",2,3),FALSE)),0))</f>
        <v>813.59999999999991</v>
      </c>
      <c r="J255" s="31">
        <f t="shared" si="22"/>
        <v>1636.2</v>
      </c>
      <c r="K255" s="31">
        <f t="shared" si="23"/>
        <v>2449.8000000000002</v>
      </c>
      <c r="L255" s="31">
        <f>IF(OR(B255="",C255=""),"",IFERROR(E255 / SUMIFS('📅 Resumen Diario'!$D$5:$D$504, '📅 Resumen Diario'!$B$5:$B$504, B255, '📅 Resumen Diario'!$C$5:$C$504, D255) * SUMIFS('📅 Resumen Diario'!$K$5:$K$504, '📅 Resumen Diario'!$B$5:$B$504, B255, '📅 Resumen Diario'!$C$5:$C$504, D255), 0))</f>
        <v>1818.6082525951556</v>
      </c>
      <c r="M255" s="31">
        <f t="shared" si="24"/>
        <v>145.79999999999998</v>
      </c>
      <c r="N255" s="31">
        <f t="shared" si="25"/>
        <v>1964.4082525951555</v>
      </c>
      <c r="O255" s="31">
        <f>IF(OR(B255="",C255=""),"",K255-N255 + IFERROR(E255 / SUMIFS('📅 Resumen Diario'!$D$5:$D$504, '📅 Resumen Diario'!$B$5:$B$504, B255, '📅 Resumen Diario'!$C$5:$C$504, D255) * (SUMIFS('📋 Detalle Diario'!$E$5:$E$489, '📋 Detalle Diario'!$B$5:$B$489, B255, '📋 Detalle Diario'!$C$5:$C$489, D255) * 135 + SUMIFS('📋 Detalle Diario'!$I$5:$I$489, '📋 Detalle Diario'!$B$5:$B$489, B255, '📋 Detalle Diario'!$C$5:$C$489, D255) * 200), 0))</f>
        <v>485.39174740484464</v>
      </c>
      <c r="P255" s="32">
        <f t="shared" si="26"/>
        <v>0.19813525487992678</v>
      </c>
      <c r="Q255" s="33" t="str">
        <f t="shared" si="27"/>
        <v>2026-06</v>
      </c>
    </row>
    <row r="256" spans="2:17" ht="18" customHeight="1" x14ac:dyDescent="0.3">
      <c r="B256" s="26" t="s">
        <v>112</v>
      </c>
      <c r="C256" s="17" t="s">
        <v>153</v>
      </c>
      <c r="D256" s="27" t="s">
        <v>72</v>
      </c>
      <c r="E256" s="18">
        <v>196</v>
      </c>
      <c r="F256" s="18">
        <v>0</v>
      </c>
      <c r="G256" s="18">
        <v>196</v>
      </c>
      <c r="H256" s="30">
        <f t="shared" si="21"/>
        <v>196</v>
      </c>
      <c r="I256" s="31">
        <f>IF(OR(B256="",C256=""),"",IFERROR(E256*IF(E256="",0,VLOOKUP(C256,'📦 Precios Proforma'!$B$5:$D$104,IF(D256="DIA",2,3),FALSE)),0))</f>
        <v>850.64</v>
      </c>
      <c r="J256" s="31">
        <f t="shared" si="22"/>
        <v>197.96</v>
      </c>
      <c r="K256" s="31">
        <f t="shared" si="23"/>
        <v>1048.5999999999999</v>
      </c>
      <c r="L256" s="31">
        <f>IF(OR(B256="",C256=""),"",IFERROR(E256 / SUMIFS('📅 Resumen Diario'!$D$5:$D$504, '📅 Resumen Diario'!$B$5:$B$504, B256, '📅 Resumen Diario'!$C$5:$C$504, D256) * SUMIFS('📅 Resumen Diario'!$K$5:$K$504, '📅 Resumen Diario'!$B$5:$B$504, B256, '📅 Resumen Diario'!$C$5:$C$504, D256), 0))</f>
        <v>1980.2623194925027</v>
      </c>
      <c r="M256" s="31">
        <f t="shared" si="24"/>
        <v>17.64</v>
      </c>
      <c r="N256" s="31">
        <f t="shared" si="25"/>
        <v>1997.9023194925028</v>
      </c>
      <c r="O256" s="31">
        <f>IF(OR(B256="",C256=""),"",K256-N256 + IFERROR(E256 / SUMIFS('📅 Resumen Diario'!$D$5:$D$504, '📅 Resumen Diario'!$B$5:$B$504, B256, '📅 Resumen Diario'!$C$5:$C$504, D256) * (SUMIFS('📋 Detalle Diario'!$E$5:$E$489, '📋 Detalle Diario'!$B$5:$B$489, B256, '📋 Detalle Diario'!$C$5:$C$489, D256) * 135 + SUMIFS('📋 Detalle Diario'!$I$5:$I$489, '📋 Detalle Diario'!$B$5:$B$489, B256, '📋 Detalle Diario'!$C$5:$C$489, D256) * 200), 0))</f>
        <v>-949.30231949250287</v>
      </c>
      <c r="P256" s="32">
        <f t="shared" si="26"/>
        <v>-0.90530451982882221</v>
      </c>
      <c r="Q256" s="33" t="str">
        <f t="shared" si="27"/>
        <v>2026-06</v>
      </c>
    </row>
    <row r="257" spans="2:17" ht="18" customHeight="1" x14ac:dyDescent="0.3">
      <c r="B257" s="26" t="s">
        <v>112</v>
      </c>
      <c r="C257" s="28" t="s">
        <v>131</v>
      </c>
      <c r="D257" s="27" t="s">
        <v>72</v>
      </c>
      <c r="E257" s="29">
        <v>3</v>
      </c>
      <c r="F257" s="29">
        <v>0</v>
      </c>
      <c r="G257" s="29">
        <v>0</v>
      </c>
      <c r="H257" s="30">
        <f t="shared" si="21"/>
        <v>0</v>
      </c>
      <c r="I257" s="31">
        <f>IF(OR(B257="",C257=""),"",IFERROR(E257*IF(E257="",0,VLOOKUP(C257,'📦 Precios Proforma'!$B$5:$D$104,IF(D257="DIA",2,3),FALSE)),0))</f>
        <v>135</v>
      </c>
      <c r="J257" s="31">
        <f t="shared" si="22"/>
        <v>0</v>
      </c>
      <c r="K257" s="31">
        <f t="shared" si="23"/>
        <v>135</v>
      </c>
      <c r="L257" s="31">
        <f>IF(OR(B257="",C257=""),"",IFERROR(E257 / SUMIFS('📅 Resumen Diario'!$D$5:$D$504, '📅 Resumen Diario'!$B$5:$B$504, B257, '📅 Resumen Diario'!$C$5:$C$504, D257) * SUMIFS('📅 Resumen Diario'!$K$5:$K$504, '📅 Resumen Diario'!$B$5:$B$504, B257, '📅 Resumen Diario'!$C$5:$C$504, D257), 0))</f>
        <v>30.310137543252591</v>
      </c>
      <c r="M257" s="31">
        <f t="shared" si="24"/>
        <v>0</v>
      </c>
      <c r="N257" s="31">
        <f t="shared" si="25"/>
        <v>30.310137543252591</v>
      </c>
      <c r="O257" s="31">
        <f>IF(OR(B257="",C257=""),"",K257-N257 + IFERROR(E257 / SUMIFS('📅 Resumen Diario'!$D$5:$D$504, '📅 Resumen Diario'!$B$5:$B$504, B257, '📅 Resumen Diario'!$C$5:$C$504, D257) * (SUMIFS('📋 Detalle Diario'!$E$5:$E$489, '📋 Detalle Diario'!$B$5:$B$489, B257, '📋 Detalle Diario'!$C$5:$C$489, D257) * 135 + SUMIFS('📋 Detalle Diario'!$I$5:$I$489, '📋 Detalle Diario'!$B$5:$B$489, B257, '📋 Detalle Diario'!$C$5:$C$489, D257) * 200), 0))</f>
        <v>104.68986245674741</v>
      </c>
      <c r="P257" s="32">
        <f t="shared" si="26"/>
        <v>0.77548046264257342</v>
      </c>
      <c r="Q257" s="33" t="str">
        <f t="shared" si="27"/>
        <v>2026-06</v>
      </c>
    </row>
    <row r="258" spans="2:17" ht="18" customHeight="1" x14ac:dyDescent="0.3">
      <c r="B258" s="26" t="s">
        <v>112</v>
      </c>
      <c r="C258" s="17" t="s">
        <v>134</v>
      </c>
      <c r="D258" s="27" t="s">
        <v>72</v>
      </c>
      <c r="E258" s="18">
        <v>4</v>
      </c>
      <c r="F258" s="18">
        <v>0</v>
      </c>
      <c r="G258" s="18">
        <v>0</v>
      </c>
      <c r="H258" s="30">
        <f t="shared" si="21"/>
        <v>0</v>
      </c>
      <c r="I258" s="31">
        <f>IF(OR(B258="",C258=""),"",IFERROR(E258*IF(E258="",0,VLOOKUP(C258,'📦 Precios Proforma'!$B$5:$D$104,IF(D258="DIA",2,3),FALSE)),0))</f>
        <v>180</v>
      </c>
      <c r="J258" s="31">
        <f t="shared" si="22"/>
        <v>0</v>
      </c>
      <c r="K258" s="31">
        <f t="shared" si="23"/>
        <v>180</v>
      </c>
      <c r="L258" s="31">
        <f>IF(OR(B258="",C258=""),"",IFERROR(E258 / SUMIFS('📅 Resumen Diario'!$D$5:$D$504, '📅 Resumen Diario'!$B$5:$B$504, B258, '📅 Resumen Diario'!$C$5:$C$504, D258) * SUMIFS('📅 Resumen Diario'!$K$5:$K$504, '📅 Resumen Diario'!$B$5:$B$504, B258, '📅 Resumen Diario'!$C$5:$C$504, D258), 0))</f>
        <v>40.413516724336795</v>
      </c>
      <c r="M258" s="31">
        <f t="shared" si="24"/>
        <v>0</v>
      </c>
      <c r="N258" s="31">
        <f t="shared" si="25"/>
        <v>40.413516724336795</v>
      </c>
      <c r="O258" s="31">
        <f>IF(OR(B258="",C258=""),"",K258-N258 + IFERROR(E258 / SUMIFS('📅 Resumen Diario'!$D$5:$D$504, '📅 Resumen Diario'!$B$5:$B$504, B258, '📅 Resumen Diario'!$C$5:$C$504, D258) * (SUMIFS('📋 Detalle Diario'!$E$5:$E$489, '📋 Detalle Diario'!$B$5:$B$489, B258, '📋 Detalle Diario'!$C$5:$C$489, D258) * 135 + SUMIFS('📋 Detalle Diario'!$I$5:$I$489, '📋 Detalle Diario'!$B$5:$B$489, B258, '📋 Detalle Diario'!$C$5:$C$489, D258) * 200), 0))</f>
        <v>139.5864832756632</v>
      </c>
      <c r="P258" s="32">
        <f t="shared" si="26"/>
        <v>0.77548046264257331</v>
      </c>
      <c r="Q258" s="33" t="str">
        <f t="shared" si="27"/>
        <v>2026-06</v>
      </c>
    </row>
    <row r="259" spans="2:17" ht="18" customHeight="1" x14ac:dyDescent="0.3">
      <c r="B259" s="26" t="s">
        <v>112</v>
      </c>
      <c r="C259" s="28" t="s">
        <v>148</v>
      </c>
      <c r="D259" s="27" t="s">
        <v>73</v>
      </c>
      <c r="E259" s="29">
        <v>2160</v>
      </c>
      <c r="F259" s="29">
        <v>2160</v>
      </c>
      <c r="G259" s="29">
        <v>4320</v>
      </c>
      <c r="H259" s="30">
        <f t="shared" si="21"/>
        <v>6480</v>
      </c>
      <c r="I259" s="31">
        <f>IF(OR(B259="",C259=""),"",IFERROR(E259*IF(E259="",0,VLOOKUP(C259,'📦 Precios Proforma'!$B$5:$D$104,IF(D259="DIA",2,3),FALSE)),0))</f>
        <v>13024.800000000001</v>
      </c>
      <c r="J259" s="31">
        <f t="shared" si="22"/>
        <v>8748</v>
      </c>
      <c r="K259" s="31">
        <f t="shared" si="23"/>
        <v>21772.800000000003</v>
      </c>
      <c r="L259" s="31">
        <f>IF(OR(B259="",C259=""),"",IFERROR(E259 / SUMIFS('📅 Resumen Diario'!$D$5:$D$504, '📅 Resumen Diario'!$B$5:$B$504, B259, '📅 Resumen Diario'!$C$5:$C$504, D259) * SUMIFS('📅 Resumen Diario'!$K$5:$K$504, '📅 Resumen Diario'!$B$5:$B$504, B259, '📅 Resumen Diario'!$C$5:$C$504, D259), 0))</f>
        <v>5428.8187894736839</v>
      </c>
      <c r="M259" s="31">
        <f t="shared" si="24"/>
        <v>583.19999999999993</v>
      </c>
      <c r="N259" s="31">
        <f t="shared" si="25"/>
        <v>6012.0187894736837</v>
      </c>
      <c r="O259" s="31">
        <f>IF(OR(B259="",C259=""),"",K259-N259 + IFERROR(E259 / SUMIFS('📅 Resumen Diario'!$D$5:$D$504, '📅 Resumen Diario'!$B$5:$B$504, B259, '📅 Resumen Diario'!$C$5:$C$504, D259) * (SUMIFS('📋 Detalle Diario'!$E$5:$E$489, '📋 Detalle Diario'!$B$5:$B$489, B259, '📋 Detalle Diario'!$C$5:$C$489, D259) * 135 + SUMIFS('📋 Detalle Diario'!$I$5:$I$489, '📋 Detalle Diario'!$B$5:$B$489, B259, '📋 Detalle Diario'!$C$5:$C$489, D259) * 200), 0))</f>
        <v>15760.781210526318</v>
      </c>
      <c r="P259" s="32">
        <f t="shared" si="26"/>
        <v>0.72387479839645408</v>
      </c>
      <c r="Q259" s="33" t="str">
        <f t="shared" si="27"/>
        <v>2026-06</v>
      </c>
    </row>
    <row r="260" spans="2:17" ht="18" customHeight="1" x14ac:dyDescent="0.3">
      <c r="B260" s="26" t="s">
        <v>112</v>
      </c>
      <c r="C260" s="17" t="s">
        <v>152</v>
      </c>
      <c r="D260" s="27" t="s">
        <v>73</v>
      </c>
      <c r="E260" s="18">
        <v>120</v>
      </c>
      <c r="F260" s="18">
        <v>1440</v>
      </c>
      <c r="G260" s="18">
        <v>120</v>
      </c>
      <c r="H260" s="30">
        <f t="shared" si="21"/>
        <v>1560</v>
      </c>
      <c r="I260" s="31">
        <f>IF(OR(B260="",C260=""),"",IFERROR(E260*IF(E260="",0,VLOOKUP(C260,'📦 Precios Proforma'!$B$5:$D$104,IF(D260="DIA",2,3),FALSE)),0))</f>
        <v>723.6</v>
      </c>
      <c r="J260" s="31">
        <f t="shared" si="22"/>
        <v>2106</v>
      </c>
      <c r="K260" s="31">
        <f t="shared" si="23"/>
        <v>2829.6</v>
      </c>
      <c r="L260" s="31">
        <f>IF(OR(B260="",C260=""),"",IFERROR(E260 / SUMIFS('📅 Resumen Diario'!$D$5:$D$504, '📅 Resumen Diario'!$B$5:$B$504, B260, '📅 Resumen Diario'!$C$5:$C$504, D260) * SUMIFS('📅 Resumen Diario'!$K$5:$K$504, '📅 Resumen Diario'!$B$5:$B$504, B260, '📅 Resumen Diario'!$C$5:$C$504, D260), 0))</f>
        <v>301.60104385964911</v>
      </c>
      <c r="M260" s="31">
        <f t="shared" si="24"/>
        <v>140.4</v>
      </c>
      <c r="N260" s="31">
        <f t="shared" si="25"/>
        <v>442.00104385964914</v>
      </c>
      <c r="O260" s="31">
        <f>IF(OR(B260="",C260=""),"",K260-N260 + IFERROR(E260 / SUMIFS('📅 Resumen Diario'!$D$5:$D$504, '📅 Resumen Diario'!$B$5:$B$504, B260, '📅 Resumen Diario'!$C$5:$C$504, D260) * (SUMIFS('📋 Detalle Diario'!$E$5:$E$489, '📋 Detalle Diario'!$B$5:$B$489, B260, '📋 Detalle Diario'!$C$5:$C$489, D260) * 135 + SUMIFS('📋 Detalle Diario'!$I$5:$I$489, '📋 Detalle Diario'!$B$5:$B$489, B260, '📋 Detalle Diario'!$C$5:$C$489, D260) * 200), 0))</f>
        <v>2387.5989561403508</v>
      </c>
      <c r="P260" s="32">
        <f t="shared" si="26"/>
        <v>0.84379380694810246</v>
      </c>
      <c r="Q260" s="33" t="str">
        <f t="shared" si="27"/>
        <v>2026-06</v>
      </c>
    </row>
    <row r="261" spans="2:17" ht="18" customHeight="1" x14ac:dyDescent="0.3">
      <c r="B261" s="26" t="s">
        <v>113</v>
      </c>
      <c r="C261" s="28" t="s">
        <v>160</v>
      </c>
      <c r="D261" s="27" t="s">
        <v>72</v>
      </c>
      <c r="E261" s="29">
        <v>1938</v>
      </c>
      <c r="F261" s="29">
        <v>1938</v>
      </c>
      <c r="G261" s="29">
        <v>5814</v>
      </c>
      <c r="H261" s="30">
        <f t="shared" si="21"/>
        <v>7752</v>
      </c>
      <c r="I261" s="31">
        <f>IF(OR(B261="",C261=""),"",IFERROR(E261*IF(E261="",0,VLOOKUP(C261,'📦 Precios Proforma'!$B$5:$D$104,IF(D261="DIA",2,3),FALSE)),0))</f>
        <v>8759.7599999999984</v>
      </c>
      <c r="J261" s="31">
        <f t="shared" si="22"/>
        <v>7829.52</v>
      </c>
      <c r="K261" s="31">
        <f t="shared" si="23"/>
        <v>16589.28</v>
      </c>
      <c r="L261" s="31">
        <f>IF(OR(B261="",C261=""),"",IFERROR(E261 / SUMIFS('📅 Resumen Diario'!$D$5:$D$504, '📅 Resumen Diario'!$B$5:$B$504, B261, '📅 Resumen Diario'!$C$5:$C$504, D261) * SUMIFS('📅 Resumen Diario'!$K$5:$K$504, '📅 Resumen Diario'!$B$5:$B$504, B261, '📅 Resumen Diario'!$C$5:$C$504, D261), 0))</f>
        <v>6617.8820010293357</v>
      </c>
      <c r="M261" s="31">
        <f t="shared" si="24"/>
        <v>697.68</v>
      </c>
      <c r="N261" s="31">
        <f t="shared" si="25"/>
        <v>7315.562001029336</v>
      </c>
      <c r="O261" s="31">
        <f>IF(OR(B261="",C261=""),"",K261-N261 + IFERROR(E261 / SUMIFS('📅 Resumen Diario'!$D$5:$D$504, '📅 Resumen Diario'!$B$5:$B$504, B261, '📅 Resumen Diario'!$C$5:$C$504, D261) * (SUMIFS('📋 Detalle Diario'!$E$5:$E$489, '📋 Detalle Diario'!$B$5:$B$489, B261, '📋 Detalle Diario'!$C$5:$C$489, D261) * 135 + SUMIFS('📋 Detalle Diario'!$I$5:$I$489, '📋 Detalle Diario'!$B$5:$B$489, B261, '📋 Detalle Diario'!$C$5:$C$489, D261) * 200), 0))</f>
        <v>9273.7179989706638</v>
      </c>
      <c r="P261" s="32">
        <f t="shared" si="26"/>
        <v>0.55901871563869343</v>
      </c>
      <c r="Q261" s="33" t="str">
        <f t="shared" si="27"/>
        <v>2026-06</v>
      </c>
    </row>
    <row r="262" spans="2:17" ht="18" customHeight="1" x14ac:dyDescent="0.3">
      <c r="B262" s="26" t="s">
        <v>113</v>
      </c>
      <c r="C262" s="17" t="s">
        <v>134</v>
      </c>
      <c r="D262" s="27" t="s">
        <v>72</v>
      </c>
      <c r="E262" s="18">
        <v>5</v>
      </c>
      <c r="F262" s="18">
        <v>0</v>
      </c>
      <c r="G262" s="18">
        <v>0</v>
      </c>
      <c r="H262" s="30">
        <f t="shared" si="21"/>
        <v>0</v>
      </c>
      <c r="I262" s="31">
        <f>IF(OR(B262="",C262=""),"",IFERROR(E262*IF(E262="",0,VLOOKUP(C262,'📦 Precios Proforma'!$B$5:$D$104,IF(D262="DIA",2,3),FALSE)),0))</f>
        <v>225</v>
      </c>
      <c r="J262" s="31">
        <f t="shared" si="22"/>
        <v>0</v>
      </c>
      <c r="K262" s="31">
        <f t="shared" si="23"/>
        <v>225</v>
      </c>
      <c r="L262" s="31">
        <f>IF(OR(B262="",C262=""),"",IFERROR(E262 / SUMIFS('📅 Resumen Diario'!$D$5:$D$504, '📅 Resumen Diario'!$B$5:$B$504, B262, '📅 Resumen Diario'!$C$5:$C$504, D262) * SUMIFS('📅 Resumen Diario'!$K$5:$K$504, '📅 Resumen Diario'!$B$5:$B$504, B262, '📅 Resumen Diario'!$C$5:$C$504, D262), 0))</f>
        <v>17.073998970663922</v>
      </c>
      <c r="M262" s="31">
        <f t="shared" si="24"/>
        <v>0</v>
      </c>
      <c r="N262" s="31">
        <f t="shared" si="25"/>
        <v>17.073998970663922</v>
      </c>
      <c r="O262" s="31">
        <f>IF(OR(B262="",C262=""),"",K262-N262 + IFERROR(E262 / SUMIFS('📅 Resumen Diario'!$D$5:$D$504, '📅 Resumen Diario'!$B$5:$B$504, B262, '📅 Resumen Diario'!$C$5:$C$504, D262) * (SUMIFS('📋 Detalle Diario'!$E$5:$E$489, '📋 Detalle Diario'!$B$5:$B$489, B262, '📋 Detalle Diario'!$C$5:$C$489, D262) * 135 + SUMIFS('📋 Detalle Diario'!$I$5:$I$489, '📋 Detalle Diario'!$B$5:$B$489, B262, '📋 Detalle Diario'!$C$5:$C$489, D262) * 200), 0))</f>
        <v>207.92600102933608</v>
      </c>
      <c r="P262" s="32">
        <f t="shared" si="26"/>
        <v>0.92411556013038254</v>
      </c>
      <c r="Q262" s="33" t="str">
        <f t="shared" si="27"/>
        <v>2026-06</v>
      </c>
    </row>
    <row r="263" spans="2:17" ht="18" customHeight="1" x14ac:dyDescent="0.3">
      <c r="B263" s="26" t="s">
        <v>113</v>
      </c>
      <c r="C263" s="28" t="s">
        <v>134</v>
      </c>
      <c r="D263" s="27" t="s">
        <v>73</v>
      </c>
      <c r="E263" s="29">
        <v>15.8</v>
      </c>
      <c r="F263" s="29">
        <v>0</v>
      </c>
      <c r="G263" s="29">
        <v>0</v>
      </c>
      <c r="H263" s="30">
        <f t="shared" ref="H263:H326" si="28">IF(OR(B263="",C263=""),"",F263+G263)</f>
        <v>0</v>
      </c>
      <c r="I263" s="31">
        <f>IF(OR(B263="",C263=""),"",IFERROR(E263*IF(E263="",0,VLOOKUP(C263,'📦 Precios Proforma'!$B$5:$D$104,IF(D263="DIA",2,3),FALSE)),0))</f>
        <v>948</v>
      </c>
      <c r="J263" s="31">
        <f t="shared" ref="J263:J326" si="29">IF(OR(B263="",C263=""),"",IF(D263="DIA",H263*1.01,H263*1.35))</f>
        <v>0</v>
      </c>
      <c r="K263" s="31">
        <f t="shared" ref="K263:K326" si="30">IF(OR(B263="",C263=""),"",I263+J263)</f>
        <v>948</v>
      </c>
      <c r="L263" s="31">
        <f>IF(OR(B263="",C263=""),"",IFERROR(E263 / SUMIFS('📅 Resumen Diario'!$D$5:$D$504, '📅 Resumen Diario'!$B$5:$B$504, B263, '📅 Resumen Diario'!$C$5:$C$504, D263) * SUMIFS('📅 Resumen Diario'!$K$5:$K$504, '📅 Resumen Diario'!$B$5:$B$504, B263, '📅 Resumen Diario'!$C$5:$C$504, D263), 0))</f>
        <v>166.35178788856624</v>
      </c>
      <c r="M263" s="31">
        <f t="shared" ref="M263:M326" si="31">IF(OR(B263="",C263=""),"",H263*0.09)</f>
        <v>0</v>
      </c>
      <c r="N263" s="31">
        <f t="shared" ref="N263:N326" si="32">IF(OR(B263="",C263=""),"",L263+M263)</f>
        <v>166.35178788856624</v>
      </c>
      <c r="O263" s="31">
        <f>IF(OR(B263="",C263=""),"",K263-N263 + IFERROR(E263 / SUMIFS('📅 Resumen Diario'!$D$5:$D$504, '📅 Resumen Diario'!$B$5:$B$504, B263, '📅 Resumen Diario'!$C$5:$C$504, D263) * (SUMIFS('📋 Detalle Diario'!$E$5:$E$489, '📋 Detalle Diario'!$B$5:$B$489, B263, '📋 Detalle Diario'!$C$5:$C$489, D263) * 135 + SUMIFS('📋 Detalle Diario'!$I$5:$I$489, '📋 Detalle Diario'!$B$5:$B$489, B263, '📋 Detalle Diario'!$C$5:$C$489, D263) * 200), 0))</f>
        <v>781.64821211143374</v>
      </c>
      <c r="P263" s="32">
        <f t="shared" ref="P263:P326" si="33">IF(OR(B263="",C263=""),"",IF(K263=0, 0, O263/K263))</f>
        <v>0.82452343049729293</v>
      </c>
      <c r="Q263" s="33" t="str">
        <f t="shared" ref="Q263:Q326" si="34">IF(B263="","",IF(ISNUMBER(B263),YEAR(B263)&amp;"-"&amp;IF(MONTH(B263)&lt;10,"0","")&amp;MONTH(B263),LEFT(B263,7)))</f>
        <v>2026-06</v>
      </c>
    </row>
    <row r="264" spans="2:17" ht="18" customHeight="1" x14ac:dyDescent="0.3">
      <c r="B264" s="26" t="s">
        <v>113</v>
      </c>
      <c r="C264" s="17" t="s">
        <v>151</v>
      </c>
      <c r="D264" s="27" t="s">
        <v>73</v>
      </c>
      <c r="E264" s="18">
        <v>30</v>
      </c>
      <c r="F264" s="18">
        <v>0</v>
      </c>
      <c r="G264" s="18">
        <v>270</v>
      </c>
      <c r="H264" s="30">
        <f t="shared" si="28"/>
        <v>270</v>
      </c>
      <c r="I264" s="31">
        <f>IF(OR(B264="",C264=""),"",IFERROR(E264*IF(E264="",0,VLOOKUP(C264,'📦 Precios Proforma'!$B$5:$D$104,IF(D264="DIA",2,3),FALSE)),0))</f>
        <v>180.9</v>
      </c>
      <c r="J264" s="31">
        <f t="shared" si="29"/>
        <v>364.5</v>
      </c>
      <c r="K264" s="31">
        <f t="shared" si="30"/>
        <v>545.4</v>
      </c>
      <c r="L264" s="31">
        <f>IF(OR(B264="",C264=""),"",IFERROR(E264 / SUMIFS('📅 Resumen Diario'!$D$5:$D$504, '📅 Resumen Diario'!$B$5:$B$504, B264, '📅 Resumen Diario'!$C$5:$C$504, D264) * SUMIFS('📅 Resumen Diario'!$K$5:$K$504, '📅 Resumen Diario'!$B$5:$B$504, B264, '📅 Resumen Diario'!$C$5:$C$504, D264), 0))</f>
        <v>315.85782510487257</v>
      </c>
      <c r="M264" s="31">
        <f t="shared" si="31"/>
        <v>24.3</v>
      </c>
      <c r="N264" s="31">
        <f t="shared" si="32"/>
        <v>340.15782510487259</v>
      </c>
      <c r="O264" s="31">
        <f>IF(OR(B264="",C264=""),"",K264-N264 + IFERROR(E264 / SUMIFS('📅 Resumen Diario'!$D$5:$D$504, '📅 Resumen Diario'!$B$5:$B$504, B264, '📅 Resumen Diario'!$C$5:$C$504, D264) * (SUMIFS('📋 Detalle Diario'!$E$5:$E$489, '📋 Detalle Diario'!$B$5:$B$489, B264, '📋 Detalle Diario'!$C$5:$C$489, D264) * 135 + SUMIFS('📋 Detalle Diario'!$I$5:$I$489, '📋 Detalle Diario'!$B$5:$B$489, B264, '📋 Detalle Diario'!$C$5:$C$489, D264) * 200), 0))</f>
        <v>205.24217489512739</v>
      </c>
      <c r="P264" s="32">
        <f t="shared" si="33"/>
        <v>0.37631495213628052</v>
      </c>
      <c r="Q264" s="33" t="str">
        <f t="shared" si="34"/>
        <v>2026-06</v>
      </c>
    </row>
    <row r="265" spans="2:17" ht="18" customHeight="1" x14ac:dyDescent="0.3">
      <c r="B265" s="26" t="s">
        <v>113</v>
      </c>
      <c r="C265" s="28" t="s">
        <v>138</v>
      </c>
      <c r="D265" s="27" t="s">
        <v>73</v>
      </c>
      <c r="E265" s="29">
        <v>40</v>
      </c>
      <c r="F265" s="29">
        <v>0</v>
      </c>
      <c r="G265" s="29">
        <v>40</v>
      </c>
      <c r="H265" s="30">
        <f t="shared" si="28"/>
        <v>40</v>
      </c>
      <c r="I265" s="31">
        <f>IF(OR(B265="",C265=""),"",IFERROR(E265*IF(E265="",0,VLOOKUP(C265,'📦 Precios Proforma'!$B$5:$D$104,IF(D265="DIA",2,3),FALSE)),0))</f>
        <v>231.6</v>
      </c>
      <c r="J265" s="31">
        <f t="shared" si="29"/>
        <v>54</v>
      </c>
      <c r="K265" s="31">
        <f t="shared" si="30"/>
        <v>285.60000000000002</v>
      </c>
      <c r="L265" s="31">
        <f>IF(OR(B265="",C265=""),"",IFERROR(E265 / SUMIFS('📅 Resumen Diario'!$D$5:$D$504, '📅 Resumen Diario'!$B$5:$B$504, B265, '📅 Resumen Diario'!$C$5:$C$504, D265) * SUMIFS('📅 Resumen Diario'!$K$5:$K$504, '📅 Resumen Diario'!$B$5:$B$504, B265, '📅 Resumen Diario'!$C$5:$C$504, D265), 0))</f>
        <v>421.14376680649679</v>
      </c>
      <c r="M265" s="31">
        <f t="shared" si="31"/>
        <v>3.5999999999999996</v>
      </c>
      <c r="N265" s="31">
        <f t="shared" si="32"/>
        <v>424.74376680649681</v>
      </c>
      <c r="O265" s="31">
        <f>IF(OR(B265="",C265=""),"",K265-N265 + IFERROR(E265 / SUMIFS('📅 Resumen Diario'!$D$5:$D$504, '📅 Resumen Diario'!$B$5:$B$504, B265, '📅 Resumen Diario'!$C$5:$C$504, D265) * (SUMIFS('📋 Detalle Diario'!$E$5:$E$489, '📋 Detalle Diario'!$B$5:$B$489, B265, '📋 Detalle Diario'!$C$5:$C$489, D265) * 135 + SUMIFS('📋 Detalle Diario'!$I$5:$I$489, '📋 Detalle Diario'!$B$5:$B$489, B265, '📋 Detalle Diario'!$C$5:$C$489, D265) * 200), 0))</f>
        <v>-139.14376680649679</v>
      </c>
      <c r="P265" s="32">
        <f t="shared" si="33"/>
        <v>-0.48719806304795787</v>
      </c>
      <c r="Q265" s="33" t="str">
        <f t="shared" si="34"/>
        <v>2026-06</v>
      </c>
    </row>
    <row r="266" spans="2:17" ht="18" customHeight="1" x14ac:dyDescent="0.3">
      <c r="B266" s="26" t="s">
        <v>113</v>
      </c>
      <c r="C266" s="17" t="s">
        <v>163</v>
      </c>
      <c r="D266" s="27" t="s">
        <v>73</v>
      </c>
      <c r="E266" s="18">
        <v>264</v>
      </c>
      <c r="F266" s="18">
        <v>0</v>
      </c>
      <c r="G266" s="18">
        <v>3168</v>
      </c>
      <c r="H266" s="30">
        <f t="shared" si="28"/>
        <v>3168</v>
      </c>
      <c r="I266" s="31">
        <f>IF(OR(B266="",C266=""),"",IFERROR(E266*IF(E266="",0,VLOOKUP(C266,'📦 Precios Proforma'!$B$5:$D$104,IF(D266="DIA",2,3),FALSE)),0))</f>
        <v>1956.24</v>
      </c>
      <c r="J266" s="31">
        <f t="shared" si="29"/>
        <v>4276.8</v>
      </c>
      <c r="K266" s="31">
        <f t="shared" si="30"/>
        <v>6233.04</v>
      </c>
      <c r="L266" s="31">
        <f>IF(OR(B266="",C266=""),"",IFERROR(E266 / SUMIFS('📅 Resumen Diario'!$D$5:$D$504, '📅 Resumen Diario'!$B$5:$B$504, B266, '📅 Resumen Diario'!$C$5:$C$504, D266) * SUMIFS('📅 Resumen Diario'!$K$5:$K$504, '📅 Resumen Diario'!$B$5:$B$504, B266, '📅 Resumen Diario'!$C$5:$C$504, D266), 0))</f>
        <v>2779.5488609228787</v>
      </c>
      <c r="M266" s="31">
        <f t="shared" si="31"/>
        <v>285.12</v>
      </c>
      <c r="N266" s="31">
        <f t="shared" si="32"/>
        <v>3064.6688609228786</v>
      </c>
      <c r="O266" s="31">
        <f>IF(OR(B266="",C266=""),"",K266-N266 + IFERROR(E266 / SUMIFS('📅 Resumen Diario'!$D$5:$D$504, '📅 Resumen Diario'!$B$5:$B$504, B266, '📅 Resumen Diario'!$C$5:$C$504, D266) * (SUMIFS('📋 Detalle Diario'!$E$5:$E$489, '📋 Detalle Diario'!$B$5:$B$489, B266, '📋 Detalle Diario'!$C$5:$C$489, D266) * 135 + SUMIFS('📋 Detalle Diario'!$I$5:$I$489, '📋 Detalle Diario'!$B$5:$B$489, B266, '📋 Detalle Diario'!$C$5:$C$489, D266) * 200), 0))</f>
        <v>3168.3711390771214</v>
      </c>
      <c r="P266" s="32">
        <f t="shared" si="33"/>
        <v>0.50831875602869891</v>
      </c>
      <c r="Q266" s="33" t="str">
        <f t="shared" si="34"/>
        <v>2026-06</v>
      </c>
    </row>
    <row r="267" spans="2:17" ht="18" customHeight="1" x14ac:dyDescent="0.3">
      <c r="B267" s="26" t="s">
        <v>113</v>
      </c>
      <c r="C267" s="28" t="s">
        <v>148</v>
      </c>
      <c r="D267" s="27" t="s">
        <v>73</v>
      </c>
      <c r="E267" s="29">
        <v>135</v>
      </c>
      <c r="F267" s="29">
        <v>135</v>
      </c>
      <c r="G267" s="29">
        <v>270</v>
      </c>
      <c r="H267" s="30">
        <f t="shared" si="28"/>
        <v>405</v>
      </c>
      <c r="I267" s="31">
        <f>IF(OR(B267="",C267=""),"",IFERROR(E267*IF(E267="",0,VLOOKUP(C267,'📦 Precios Proforma'!$B$5:$D$104,IF(D267="DIA",2,3),FALSE)),0))</f>
        <v>814.05000000000007</v>
      </c>
      <c r="J267" s="31">
        <f t="shared" si="29"/>
        <v>546.75</v>
      </c>
      <c r="K267" s="31">
        <f t="shared" si="30"/>
        <v>1360.8000000000002</v>
      </c>
      <c r="L267" s="31">
        <f>IF(OR(B267="",C267=""),"",IFERROR(E267 / SUMIFS('📅 Resumen Diario'!$D$5:$D$504, '📅 Resumen Diario'!$B$5:$B$504, B267, '📅 Resumen Diario'!$C$5:$C$504, D267) * SUMIFS('📅 Resumen Diario'!$K$5:$K$504, '📅 Resumen Diario'!$B$5:$B$504, B267, '📅 Resumen Diario'!$C$5:$C$504, D267), 0))</f>
        <v>1421.3602129719268</v>
      </c>
      <c r="M267" s="31">
        <f t="shared" si="31"/>
        <v>36.449999999999996</v>
      </c>
      <c r="N267" s="31">
        <f t="shared" si="32"/>
        <v>1457.8102129719268</v>
      </c>
      <c r="O267" s="31">
        <f>IF(OR(B267="",C267=""),"",K267-N267 + IFERROR(E267 / SUMIFS('📅 Resumen Diario'!$D$5:$D$504, '📅 Resumen Diario'!$B$5:$B$504, B267, '📅 Resumen Diario'!$C$5:$C$504, D267) * (SUMIFS('📋 Detalle Diario'!$E$5:$E$489, '📋 Detalle Diario'!$B$5:$B$489, B267, '📋 Detalle Diario'!$C$5:$C$489, D267) * 135 + SUMIFS('📋 Detalle Diario'!$I$5:$I$489, '📋 Detalle Diario'!$B$5:$B$489, B267, '📋 Detalle Diario'!$C$5:$C$489, D267) * 200), 0))</f>
        <v>-97.010212971926649</v>
      </c>
      <c r="P267" s="32">
        <f t="shared" si="33"/>
        <v>-7.1289104182779714E-2</v>
      </c>
      <c r="Q267" s="33" t="str">
        <f t="shared" si="34"/>
        <v>2026-06</v>
      </c>
    </row>
    <row r="268" spans="2:17" ht="18" customHeight="1" x14ac:dyDescent="0.3">
      <c r="B268" s="26" t="s">
        <v>113</v>
      </c>
      <c r="C268" s="17" t="s">
        <v>144</v>
      </c>
      <c r="D268" s="27" t="s">
        <v>73</v>
      </c>
      <c r="E268" s="18">
        <v>135</v>
      </c>
      <c r="F268" s="18">
        <v>135</v>
      </c>
      <c r="G268" s="18">
        <v>270</v>
      </c>
      <c r="H268" s="30">
        <f t="shared" si="28"/>
        <v>405</v>
      </c>
      <c r="I268" s="31">
        <f>IF(OR(B268="",C268=""),"",IFERROR(E268*IF(E268="",0,VLOOKUP(C268,'📦 Precios Proforma'!$B$5:$D$104,IF(D268="DIA",2,3),FALSE)),0))</f>
        <v>814.05000000000007</v>
      </c>
      <c r="J268" s="31">
        <f t="shared" si="29"/>
        <v>546.75</v>
      </c>
      <c r="K268" s="31">
        <f t="shared" si="30"/>
        <v>1360.8000000000002</v>
      </c>
      <c r="L268" s="31">
        <f>IF(OR(B268="",C268=""),"",IFERROR(E268 / SUMIFS('📅 Resumen Diario'!$D$5:$D$504, '📅 Resumen Diario'!$B$5:$B$504, B268, '📅 Resumen Diario'!$C$5:$C$504, D268) * SUMIFS('📅 Resumen Diario'!$K$5:$K$504, '📅 Resumen Diario'!$B$5:$B$504, B268, '📅 Resumen Diario'!$C$5:$C$504, D268), 0))</f>
        <v>1421.3602129719268</v>
      </c>
      <c r="M268" s="31">
        <f t="shared" si="31"/>
        <v>36.449999999999996</v>
      </c>
      <c r="N268" s="31">
        <f t="shared" si="32"/>
        <v>1457.8102129719268</v>
      </c>
      <c r="O268" s="31">
        <f>IF(OR(B268="",C268=""),"",K268-N268 + IFERROR(E268 / SUMIFS('📅 Resumen Diario'!$D$5:$D$504, '📅 Resumen Diario'!$B$5:$B$504, B268, '📅 Resumen Diario'!$C$5:$C$504, D268) * (SUMIFS('📋 Detalle Diario'!$E$5:$E$489, '📋 Detalle Diario'!$B$5:$B$489, B268, '📋 Detalle Diario'!$C$5:$C$489, D268) * 135 + SUMIFS('📋 Detalle Diario'!$I$5:$I$489, '📋 Detalle Diario'!$B$5:$B$489, B268, '📋 Detalle Diario'!$C$5:$C$489, D268) * 200), 0))</f>
        <v>-97.010212971926649</v>
      </c>
      <c r="P268" s="32">
        <f t="shared" si="33"/>
        <v>-7.1289104182779714E-2</v>
      </c>
      <c r="Q268" s="33" t="str">
        <f t="shared" si="34"/>
        <v>2026-06</v>
      </c>
    </row>
    <row r="269" spans="2:17" ht="18" customHeight="1" x14ac:dyDescent="0.3">
      <c r="B269" s="26" t="s">
        <v>114</v>
      </c>
      <c r="C269" s="28" t="s">
        <v>162</v>
      </c>
      <c r="D269" s="27" t="s">
        <v>72</v>
      </c>
      <c r="E269" s="29">
        <v>1800</v>
      </c>
      <c r="F269" s="29">
        <v>1800</v>
      </c>
      <c r="G269" s="29">
        <v>5400</v>
      </c>
      <c r="H269" s="30">
        <f t="shared" si="28"/>
        <v>7200</v>
      </c>
      <c r="I269" s="31">
        <f>IF(OR(B269="",C269=""),"",IFERROR(E269*IF(E269="",0,VLOOKUP(C269,'📦 Precios Proforma'!$B$5:$D$104,IF(D269="DIA",2,3),FALSE)),0))</f>
        <v>8135.9999999999991</v>
      </c>
      <c r="J269" s="31">
        <f t="shared" si="29"/>
        <v>7272</v>
      </c>
      <c r="K269" s="31">
        <f t="shared" si="30"/>
        <v>15408</v>
      </c>
      <c r="L269" s="31">
        <f>IF(OR(B269="",C269=""),"",IFERROR(E269 / SUMIFS('📅 Resumen Diario'!$D$5:$D$504, '📅 Resumen Diario'!$B$5:$B$504, B269, '📅 Resumen Diario'!$C$5:$C$504, D269) * SUMIFS('📅 Resumen Diario'!$K$5:$K$504, '📅 Resumen Diario'!$B$5:$B$504, B269, '📅 Resumen Diario'!$C$5:$C$504, D269), 0))</f>
        <v>6168.8640495867767</v>
      </c>
      <c r="M269" s="31">
        <f t="shared" si="31"/>
        <v>648</v>
      </c>
      <c r="N269" s="31">
        <f t="shared" si="32"/>
        <v>6816.8640495867767</v>
      </c>
      <c r="O269" s="31">
        <f>IF(OR(B269="",C269=""),"",K269-N269 + IFERROR(E269 / SUMIFS('📅 Resumen Diario'!$D$5:$D$504, '📅 Resumen Diario'!$B$5:$B$504, B269, '📅 Resumen Diario'!$C$5:$C$504, D269) * (SUMIFS('📋 Detalle Diario'!$E$5:$E$489, '📋 Detalle Diario'!$B$5:$B$489, B269, '📋 Detalle Diario'!$C$5:$C$489, D269) * 135 + SUMIFS('📋 Detalle Diario'!$I$5:$I$489, '📋 Detalle Diario'!$B$5:$B$489, B269, '📋 Detalle Diario'!$C$5:$C$489, D269) * 200), 0))</f>
        <v>12544.906611570248</v>
      </c>
      <c r="P269" s="32">
        <f t="shared" si="33"/>
        <v>0.81418137406348967</v>
      </c>
      <c r="Q269" s="33" t="str">
        <f t="shared" si="34"/>
        <v>2026-06</v>
      </c>
    </row>
    <row r="270" spans="2:17" ht="18" customHeight="1" x14ac:dyDescent="0.3">
      <c r="B270" s="26" t="s">
        <v>114</v>
      </c>
      <c r="C270" s="17" t="s">
        <v>163</v>
      </c>
      <c r="D270" s="27" t="s">
        <v>72</v>
      </c>
      <c r="E270" s="18">
        <v>120</v>
      </c>
      <c r="F270" s="18">
        <v>0</v>
      </c>
      <c r="G270" s="18">
        <v>1440</v>
      </c>
      <c r="H270" s="30">
        <f t="shared" si="28"/>
        <v>1440</v>
      </c>
      <c r="I270" s="31">
        <f>IF(OR(B270="",C270=""),"",IFERROR(E270*IF(E270="",0,VLOOKUP(C270,'📦 Precios Proforma'!$B$5:$D$104,IF(D270="DIA",2,3),FALSE)),0))</f>
        <v>667.19999999999993</v>
      </c>
      <c r="J270" s="31">
        <f t="shared" si="29"/>
        <v>1454.4</v>
      </c>
      <c r="K270" s="31">
        <f t="shared" si="30"/>
        <v>2121.6</v>
      </c>
      <c r="L270" s="31">
        <f>IF(OR(B270="",C270=""),"",IFERROR(E270 / SUMIFS('📅 Resumen Diario'!$D$5:$D$504, '📅 Resumen Diario'!$B$5:$B$504, B270, '📅 Resumen Diario'!$C$5:$C$504, D270) * SUMIFS('📅 Resumen Diario'!$K$5:$K$504, '📅 Resumen Diario'!$B$5:$B$504, B270, '📅 Resumen Diario'!$C$5:$C$504, D270), 0))</f>
        <v>411.25760330578515</v>
      </c>
      <c r="M270" s="31">
        <f t="shared" si="31"/>
        <v>129.6</v>
      </c>
      <c r="N270" s="31">
        <f t="shared" si="32"/>
        <v>540.85760330578512</v>
      </c>
      <c r="O270" s="31">
        <f>IF(OR(B270="",C270=""),"",K270-N270 + IFERROR(E270 / SUMIFS('📅 Resumen Diario'!$D$5:$D$504, '📅 Resumen Diario'!$B$5:$B$504, B270, '📅 Resumen Diario'!$C$5:$C$504, D270) * (SUMIFS('📋 Detalle Diario'!$E$5:$E$489, '📋 Detalle Diario'!$B$5:$B$489, B270, '📋 Detalle Diario'!$C$5:$C$489, D270) * 135 + SUMIFS('📋 Detalle Diario'!$I$5:$I$489, '📋 Detalle Diario'!$B$5:$B$489, B270, '📋 Detalle Diario'!$C$5:$C$489, D270) * 200), 0))</f>
        <v>1844.3271074380164</v>
      </c>
      <c r="P270" s="32">
        <f t="shared" si="33"/>
        <v>0.86930953404883882</v>
      </c>
      <c r="Q270" s="33" t="str">
        <f t="shared" si="34"/>
        <v>2026-06</v>
      </c>
    </row>
    <row r="271" spans="2:17" ht="18" customHeight="1" x14ac:dyDescent="0.3">
      <c r="B271" s="26" t="s">
        <v>114</v>
      </c>
      <c r="C271" s="28" t="s">
        <v>134</v>
      </c>
      <c r="D271" s="27" t="s">
        <v>72</v>
      </c>
      <c r="E271" s="29">
        <v>16</v>
      </c>
      <c r="F271" s="29">
        <v>0</v>
      </c>
      <c r="G271" s="29">
        <v>0</v>
      </c>
      <c r="H271" s="30">
        <f t="shared" si="28"/>
        <v>0</v>
      </c>
      <c r="I271" s="31">
        <f>IF(OR(B271="",C271=""),"",IFERROR(E271*IF(E271="",0,VLOOKUP(C271,'📦 Precios Proforma'!$B$5:$D$104,IF(D271="DIA",2,3),FALSE)),0))</f>
        <v>720</v>
      </c>
      <c r="J271" s="31">
        <f t="shared" si="29"/>
        <v>0</v>
      </c>
      <c r="K271" s="31">
        <f t="shared" si="30"/>
        <v>720</v>
      </c>
      <c r="L271" s="31">
        <f>IF(OR(B271="",C271=""),"",IFERROR(E271 / SUMIFS('📅 Resumen Diario'!$D$5:$D$504, '📅 Resumen Diario'!$B$5:$B$504, B271, '📅 Resumen Diario'!$C$5:$C$504, D271) * SUMIFS('📅 Resumen Diario'!$K$5:$K$504, '📅 Resumen Diario'!$B$5:$B$504, B271, '📅 Resumen Diario'!$C$5:$C$504, D271), 0))</f>
        <v>54.83434710743802</v>
      </c>
      <c r="M271" s="31">
        <f t="shared" si="31"/>
        <v>0</v>
      </c>
      <c r="N271" s="31">
        <f t="shared" si="32"/>
        <v>54.83434710743802</v>
      </c>
      <c r="O271" s="31">
        <f>IF(OR(B271="",C271=""),"",K271-N271 + IFERROR(E271 / SUMIFS('📅 Resumen Diario'!$D$5:$D$504, '📅 Resumen Diario'!$B$5:$B$504, B271, '📅 Resumen Diario'!$C$5:$C$504, D271) * (SUMIFS('📋 Detalle Diario'!$E$5:$E$489, '📋 Detalle Diario'!$B$5:$B$489, B271, '📋 Detalle Diario'!$C$5:$C$489, D271) * 135 + SUMIFS('📋 Detalle Diario'!$I$5:$I$489, '📋 Detalle Diario'!$B$5:$B$489, B271, '📋 Detalle Diario'!$C$5:$C$489, D271) * 200), 0))</f>
        <v>700.31028099173557</v>
      </c>
      <c r="P271" s="32">
        <f t="shared" si="33"/>
        <v>0.9726531680440772</v>
      </c>
      <c r="Q271" s="33" t="str">
        <f t="shared" si="34"/>
        <v>2026-06</v>
      </c>
    </row>
    <row r="272" spans="2:17" ht="18" customHeight="1" x14ac:dyDescent="0.3">
      <c r="B272" s="26" t="s">
        <v>114</v>
      </c>
      <c r="C272" s="17" t="s">
        <v>149</v>
      </c>
      <c r="D272" s="27" t="s">
        <v>73</v>
      </c>
      <c r="E272" s="18">
        <v>72</v>
      </c>
      <c r="F272" s="18">
        <v>0</v>
      </c>
      <c r="G272" s="18">
        <v>72</v>
      </c>
      <c r="H272" s="30">
        <f t="shared" si="28"/>
        <v>72</v>
      </c>
      <c r="I272" s="31">
        <f>IF(OR(B272="",C272=""),"",IFERROR(E272*IF(E272="",0,VLOOKUP(C272,'📦 Precios Proforma'!$B$5:$D$104,IF(D272="DIA",2,3),FALSE)),0))</f>
        <v>455.04</v>
      </c>
      <c r="J272" s="31">
        <f t="shared" si="29"/>
        <v>97.2</v>
      </c>
      <c r="K272" s="31">
        <f t="shared" si="30"/>
        <v>552.24</v>
      </c>
      <c r="L272" s="31">
        <f>IF(OR(B272="",C272=""),"",IFERROR(E272 / SUMIFS('📅 Resumen Diario'!$D$5:$D$504, '📅 Resumen Diario'!$B$5:$B$504, B272, '📅 Resumen Diario'!$C$5:$C$504, D272) * SUMIFS('📅 Resumen Diario'!$K$5:$K$504, '📅 Resumen Diario'!$B$5:$B$504, B272, '📅 Resumen Diario'!$C$5:$C$504, D272), 0))</f>
        <v>579.34011344019734</v>
      </c>
      <c r="M272" s="31">
        <f t="shared" si="31"/>
        <v>6.4799999999999995</v>
      </c>
      <c r="N272" s="31">
        <f t="shared" si="32"/>
        <v>585.82011344019736</v>
      </c>
      <c r="O272" s="31">
        <f>IF(OR(B272="",C272=""),"",K272-N272 + IFERROR(E272 / SUMIFS('📅 Resumen Diario'!$D$5:$D$504, '📅 Resumen Diario'!$B$5:$B$504, B272, '📅 Resumen Diario'!$C$5:$C$504, D272) * (SUMIFS('📋 Detalle Diario'!$E$5:$E$489, '📋 Detalle Diario'!$B$5:$B$489, B272, '📋 Detalle Diario'!$C$5:$C$489, D272) * 135 + SUMIFS('📋 Detalle Diario'!$I$5:$I$489, '📋 Detalle Diario'!$B$5:$B$489, B272, '📋 Detalle Diario'!$C$5:$C$489, D272) * 200), 0))</f>
        <v>-33.580113440197351</v>
      </c>
      <c r="P272" s="32">
        <f t="shared" si="33"/>
        <v>-6.0807100970949858E-2</v>
      </c>
      <c r="Q272" s="33" t="str">
        <f t="shared" si="34"/>
        <v>2026-06</v>
      </c>
    </row>
    <row r="273" spans="2:17" ht="18" customHeight="1" x14ac:dyDescent="0.3">
      <c r="B273" s="26" t="s">
        <v>114</v>
      </c>
      <c r="C273" s="28" t="s">
        <v>148</v>
      </c>
      <c r="D273" s="27" t="s">
        <v>73</v>
      </c>
      <c r="E273" s="29">
        <v>501</v>
      </c>
      <c r="F273" s="29">
        <v>501</v>
      </c>
      <c r="G273" s="29">
        <v>1002</v>
      </c>
      <c r="H273" s="30">
        <f t="shared" si="28"/>
        <v>1503</v>
      </c>
      <c r="I273" s="31">
        <f>IF(OR(B273="",C273=""),"",IFERROR(E273*IF(E273="",0,VLOOKUP(C273,'📦 Precios Proforma'!$B$5:$D$104,IF(D273="DIA",2,3),FALSE)),0))</f>
        <v>3021.03</v>
      </c>
      <c r="J273" s="31">
        <f t="shared" si="29"/>
        <v>2029.0500000000002</v>
      </c>
      <c r="K273" s="31">
        <f t="shared" si="30"/>
        <v>5050.08</v>
      </c>
      <c r="L273" s="31">
        <f>IF(OR(B273="",C273=""),"",IFERROR(E273 / SUMIFS('📅 Resumen Diario'!$D$5:$D$504, '📅 Resumen Diario'!$B$5:$B$504, B273, '📅 Resumen Diario'!$C$5:$C$504, D273) * SUMIFS('📅 Resumen Diario'!$K$5:$K$504, '📅 Resumen Diario'!$B$5:$B$504, B273, '📅 Resumen Diario'!$C$5:$C$504, D273), 0))</f>
        <v>4031.2416226880396</v>
      </c>
      <c r="M273" s="31">
        <f t="shared" si="31"/>
        <v>135.26999999999998</v>
      </c>
      <c r="N273" s="31">
        <f t="shared" si="32"/>
        <v>4166.51162268804</v>
      </c>
      <c r="O273" s="31">
        <f>IF(OR(B273="",C273=""),"",K273-N273 + IFERROR(E273 / SUMIFS('📅 Resumen Diario'!$D$5:$D$504, '📅 Resumen Diario'!$B$5:$B$504, B273, '📅 Resumen Diario'!$C$5:$C$504, D273) * (SUMIFS('📋 Detalle Diario'!$E$5:$E$489, '📋 Detalle Diario'!$B$5:$B$489, B273, '📋 Detalle Diario'!$C$5:$C$489, D273) * 135 + SUMIFS('📋 Detalle Diario'!$I$5:$I$489, '📋 Detalle Diario'!$B$5:$B$489, B273, '📋 Detalle Diario'!$C$5:$C$489, D273) * 200), 0))</f>
        <v>883.56837731195992</v>
      </c>
      <c r="P273" s="32">
        <f t="shared" si="33"/>
        <v>0.17496126344769983</v>
      </c>
      <c r="Q273" s="33" t="str">
        <f t="shared" si="34"/>
        <v>2026-06</v>
      </c>
    </row>
    <row r="274" spans="2:17" ht="18" customHeight="1" x14ac:dyDescent="0.3">
      <c r="B274" s="26" t="s">
        <v>114</v>
      </c>
      <c r="C274" s="17" t="s">
        <v>150</v>
      </c>
      <c r="D274" s="27" t="s">
        <v>73</v>
      </c>
      <c r="E274" s="18">
        <v>237</v>
      </c>
      <c r="F274" s="18">
        <v>237</v>
      </c>
      <c r="G274" s="18">
        <v>948</v>
      </c>
      <c r="H274" s="30">
        <f t="shared" si="28"/>
        <v>1185</v>
      </c>
      <c r="I274" s="31">
        <f>IF(OR(B274="",C274=""),"",IFERROR(E274*IF(E274="",0,VLOOKUP(C274,'📦 Precios Proforma'!$B$5:$D$104,IF(D274="DIA",2,3),FALSE)),0))</f>
        <v>1429.1100000000001</v>
      </c>
      <c r="J274" s="31">
        <f t="shared" si="29"/>
        <v>1599.75</v>
      </c>
      <c r="K274" s="31">
        <f t="shared" si="30"/>
        <v>3028.86</v>
      </c>
      <c r="L274" s="31">
        <f>IF(OR(B274="",C274=""),"",IFERROR(E274 / SUMIFS('📅 Resumen Diario'!$D$5:$D$504, '📅 Resumen Diario'!$B$5:$B$504, B274, '📅 Resumen Diario'!$C$5:$C$504, D274) * SUMIFS('📅 Resumen Diario'!$K$5:$K$504, '📅 Resumen Diario'!$B$5:$B$504, B274, '📅 Resumen Diario'!$C$5:$C$504, D274), 0))</f>
        <v>1906.994540073983</v>
      </c>
      <c r="M274" s="31">
        <f t="shared" si="31"/>
        <v>106.64999999999999</v>
      </c>
      <c r="N274" s="31">
        <f t="shared" si="32"/>
        <v>2013.6445400739831</v>
      </c>
      <c r="O274" s="31">
        <f>IF(OR(B274="",C274=""),"",K274-N274 + IFERROR(E274 / SUMIFS('📅 Resumen Diario'!$D$5:$D$504, '📅 Resumen Diario'!$B$5:$B$504, B274, '📅 Resumen Diario'!$C$5:$C$504, D274) * (SUMIFS('📋 Detalle Diario'!$E$5:$E$489, '📋 Detalle Diario'!$B$5:$B$489, B274, '📋 Detalle Diario'!$C$5:$C$489, D274) * 135 + SUMIFS('📋 Detalle Diario'!$I$5:$I$489, '📋 Detalle Diario'!$B$5:$B$489, B274, '📋 Detalle Diario'!$C$5:$C$489, D274) * 200), 0))</f>
        <v>1015.215459926017</v>
      </c>
      <c r="P274" s="32">
        <f t="shared" si="33"/>
        <v>0.33518071483198858</v>
      </c>
      <c r="Q274" s="33" t="str">
        <f t="shared" si="34"/>
        <v>2026-06</v>
      </c>
    </row>
    <row r="275" spans="2:17" ht="18" customHeight="1" x14ac:dyDescent="0.3">
      <c r="B275" s="26" t="s">
        <v>114</v>
      </c>
      <c r="C275" s="28" t="s">
        <v>134</v>
      </c>
      <c r="D275" s="27" t="s">
        <v>73</v>
      </c>
      <c r="E275" s="29">
        <v>1</v>
      </c>
      <c r="F275" s="29">
        <v>0</v>
      </c>
      <c r="G275" s="29">
        <v>0</v>
      </c>
      <c r="H275" s="30">
        <f t="shared" si="28"/>
        <v>0</v>
      </c>
      <c r="I275" s="31">
        <f>IF(OR(B275="",C275=""),"",IFERROR(E275*IF(E275="",0,VLOOKUP(C275,'📦 Precios Proforma'!$B$5:$D$104,IF(D275="DIA",2,3),FALSE)),0))</f>
        <v>60</v>
      </c>
      <c r="J275" s="31">
        <f t="shared" si="29"/>
        <v>0</v>
      </c>
      <c r="K275" s="31">
        <f t="shared" si="30"/>
        <v>60</v>
      </c>
      <c r="L275" s="31">
        <f>IF(OR(B275="",C275=""),"",IFERROR(E275 / SUMIFS('📅 Resumen Diario'!$D$5:$D$504, '📅 Resumen Diario'!$B$5:$B$504, B275, '📅 Resumen Diario'!$C$5:$C$504, D275) * SUMIFS('📅 Resumen Diario'!$K$5:$K$504, '📅 Resumen Diario'!$B$5:$B$504, B275, '📅 Resumen Diario'!$C$5:$C$504, D275), 0))</f>
        <v>8.0463904644471853</v>
      </c>
      <c r="M275" s="31">
        <f t="shared" si="31"/>
        <v>0</v>
      </c>
      <c r="N275" s="31">
        <f t="shared" si="32"/>
        <v>8.0463904644471853</v>
      </c>
      <c r="O275" s="31">
        <f>IF(OR(B275="",C275=""),"",K275-N275 + IFERROR(E275 / SUMIFS('📅 Resumen Diario'!$D$5:$D$504, '📅 Resumen Diario'!$B$5:$B$504, B275, '📅 Resumen Diario'!$C$5:$C$504, D275) * (SUMIFS('📋 Detalle Diario'!$E$5:$E$489, '📋 Detalle Diario'!$B$5:$B$489, B275, '📋 Detalle Diario'!$C$5:$C$489, D275) * 135 + SUMIFS('📋 Detalle Diario'!$I$5:$I$489, '📋 Detalle Diario'!$B$5:$B$489, B275, '📋 Detalle Diario'!$C$5:$C$489, D275) * 200), 0))</f>
        <v>51.953609535552815</v>
      </c>
      <c r="P275" s="32">
        <f t="shared" si="33"/>
        <v>0.86589349225921353</v>
      </c>
      <c r="Q275" s="33" t="str">
        <f t="shared" si="34"/>
        <v>2026-06</v>
      </c>
    </row>
    <row r="276" spans="2:17" ht="18" customHeight="1" x14ac:dyDescent="0.3">
      <c r="B276" s="26" t="s">
        <v>115</v>
      </c>
      <c r="C276" s="17" t="s">
        <v>164</v>
      </c>
      <c r="D276" s="27" t="s">
        <v>72</v>
      </c>
      <c r="E276" s="18">
        <v>360</v>
      </c>
      <c r="F276" s="18">
        <v>0</v>
      </c>
      <c r="G276" s="18">
        <v>360</v>
      </c>
      <c r="H276" s="30">
        <f t="shared" si="28"/>
        <v>360</v>
      </c>
      <c r="I276" s="31">
        <f>IF(OR(B276="",C276=""),"",IFERROR(E276*IF(E276="",0,VLOOKUP(C276,'📦 Precios Proforma'!$B$5:$D$104,IF(D276="DIA",2,3),FALSE)),0))</f>
        <v>2228.4</v>
      </c>
      <c r="J276" s="31">
        <f t="shared" si="29"/>
        <v>363.6</v>
      </c>
      <c r="K276" s="31">
        <f t="shared" si="30"/>
        <v>2592</v>
      </c>
      <c r="L276" s="31">
        <f>IF(OR(B276="",C276=""),"",IFERROR(E276 / SUMIFS('📅 Resumen Diario'!$D$5:$D$504, '📅 Resumen Diario'!$B$5:$B$504, B276, '📅 Resumen Diario'!$C$5:$C$504, D276) * SUMIFS('📅 Resumen Diario'!$K$5:$K$504, '📅 Resumen Diario'!$B$5:$B$504, B276, '📅 Resumen Diario'!$C$5:$C$504, D276), 0))</f>
        <v>5986.4264661654133</v>
      </c>
      <c r="M276" s="31">
        <f t="shared" si="31"/>
        <v>32.4</v>
      </c>
      <c r="N276" s="31">
        <f t="shared" si="32"/>
        <v>6018.826466165413</v>
      </c>
      <c r="O276" s="31">
        <f>IF(OR(B276="",C276=""),"",K276-N276 + IFERROR(E276 / SUMIFS('📅 Resumen Diario'!$D$5:$D$504, '📅 Resumen Diario'!$B$5:$B$504, B276, '📅 Resumen Diario'!$C$5:$C$504, D276) * (SUMIFS('📋 Detalle Diario'!$E$5:$E$489, '📋 Detalle Diario'!$B$5:$B$489, B276, '📋 Detalle Diario'!$C$5:$C$489, D276) * 135 + SUMIFS('📋 Detalle Diario'!$I$5:$I$489, '📋 Detalle Diario'!$B$5:$B$489, B276, '📋 Detalle Diario'!$C$5:$C$489, D276) * 200), 0))</f>
        <v>-3426.826466165413</v>
      </c>
      <c r="P276" s="32">
        <f t="shared" si="33"/>
        <v>-1.3220781119465328</v>
      </c>
      <c r="Q276" s="33" t="str">
        <f t="shared" si="34"/>
        <v>2026-06</v>
      </c>
    </row>
    <row r="277" spans="2:17" ht="18" customHeight="1" x14ac:dyDescent="0.3">
      <c r="B277" s="26" t="s">
        <v>115</v>
      </c>
      <c r="C277" s="28" t="s">
        <v>134</v>
      </c>
      <c r="D277" s="27" t="s">
        <v>72</v>
      </c>
      <c r="E277" s="29">
        <v>34</v>
      </c>
      <c r="F277" s="29">
        <v>0</v>
      </c>
      <c r="G277" s="29">
        <v>0</v>
      </c>
      <c r="H277" s="30">
        <f t="shared" si="28"/>
        <v>0</v>
      </c>
      <c r="I277" s="31">
        <f>IF(OR(B277="",C277=""),"",IFERROR(E277*IF(E277="",0,VLOOKUP(C277,'📦 Precios Proforma'!$B$5:$D$104,IF(D277="DIA",2,3),FALSE)),0))</f>
        <v>1530</v>
      </c>
      <c r="J277" s="31">
        <f t="shared" si="29"/>
        <v>0</v>
      </c>
      <c r="K277" s="31">
        <f t="shared" si="30"/>
        <v>1530</v>
      </c>
      <c r="L277" s="31">
        <f>IF(OR(B277="",C277=""),"",IFERROR(E277 / SUMIFS('📅 Resumen Diario'!$D$5:$D$504, '📅 Resumen Diario'!$B$5:$B$504, B277, '📅 Resumen Diario'!$C$5:$C$504, D277) * SUMIFS('📅 Resumen Diario'!$K$5:$K$504, '📅 Resumen Diario'!$B$5:$B$504, B277, '📅 Resumen Diario'!$C$5:$C$504, D277), 0))</f>
        <v>565.38472180451129</v>
      </c>
      <c r="M277" s="31">
        <f t="shared" si="31"/>
        <v>0</v>
      </c>
      <c r="N277" s="31">
        <f t="shared" si="32"/>
        <v>565.38472180451129</v>
      </c>
      <c r="O277" s="31">
        <f>IF(OR(B277="",C277=""),"",K277-N277 + IFERROR(E277 / SUMIFS('📅 Resumen Diario'!$D$5:$D$504, '📅 Resumen Diario'!$B$5:$B$504, B277, '📅 Resumen Diario'!$C$5:$C$504, D277) * (SUMIFS('📋 Detalle Diario'!$E$5:$E$489, '📋 Detalle Diario'!$B$5:$B$489, B277, '📋 Detalle Diario'!$C$5:$C$489, D277) * 135 + SUMIFS('📋 Detalle Diario'!$I$5:$I$489, '📋 Detalle Diario'!$B$5:$B$489, B277, '📋 Detalle Diario'!$C$5:$C$489, D277) * 200), 0))</f>
        <v>964.61527819548871</v>
      </c>
      <c r="P277" s="32">
        <f t="shared" si="33"/>
        <v>0.63046750208855473</v>
      </c>
      <c r="Q277" s="33" t="str">
        <f t="shared" si="34"/>
        <v>2026-06</v>
      </c>
    </row>
    <row r="278" spans="2:17" ht="18" customHeight="1" x14ac:dyDescent="0.3">
      <c r="B278" s="26" t="s">
        <v>115</v>
      </c>
      <c r="C278" s="17" t="s">
        <v>131</v>
      </c>
      <c r="D278" s="27" t="s">
        <v>72</v>
      </c>
      <c r="E278" s="18">
        <v>5</v>
      </c>
      <c r="F278" s="18">
        <v>0</v>
      </c>
      <c r="G278" s="18">
        <v>250</v>
      </c>
      <c r="H278" s="30">
        <f t="shared" si="28"/>
        <v>250</v>
      </c>
      <c r="I278" s="31">
        <f>IF(OR(B278="",C278=""),"",IFERROR(E278*IF(E278="",0,VLOOKUP(C278,'📦 Precios Proforma'!$B$5:$D$104,IF(D278="DIA",2,3),FALSE)),0))</f>
        <v>225</v>
      </c>
      <c r="J278" s="31">
        <f t="shared" si="29"/>
        <v>252.5</v>
      </c>
      <c r="K278" s="31">
        <f t="shared" si="30"/>
        <v>477.5</v>
      </c>
      <c r="L278" s="31">
        <f>IF(OR(B278="",C278=""),"",IFERROR(E278 / SUMIFS('📅 Resumen Diario'!$D$5:$D$504, '📅 Resumen Diario'!$B$5:$B$504, B278, '📅 Resumen Diario'!$C$5:$C$504, D278) * SUMIFS('📅 Resumen Diario'!$K$5:$K$504, '📅 Resumen Diario'!$B$5:$B$504, B278, '📅 Resumen Diario'!$C$5:$C$504, D278), 0))</f>
        <v>83.144812030075187</v>
      </c>
      <c r="M278" s="31">
        <f t="shared" si="31"/>
        <v>22.5</v>
      </c>
      <c r="N278" s="31">
        <f t="shared" si="32"/>
        <v>105.64481203007519</v>
      </c>
      <c r="O278" s="31">
        <f>IF(OR(B278="",C278=""),"",K278-N278 + IFERROR(E278 / SUMIFS('📅 Resumen Diario'!$D$5:$D$504, '📅 Resumen Diario'!$B$5:$B$504, B278, '📅 Resumen Diario'!$C$5:$C$504, D278) * (SUMIFS('📋 Detalle Diario'!$E$5:$E$489, '📋 Detalle Diario'!$B$5:$B$489, B278, '📋 Detalle Diario'!$C$5:$C$489, D278) * 135 + SUMIFS('📋 Detalle Diario'!$I$5:$I$489, '📋 Detalle Diario'!$B$5:$B$489, B278, '📋 Detalle Diario'!$C$5:$C$489, D278) * 200), 0))</f>
        <v>371.85518796992483</v>
      </c>
      <c r="P278" s="32">
        <f t="shared" si="33"/>
        <v>0.77875432035586356</v>
      </c>
      <c r="Q278" s="33" t="str">
        <f t="shared" si="34"/>
        <v>2026-06</v>
      </c>
    </row>
    <row r="279" spans="2:17" ht="18" customHeight="1" x14ac:dyDescent="0.3">
      <c r="B279" s="26" t="s">
        <v>115</v>
      </c>
      <c r="C279" s="28" t="s">
        <v>150</v>
      </c>
      <c r="D279" s="27" t="s">
        <v>73</v>
      </c>
      <c r="E279" s="29">
        <v>671</v>
      </c>
      <c r="F279" s="29">
        <v>671</v>
      </c>
      <c r="G279" s="29">
        <v>2684</v>
      </c>
      <c r="H279" s="30">
        <f t="shared" si="28"/>
        <v>3355</v>
      </c>
      <c r="I279" s="31">
        <f>IF(OR(B279="",C279=""),"",IFERROR(E279*IF(E279="",0,VLOOKUP(C279,'📦 Precios Proforma'!$B$5:$D$104,IF(D279="DIA",2,3),FALSE)),0))</f>
        <v>4046.13</v>
      </c>
      <c r="J279" s="31">
        <f t="shared" si="29"/>
        <v>4529.25</v>
      </c>
      <c r="K279" s="31">
        <f t="shared" si="30"/>
        <v>8575.380000000001</v>
      </c>
      <c r="L279" s="31">
        <f>IF(OR(B279="",C279=""),"",IFERROR(E279 / SUMIFS('📅 Resumen Diario'!$D$5:$D$504, '📅 Resumen Diario'!$B$5:$B$504, B279, '📅 Resumen Diario'!$C$5:$C$504, D279) * SUMIFS('📅 Resumen Diario'!$K$5:$K$504, '📅 Resumen Diario'!$B$5:$B$504, B279, '📅 Resumen Diario'!$C$5:$C$504, D279), 0))</f>
        <v>5730.4198333333334</v>
      </c>
      <c r="M279" s="31">
        <f t="shared" si="31"/>
        <v>301.95</v>
      </c>
      <c r="N279" s="31">
        <f t="shared" si="32"/>
        <v>6032.3698333333332</v>
      </c>
      <c r="O279" s="31">
        <f>IF(OR(B279="",C279=""),"",K279-N279 + IFERROR(E279 / SUMIFS('📅 Resumen Diario'!$D$5:$D$504, '📅 Resumen Diario'!$B$5:$B$504, B279, '📅 Resumen Diario'!$C$5:$C$504, D279) * (SUMIFS('📋 Detalle Diario'!$E$5:$E$489, '📋 Detalle Diario'!$B$5:$B$489, B279, '📋 Detalle Diario'!$C$5:$C$489, D279) * 135 + SUMIFS('📋 Detalle Diario'!$I$5:$I$489, '📋 Detalle Diario'!$B$5:$B$489, B279, '📋 Detalle Diario'!$C$5:$C$489, D279) * 200), 0))</f>
        <v>2543.0101666666678</v>
      </c>
      <c r="P279" s="32">
        <f t="shared" si="33"/>
        <v>0.29654781090361798</v>
      </c>
      <c r="Q279" s="33" t="str">
        <f t="shared" si="34"/>
        <v>2026-06</v>
      </c>
    </row>
    <row r="280" spans="2:17" ht="18" customHeight="1" x14ac:dyDescent="0.3">
      <c r="B280" s="26" t="s">
        <v>116</v>
      </c>
      <c r="C280" s="17" t="s">
        <v>138</v>
      </c>
      <c r="D280" s="27" t="s">
        <v>72</v>
      </c>
      <c r="E280" s="18">
        <v>120</v>
      </c>
      <c r="F280" s="18">
        <v>0</v>
      </c>
      <c r="G280" s="18">
        <v>0</v>
      </c>
      <c r="H280" s="30">
        <f t="shared" si="28"/>
        <v>0</v>
      </c>
      <c r="I280" s="31">
        <f>IF(OR(B280="",C280=""),"",IFERROR(E280*IF(E280="",0,VLOOKUP(C280,'📦 Precios Proforma'!$B$5:$D$104,IF(D280="DIA",2,3),FALSE)),0))</f>
        <v>520.79999999999995</v>
      </c>
      <c r="J280" s="31">
        <f t="shared" si="29"/>
        <v>0</v>
      </c>
      <c r="K280" s="31">
        <f t="shared" si="30"/>
        <v>520.79999999999995</v>
      </c>
      <c r="L280" s="31">
        <f>IF(OR(B280="",C280=""),"",IFERROR(E280 / SUMIFS('📅 Resumen Diario'!$D$5:$D$504, '📅 Resumen Diario'!$B$5:$B$504, B280, '📅 Resumen Diario'!$C$5:$C$504, D280) * SUMIFS('📅 Resumen Diario'!$K$5:$K$504, '📅 Resumen Diario'!$B$5:$B$504, B280, '📅 Resumen Diario'!$C$5:$C$504, D280), 0))</f>
        <v>2106.3352380952379</v>
      </c>
      <c r="M280" s="31">
        <f t="shared" si="31"/>
        <v>0</v>
      </c>
      <c r="N280" s="31">
        <f t="shared" si="32"/>
        <v>2106.3352380952379</v>
      </c>
      <c r="O280" s="31">
        <f>IF(OR(B280="",C280=""),"",K280-N280 + IFERROR(E280 / SUMIFS('📅 Resumen Diario'!$D$5:$D$504, '📅 Resumen Diario'!$B$5:$B$504, B280, '📅 Resumen Diario'!$C$5:$C$504, D280) * (SUMIFS('📋 Detalle Diario'!$E$5:$E$489, '📋 Detalle Diario'!$B$5:$B$489, B280, '📋 Detalle Diario'!$C$5:$C$489, D280) * 135 + SUMIFS('📋 Detalle Diario'!$I$5:$I$489, '📋 Detalle Diario'!$B$5:$B$489, B280, '📋 Detalle Diario'!$C$5:$C$489, D280) * 200), 0))</f>
        <v>128.75047619047632</v>
      </c>
      <c r="P280" s="32">
        <f t="shared" si="33"/>
        <v>0.2472167361568286</v>
      </c>
      <c r="Q280" s="33" t="str">
        <f t="shared" si="34"/>
        <v>2026-06</v>
      </c>
    </row>
    <row r="281" spans="2:17" ht="18" customHeight="1" x14ac:dyDescent="0.3">
      <c r="B281" s="26" t="s">
        <v>116</v>
      </c>
      <c r="C281" s="28" t="s">
        <v>153</v>
      </c>
      <c r="D281" s="27" t="s">
        <v>72</v>
      </c>
      <c r="E281" s="29">
        <v>224</v>
      </c>
      <c r="F281" s="29">
        <v>0</v>
      </c>
      <c r="G281" s="29">
        <v>224</v>
      </c>
      <c r="H281" s="30">
        <f t="shared" si="28"/>
        <v>224</v>
      </c>
      <c r="I281" s="31">
        <f>IF(OR(B281="",C281=""),"",IFERROR(E281*IF(E281="",0,VLOOKUP(C281,'📦 Precios Proforma'!$B$5:$D$104,IF(D281="DIA",2,3),FALSE)),0))</f>
        <v>972.16</v>
      </c>
      <c r="J281" s="31">
        <f t="shared" si="29"/>
        <v>226.24</v>
      </c>
      <c r="K281" s="31">
        <f t="shared" si="30"/>
        <v>1198.4000000000001</v>
      </c>
      <c r="L281" s="31">
        <f>IF(OR(B281="",C281=""),"",IFERROR(E281 / SUMIFS('📅 Resumen Diario'!$D$5:$D$504, '📅 Resumen Diario'!$B$5:$B$504, B281, '📅 Resumen Diario'!$C$5:$C$504, D281) * SUMIFS('📅 Resumen Diario'!$K$5:$K$504, '📅 Resumen Diario'!$B$5:$B$504, B281, '📅 Resumen Diario'!$C$5:$C$504, D281), 0))</f>
        <v>3931.8257777777776</v>
      </c>
      <c r="M281" s="31">
        <f t="shared" si="31"/>
        <v>20.16</v>
      </c>
      <c r="N281" s="31">
        <f t="shared" si="32"/>
        <v>3951.9857777777775</v>
      </c>
      <c r="O281" s="31">
        <f>IF(OR(B281="",C281=""),"",K281-N281 + IFERROR(E281 / SUMIFS('📅 Resumen Diario'!$D$5:$D$504, '📅 Resumen Diario'!$B$5:$B$504, B281, '📅 Resumen Diario'!$C$5:$C$504, D281) * (SUMIFS('📋 Detalle Diario'!$E$5:$E$489, '📋 Detalle Diario'!$B$5:$B$489, B281, '📋 Detalle Diario'!$C$5:$C$489, D281) * 135 + SUMIFS('📋 Detalle Diario'!$I$5:$I$489, '📋 Detalle Diario'!$B$5:$B$489, B281, '📋 Detalle Diario'!$C$5:$C$489, D281) * 200), 0))</f>
        <v>446.41422222222263</v>
      </c>
      <c r="P281" s="32">
        <f t="shared" si="33"/>
        <v>0.3725085298917078</v>
      </c>
      <c r="Q281" s="33" t="str">
        <f t="shared" si="34"/>
        <v>2026-06</v>
      </c>
    </row>
    <row r="282" spans="2:17" ht="18" customHeight="1" x14ac:dyDescent="0.3">
      <c r="B282" s="26" t="s">
        <v>116</v>
      </c>
      <c r="C282" s="17" t="s">
        <v>134</v>
      </c>
      <c r="D282" s="27" t="s">
        <v>72</v>
      </c>
      <c r="E282" s="18">
        <v>34</v>
      </c>
      <c r="F282" s="18">
        <v>0</v>
      </c>
      <c r="G282" s="18">
        <v>0</v>
      </c>
      <c r="H282" s="30">
        <f t="shared" si="28"/>
        <v>0</v>
      </c>
      <c r="I282" s="31">
        <f>IF(OR(B282="",C282=""),"",IFERROR(E282*IF(E282="",0,VLOOKUP(C282,'📦 Precios Proforma'!$B$5:$D$104,IF(D282="DIA",2,3),FALSE)),0))</f>
        <v>1530</v>
      </c>
      <c r="J282" s="31">
        <f t="shared" si="29"/>
        <v>0</v>
      </c>
      <c r="K282" s="31">
        <f t="shared" si="30"/>
        <v>1530</v>
      </c>
      <c r="L282" s="31">
        <f>IF(OR(B282="",C282=""),"",IFERROR(E282 / SUMIFS('📅 Resumen Diario'!$D$5:$D$504, '📅 Resumen Diario'!$B$5:$B$504, B282, '📅 Resumen Diario'!$C$5:$C$504, D282) * SUMIFS('📅 Resumen Diario'!$K$5:$K$504, '📅 Resumen Diario'!$B$5:$B$504, B282, '📅 Resumen Diario'!$C$5:$C$504, D282), 0))</f>
        <v>596.7949841269841</v>
      </c>
      <c r="M282" s="31">
        <f t="shared" si="31"/>
        <v>0</v>
      </c>
      <c r="N282" s="31">
        <f t="shared" si="32"/>
        <v>596.7949841269841</v>
      </c>
      <c r="O282" s="31">
        <f>IF(OR(B282="",C282=""),"",K282-N282 + IFERROR(E282 / SUMIFS('📅 Resumen Diario'!$D$5:$D$504, '📅 Resumen Diario'!$B$5:$B$504, B282, '📅 Resumen Diario'!$C$5:$C$504, D282) * (SUMIFS('📋 Detalle Diario'!$E$5:$E$489, '📋 Detalle Diario'!$B$5:$B$489, B282, '📋 Detalle Diario'!$C$5:$C$489, D282) * 135 + SUMIFS('📋 Detalle Diario'!$I$5:$I$489, '📋 Detalle Diario'!$B$5:$B$489, B282, '📋 Detalle Diario'!$C$5:$C$489, D282) * 200), 0))</f>
        <v>1418.9193015873016</v>
      </c>
      <c r="P282" s="32">
        <f t="shared" si="33"/>
        <v>0.9273982363315697</v>
      </c>
      <c r="Q282" s="33" t="str">
        <f t="shared" si="34"/>
        <v>2026-06</v>
      </c>
    </row>
    <row r="283" spans="2:17" ht="18" customHeight="1" x14ac:dyDescent="0.3">
      <c r="B283" s="26"/>
      <c r="C283" s="28"/>
      <c r="D283" s="27"/>
      <c r="E283" s="29"/>
      <c r="F283" s="29"/>
      <c r="G283" s="29"/>
      <c r="H283" s="30" t="str">
        <f t="shared" si="28"/>
        <v/>
      </c>
      <c r="I283" s="31" t="str">
        <f>IF(OR(B283="",C283=""),"",IFERROR(E283*IF(E283="",0,VLOOKUP(C283,'📦 Precios Proforma'!$B$5:$D$104,IF(D283="DIA",2,3),FALSE)),0))</f>
        <v/>
      </c>
      <c r="J283" s="31" t="str">
        <f t="shared" si="29"/>
        <v/>
      </c>
      <c r="K283" s="31" t="str">
        <f t="shared" si="30"/>
        <v/>
      </c>
      <c r="L283" s="31" t="str">
        <f>IF(OR(B283="",C283=""),"",IFERROR(E283 / SUMIFS('📅 Resumen Diario'!$D$5:$D$504, '📅 Resumen Diario'!$B$5:$B$504, B283, '📅 Resumen Diario'!$C$5:$C$504, D283) * SUMIFS('📅 Resumen Diario'!$K$5:$K$504, '📅 Resumen Diario'!$B$5:$B$504, B283, '📅 Resumen Diario'!$C$5:$C$504, D283), 0))</f>
        <v/>
      </c>
      <c r="M283" s="31" t="str">
        <f t="shared" si="31"/>
        <v/>
      </c>
      <c r="N283" s="31" t="str">
        <f t="shared" si="32"/>
        <v/>
      </c>
      <c r="O283" s="31" t="str">
        <f>IF(OR(B283="",C283=""),"",K283-N283 + IFERROR(E283 / SUMIFS('📅 Resumen Diario'!$D$5:$D$504, '📅 Resumen Diario'!$B$5:$B$504, B283, '📅 Resumen Diario'!$C$5:$C$504, D283) * (SUMIFS('📋 Detalle Diario'!$E$5:$E$489, '📋 Detalle Diario'!$B$5:$B$489, B283, '📋 Detalle Diario'!$C$5:$C$489, D283) * 135 + SUMIFS('📋 Detalle Diario'!$I$5:$I$489, '📋 Detalle Diario'!$B$5:$B$489, B283, '📋 Detalle Diario'!$C$5:$C$489, D283) * 200), 0))</f>
        <v/>
      </c>
      <c r="P283" s="32" t="str">
        <f t="shared" si="33"/>
        <v/>
      </c>
      <c r="Q283" s="33" t="str">
        <f t="shared" si="34"/>
        <v/>
      </c>
    </row>
    <row r="284" spans="2:17" ht="18" customHeight="1" x14ac:dyDescent="0.3">
      <c r="B284" s="26"/>
      <c r="C284" s="17"/>
      <c r="D284" s="27"/>
      <c r="E284" s="18"/>
      <c r="F284" s="18"/>
      <c r="G284" s="18"/>
      <c r="H284" s="30" t="str">
        <f t="shared" si="28"/>
        <v/>
      </c>
      <c r="I284" s="31" t="str">
        <f>IF(OR(B284="",C284=""),"",IFERROR(E284*IF(E284="",0,VLOOKUP(C284,'📦 Precios Proforma'!$B$5:$D$104,IF(D284="DIA",2,3),FALSE)),0))</f>
        <v/>
      </c>
      <c r="J284" s="31" t="str">
        <f t="shared" si="29"/>
        <v/>
      </c>
      <c r="K284" s="31" t="str">
        <f t="shared" si="30"/>
        <v/>
      </c>
      <c r="L284" s="31" t="str">
        <f>IF(OR(B284="",C284=""),"",IFERROR(E284 / SUMIFS('📅 Resumen Diario'!$D$5:$D$504, '📅 Resumen Diario'!$B$5:$B$504, B284, '📅 Resumen Diario'!$C$5:$C$504, D284) * SUMIFS('📅 Resumen Diario'!$K$5:$K$504, '📅 Resumen Diario'!$B$5:$B$504, B284, '📅 Resumen Diario'!$C$5:$C$504, D284), 0))</f>
        <v/>
      </c>
      <c r="M284" s="31" t="str">
        <f t="shared" si="31"/>
        <v/>
      </c>
      <c r="N284" s="31" t="str">
        <f t="shared" si="32"/>
        <v/>
      </c>
      <c r="O284" s="31" t="str">
        <f>IF(OR(B284="",C284=""),"",K284-N284 + IFERROR(E284 / SUMIFS('📅 Resumen Diario'!$D$5:$D$504, '📅 Resumen Diario'!$B$5:$B$504, B284, '📅 Resumen Diario'!$C$5:$C$504, D284) * (SUMIFS('📋 Detalle Diario'!$E$5:$E$489, '📋 Detalle Diario'!$B$5:$B$489, B284, '📋 Detalle Diario'!$C$5:$C$489, D284) * 135 + SUMIFS('📋 Detalle Diario'!$I$5:$I$489, '📋 Detalle Diario'!$B$5:$B$489, B284, '📋 Detalle Diario'!$C$5:$C$489, D284) * 200), 0))</f>
        <v/>
      </c>
      <c r="P284" s="32" t="str">
        <f t="shared" si="33"/>
        <v/>
      </c>
      <c r="Q284" s="33" t="str">
        <f t="shared" si="34"/>
        <v/>
      </c>
    </row>
    <row r="285" spans="2:17" ht="18" customHeight="1" x14ac:dyDescent="0.3">
      <c r="B285" s="26"/>
      <c r="C285" s="28"/>
      <c r="D285" s="27"/>
      <c r="E285" s="29"/>
      <c r="F285" s="29"/>
      <c r="G285" s="29"/>
      <c r="H285" s="30" t="str">
        <f t="shared" si="28"/>
        <v/>
      </c>
      <c r="I285" s="31" t="str">
        <f>IF(OR(B285="",C285=""),"",IFERROR(E285*IF(E285="",0,VLOOKUP(C285,'📦 Precios Proforma'!$B$5:$D$104,IF(D285="DIA",2,3),FALSE)),0))</f>
        <v/>
      </c>
      <c r="J285" s="31" t="str">
        <f t="shared" si="29"/>
        <v/>
      </c>
      <c r="K285" s="31" t="str">
        <f t="shared" si="30"/>
        <v/>
      </c>
      <c r="L285" s="31" t="str">
        <f>IF(OR(B285="",C285=""),"",IFERROR(E285 / SUMIFS('📅 Resumen Diario'!$D$5:$D$504, '📅 Resumen Diario'!$B$5:$B$504, B285, '📅 Resumen Diario'!$C$5:$C$504, D285) * SUMIFS('📅 Resumen Diario'!$K$5:$K$504, '📅 Resumen Diario'!$B$5:$B$504, B285, '📅 Resumen Diario'!$C$5:$C$504, D285), 0))</f>
        <v/>
      </c>
      <c r="M285" s="31" t="str">
        <f t="shared" si="31"/>
        <v/>
      </c>
      <c r="N285" s="31" t="str">
        <f t="shared" si="32"/>
        <v/>
      </c>
      <c r="O285" s="31" t="str">
        <f>IF(OR(B285="",C285=""),"",K285-N285 + IFERROR(E285 / SUMIFS('📅 Resumen Diario'!$D$5:$D$504, '📅 Resumen Diario'!$B$5:$B$504, B285, '📅 Resumen Diario'!$C$5:$C$504, D285) * (SUMIFS('📋 Detalle Diario'!$E$5:$E$489, '📋 Detalle Diario'!$B$5:$B$489, B285, '📋 Detalle Diario'!$C$5:$C$489, D285) * 135 + SUMIFS('📋 Detalle Diario'!$I$5:$I$489, '📋 Detalle Diario'!$B$5:$B$489, B285, '📋 Detalle Diario'!$C$5:$C$489, D285) * 200), 0))</f>
        <v/>
      </c>
      <c r="P285" s="32" t="str">
        <f t="shared" si="33"/>
        <v/>
      </c>
      <c r="Q285" s="33" t="str">
        <f t="shared" si="34"/>
        <v/>
      </c>
    </row>
    <row r="286" spans="2:17" ht="18" customHeight="1" x14ac:dyDescent="0.3">
      <c r="B286" s="26"/>
      <c r="C286" s="17"/>
      <c r="D286" s="27"/>
      <c r="E286" s="18"/>
      <c r="F286" s="18"/>
      <c r="G286" s="18"/>
      <c r="H286" s="30" t="str">
        <f t="shared" si="28"/>
        <v/>
      </c>
      <c r="I286" s="31" t="str">
        <f>IF(OR(B286="",C286=""),"",IFERROR(E286*IF(E286="",0,VLOOKUP(C286,'📦 Precios Proforma'!$B$5:$D$104,IF(D286="DIA",2,3),FALSE)),0))</f>
        <v/>
      </c>
      <c r="J286" s="31" t="str">
        <f t="shared" si="29"/>
        <v/>
      </c>
      <c r="K286" s="31" t="str">
        <f t="shared" si="30"/>
        <v/>
      </c>
      <c r="L286" s="31" t="str">
        <f>IF(OR(B286="",C286=""),"",IFERROR(E286 / SUMIFS('📅 Resumen Diario'!$D$5:$D$504, '📅 Resumen Diario'!$B$5:$B$504, B286, '📅 Resumen Diario'!$C$5:$C$504, D286) * SUMIFS('📅 Resumen Diario'!$K$5:$K$504, '📅 Resumen Diario'!$B$5:$B$504, B286, '📅 Resumen Diario'!$C$5:$C$504, D286), 0))</f>
        <v/>
      </c>
      <c r="M286" s="31" t="str">
        <f t="shared" si="31"/>
        <v/>
      </c>
      <c r="N286" s="31" t="str">
        <f t="shared" si="32"/>
        <v/>
      </c>
      <c r="O286" s="31" t="str">
        <f>IF(OR(B286="",C286=""),"",K286-N286 + IFERROR(E286 / SUMIFS('📅 Resumen Diario'!$D$5:$D$504, '📅 Resumen Diario'!$B$5:$B$504, B286, '📅 Resumen Diario'!$C$5:$C$504, D286) * (SUMIFS('📋 Detalle Diario'!$E$5:$E$489, '📋 Detalle Diario'!$B$5:$B$489, B286, '📋 Detalle Diario'!$C$5:$C$489, D286) * 135 + SUMIFS('📋 Detalle Diario'!$I$5:$I$489, '📋 Detalle Diario'!$B$5:$B$489, B286, '📋 Detalle Diario'!$C$5:$C$489, D286) * 200), 0))</f>
        <v/>
      </c>
      <c r="P286" s="32" t="str">
        <f t="shared" si="33"/>
        <v/>
      </c>
      <c r="Q286" s="33" t="str">
        <f t="shared" si="34"/>
        <v/>
      </c>
    </row>
    <row r="287" spans="2:17" ht="18" customHeight="1" x14ac:dyDescent="0.3">
      <c r="B287" s="26"/>
      <c r="C287" s="28"/>
      <c r="D287" s="27"/>
      <c r="E287" s="29"/>
      <c r="F287" s="29"/>
      <c r="G287" s="29"/>
      <c r="H287" s="30" t="str">
        <f t="shared" si="28"/>
        <v/>
      </c>
      <c r="I287" s="31" t="str">
        <f>IF(OR(B287="",C287=""),"",IFERROR(E287*IF(E287="",0,VLOOKUP(C287,'📦 Precios Proforma'!$B$5:$D$104,IF(D287="DIA",2,3),FALSE)),0))</f>
        <v/>
      </c>
      <c r="J287" s="31" t="str">
        <f t="shared" si="29"/>
        <v/>
      </c>
      <c r="K287" s="31" t="str">
        <f t="shared" si="30"/>
        <v/>
      </c>
      <c r="L287" s="31" t="str">
        <f>IF(OR(B287="",C287=""),"",IFERROR(E287 / SUMIFS('📅 Resumen Diario'!$D$5:$D$504, '📅 Resumen Diario'!$B$5:$B$504, B287, '📅 Resumen Diario'!$C$5:$C$504, D287) * SUMIFS('📅 Resumen Diario'!$K$5:$K$504, '📅 Resumen Diario'!$B$5:$B$504, B287, '📅 Resumen Diario'!$C$5:$C$504, D287), 0))</f>
        <v/>
      </c>
      <c r="M287" s="31" t="str">
        <f t="shared" si="31"/>
        <v/>
      </c>
      <c r="N287" s="31" t="str">
        <f t="shared" si="32"/>
        <v/>
      </c>
      <c r="O287" s="31" t="str">
        <f>IF(OR(B287="",C287=""),"",K287-N287 + IFERROR(E287 / SUMIFS('📅 Resumen Diario'!$D$5:$D$504, '📅 Resumen Diario'!$B$5:$B$504, B287, '📅 Resumen Diario'!$C$5:$C$504, D287) * (SUMIFS('📋 Detalle Diario'!$E$5:$E$489, '📋 Detalle Diario'!$B$5:$B$489, B287, '📋 Detalle Diario'!$C$5:$C$489, D287) * 135 + SUMIFS('📋 Detalle Diario'!$I$5:$I$489, '📋 Detalle Diario'!$B$5:$B$489, B287, '📋 Detalle Diario'!$C$5:$C$489, D287) * 200), 0))</f>
        <v/>
      </c>
      <c r="P287" s="32" t="str">
        <f t="shared" si="33"/>
        <v/>
      </c>
      <c r="Q287" s="33" t="str">
        <f t="shared" si="34"/>
        <v/>
      </c>
    </row>
    <row r="288" spans="2:17" ht="18" customHeight="1" x14ac:dyDescent="0.3">
      <c r="B288" s="26"/>
      <c r="C288" s="17"/>
      <c r="D288" s="27"/>
      <c r="E288" s="18"/>
      <c r="F288" s="18"/>
      <c r="G288" s="18"/>
      <c r="H288" s="30" t="str">
        <f t="shared" si="28"/>
        <v/>
      </c>
      <c r="I288" s="31" t="str">
        <f>IF(OR(B288="",C288=""),"",IFERROR(E288*IF(E288="",0,VLOOKUP(C288,'📦 Precios Proforma'!$B$5:$D$104,IF(D288="DIA",2,3),FALSE)),0))</f>
        <v/>
      </c>
      <c r="J288" s="31" t="str">
        <f t="shared" si="29"/>
        <v/>
      </c>
      <c r="K288" s="31" t="str">
        <f t="shared" si="30"/>
        <v/>
      </c>
      <c r="L288" s="31" t="str">
        <f>IF(OR(B288="",C288=""),"",IFERROR(E288 / SUMIFS('📅 Resumen Diario'!$D$5:$D$504, '📅 Resumen Diario'!$B$5:$B$504, B288, '📅 Resumen Diario'!$C$5:$C$504, D288) * SUMIFS('📅 Resumen Diario'!$K$5:$K$504, '📅 Resumen Diario'!$B$5:$B$504, B288, '📅 Resumen Diario'!$C$5:$C$504, D288), 0))</f>
        <v/>
      </c>
      <c r="M288" s="31" t="str">
        <f t="shared" si="31"/>
        <v/>
      </c>
      <c r="N288" s="31" t="str">
        <f t="shared" si="32"/>
        <v/>
      </c>
      <c r="O288" s="31" t="str">
        <f>IF(OR(B288="",C288=""),"",K288-N288 + IFERROR(E288 / SUMIFS('📅 Resumen Diario'!$D$5:$D$504, '📅 Resumen Diario'!$B$5:$B$504, B288, '📅 Resumen Diario'!$C$5:$C$504, D288) * (SUMIFS('📋 Detalle Diario'!$E$5:$E$489, '📋 Detalle Diario'!$B$5:$B$489, B288, '📋 Detalle Diario'!$C$5:$C$489, D288) * 135 + SUMIFS('📋 Detalle Diario'!$I$5:$I$489, '📋 Detalle Diario'!$B$5:$B$489, B288, '📋 Detalle Diario'!$C$5:$C$489, D288) * 200), 0))</f>
        <v/>
      </c>
      <c r="P288" s="32" t="str">
        <f t="shared" si="33"/>
        <v/>
      </c>
      <c r="Q288" s="33" t="str">
        <f t="shared" si="34"/>
        <v/>
      </c>
    </row>
    <row r="289" spans="2:17" ht="18" customHeight="1" x14ac:dyDescent="0.3">
      <c r="B289" s="26"/>
      <c r="C289" s="28"/>
      <c r="D289" s="27"/>
      <c r="E289" s="29"/>
      <c r="F289" s="29"/>
      <c r="G289" s="29"/>
      <c r="H289" s="30" t="str">
        <f t="shared" si="28"/>
        <v/>
      </c>
      <c r="I289" s="31" t="str">
        <f>IF(OR(B289="",C289=""),"",IFERROR(E289*IF(E289="",0,VLOOKUP(C289,'📦 Precios Proforma'!$B$5:$D$104,IF(D289="DIA",2,3),FALSE)),0))</f>
        <v/>
      </c>
      <c r="J289" s="31" t="str">
        <f t="shared" si="29"/>
        <v/>
      </c>
      <c r="K289" s="31" t="str">
        <f t="shared" si="30"/>
        <v/>
      </c>
      <c r="L289" s="31" t="str">
        <f>IF(OR(B289="",C289=""),"",IFERROR(E289 / SUMIFS('📅 Resumen Diario'!$D$5:$D$504, '📅 Resumen Diario'!$B$5:$B$504, B289, '📅 Resumen Diario'!$C$5:$C$504, D289) * SUMIFS('📅 Resumen Diario'!$K$5:$K$504, '📅 Resumen Diario'!$B$5:$B$504, B289, '📅 Resumen Diario'!$C$5:$C$504, D289), 0))</f>
        <v/>
      </c>
      <c r="M289" s="31" t="str">
        <f t="shared" si="31"/>
        <v/>
      </c>
      <c r="N289" s="31" t="str">
        <f t="shared" si="32"/>
        <v/>
      </c>
      <c r="O289" s="31" t="str">
        <f>IF(OR(B289="",C289=""),"",K289-N289 + IFERROR(E289 / SUMIFS('📅 Resumen Diario'!$D$5:$D$504, '📅 Resumen Diario'!$B$5:$B$504, B289, '📅 Resumen Diario'!$C$5:$C$504, D289) * (SUMIFS('📋 Detalle Diario'!$E$5:$E$489, '📋 Detalle Diario'!$B$5:$B$489, B289, '📋 Detalle Diario'!$C$5:$C$489, D289) * 135 + SUMIFS('📋 Detalle Diario'!$I$5:$I$489, '📋 Detalle Diario'!$B$5:$B$489, B289, '📋 Detalle Diario'!$C$5:$C$489, D289) * 200), 0))</f>
        <v/>
      </c>
      <c r="P289" s="32" t="str">
        <f t="shared" si="33"/>
        <v/>
      </c>
      <c r="Q289" s="33" t="str">
        <f t="shared" si="34"/>
        <v/>
      </c>
    </row>
    <row r="290" spans="2:17" ht="18" customHeight="1" x14ac:dyDescent="0.3">
      <c r="B290" s="26"/>
      <c r="C290" s="17"/>
      <c r="D290" s="27"/>
      <c r="E290" s="18"/>
      <c r="F290" s="18"/>
      <c r="G290" s="18"/>
      <c r="H290" s="30" t="str">
        <f t="shared" si="28"/>
        <v/>
      </c>
      <c r="I290" s="31" t="str">
        <f>IF(OR(B290="",C290=""),"",IFERROR(E290*IF(E290="",0,VLOOKUP(C290,'📦 Precios Proforma'!$B$5:$D$104,IF(D290="DIA",2,3),FALSE)),0))</f>
        <v/>
      </c>
      <c r="J290" s="31" t="str">
        <f t="shared" si="29"/>
        <v/>
      </c>
      <c r="K290" s="31" t="str">
        <f t="shared" si="30"/>
        <v/>
      </c>
      <c r="L290" s="31" t="str">
        <f>IF(OR(B290="",C290=""),"",IFERROR(E290 / SUMIFS('📅 Resumen Diario'!$D$5:$D$504, '📅 Resumen Diario'!$B$5:$B$504, B290, '📅 Resumen Diario'!$C$5:$C$504, D290) * SUMIFS('📅 Resumen Diario'!$K$5:$K$504, '📅 Resumen Diario'!$B$5:$B$504, B290, '📅 Resumen Diario'!$C$5:$C$504, D290), 0))</f>
        <v/>
      </c>
      <c r="M290" s="31" t="str">
        <f t="shared" si="31"/>
        <v/>
      </c>
      <c r="N290" s="31" t="str">
        <f t="shared" si="32"/>
        <v/>
      </c>
      <c r="O290" s="31" t="str">
        <f>IF(OR(B290="",C290=""),"",K290-N290 + IFERROR(E290 / SUMIFS('📅 Resumen Diario'!$D$5:$D$504, '📅 Resumen Diario'!$B$5:$B$504, B290, '📅 Resumen Diario'!$C$5:$C$504, D290) * (SUMIFS('📋 Detalle Diario'!$E$5:$E$489, '📋 Detalle Diario'!$B$5:$B$489, B290, '📋 Detalle Diario'!$C$5:$C$489, D290) * 135 + SUMIFS('📋 Detalle Diario'!$I$5:$I$489, '📋 Detalle Diario'!$B$5:$B$489, B290, '📋 Detalle Diario'!$C$5:$C$489, D290) * 200), 0))</f>
        <v/>
      </c>
      <c r="P290" s="32" t="str">
        <f t="shared" si="33"/>
        <v/>
      </c>
      <c r="Q290" s="33" t="str">
        <f t="shared" si="34"/>
        <v/>
      </c>
    </row>
    <row r="291" spans="2:17" ht="18" customHeight="1" x14ac:dyDescent="0.3">
      <c r="B291" s="26"/>
      <c r="C291" s="28"/>
      <c r="D291" s="27"/>
      <c r="E291" s="29"/>
      <c r="F291" s="29"/>
      <c r="G291" s="29"/>
      <c r="H291" s="30" t="str">
        <f t="shared" si="28"/>
        <v/>
      </c>
      <c r="I291" s="31" t="str">
        <f>IF(OR(B291="",C291=""),"",IFERROR(E291*IF(E291="",0,VLOOKUP(C291,'📦 Precios Proforma'!$B$5:$D$104,IF(D291="DIA",2,3),FALSE)),0))</f>
        <v/>
      </c>
      <c r="J291" s="31" t="str">
        <f t="shared" si="29"/>
        <v/>
      </c>
      <c r="K291" s="31" t="str">
        <f t="shared" si="30"/>
        <v/>
      </c>
      <c r="L291" s="31" t="str">
        <f>IF(OR(B291="",C291=""),"",IFERROR(E291 / SUMIFS('📅 Resumen Diario'!$D$5:$D$504, '📅 Resumen Diario'!$B$5:$B$504, B291, '📅 Resumen Diario'!$C$5:$C$504, D291) * SUMIFS('📅 Resumen Diario'!$K$5:$K$504, '📅 Resumen Diario'!$B$5:$B$504, B291, '📅 Resumen Diario'!$C$5:$C$504, D291), 0))</f>
        <v/>
      </c>
      <c r="M291" s="31" t="str">
        <f t="shared" si="31"/>
        <v/>
      </c>
      <c r="N291" s="31" t="str">
        <f t="shared" si="32"/>
        <v/>
      </c>
      <c r="O291" s="31" t="str">
        <f>IF(OR(B291="",C291=""),"",K291-N291 + IFERROR(E291 / SUMIFS('📅 Resumen Diario'!$D$5:$D$504, '📅 Resumen Diario'!$B$5:$B$504, B291, '📅 Resumen Diario'!$C$5:$C$504, D291) * (SUMIFS('📋 Detalle Diario'!$E$5:$E$489, '📋 Detalle Diario'!$B$5:$B$489, B291, '📋 Detalle Diario'!$C$5:$C$489, D291) * 135 + SUMIFS('📋 Detalle Diario'!$I$5:$I$489, '📋 Detalle Diario'!$B$5:$B$489, B291, '📋 Detalle Diario'!$C$5:$C$489, D291) * 200), 0))</f>
        <v/>
      </c>
      <c r="P291" s="32" t="str">
        <f t="shared" si="33"/>
        <v/>
      </c>
      <c r="Q291" s="33" t="str">
        <f t="shared" si="34"/>
        <v/>
      </c>
    </row>
    <row r="292" spans="2:17" ht="18" customHeight="1" x14ac:dyDescent="0.3">
      <c r="B292" s="26"/>
      <c r="C292" s="17"/>
      <c r="D292" s="27"/>
      <c r="E292" s="18"/>
      <c r="F292" s="18"/>
      <c r="G292" s="18"/>
      <c r="H292" s="30" t="str">
        <f t="shared" si="28"/>
        <v/>
      </c>
      <c r="I292" s="31" t="str">
        <f>IF(OR(B292="",C292=""),"",IFERROR(E292*IF(E292="",0,VLOOKUP(C292,'📦 Precios Proforma'!$B$5:$D$104,IF(D292="DIA",2,3),FALSE)),0))</f>
        <v/>
      </c>
      <c r="J292" s="31" t="str">
        <f t="shared" si="29"/>
        <v/>
      </c>
      <c r="K292" s="31" t="str">
        <f t="shared" si="30"/>
        <v/>
      </c>
      <c r="L292" s="31" t="str">
        <f>IF(OR(B292="",C292=""),"",IFERROR(E292 / SUMIFS('📅 Resumen Diario'!$D$5:$D$504, '📅 Resumen Diario'!$B$5:$B$504, B292, '📅 Resumen Diario'!$C$5:$C$504, D292) * SUMIFS('📅 Resumen Diario'!$K$5:$K$504, '📅 Resumen Diario'!$B$5:$B$504, B292, '📅 Resumen Diario'!$C$5:$C$504, D292), 0))</f>
        <v/>
      </c>
      <c r="M292" s="31" t="str">
        <f t="shared" si="31"/>
        <v/>
      </c>
      <c r="N292" s="31" t="str">
        <f t="shared" si="32"/>
        <v/>
      </c>
      <c r="O292" s="31" t="str">
        <f>IF(OR(B292="",C292=""),"",K292-N292 + IFERROR(E292 / SUMIFS('📅 Resumen Diario'!$D$5:$D$504, '📅 Resumen Diario'!$B$5:$B$504, B292, '📅 Resumen Diario'!$C$5:$C$504, D292) * (SUMIFS('📋 Detalle Diario'!$E$5:$E$489, '📋 Detalle Diario'!$B$5:$B$489, B292, '📋 Detalle Diario'!$C$5:$C$489, D292) * 135 + SUMIFS('📋 Detalle Diario'!$I$5:$I$489, '📋 Detalle Diario'!$B$5:$B$489, B292, '📋 Detalle Diario'!$C$5:$C$489, D292) * 200), 0))</f>
        <v/>
      </c>
      <c r="P292" s="32" t="str">
        <f t="shared" si="33"/>
        <v/>
      </c>
      <c r="Q292" s="33" t="str">
        <f t="shared" si="34"/>
        <v/>
      </c>
    </row>
    <row r="293" spans="2:17" ht="18" customHeight="1" x14ac:dyDescent="0.3">
      <c r="B293" s="26"/>
      <c r="C293" s="28"/>
      <c r="D293" s="27"/>
      <c r="E293" s="29"/>
      <c r="F293" s="29"/>
      <c r="G293" s="29"/>
      <c r="H293" s="30" t="str">
        <f t="shared" si="28"/>
        <v/>
      </c>
      <c r="I293" s="31" t="str">
        <f>IF(OR(B293="",C293=""),"",IFERROR(E293*IF(E293="",0,VLOOKUP(C293,'📦 Precios Proforma'!$B$5:$D$104,IF(D293="DIA",2,3),FALSE)),0))</f>
        <v/>
      </c>
      <c r="J293" s="31" t="str">
        <f t="shared" si="29"/>
        <v/>
      </c>
      <c r="K293" s="31" t="str">
        <f t="shared" si="30"/>
        <v/>
      </c>
      <c r="L293" s="31" t="str">
        <f>IF(OR(B293="",C293=""),"",IFERROR(E293 / SUMIFS('📅 Resumen Diario'!$D$5:$D$504, '📅 Resumen Diario'!$B$5:$B$504, B293, '📅 Resumen Diario'!$C$5:$C$504, D293) * SUMIFS('📅 Resumen Diario'!$K$5:$K$504, '📅 Resumen Diario'!$B$5:$B$504, B293, '📅 Resumen Diario'!$C$5:$C$504, D293), 0))</f>
        <v/>
      </c>
      <c r="M293" s="31" t="str">
        <f t="shared" si="31"/>
        <v/>
      </c>
      <c r="N293" s="31" t="str">
        <f t="shared" si="32"/>
        <v/>
      </c>
      <c r="O293" s="31" t="str">
        <f>IF(OR(B293="",C293=""),"",K293-N293 + IFERROR(E293 / SUMIFS('📅 Resumen Diario'!$D$5:$D$504, '📅 Resumen Diario'!$B$5:$B$504, B293, '📅 Resumen Diario'!$C$5:$C$504, D293) * (SUMIFS('📋 Detalle Diario'!$E$5:$E$489, '📋 Detalle Diario'!$B$5:$B$489, B293, '📋 Detalle Diario'!$C$5:$C$489, D293) * 135 + SUMIFS('📋 Detalle Diario'!$I$5:$I$489, '📋 Detalle Diario'!$B$5:$B$489, B293, '📋 Detalle Diario'!$C$5:$C$489, D293) * 200), 0))</f>
        <v/>
      </c>
      <c r="P293" s="32" t="str">
        <f t="shared" si="33"/>
        <v/>
      </c>
      <c r="Q293" s="33" t="str">
        <f t="shared" si="34"/>
        <v/>
      </c>
    </row>
    <row r="294" spans="2:17" ht="18" customHeight="1" x14ac:dyDescent="0.3">
      <c r="B294" s="26"/>
      <c r="C294" s="17"/>
      <c r="D294" s="27"/>
      <c r="E294" s="18"/>
      <c r="F294" s="18"/>
      <c r="G294" s="18"/>
      <c r="H294" s="30" t="str">
        <f t="shared" si="28"/>
        <v/>
      </c>
      <c r="I294" s="31" t="str">
        <f>IF(OR(B294="",C294=""),"",IFERROR(E294*IF(E294="",0,VLOOKUP(C294,'📦 Precios Proforma'!$B$5:$D$104,IF(D294="DIA",2,3),FALSE)),0))</f>
        <v/>
      </c>
      <c r="J294" s="31" t="str">
        <f t="shared" si="29"/>
        <v/>
      </c>
      <c r="K294" s="31" t="str">
        <f t="shared" si="30"/>
        <v/>
      </c>
      <c r="L294" s="31" t="str">
        <f>IF(OR(B294="",C294=""),"",IFERROR(E294 / SUMIFS('📅 Resumen Diario'!$D$5:$D$504, '📅 Resumen Diario'!$B$5:$B$504, B294, '📅 Resumen Diario'!$C$5:$C$504, D294) * SUMIFS('📅 Resumen Diario'!$K$5:$K$504, '📅 Resumen Diario'!$B$5:$B$504, B294, '📅 Resumen Diario'!$C$5:$C$504, D294), 0))</f>
        <v/>
      </c>
      <c r="M294" s="31" t="str">
        <f t="shared" si="31"/>
        <v/>
      </c>
      <c r="N294" s="31" t="str">
        <f t="shared" si="32"/>
        <v/>
      </c>
      <c r="O294" s="31" t="str">
        <f>IF(OR(B294="",C294=""),"",K294-N294 + IFERROR(E294 / SUMIFS('📅 Resumen Diario'!$D$5:$D$504, '📅 Resumen Diario'!$B$5:$B$504, B294, '📅 Resumen Diario'!$C$5:$C$504, D294) * (SUMIFS('📋 Detalle Diario'!$E$5:$E$489, '📋 Detalle Diario'!$B$5:$B$489, B294, '📋 Detalle Diario'!$C$5:$C$489, D294) * 135 + SUMIFS('📋 Detalle Diario'!$I$5:$I$489, '📋 Detalle Diario'!$B$5:$B$489, B294, '📋 Detalle Diario'!$C$5:$C$489, D294) * 200), 0))</f>
        <v/>
      </c>
      <c r="P294" s="32" t="str">
        <f t="shared" si="33"/>
        <v/>
      </c>
      <c r="Q294" s="33" t="str">
        <f t="shared" si="34"/>
        <v/>
      </c>
    </row>
    <row r="295" spans="2:17" ht="18" customHeight="1" x14ac:dyDescent="0.3">
      <c r="B295" s="26"/>
      <c r="C295" s="28"/>
      <c r="D295" s="27"/>
      <c r="E295" s="29"/>
      <c r="F295" s="29"/>
      <c r="G295" s="29"/>
      <c r="H295" s="30" t="str">
        <f t="shared" si="28"/>
        <v/>
      </c>
      <c r="I295" s="31" t="str">
        <f>IF(OR(B295="",C295=""),"",IFERROR(E295*IF(E295="",0,VLOOKUP(C295,'📦 Precios Proforma'!$B$5:$D$104,IF(D295="DIA",2,3),FALSE)),0))</f>
        <v/>
      </c>
      <c r="J295" s="31" t="str">
        <f t="shared" si="29"/>
        <v/>
      </c>
      <c r="K295" s="31" t="str">
        <f t="shared" si="30"/>
        <v/>
      </c>
      <c r="L295" s="31" t="str">
        <f>IF(OR(B295="",C295=""),"",IFERROR(E295 / SUMIFS('📅 Resumen Diario'!$D$5:$D$504, '📅 Resumen Diario'!$B$5:$B$504, B295, '📅 Resumen Diario'!$C$5:$C$504, D295) * SUMIFS('📅 Resumen Diario'!$K$5:$K$504, '📅 Resumen Diario'!$B$5:$B$504, B295, '📅 Resumen Diario'!$C$5:$C$504, D295), 0))</f>
        <v/>
      </c>
      <c r="M295" s="31" t="str">
        <f t="shared" si="31"/>
        <v/>
      </c>
      <c r="N295" s="31" t="str">
        <f t="shared" si="32"/>
        <v/>
      </c>
      <c r="O295" s="31" t="str">
        <f>IF(OR(B295="",C295=""),"",K295-N295 + IFERROR(E295 / SUMIFS('📅 Resumen Diario'!$D$5:$D$504, '📅 Resumen Diario'!$B$5:$B$504, B295, '📅 Resumen Diario'!$C$5:$C$504, D295) * (SUMIFS('📋 Detalle Diario'!$E$5:$E$489, '📋 Detalle Diario'!$B$5:$B$489, B295, '📋 Detalle Diario'!$C$5:$C$489, D295) * 135 + SUMIFS('📋 Detalle Diario'!$I$5:$I$489, '📋 Detalle Diario'!$B$5:$B$489, B295, '📋 Detalle Diario'!$C$5:$C$489, D295) * 200), 0))</f>
        <v/>
      </c>
      <c r="P295" s="32" t="str">
        <f t="shared" si="33"/>
        <v/>
      </c>
      <c r="Q295" s="33" t="str">
        <f t="shared" si="34"/>
        <v/>
      </c>
    </row>
    <row r="296" spans="2:17" ht="18" customHeight="1" x14ac:dyDescent="0.3">
      <c r="B296" s="26"/>
      <c r="C296" s="17"/>
      <c r="D296" s="27"/>
      <c r="E296" s="18"/>
      <c r="F296" s="18"/>
      <c r="G296" s="18"/>
      <c r="H296" s="30" t="str">
        <f t="shared" si="28"/>
        <v/>
      </c>
      <c r="I296" s="31" t="str">
        <f>IF(OR(B296="",C296=""),"",IFERROR(E296*IF(E296="",0,VLOOKUP(C296,'📦 Precios Proforma'!$B$5:$D$104,IF(D296="DIA",2,3),FALSE)),0))</f>
        <v/>
      </c>
      <c r="J296" s="31" t="str">
        <f t="shared" si="29"/>
        <v/>
      </c>
      <c r="K296" s="31" t="str">
        <f t="shared" si="30"/>
        <v/>
      </c>
      <c r="L296" s="31" t="str">
        <f>IF(OR(B296="",C296=""),"",IFERROR(E296 / SUMIFS('📅 Resumen Diario'!$D$5:$D$504, '📅 Resumen Diario'!$B$5:$B$504, B296, '📅 Resumen Diario'!$C$5:$C$504, D296) * SUMIFS('📅 Resumen Diario'!$K$5:$K$504, '📅 Resumen Diario'!$B$5:$B$504, B296, '📅 Resumen Diario'!$C$5:$C$504, D296), 0))</f>
        <v/>
      </c>
      <c r="M296" s="31" t="str">
        <f t="shared" si="31"/>
        <v/>
      </c>
      <c r="N296" s="31" t="str">
        <f t="shared" si="32"/>
        <v/>
      </c>
      <c r="O296" s="31" t="str">
        <f>IF(OR(B296="",C296=""),"",K296-N296 + IFERROR(E296 / SUMIFS('📅 Resumen Diario'!$D$5:$D$504, '📅 Resumen Diario'!$B$5:$B$504, B296, '📅 Resumen Diario'!$C$5:$C$504, D296) * (SUMIFS('📋 Detalle Diario'!$E$5:$E$489, '📋 Detalle Diario'!$B$5:$B$489, B296, '📋 Detalle Diario'!$C$5:$C$489, D296) * 135 + SUMIFS('📋 Detalle Diario'!$I$5:$I$489, '📋 Detalle Diario'!$B$5:$B$489, B296, '📋 Detalle Diario'!$C$5:$C$489, D296) * 200), 0))</f>
        <v/>
      </c>
      <c r="P296" s="32" t="str">
        <f t="shared" si="33"/>
        <v/>
      </c>
      <c r="Q296" s="33" t="str">
        <f t="shared" si="34"/>
        <v/>
      </c>
    </row>
    <row r="297" spans="2:17" ht="18" customHeight="1" x14ac:dyDescent="0.3">
      <c r="B297" s="26"/>
      <c r="C297" s="28"/>
      <c r="D297" s="27"/>
      <c r="E297" s="29"/>
      <c r="F297" s="29"/>
      <c r="G297" s="29"/>
      <c r="H297" s="30" t="str">
        <f t="shared" si="28"/>
        <v/>
      </c>
      <c r="I297" s="31" t="str">
        <f>IF(OR(B297="",C297=""),"",IFERROR(E297*IF(E297="",0,VLOOKUP(C297,'📦 Precios Proforma'!$B$5:$D$104,IF(D297="DIA",2,3),FALSE)),0))</f>
        <v/>
      </c>
      <c r="J297" s="31" t="str">
        <f t="shared" si="29"/>
        <v/>
      </c>
      <c r="K297" s="31" t="str">
        <f t="shared" si="30"/>
        <v/>
      </c>
      <c r="L297" s="31" t="str">
        <f>IF(OR(B297="",C297=""),"",IFERROR(E297 / SUMIFS('📅 Resumen Diario'!$D$5:$D$504, '📅 Resumen Diario'!$B$5:$B$504, B297, '📅 Resumen Diario'!$C$5:$C$504, D297) * SUMIFS('📅 Resumen Diario'!$K$5:$K$504, '📅 Resumen Diario'!$B$5:$B$504, B297, '📅 Resumen Diario'!$C$5:$C$504, D297), 0))</f>
        <v/>
      </c>
      <c r="M297" s="31" t="str">
        <f t="shared" si="31"/>
        <v/>
      </c>
      <c r="N297" s="31" t="str">
        <f t="shared" si="32"/>
        <v/>
      </c>
      <c r="O297" s="31" t="str">
        <f>IF(OR(B297="",C297=""),"",K297-N297 + IFERROR(E297 / SUMIFS('📅 Resumen Diario'!$D$5:$D$504, '📅 Resumen Diario'!$B$5:$B$504, B297, '📅 Resumen Diario'!$C$5:$C$504, D297) * (SUMIFS('📋 Detalle Diario'!$E$5:$E$489, '📋 Detalle Diario'!$B$5:$B$489, B297, '📋 Detalle Diario'!$C$5:$C$489, D297) * 135 + SUMIFS('📋 Detalle Diario'!$I$5:$I$489, '📋 Detalle Diario'!$B$5:$B$489, B297, '📋 Detalle Diario'!$C$5:$C$489, D297) * 200), 0))</f>
        <v/>
      </c>
      <c r="P297" s="32" t="str">
        <f t="shared" si="33"/>
        <v/>
      </c>
      <c r="Q297" s="33" t="str">
        <f t="shared" si="34"/>
        <v/>
      </c>
    </row>
    <row r="298" spans="2:17" ht="18" customHeight="1" x14ac:dyDescent="0.3">
      <c r="B298" s="26"/>
      <c r="C298" s="17"/>
      <c r="D298" s="27"/>
      <c r="E298" s="18"/>
      <c r="F298" s="18"/>
      <c r="G298" s="18"/>
      <c r="H298" s="30" t="str">
        <f t="shared" si="28"/>
        <v/>
      </c>
      <c r="I298" s="31" t="str">
        <f>IF(OR(B298="",C298=""),"",IFERROR(E298*IF(E298="",0,VLOOKUP(C298,'📦 Precios Proforma'!$B$5:$D$104,IF(D298="DIA",2,3),FALSE)),0))</f>
        <v/>
      </c>
      <c r="J298" s="31" t="str">
        <f t="shared" si="29"/>
        <v/>
      </c>
      <c r="K298" s="31" t="str">
        <f t="shared" si="30"/>
        <v/>
      </c>
      <c r="L298" s="31" t="str">
        <f>IF(OR(B298="",C298=""),"",IFERROR(E298 / SUMIFS('📅 Resumen Diario'!$D$5:$D$504, '📅 Resumen Diario'!$B$5:$B$504, B298, '📅 Resumen Diario'!$C$5:$C$504, D298) * SUMIFS('📅 Resumen Diario'!$K$5:$K$504, '📅 Resumen Diario'!$B$5:$B$504, B298, '📅 Resumen Diario'!$C$5:$C$504, D298), 0))</f>
        <v/>
      </c>
      <c r="M298" s="31" t="str">
        <f t="shared" si="31"/>
        <v/>
      </c>
      <c r="N298" s="31" t="str">
        <f t="shared" si="32"/>
        <v/>
      </c>
      <c r="O298" s="31" t="str">
        <f>IF(OR(B298="",C298=""),"",K298-N298 + IFERROR(E298 / SUMIFS('📅 Resumen Diario'!$D$5:$D$504, '📅 Resumen Diario'!$B$5:$B$504, B298, '📅 Resumen Diario'!$C$5:$C$504, D298) * (SUMIFS('📋 Detalle Diario'!$E$5:$E$489, '📋 Detalle Diario'!$B$5:$B$489, B298, '📋 Detalle Diario'!$C$5:$C$489, D298) * 135 + SUMIFS('📋 Detalle Diario'!$I$5:$I$489, '📋 Detalle Diario'!$B$5:$B$489, B298, '📋 Detalle Diario'!$C$5:$C$489, D298) * 200), 0))</f>
        <v/>
      </c>
      <c r="P298" s="32" t="str">
        <f t="shared" si="33"/>
        <v/>
      </c>
      <c r="Q298" s="33" t="str">
        <f t="shared" si="34"/>
        <v/>
      </c>
    </row>
    <row r="299" spans="2:17" ht="18" customHeight="1" x14ac:dyDescent="0.3">
      <c r="B299" s="26"/>
      <c r="C299" s="28"/>
      <c r="D299" s="27"/>
      <c r="E299" s="29"/>
      <c r="F299" s="29"/>
      <c r="G299" s="29"/>
      <c r="H299" s="30" t="str">
        <f t="shared" si="28"/>
        <v/>
      </c>
      <c r="I299" s="31" t="str">
        <f>IF(OR(B299="",C299=""),"",IFERROR(E299*IF(E299="",0,VLOOKUP(C299,'📦 Precios Proforma'!$B$5:$D$104,IF(D299="DIA",2,3),FALSE)),0))</f>
        <v/>
      </c>
      <c r="J299" s="31" t="str">
        <f t="shared" si="29"/>
        <v/>
      </c>
      <c r="K299" s="31" t="str">
        <f t="shared" si="30"/>
        <v/>
      </c>
      <c r="L299" s="31" t="str">
        <f>IF(OR(B299="",C299=""),"",IFERROR(E299 / SUMIFS('📅 Resumen Diario'!$D$5:$D$504, '📅 Resumen Diario'!$B$5:$B$504, B299, '📅 Resumen Diario'!$C$5:$C$504, D299) * SUMIFS('📅 Resumen Diario'!$K$5:$K$504, '📅 Resumen Diario'!$B$5:$B$504, B299, '📅 Resumen Diario'!$C$5:$C$504, D299), 0))</f>
        <v/>
      </c>
      <c r="M299" s="31" t="str">
        <f t="shared" si="31"/>
        <v/>
      </c>
      <c r="N299" s="31" t="str">
        <f t="shared" si="32"/>
        <v/>
      </c>
      <c r="O299" s="31" t="str">
        <f>IF(OR(B299="",C299=""),"",K299-N299 + IFERROR(E299 / SUMIFS('📅 Resumen Diario'!$D$5:$D$504, '📅 Resumen Diario'!$B$5:$B$504, B299, '📅 Resumen Diario'!$C$5:$C$504, D299) * (SUMIFS('📋 Detalle Diario'!$E$5:$E$489, '📋 Detalle Diario'!$B$5:$B$489, B299, '📋 Detalle Diario'!$C$5:$C$489, D299) * 135 + SUMIFS('📋 Detalle Diario'!$I$5:$I$489, '📋 Detalle Diario'!$B$5:$B$489, B299, '📋 Detalle Diario'!$C$5:$C$489, D299) * 200), 0))</f>
        <v/>
      </c>
      <c r="P299" s="32" t="str">
        <f t="shared" si="33"/>
        <v/>
      </c>
      <c r="Q299" s="33" t="str">
        <f t="shared" si="34"/>
        <v/>
      </c>
    </row>
    <row r="300" spans="2:17" ht="18" customHeight="1" x14ac:dyDescent="0.3">
      <c r="B300" s="26"/>
      <c r="C300" s="17"/>
      <c r="D300" s="27"/>
      <c r="E300" s="18"/>
      <c r="F300" s="18"/>
      <c r="G300" s="18"/>
      <c r="H300" s="30" t="str">
        <f t="shared" si="28"/>
        <v/>
      </c>
      <c r="I300" s="31" t="str">
        <f>IF(OR(B300="",C300=""),"",IFERROR(E300*IF(E300="",0,VLOOKUP(C300,'📦 Precios Proforma'!$B$5:$D$104,IF(D300="DIA",2,3),FALSE)),0))</f>
        <v/>
      </c>
      <c r="J300" s="31" t="str">
        <f t="shared" si="29"/>
        <v/>
      </c>
      <c r="K300" s="31" t="str">
        <f t="shared" si="30"/>
        <v/>
      </c>
      <c r="L300" s="31" t="str">
        <f>IF(OR(B300="",C300=""),"",IFERROR(E300 / SUMIFS('📅 Resumen Diario'!$D$5:$D$504, '📅 Resumen Diario'!$B$5:$B$504, B300, '📅 Resumen Diario'!$C$5:$C$504, D300) * SUMIFS('📅 Resumen Diario'!$K$5:$K$504, '📅 Resumen Diario'!$B$5:$B$504, B300, '📅 Resumen Diario'!$C$5:$C$504, D300), 0))</f>
        <v/>
      </c>
      <c r="M300" s="31" t="str">
        <f t="shared" si="31"/>
        <v/>
      </c>
      <c r="N300" s="31" t="str">
        <f t="shared" si="32"/>
        <v/>
      </c>
      <c r="O300" s="31" t="str">
        <f>IF(OR(B300="",C300=""),"",K300-N300 + IFERROR(E300 / SUMIFS('📅 Resumen Diario'!$D$5:$D$504, '📅 Resumen Diario'!$B$5:$B$504, B300, '📅 Resumen Diario'!$C$5:$C$504, D300) * (SUMIFS('📋 Detalle Diario'!$E$5:$E$489, '📋 Detalle Diario'!$B$5:$B$489, B300, '📋 Detalle Diario'!$C$5:$C$489, D300) * 135 + SUMIFS('📋 Detalle Diario'!$I$5:$I$489, '📋 Detalle Diario'!$B$5:$B$489, B300, '📋 Detalle Diario'!$C$5:$C$489, D300) * 200), 0))</f>
        <v/>
      </c>
      <c r="P300" s="32" t="str">
        <f t="shared" si="33"/>
        <v/>
      </c>
      <c r="Q300" s="33" t="str">
        <f t="shared" si="34"/>
        <v/>
      </c>
    </row>
    <row r="301" spans="2:17" ht="18" customHeight="1" x14ac:dyDescent="0.3">
      <c r="B301" s="26"/>
      <c r="C301" s="28"/>
      <c r="D301" s="27"/>
      <c r="E301" s="29"/>
      <c r="F301" s="29"/>
      <c r="G301" s="29"/>
      <c r="H301" s="30" t="str">
        <f t="shared" si="28"/>
        <v/>
      </c>
      <c r="I301" s="31" t="str">
        <f>IF(OR(B301="",C301=""),"",IFERROR(E301*IF(E301="",0,VLOOKUP(C301,'📦 Precios Proforma'!$B$5:$D$104,IF(D301="DIA",2,3),FALSE)),0))</f>
        <v/>
      </c>
      <c r="J301" s="31" t="str">
        <f t="shared" si="29"/>
        <v/>
      </c>
      <c r="K301" s="31" t="str">
        <f t="shared" si="30"/>
        <v/>
      </c>
      <c r="L301" s="31" t="str">
        <f>IF(OR(B301="",C301=""),"",IFERROR(E301 / SUMIFS('📅 Resumen Diario'!$D$5:$D$504, '📅 Resumen Diario'!$B$5:$B$504, B301, '📅 Resumen Diario'!$C$5:$C$504, D301) * SUMIFS('📅 Resumen Diario'!$K$5:$K$504, '📅 Resumen Diario'!$B$5:$B$504, B301, '📅 Resumen Diario'!$C$5:$C$504, D301), 0))</f>
        <v/>
      </c>
      <c r="M301" s="31" t="str">
        <f t="shared" si="31"/>
        <v/>
      </c>
      <c r="N301" s="31" t="str">
        <f t="shared" si="32"/>
        <v/>
      </c>
      <c r="O301" s="31" t="str">
        <f>IF(OR(B301="",C301=""),"",K301-N301 + IFERROR(E301 / SUMIFS('📅 Resumen Diario'!$D$5:$D$504, '📅 Resumen Diario'!$B$5:$B$504, B301, '📅 Resumen Diario'!$C$5:$C$504, D301) * (SUMIFS('📋 Detalle Diario'!$E$5:$E$489, '📋 Detalle Diario'!$B$5:$B$489, B301, '📋 Detalle Diario'!$C$5:$C$489, D301) * 135 + SUMIFS('📋 Detalle Diario'!$I$5:$I$489, '📋 Detalle Diario'!$B$5:$B$489, B301, '📋 Detalle Diario'!$C$5:$C$489, D301) * 200), 0))</f>
        <v/>
      </c>
      <c r="P301" s="32" t="str">
        <f t="shared" si="33"/>
        <v/>
      </c>
      <c r="Q301" s="33" t="str">
        <f t="shared" si="34"/>
        <v/>
      </c>
    </row>
    <row r="302" spans="2:17" ht="18" customHeight="1" x14ac:dyDescent="0.3">
      <c r="B302" s="26"/>
      <c r="C302" s="17"/>
      <c r="D302" s="27"/>
      <c r="E302" s="18"/>
      <c r="F302" s="18"/>
      <c r="G302" s="18"/>
      <c r="H302" s="30" t="str">
        <f t="shared" si="28"/>
        <v/>
      </c>
      <c r="I302" s="31" t="str">
        <f>IF(OR(B302="",C302=""),"",IFERROR(E302*IF(E302="",0,VLOOKUP(C302,'📦 Precios Proforma'!$B$5:$D$104,IF(D302="DIA",2,3),FALSE)),0))</f>
        <v/>
      </c>
      <c r="J302" s="31" t="str">
        <f t="shared" si="29"/>
        <v/>
      </c>
      <c r="K302" s="31" t="str">
        <f t="shared" si="30"/>
        <v/>
      </c>
      <c r="L302" s="31" t="str">
        <f>IF(OR(B302="",C302=""),"",IFERROR(E302 / SUMIFS('📅 Resumen Diario'!$D$5:$D$504, '📅 Resumen Diario'!$B$5:$B$504, B302, '📅 Resumen Diario'!$C$5:$C$504, D302) * SUMIFS('📅 Resumen Diario'!$K$5:$K$504, '📅 Resumen Diario'!$B$5:$B$504, B302, '📅 Resumen Diario'!$C$5:$C$504, D302), 0))</f>
        <v/>
      </c>
      <c r="M302" s="31" t="str">
        <f t="shared" si="31"/>
        <v/>
      </c>
      <c r="N302" s="31" t="str">
        <f t="shared" si="32"/>
        <v/>
      </c>
      <c r="O302" s="31" t="str">
        <f>IF(OR(B302="",C302=""),"",K302-N302 + IFERROR(E302 / SUMIFS('📅 Resumen Diario'!$D$5:$D$504, '📅 Resumen Diario'!$B$5:$B$504, B302, '📅 Resumen Diario'!$C$5:$C$504, D302) * (SUMIFS('📋 Detalle Diario'!$E$5:$E$489, '📋 Detalle Diario'!$B$5:$B$489, B302, '📋 Detalle Diario'!$C$5:$C$489, D302) * 135 + SUMIFS('📋 Detalle Diario'!$I$5:$I$489, '📋 Detalle Diario'!$B$5:$B$489, B302, '📋 Detalle Diario'!$C$5:$C$489, D302) * 200), 0))</f>
        <v/>
      </c>
      <c r="P302" s="32" t="str">
        <f t="shared" si="33"/>
        <v/>
      </c>
      <c r="Q302" s="33" t="str">
        <f t="shared" si="34"/>
        <v/>
      </c>
    </row>
    <row r="303" spans="2:17" ht="18" customHeight="1" x14ac:dyDescent="0.3">
      <c r="B303" s="26"/>
      <c r="C303" s="28"/>
      <c r="D303" s="27"/>
      <c r="E303" s="29"/>
      <c r="F303" s="29"/>
      <c r="G303" s="29"/>
      <c r="H303" s="30" t="str">
        <f t="shared" si="28"/>
        <v/>
      </c>
      <c r="I303" s="31" t="str">
        <f>IF(OR(B303="",C303=""),"",IFERROR(E303*IF(E303="",0,VLOOKUP(C303,'📦 Precios Proforma'!$B$5:$D$104,IF(D303="DIA",2,3),FALSE)),0))</f>
        <v/>
      </c>
      <c r="J303" s="31" t="str">
        <f t="shared" si="29"/>
        <v/>
      </c>
      <c r="K303" s="31" t="str">
        <f t="shared" si="30"/>
        <v/>
      </c>
      <c r="L303" s="31" t="str">
        <f>IF(OR(B303="",C303=""),"",IFERROR(E303 / SUMIFS('📅 Resumen Diario'!$D$5:$D$504, '📅 Resumen Diario'!$B$5:$B$504, B303, '📅 Resumen Diario'!$C$5:$C$504, D303) * SUMIFS('📅 Resumen Diario'!$K$5:$K$504, '📅 Resumen Diario'!$B$5:$B$504, B303, '📅 Resumen Diario'!$C$5:$C$504, D303), 0))</f>
        <v/>
      </c>
      <c r="M303" s="31" t="str">
        <f t="shared" si="31"/>
        <v/>
      </c>
      <c r="N303" s="31" t="str">
        <f t="shared" si="32"/>
        <v/>
      </c>
      <c r="O303" s="31" t="str">
        <f>IF(OR(B303="",C303=""),"",K303-N303 + IFERROR(E303 / SUMIFS('📅 Resumen Diario'!$D$5:$D$504, '📅 Resumen Diario'!$B$5:$B$504, B303, '📅 Resumen Diario'!$C$5:$C$504, D303) * (SUMIFS('📋 Detalle Diario'!$E$5:$E$489, '📋 Detalle Diario'!$B$5:$B$489, B303, '📋 Detalle Diario'!$C$5:$C$489, D303) * 135 + SUMIFS('📋 Detalle Diario'!$I$5:$I$489, '📋 Detalle Diario'!$B$5:$B$489, B303, '📋 Detalle Diario'!$C$5:$C$489, D303) * 200), 0))</f>
        <v/>
      </c>
      <c r="P303" s="32" t="str">
        <f t="shared" si="33"/>
        <v/>
      </c>
      <c r="Q303" s="33" t="str">
        <f t="shared" si="34"/>
        <v/>
      </c>
    </row>
    <row r="304" spans="2:17" ht="18" customHeight="1" x14ac:dyDescent="0.3">
      <c r="B304" s="26"/>
      <c r="C304" s="17"/>
      <c r="D304" s="27"/>
      <c r="E304" s="18"/>
      <c r="F304" s="18"/>
      <c r="G304" s="18"/>
      <c r="H304" s="30" t="str">
        <f t="shared" si="28"/>
        <v/>
      </c>
      <c r="I304" s="31" t="str">
        <f>IF(OR(B304="",C304=""),"",IFERROR(E304*IF(E304="",0,VLOOKUP(C304,'📦 Precios Proforma'!$B$5:$D$104,IF(D304="DIA",2,3),FALSE)),0))</f>
        <v/>
      </c>
      <c r="J304" s="31" t="str">
        <f t="shared" si="29"/>
        <v/>
      </c>
      <c r="K304" s="31" t="str">
        <f t="shared" si="30"/>
        <v/>
      </c>
      <c r="L304" s="31" t="str">
        <f>IF(OR(B304="",C304=""),"",IFERROR(E304 / SUMIFS('📅 Resumen Diario'!$D$5:$D$504, '📅 Resumen Diario'!$B$5:$B$504, B304, '📅 Resumen Diario'!$C$5:$C$504, D304) * SUMIFS('📅 Resumen Diario'!$K$5:$K$504, '📅 Resumen Diario'!$B$5:$B$504, B304, '📅 Resumen Diario'!$C$5:$C$504, D304), 0))</f>
        <v/>
      </c>
      <c r="M304" s="31" t="str">
        <f t="shared" si="31"/>
        <v/>
      </c>
      <c r="N304" s="31" t="str">
        <f t="shared" si="32"/>
        <v/>
      </c>
      <c r="O304" s="31" t="str">
        <f>IF(OR(B304="",C304=""),"",K304-N304 + IFERROR(E304 / SUMIFS('📅 Resumen Diario'!$D$5:$D$504, '📅 Resumen Diario'!$B$5:$B$504, B304, '📅 Resumen Diario'!$C$5:$C$504, D304) * (SUMIFS('📋 Detalle Diario'!$E$5:$E$489, '📋 Detalle Diario'!$B$5:$B$489, B304, '📋 Detalle Diario'!$C$5:$C$489, D304) * 135 + SUMIFS('📋 Detalle Diario'!$I$5:$I$489, '📋 Detalle Diario'!$B$5:$B$489, B304, '📋 Detalle Diario'!$C$5:$C$489, D304) * 200), 0))</f>
        <v/>
      </c>
      <c r="P304" s="32" t="str">
        <f t="shared" si="33"/>
        <v/>
      </c>
      <c r="Q304" s="33" t="str">
        <f t="shared" si="34"/>
        <v/>
      </c>
    </row>
    <row r="305" spans="2:17" ht="18" customHeight="1" x14ac:dyDescent="0.3">
      <c r="B305" s="26"/>
      <c r="C305" s="28"/>
      <c r="D305" s="27"/>
      <c r="E305" s="29"/>
      <c r="F305" s="29"/>
      <c r="G305" s="29"/>
      <c r="H305" s="30" t="str">
        <f t="shared" si="28"/>
        <v/>
      </c>
      <c r="I305" s="31" t="str">
        <f>IF(OR(B305="",C305=""),"",IFERROR(E305*IF(E305="",0,VLOOKUP(C305,'📦 Precios Proforma'!$B$5:$D$104,IF(D305="DIA",2,3),FALSE)),0))</f>
        <v/>
      </c>
      <c r="J305" s="31" t="str">
        <f t="shared" si="29"/>
        <v/>
      </c>
      <c r="K305" s="31" t="str">
        <f t="shared" si="30"/>
        <v/>
      </c>
      <c r="L305" s="31" t="str">
        <f>IF(OR(B305="",C305=""),"",IFERROR(E305 / SUMIFS('📅 Resumen Diario'!$D$5:$D$504, '📅 Resumen Diario'!$B$5:$B$504, B305, '📅 Resumen Diario'!$C$5:$C$504, D305) * SUMIFS('📅 Resumen Diario'!$K$5:$K$504, '📅 Resumen Diario'!$B$5:$B$504, B305, '📅 Resumen Diario'!$C$5:$C$504, D305), 0))</f>
        <v/>
      </c>
      <c r="M305" s="31" t="str">
        <f t="shared" si="31"/>
        <v/>
      </c>
      <c r="N305" s="31" t="str">
        <f t="shared" si="32"/>
        <v/>
      </c>
      <c r="O305" s="31" t="str">
        <f>IF(OR(B305="",C305=""),"",K305-N305 + IFERROR(E305 / SUMIFS('📅 Resumen Diario'!$D$5:$D$504, '📅 Resumen Diario'!$B$5:$B$504, B305, '📅 Resumen Diario'!$C$5:$C$504, D305) * (SUMIFS('📋 Detalle Diario'!$E$5:$E$489, '📋 Detalle Diario'!$B$5:$B$489, B305, '📋 Detalle Diario'!$C$5:$C$489, D305) * 135 + SUMIFS('📋 Detalle Diario'!$I$5:$I$489, '📋 Detalle Diario'!$B$5:$B$489, B305, '📋 Detalle Diario'!$C$5:$C$489, D305) * 200), 0))</f>
        <v/>
      </c>
      <c r="P305" s="32" t="str">
        <f t="shared" si="33"/>
        <v/>
      </c>
      <c r="Q305" s="33" t="str">
        <f t="shared" si="34"/>
        <v/>
      </c>
    </row>
    <row r="306" spans="2:17" ht="18" customHeight="1" x14ac:dyDescent="0.3">
      <c r="B306" s="26"/>
      <c r="C306" s="17"/>
      <c r="D306" s="27"/>
      <c r="E306" s="18"/>
      <c r="F306" s="18"/>
      <c r="G306" s="18"/>
      <c r="H306" s="30" t="str">
        <f t="shared" si="28"/>
        <v/>
      </c>
      <c r="I306" s="31" t="str">
        <f>IF(OR(B306="",C306=""),"",IFERROR(E306*IF(E306="",0,VLOOKUP(C306,'📦 Precios Proforma'!$B$5:$D$104,IF(D306="DIA",2,3),FALSE)),0))</f>
        <v/>
      </c>
      <c r="J306" s="31" t="str">
        <f t="shared" si="29"/>
        <v/>
      </c>
      <c r="K306" s="31" t="str">
        <f t="shared" si="30"/>
        <v/>
      </c>
      <c r="L306" s="31" t="str">
        <f>IF(OR(B306="",C306=""),"",IFERROR(E306 / SUMIFS('📅 Resumen Diario'!$D$5:$D$504, '📅 Resumen Diario'!$B$5:$B$504, B306, '📅 Resumen Diario'!$C$5:$C$504, D306) * SUMIFS('📅 Resumen Diario'!$K$5:$K$504, '📅 Resumen Diario'!$B$5:$B$504, B306, '📅 Resumen Diario'!$C$5:$C$504, D306), 0))</f>
        <v/>
      </c>
      <c r="M306" s="31" t="str">
        <f t="shared" si="31"/>
        <v/>
      </c>
      <c r="N306" s="31" t="str">
        <f t="shared" si="32"/>
        <v/>
      </c>
      <c r="O306" s="31" t="str">
        <f>IF(OR(B306="",C306=""),"",K306-N306 + IFERROR(E306 / SUMIFS('📅 Resumen Diario'!$D$5:$D$504, '📅 Resumen Diario'!$B$5:$B$504, B306, '📅 Resumen Diario'!$C$5:$C$504, D306) * (SUMIFS('📋 Detalle Diario'!$E$5:$E$489, '📋 Detalle Diario'!$B$5:$B$489, B306, '📋 Detalle Diario'!$C$5:$C$489, D306) * 135 + SUMIFS('📋 Detalle Diario'!$I$5:$I$489, '📋 Detalle Diario'!$B$5:$B$489, B306, '📋 Detalle Diario'!$C$5:$C$489, D306) * 200), 0))</f>
        <v/>
      </c>
      <c r="P306" s="32" t="str">
        <f t="shared" si="33"/>
        <v/>
      </c>
      <c r="Q306" s="33" t="str">
        <f t="shared" si="34"/>
        <v/>
      </c>
    </row>
    <row r="307" spans="2:17" ht="18" customHeight="1" x14ac:dyDescent="0.3">
      <c r="B307" s="26"/>
      <c r="C307" s="28"/>
      <c r="D307" s="27"/>
      <c r="E307" s="29"/>
      <c r="F307" s="29"/>
      <c r="G307" s="29"/>
      <c r="H307" s="30" t="str">
        <f t="shared" si="28"/>
        <v/>
      </c>
      <c r="I307" s="31" t="str">
        <f>IF(OR(B307="",C307=""),"",IFERROR(E307*IF(E307="",0,VLOOKUP(C307,'📦 Precios Proforma'!$B$5:$D$104,IF(D307="DIA",2,3),FALSE)),0))</f>
        <v/>
      </c>
      <c r="J307" s="31" t="str">
        <f t="shared" si="29"/>
        <v/>
      </c>
      <c r="K307" s="31" t="str">
        <f t="shared" si="30"/>
        <v/>
      </c>
      <c r="L307" s="31" t="str">
        <f>IF(OR(B307="",C307=""),"",IFERROR(E307 / SUMIFS('📅 Resumen Diario'!$D$5:$D$504, '📅 Resumen Diario'!$B$5:$B$504, B307, '📅 Resumen Diario'!$C$5:$C$504, D307) * SUMIFS('📅 Resumen Diario'!$K$5:$K$504, '📅 Resumen Diario'!$B$5:$B$504, B307, '📅 Resumen Diario'!$C$5:$C$504, D307), 0))</f>
        <v/>
      </c>
      <c r="M307" s="31" t="str">
        <f t="shared" si="31"/>
        <v/>
      </c>
      <c r="N307" s="31" t="str">
        <f t="shared" si="32"/>
        <v/>
      </c>
      <c r="O307" s="31" t="str">
        <f>IF(OR(B307="",C307=""),"",K307-N307 + IFERROR(E307 / SUMIFS('📅 Resumen Diario'!$D$5:$D$504, '📅 Resumen Diario'!$B$5:$B$504, B307, '📅 Resumen Diario'!$C$5:$C$504, D307) * (SUMIFS('📋 Detalle Diario'!$E$5:$E$489, '📋 Detalle Diario'!$B$5:$B$489, B307, '📋 Detalle Diario'!$C$5:$C$489, D307) * 135 + SUMIFS('📋 Detalle Diario'!$I$5:$I$489, '📋 Detalle Diario'!$B$5:$B$489, B307, '📋 Detalle Diario'!$C$5:$C$489, D307) * 200), 0))</f>
        <v/>
      </c>
      <c r="P307" s="32" t="str">
        <f t="shared" si="33"/>
        <v/>
      </c>
      <c r="Q307" s="33" t="str">
        <f t="shared" si="34"/>
        <v/>
      </c>
    </row>
    <row r="308" spans="2:17" ht="18" customHeight="1" x14ac:dyDescent="0.3">
      <c r="B308" s="26"/>
      <c r="C308" s="17"/>
      <c r="D308" s="27"/>
      <c r="E308" s="18"/>
      <c r="F308" s="18"/>
      <c r="G308" s="18"/>
      <c r="H308" s="30" t="str">
        <f t="shared" si="28"/>
        <v/>
      </c>
      <c r="I308" s="31" t="str">
        <f>IF(OR(B308="",C308=""),"",IFERROR(E308*IF(E308="",0,VLOOKUP(C308,'📦 Precios Proforma'!$B$5:$D$104,IF(D308="DIA",2,3),FALSE)),0))</f>
        <v/>
      </c>
      <c r="J308" s="31" t="str">
        <f t="shared" si="29"/>
        <v/>
      </c>
      <c r="K308" s="31" t="str">
        <f t="shared" si="30"/>
        <v/>
      </c>
      <c r="L308" s="31" t="str">
        <f>IF(OR(B308="",C308=""),"",IFERROR(E308 / SUMIFS('📅 Resumen Diario'!$D$5:$D$504, '📅 Resumen Diario'!$B$5:$B$504, B308, '📅 Resumen Diario'!$C$5:$C$504, D308) * SUMIFS('📅 Resumen Diario'!$K$5:$K$504, '📅 Resumen Diario'!$B$5:$B$504, B308, '📅 Resumen Diario'!$C$5:$C$504, D308), 0))</f>
        <v/>
      </c>
      <c r="M308" s="31" t="str">
        <f t="shared" si="31"/>
        <v/>
      </c>
      <c r="N308" s="31" t="str">
        <f t="shared" si="32"/>
        <v/>
      </c>
      <c r="O308" s="31" t="str">
        <f>IF(OR(B308="",C308=""),"",K308-N308 + IFERROR(E308 / SUMIFS('📅 Resumen Diario'!$D$5:$D$504, '📅 Resumen Diario'!$B$5:$B$504, B308, '📅 Resumen Diario'!$C$5:$C$504, D308) * (SUMIFS('📋 Detalle Diario'!$E$5:$E$489, '📋 Detalle Diario'!$B$5:$B$489, B308, '📋 Detalle Diario'!$C$5:$C$489, D308) * 135 + SUMIFS('📋 Detalle Diario'!$I$5:$I$489, '📋 Detalle Diario'!$B$5:$B$489, B308, '📋 Detalle Diario'!$C$5:$C$489, D308) * 200), 0))</f>
        <v/>
      </c>
      <c r="P308" s="32" t="str">
        <f t="shared" si="33"/>
        <v/>
      </c>
      <c r="Q308" s="33" t="str">
        <f t="shared" si="34"/>
        <v/>
      </c>
    </row>
    <row r="309" spans="2:17" ht="18" customHeight="1" x14ac:dyDescent="0.3">
      <c r="B309" s="26"/>
      <c r="C309" s="28"/>
      <c r="D309" s="27"/>
      <c r="E309" s="29"/>
      <c r="F309" s="29"/>
      <c r="G309" s="29"/>
      <c r="H309" s="30" t="str">
        <f t="shared" si="28"/>
        <v/>
      </c>
      <c r="I309" s="31" t="str">
        <f>IF(OR(B309="",C309=""),"",IFERROR(E309*IF(E309="",0,VLOOKUP(C309,'📦 Precios Proforma'!$B$5:$D$104,IF(D309="DIA",2,3),FALSE)),0))</f>
        <v/>
      </c>
      <c r="J309" s="31" t="str">
        <f t="shared" si="29"/>
        <v/>
      </c>
      <c r="K309" s="31" t="str">
        <f t="shared" si="30"/>
        <v/>
      </c>
      <c r="L309" s="31" t="str">
        <f>IF(OR(B309="",C309=""),"",IFERROR(E309 / SUMIFS('📅 Resumen Diario'!$D$5:$D$504, '📅 Resumen Diario'!$B$5:$B$504, B309, '📅 Resumen Diario'!$C$5:$C$504, D309) * SUMIFS('📅 Resumen Diario'!$K$5:$K$504, '📅 Resumen Diario'!$B$5:$B$504, B309, '📅 Resumen Diario'!$C$5:$C$504, D309), 0))</f>
        <v/>
      </c>
      <c r="M309" s="31" t="str">
        <f t="shared" si="31"/>
        <v/>
      </c>
      <c r="N309" s="31" t="str">
        <f t="shared" si="32"/>
        <v/>
      </c>
      <c r="O309" s="31" t="str">
        <f>IF(OR(B309="",C309=""),"",K309-N309 + IFERROR(E309 / SUMIFS('📅 Resumen Diario'!$D$5:$D$504, '📅 Resumen Diario'!$B$5:$B$504, B309, '📅 Resumen Diario'!$C$5:$C$504, D309) * (SUMIFS('📋 Detalle Diario'!$E$5:$E$489, '📋 Detalle Diario'!$B$5:$B$489, B309, '📋 Detalle Diario'!$C$5:$C$489, D309) * 135 + SUMIFS('📋 Detalle Diario'!$I$5:$I$489, '📋 Detalle Diario'!$B$5:$B$489, B309, '📋 Detalle Diario'!$C$5:$C$489, D309) * 200), 0))</f>
        <v/>
      </c>
      <c r="P309" s="32" t="str">
        <f t="shared" si="33"/>
        <v/>
      </c>
      <c r="Q309" s="33" t="str">
        <f t="shared" si="34"/>
        <v/>
      </c>
    </row>
    <row r="310" spans="2:17" ht="18" customHeight="1" x14ac:dyDescent="0.3">
      <c r="B310" s="26"/>
      <c r="C310" s="17"/>
      <c r="D310" s="27"/>
      <c r="E310" s="18"/>
      <c r="F310" s="18"/>
      <c r="G310" s="18"/>
      <c r="H310" s="30" t="str">
        <f t="shared" si="28"/>
        <v/>
      </c>
      <c r="I310" s="31" t="str">
        <f>IF(OR(B310="",C310=""),"",IFERROR(E310*IF(E310="",0,VLOOKUP(C310,'📦 Precios Proforma'!$B$5:$D$104,IF(D310="DIA",2,3),FALSE)),0))</f>
        <v/>
      </c>
      <c r="J310" s="31" t="str">
        <f t="shared" si="29"/>
        <v/>
      </c>
      <c r="K310" s="31" t="str">
        <f t="shared" si="30"/>
        <v/>
      </c>
      <c r="L310" s="31" t="str">
        <f>IF(OR(B310="",C310=""),"",IFERROR(E310 / SUMIFS('📅 Resumen Diario'!$D$5:$D$504, '📅 Resumen Diario'!$B$5:$B$504, B310, '📅 Resumen Diario'!$C$5:$C$504, D310) * SUMIFS('📅 Resumen Diario'!$K$5:$K$504, '📅 Resumen Diario'!$B$5:$B$504, B310, '📅 Resumen Diario'!$C$5:$C$504, D310), 0))</f>
        <v/>
      </c>
      <c r="M310" s="31" t="str">
        <f t="shared" si="31"/>
        <v/>
      </c>
      <c r="N310" s="31" t="str">
        <f t="shared" si="32"/>
        <v/>
      </c>
      <c r="O310" s="31" t="str">
        <f>IF(OR(B310="",C310=""),"",K310-N310 + IFERROR(E310 / SUMIFS('📅 Resumen Diario'!$D$5:$D$504, '📅 Resumen Diario'!$B$5:$B$504, B310, '📅 Resumen Diario'!$C$5:$C$504, D310) * (SUMIFS('📋 Detalle Diario'!$E$5:$E$489, '📋 Detalle Diario'!$B$5:$B$489, B310, '📋 Detalle Diario'!$C$5:$C$489, D310) * 135 + SUMIFS('📋 Detalle Diario'!$I$5:$I$489, '📋 Detalle Diario'!$B$5:$B$489, B310, '📋 Detalle Diario'!$C$5:$C$489, D310) * 200), 0))</f>
        <v/>
      </c>
      <c r="P310" s="32" t="str">
        <f t="shared" si="33"/>
        <v/>
      </c>
      <c r="Q310" s="33" t="str">
        <f t="shared" si="34"/>
        <v/>
      </c>
    </row>
    <row r="311" spans="2:17" ht="18" customHeight="1" x14ac:dyDescent="0.3">
      <c r="B311" s="26"/>
      <c r="C311" s="28"/>
      <c r="D311" s="27"/>
      <c r="E311" s="29"/>
      <c r="F311" s="29"/>
      <c r="G311" s="29"/>
      <c r="H311" s="30" t="str">
        <f t="shared" si="28"/>
        <v/>
      </c>
      <c r="I311" s="31" t="str">
        <f>IF(OR(B311="",C311=""),"",IFERROR(E311*IF(E311="",0,VLOOKUP(C311,'📦 Precios Proforma'!$B$5:$D$104,IF(D311="DIA",2,3),FALSE)),0))</f>
        <v/>
      </c>
      <c r="J311" s="31" t="str">
        <f t="shared" si="29"/>
        <v/>
      </c>
      <c r="K311" s="31" t="str">
        <f t="shared" si="30"/>
        <v/>
      </c>
      <c r="L311" s="31" t="str">
        <f>IF(OR(B311="",C311=""),"",IFERROR(E311 / SUMIFS('📅 Resumen Diario'!$D$5:$D$504, '📅 Resumen Diario'!$B$5:$B$504, B311, '📅 Resumen Diario'!$C$5:$C$504, D311) * SUMIFS('📅 Resumen Diario'!$K$5:$K$504, '📅 Resumen Diario'!$B$5:$B$504, B311, '📅 Resumen Diario'!$C$5:$C$504, D311), 0))</f>
        <v/>
      </c>
      <c r="M311" s="31" t="str">
        <f t="shared" si="31"/>
        <v/>
      </c>
      <c r="N311" s="31" t="str">
        <f t="shared" si="32"/>
        <v/>
      </c>
      <c r="O311" s="31" t="str">
        <f>IF(OR(B311="",C311=""),"",K311-N311 + IFERROR(E311 / SUMIFS('📅 Resumen Diario'!$D$5:$D$504, '📅 Resumen Diario'!$B$5:$B$504, B311, '📅 Resumen Diario'!$C$5:$C$504, D311) * (SUMIFS('📋 Detalle Diario'!$E$5:$E$489, '📋 Detalle Diario'!$B$5:$B$489, B311, '📋 Detalle Diario'!$C$5:$C$489, D311) * 135 + SUMIFS('📋 Detalle Diario'!$I$5:$I$489, '📋 Detalle Diario'!$B$5:$B$489, B311, '📋 Detalle Diario'!$C$5:$C$489, D311) * 200), 0))</f>
        <v/>
      </c>
      <c r="P311" s="32" t="str">
        <f t="shared" si="33"/>
        <v/>
      </c>
      <c r="Q311" s="33" t="str">
        <f t="shared" si="34"/>
        <v/>
      </c>
    </row>
    <row r="312" spans="2:17" ht="18" customHeight="1" x14ac:dyDescent="0.3">
      <c r="B312" s="26"/>
      <c r="C312" s="17"/>
      <c r="D312" s="27"/>
      <c r="E312" s="18"/>
      <c r="F312" s="18"/>
      <c r="G312" s="18"/>
      <c r="H312" s="30" t="str">
        <f t="shared" si="28"/>
        <v/>
      </c>
      <c r="I312" s="31" t="str">
        <f>IF(OR(B312="",C312=""),"",IFERROR(E312*IF(E312="",0,VLOOKUP(C312,'📦 Precios Proforma'!$B$5:$D$104,IF(D312="DIA",2,3),FALSE)),0))</f>
        <v/>
      </c>
      <c r="J312" s="31" t="str">
        <f t="shared" si="29"/>
        <v/>
      </c>
      <c r="K312" s="31" t="str">
        <f t="shared" si="30"/>
        <v/>
      </c>
      <c r="L312" s="31" t="str">
        <f>IF(OR(B312="",C312=""),"",IFERROR(E312 / SUMIFS('📅 Resumen Diario'!$D$5:$D$504, '📅 Resumen Diario'!$B$5:$B$504, B312, '📅 Resumen Diario'!$C$5:$C$504, D312) * SUMIFS('📅 Resumen Diario'!$K$5:$K$504, '📅 Resumen Diario'!$B$5:$B$504, B312, '📅 Resumen Diario'!$C$5:$C$504, D312), 0))</f>
        <v/>
      </c>
      <c r="M312" s="31" t="str">
        <f t="shared" si="31"/>
        <v/>
      </c>
      <c r="N312" s="31" t="str">
        <f t="shared" si="32"/>
        <v/>
      </c>
      <c r="O312" s="31" t="str">
        <f>IF(OR(B312="",C312=""),"",K312-N312 + IFERROR(E312 / SUMIFS('📅 Resumen Diario'!$D$5:$D$504, '📅 Resumen Diario'!$B$5:$B$504, B312, '📅 Resumen Diario'!$C$5:$C$504, D312) * (SUMIFS('📋 Detalle Diario'!$E$5:$E$489, '📋 Detalle Diario'!$B$5:$B$489, B312, '📋 Detalle Diario'!$C$5:$C$489, D312) * 135 + SUMIFS('📋 Detalle Diario'!$I$5:$I$489, '📋 Detalle Diario'!$B$5:$B$489, B312, '📋 Detalle Diario'!$C$5:$C$489, D312) * 200), 0))</f>
        <v/>
      </c>
      <c r="P312" s="32" t="str">
        <f t="shared" si="33"/>
        <v/>
      </c>
      <c r="Q312" s="33" t="str">
        <f t="shared" si="34"/>
        <v/>
      </c>
    </row>
    <row r="313" spans="2:17" ht="18" customHeight="1" x14ac:dyDescent="0.3">
      <c r="B313" s="26"/>
      <c r="C313" s="28"/>
      <c r="D313" s="27"/>
      <c r="E313" s="29"/>
      <c r="F313" s="29"/>
      <c r="G313" s="29"/>
      <c r="H313" s="30" t="str">
        <f t="shared" si="28"/>
        <v/>
      </c>
      <c r="I313" s="31" t="str">
        <f>IF(OR(B313="",C313=""),"",IFERROR(E313*IF(E313="",0,VLOOKUP(C313,'📦 Precios Proforma'!$B$5:$D$104,IF(D313="DIA",2,3),FALSE)),0))</f>
        <v/>
      </c>
      <c r="J313" s="31" t="str">
        <f t="shared" si="29"/>
        <v/>
      </c>
      <c r="K313" s="31" t="str">
        <f t="shared" si="30"/>
        <v/>
      </c>
      <c r="L313" s="31" t="str">
        <f>IF(OR(B313="",C313=""),"",IFERROR(E313 / SUMIFS('📅 Resumen Diario'!$D$5:$D$504, '📅 Resumen Diario'!$B$5:$B$504, B313, '📅 Resumen Diario'!$C$5:$C$504, D313) * SUMIFS('📅 Resumen Diario'!$K$5:$K$504, '📅 Resumen Diario'!$B$5:$B$504, B313, '📅 Resumen Diario'!$C$5:$C$504, D313), 0))</f>
        <v/>
      </c>
      <c r="M313" s="31" t="str">
        <f t="shared" si="31"/>
        <v/>
      </c>
      <c r="N313" s="31" t="str">
        <f t="shared" si="32"/>
        <v/>
      </c>
      <c r="O313" s="31" t="str">
        <f>IF(OR(B313="",C313=""),"",K313-N313 + IFERROR(E313 / SUMIFS('📅 Resumen Diario'!$D$5:$D$504, '📅 Resumen Diario'!$B$5:$B$504, B313, '📅 Resumen Diario'!$C$5:$C$504, D313) * (SUMIFS('📋 Detalle Diario'!$E$5:$E$489, '📋 Detalle Diario'!$B$5:$B$489, B313, '📋 Detalle Diario'!$C$5:$C$489, D313) * 135 + SUMIFS('📋 Detalle Diario'!$I$5:$I$489, '📋 Detalle Diario'!$B$5:$B$489, B313, '📋 Detalle Diario'!$C$5:$C$489, D313) * 200), 0))</f>
        <v/>
      </c>
      <c r="P313" s="32" t="str">
        <f t="shared" si="33"/>
        <v/>
      </c>
      <c r="Q313" s="33" t="str">
        <f t="shared" si="34"/>
        <v/>
      </c>
    </row>
    <row r="314" spans="2:17" ht="18" customHeight="1" x14ac:dyDescent="0.3">
      <c r="B314" s="26"/>
      <c r="C314" s="17"/>
      <c r="D314" s="27"/>
      <c r="E314" s="18"/>
      <c r="F314" s="18"/>
      <c r="G314" s="18"/>
      <c r="H314" s="30" t="str">
        <f t="shared" si="28"/>
        <v/>
      </c>
      <c r="I314" s="31" t="str">
        <f>IF(OR(B314="",C314=""),"",IFERROR(E314*IF(E314="",0,VLOOKUP(C314,'📦 Precios Proforma'!$B$5:$D$104,IF(D314="DIA",2,3),FALSE)),0))</f>
        <v/>
      </c>
      <c r="J314" s="31" t="str">
        <f t="shared" si="29"/>
        <v/>
      </c>
      <c r="K314" s="31" t="str">
        <f t="shared" si="30"/>
        <v/>
      </c>
      <c r="L314" s="31" t="str">
        <f>IF(OR(B314="",C314=""),"",IFERROR(E314 / SUMIFS('📅 Resumen Diario'!$D$5:$D$504, '📅 Resumen Diario'!$B$5:$B$504, B314, '📅 Resumen Diario'!$C$5:$C$504, D314) * SUMIFS('📅 Resumen Diario'!$K$5:$K$504, '📅 Resumen Diario'!$B$5:$B$504, B314, '📅 Resumen Diario'!$C$5:$C$504, D314), 0))</f>
        <v/>
      </c>
      <c r="M314" s="31" t="str">
        <f t="shared" si="31"/>
        <v/>
      </c>
      <c r="N314" s="31" t="str">
        <f t="shared" si="32"/>
        <v/>
      </c>
      <c r="O314" s="31" t="str">
        <f>IF(OR(B314="",C314=""),"",K314-N314 + IFERROR(E314 / SUMIFS('📅 Resumen Diario'!$D$5:$D$504, '📅 Resumen Diario'!$B$5:$B$504, B314, '📅 Resumen Diario'!$C$5:$C$504, D314) * (SUMIFS('📋 Detalle Diario'!$E$5:$E$489, '📋 Detalle Diario'!$B$5:$B$489, B314, '📋 Detalle Diario'!$C$5:$C$489, D314) * 135 + SUMIFS('📋 Detalle Diario'!$I$5:$I$489, '📋 Detalle Diario'!$B$5:$B$489, B314, '📋 Detalle Diario'!$C$5:$C$489, D314) * 200), 0))</f>
        <v/>
      </c>
      <c r="P314" s="32" t="str">
        <f t="shared" si="33"/>
        <v/>
      </c>
      <c r="Q314" s="33" t="str">
        <f t="shared" si="34"/>
        <v/>
      </c>
    </row>
    <row r="315" spans="2:17" ht="18" customHeight="1" x14ac:dyDescent="0.3">
      <c r="B315" s="26"/>
      <c r="C315" s="28"/>
      <c r="D315" s="27"/>
      <c r="E315" s="29"/>
      <c r="F315" s="29"/>
      <c r="G315" s="29"/>
      <c r="H315" s="30" t="str">
        <f t="shared" si="28"/>
        <v/>
      </c>
      <c r="I315" s="31" t="str">
        <f>IF(OR(B315="",C315=""),"",IFERROR(E315*IF(E315="",0,VLOOKUP(C315,'📦 Precios Proforma'!$B$5:$D$104,IF(D315="DIA",2,3),FALSE)),0))</f>
        <v/>
      </c>
      <c r="J315" s="31" t="str">
        <f t="shared" si="29"/>
        <v/>
      </c>
      <c r="K315" s="31" t="str">
        <f t="shared" si="30"/>
        <v/>
      </c>
      <c r="L315" s="31" t="str">
        <f>IF(OR(B315="",C315=""),"",IFERROR(E315 / SUMIFS('📅 Resumen Diario'!$D$5:$D$504, '📅 Resumen Diario'!$B$5:$B$504, B315, '📅 Resumen Diario'!$C$5:$C$504, D315) * SUMIFS('📅 Resumen Diario'!$K$5:$K$504, '📅 Resumen Diario'!$B$5:$B$504, B315, '📅 Resumen Diario'!$C$5:$C$504, D315), 0))</f>
        <v/>
      </c>
      <c r="M315" s="31" t="str">
        <f t="shared" si="31"/>
        <v/>
      </c>
      <c r="N315" s="31" t="str">
        <f t="shared" si="32"/>
        <v/>
      </c>
      <c r="O315" s="31" t="str">
        <f>IF(OR(B315="",C315=""),"",K315-N315 + IFERROR(E315 / SUMIFS('📅 Resumen Diario'!$D$5:$D$504, '📅 Resumen Diario'!$B$5:$B$504, B315, '📅 Resumen Diario'!$C$5:$C$504, D315) * (SUMIFS('📋 Detalle Diario'!$E$5:$E$489, '📋 Detalle Diario'!$B$5:$B$489, B315, '📋 Detalle Diario'!$C$5:$C$489, D315) * 135 + SUMIFS('📋 Detalle Diario'!$I$5:$I$489, '📋 Detalle Diario'!$B$5:$B$489, B315, '📋 Detalle Diario'!$C$5:$C$489, D315) * 200), 0))</f>
        <v/>
      </c>
      <c r="P315" s="32" t="str">
        <f t="shared" si="33"/>
        <v/>
      </c>
      <c r="Q315" s="33" t="str">
        <f t="shared" si="34"/>
        <v/>
      </c>
    </row>
    <row r="316" spans="2:17" ht="18" customHeight="1" x14ac:dyDescent="0.3">
      <c r="B316" s="26"/>
      <c r="C316" s="17"/>
      <c r="D316" s="27"/>
      <c r="E316" s="18"/>
      <c r="F316" s="18"/>
      <c r="G316" s="18"/>
      <c r="H316" s="30" t="str">
        <f t="shared" si="28"/>
        <v/>
      </c>
      <c r="I316" s="31" t="str">
        <f>IF(OR(B316="",C316=""),"",IFERROR(E316*IF(E316="",0,VLOOKUP(C316,'📦 Precios Proforma'!$B$5:$D$104,IF(D316="DIA",2,3),FALSE)),0))</f>
        <v/>
      </c>
      <c r="J316" s="31" t="str">
        <f t="shared" si="29"/>
        <v/>
      </c>
      <c r="K316" s="31" t="str">
        <f t="shared" si="30"/>
        <v/>
      </c>
      <c r="L316" s="31" t="str">
        <f>IF(OR(B316="",C316=""),"",IFERROR(E316 / SUMIFS('📅 Resumen Diario'!$D$5:$D$504, '📅 Resumen Diario'!$B$5:$B$504, B316, '📅 Resumen Diario'!$C$5:$C$504, D316) * SUMIFS('📅 Resumen Diario'!$K$5:$K$504, '📅 Resumen Diario'!$B$5:$B$504, B316, '📅 Resumen Diario'!$C$5:$C$504, D316), 0))</f>
        <v/>
      </c>
      <c r="M316" s="31" t="str">
        <f t="shared" si="31"/>
        <v/>
      </c>
      <c r="N316" s="31" t="str">
        <f t="shared" si="32"/>
        <v/>
      </c>
      <c r="O316" s="31" t="str">
        <f>IF(OR(B316="",C316=""),"",K316-N316 + IFERROR(E316 / SUMIFS('📅 Resumen Diario'!$D$5:$D$504, '📅 Resumen Diario'!$B$5:$B$504, B316, '📅 Resumen Diario'!$C$5:$C$504, D316) * (SUMIFS('📋 Detalle Diario'!$E$5:$E$489, '📋 Detalle Diario'!$B$5:$B$489, B316, '📋 Detalle Diario'!$C$5:$C$489, D316) * 135 + SUMIFS('📋 Detalle Diario'!$I$5:$I$489, '📋 Detalle Diario'!$B$5:$B$489, B316, '📋 Detalle Diario'!$C$5:$C$489, D316) * 200), 0))</f>
        <v/>
      </c>
      <c r="P316" s="32" t="str">
        <f t="shared" si="33"/>
        <v/>
      </c>
      <c r="Q316" s="33" t="str">
        <f t="shared" si="34"/>
        <v/>
      </c>
    </row>
    <row r="317" spans="2:17" ht="18" customHeight="1" x14ac:dyDescent="0.3">
      <c r="B317" s="26"/>
      <c r="C317" s="28"/>
      <c r="D317" s="27"/>
      <c r="E317" s="29"/>
      <c r="F317" s="29"/>
      <c r="G317" s="29"/>
      <c r="H317" s="30" t="str">
        <f t="shared" si="28"/>
        <v/>
      </c>
      <c r="I317" s="31" t="str">
        <f>IF(OR(B317="",C317=""),"",IFERROR(E317*IF(E317="",0,VLOOKUP(C317,'📦 Precios Proforma'!$B$5:$D$104,IF(D317="DIA",2,3),FALSE)),0))</f>
        <v/>
      </c>
      <c r="J317" s="31" t="str">
        <f t="shared" si="29"/>
        <v/>
      </c>
      <c r="K317" s="31" t="str">
        <f t="shared" si="30"/>
        <v/>
      </c>
      <c r="L317" s="31" t="str">
        <f>IF(OR(B317="",C317=""),"",IFERROR(E317 / SUMIFS('📅 Resumen Diario'!$D$5:$D$504, '📅 Resumen Diario'!$B$5:$B$504, B317, '📅 Resumen Diario'!$C$5:$C$504, D317) * SUMIFS('📅 Resumen Diario'!$K$5:$K$504, '📅 Resumen Diario'!$B$5:$B$504, B317, '📅 Resumen Diario'!$C$5:$C$504, D317), 0))</f>
        <v/>
      </c>
      <c r="M317" s="31" t="str">
        <f t="shared" si="31"/>
        <v/>
      </c>
      <c r="N317" s="31" t="str">
        <f t="shared" si="32"/>
        <v/>
      </c>
      <c r="O317" s="31" t="str">
        <f>IF(OR(B317="",C317=""),"",K317-N317 + IFERROR(E317 / SUMIFS('📅 Resumen Diario'!$D$5:$D$504, '📅 Resumen Diario'!$B$5:$B$504, B317, '📅 Resumen Diario'!$C$5:$C$504, D317) * (SUMIFS('📋 Detalle Diario'!$E$5:$E$489, '📋 Detalle Diario'!$B$5:$B$489, B317, '📋 Detalle Diario'!$C$5:$C$489, D317) * 135 + SUMIFS('📋 Detalle Diario'!$I$5:$I$489, '📋 Detalle Diario'!$B$5:$B$489, B317, '📋 Detalle Diario'!$C$5:$C$489, D317) * 200), 0))</f>
        <v/>
      </c>
      <c r="P317" s="32" t="str">
        <f t="shared" si="33"/>
        <v/>
      </c>
      <c r="Q317" s="33" t="str">
        <f t="shared" si="34"/>
        <v/>
      </c>
    </row>
    <row r="318" spans="2:17" ht="18" customHeight="1" x14ac:dyDescent="0.3">
      <c r="B318" s="26"/>
      <c r="C318" s="17"/>
      <c r="D318" s="27"/>
      <c r="E318" s="18"/>
      <c r="F318" s="18"/>
      <c r="G318" s="18"/>
      <c r="H318" s="30" t="str">
        <f t="shared" si="28"/>
        <v/>
      </c>
      <c r="I318" s="31" t="str">
        <f>IF(OR(B318="",C318=""),"",IFERROR(E318*IF(E318="",0,VLOOKUP(C318,'📦 Precios Proforma'!$B$5:$D$104,IF(D318="DIA",2,3),FALSE)),0))</f>
        <v/>
      </c>
      <c r="J318" s="31" t="str">
        <f t="shared" si="29"/>
        <v/>
      </c>
      <c r="K318" s="31" t="str">
        <f t="shared" si="30"/>
        <v/>
      </c>
      <c r="L318" s="31" t="str">
        <f>IF(OR(B318="",C318=""),"",IFERROR(E318 / SUMIFS('📅 Resumen Diario'!$D$5:$D$504, '📅 Resumen Diario'!$B$5:$B$504, B318, '📅 Resumen Diario'!$C$5:$C$504, D318) * SUMIFS('📅 Resumen Diario'!$K$5:$K$504, '📅 Resumen Diario'!$B$5:$B$504, B318, '📅 Resumen Diario'!$C$5:$C$504, D318), 0))</f>
        <v/>
      </c>
      <c r="M318" s="31" t="str">
        <f t="shared" si="31"/>
        <v/>
      </c>
      <c r="N318" s="31" t="str">
        <f t="shared" si="32"/>
        <v/>
      </c>
      <c r="O318" s="31" t="str">
        <f>IF(OR(B318="",C318=""),"",K318-N318 + IFERROR(E318 / SUMIFS('📅 Resumen Diario'!$D$5:$D$504, '📅 Resumen Diario'!$B$5:$B$504, B318, '📅 Resumen Diario'!$C$5:$C$504, D318) * (SUMIFS('📋 Detalle Diario'!$E$5:$E$489, '📋 Detalle Diario'!$B$5:$B$489, B318, '📋 Detalle Diario'!$C$5:$C$489, D318) * 135 + SUMIFS('📋 Detalle Diario'!$I$5:$I$489, '📋 Detalle Diario'!$B$5:$B$489, B318, '📋 Detalle Diario'!$C$5:$C$489, D318) * 200), 0))</f>
        <v/>
      </c>
      <c r="P318" s="32" t="str">
        <f t="shared" si="33"/>
        <v/>
      </c>
      <c r="Q318" s="33" t="str">
        <f t="shared" si="34"/>
        <v/>
      </c>
    </row>
    <row r="319" spans="2:17" ht="18" customHeight="1" x14ac:dyDescent="0.3">
      <c r="B319" s="26"/>
      <c r="C319" s="28"/>
      <c r="D319" s="27"/>
      <c r="E319" s="29"/>
      <c r="F319" s="29"/>
      <c r="G319" s="29"/>
      <c r="H319" s="30" t="str">
        <f t="shared" si="28"/>
        <v/>
      </c>
      <c r="I319" s="31" t="str">
        <f>IF(OR(B319="",C319=""),"",IFERROR(E319*IF(E319="",0,VLOOKUP(C319,'📦 Precios Proforma'!$B$5:$D$104,IF(D319="DIA",2,3),FALSE)),0))</f>
        <v/>
      </c>
      <c r="J319" s="31" t="str">
        <f t="shared" si="29"/>
        <v/>
      </c>
      <c r="K319" s="31" t="str">
        <f t="shared" si="30"/>
        <v/>
      </c>
      <c r="L319" s="31" t="str">
        <f>IF(OR(B319="",C319=""),"",IFERROR(E319 / SUMIFS('📅 Resumen Diario'!$D$5:$D$504, '📅 Resumen Diario'!$B$5:$B$504, B319, '📅 Resumen Diario'!$C$5:$C$504, D319) * SUMIFS('📅 Resumen Diario'!$K$5:$K$504, '📅 Resumen Diario'!$B$5:$B$504, B319, '📅 Resumen Diario'!$C$5:$C$504, D319), 0))</f>
        <v/>
      </c>
      <c r="M319" s="31" t="str">
        <f t="shared" si="31"/>
        <v/>
      </c>
      <c r="N319" s="31" t="str">
        <f t="shared" si="32"/>
        <v/>
      </c>
      <c r="O319" s="31" t="str">
        <f>IF(OR(B319="",C319=""),"",K319-N319 + IFERROR(E319 / SUMIFS('📅 Resumen Diario'!$D$5:$D$504, '📅 Resumen Diario'!$B$5:$B$504, B319, '📅 Resumen Diario'!$C$5:$C$504, D319) * (SUMIFS('📋 Detalle Diario'!$E$5:$E$489, '📋 Detalle Diario'!$B$5:$B$489, B319, '📋 Detalle Diario'!$C$5:$C$489, D319) * 135 + SUMIFS('📋 Detalle Diario'!$I$5:$I$489, '📋 Detalle Diario'!$B$5:$B$489, B319, '📋 Detalle Diario'!$C$5:$C$489, D319) * 200), 0))</f>
        <v/>
      </c>
      <c r="P319" s="32" t="str">
        <f t="shared" si="33"/>
        <v/>
      </c>
      <c r="Q319" s="33" t="str">
        <f t="shared" si="34"/>
        <v/>
      </c>
    </row>
    <row r="320" spans="2:17" ht="18" customHeight="1" x14ac:dyDescent="0.3">
      <c r="B320" s="26"/>
      <c r="C320" s="17"/>
      <c r="D320" s="27"/>
      <c r="E320" s="18"/>
      <c r="F320" s="18"/>
      <c r="G320" s="18"/>
      <c r="H320" s="30" t="str">
        <f t="shared" si="28"/>
        <v/>
      </c>
      <c r="I320" s="31" t="str">
        <f>IF(OR(B320="",C320=""),"",IFERROR(E320*IF(E320="",0,VLOOKUP(C320,'📦 Precios Proforma'!$B$5:$D$104,IF(D320="DIA",2,3),FALSE)),0))</f>
        <v/>
      </c>
      <c r="J320" s="31" t="str">
        <f t="shared" si="29"/>
        <v/>
      </c>
      <c r="K320" s="31" t="str">
        <f t="shared" si="30"/>
        <v/>
      </c>
      <c r="L320" s="31" t="str">
        <f>IF(OR(B320="",C320=""),"",IFERROR(E320 / SUMIFS('📅 Resumen Diario'!$D$5:$D$504, '📅 Resumen Diario'!$B$5:$B$504, B320, '📅 Resumen Diario'!$C$5:$C$504, D320) * SUMIFS('📅 Resumen Diario'!$K$5:$K$504, '📅 Resumen Diario'!$B$5:$B$504, B320, '📅 Resumen Diario'!$C$5:$C$504, D320), 0))</f>
        <v/>
      </c>
      <c r="M320" s="31" t="str">
        <f t="shared" si="31"/>
        <v/>
      </c>
      <c r="N320" s="31" t="str">
        <f t="shared" si="32"/>
        <v/>
      </c>
      <c r="O320" s="31" t="str">
        <f>IF(OR(B320="",C320=""),"",K320-N320 + IFERROR(E320 / SUMIFS('📅 Resumen Diario'!$D$5:$D$504, '📅 Resumen Diario'!$B$5:$B$504, B320, '📅 Resumen Diario'!$C$5:$C$504, D320) * (SUMIFS('📋 Detalle Diario'!$E$5:$E$489, '📋 Detalle Diario'!$B$5:$B$489, B320, '📋 Detalle Diario'!$C$5:$C$489, D320) * 135 + SUMIFS('📋 Detalle Diario'!$I$5:$I$489, '📋 Detalle Diario'!$B$5:$B$489, B320, '📋 Detalle Diario'!$C$5:$C$489, D320) * 200), 0))</f>
        <v/>
      </c>
      <c r="P320" s="32" t="str">
        <f t="shared" si="33"/>
        <v/>
      </c>
      <c r="Q320" s="33" t="str">
        <f t="shared" si="34"/>
        <v/>
      </c>
    </row>
    <row r="321" spans="2:17" ht="18" customHeight="1" x14ac:dyDescent="0.3">
      <c r="B321" s="26"/>
      <c r="C321" s="28"/>
      <c r="D321" s="27"/>
      <c r="E321" s="29"/>
      <c r="F321" s="29"/>
      <c r="G321" s="29"/>
      <c r="H321" s="30" t="str">
        <f t="shared" si="28"/>
        <v/>
      </c>
      <c r="I321" s="31" t="str">
        <f>IF(OR(B321="",C321=""),"",IFERROR(E321*IF(E321="",0,VLOOKUP(C321,'📦 Precios Proforma'!$B$5:$D$104,IF(D321="DIA",2,3),FALSE)),0))</f>
        <v/>
      </c>
      <c r="J321" s="31" t="str">
        <f t="shared" si="29"/>
        <v/>
      </c>
      <c r="K321" s="31" t="str">
        <f t="shared" si="30"/>
        <v/>
      </c>
      <c r="L321" s="31" t="str">
        <f>IF(OR(B321="",C321=""),"",IFERROR(E321 / SUMIFS('📅 Resumen Diario'!$D$5:$D$504, '📅 Resumen Diario'!$B$5:$B$504, B321, '📅 Resumen Diario'!$C$5:$C$504, D321) * SUMIFS('📅 Resumen Diario'!$K$5:$K$504, '📅 Resumen Diario'!$B$5:$B$504, B321, '📅 Resumen Diario'!$C$5:$C$504, D321), 0))</f>
        <v/>
      </c>
      <c r="M321" s="31" t="str">
        <f t="shared" si="31"/>
        <v/>
      </c>
      <c r="N321" s="31" t="str">
        <f t="shared" si="32"/>
        <v/>
      </c>
      <c r="O321" s="31" t="str">
        <f>IF(OR(B321="",C321=""),"",K321-N321 + IFERROR(E321 / SUMIFS('📅 Resumen Diario'!$D$5:$D$504, '📅 Resumen Diario'!$B$5:$B$504, B321, '📅 Resumen Diario'!$C$5:$C$504, D321) * (SUMIFS('📋 Detalle Diario'!$E$5:$E$489, '📋 Detalle Diario'!$B$5:$B$489, B321, '📋 Detalle Diario'!$C$5:$C$489, D321) * 135 + SUMIFS('📋 Detalle Diario'!$I$5:$I$489, '📋 Detalle Diario'!$B$5:$B$489, B321, '📋 Detalle Diario'!$C$5:$C$489, D321) * 200), 0))</f>
        <v/>
      </c>
      <c r="P321" s="32" t="str">
        <f t="shared" si="33"/>
        <v/>
      </c>
      <c r="Q321" s="33" t="str">
        <f t="shared" si="34"/>
        <v/>
      </c>
    </row>
    <row r="322" spans="2:17" ht="18" customHeight="1" x14ac:dyDescent="0.3">
      <c r="B322" s="26"/>
      <c r="C322" s="17"/>
      <c r="D322" s="27"/>
      <c r="E322" s="18"/>
      <c r="F322" s="18"/>
      <c r="G322" s="18"/>
      <c r="H322" s="30" t="str">
        <f t="shared" si="28"/>
        <v/>
      </c>
      <c r="I322" s="31" t="str">
        <f>IF(OR(B322="",C322=""),"",IFERROR(E322*IF(E322="",0,VLOOKUP(C322,'📦 Precios Proforma'!$B$5:$D$104,IF(D322="DIA",2,3),FALSE)),0))</f>
        <v/>
      </c>
      <c r="J322" s="31" t="str">
        <f t="shared" si="29"/>
        <v/>
      </c>
      <c r="K322" s="31" t="str">
        <f t="shared" si="30"/>
        <v/>
      </c>
      <c r="L322" s="31" t="str">
        <f>IF(OR(B322="",C322=""),"",IFERROR(E322 / SUMIFS('📅 Resumen Diario'!$D$5:$D$504, '📅 Resumen Diario'!$B$5:$B$504, B322, '📅 Resumen Diario'!$C$5:$C$504, D322) * SUMIFS('📅 Resumen Diario'!$K$5:$K$504, '📅 Resumen Diario'!$B$5:$B$504, B322, '📅 Resumen Diario'!$C$5:$C$504, D322), 0))</f>
        <v/>
      </c>
      <c r="M322" s="31" t="str">
        <f t="shared" si="31"/>
        <v/>
      </c>
      <c r="N322" s="31" t="str">
        <f t="shared" si="32"/>
        <v/>
      </c>
      <c r="O322" s="31" t="str">
        <f>IF(OR(B322="",C322=""),"",K322-N322 + IFERROR(E322 / SUMIFS('📅 Resumen Diario'!$D$5:$D$504, '📅 Resumen Diario'!$B$5:$B$504, B322, '📅 Resumen Diario'!$C$5:$C$504, D322) * (SUMIFS('📋 Detalle Diario'!$E$5:$E$489, '📋 Detalle Diario'!$B$5:$B$489, B322, '📋 Detalle Diario'!$C$5:$C$489, D322) * 135 + SUMIFS('📋 Detalle Diario'!$I$5:$I$489, '📋 Detalle Diario'!$B$5:$B$489, B322, '📋 Detalle Diario'!$C$5:$C$489, D322) * 200), 0))</f>
        <v/>
      </c>
      <c r="P322" s="32" t="str">
        <f t="shared" si="33"/>
        <v/>
      </c>
      <c r="Q322" s="33" t="str">
        <f t="shared" si="34"/>
        <v/>
      </c>
    </row>
    <row r="323" spans="2:17" ht="18" customHeight="1" x14ac:dyDescent="0.3">
      <c r="B323" s="26"/>
      <c r="C323" s="28"/>
      <c r="D323" s="27"/>
      <c r="E323" s="29"/>
      <c r="F323" s="29"/>
      <c r="G323" s="29"/>
      <c r="H323" s="30" t="str">
        <f t="shared" si="28"/>
        <v/>
      </c>
      <c r="I323" s="31" t="str">
        <f>IF(OR(B323="",C323=""),"",IFERROR(E323*IF(E323="",0,VLOOKUP(C323,'📦 Precios Proforma'!$B$5:$D$104,IF(D323="DIA",2,3),FALSE)),0))</f>
        <v/>
      </c>
      <c r="J323" s="31" t="str">
        <f t="shared" si="29"/>
        <v/>
      </c>
      <c r="K323" s="31" t="str">
        <f t="shared" si="30"/>
        <v/>
      </c>
      <c r="L323" s="31" t="str">
        <f>IF(OR(B323="",C323=""),"",IFERROR(E323 / SUMIFS('📅 Resumen Diario'!$D$5:$D$504, '📅 Resumen Diario'!$B$5:$B$504, B323, '📅 Resumen Diario'!$C$5:$C$504, D323) * SUMIFS('📅 Resumen Diario'!$K$5:$K$504, '📅 Resumen Diario'!$B$5:$B$504, B323, '📅 Resumen Diario'!$C$5:$C$504, D323), 0))</f>
        <v/>
      </c>
      <c r="M323" s="31" t="str">
        <f t="shared" si="31"/>
        <v/>
      </c>
      <c r="N323" s="31" t="str">
        <f t="shared" si="32"/>
        <v/>
      </c>
      <c r="O323" s="31" t="str">
        <f>IF(OR(B323="",C323=""),"",K323-N323 + IFERROR(E323 / SUMIFS('📅 Resumen Diario'!$D$5:$D$504, '📅 Resumen Diario'!$B$5:$B$504, B323, '📅 Resumen Diario'!$C$5:$C$504, D323) * (SUMIFS('📋 Detalle Diario'!$E$5:$E$489, '📋 Detalle Diario'!$B$5:$B$489, B323, '📋 Detalle Diario'!$C$5:$C$489, D323) * 135 + SUMIFS('📋 Detalle Diario'!$I$5:$I$489, '📋 Detalle Diario'!$B$5:$B$489, B323, '📋 Detalle Diario'!$C$5:$C$489, D323) * 200), 0))</f>
        <v/>
      </c>
      <c r="P323" s="32" t="str">
        <f t="shared" si="33"/>
        <v/>
      </c>
      <c r="Q323" s="33" t="str">
        <f t="shared" si="34"/>
        <v/>
      </c>
    </row>
    <row r="324" spans="2:17" ht="18" customHeight="1" x14ac:dyDescent="0.3">
      <c r="B324" s="26"/>
      <c r="C324" s="17"/>
      <c r="D324" s="27"/>
      <c r="E324" s="18"/>
      <c r="F324" s="18"/>
      <c r="G324" s="18"/>
      <c r="H324" s="30" t="str">
        <f t="shared" si="28"/>
        <v/>
      </c>
      <c r="I324" s="31" t="str">
        <f>IF(OR(B324="",C324=""),"",IFERROR(E324*IF(E324="",0,VLOOKUP(C324,'📦 Precios Proforma'!$B$5:$D$104,IF(D324="DIA",2,3),FALSE)),0))</f>
        <v/>
      </c>
      <c r="J324" s="31" t="str">
        <f t="shared" si="29"/>
        <v/>
      </c>
      <c r="K324" s="31" t="str">
        <f t="shared" si="30"/>
        <v/>
      </c>
      <c r="L324" s="31" t="str">
        <f>IF(OR(B324="",C324=""),"",IFERROR(E324 / SUMIFS('📅 Resumen Diario'!$D$5:$D$504, '📅 Resumen Diario'!$B$5:$B$504, B324, '📅 Resumen Diario'!$C$5:$C$504, D324) * SUMIFS('📅 Resumen Diario'!$K$5:$K$504, '📅 Resumen Diario'!$B$5:$B$504, B324, '📅 Resumen Diario'!$C$5:$C$504, D324), 0))</f>
        <v/>
      </c>
      <c r="M324" s="31" t="str">
        <f t="shared" si="31"/>
        <v/>
      </c>
      <c r="N324" s="31" t="str">
        <f t="shared" si="32"/>
        <v/>
      </c>
      <c r="O324" s="31" t="str">
        <f>IF(OR(B324="",C324=""),"",K324-N324 + IFERROR(E324 / SUMIFS('📅 Resumen Diario'!$D$5:$D$504, '📅 Resumen Diario'!$B$5:$B$504, B324, '📅 Resumen Diario'!$C$5:$C$504, D324) * (SUMIFS('📋 Detalle Diario'!$E$5:$E$489, '📋 Detalle Diario'!$B$5:$B$489, B324, '📋 Detalle Diario'!$C$5:$C$489, D324) * 135 + SUMIFS('📋 Detalle Diario'!$I$5:$I$489, '📋 Detalle Diario'!$B$5:$B$489, B324, '📋 Detalle Diario'!$C$5:$C$489, D324) * 200), 0))</f>
        <v/>
      </c>
      <c r="P324" s="32" t="str">
        <f t="shared" si="33"/>
        <v/>
      </c>
      <c r="Q324" s="33" t="str">
        <f t="shared" si="34"/>
        <v/>
      </c>
    </row>
    <row r="325" spans="2:17" ht="18" customHeight="1" x14ac:dyDescent="0.3">
      <c r="B325" s="26"/>
      <c r="C325" s="28"/>
      <c r="D325" s="27"/>
      <c r="E325" s="29"/>
      <c r="F325" s="29"/>
      <c r="G325" s="29"/>
      <c r="H325" s="30" t="str">
        <f t="shared" si="28"/>
        <v/>
      </c>
      <c r="I325" s="31" t="str">
        <f>IF(OR(B325="",C325=""),"",IFERROR(E325*IF(E325="",0,VLOOKUP(C325,'📦 Precios Proforma'!$B$5:$D$104,IF(D325="DIA",2,3),FALSE)),0))</f>
        <v/>
      </c>
      <c r="J325" s="31" t="str">
        <f t="shared" si="29"/>
        <v/>
      </c>
      <c r="K325" s="31" t="str">
        <f t="shared" si="30"/>
        <v/>
      </c>
      <c r="L325" s="31" t="str">
        <f>IF(OR(B325="",C325=""),"",IFERROR(E325 / SUMIFS('📅 Resumen Diario'!$D$5:$D$504, '📅 Resumen Diario'!$B$5:$B$504, B325, '📅 Resumen Diario'!$C$5:$C$504, D325) * SUMIFS('📅 Resumen Diario'!$K$5:$K$504, '📅 Resumen Diario'!$B$5:$B$504, B325, '📅 Resumen Diario'!$C$5:$C$504, D325), 0))</f>
        <v/>
      </c>
      <c r="M325" s="31" t="str">
        <f t="shared" si="31"/>
        <v/>
      </c>
      <c r="N325" s="31" t="str">
        <f t="shared" si="32"/>
        <v/>
      </c>
      <c r="O325" s="31" t="str">
        <f>IF(OR(B325="",C325=""),"",K325-N325 + IFERROR(E325 / SUMIFS('📅 Resumen Diario'!$D$5:$D$504, '📅 Resumen Diario'!$B$5:$B$504, B325, '📅 Resumen Diario'!$C$5:$C$504, D325) * (SUMIFS('📋 Detalle Diario'!$E$5:$E$489, '📋 Detalle Diario'!$B$5:$B$489, B325, '📋 Detalle Diario'!$C$5:$C$489, D325) * 135 + SUMIFS('📋 Detalle Diario'!$I$5:$I$489, '📋 Detalle Diario'!$B$5:$B$489, B325, '📋 Detalle Diario'!$C$5:$C$489, D325) * 200), 0))</f>
        <v/>
      </c>
      <c r="P325" s="32" t="str">
        <f t="shared" si="33"/>
        <v/>
      </c>
      <c r="Q325" s="33" t="str">
        <f t="shared" si="34"/>
        <v/>
      </c>
    </row>
    <row r="326" spans="2:17" ht="18" customHeight="1" x14ac:dyDescent="0.3">
      <c r="B326" s="26"/>
      <c r="C326" s="17"/>
      <c r="D326" s="27"/>
      <c r="E326" s="18"/>
      <c r="F326" s="18"/>
      <c r="G326" s="18"/>
      <c r="H326" s="30" t="str">
        <f t="shared" si="28"/>
        <v/>
      </c>
      <c r="I326" s="31" t="str">
        <f>IF(OR(B326="",C326=""),"",IFERROR(E326*IF(E326="",0,VLOOKUP(C326,'📦 Precios Proforma'!$B$5:$D$104,IF(D326="DIA",2,3),FALSE)),0))</f>
        <v/>
      </c>
      <c r="J326" s="31" t="str">
        <f t="shared" si="29"/>
        <v/>
      </c>
      <c r="K326" s="31" t="str">
        <f t="shared" si="30"/>
        <v/>
      </c>
      <c r="L326" s="31" t="str">
        <f>IF(OR(B326="",C326=""),"",IFERROR(E326 / SUMIFS('📅 Resumen Diario'!$D$5:$D$504, '📅 Resumen Diario'!$B$5:$B$504, B326, '📅 Resumen Diario'!$C$5:$C$504, D326) * SUMIFS('📅 Resumen Diario'!$K$5:$K$504, '📅 Resumen Diario'!$B$5:$B$504, B326, '📅 Resumen Diario'!$C$5:$C$504, D326), 0))</f>
        <v/>
      </c>
      <c r="M326" s="31" t="str">
        <f t="shared" si="31"/>
        <v/>
      </c>
      <c r="N326" s="31" t="str">
        <f t="shared" si="32"/>
        <v/>
      </c>
      <c r="O326" s="31" t="str">
        <f>IF(OR(B326="",C326=""),"",K326-N326 + IFERROR(E326 / SUMIFS('📅 Resumen Diario'!$D$5:$D$504, '📅 Resumen Diario'!$B$5:$B$504, B326, '📅 Resumen Diario'!$C$5:$C$504, D326) * (SUMIFS('📋 Detalle Diario'!$E$5:$E$489, '📋 Detalle Diario'!$B$5:$B$489, B326, '📋 Detalle Diario'!$C$5:$C$489, D326) * 135 + SUMIFS('📋 Detalle Diario'!$I$5:$I$489, '📋 Detalle Diario'!$B$5:$B$489, B326, '📋 Detalle Diario'!$C$5:$C$489, D326) * 200), 0))</f>
        <v/>
      </c>
      <c r="P326" s="32" t="str">
        <f t="shared" si="33"/>
        <v/>
      </c>
      <c r="Q326" s="33" t="str">
        <f t="shared" si="34"/>
        <v/>
      </c>
    </row>
    <row r="327" spans="2:17" ht="18" customHeight="1" x14ac:dyDescent="0.3">
      <c r="B327" s="26"/>
      <c r="C327" s="28"/>
      <c r="D327" s="27"/>
      <c r="E327" s="29"/>
      <c r="F327" s="29"/>
      <c r="G327" s="29"/>
      <c r="H327" s="30" t="str">
        <f t="shared" ref="H327:H390" si="35">IF(OR(B327="",C327=""),"",F327+G327)</f>
        <v/>
      </c>
      <c r="I327" s="31" t="str">
        <f>IF(OR(B327="",C327=""),"",IFERROR(E327*IF(E327="",0,VLOOKUP(C327,'📦 Precios Proforma'!$B$5:$D$104,IF(D327="DIA",2,3),FALSE)),0))</f>
        <v/>
      </c>
      <c r="J327" s="31" t="str">
        <f t="shared" ref="J327:J390" si="36">IF(OR(B327="",C327=""),"",IF(D327="DIA",H327*1.01,H327*1.35))</f>
        <v/>
      </c>
      <c r="K327" s="31" t="str">
        <f t="shared" ref="K327:K390" si="37">IF(OR(B327="",C327=""),"",I327+J327)</f>
        <v/>
      </c>
      <c r="L327" s="31" t="str">
        <f>IF(OR(B327="",C327=""),"",IFERROR(E327 / SUMIFS('📅 Resumen Diario'!$D$5:$D$504, '📅 Resumen Diario'!$B$5:$B$504, B327, '📅 Resumen Diario'!$C$5:$C$504, D327) * SUMIFS('📅 Resumen Diario'!$K$5:$K$504, '📅 Resumen Diario'!$B$5:$B$504, B327, '📅 Resumen Diario'!$C$5:$C$504, D327), 0))</f>
        <v/>
      </c>
      <c r="M327" s="31" t="str">
        <f t="shared" ref="M327:M390" si="38">IF(OR(B327="",C327=""),"",H327*0.09)</f>
        <v/>
      </c>
      <c r="N327" s="31" t="str">
        <f t="shared" ref="N327:N390" si="39">IF(OR(B327="",C327=""),"",L327+M327)</f>
        <v/>
      </c>
      <c r="O327" s="31" t="str">
        <f>IF(OR(B327="",C327=""),"",K327-N327 + IFERROR(E327 / SUMIFS('📅 Resumen Diario'!$D$5:$D$504, '📅 Resumen Diario'!$B$5:$B$504, B327, '📅 Resumen Diario'!$C$5:$C$504, D327) * (SUMIFS('📋 Detalle Diario'!$E$5:$E$489, '📋 Detalle Diario'!$B$5:$B$489, B327, '📋 Detalle Diario'!$C$5:$C$489, D327) * 135 + SUMIFS('📋 Detalle Diario'!$I$5:$I$489, '📋 Detalle Diario'!$B$5:$B$489, B327, '📋 Detalle Diario'!$C$5:$C$489, D327) * 200), 0))</f>
        <v/>
      </c>
      <c r="P327" s="32" t="str">
        <f t="shared" ref="P327:P390" si="40">IF(OR(B327="",C327=""),"",IF(K327=0, 0, O327/K327))</f>
        <v/>
      </c>
      <c r="Q327" s="33" t="str">
        <f t="shared" ref="Q327:Q390" si="41">IF(B327="","",IF(ISNUMBER(B327),YEAR(B327)&amp;"-"&amp;IF(MONTH(B327)&lt;10,"0","")&amp;MONTH(B327),LEFT(B327,7)))</f>
        <v/>
      </c>
    </row>
    <row r="328" spans="2:17" ht="18" customHeight="1" x14ac:dyDescent="0.3">
      <c r="B328" s="26"/>
      <c r="C328" s="17"/>
      <c r="D328" s="27"/>
      <c r="E328" s="18"/>
      <c r="F328" s="18"/>
      <c r="G328" s="18"/>
      <c r="H328" s="30" t="str">
        <f t="shared" si="35"/>
        <v/>
      </c>
      <c r="I328" s="31" t="str">
        <f>IF(OR(B328="",C328=""),"",IFERROR(E328*IF(E328="",0,VLOOKUP(C328,'📦 Precios Proforma'!$B$5:$D$104,IF(D328="DIA",2,3),FALSE)),0))</f>
        <v/>
      </c>
      <c r="J328" s="31" t="str">
        <f t="shared" si="36"/>
        <v/>
      </c>
      <c r="K328" s="31" t="str">
        <f t="shared" si="37"/>
        <v/>
      </c>
      <c r="L328" s="31" t="str">
        <f>IF(OR(B328="",C328=""),"",IFERROR(E328 / SUMIFS('📅 Resumen Diario'!$D$5:$D$504, '📅 Resumen Diario'!$B$5:$B$504, B328, '📅 Resumen Diario'!$C$5:$C$504, D328) * SUMIFS('📅 Resumen Diario'!$K$5:$K$504, '📅 Resumen Diario'!$B$5:$B$504, B328, '📅 Resumen Diario'!$C$5:$C$504, D328), 0))</f>
        <v/>
      </c>
      <c r="M328" s="31" t="str">
        <f t="shared" si="38"/>
        <v/>
      </c>
      <c r="N328" s="31" t="str">
        <f t="shared" si="39"/>
        <v/>
      </c>
      <c r="O328" s="31" t="str">
        <f>IF(OR(B328="",C328=""),"",K328-N328 + IFERROR(E328 / SUMIFS('📅 Resumen Diario'!$D$5:$D$504, '📅 Resumen Diario'!$B$5:$B$504, B328, '📅 Resumen Diario'!$C$5:$C$504, D328) * (SUMIFS('📋 Detalle Diario'!$E$5:$E$489, '📋 Detalle Diario'!$B$5:$B$489, B328, '📋 Detalle Diario'!$C$5:$C$489, D328) * 135 + SUMIFS('📋 Detalle Diario'!$I$5:$I$489, '📋 Detalle Diario'!$B$5:$B$489, B328, '📋 Detalle Diario'!$C$5:$C$489, D328) * 200), 0))</f>
        <v/>
      </c>
      <c r="P328" s="32" t="str">
        <f t="shared" si="40"/>
        <v/>
      </c>
      <c r="Q328" s="33" t="str">
        <f t="shared" si="41"/>
        <v/>
      </c>
    </row>
    <row r="329" spans="2:17" ht="18" customHeight="1" x14ac:dyDescent="0.3">
      <c r="B329" s="26"/>
      <c r="C329" s="28"/>
      <c r="D329" s="27"/>
      <c r="E329" s="29"/>
      <c r="F329" s="29"/>
      <c r="G329" s="29"/>
      <c r="H329" s="30" t="str">
        <f t="shared" si="35"/>
        <v/>
      </c>
      <c r="I329" s="31" t="str">
        <f>IF(OR(B329="",C329=""),"",IFERROR(E329*IF(E329="",0,VLOOKUP(C329,'📦 Precios Proforma'!$B$5:$D$104,IF(D329="DIA",2,3),FALSE)),0))</f>
        <v/>
      </c>
      <c r="J329" s="31" t="str">
        <f t="shared" si="36"/>
        <v/>
      </c>
      <c r="K329" s="31" t="str">
        <f t="shared" si="37"/>
        <v/>
      </c>
      <c r="L329" s="31" t="str">
        <f>IF(OR(B329="",C329=""),"",IFERROR(E329 / SUMIFS('📅 Resumen Diario'!$D$5:$D$504, '📅 Resumen Diario'!$B$5:$B$504, B329, '📅 Resumen Diario'!$C$5:$C$504, D329) * SUMIFS('📅 Resumen Diario'!$K$5:$K$504, '📅 Resumen Diario'!$B$5:$B$504, B329, '📅 Resumen Diario'!$C$5:$C$504, D329), 0))</f>
        <v/>
      </c>
      <c r="M329" s="31" t="str">
        <f t="shared" si="38"/>
        <v/>
      </c>
      <c r="N329" s="31" t="str">
        <f t="shared" si="39"/>
        <v/>
      </c>
      <c r="O329" s="31" t="str">
        <f>IF(OR(B329="",C329=""),"",K329-N329 + IFERROR(E329 / SUMIFS('📅 Resumen Diario'!$D$5:$D$504, '📅 Resumen Diario'!$B$5:$B$504, B329, '📅 Resumen Diario'!$C$5:$C$504, D329) * (SUMIFS('📋 Detalle Diario'!$E$5:$E$489, '📋 Detalle Diario'!$B$5:$B$489, B329, '📋 Detalle Diario'!$C$5:$C$489, D329) * 135 + SUMIFS('📋 Detalle Diario'!$I$5:$I$489, '📋 Detalle Diario'!$B$5:$B$489, B329, '📋 Detalle Diario'!$C$5:$C$489, D329) * 200), 0))</f>
        <v/>
      </c>
      <c r="P329" s="32" t="str">
        <f t="shared" si="40"/>
        <v/>
      </c>
      <c r="Q329" s="33" t="str">
        <f t="shared" si="41"/>
        <v/>
      </c>
    </row>
    <row r="330" spans="2:17" ht="18" customHeight="1" x14ac:dyDescent="0.3">
      <c r="B330" s="26"/>
      <c r="C330" s="17"/>
      <c r="D330" s="27"/>
      <c r="E330" s="18"/>
      <c r="F330" s="18"/>
      <c r="G330" s="18"/>
      <c r="H330" s="30" t="str">
        <f t="shared" si="35"/>
        <v/>
      </c>
      <c r="I330" s="31" t="str">
        <f>IF(OR(B330="",C330=""),"",IFERROR(E330*IF(E330="",0,VLOOKUP(C330,'📦 Precios Proforma'!$B$5:$D$104,IF(D330="DIA",2,3),FALSE)),0))</f>
        <v/>
      </c>
      <c r="J330" s="31" t="str">
        <f t="shared" si="36"/>
        <v/>
      </c>
      <c r="K330" s="31" t="str">
        <f t="shared" si="37"/>
        <v/>
      </c>
      <c r="L330" s="31" t="str">
        <f>IF(OR(B330="",C330=""),"",IFERROR(E330 / SUMIFS('📅 Resumen Diario'!$D$5:$D$504, '📅 Resumen Diario'!$B$5:$B$504, B330, '📅 Resumen Diario'!$C$5:$C$504, D330) * SUMIFS('📅 Resumen Diario'!$K$5:$K$504, '📅 Resumen Diario'!$B$5:$B$504, B330, '📅 Resumen Diario'!$C$5:$C$504, D330), 0))</f>
        <v/>
      </c>
      <c r="M330" s="31" t="str">
        <f t="shared" si="38"/>
        <v/>
      </c>
      <c r="N330" s="31" t="str">
        <f t="shared" si="39"/>
        <v/>
      </c>
      <c r="O330" s="31" t="str">
        <f>IF(OR(B330="",C330=""),"",K330-N330 + IFERROR(E330 / SUMIFS('📅 Resumen Diario'!$D$5:$D$504, '📅 Resumen Diario'!$B$5:$B$504, B330, '📅 Resumen Diario'!$C$5:$C$504, D330) * (SUMIFS('📋 Detalle Diario'!$E$5:$E$489, '📋 Detalle Diario'!$B$5:$B$489, B330, '📋 Detalle Diario'!$C$5:$C$489, D330) * 135 + SUMIFS('📋 Detalle Diario'!$I$5:$I$489, '📋 Detalle Diario'!$B$5:$B$489, B330, '📋 Detalle Diario'!$C$5:$C$489, D330) * 200), 0))</f>
        <v/>
      </c>
      <c r="P330" s="32" t="str">
        <f t="shared" si="40"/>
        <v/>
      </c>
      <c r="Q330" s="33" t="str">
        <f t="shared" si="41"/>
        <v/>
      </c>
    </row>
    <row r="331" spans="2:17" ht="18" customHeight="1" x14ac:dyDescent="0.3">
      <c r="B331" s="26"/>
      <c r="C331" s="28"/>
      <c r="D331" s="27"/>
      <c r="E331" s="29"/>
      <c r="F331" s="29"/>
      <c r="G331" s="29"/>
      <c r="H331" s="30" t="str">
        <f t="shared" si="35"/>
        <v/>
      </c>
      <c r="I331" s="31" t="str">
        <f>IF(OR(B331="",C331=""),"",IFERROR(E331*IF(E331="",0,VLOOKUP(C331,'📦 Precios Proforma'!$B$5:$D$104,IF(D331="DIA",2,3),FALSE)),0))</f>
        <v/>
      </c>
      <c r="J331" s="31" t="str">
        <f t="shared" si="36"/>
        <v/>
      </c>
      <c r="K331" s="31" t="str">
        <f t="shared" si="37"/>
        <v/>
      </c>
      <c r="L331" s="31" t="str">
        <f>IF(OR(B331="",C331=""),"",IFERROR(E331 / SUMIFS('📅 Resumen Diario'!$D$5:$D$504, '📅 Resumen Diario'!$B$5:$B$504, B331, '📅 Resumen Diario'!$C$5:$C$504, D331) * SUMIFS('📅 Resumen Diario'!$K$5:$K$504, '📅 Resumen Diario'!$B$5:$B$504, B331, '📅 Resumen Diario'!$C$5:$C$504, D331), 0))</f>
        <v/>
      </c>
      <c r="M331" s="31" t="str">
        <f t="shared" si="38"/>
        <v/>
      </c>
      <c r="N331" s="31" t="str">
        <f t="shared" si="39"/>
        <v/>
      </c>
      <c r="O331" s="31" t="str">
        <f>IF(OR(B331="",C331=""),"",K331-N331 + IFERROR(E331 / SUMIFS('📅 Resumen Diario'!$D$5:$D$504, '📅 Resumen Diario'!$B$5:$B$504, B331, '📅 Resumen Diario'!$C$5:$C$504, D331) * (SUMIFS('📋 Detalle Diario'!$E$5:$E$489, '📋 Detalle Diario'!$B$5:$B$489, B331, '📋 Detalle Diario'!$C$5:$C$489, D331) * 135 + SUMIFS('📋 Detalle Diario'!$I$5:$I$489, '📋 Detalle Diario'!$B$5:$B$489, B331, '📋 Detalle Diario'!$C$5:$C$489, D331) * 200), 0))</f>
        <v/>
      </c>
      <c r="P331" s="32" t="str">
        <f t="shared" si="40"/>
        <v/>
      </c>
      <c r="Q331" s="33" t="str">
        <f t="shared" si="41"/>
        <v/>
      </c>
    </row>
    <row r="332" spans="2:17" ht="18" customHeight="1" x14ac:dyDescent="0.3">
      <c r="B332" s="26"/>
      <c r="C332" s="17"/>
      <c r="D332" s="27"/>
      <c r="E332" s="18"/>
      <c r="F332" s="18"/>
      <c r="G332" s="18"/>
      <c r="H332" s="30" t="str">
        <f t="shared" si="35"/>
        <v/>
      </c>
      <c r="I332" s="31" t="str">
        <f>IF(OR(B332="",C332=""),"",IFERROR(E332*IF(E332="",0,VLOOKUP(C332,'📦 Precios Proforma'!$B$5:$D$104,IF(D332="DIA",2,3),FALSE)),0))</f>
        <v/>
      </c>
      <c r="J332" s="31" t="str">
        <f t="shared" si="36"/>
        <v/>
      </c>
      <c r="K332" s="31" t="str">
        <f t="shared" si="37"/>
        <v/>
      </c>
      <c r="L332" s="31" t="str">
        <f>IF(OR(B332="",C332=""),"",IFERROR(E332 / SUMIFS('📅 Resumen Diario'!$D$5:$D$504, '📅 Resumen Diario'!$B$5:$B$504, B332, '📅 Resumen Diario'!$C$5:$C$504, D332) * SUMIFS('📅 Resumen Diario'!$K$5:$K$504, '📅 Resumen Diario'!$B$5:$B$504, B332, '📅 Resumen Diario'!$C$5:$C$504, D332), 0))</f>
        <v/>
      </c>
      <c r="M332" s="31" t="str">
        <f t="shared" si="38"/>
        <v/>
      </c>
      <c r="N332" s="31" t="str">
        <f t="shared" si="39"/>
        <v/>
      </c>
      <c r="O332" s="31" t="str">
        <f>IF(OR(B332="",C332=""),"",K332-N332 + IFERROR(E332 / SUMIFS('📅 Resumen Diario'!$D$5:$D$504, '📅 Resumen Diario'!$B$5:$B$504, B332, '📅 Resumen Diario'!$C$5:$C$504, D332) * (SUMIFS('📋 Detalle Diario'!$E$5:$E$489, '📋 Detalle Diario'!$B$5:$B$489, B332, '📋 Detalle Diario'!$C$5:$C$489, D332) * 135 + SUMIFS('📋 Detalle Diario'!$I$5:$I$489, '📋 Detalle Diario'!$B$5:$B$489, B332, '📋 Detalle Diario'!$C$5:$C$489, D332) * 200), 0))</f>
        <v/>
      </c>
      <c r="P332" s="32" t="str">
        <f t="shared" si="40"/>
        <v/>
      </c>
      <c r="Q332" s="33" t="str">
        <f t="shared" si="41"/>
        <v/>
      </c>
    </row>
    <row r="333" spans="2:17" ht="18" customHeight="1" x14ac:dyDescent="0.3">
      <c r="B333" s="26"/>
      <c r="C333" s="28"/>
      <c r="D333" s="27"/>
      <c r="E333" s="29"/>
      <c r="F333" s="29"/>
      <c r="G333" s="29"/>
      <c r="H333" s="30" t="str">
        <f t="shared" si="35"/>
        <v/>
      </c>
      <c r="I333" s="31" t="str">
        <f>IF(OR(B333="",C333=""),"",IFERROR(E333*IF(E333="",0,VLOOKUP(C333,'📦 Precios Proforma'!$B$5:$D$104,IF(D333="DIA",2,3),FALSE)),0))</f>
        <v/>
      </c>
      <c r="J333" s="31" t="str">
        <f t="shared" si="36"/>
        <v/>
      </c>
      <c r="K333" s="31" t="str">
        <f t="shared" si="37"/>
        <v/>
      </c>
      <c r="L333" s="31" t="str">
        <f>IF(OR(B333="",C333=""),"",IFERROR(E333 / SUMIFS('📅 Resumen Diario'!$D$5:$D$504, '📅 Resumen Diario'!$B$5:$B$504, B333, '📅 Resumen Diario'!$C$5:$C$504, D333) * SUMIFS('📅 Resumen Diario'!$K$5:$K$504, '📅 Resumen Diario'!$B$5:$B$504, B333, '📅 Resumen Diario'!$C$5:$C$504, D333), 0))</f>
        <v/>
      </c>
      <c r="M333" s="31" t="str">
        <f t="shared" si="38"/>
        <v/>
      </c>
      <c r="N333" s="31" t="str">
        <f t="shared" si="39"/>
        <v/>
      </c>
      <c r="O333" s="31" t="str">
        <f>IF(OR(B333="",C333=""),"",K333-N333 + IFERROR(E333 / SUMIFS('📅 Resumen Diario'!$D$5:$D$504, '📅 Resumen Diario'!$B$5:$B$504, B333, '📅 Resumen Diario'!$C$5:$C$504, D333) * (SUMIFS('📋 Detalle Diario'!$E$5:$E$489, '📋 Detalle Diario'!$B$5:$B$489, B333, '📋 Detalle Diario'!$C$5:$C$489, D333) * 135 + SUMIFS('📋 Detalle Diario'!$I$5:$I$489, '📋 Detalle Diario'!$B$5:$B$489, B333, '📋 Detalle Diario'!$C$5:$C$489, D333) * 200), 0))</f>
        <v/>
      </c>
      <c r="P333" s="32" t="str">
        <f t="shared" si="40"/>
        <v/>
      </c>
      <c r="Q333" s="33" t="str">
        <f t="shared" si="41"/>
        <v/>
      </c>
    </row>
    <row r="334" spans="2:17" ht="18" customHeight="1" x14ac:dyDescent="0.3">
      <c r="B334" s="26"/>
      <c r="C334" s="17"/>
      <c r="D334" s="27"/>
      <c r="E334" s="18"/>
      <c r="F334" s="18"/>
      <c r="G334" s="18"/>
      <c r="H334" s="30" t="str">
        <f t="shared" si="35"/>
        <v/>
      </c>
      <c r="I334" s="31" t="str">
        <f>IF(OR(B334="",C334=""),"",IFERROR(E334*IF(E334="",0,VLOOKUP(C334,'📦 Precios Proforma'!$B$5:$D$104,IF(D334="DIA",2,3),FALSE)),0))</f>
        <v/>
      </c>
      <c r="J334" s="31" t="str">
        <f t="shared" si="36"/>
        <v/>
      </c>
      <c r="K334" s="31" t="str">
        <f t="shared" si="37"/>
        <v/>
      </c>
      <c r="L334" s="31" t="str">
        <f>IF(OR(B334="",C334=""),"",IFERROR(E334 / SUMIFS('📅 Resumen Diario'!$D$5:$D$504, '📅 Resumen Diario'!$B$5:$B$504, B334, '📅 Resumen Diario'!$C$5:$C$504, D334) * SUMIFS('📅 Resumen Diario'!$K$5:$K$504, '📅 Resumen Diario'!$B$5:$B$504, B334, '📅 Resumen Diario'!$C$5:$C$504, D334), 0))</f>
        <v/>
      </c>
      <c r="M334" s="31" t="str">
        <f t="shared" si="38"/>
        <v/>
      </c>
      <c r="N334" s="31" t="str">
        <f t="shared" si="39"/>
        <v/>
      </c>
      <c r="O334" s="31" t="str">
        <f>IF(OR(B334="",C334=""),"",K334-N334 + IFERROR(E334 / SUMIFS('📅 Resumen Diario'!$D$5:$D$504, '📅 Resumen Diario'!$B$5:$B$504, B334, '📅 Resumen Diario'!$C$5:$C$504, D334) * (SUMIFS('📋 Detalle Diario'!$E$5:$E$489, '📋 Detalle Diario'!$B$5:$B$489, B334, '📋 Detalle Diario'!$C$5:$C$489, D334) * 135 + SUMIFS('📋 Detalle Diario'!$I$5:$I$489, '📋 Detalle Diario'!$B$5:$B$489, B334, '📋 Detalle Diario'!$C$5:$C$489, D334) * 200), 0))</f>
        <v/>
      </c>
      <c r="P334" s="32" t="str">
        <f t="shared" si="40"/>
        <v/>
      </c>
      <c r="Q334" s="33" t="str">
        <f t="shared" si="41"/>
        <v/>
      </c>
    </row>
    <row r="335" spans="2:17" ht="18" customHeight="1" x14ac:dyDescent="0.3">
      <c r="B335" s="26"/>
      <c r="C335" s="28"/>
      <c r="D335" s="27"/>
      <c r="E335" s="29"/>
      <c r="F335" s="29"/>
      <c r="G335" s="29"/>
      <c r="H335" s="30" t="str">
        <f t="shared" si="35"/>
        <v/>
      </c>
      <c r="I335" s="31" t="str">
        <f>IF(OR(B335="",C335=""),"",IFERROR(E335*IF(E335="",0,VLOOKUP(C335,'📦 Precios Proforma'!$B$5:$D$104,IF(D335="DIA",2,3),FALSE)),0))</f>
        <v/>
      </c>
      <c r="J335" s="31" t="str">
        <f t="shared" si="36"/>
        <v/>
      </c>
      <c r="K335" s="31" t="str">
        <f t="shared" si="37"/>
        <v/>
      </c>
      <c r="L335" s="31" t="str">
        <f>IF(OR(B335="",C335=""),"",IFERROR(E335 / SUMIFS('📅 Resumen Diario'!$D$5:$D$504, '📅 Resumen Diario'!$B$5:$B$504, B335, '📅 Resumen Diario'!$C$5:$C$504, D335) * SUMIFS('📅 Resumen Diario'!$K$5:$K$504, '📅 Resumen Diario'!$B$5:$B$504, B335, '📅 Resumen Diario'!$C$5:$C$504, D335), 0))</f>
        <v/>
      </c>
      <c r="M335" s="31" t="str">
        <f t="shared" si="38"/>
        <v/>
      </c>
      <c r="N335" s="31" t="str">
        <f t="shared" si="39"/>
        <v/>
      </c>
      <c r="O335" s="31" t="str">
        <f>IF(OR(B335="",C335=""),"",K335-N335 + IFERROR(E335 / SUMIFS('📅 Resumen Diario'!$D$5:$D$504, '📅 Resumen Diario'!$B$5:$B$504, B335, '📅 Resumen Diario'!$C$5:$C$504, D335) * (SUMIFS('📋 Detalle Diario'!$E$5:$E$489, '📋 Detalle Diario'!$B$5:$B$489, B335, '📋 Detalle Diario'!$C$5:$C$489, D335) * 135 + SUMIFS('📋 Detalle Diario'!$I$5:$I$489, '📋 Detalle Diario'!$B$5:$B$489, B335, '📋 Detalle Diario'!$C$5:$C$489, D335) * 200), 0))</f>
        <v/>
      </c>
      <c r="P335" s="32" t="str">
        <f t="shared" si="40"/>
        <v/>
      </c>
      <c r="Q335" s="33" t="str">
        <f t="shared" si="41"/>
        <v/>
      </c>
    </row>
    <row r="336" spans="2:17" ht="18" customHeight="1" x14ac:dyDescent="0.3">
      <c r="B336" s="26"/>
      <c r="C336" s="17"/>
      <c r="D336" s="27"/>
      <c r="E336" s="18"/>
      <c r="F336" s="18"/>
      <c r="G336" s="18"/>
      <c r="H336" s="30" t="str">
        <f t="shared" si="35"/>
        <v/>
      </c>
      <c r="I336" s="31" t="str">
        <f>IF(OR(B336="",C336=""),"",IFERROR(E336*IF(E336="",0,VLOOKUP(C336,'📦 Precios Proforma'!$B$5:$D$104,IF(D336="DIA",2,3),FALSE)),0))</f>
        <v/>
      </c>
      <c r="J336" s="31" t="str">
        <f t="shared" si="36"/>
        <v/>
      </c>
      <c r="K336" s="31" t="str">
        <f t="shared" si="37"/>
        <v/>
      </c>
      <c r="L336" s="31" t="str">
        <f>IF(OR(B336="",C336=""),"",IFERROR(E336 / SUMIFS('📅 Resumen Diario'!$D$5:$D$504, '📅 Resumen Diario'!$B$5:$B$504, B336, '📅 Resumen Diario'!$C$5:$C$504, D336) * SUMIFS('📅 Resumen Diario'!$K$5:$K$504, '📅 Resumen Diario'!$B$5:$B$504, B336, '📅 Resumen Diario'!$C$5:$C$504, D336), 0))</f>
        <v/>
      </c>
      <c r="M336" s="31" t="str">
        <f t="shared" si="38"/>
        <v/>
      </c>
      <c r="N336" s="31" t="str">
        <f t="shared" si="39"/>
        <v/>
      </c>
      <c r="O336" s="31" t="str">
        <f>IF(OR(B336="",C336=""),"",K336-N336 + IFERROR(E336 / SUMIFS('📅 Resumen Diario'!$D$5:$D$504, '📅 Resumen Diario'!$B$5:$B$504, B336, '📅 Resumen Diario'!$C$5:$C$504, D336) * (SUMIFS('📋 Detalle Diario'!$E$5:$E$489, '📋 Detalle Diario'!$B$5:$B$489, B336, '📋 Detalle Diario'!$C$5:$C$489, D336) * 135 + SUMIFS('📋 Detalle Diario'!$I$5:$I$489, '📋 Detalle Diario'!$B$5:$B$489, B336, '📋 Detalle Diario'!$C$5:$C$489, D336) * 200), 0))</f>
        <v/>
      </c>
      <c r="P336" s="32" t="str">
        <f t="shared" si="40"/>
        <v/>
      </c>
      <c r="Q336" s="33" t="str">
        <f t="shared" si="41"/>
        <v/>
      </c>
    </row>
    <row r="337" spans="2:17" ht="18" customHeight="1" x14ac:dyDescent="0.3">
      <c r="B337" s="26"/>
      <c r="C337" s="28"/>
      <c r="D337" s="27"/>
      <c r="E337" s="29"/>
      <c r="F337" s="29"/>
      <c r="G337" s="29"/>
      <c r="H337" s="30" t="str">
        <f t="shared" si="35"/>
        <v/>
      </c>
      <c r="I337" s="31" t="str">
        <f>IF(OR(B337="",C337=""),"",IFERROR(E337*IF(E337="",0,VLOOKUP(C337,'📦 Precios Proforma'!$B$5:$D$104,IF(D337="DIA",2,3),FALSE)),0))</f>
        <v/>
      </c>
      <c r="J337" s="31" t="str">
        <f t="shared" si="36"/>
        <v/>
      </c>
      <c r="K337" s="31" t="str">
        <f t="shared" si="37"/>
        <v/>
      </c>
      <c r="L337" s="31" t="str">
        <f>IF(OR(B337="",C337=""),"",IFERROR(E337 / SUMIFS('📅 Resumen Diario'!$D$5:$D$504, '📅 Resumen Diario'!$B$5:$B$504, B337, '📅 Resumen Diario'!$C$5:$C$504, D337) * SUMIFS('📅 Resumen Diario'!$K$5:$K$504, '📅 Resumen Diario'!$B$5:$B$504, B337, '📅 Resumen Diario'!$C$5:$C$504, D337), 0))</f>
        <v/>
      </c>
      <c r="M337" s="31" t="str">
        <f t="shared" si="38"/>
        <v/>
      </c>
      <c r="N337" s="31" t="str">
        <f t="shared" si="39"/>
        <v/>
      </c>
      <c r="O337" s="31" t="str">
        <f>IF(OR(B337="",C337=""),"",K337-N337 + IFERROR(E337 / SUMIFS('📅 Resumen Diario'!$D$5:$D$504, '📅 Resumen Diario'!$B$5:$B$504, B337, '📅 Resumen Diario'!$C$5:$C$504, D337) * (SUMIFS('📋 Detalle Diario'!$E$5:$E$489, '📋 Detalle Diario'!$B$5:$B$489, B337, '📋 Detalle Diario'!$C$5:$C$489, D337) * 135 + SUMIFS('📋 Detalle Diario'!$I$5:$I$489, '📋 Detalle Diario'!$B$5:$B$489, B337, '📋 Detalle Diario'!$C$5:$C$489, D337) * 200), 0))</f>
        <v/>
      </c>
      <c r="P337" s="32" t="str">
        <f t="shared" si="40"/>
        <v/>
      </c>
      <c r="Q337" s="33" t="str">
        <f t="shared" si="41"/>
        <v/>
      </c>
    </row>
    <row r="338" spans="2:17" ht="18" customHeight="1" x14ac:dyDescent="0.3">
      <c r="B338" s="26"/>
      <c r="C338" s="17"/>
      <c r="D338" s="27"/>
      <c r="E338" s="18"/>
      <c r="F338" s="18"/>
      <c r="G338" s="18"/>
      <c r="H338" s="30" t="str">
        <f t="shared" si="35"/>
        <v/>
      </c>
      <c r="I338" s="31" t="str">
        <f>IF(OR(B338="",C338=""),"",IFERROR(E338*IF(E338="",0,VLOOKUP(C338,'📦 Precios Proforma'!$B$5:$D$104,IF(D338="DIA",2,3),FALSE)),0))</f>
        <v/>
      </c>
      <c r="J338" s="31" t="str">
        <f t="shared" si="36"/>
        <v/>
      </c>
      <c r="K338" s="31" t="str">
        <f t="shared" si="37"/>
        <v/>
      </c>
      <c r="L338" s="31" t="str">
        <f>IF(OR(B338="",C338=""),"",IFERROR(E338 / SUMIFS('📅 Resumen Diario'!$D$5:$D$504, '📅 Resumen Diario'!$B$5:$B$504, B338, '📅 Resumen Diario'!$C$5:$C$504, D338) * SUMIFS('📅 Resumen Diario'!$K$5:$K$504, '📅 Resumen Diario'!$B$5:$B$504, B338, '📅 Resumen Diario'!$C$5:$C$504, D338), 0))</f>
        <v/>
      </c>
      <c r="M338" s="31" t="str">
        <f t="shared" si="38"/>
        <v/>
      </c>
      <c r="N338" s="31" t="str">
        <f t="shared" si="39"/>
        <v/>
      </c>
      <c r="O338" s="31" t="str">
        <f>IF(OR(B338="",C338=""),"",K338-N338 + IFERROR(E338 / SUMIFS('📅 Resumen Diario'!$D$5:$D$504, '📅 Resumen Diario'!$B$5:$B$504, B338, '📅 Resumen Diario'!$C$5:$C$504, D338) * (SUMIFS('📋 Detalle Diario'!$E$5:$E$489, '📋 Detalle Diario'!$B$5:$B$489, B338, '📋 Detalle Diario'!$C$5:$C$489, D338) * 135 + SUMIFS('📋 Detalle Diario'!$I$5:$I$489, '📋 Detalle Diario'!$B$5:$B$489, B338, '📋 Detalle Diario'!$C$5:$C$489, D338) * 200), 0))</f>
        <v/>
      </c>
      <c r="P338" s="32" t="str">
        <f t="shared" si="40"/>
        <v/>
      </c>
      <c r="Q338" s="33" t="str">
        <f t="shared" si="41"/>
        <v/>
      </c>
    </row>
    <row r="339" spans="2:17" ht="18" customHeight="1" x14ac:dyDescent="0.3">
      <c r="B339" s="26"/>
      <c r="C339" s="28"/>
      <c r="D339" s="27"/>
      <c r="E339" s="29"/>
      <c r="F339" s="29"/>
      <c r="G339" s="29"/>
      <c r="H339" s="30" t="str">
        <f t="shared" si="35"/>
        <v/>
      </c>
      <c r="I339" s="31" t="str">
        <f>IF(OR(B339="",C339=""),"",IFERROR(E339*IF(E339="",0,VLOOKUP(C339,'📦 Precios Proforma'!$B$5:$D$104,IF(D339="DIA",2,3),FALSE)),0))</f>
        <v/>
      </c>
      <c r="J339" s="31" t="str">
        <f t="shared" si="36"/>
        <v/>
      </c>
      <c r="K339" s="31" t="str">
        <f t="shared" si="37"/>
        <v/>
      </c>
      <c r="L339" s="31" t="str">
        <f>IF(OR(B339="",C339=""),"",IFERROR(E339 / SUMIFS('📅 Resumen Diario'!$D$5:$D$504, '📅 Resumen Diario'!$B$5:$B$504, B339, '📅 Resumen Diario'!$C$5:$C$504, D339) * SUMIFS('📅 Resumen Diario'!$K$5:$K$504, '📅 Resumen Diario'!$B$5:$B$504, B339, '📅 Resumen Diario'!$C$5:$C$504, D339), 0))</f>
        <v/>
      </c>
      <c r="M339" s="31" t="str">
        <f t="shared" si="38"/>
        <v/>
      </c>
      <c r="N339" s="31" t="str">
        <f t="shared" si="39"/>
        <v/>
      </c>
      <c r="O339" s="31" t="str">
        <f>IF(OR(B339="",C339=""),"",K339-N339 + IFERROR(E339 / SUMIFS('📅 Resumen Diario'!$D$5:$D$504, '📅 Resumen Diario'!$B$5:$B$504, B339, '📅 Resumen Diario'!$C$5:$C$504, D339) * (SUMIFS('📋 Detalle Diario'!$E$5:$E$489, '📋 Detalle Diario'!$B$5:$B$489, B339, '📋 Detalle Diario'!$C$5:$C$489, D339) * 135 + SUMIFS('📋 Detalle Diario'!$I$5:$I$489, '📋 Detalle Diario'!$B$5:$B$489, B339, '📋 Detalle Diario'!$C$5:$C$489, D339) * 200), 0))</f>
        <v/>
      </c>
      <c r="P339" s="32" t="str">
        <f t="shared" si="40"/>
        <v/>
      </c>
      <c r="Q339" s="33" t="str">
        <f t="shared" si="41"/>
        <v/>
      </c>
    </row>
    <row r="340" spans="2:17" ht="18" customHeight="1" x14ac:dyDescent="0.3">
      <c r="B340" s="26"/>
      <c r="C340" s="17"/>
      <c r="D340" s="27"/>
      <c r="E340" s="18"/>
      <c r="F340" s="18"/>
      <c r="G340" s="18"/>
      <c r="H340" s="30" t="str">
        <f t="shared" si="35"/>
        <v/>
      </c>
      <c r="I340" s="31" t="str">
        <f>IF(OR(B340="",C340=""),"",IFERROR(E340*IF(E340="",0,VLOOKUP(C340,'📦 Precios Proforma'!$B$5:$D$104,IF(D340="DIA",2,3),FALSE)),0))</f>
        <v/>
      </c>
      <c r="J340" s="31" t="str">
        <f t="shared" si="36"/>
        <v/>
      </c>
      <c r="K340" s="31" t="str">
        <f t="shared" si="37"/>
        <v/>
      </c>
      <c r="L340" s="31" t="str">
        <f>IF(OR(B340="",C340=""),"",IFERROR(E340 / SUMIFS('📅 Resumen Diario'!$D$5:$D$504, '📅 Resumen Diario'!$B$5:$B$504, B340, '📅 Resumen Diario'!$C$5:$C$504, D340) * SUMIFS('📅 Resumen Diario'!$K$5:$K$504, '📅 Resumen Diario'!$B$5:$B$504, B340, '📅 Resumen Diario'!$C$5:$C$504, D340), 0))</f>
        <v/>
      </c>
      <c r="M340" s="31" t="str">
        <f t="shared" si="38"/>
        <v/>
      </c>
      <c r="N340" s="31" t="str">
        <f t="shared" si="39"/>
        <v/>
      </c>
      <c r="O340" s="31" t="str">
        <f>IF(OR(B340="",C340=""),"",K340-N340 + IFERROR(E340 / SUMIFS('📅 Resumen Diario'!$D$5:$D$504, '📅 Resumen Diario'!$B$5:$B$504, B340, '📅 Resumen Diario'!$C$5:$C$504, D340) * (SUMIFS('📋 Detalle Diario'!$E$5:$E$489, '📋 Detalle Diario'!$B$5:$B$489, B340, '📋 Detalle Diario'!$C$5:$C$489, D340) * 135 + SUMIFS('📋 Detalle Diario'!$I$5:$I$489, '📋 Detalle Diario'!$B$5:$B$489, B340, '📋 Detalle Diario'!$C$5:$C$489, D340) * 200), 0))</f>
        <v/>
      </c>
      <c r="P340" s="32" t="str">
        <f t="shared" si="40"/>
        <v/>
      </c>
      <c r="Q340" s="33" t="str">
        <f t="shared" si="41"/>
        <v/>
      </c>
    </row>
    <row r="341" spans="2:17" ht="18" customHeight="1" x14ac:dyDescent="0.3">
      <c r="B341" s="26"/>
      <c r="C341" s="28"/>
      <c r="D341" s="27"/>
      <c r="E341" s="29"/>
      <c r="F341" s="29"/>
      <c r="G341" s="29"/>
      <c r="H341" s="30" t="str">
        <f t="shared" si="35"/>
        <v/>
      </c>
      <c r="I341" s="31" t="str">
        <f>IF(OR(B341="",C341=""),"",IFERROR(E341*IF(E341="",0,VLOOKUP(C341,'📦 Precios Proforma'!$B$5:$D$104,IF(D341="DIA",2,3),FALSE)),0))</f>
        <v/>
      </c>
      <c r="J341" s="31" t="str">
        <f t="shared" si="36"/>
        <v/>
      </c>
      <c r="K341" s="31" t="str">
        <f t="shared" si="37"/>
        <v/>
      </c>
      <c r="L341" s="31" t="str">
        <f>IF(OR(B341="",C341=""),"",IFERROR(E341 / SUMIFS('📅 Resumen Diario'!$D$5:$D$504, '📅 Resumen Diario'!$B$5:$B$504, B341, '📅 Resumen Diario'!$C$5:$C$504, D341) * SUMIFS('📅 Resumen Diario'!$K$5:$K$504, '📅 Resumen Diario'!$B$5:$B$504, B341, '📅 Resumen Diario'!$C$5:$C$504, D341), 0))</f>
        <v/>
      </c>
      <c r="M341" s="31" t="str">
        <f t="shared" si="38"/>
        <v/>
      </c>
      <c r="N341" s="31" t="str">
        <f t="shared" si="39"/>
        <v/>
      </c>
      <c r="O341" s="31" t="str">
        <f>IF(OR(B341="",C341=""),"",K341-N341 + IFERROR(E341 / SUMIFS('📅 Resumen Diario'!$D$5:$D$504, '📅 Resumen Diario'!$B$5:$B$504, B341, '📅 Resumen Diario'!$C$5:$C$504, D341) * (SUMIFS('📋 Detalle Diario'!$E$5:$E$489, '📋 Detalle Diario'!$B$5:$B$489, B341, '📋 Detalle Diario'!$C$5:$C$489, D341) * 135 + SUMIFS('📋 Detalle Diario'!$I$5:$I$489, '📋 Detalle Diario'!$B$5:$B$489, B341, '📋 Detalle Diario'!$C$5:$C$489, D341) * 200), 0))</f>
        <v/>
      </c>
      <c r="P341" s="32" t="str">
        <f t="shared" si="40"/>
        <v/>
      </c>
      <c r="Q341" s="33" t="str">
        <f t="shared" si="41"/>
        <v/>
      </c>
    </row>
    <row r="342" spans="2:17" ht="18" customHeight="1" x14ac:dyDescent="0.3">
      <c r="B342" s="26"/>
      <c r="C342" s="17"/>
      <c r="D342" s="27"/>
      <c r="E342" s="18"/>
      <c r="F342" s="18"/>
      <c r="G342" s="18"/>
      <c r="H342" s="30" t="str">
        <f t="shared" si="35"/>
        <v/>
      </c>
      <c r="I342" s="31" t="str">
        <f>IF(OR(B342="",C342=""),"",IFERROR(E342*IF(E342="",0,VLOOKUP(C342,'📦 Precios Proforma'!$B$5:$D$104,IF(D342="DIA",2,3),FALSE)),0))</f>
        <v/>
      </c>
      <c r="J342" s="31" t="str">
        <f t="shared" si="36"/>
        <v/>
      </c>
      <c r="K342" s="31" t="str">
        <f t="shared" si="37"/>
        <v/>
      </c>
      <c r="L342" s="31" t="str">
        <f>IF(OR(B342="",C342=""),"",IFERROR(E342 / SUMIFS('📅 Resumen Diario'!$D$5:$D$504, '📅 Resumen Diario'!$B$5:$B$504, B342, '📅 Resumen Diario'!$C$5:$C$504, D342) * SUMIFS('📅 Resumen Diario'!$K$5:$K$504, '📅 Resumen Diario'!$B$5:$B$504, B342, '📅 Resumen Diario'!$C$5:$C$504, D342), 0))</f>
        <v/>
      </c>
      <c r="M342" s="31" t="str">
        <f t="shared" si="38"/>
        <v/>
      </c>
      <c r="N342" s="31" t="str">
        <f t="shared" si="39"/>
        <v/>
      </c>
      <c r="O342" s="31" t="str">
        <f>IF(OR(B342="",C342=""),"",K342-N342 + IFERROR(E342 / SUMIFS('📅 Resumen Diario'!$D$5:$D$504, '📅 Resumen Diario'!$B$5:$B$504, B342, '📅 Resumen Diario'!$C$5:$C$504, D342) * (SUMIFS('📋 Detalle Diario'!$E$5:$E$489, '📋 Detalle Diario'!$B$5:$B$489, B342, '📋 Detalle Diario'!$C$5:$C$489, D342) * 135 + SUMIFS('📋 Detalle Diario'!$I$5:$I$489, '📋 Detalle Diario'!$B$5:$B$489, B342, '📋 Detalle Diario'!$C$5:$C$489, D342) * 200), 0))</f>
        <v/>
      </c>
      <c r="P342" s="32" t="str">
        <f t="shared" si="40"/>
        <v/>
      </c>
      <c r="Q342" s="33" t="str">
        <f t="shared" si="41"/>
        <v/>
      </c>
    </row>
    <row r="343" spans="2:17" ht="18" customHeight="1" x14ac:dyDescent="0.3">
      <c r="B343" s="26"/>
      <c r="C343" s="28"/>
      <c r="D343" s="27"/>
      <c r="E343" s="29"/>
      <c r="F343" s="29"/>
      <c r="G343" s="29"/>
      <c r="H343" s="30" t="str">
        <f t="shared" si="35"/>
        <v/>
      </c>
      <c r="I343" s="31" t="str">
        <f>IF(OR(B343="",C343=""),"",IFERROR(E343*IF(E343="",0,VLOOKUP(C343,'📦 Precios Proforma'!$B$5:$D$104,IF(D343="DIA",2,3),FALSE)),0))</f>
        <v/>
      </c>
      <c r="J343" s="31" t="str">
        <f t="shared" si="36"/>
        <v/>
      </c>
      <c r="K343" s="31" t="str">
        <f t="shared" si="37"/>
        <v/>
      </c>
      <c r="L343" s="31" t="str">
        <f>IF(OR(B343="",C343=""),"",IFERROR(E343 / SUMIFS('📅 Resumen Diario'!$D$5:$D$504, '📅 Resumen Diario'!$B$5:$B$504, B343, '📅 Resumen Diario'!$C$5:$C$504, D343) * SUMIFS('📅 Resumen Diario'!$K$5:$K$504, '📅 Resumen Diario'!$B$5:$B$504, B343, '📅 Resumen Diario'!$C$5:$C$504, D343), 0))</f>
        <v/>
      </c>
      <c r="M343" s="31" t="str">
        <f t="shared" si="38"/>
        <v/>
      </c>
      <c r="N343" s="31" t="str">
        <f t="shared" si="39"/>
        <v/>
      </c>
      <c r="O343" s="31" t="str">
        <f>IF(OR(B343="",C343=""),"",K343-N343 + IFERROR(E343 / SUMIFS('📅 Resumen Diario'!$D$5:$D$504, '📅 Resumen Diario'!$B$5:$B$504, B343, '📅 Resumen Diario'!$C$5:$C$504, D343) * (SUMIFS('📋 Detalle Diario'!$E$5:$E$489, '📋 Detalle Diario'!$B$5:$B$489, B343, '📋 Detalle Diario'!$C$5:$C$489, D343) * 135 + SUMIFS('📋 Detalle Diario'!$I$5:$I$489, '📋 Detalle Diario'!$B$5:$B$489, B343, '📋 Detalle Diario'!$C$5:$C$489, D343) * 200), 0))</f>
        <v/>
      </c>
      <c r="P343" s="32" t="str">
        <f t="shared" si="40"/>
        <v/>
      </c>
      <c r="Q343" s="33" t="str">
        <f t="shared" si="41"/>
        <v/>
      </c>
    </row>
    <row r="344" spans="2:17" ht="18" customHeight="1" x14ac:dyDescent="0.3">
      <c r="B344" s="26"/>
      <c r="C344" s="17"/>
      <c r="D344" s="27"/>
      <c r="E344" s="18"/>
      <c r="F344" s="18"/>
      <c r="G344" s="18"/>
      <c r="H344" s="30" t="str">
        <f t="shared" si="35"/>
        <v/>
      </c>
      <c r="I344" s="31" t="str">
        <f>IF(OR(B344="",C344=""),"",IFERROR(E344*IF(E344="",0,VLOOKUP(C344,'📦 Precios Proforma'!$B$5:$D$104,IF(D344="DIA",2,3),FALSE)),0))</f>
        <v/>
      </c>
      <c r="J344" s="31" t="str">
        <f t="shared" si="36"/>
        <v/>
      </c>
      <c r="K344" s="31" t="str">
        <f t="shared" si="37"/>
        <v/>
      </c>
      <c r="L344" s="31" t="str">
        <f>IF(OR(B344="",C344=""),"",IFERROR(E344 / SUMIFS('📅 Resumen Diario'!$D$5:$D$504, '📅 Resumen Diario'!$B$5:$B$504, B344, '📅 Resumen Diario'!$C$5:$C$504, D344) * SUMIFS('📅 Resumen Diario'!$K$5:$K$504, '📅 Resumen Diario'!$B$5:$B$504, B344, '📅 Resumen Diario'!$C$5:$C$504, D344), 0))</f>
        <v/>
      </c>
      <c r="M344" s="31" t="str">
        <f t="shared" si="38"/>
        <v/>
      </c>
      <c r="N344" s="31" t="str">
        <f t="shared" si="39"/>
        <v/>
      </c>
      <c r="O344" s="31" t="str">
        <f>IF(OR(B344="",C344=""),"",K344-N344 + IFERROR(E344 / SUMIFS('📅 Resumen Diario'!$D$5:$D$504, '📅 Resumen Diario'!$B$5:$B$504, B344, '📅 Resumen Diario'!$C$5:$C$504, D344) * (SUMIFS('📋 Detalle Diario'!$E$5:$E$489, '📋 Detalle Diario'!$B$5:$B$489, B344, '📋 Detalle Diario'!$C$5:$C$489, D344) * 135 + SUMIFS('📋 Detalle Diario'!$I$5:$I$489, '📋 Detalle Diario'!$B$5:$B$489, B344, '📋 Detalle Diario'!$C$5:$C$489, D344) * 200), 0))</f>
        <v/>
      </c>
      <c r="P344" s="32" t="str">
        <f t="shared" si="40"/>
        <v/>
      </c>
      <c r="Q344" s="33" t="str">
        <f t="shared" si="41"/>
        <v/>
      </c>
    </row>
    <row r="345" spans="2:17" ht="18" customHeight="1" x14ac:dyDescent="0.3">
      <c r="B345" s="26"/>
      <c r="C345" s="28"/>
      <c r="D345" s="27"/>
      <c r="E345" s="29"/>
      <c r="F345" s="29"/>
      <c r="G345" s="29"/>
      <c r="H345" s="30" t="str">
        <f t="shared" si="35"/>
        <v/>
      </c>
      <c r="I345" s="31" t="str">
        <f>IF(OR(B345="",C345=""),"",IFERROR(E345*IF(E345="",0,VLOOKUP(C345,'📦 Precios Proforma'!$B$5:$D$104,IF(D345="DIA",2,3),FALSE)),0))</f>
        <v/>
      </c>
      <c r="J345" s="31" t="str">
        <f t="shared" si="36"/>
        <v/>
      </c>
      <c r="K345" s="31" t="str">
        <f t="shared" si="37"/>
        <v/>
      </c>
      <c r="L345" s="31" t="str">
        <f>IF(OR(B345="",C345=""),"",IFERROR(E345 / SUMIFS('📅 Resumen Diario'!$D$5:$D$504, '📅 Resumen Diario'!$B$5:$B$504, B345, '📅 Resumen Diario'!$C$5:$C$504, D345) * SUMIFS('📅 Resumen Diario'!$K$5:$K$504, '📅 Resumen Diario'!$B$5:$B$504, B345, '📅 Resumen Diario'!$C$5:$C$504, D345), 0))</f>
        <v/>
      </c>
      <c r="M345" s="31" t="str">
        <f t="shared" si="38"/>
        <v/>
      </c>
      <c r="N345" s="31" t="str">
        <f t="shared" si="39"/>
        <v/>
      </c>
      <c r="O345" s="31" t="str">
        <f>IF(OR(B345="",C345=""),"",K345-N345 + IFERROR(E345 / SUMIFS('📅 Resumen Diario'!$D$5:$D$504, '📅 Resumen Diario'!$B$5:$B$504, B345, '📅 Resumen Diario'!$C$5:$C$504, D345) * (SUMIFS('📋 Detalle Diario'!$E$5:$E$489, '📋 Detalle Diario'!$B$5:$B$489, B345, '📋 Detalle Diario'!$C$5:$C$489, D345) * 135 + SUMIFS('📋 Detalle Diario'!$I$5:$I$489, '📋 Detalle Diario'!$B$5:$B$489, B345, '📋 Detalle Diario'!$C$5:$C$489, D345) * 200), 0))</f>
        <v/>
      </c>
      <c r="P345" s="32" t="str">
        <f t="shared" si="40"/>
        <v/>
      </c>
      <c r="Q345" s="33" t="str">
        <f t="shared" si="41"/>
        <v/>
      </c>
    </row>
    <row r="346" spans="2:17" ht="18" customHeight="1" x14ac:dyDescent="0.3">
      <c r="B346" s="26"/>
      <c r="C346" s="17"/>
      <c r="D346" s="27"/>
      <c r="E346" s="18"/>
      <c r="F346" s="18"/>
      <c r="G346" s="18"/>
      <c r="H346" s="30" t="str">
        <f t="shared" si="35"/>
        <v/>
      </c>
      <c r="I346" s="31" t="str">
        <f>IF(OR(B346="",C346=""),"",IFERROR(E346*IF(E346="",0,VLOOKUP(C346,'📦 Precios Proforma'!$B$5:$D$104,IF(D346="DIA",2,3),FALSE)),0))</f>
        <v/>
      </c>
      <c r="J346" s="31" t="str">
        <f t="shared" si="36"/>
        <v/>
      </c>
      <c r="K346" s="31" t="str">
        <f t="shared" si="37"/>
        <v/>
      </c>
      <c r="L346" s="31" t="str">
        <f>IF(OR(B346="",C346=""),"",IFERROR(E346 / SUMIFS('📅 Resumen Diario'!$D$5:$D$504, '📅 Resumen Diario'!$B$5:$B$504, B346, '📅 Resumen Diario'!$C$5:$C$504, D346) * SUMIFS('📅 Resumen Diario'!$K$5:$K$504, '📅 Resumen Diario'!$B$5:$B$504, B346, '📅 Resumen Diario'!$C$5:$C$504, D346), 0))</f>
        <v/>
      </c>
      <c r="M346" s="31" t="str">
        <f t="shared" si="38"/>
        <v/>
      </c>
      <c r="N346" s="31" t="str">
        <f t="shared" si="39"/>
        <v/>
      </c>
      <c r="O346" s="31" t="str">
        <f>IF(OR(B346="",C346=""),"",K346-N346 + IFERROR(E346 / SUMIFS('📅 Resumen Diario'!$D$5:$D$504, '📅 Resumen Diario'!$B$5:$B$504, B346, '📅 Resumen Diario'!$C$5:$C$504, D346) * (SUMIFS('📋 Detalle Diario'!$E$5:$E$489, '📋 Detalle Diario'!$B$5:$B$489, B346, '📋 Detalle Diario'!$C$5:$C$489, D346) * 135 + SUMIFS('📋 Detalle Diario'!$I$5:$I$489, '📋 Detalle Diario'!$B$5:$B$489, B346, '📋 Detalle Diario'!$C$5:$C$489, D346) * 200), 0))</f>
        <v/>
      </c>
      <c r="P346" s="32" t="str">
        <f t="shared" si="40"/>
        <v/>
      </c>
      <c r="Q346" s="33" t="str">
        <f t="shared" si="41"/>
        <v/>
      </c>
    </row>
    <row r="347" spans="2:17" ht="18" customHeight="1" x14ac:dyDescent="0.3">
      <c r="B347" s="26"/>
      <c r="C347" s="28"/>
      <c r="D347" s="27"/>
      <c r="E347" s="29"/>
      <c r="F347" s="29"/>
      <c r="G347" s="29"/>
      <c r="H347" s="30" t="str">
        <f t="shared" si="35"/>
        <v/>
      </c>
      <c r="I347" s="31" t="str">
        <f>IF(OR(B347="",C347=""),"",IFERROR(E347*IF(E347="",0,VLOOKUP(C347,'📦 Precios Proforma'!$B$5:$D$104,IF(D347="DIA",2,3),FALSE)),0))</f>
        <v/>
      </c>
      <c r="J347" s="31" t="str">
        <f t="shared" si="36"/>
        <v/>
      </c>
      <c r="K347" s="31" t="str">
        <f t="shared" si="37"/>
        <v/>
      </c>
      <c r="L347" s="31" t="str">
        <f>IF(OR(B347="",C347=""),"",IFERROR(E347 / SUMIFS('📅 Resumen Diario'!$D$5:$D$504, '📅 Resumen Diario'!$B$5:$B$504, B347, '📅 Resumen Diario'!$C$5:$C$504, D347) * SUMIFS('📅 Resumen Diario'!$K$5:$K$504, '📅 Resumen Diario'!$B$5:$B$504, B347, '📅 Resumen Diario'!$C$5:$C$504, D347), 0))</f>
        <v/>
      </c>
      <c r="M347" s="31" t="str">
        <f t="shared" si="38"/>
        <v/>
      </c>
      <c r="N347" s="31" t="str">
        <f t="shared" si="39"/>
        <v/>
      </c>
      <c r="O347" s="31" t="str">
        <f>IF(OR(B347="",C347=""),"",K347-N347 + IFERROR(E347 / SUMIFS('📅 Resumen Diario'!$D$5:$D$504, '📅 Resumen Diario'!$B$5:$B$504, B347, '📅 Resumen Diario'!$C$5:$C$504, D347) * (SUMIFS('📋 Detalle Diario'!$E$5:$E$489, '📋 Detalle Diario'!$B$5:$B$489, B347, '📋 Detalle Diario'!$C$5:$C$489, D347) * 135 + SUMIFS('📋 Detalle Diario'!$I$5:$I$489, '📋 Detalle Diario'!$B$5:$B$489, B347, '📋 Detalle Diario'!$C$5:$C$489, D347) * 200), 0))</f>
        <v/>
      </c>
      <c r="P347" s="32" t="str">
        <f t="shared" si="40"/>
        <v/>
      </c>
      <c r="Q347" s="33" t="str">
        <f t="shared" si="41"/>
        <v/>
      </c>
    </row>
    <row r="348" spans="2:17" ht="18" customHeight="1" x14ac:dyDescent="0.3">
      <c r="B348" s="26"/>
      <c r="C348" s="17"/>
      <c r="D348" s="27"/>
      <c r="E348" s="18"/>
      <c r="F348" s="18"/>
      <c r="G348" s="18"/>
      <c r="H348" s="30" t="str">
        <f t="shared" si="35"/>
        <v/>
      </c>
      <c r="I348" s="31" t="str">
        <f>IF(OR(B348="",C348=""),"",IFERROR(E348*IF(E348="",0,VLOOKUP(C348,'📦 Precios Proforma'!$B$5:$D$104,IF(D348="DIA",2,3),FALSE)),0))</f>
        <v/>
      </c>
      <c r="J348" s="31" t="str">
        <f t="shared" si="36"/>
        <v/>
      </c>
      <c r="K348" s="31" t="str">
        <f t="shared" si="37"/>
        <v/>
      </c>
      <c r="L348" s="31" t="str">
        <f>IF(OR(B348="",C348=""),"",IFERROR(E348 / SUMIFS('📅 Resumen Diario'!$D$5:$D$504, '📅 Resumen Diario'!$B$5:$B$504, B348, '📅 Resumen Diario'!$C$5:$C$504, D348) * SUMIFS('📅 Resumen Diario'!$K$5:$K$504, '📅 Resumen Diario'!$B$5:$B$504, B348, '📅 Resumen Diario'!$C$5:$C$504, D348), 0))</f>
        <v/>
      </c>
      <c r="M348" s="31" t="str">
        <f t="shared" si="38"/>
        <v/>
      </c>
      <c r="N348" s="31" t="str">
        <f t="shared" si="39"/>
        <v/>
      </c>
      <c r="O348" s="31" t="str">
        <f>IF(OR(B348="",C348=""),"",K348-N348 + IFERROR(E348 / SUMIFS('📅 Resumen Diario'!$D$5:$D$504, '📅 Resumen Diario'!$B$5:$B$504, B348, '📅 Resumen Diario'!$C$5:$C$504, D348) * (SUMIFS('📋 Detalle Diario'!$E$5:$E$489, '📋 Detalle Diario'!$B$5:$B$489, B348, '📋 Detalle Diario'!$C$5:$C$489, D348) * 135 + SUMIFS('📋 Detalle Diario'!$I$5:$I$489, '📋 Detalle Diario'!$B$5:$B$489, B348, '📋 Detalle Diario'!$C$5:$C$489, D348) * 200), 0))</f>
        <v/>
      </c>
      <c r="P348" s="32" t="str">
        <f t="shared" si="40"/>
        <v/>
      </c>
      <c r="Q348" s="33" t="str">
        <f t="shared" si="41"/>
        <v/>
      </c>
    </row>
    <row r="349" spans="2:17" ht="18" customHeight="1" x14ac:dyDescent="0.3">
      <c r="B349" s="26"/>
      <c r="C349" s="28"/>
      <c r="D349" s="27"/>
      <c r="E349" s="29"/>
      <c r="F349" s="29"/>
      <c r="G349" s="29"/>
      <c r="H349" s="30" t="str">
        <f t="shared" si="35"/>
        <v/>
      </c>
      <c r="I349" s="31" t="str">
        <f>IF(OR(B349="",C349=""),"",IFERROR(E349*IF(E349="",0,VLOOKUP(C349,'📦 Precios Proforma'!$B$5:$D$104,IF(D349="DIA",2,3),FALSE)),0))</f>
        <v/>
      </c>
      <c r="J349" s="31" t="str">
        <f t="shared" si="36"/>
        <v/>
      </c>
      <c r="K349" s="31" t="str">
        <f t="shared" si="37"/>
        <v/>
      </c>
      <c r="L349" s="31" t="str">
        <f>IF(OR(B349="",C349=""),"",IFERROR(E349 / SUMIFS('📅 Resumen Diario'!$D$5:$D$504, '📅 Resumen Diario'!$B$5:$B$504, B349, '📅 Resumen Diario'!$C$5:$C$504, D349) * SUMIFS('📅 Resumen Diario'!$K$5:$K$504, '📅 Resumen Diario'!$B$5:$B$504, B349, '📅 Resumen Diario'!$C$5:$C$504, D349), 0))</f>
        <v/>
      </c>
      <c r="M349" s="31" t="str">
        <f t="shared" si="38"/>
        <v/>
      </c>
      <c r="N349" s="31" t="str">
        <f t="shared" si="39"/>
        <v/>
      </c>
      <c r="O349" s="31" t="str">
        <f>IF(OR(B349="",C349=""),"",K349-N349 + IFERROR(E349 / SUMIFS('📅 Resumen Diario'!$D$5:$D$504, '📅 Resumen Diario'!$B$5:$B$504, B349, '📅 Resumen Diario'!$C$5:$C$504, D349) * (SUMIFS('📋 Detalle Diario'!$E$5:$E$489, '📋 Detalle Diario'!$B$5:$B$489, B349, '📋 Detalle Diario'!$C$5:$C$489, D349) * 135 + SUMIFS('📋 Detalle Diario'!$I$5:$I$489, '📋 Detalle Diario'!$B$5:$B$489, B349, '📋 Detalle Diario'!$C$5:$C$489, D349) * 200), 0))</f>
        <v/>
      </c>
      <c r="P349" s="32" t="str">
        <f t="shared" si="40"/>
        <v/>
      </c>
      <c r="Q349" s="33" t="str">
        <f t="shared" si="41"/>
        <v/>
      </c>
    </row>
    <row r="350" spans="2:17" ht="18" customHeight="1" x14ac:dyDescent="0.3">
      <c r="B350" s="26"/>
      <c r="C350" s="17"/>
      <c r="D350" s="27"/>
      <c r="E350" s="18"/>
      <c r="F350" s="18"/>
      <c r="G350" s="18"/>
      <c r="H350" s="30" t="str">
        <f t="shared" si="35"/>
        <v/>
      </c>
      <c r="I350" s="31" t="str">
        <f>IF(OR(B350="",C350=""),"",IFERROR(E350*IF(E350="",0,VLOOKUP(C350,'📦 Precios Proforma'!$B$5:$D$104,IF(D350="DIA",2,3),FALSE)),0))</f>
        <v/>
      </c>
      <c r="J350" s="31" t="str">
        <f t="shared" si="36"/>
        <v/>
      </c>
      <c r="K350" s="31" t="str">
        <f t="shared" si="37"/>
        <v/>
      </c>
      <c r="L350" s="31" t="str">
        <f>IF(OR(B350="",C350=""),"",IFERROR(E350 / SUMIFS('📅 Resumen Diario'!$D$5:$D$504, '📅 Resumen Diario'!$B$5:$B$504, B350, '📅 Resumen Diario'!$C$5:$C$504, D350) * SUMIFS('📅 Resumen Diario'!$K$5:$K$504, '📅 Resumen Diario'!$B$5:$B$504, B350, '📅 Resumen Diario'!$C$5:$C$504, D350), 0))</f>
        <v/>
      </c>
      <c r="M350" s="31" t="str">
        <f t="shared" si="38"/>
        <v/>
      </c>
      <c r="N350" s="31" t="str">
        <f t="shared" si="39"/>
        <v/>
      </c>
      <c r="O350" s="31" t="str">
        <f>IF(OR(B350="",C350=""),"",K350-N350 + IFERROR(E350 / SUMIFS('📅 Resumen Diario'!$D$5:$D$504, '📅 Resumen Diario'!$B$5:$B$504, B350, '📅 Resumen Diario'!$C$5:$C$504, D350) * (SUMIFS('📋 Detalle Diario'!$E$5:$E$489, '📋 Detalle Diario'!$B$5:$B$489, B350, '📋 Detalle Diario'!$C$5:$C$489, D350) * 135 + SUMIFS('📋 Detalle Diario'!$I$5:$I$489, '📋 Detalle Diario'!$B$5:$B$489, B350, '📋 Detalle Diario'!$C$5:$C$489, D350) * 200), 0))</f>
        <v/>
      </c>
      <c r="P350" s="32" t="str">
        <f t="shared" si="40"/>
        <v/>
      </c>
      <c r="Q350" s="33" t="str">
        <f t="shared" si="41"/>
        <v/>
      </c>
    </row>
    <row r="351" spans="2:17" ht="18" customHeight="1" x14ac:dyDescent="0.3">
      <c r="B351" s="26"/>
      <c r="C351" s="28"/>
      <c r="D351" s="27"/>
      <c r="E351" s="29"/>
      <c r="F351" s="29"/>
      <c r="G351" s="29"/>
      <c r="H351" s="30" t="str">
        <f t="shared" si="35"/>
        <v/>
      </c>
      <c r="I351" s="31" t="str">
        <f>IF(OR(B351="",C351=""),"",IFERROR(E351*IF(E351="",0,VLOOKUP(C351,'📦 Precios Proforma'!$B$5:$D$104,IF(D351="DIA",2,3),FALSE)),0))</f>
        <v/>
      </c>
      <c r="J351" s="31" t="str">
        <f t="shared" si="36"/>
        <v/>
      </c>
      <c r="K351" s="31" t="str">
        <f t="shared" si="37"/>
        <v/>
      </c>
      <c r="L351" s="31" t="str">
        <f>IF(OR(B351="",C351=""),"",IFERROR(E351 / SUMIFS('📅 Resumen Diario'!$D$5:$D$504, '📅 Resumen Diario'!$B$5:$B$504, B351, '📅 Resumen Diario'!$C$5:$C$504, D351) * SUMIFS('📅 Resumen Diario'!$K$5:$K$504, '📅 Resumen Diario'!$B$5:$B$504, B351, '📅 Resumen Diario'!$C$5:$C$504, D351), 0))</f>
        <v/>
      </c>
      <c r="M351" s="31" t="str">
        <f t="shared" si="38"/>
        <v/>
      </c>
      <c r="N351" s="31" t="str">
        <f t="shared" si="39"/>
        <v/>
      </c>
      <c r="O351" s="31" t="str">
        <f>IF(OR(B351="",C351=""),"",K351-N351 + IFERROR(E351 / SUMIFS('📅 Resumen Diario'!$D$5:$D$504, '📅 Resumen Diario'!$B$5:$B$504, B351, '📅 Resumen Diario'!$C$5:$C$504, D351) * (SUMIFS('📋 Detalle Diario'!$E$5:$E$489, '📋 Detalle Diario'!$B$5:$B$489, B351, '📋 Detalle Diario'!$C$5:$C$489, D351) * 135 + SUMIFS('📋 Detalle Diario'!$I$5:$I$489, '📋 Detalle Diario'!$B$5:$B$489, B351, '📋 Detalle Diario'!$C$5:$C$489, D351) * 200), 0))</f>
        <v/>
      </c>
      <c r="P351" s="32" t="str">
        <f t="shared" si="40"/>
        <v/>
      </c>
      <c r="Q351" s="33" t="str">
        <f t="shared" si="41"/>
        <v/>
      </c>
    </row>
    <row r="352" spans="2:17" ht="18" customHeight="1" x14ac:dyDescent="0.3">
      <c r="B352" s="26"/>
      <c r="C352" s="17"/>
      <c r="D352" s="27"/>
      <c r="E352" s="18"/>
      <c r="F352" s="18"/>
      <c r="G352" s="18"/>
      <c r="H352" s="30" t="str">
        <f t="shared" si="35"/>
        <v/>
      </c>
      <c r="I352" s="31" t="str">
        <f>IF(OR(B352="",C352=""),"",IFERROR(E352*IF(E352="",0,VLOOKUP(C352,'📦 Precios Proforma'!$B$5:$D$104,IF(D352="DIA",2,3),FALSE)),0))</f>
        <v/>
      </c>
      <c r="J352" s="31" t="str">
        <f t="shared" si="36"/>
        <v/>
      </c>
      <c r="K352" s="31" t="str">
        <f t="shared" si="37"/>
        <v/>
      </c>
      <c r="L352" s="31" t="str">
        <f>IF(OR(B352="",C352=""),"",IFERROR(E352 / SUMIFS('📅 Resumen Diario'!$D$5:$D$504, '📅 Resumen Diario'!$B$5:$B$504, B352, '📅 Resumen Diario'!$C$5:$C$504, D352) * SUMIFS('📅 Resumen Diario'!$K$5:$K$504, '📅 Resumen Diario'!$B$5:$B$504, B352, '📅 Resumen Diario'!$C$5:$C$504, D352), 0))</f>
        <v/>
      </c>
      <c r="M352" s="31" t="str">
        <f t="shared" si="38"/>
        <v/>
      </c>
      <c r="N352" s="31" t="str">
        <f t="shared" si="39"/>
        <v/>
      </c>
      <c r="O352" s="31" t="str">
        <f>IF(OR(B352="",C352=""),"",K352-N352 + IFERROR(E352 / SUMIFS('📅 Resumen Diario'!$D$5:$D$504, '📅 Resumen Diario'!$B$5:$B$504, B352, '📅 Resumen Diario'!$C$5:$C$504, D352) * (SUMIFS('📋 Detalle Diario'!$E$5:$E$489, '📋 Detalle Diario'!$B$5:$B$489, B352, '📋 Detalle Diario'!$C$5:$C$489, D352) * 135 + SUMIFS('📋 Detalle Diario'!$I$5:$I$489, '📋 Detalle Diario'!$B$5:$B$489, B352, '📋 Detalle Diario'!$C$5:$C$489, D352) * 200), 0))</f>
        <v/>
      </c>
      <c r="P352" s="32" t="str">
        <f t="shared" si="40"/>
        <v/>
      </c>
      <c r="Q352" s="33" t="str">
        <f t="shared" si="41"/>
        <v/>
      </c>
    </row>
    <row r="353" spans="2:17" ht="18" customHeight="1" x14ac:dyDescent="0.3">
      <c r="B353" s="26"/>
      <c r="C353" s="28"/>
      <c r="D353" s="27"/>
      <c r="E353" s="29"/>
      <c r="F353" s="29"/>
      <c r="G353" s="29"/>
      <c r="H353" s="30" t="str">
        <f t="shared" si="35"/>
        <v/>
      </c>
      <c r="I353" s="31" t="str">
        <f>IF(OR(B353="",C353=""),"",IFERROR(E353*IF(E353="",0,VLOOKUP(C353,'📦 Precios Proforma'!$B$5:$D$104,IF(D353="DIA",2,3),FALSE)),0))</f>
        <v/>
      </c>
      <c r="J353" s="31" t="str">
        <f t="shared" si="36"/>
        <v/>
      </c>
      <c r="K353" s="31" t="str">
        <f t="shared" si="37"/>
        <v/>
      </c>
      <c r="L353" s="31" t="str">
        <f>IF(OR(B353="",C353=""),"",IFERROR(E353 / SUMIFS('📅 Resumen Diario'!$D$5:$D$504, '📅 Resumen Diario'!$B$5:$B$504, B353, '📅 Resumen Diario'!$C$5:$C$504, D353) * SUMIFS('📅 Resumen Diario'!$K$5:$K$504, '📅 Resumen Diario'!$B$5:$B$504, B353, '📅 Resumen Diario'!$C$5:$C$504, D353), 0))</f>
        <v/>
      </c>
      <c r="M353" s="31" t="str">
        <f t="shared" si="38"/>
        <v/>
      </c>
      <c r="N353" s="31" t="str">
        <f t="shared" si="39"/>
        <v/>
      </c>
      <c r="O353" s="31" t="str">
        <f>IF(OR(B353="",C353=""),"",K353-N353 + IFERROR(E353 / SUMIFS('📅 Resumen Diario'!$D$5:$D$504, '📅 Resumen Diario'!$B$5:$B$504, B353, '📅 Resumen Diario'!$C$5:$C$504, D353) * (SUMIFS('📋 Detalle Diario'!$E$5:$E$489, '📋 Detalle Diario'!$B$5:$B$489, B353, '📋 Detalle Diario'!$C$5:$C$489, D353) * 135 + SUMIFS('📋 Detalle Diario'!$I$5:$I$489, '📋 Detalle Diario'!$B$5:$B$489, B353, '📋 Detalle Diario'!$C$5:$C$489, D353) * 200), 0))</f>
        <v/>
      </c>
      <c r="P353" s="32" t="str">
        <f t="shared" si="40"/>
        <v/>
      </c>
      <c r="Q353" s="33" t="str">
        <f t="shared" si="41"/>
        <v/>
      </c>
    </row>
    <row r="354" spans="2:17" ht="18" customHeight="1" x14ac:dyDescent="0.3">
      <c r="B354" s="26"/>
      <c r="C354" s="17"/>
      <c r="D354" s="27"/>
      <c r="E354" s="18"/>
      <c r="F354" s="18"/>
      <c r="G354" s="18"/>
      <c r="H354" s="30" t="str">
        <f t="shared" si="35"/>
        <v/>
      </c>
      <c r="I354" s="31" t="str">
        <f>IF(OR(B354="",C354=""),"",IFERROR(E354*IF(E354="",0,VLOOKUP(C354,'📦 Precios Proforma'!$B$5:$D$104,IF(D354="DIA",2,3),FALSE)),0))</f>
        <v/>
      </c>
      <c r="J354" s="31" t="str">
        <f t="shared" si="36"/>
        <v/>
      </c>
      <c r="K354" s="31" t="str">
        <f t="shared" si="37"/>
        <v/>
      </c>
      <c r="L354" s="31" t="str">
        <f>IF(OR(B354="",C354=""),"",IFERROR(E354 / SUMIFS('📅 Resumen Diario'!$D$5:$D$504, '📅 Resumen Diario'!$B$5:$B$504, B354, '📅 Resumen Diario'!$C$5:$C$504, D354) * SUMIFS('📅 Resumen Diario'!$K$5:$K$504, '📅 Resumen Diario'!$B$5:$B$504, B354, '📅 Resumen Diario'!$C$5:$C$504, D354), 0))</f>
        <v/>
      </c>
      <c r="M354" s="31" t="str">
        <f t="shared" si="38"/>
        <v/>
      </c>
      <c r="N354" s="31" t="str">
        <f t="shared" si="39"/>
        <v/>
      </c>
      <c r="O354" s="31" t="str">
        <f>IF(OR(B354="",C354=""),"",K354-N354 + IFERROR(E354 / SUMIFS('📅 Resumen Diario'!$D$5:$D$504, '📅 Resumen Diario'!$B$5:$B$504, B354, '📅 Resumen Diario'!$C$5:$C$504, D354) * (SUMIFS('📋 Detalle Diario'!$E$5:$E$489, '📋 Detalle Diario'!$B$5:$B$489, B354, '📋 Detalle Diario'!$C$5:$C$489, D354) * 135 + SUMIFS('📋 Detalle Diario'!$I$5:$I$489, '📋 Detalle Diario'!$B$5:$B$489, B354, '📋 Detalle Diario'!$C$5:$C$489, D354) * 200), 0))</f>
        <v/>
      </c>
      <c r="P354" s="32" t="str">
        <f t="shared" si="40"/>
        <v/>
      </c>
      <c r="Q354" s="33" t="str">
        <f t="shared" si="41"/>
        <v/>
      </c>
    </row>
    <row r="355" spans="2:17" ht="18" customHeight="1" x14ac:dyDescent="0.3">
      <c r="B355" s="26"/>
      <c r="C355" s="28"/>
      <c r="D355" s="27"/>
      <c r="E355" s="29"/>
      <c r="F355" s="29"/>
      <c r="G355" s="29"/>
      <c r="H355" s="30" t="str">
        <f t="shared" si="35"/>
        <v/>
      </c>
      <c r="I355" s="31" t="str">
        <f>IF(OR(B355="",C355=""),"",IFERROR(E355*IF(E355="",0,VLOOKUP(C355,'📦 Precios Proforma'!$B$5:$D$104,IF(D355="DIA",2,3),FALSE)),0))</f>
        <v/>
      </c>
      <c r="J355" s="31" t="str">
        <f t="shared" si="36"/>
        <v/>
      </c>
      <c r="K355" s="31" t="str">
        <f t="shared" si="37"/>
        <v/>
      </c>
      <c r="L355" s="31" t="str">
        <f>IF(OR(B355="",C355=""),"",IFERROR(E355 / SUMIFS('📅 Resumen Diario'!$D$5:$D$504, '📅 Resumen Diario'!$B$5:$B$504, B355, '📅 Resumen Diario'!$C$5:$C$504, D355) * SUMIFS('📅 Resumen Diario'!$K$5:$K$504, '📅 Resumen Diario'!$B$5:$B$504, B355, '📅 Resumen Diario'!$C$5:$C$504, D355), 0))</f>
        <v/>
      </c>
      <c r="M355" s="31" t="str">
        <f t="shared" si="38"/>
        <v/>
      </c>
      <c r="N355" s="31" t="str">
        <f t="shared" si="39"/>
        <v/>
      </c>
      <c r="O355" s="31" t="str">
        <f>IF(OR(B355="",C355=""),"",K355-N355 + IFERROR(E355 / SUMIFS('📅 Resumen Diario'!$D$5:$D$504, '📅 Resumen Diario'!$B$5:$B$504, B355, '📅 Resumen Diario'!$C$5:$C$504, D355) * (SUMIFS('📋 Detalle Diario'!$E$5:$E$489, '📋 Detalle Diario'!$B$5:$B$489, B355, '📋 Detalle Diario'!$C$5:$C$489, D355) * 135 + SUMIFS('📋 Detalle Diario'!$I$5:$I$489, '📋 Detalle Diario'!$B$5:$B$489, B355, '📋 Detalle Diario'!$C$5:$C$489, D355) * 200), 0))</f>
        <v/>
      </c>
      <c r="P355" s="32" t="str">
        <f t="shared" si="40"/>
        <v/>
      </c>
      <c r="Q355" s="33" t="str">
        <f t="shared" si="41"/>
        <v/>
      </c>
    </row>
    <row r="356" spans="2:17" ht="18" customHeight="1" x14ac:dyDescent="0.3">
      <c r="B356" s="26"/>
      <c r="C356" s="17"/>
      <c r="D356" s="27"/>
      <c r="E356" s="18"/>
      <c r="F356" s="18"/>
      <c r="G356" s="18"/>
      <c r="H356" s="30" t="str">
        <f t="shared" si="35"/>
        <v/>
      </c>
      <c r="I356" s="31" t="str">
        <f>IF(OR(B356="",C356=""),"",IFERROR(E356*IF(E356="",0,VLOOKUP(C356,'📦 Precios Proforma'!$B$5:$D$104,IF(D356="DIA",2,3),FALSE)),0))</f>
        <v/>
      </c>
      <c r="J356" s="31" t="str">
        <f t="shared" si="36"/>
        <v/>
      </c>
      <c r="K356" s="31" t="str">
        <f t="shared" si="37"/>
        <v/>
      </c>
      <c r="L356" s="31" t="str">
        <f>IF(OR(B356="",C356=""),"",IFERROR(E356 / SUMIFS('📅 Resumen Diario'!$D$5:$D$504, '📅 Resumen Diario'!$B$5:$B$504, B356, '📅 Resumen Diario'!$C$5:$C$504, D356) * SUMIFS('📅 Resumen Diario'!$K$5:$K$504, '📅 Resumen Diario'!$B$5:$B$504, B356, '📅 Resumen Diario'!$C$5:$C$504, D356), 0))</f>
        <v/>
      </c>
      <c r="M356" s="31" t="str">
        <f t="shared" si="38"/>
        <v/>
      </c>
      <c r="N356" s="31" t="str">
        <f t="shared" si="39"/>
        <v/>
      </c>
      <c r="O356" s="31" t="str">
        <f>IF(OR(B356="",C356=""),"",K356-N356 + IFERROR(E356 / SUMIFS('📅 Resumen Diario'!$D$5:$D$504, '📅 Resumen Diario'!$B$5:$B$504, B356, '📅 Resumen Diario'!$C$5:$C$504, D356) * (SUMIFS('📋 Detalle Diario'!$E$5:$E$489, '📋 Detalle Diario'!$B$5:$B$489, B356, '📋 Detalle Diario'!$C$5:$C$489, D356) * 135 + SUMIFS('📋 Detalle Diario'!$I$5:$I$489, '📋 Detalle Diario'!$B$5:$B$489, B356, '📋 Detalle Diario'!$C$5:$C$489, D356) * 200), 0))</f>
        <v/>
      </c>
      <c r="P356" s="32" t="str">
        <f t="shared" si="40"/>
        <v/>
      </c>
      <c r="Q356" s="33" t="str">
        <f t="shared" si="41"/>
        <v/>
      </c>
    </row>
    <row r="357" spans="2:17" ht="18" customHeight="1" x14ac:dyDescent="0.3">
      <c r="B357" s="26"/>
      <c r="C357" s="28"/>
      <c r="D357" s="27"/>
      <c r="E357" s="29"/>
      <c r="F357" s="29"/>
      <c r="G357" s="29"/>
      <c r="H357" s="30" t="str">
        <f t="shared" si="35"/>
        <v/>
      </c>
      <c r="I357" s="31" t="str">
        <f>IF(OR(B357="",C357=""),"",IFERROR(E357*IF(E357="",0,VLOOKUP(C357,'📦 Precios Proforma'!$B$5:$D$104,IF(D357="DIA",2,3),FALSE)),0))</f>
        <v/>
      </c>
      <c r="J357" s="31" t="str">
        <f t="shared" si="36"/>
        <v/>
      </c>
      <c r="K357" s="31" t="str">
        <f t="shared" si="37"/>
        <v/>
      </c>
      <c r="L357" s="31" t="str">
        <f>IF(OR(B357="",C357=""),"",IFERROR(E357 / SUMIFS('📅 Resumen Diario'!$D$5:$D$504, '📅 Resumen Diario'!$B$5:$B$504, B357, '📅 Resumen Diario'!$C$5:$C$504, D357) * SUMIFS('📅 Resumen Diario'!$K$5:$K$504, '📅 Resumen Diario'!$B$5:$B$504, B357, '📅 Resumen Diario'!$C$5:$C$504, D357), 0))</f>
        <v/>
      </c>
      <c r="M357" s="31" t="str">
        <f t="shared" si="38"/>
        <v/>
      </c>
      <c r="N357" s="31" t="str">
        <f t="shared" si="39"/>
        <v/>
      </c>
      <c r="O357" s="31" t="str">
        <f>IF(OR(B357="",C357=""),"",K357-N357 + IFERROR(E357 / SUMIFS('📅 Resumen Diario'!$D$5:$D$504, '📅 Resumen Diario'!$B$5:$B$504, B357, '📅 Resumen Diario'!$C$5:$C$504, D357) * (SUMIFS('📋 Detalle Diario'!$E$5:$E$489, '📋 Detalle Diario'!$B$5:$B$489, B357, '📋 Detalle Diario'!$C$5:$C$489, D357) * 135 + SUMIFS('📋 Detalle Diario'!$I$5:$I$489, '📋 Detalle Diario'!$B$5:$B$489, B357, '📋 Detalle Diario'!$C$5:$C$489, D357) * 200), 0))</f>
        <v/>
      </c>
      <c r="P357" s="32" t="str">
        <f t="shared" si="40"/>
        <v/>
      </c>
      <c r="Q357" s="33" t="str">
        <f t="shared" si="41"/>
        <v/>
      </c>
    </row>
    <row r="358" spans="2:17" ht="18" customHeight="1" x14ac:dyDescent="0.3">
      <c r="B358" s="26"/>
      <c r="C358" s="17"/>
      <c r="D358" s="27"/>
      <c r="E358" s="18"/>
      <c r="F358" s="18"/>
      <c r="G358" s="18"/>
      <c r="H358" s="30" t="str">
        <f t="shared" si="35"/>
        <v/>
      </c>
      <c r="I358" s="31" t="str">
        <f>IF(OR(B358="",C358=""),"",IFERROR(E358*IF(E358="",0,VLOOKUP(C358,'📦 Precios Proforma'!$B$5:$D$104,IF(D358="DIA",2,3),FALSE)),0))</f>
        <v/>
      </c>
      <c r="J358" s="31" t="str">
        <f t="shared" si="36"/>
        <v/>
      </c>
      <c r="K358" s="31" t="str">
        <f t="shared" si="37"/>
        <v/>
      </c>
      <c r="L358" s="31" t="str">
        <f>IF(OR(B358="",C358=""),"",IFERROR(E358 / SUMIFS('📅 Resumen Diario'!$D$5:$D$504, '📅 Resumen Diario'!$B$5:$B$504, B358, '📅 Resumen Diario'!$C$5:$C$504, D358) * SUMIFS('📅 Resumen Diario'!$K$5:$K$504, '📅 Resumen Diario'!$B$5:$B$504, B358, '📅 Resumen Diario'!$C$5:$C$504, D358), 0))</f>
        <v/>
      </c>
      <c r="M358" s="31" t="str">
        <f t="shared" si="38"/>
        <v/>
      </c>
      <c r="N358" s="31" t="str">
        <f t="shared" si="39"/>
        <v/>
      </c>
      <c r="O358" s="31" t="str">
        <f>IF(OR(B358="",C358=""),"",K358-N358 + IFERROR(E358 / SUMIFS('📅 Resumen Diario'!$D$5:$D$504, '📅 Resumen Diario'!$B$5:$B$504, B358, '📅 Resumen Diario'!$C$5:$C$504, D358) * (SUMIFS('📋 Detalle Diario'!$E$5:$E$489, '📋 Detalle Diario'!$B$5:$B$489, B358, '📋 Detalle Diario'!$C$5:$C$489, D358) * 135 + SUMIFS('📋 Detalle Diario'!$I$5:$I$489, '📋 Detalle Diario'!$B$5:$B$489, B358, '📋 Detalle Diario'!$C$5:$C$489, D358) * 200), 0))</f>
        <v/>
      </c>
      <c r="P358" s="32" t="str">
        <f t="shared" si="40"/>
        <v/>
      </c>
      <c r="Q358" s="33" t="str">
        <f t="shared" si="41"/>
        <v/>
      </c>
    </row>
    <row r="359" spans="2:17" ht="18" customHeight="1" x14ac:dyDescent="0.3">
      <c r="B359" s="26"/>
      <c r="C359" s="28"/>
      <c r="D359" s="27"/>
      <c r="E359" s="29"/>
      <c r="F359" s="29"/>
      <c r="G359" s="29"/>
      <c r="H359" s="30" t="str">
        <f t="shared" si="35"/>
        <v/>
      </c>
      <c r="I359" s="31" t="str">
        <f>IF(OR(B359="",C359=""),"",IFERROR(E359*IF(E359="",0,VLOOKUP(C359,'📦 Precios Proforma'!$B$5:$D$104,IF(D359="DIA",2,3),FALSE)),0))</f>
        <v/>
      </c>
      <c r="J359" s="31" t="str">
        <f t="shared" si="36"/>
        <v/>
      </c>
      <c r="K359" s="31" t="str">
        <f t="shared" si="37"/>
        <v/>
      </c>
      <c r="L359" s="31" t="str">
        <f>IF(OR(B359="",C359=""),"",IFERROR(E359 / SUMIFS('📅 Resumen Diario'!$D$5:$D$504, '📅 Resumen Diario'!$B$5:$B$504, B359, '📅 Resumen Diario'!$C$5:$C$504, D359) * SUMIFS('📅 Resumen Diario'!$K$5:$K$504, '📅 Resumen Diario'!$B$5:$B$504, B359, '📅 Resumen Diario'!$C$5:$C$504, D359), 0))</f>
        <v/>
      </c>
      <c r="M359" s="31" t="str">
        <f t="shared" si="38"/>
        <v/>
      </c>
      <c r="N359" s="31" t="str">
        <f t="shared" si="39"/>
        <v/>
      </c>
      <c r="O359" s="31" t="str">
        <f>IF(OR(B359="",C359=""),"",K359-N359 + IFERROR(E359 / SUMIFS('📅 Resumen Diario'!$D$5:$D$504, '📅 Resumen Diario'!$B$5:$B$504, B359, '📅 Resumen Diario'!$C$5:$C$504, D359) * (SUMIFS('📋 Detalle Diario'!$E$5:$E$489, '📋 Detalle Diario'!$B$5:$B$489, B359, '📋 Detalle Diario'!$C$5:$C$489, D359) * 135 + SUMIFS('📋 Detalle Diario'!$I$5:$I$489, '📋 Detalle Diario'!$B$5:$B$489, B359, '📋 Detalle Diario'!$C$5:$C$489, D359) * 200), 0))</f>
        <v/>
      </c>
      <c r="P359" s="32" t="str">
        <f t="shared" si="40"/>
        <v/>
      </c>
      <c r="Q359" s="33" t="str">
        <f t="shared" si="41"/>
        <v/>
      </c>
    </row>
    <row r="360" spans="2:17" ht="18" customHeight="1" x14ac:dyDescent="0.3">
      <c r="B360" s="26"/>
      <c r="C360" s="17"/>
      <c r="D360" s="27"/>
      <c r="E360" s="18"/>
      <c r="F360" s="18"/>
      <c r="G360" s="18"/>
      <c r="H360" s="30" t="str">
        <f t="shared" si="35"/>
        <v/>
      </c>
      <c r="I360" s="31" t="str">
        <f>IF(OR(B360="",C360=""),"",IFERROR(E360*IF(E360="",0,VLOOKUP(C360,'📦 Precios Proforma'!$B$5:$D$104,IF(D360="DIA",2,3),FALSE)),0))</f>
        <v/>
      </c>
      <c r="J360" s="31" t="str">
        <f t="shared" si="36"/>
        <v/>
      </c>
      <c r="K360" s="31" t="str">
        <f t="shared" si="37"/>
        <v/>
      </c>
      <c r="L360" s="31" t="str">
        <f>IF(OR(B360="",C360=""),"",IFERROR(E360 / SUMIFS('📅 Resumen Diario'!$D$5:$D$504, '📅 Resumen Diario'!$B$5:$B$504, B360, '📅 Resumen Diario'!$C$5:$C$504, D360) * SUMIFS('📅 Resumen Diario'!$K$5:$K$504, '📅 Resumen Diario'!$B$5:$B$504, B360, '📅 Resumen Diario'!$C$5:$C$504, D360), 0))</f>
        <v/>
      </c>
      <c r="M360" s="31" t="str">
        <f t="shared" si="38"/>
        <v/>
      </c>
      <c r="N360" s="31" t="str">
        <f t="shared" si="39"/>
        <v/>
      </c>
      <c r="O360" s="31" t="str">
        <f>IF(OR(B360="",C360=""),"",K360-N360 + IFERROR(E360 / SUMIFS('📅 Resumen Diario'!$D$5:$D$504, '📅 Resumen Diario'!$B$5:$B$504, B360, '📅 Resumen Diario'!$C$5:$C$504, D360) * (SUMIFS('📋 Detalle Diario'!$E$5:$E$489, '📋 Detalle Diario'!$B$5:$B$489, B360, '📋 Detalle Diario'!$C$5:$C$489, D360) * 135 + SUMIFS('📋 Detalle Diario'!$I$5:$I$489, '📋 Detalle Diario'!$B$5:$B$489, B360, '📋 Detalle Diario'!$C$5:$C$489, D360) * 200), 0))</f>
        <v/>
      </c>
      <c r="P360" s="32" t="str">
        <f t="shared" si="40"/>
        <v/>
      </c>
      <c r="Q360" s="33" t="str">
        <f t="shared" si="41"/>
        <v/>
      </c>
    </row>
    <row r="361" spans="2:17" ht="18" customHeight="1" x14ac:dyDescent="0.3">
      <c r="B361" s="26"/>
      <c r="C361" s="28"/>
      <c r="D361" s="27"/>
      <c r="E361" s="29"/>
      <c r="F361" s="29"/>
      <c r="G361" s="29"/>
      <c r="H361" s="30" t="str">
        <f t="shared" si="35"/>
        <v/>
      </c>
      <c r="I361" s="31" t="str">
        <f>IF(OR(B361="",C361=""),"",IFERROR(E361*IF(E361="",0,VLOOKUP(C361,'📦 Precios Proforma'!$B$5:$D$104,IF(D361="DIA",2,3),FALSE)),0))</f>
        <v/>
      </c>
      <c r="J361" s="31" t="str">
        <f t="shared" si="36"/>
        <v/>
      </c>
      <c r="K361" s="31" t="str">
        <f t="shared" si="37"/>
        <v/>
      </c>
      <c r="L361" s="31" t="str">
        <f>IF(OR(B361="",C361=""),"",IFERROR(E361 / SUMIFS('📅 Resumen Diario'!$D$5:$D$504, '📅 Resumen Diario'!$B$5:$B$504, B361, '📅 Resumen Diario'!$C$5:$C$504, D361) * SUMIFS('📅 Resumen Diario'!$K$5:$K$504, '📅 Resumen Diario'!$B$5:$B$504, B361, '📅 Resumen Diario'!$C$5:$C$504, D361), 0))</f>
        <v/>
      </c>
      <c r="M361" s="31" t="str">
        <f t="shared" si="38"/>
        <v/>
      </c>
      <c r="N361" s="31" t="str">
        <f t="shared" si="39"/>
        <v/>
      </c>
      <c r="O361" s="31" t="str">
        <f>IF(OR(B361="",C361=""),"",K361-N361 + IFERROR(E361 / SUMIFS('📅 Resumen Diario'!$D$5:$D$504, '📅 Resumen Diario'!$B$5:$B$504, B361, '📅 Resumen Diario'!$C$5:$C$504, D361) * (SUMIFS('📋 Detalle Diario'!$E$5:$E$489, '📋 Detalle Diario'!$B$5:$B$489, B361, '📋 Detalle Diario'!$C$5:$C$489, D361) * 135 + SUMIFS('📋 Detalle Diario'!$I$5:$I$489, '📋 Detalle Diario'!$B$5:$B$489, B361, '📋 Detalle Diario'!$C$5:$C$489, D361) * 200), 0))</f>
        <v/>
      </c>
      <c r="P361" s="32" t="str">
        <f t="shared" si="40"/>
        <v/>
      </c>
      <c r="Q361" s="33" t="str">
        <f t="shared" si="41"/>
        <v/>
      </c>
    </row>
    <row r="362" spans="2:17" ht="18" customHeight="1" x14ac:dyDescent="0.3">
      <c r="B362" s="26"/>
      <c r="C362" s="17"/>
      <c r="D362" s="27"/>
      <c r="E362" s="18"/>
      <c r="F362" s="18"/>
      <c r="G362" s="18"/>
      <c r="H362" s="30" t="str">
        <f t="shared" si="35"/>
        <v/>
      </c>
      <c r="I362" s="31" t="str">
        <f>IF(OR(B362="",C362=""),"",IFERROR(E362*IF(E362="",0,VLOOKUP(C362,'📦 Precios Proforma'!$B$5:$D$104,IF(D362="DIA",2,3),FALSE)),0))</f>
        <v/>
      </c>
      <c r="J362" s="31" t="str">
        <f t="shared" si="36"/>
        <v/>
      </c>
      <c r="K362" s="31" t="str">
        <f t="shared" si="37"/>
        <v/>
      </c>
      <c r="L362" s="31" t="str">
        <f>IF(OR(B362="",C362=""),"",IFERROR(E362 / SUMIFS('📅 Resumen Diario'!$D$5:$D$504, '📅 Resumen Diario'!$B$5:$B$504, B362, '📅 Resumen Diario'!$C$5:$C$504, D362) * SUMIFS('📅 Resumen Diario'!$K$5:$K$504, '📅 Resumen Diario'!$B$5:$B$504, B362, '📅 Resumen Diario'!$C$5:$C$504, D362), 0))</f>
        <v/>
      </c>
      <c r="M362" s="31" t="str">
        <f t="shared" si="38"/>
        <v/>
      </c>
      <c r="N362" s="31" t="str">
        <f t="shared" si="39"/>
        <v/>
      </c>
      <c r="O362" s="31" t="str">
        <f>IF(OR(B362="",C362=""),"",K362-N362 + IFERROR(E362 / SUMIFS('📅 Resumen Diario'!$D$5:$D$504, '📅 Resumen Diario'!$B$5:$B$504, B362, '📅 Resumen Diario'!$C$5:$C$504, D362) * (SUMIFS('📋 Detalle Diario'!$E$5:$E$489, '📋 Detalle Diario'!$B$5:$B$489, B362, '📋 Detalle Diario'!$C$5:$C$489, D362) * 135 + SUMIFS('📋 Detalle Diario'!$I$5:$I$489, '📋 Detalle Diario'!$B$5:$B$489, B362, '📋 Detalle Diario'!$C$5:$C$489, D362) * 200), 0))</f>
        <v/>
      </c>
      <c r="P362" s="32" t="str">
        <f t="shared" si="40"/>
        <v/>
      </c>
      <c r="Q362" s="33" t="str">
        <f t="shared" si="41"/>
        <v/>
      </c>
    </row>
    <row r="363" spans="2:17" ht="18" customHeight="1" x14ac:dyDescent="0.3">
      <c r="B363" s="26"/>
      <c r="C363" s="28"/>
      <c r="D363" s="27"/>
      <c r="E363" s="29"/>
      <c r="F363" s="29"/>
      <c r="G363" s="29"/>
      <c r="H363" s="30" t="str">
        <f t="shared" si="35"/>
        <v/>
      </c>
      <c r="I363" s="31" t="str">
        <f>IF(OR(B363="",C363=""),"",IFERROR(E363*IF(E363="",0,VLOOKUP(C363,'📦 Precios Proforma'!$B$5:$D$104,IF(D363="DIA",2,3),FALSE)),0))</f>
        <v/>
      </c>
      <c r="J363" s="31" t="str">
        <f t="shared" si="36"/>
        <v/>
      </c>
      <c r="K363" s="31" t="str">
        <f t="shared" si="37"/>
        <v/>
      </c>
      <c r="L363" s="31" t="str">
        <f>IF(OR(B363="",C363=""),"",IFERROR(E363 / SUMIFS('📅 Resumen Diario'!$D$5:$D$504, '📅 Resumen Diario'!$B$5:$B$504, B363, '📅 Resumen Diario'!$C$5:$C$504, D363) * SUMIFS('📅 Resumen Diario'!$K$5:$K$504, '📅 Resumen Diario'!$B$5:$B$504, B363, '📅 Resumen Diario'!$C$5:$C$504, D363), 0))</f>
        <v/>
      </c>
      <c r="M363" s="31" t="str">
        <f t="shared" si="38"/>
        <v/>
      </c>
      <c r="N363" s="31" t="str">
        <f t="shared" si="39"/>
        <v/>
      </c>
      <c r="O363" s="31" t="str">
        <f>IF(OR(B363="",C363=""),"",K363-N363 + IFERROR(E363 / SUMIFS('📅 Resumen Diario'!$D$5:$D$504, '📅 Resumen Diario'!$B$5:$B$504, B363, '📅 Resumen Diario'!$C$5:$C$504, D363) * (SUMIFS('📋 Detalle Diario'!$E$5:$E$489, '📋 Detalle Diario'!$B$5:$B$489, B363, '📋 Detalle Diario'!$C$5:$C$489, D363) * 135 + SUMIFS('📋 Detalle Diario'!$I$5:$I$489, '📋 Detalle Diario'!$B$5:$B$489, B363, '📋 Detalle Diario'!$C$5:$C$489, D363) * 200), 0))</f>
        <v/>
      </c>
      <c r="P363" s="32" t="str">
        <f t="shared" si="40"/>
        <v/>
      </c>
      <c r="Q363" s="33" t="str">
        <f t="shared" si="41"/>
        <v/>
      </c>
    </row>
    <row r="364" spans="2:17" ht="18" customHeight="1" x14ac:dyDescent="0.3">
      <c r="B364" s="26"/>
      <c r="C364" s="17"/>
      <c r="D364" s="27"/>
      <c r="E364" s="18"/>
      <c r="F364" s="18"/>
      <c r="G364" s="18"/>
      <c r="H364" s="30" t="str">
        <f t="shared" si="35"/>
        <v/>
      </c>
      <c r="I364" s="31" t="str">
        <f>IF(OR(B364="",C364=""),"",IFERROR(E364*IF(E364="",0,VLOOKUP(C364,'📦 Precios Proforma'!$B$5:$D$104,IF(D364="DIA",2,3),FALSE)),0))</f>
        <v/>
      </c>
      <c r="J364" s="31" t="str">
        <f t="shared" si="36"/>
        <v/>
      </c>
      <c r="K364" s="31" t="str">
        <f t="shared" si="37"/>
        <v/>
      </c>
      <c r="L364" s="31" t="str">
        <f>IF(OR(B364="",C364=""),"",IFERROR(E364 / SUMIFS('📅 Resumen Diario'!$D$5:$D$504, '📅 Resumen Diario'!$B$5:$B$504, B364, '📅 Resumen Diario'!$C$5:$C$504, D364) * SUMIFS('📅 Resumen Diario'!$K$5:$K$504, '📅 Resumen Diario'!$B$5:$B$504, B364, '📅 Resumen Diario'!$C$5:$C$504, D364), 0))</f>
        <v/>
      </c>
      <c r="M364" s="31" t="str">
        <f t="shared" si="38"/>
        <v/>
      </c>
      <c r="N364" s="31" t="str">
        <f t="shared" si="39"/>
        <v/>
      </c>
      <c r="O364" s="31" t="str">
        <f>IF(OR(B364="",C364=""),"",K364-N364 + IFERROR(E364 / SUMIFS('📅 Resumen Diario'!$D$5:$D$504, '📅 Resumen Diario'!$B$5:$B$504, B364, '📅 Resumen Diario'!$C$5:$C$504, D364) * (SUMIFS('📋 Detalle Diario'!$E$5:$E$489, '📋 Detalle Diario'!$B$5:$B$489, B364, '📋 Detalle Diario'!$C$5:$C$489, D364) * 135 + SUMIFS('📋 Detalle Diario'!$I$5:$I$489, '📋 Detalle Diario'!$B$5:$B$489, B364, '📋 Detalle Diario'!$C$5:$C$489, D364) * 200), 0))</f>
        <v/>
      </c>
      <c r="P364" s="32" t="str">
        <f t="shared" si="40"/>
        <v/>
      </c>
      <c r="Q364" s="33" t="str">
        <f t="shared" si="41"/>
        <v/>
      </c>
    </row>
    <row r="365" spans="2:17" ht="18" customHeight="1" x14ac:dyDescent="0.3">
      <c r="B365" s="26"/>
      <c r="C365" s="28"/>
      <c r="D365" s="27"/>
      <c r="E365" s="29"/>
      <c r="F365" s="29"/>
      <c r="G365" s="29"/>
      <c r="H365" s="30" t="str">
        <f t="shared" si="35"/>
        <v/>
      </c>
      <c r="I365" s="31" t="str">
        <f>IF(OR(B365="",C365=""),"",IFERROR(E365*IF(E365="",0,VLOOKUP(C365,'📦 Precios Proforma'!$B$5:$D$104,IF(D365="DIA",2,3),FALSE)),0))</f>
        <v/>
      </c>
      <c r="J365" s="31" t="str">
        <f t="shared" si="36"/>
        <v/>
      </c>
      <c r="K365" s="31" t="str">
        <f t="shared" si="37"/>
        <v/>
      </c>
      <c r="L365" s="31" t="str">
        <f>IF(OR(B365="",C365=""),"",IFERROR(E365 / SUMIFS('📅 Resumen Diario'!$D$5:$D$504, '📅 Resumen Diario'!$B$5:$B$504, B365, '📅 Resumen Diario'!$C$5:$C$504, D365) * SUMIFS('📅 Resumen Diario'!$K$5:$K$504, '📅 Resumen Diario'!$B$5:$B$504, B365, '📅 Resumen Diario'!$C$5:$C$504, D365), 0))</f>
        <v/>
      </c>
      <c r="M365" s="31" t="str">
        <f t="shared" si="38"/>
        <v/>
      </c>
      <c r="N365" s="31" t="str">
        <f t="shared" si="39"/>
        <v/>
      </c>
      <c r="O365" s="31" t="str">
        <f>IF(OR(B365="",C365=""),"",K365-N365 + IFERROR(E365 / SUMIFS('📅 Resumen Diario'!$D$5:$D$504, '📅 Resumen Diario'!$B$5:$B$504, B365, '📅 Resumen Diario'!$C$5:$C$504, D365) * (SUMIFS('📋 Detalle Diario'!$E$5:$E$489, '📋 Detalle Diario'!$B$5:$B$489, B365, '📋 Detalle Diario'!$C$5:$C$489, D365) * 135 + SUMIFS('📋 Detalle Diario'!$I$5:$I$489, '📋 Detalle Diario'!$B$5:$B$489, B365, '📋 Detalle Diario'!$C$5:$C$489, D365) * 200), 0))</f>
        <v/>
      </c>
      <c r="P365" s="32" t="str">
        <f t="shared" si="40"/>
        <v/>
      </c>
      <c r="Q365" s="33" t="str">
        <f t="shared" si="41"/>
        <v/>
      </c>
    </row>
    <row r="366" spans="2:17" ht="18" customHeight="1" x14ac:dyDescent="0.3">
      <c r="B366" s="26"/>
      <c r="C366" s="17"/>
      <c r="D366" s="27"/>
      <c r="E366" s="18"/>
      <c r="F366" s="18"/>
      <c r="G366" s="18"/>
      <c r="H366" s="30" t="str">
        <f t="shared" si="35"/>
        <v/>
      </c>
      <c r="I366" s="31" t="str">
        <f>IF(OR(B366="",C366=""),"",IFERROR(E366*IF(E366="",0,VLOOKUP(C366,'📦 Precios Proforma'!$B$5:$D$104,IF(D366="DIA",2,3),FALSE)),0))</f>
        <v/>
      </c>
      <c r="J366" s="31" t="str">
        <f t="shared" si="36"/>
        <v/>
      </c>
      <c r="K366" s="31" t="str">
        <f t="shared" si="37"/>
        <v/>
      </c>
      <c r="L366" s="31" t="str">
        <f>IF(OR(B366="",C366=""),"",IFERROR(E366 / SUMIFS('📅 Resumen Diario'!$D$5:$D$504, '📅 Resumen Diario'!$B$5:$B$504, B366, '📅 Resumen Diario'!$C$5:$C$504, D366) * SUMIFS('📅 Resumen Diario'!$K$5:$K$504, '📅 Resumen Diario'!$B$5:$B$504, B366, '📅 Resumen Diario'!$C$5:$C$504, D366), 0))</f>
        <v/>
      </c>
      <c r="M366" s="31" t="str">
        <f t="shared" si="38"/>
        <v/>
      </c>
      <c r="N366" s="31" t="str">
        <f t="shared" si="39"/>
        <v/>
      </c>
      <c r="O366" s="31" t="str">
        <f>IF(OR(B366="",C366=""),"",K366-N366 + IFERROR(E366 / SUMIFS('📅 Resumen Diario'!$D$5:$D$504, '📅 Resumen Diario'!$B$5:$B$504, B366, '📅 Resumen Diario'!$C$5:$C$504, D366) * (SUMIFS('📋 Detalle Diario'!$E$5:$E$489, '📋 Detalle Diario'!$B$5:$B$489, B366, '📋 Detalle Diario'!$C$5:$C$489, D366) * 135 + SUMIFS('📋 Detalle Diario'!$I$5:$I$489, '📋 Detalle Diario'!$B$5:$B$489, B366, '📋 Detalle Diario'!$C$5:$C$489, D366) * 200), 0))</f>
        <v/>
      </c>
      <c r="P366" s="32" t="str">
        <f t="shared" si="40"/>
        <v/>
      </c>
      <c r="Q366" s="33" t="str">
        <f t="shared" si="41"/>
        <v/>
      </c>
    </row>
    <row r="367" spans="2:17" ht="18" customHeight="1" x14ac:dyDescent="0.3">
      <c r="B367" s="26"/>
      <c r="C367" s="28"/>
      <c r="D367" s="27"/>
      <c r="E367" s="29"/>
      <c r="F367" s="29"/>
      <c r="G367" s="29"/>
      <c r="H367" s="30" t="str">
        <f t="shared" si="35"/>
        <v/>
      </c>
      <c r="I367" s="31" t="str">
        <f>IF(OR(B367="",C367=""),"",IFERROR(E367*IF(E367="",0,VLOOKUP(C367,'📦 Precios Proforma'!$B$5:$D$104,IF(D367="DIA",2,3),FALSE)),0))</f>
        <v/>
      </c>
      <c r="J367" s="31" t="str">
        <f t="shared" si="36"/>
        <v/>
      </c>
      <c r="K367" s="31" t="str">
        <f t="shared" si="37"/>
        <v/>
      </c>
      <c r="L367" s="31" t="str">
        <f>IF(OR(B367="",C367=""),"",IFERROR(E367 / SUMIFS('📅 Resumen Diario'!$D$5:$D$504, '📅 Resumen Diario'!$B$5:$B$504, B367, '📅 Resumen Diario'!$C$5:$C$504, D367) * SUMIFS('📅 Resumen Diario'!$K$5:$K$504, '📅 Resumen Diario'!$B$5:$B$504, B367, '📅 Resumen Diario'!$C$5:$C$504, D367), 0))</f>
        <v/>
      </c>
      <c r="M367" s="31" t="str">
        <f t="shared" si="38"/>
        <v/>
      </c>
      <c r="N367" s="31" t="str">
        <f t="shared" si="39"/>
        <v/>
      </c>
      <c r="O367" s="31" t="str">
        <f>IF(OR(B367="",C367=""),"",K367-N367 + IFERROR(E367 / SUMIFS('📅 Resumen Diario'!$D$5:$D$504, '📅 Resumen Diario'!$B$5:$B$504, B367, '📅 Resumen Diario'!$C$5:$C$504, D367) * (SUMIFS('📋 Detalle Diario'!$E$5:$E$489, '📋 Detalle Diario'!$B$5:$B$489, B367, '📋 Detalle Diario'!$C$5:$C$489, D367) * 135 + SUMIFS('📋 Detalle Diario'!$I$5:$I$489, '📋 Detalle Diario'!$B$5:$B$489, B367, '📋 Detalle Diario'!$C$5:$C$489, D367) * 200), 0))</f>
        <v/>
      </c>
      <c r="P367" s="32" t="str">
        <f t="shared" si="40"/>
        <v/>
      </c>
      <c r="Q367" s="33" t="str">
        <f t="shared" si="41"/>
        <v/>
      </c>
    </row>
    <row r="368" spans="2:17" ht="18" customHeight="1" x14ac:dyDescent="0.3">
      <c r="B368" s="26"/>
      <c r="C368" s="17"/>
      <c r="D368" s="27"/>
      <c r="E368" s="18"/>
      <c r="F368" s="18"/>
      <c r="G368" s="18"/>
      <c r="H368" s="30" t="str">
        <f t="shared" si="35"/>
        <v/>
      </c>
      <c r="I368" s="31" t="str">
        <f>IF(OR(B368="",C368=""),"",IFERROR(E368*IF(E368="",0,VLOOKUP(C368,'📦 Precios Proforma'!$B$5:$D$104,IF(D368="DIA",2,3),FALSE)),0))</f>
        <v/>
      </c>
      <c r="J368" s="31" t="str">
        <f t="shared" si="36"/>
        <v/>
      </c>
      <c r="K368" s="31" t="str">
        <f t="shared" si="37"/>
        <v/>
      </c>
      <c r="L368" s="31" t="str">
        <f>IF(OR(B368="",C368=""),"",IFERROR(E368 / SUMIFS('📅 Resumen Diario'!$D$5:$D$504, '📅 Resumen Diario'!$B$5:$B$504, B368, '📅 Resumen Diario'!$C$5:$C$504, D368) * SUMIFS('📅 Resumen Diario'!$K$5:$K$504, '📅 Resumen Diario'!$B$5:$B$504, B368, '📅 Resumen Diario'!$C$5:$C$504, D368), 0))</f>
        <v/>
      </c>
      <c r="M368" s="31" t="str">
        <f t="shared" si="38"/>
        <v/>
      </c>
      <c r="N368" s="31" t="str">
        <f t="shared" si="39"/>
        <v/>
      </c>
      <c r="O368" s="31" t="str">
        <f>IF(OR(B368="",C368=""),"",K368-N368 + IFERROR(E368 / SUMIFS('📅 Resumen Diario'!$D$5:$D$504, '📅 Resumen Diario'!$B$5:$B$504, B368, '📅 Resumen Diario'!$C$5:$C$504, D368) * (SUMIFS('📋 Detalle Diario'!$E$5:$E$489, '📋 Detalle Diario'!$B$5:$B$489, B368, '📋 Detalle Diario'!$C$5:$C$489, D368) * 135 + SUMIFS('📋 Detalle Diario'!$I$5:$I$489, '📋 Detalle Diario'!$B$5:$B$489, B368, '📋 Detalle Diario'!$C$5:$C$489, D368) * 200), 0))</f>
        <v/>
      </c>
      <c r="P368" s="32" t="str">
        <f t="shared" si="40"/>
        <v/>
      </c>
      <c r="Q368" s="33" t="str">
        <f t="shared" si="41"/>
        <v/>
      </c>
    </row>
    <row r="369" spans="2:17" ht="18" customHeight="1" x14ac:dyDescent="0.3">
      <c r="B369" s="26"/>
      <c r="C369" s="28"/>
      <c r="D369" s="27"/>
      <c r="E369" s="29"/>
      <c r="F369" s="29"/>
      <c r="G369" s="29"/>
      <c r="H369" s="30" t="str">
        <f t="shared" si="35"/>
        <v/>
      </c>
      <c r="I369" s="31" t="str">
        <f>IF(OR(B369="",C369=""),"",IFERROR(E369*IF(E369="",0,VLOOKUP(C369,'📦 Precios Proforma'!$B$5:$D$104,IF(D369="DIA",2,3),FALSE)),0))</f>
        <v/>
      </c>
      <c r="J369" s="31" t="str">
        <f t="shared" si="36"/>
        <v/>
      </c>
      <c r="K369" s="31" t="str">
        <f t="shared" si="37"/>
        <v/>
      </c>
      <c r="L369" s="31" t="str">
        <f>IF(OR(B369="",C369=""),"",IFERROR(E369 / SUMIFS('📅 Resumen Diario'!$D$5:$D$504, '📅 Resumen Diario'!$B$5:$B$504, B369, '📅 Resumen Diario'!$C$5:$C$504, D369) * SUMIFS('📅 Resumen Diario'!$K$5:$K$504, '📅 Resumen Diario'!$B$5:$B$504, B369, '📅 Resumen Diario'!$C$5:$C$504, D369), 0))</f>
        <v/>
      </c>
      <c r="M369" s="31" t="str">
        <f t="shared" si="38"/>
        <v/>
      </c>
      <c r="N369" s="31" t="str">
        <f t="shared" si="39"/>
        <v/>
      </c>
      <c r="O369" s="31" t="str">
        <f>IF(OR(B369="",C369=""),"",K369-N369 + IFERROR(E369 / SUMIFS('📅 Resumen Diario'!$D$5:$D$504, '📅 Resumen Diario'!$B$5:$B$504, B369, '📅 Resumen Diario'!$C$5:$C$504, D369) * (SUMIFS('📋 Detalle Diario'!$E$5:$E$489, '📋 Detalle Diario'!$B$5:$B$489, B369, '📋 Detalle Diario'!$C$5:$C$489, D369) * 135 + SUMIFS('📋 Detalle Diario'!$I$5:$I$489, '📋 Detalle Diario'!$B$5:$B$489, B369, '📋 Detalle Diario'!$C$5:$C$489, D369) * 200), 0))</f>
        <v/>
      </c>
      <c r="P369" s="32" t="str">
        <f t="shared" si="40"/>
        <v/>
      </c>
      <c r="Q369" s="33" t="str">
        <f t="shared" si="41"/>
        <v/>
      </c>
    </row>
    <row r="370" spans="2:17" ht="18" customHeight="1" x14ac:dyDescent="0.3">
      <c r="B370" s="26"/>
      <c r="C370" s="17"/>
      <c r="D370" s="27"/>
      <c r="E370" s="18"/>
      <c r="F370" s="18"/>
      <c r="G370" s="18"/>
      <c r="H370" s="30" t="str">
        <f t="shared" si="35"/>
        <v/>
      </c>
      <c r="I370" s="31" t="str">
        <f>IF(OR(B370="",C370=""),"",IFERROR(E370*IF(E370="",0,VLOOKUP(C370,'📦 Precios Proforma'!$B$5:$D$104,IF(D370="DIA",2,3),FALSE)),0))</f>
        <v/>
      </c>
      <c r="J370" s="31" t="str">
        <f t="shared" si="36"/>
        <v/>
      </c>
      <c r="K370" s="31" t="str">
        <f t="shared" si="37"/>
        <v/>
      </c>
      <c r="L370" s="31" t="str">
        <f>IF(OR(B370="",C370=""),"",IFERROR(E370 / SUMIFS('📅 Resumen Diario'!$D$5:$D$504, '📅 Resumen Diario'!$B$5:$B$504, B370, '📅 Resumen Diario'!$C$5:$C$504, D370) * SUMIFS('📅 Resumen Diario'!$K$5:$K$504, '📅 Resumen Diario'!$B$5:$B$504, B370, '📅 Resumen Diario'!$C$5:$C$504, D370), 0))</f>
        <v/>
      </c>
      <c r="M370" s="31" t="str">
        <f t="shared" si="38"/>
        <v/>
      </c>
      <c r="N370" s="31" t="str">
        <f t="shared" si="39"/>
        <v/>
      </c>
      <c r="O370" s="31" t="str">
        <f>IF(OR(B370="",C370=""),"",K370-N370 + IFERROR(E370 / SUMIFS('📅 Resumen Diario'!$D$5:$D$504, '📅 Resumen Diario'!$B$5:$B$504, B370, '📅 Resumen Diario'!$C$5:$C$504, D370) * (SUMIFS('📋 Detalle Diario'!$E$5:$E$489, '📋 Detalle Diario'!$B$5:$B$489, B370, '📋 Detalle Diario'!$C$5:$C$489, D370) * 135 + SUMIFS('📋 Detalle Diario'!$I$5:$I$489, '📋 Detalle Diario'!$B$5:$B$489, B370, '📋 Detalle Diario'!$C$5:$C$489, D370) * 200), 0))</f>
        <v/>
      </c>
      <c r="P370" s="32" t="str">
        <f t="shared" si="40"/>
        <v/>
      </c>
      <c r="Q370" s="33" t="str">
        <f t="shared" si="41"/>
        <v/>
      </c>
    </row>
    <row r="371" spans="2:17" ht="18" customHeight="1" x14ac:dyDescent="0.3">
      <c r="B371" s="26"/>
      <c r="C371" s="28"/>
      <c r="D371" s="27"/>
      <c r="E371" s="29"/>
      <c r="F371" s="29"/>
      <c r="G371" s="29"/>
      <c r="H371" s="30" t="str">
        <f t="shared" si="35"/>
        <v/>
      </c>
      <c r="I371" s="31" t="str">
        <f>IF(OR(B371="",C371=""),"",IFERROR(E371*IF(E371="",0,VLOOKUP(C371,'📦 Precios Proforma'!$B$5:$D$104,IF(D371="DIA",2,3),FALSE)),0))</f>
        <v/>
      </c>
      <c r="J371" s="31" t="str">
        <f t="shared" si="36"/>
        <v/>
      </c>
      <c r="K371" s="31" t="str">
        <f t="shared" si="37"/>
        <v/>
      </c>
      <c r="L371" s="31" t="str">
        <f>IF(OR(B371="",C371=""),"",IFERROR(E371 / SUMIFS('📅 Resumen Diario'!$D$5:$D$504, '📅 Resumen Diario'!$B$5:$B$504, B371, '📅 Resumen Diario'!$C$5:$C$504, D371) * SUMIFS('📅 Resumen Diario'!$K$5:$K$504, '📅 Resumen Diario'!$B$5:$B$504, B371, '📅 Resumen Diario'!$C$5:$C$504, D371), 0))</f>
        <v/>
      </c>
      <c r="M371" s="31" t="str">
        <f t="shared" si="38"/>
        <v/>
      </c>
      <c r="N371" s="31" t="str">
        <f t="shared" si="39"/>
        <v/>
      </c>
      <c r="O371" s="31" t="str">
        <f>IF(OR(B371="",C371=""),"",K371-N371 + IFERROR(E371 / SUMIFS('📅 Resumen Diario'!$D$5:$D$504, '📅 Resumen Diario'!$B$5:$B$504, B371, '📅 Resumen Diario'!$C$5:$C$504, D371) * (SUMIFS('📋 Detalle Diario'!$E$5:$E$489, '📋 Detalle Diario'!$B$5:$B$489, B371, '📋 Detalle Diario'!$C$5:$C$489, D371) * 135 + SUMIFS('📋 Detalle Diario'!$I$5:$I$489, '📋 Detalle Diario'!$B$5:$B$489, B371, '📋 Detalle Diario'!$C$5:$C$489, D371) * 200), 0))</f>
        <v/>
      </c>
      <c r="P371" s="32" t="str">
        <f t="shared" si="40"/>
        <v/>
      </c>
      <c r="Q371" s="33" t="str">
        <f t="shared" si="41"/>
        <v/>
      </c>
    </row>
    <row r="372" spans="2:17" ht="18" customHeight="1" x14ac:dyDescent="0.3">
      <c r="B372" s="26"/>
      <c r="C372" s="17"/>
      <c r="D372" s="27"/>
      <c r="E372" s="18"/>
      <c r="F372" s="18"/>
      <c r="G372" s="18"/>
      <c r="H372" s="30" t="str">
        <f t="shared" si="35"/>
        <v/>
      </c>
      <c r="I372" s="31" t="str">
        <f>IF(OR(B372="",C372=""),"",IFERROR(E372*IF(E372="",0,VLOOKUP(C372,'📦 Precios Proforma'!$B$5:$D$104,IF(D372="DIA",2,3),FALSE)),0))</f>
        <v/>
      </c>
      <c r="J372" s="31" t="str">
        <f t="shared" si="36"/>
        <v/>
      </c>
      <c r="K372" s="31" t="str">
        <f t="shared" si="37"/>
        <v/>
      </c>
      <c r="L372" s="31" t="str">
        <f>IF(OR(B372="",C372=""),"",IFERROR(E372 / SUMIFS('📅 Resumen Diario'!$D$5:$D$504, '📅 Resumen Diario'!$B$5:$B$504, B372, '📅 Resumen Diario'!$C$5:$C$504, D372) * SUMIFS('📅 Resumen Diario'!$K$5:$K$504, '📅 Resumen Diario'!$B$5:$B$504, B372, '📅 Resumen Diario'!$C$5:$C$504, D372), 0))</f>
        <v/>
      </c>
      <c r="M372" s="31" t="str">
        <f t="shared" si="38"/>
        <v/>
      </c>
      <c r="N372" s="31" t="str">
        <f t="shared" si="39"/>
        <v/>
      </c>
      <c r="O372" s="31" t="str">
        <f>IF(OR(B372="",C372=""),"",K372-N372 + IFERROR(E372 / SUMIFS('📅 Resumen Diario'!$D$5:$D$504, '📅 Resumen Diario'!$B$5:$B$504, B372, '📅 Resumen Diario'!$C$5:$C$504, D372) * (SUMIFS('📋 Detalle Diario'!$E$5:$E$489, '📋 Detalle Diario'!$B$5:$B$489, B372, '📋 Detalle Diario'!$C$5:$C$489, D372) * 135 + SUMIFS('📋 Detalle Diario'!$I$5:$I$489, '📋 Detalle Diario'!$B$5:$B$489, B372, '📋 Detalle Diario'!$C$5:$C$489, D372) * 200), 0))</f>
        <v/>
      </c>
      <c r="P372" s="32" t="str">
        <f t="shared" si="40"/>
        <v/>
      </c>
      <c r="Q372" s="33" t="str">
        <f t="shared" si="41"/>
        <v/>
      </c>
    </row>
    <row r="373" spans="2:17" ht="18" customHeight="1" x14ac:dyDescent="0.3">
      <c r="B373" s="26"/>
      <c r="C373" s="28"/>
      <c r="D373" s="27"/>
      <c r="E373" s="29"/>
      <c r="F373" s="29"/>
      <c r="G373" s="29"/>
      <c r="H373" s="30" t="str">
        <f t="shared" si="35"/>
        <v/>
      </c>
      <c r="I373" s="31" t="str">
        <f>IF(OR(B373="",C373=""),"",IFERROR(E373*IF(E373="",0,VLOOKUP(C373,'📦 Precios Proforma'!$B$5:$D$104,IF(D373="DIA",2,3),FALSE)),0))</f>
        <v/>
      </c>
      <c r="J373" s="31" t="str">
        <f t="shared" si="36"/>
        <v/>
      </c>
      <c r="K373" s="31" t="str">
        <f t="shared" si="37"/>
        <v/>
      </c>
      <c r="L373" s="31" t="str">
        <f>IF(OR(B373="",C373=""),"",IFERROR(E373 / SUMIFS('📅 Resumen Diario'!$D$5:$D$504, '📅 Resumen Diario'!$B$5:$B$504, B373, '📅 Resumen Diario'!$C$5:$C$504, D373) * SUMIFS('📅 Resumen Diario'!$K$5:$K$504, '📅 Resumen Diario'!$B$5:$B$504, B373, '📅 Resumen Diario'!$C$5:$C$504, D373), 0))</f>
        <v/>
      </c>
      <c r="M373" s="31" t="str">
        <f t="shared" si="38"/>
        <v/>
      </c>
      <c r="N373" s="31" t="str">
        <f t="shared" si="39"/>
        <v/>
      </c>
      <c r="O373" s="31" t="str">
        <f>IF(OR(B373="",C373=""),"",K373-N373 + IFERROR(E373 / SUMIFS('📅 Resumen Diario'!$D$5:$D$504, '📅 Resumen Diario'!$B$5:$B$504, B373, '📅 Resumen Diario'!$C$5:$C$504, D373) * (SUMIFS('📋 Detalle Diario'!$E$5:$E$489, '📋 Detalle Diario'!$B$5:$B$489, B373, '📋 Detalle Diario'!$C$5:$C$489, D373) * 135 + SUMIFS('📋 Detalle Diario'!$I$5:$I$489, '📋 Detalle Diario'!$B$5:$B$489, B373, '📋 Detalle Diario'!$C$5:$C$489, D373) * 200), 0))</f>
        <v/>
      </c>
      <c r="P373" s="32" t="str">
        <f t="shared" si="40"/>
        <v/>
      </c>
      <c r="Q373" s="33" t="str">
        <f t="shared" si="41"/>
        <v/>
      </c>
    </row>
    <row r="374" spans="2:17" ht="18" customHeight="1" x14ac:dyDescent="0.3">
      <c r="B374" s="26"/>
      <c r="C374" s="17"/>
      <c r="D374" s="27"/>
      <c r="E374" s="18"/>
      <c r="F374" s="18"/>
      <c r="G374" s="18"/>
      <c r="H374" s="30" t="str">
        <f t="shared" si="35"/>
        <v/>
      </c>
      <c r="I374" s="31" t="str">
        <f>IF(OR(B374="",C374=""),"",IFERROR(E374*IF(E374="",0,VLOOKUP(C374,'📦 Precios Proforma'!$B$5:$D$104,IF(D374="DIA",2,3),FALSE)),0))</f>
        <v/>
      </c>
      <c r="J374" s="31" t="str">
        <f t="shared" si="36"/>
        <v/>
      </c>
      <c r="K374" s="31" t="str">
        <f t="shared" si="37"/>
        <v/>
      </c>
      <c r="L374" s="31" t="str">
        <f>IF(OR(B374="",C374=""),"",IFERROR(E374 / SUMIFS('📅 Resumen Diario'!$D$5:$D$504, '📅 Resumen Diario'!$B$5:$B$504, B374, '📅 Resumen Diario'!$C$5:$C$504, D374) * SUMIFS('📅 Resumen Diario'!$K$5:$K$504, '📅 Resumen Diario'!$B$5:$B$504, B374, '📅 Resumen Diario'!$C$5:$C$504, D374), 0))</f>
        <v/>
      </c>
      <c r="M374" s="31" t="str">
        <f t="shared" si="38"/>
        <v/>
      </c>
      <c r="N374" s="31" t="str">
        <f t="shared" si="39"/>
        <v/>
      </c>
      <c r="O374" s="31" t="str">
        <f>IF(OR(B374="",C374=""),"",K374-N374 + IFERROR(E374 / SUMIFS('📅 Resumen Diario'!$D$5:$D$504, '📅 Resumen Diario'!$B$5:$B$504, B374, '📅 Resumen Diario'!$C$5:$C$504, D374) * (SUMIFS('📋 Detalle Diario'!$E$5:$E$489, '📋 Detalle Diario'!$B$5:$B$489, B374, '📋 Detalle Diario'!$C$5:$C$489, D374) * 135 + SUMIFS('📋 Detalle Diario'!$I$5:$I$489, '📋 Detalle Diario'!$B$5:$B$489, B374, '📋 Detalle Diario'!$C$5:$C$489, D374) * 200), 0))</f>
        <v/>
      </c>
      <c r="P374" s="32" t="str">
        <f t="shared" si="40"/>
        <v/>
      </c>
      <c r="Q374" s="33" t="str">
        <f t="shared" si="41"/>
        <v/>
      </c>
    </row>
    <row r="375" spans="2:17" ht="18" customHeight="1" x14ac:dyDescent="0.3">
      <c r="B375" s="26"/>
      <c r="C375" s="28"/>
      <c r="D375" s="27"/>
      <c r="E375" s="29"/>
      <c r="F375" s="29"/>
      <c r="G375" s="29"/>
      <c r="H375" s="30" t="str">
        <f t="shared" si="35"/>
        <v/>
      </c>
      <c r="I375" s="31" t="str">
        <f>IF(OR(B375="",C375=""),"",IFERROR(E375*IF(E375="",0,VLOOKUP(C375,'📦 Precios Proforma'!$B$5:$D$104,IF(D375="DIA",2,3),FALSE)),0))</f>
        <v/>
      </c>
      <c r="J375" s="31" t="str">
        <f t="shared" si="36"/>
        <v/>
      </c>
      <c r="K375" s="31" t="str">
        <f t="shared" si="37"/>
        <v/>
      </c>
      <c r="L375" s="31" t="str">
        <f>IF(OR(B375="",C375=""),"",IFERROR(E375 / SUMIFS('📅 Resumen Diario'!$D$5:$D$504, '📅 Resumen Diario'!$B$5:$B$504, B375, '📅 Resumen Diario'!$C$5:$C$504, D375) * SUMIFS('📅 Resumen Diario'!$K$5:$K$504, '📅 Resumen Diario'!$B$5:$B$504, B375, '📅 Resumen Diario'!$C$5:$C$504, D375), 0))</f>
        <v/>
      </c>
      <c r="M375" s="31" t="str">
        <f t="shared" si="38"/>
        <v/>
      </c>
      <c r="N375" s="31" t="str">
        <f t="shared" si="39"/>
        <v/>
      </c>
      <c r="O375" s="31" t="str">
        <f>IF(OR(B375="",C375=""),"",K375-N375 + IFERROR(E375 / SUMIFS('📅 Resumen Diario'!$D$5:$D$504, '📅 Resumen Diario'!$B$5:$B$504, B375, '📅 Resumen Diario'!$C$5:$C$504, D375) * (SUMIFS('📋 Detalle Diario'!$E$5:$E$489, '📋 Detalle Diario'!$B$5:$B$489, B375, '📋 Detalle Diario'!$C$5:$C$489, D375) * 135 + SUMIFS('📋 Detalle Diario'!$I$5:$I$489, '📋 Detalle Diario'!$B$5:$B$489, B375, '📋 Detalle Diario'!$C$5:$C$489, D375) * 200), 0))</f>
        <v/>
      </c>
      <c r="P375" s="32" t="str">
        <f t="shared" si="40"/>
        <v/>
      </c>
      <c r="Q375" s="33" t="str">
        <f t="shared" si="41"/>
        <v/>
      </c>
    </row>
    <row r="376" spans="2:17" ht="18" customHeight="1" x14ac:dyDescent="0.3">
      <c r="B376" s="26"/>
      <c r="C376" s="17"/>
      <c r="D376" s="27"/>
      <c r="E376" s="18"/>
      <c r="F376" s="18"/>
      <c r="G376" s="18"/>
      <c r="H376" s="30" t="str">
        <f t="shared" si="35"/>
        <v/>
      </c>
      <c r="I376" s="31" t="str">
        <f>IF(OR(B376="",C376=""),"",IFERROR(E376*IF(E376="",0,VLOOKUP(C376,'📦 Precios Proforma'!$B$5:$D$104,IF(D376="DIA",2,3),FALSE)),0))</f>
        <v/>
      </c>
      <c r="J376" s="31" t="str">
        <f t="shared" si="36"/>
        <v/>
      </c>
      <c r="K376" s="31" t="str">
        <f t="shared" si="37"/>
        <v/>
      </c>
      <c r="L376" s="31" t="str">
        <f>IF(OR(B376="",C376=""),"",IFERROR(E376 / SUMIFS('📅 Resumen Diario'!$D$5:$D$504, '📅 Resumen Diario'!$B$5:$B$504, B376, '📅 Resumen Diario'!$C$5:$C$504, D376) * SUMIFS('📅 Resumen Diario'!$K$5:$K$504, '📅 Resumen Diario'!$B$5:$B$504, B376, '📅 Resumen Diario'!$C$5:$C$504, D376), 0))</f>
        <v/>
      </c>
      <c r="M376" s="31" t="str">
        <f t="shared" si="38"/>
        <v/>
      </c>
      <c r="N376" s="31" t="str">
        <f t="shared" si="39"/>
        <v/>
      </c>
      <c r="O376" s="31" t="str">
        <f>IF(OR(B376="",C376=""),"",K376-N376 + IFERROR(E376 / SUMIFS('📅 Resumen Diario'!$D$5:$D$504, '📅 Resumen Diario'!$B$5:$B$504, B376, '📅 Resumen Diario'!$C$5:$C$504, D376) * (SUMIFS('📋 Detalle Diario'!$E$5:$E$489, '📋 Detalle Diario'!$B$5:$B$489, B376, '📋 Detalle Diario'!$C$5:$C$489, D376) * 135 + SUMIFS('📋 Detalle Diario'!$I$5:$I$489, '📋 Detalle Diario'!$B$5:$B$489, B376, '📋 Detalle Diario'!$C$5:$C$489, D376) * 200), 0))</f>
        <v/>
      </c>
      <c r="P376" s="32" t="str">
        <f t="shared" si="40"/>
        <v/>
      </c>
      <c r="Q376" s="33" t="str">
        <f t="shared" si="41"/>
        <v/>
      </c>
    </row>
    <row r="377" spans="2:17" ht="18" customHeight="1" x14ac:dyDescent="0.3">
      <c r="B377" s="26"/>
      <c r="C377" s="28"/>
      <c r="D377" s="27"/>
      <c r="E377" s="29"/>
      <c r="F377" s="29"/>
      <c r="G377" s="29"/>
      <c r="H377" s="30" t="str">
        <f t="shared" si="35"/>
        <v/>
      </c>
      <c r="I377" s="31" t="str">
        <f>IF(OR(B377="",C377=""),"",IFERROR(E377*IF(E377="",0,VLOOKUP(C377,'📦 Precios Proforma'!$B$5:$D$104,IF(D377="DIA",2,3),FALSE)),0))</f>
        <v/>
      </c>
      <c r="J377" s="31" t="str">
        <f t="shared" si="36"/>
        <v/>
      </c>
      <c r="K377" s="31" t="str">
        <f t="shared" si="37"/>
        <v/>
      </c>
      <c r="L377" s="31" t="str">
        <f>IF(OR(B377="",C377=""),"",IFERROR(E377 / SUMIFS('📅 Resumen Diario'!$D$5:$D$504, '📅 Resumen Diario'!$B$5:$B$504, B377, '📅 Resumen Diario'!$C$5:$C$504, D377) * SUMIFS('📅 Resumen Diario'!$K$5:$K$504, '📅 Resumen Diario'!$B$5:$B$504, B377, '📅 Resumen Diario'!$C$5:$C$504, D377), 0))</f>
        <v/>
      </c>
      <c r="M377" s="31" t="str">
        <f t="shared" si="38"/>
        <v/>
      </c>
      <c r="N377" s="31" t="str">
        <f t="shared" si="39"/>
        <v/>
      </c>
      <c r="O377" s="31" t="str">
        <f>IF(OR(B377="",C377=""),"",K377-N377 + IFERROR(E377 / SUMIFS('📅 Resumen Diario'!$D$5:$D$504, '📅 Resumen Diario'!$B$5:$B$504, B377, '📅 Resumen Diario'!$C$5:$C$504, D377) * (SUMIFS('📋 Detalle Diario'!$E$5:$E$489, '📋 Detalle Diario'!$B$5:$B$489, B377, '📋 Detalle Diario'!$C$5:$C$489, D377) * 135 + SUMIFS('📋 Detalle Diario'!$I$5:$I$489, '📋 Detalle Diario'!$B$5:$B$489, B377, '📋 Detalle Diario'!$C$5:$C$489, D377) * 200), 0))</f>
        <v/>
      </c>
      <c r="P377" s="32" t="str">
        <f t="shared" si="40"/>
        <v/>
      </c>
      <c r="Q377" s="33" t="str">
        <f t="shared" si="41"/>
        <v/>
      </c>
    </row>
    <row r="378" spans="2:17" ht="18" customHeight="1" x14ac:dyDescent="0.3">
      <c r="B378" s="26"/>
      <c r="C378" s="17"/>
      <c r="D378" s="27"/>
      <c r="E378" s="18"/>
      <c r="F378" s="18"/>
      <c r="G378" s="18"/>
      <c r="H378" s="30" t="str">
        <f t="shared" si="35"/>
        <v/>
      </c>
      <c r="I378" s="31" t="str">
        <f>IF(OR(B378="",C378=""),"",IFERROR(E378*IF(E378="",0,VLOOKUP(C378,'📦 Precios Proforma'!$B$5:$D$104,IF(D378="DIA",2,3),FALSE)),0))</f>
        <v/>
      </c>
      <c r="J378" s="31" t="str">
        <f t="shared" si="36"/>
        <v/>
      </c>
      <c r="K378" s="31" t="str">
        <f t="shared" si="37"/>
        <v/>
      </c>
      <c r="L378" s="31" t="str">
        <f>IF(OR(B378="",C378=""),"",IFERROR(E378 / SUMIFS('📅 Resumen Diario'!$D$5:$D$504, '📅 Resumen Diario'!$B$5:$B$504, B378, '📅 Resumen Diario'!$C$5:$C$504, D378) * SUMIFS('📅 Resumen Diario'!$K$5:$K$504, '📅 Resumen Diario'!$B$5:$B$504, B378, '📅 Resumen Diario'!$C$5:$C$504, D378), 0))</f>
        <v/>
      </c>
      <c r="M378" s="31" t="str">
        <f t="shared" si="38"/>
        <v/>
      </c>
      <c r="N378" s="31" t="str">
        <f t="shared" si="39"/>
        <v/>
      </c>
      <c r="O378" s="31" t="str">
        <f>IF(OR(B378="",C378=""),"",K378-N378 + IFERROR(E378 / SUMIFS('📅 Resumen Diario'!$D$5:$D$504, '📅 Resumen Diario'!$B$5:$B$504, B378, '📅 Resumen Diario'!$C$5:$C$504, D378) * (SUMIFS('📋 Detalle Diario'!$E$5:$E$489, '📋 Detalle Diario'!$B$5:$B$489, B378, '📋 Detalle Diario'!$C$5:$C$489, D378) * 135 + SUMIFS('📋 Detalle Diario'!$I$5:$I$489, '📋 Detalle Diario'!$B$5:$B$489, B378, '📋 Detalle Diario'!$C$5:$C$489, D378) * 200), 0))</f>
        <v/>
      </c>
      <c r="P378" s="32" t="str">
        <f t="shared" si="40"/>
        <v/>
      </c>
      <c r="Q378" s="33" t="str">
        <f t="shared" si="41"/>
        <v/>
      </c>
    </row>
    <row r="379" spans="2:17" ht="18" customHeight="1" x14ac:dyDescent="0.3">
      <c r="B379" s="26"/>
      <c r="C379" s="28"/>
      <c r="D379" s="27"/>
      <c r="E379" s="29"/>
      <c r="F379" s="29"/>
      <c r="G379" s="29"/>
      <c r="H379" s="30" t="str">
        <f t="shared" si="35"/>
        <v/>
      </c>
      <c r="I379" s="31" t="str">
        <f>IF(OR(B379="",C379=""),"",IFERROR(E379*IF(E379="",0,VLOOKUP(C379,'📦 Precios Proforma'!$B$5:$D$104,IF(D379="DIA",2,3),FALSE)),0))</f>
        <v/>
      </c>
      <c r="J379" s="31" t="str">
        <f t="shared" si="36"/>
        <v/>
      </c>
      <c r="K379" s="31" t="str">
        <f t="shared" si="37"/>
        <v/>
      </c>
      <c r="L379" s="31" t="str">
        <f>IF(OR(B379="",C379=""),"",IFERROR(E379 / SUMIFS('📅 Resumen Diario'!$D$5:$D$504, '📅 Resumen Diario'!$B$5:$B$504, B379, '📅 Resumen Diario'!$C$5:$C$504, D379) * SUMIFS('📅 Resumen Diario'!$K$5:$K$504, '📅 Resumen Diario'!$B$5:$B$504, B379, '📅 Resumen Diario'!$C$5:$C$504, D379), 0))</f>
        <v/>
      </c>
      <c r="M379" s="31" t="str">
        <f t="shared" si="38"/>
        <v/>
      </c>
      <c r="N379" s="31" t="str">
        <f t="shared" si="39"/>
        <v/>
      </c>
      <c r="O379" s="31" t="str">
        <f>IF(OR(B379="",C379=""),"",K379-N379 + IFERROR(E379 / SUMIFS('📅 Resumen Diario'!$D$5:$D$504, '📅 Resumen Diario'!$B$5:$B$504, B379, '📅 Resumen Diario'!$C$5:$C$504, D379) * (SUMIFS('📋 Detalle Diario'!$E$5:$E$489, '📋 Detalle Diario'!$B$5:$B$489, B379, '📋 Detalle Diario'!$C$5:$C$489, D379) * 135 + SUMIFS('📋 Detalle Diario'!$I$5:$I$489, '📋 Detalle Diario'!$B$5:$B$489, B379, '📋 Detalle Diario'!$C$5:$C$489, D379) * 200), 0))</f>
        <v/>
      </c>
      <c r="P379" s="32" t="str">
        <f t="shared" si="40"/>
        <v/>
      </c>
      <c r="Q379" s="33" t="str">
        <f t="shared" si="41"/>
        <v/>
      </c>
    </row>
    <row r="380" spans="2:17" ht="18" customHeight="1" x14ac:dyDescent="0.3">
      <c r="B380" s="26"/>
      <c r="C380" s="17"/>
      <c r="D380" s="27"/>
      <c r="E380" s="18"/>
      <c r="F380" s="18"/>
      <c r="G380" s="18"/>
      <c r="H380" s="30" t="str">
        <f t="shared" si="35"/>
        <v/>
      </c>
      <c r="I380" s="31" t="str">
        <f>IF(OR(B380="",C380=""),"",IFERROR(E380*IF(E380="",0,VLOOKUP(C380,'📦 Precios Proforma'!$B$5:$D$104,IF(D380="DIA",2,3),FALSE)),0))</f>
        <v/>
      </c>
      <c r="J380" s="31" t="str">
        <f t="shared" si="36"/>
        <v/>
      </c>
      <c r="K380" s="31" t="str">
        <f t="shared" si="37"/>
        <v/>
      </c>
      <c r="L380" s="31" t="str">
        <f>IF(OR(B380="",C380=""),"",IFERROR(E380 / SUMIFS('📅 Resumen Diario'!$D$5:$D$504, '📅 Resumen Diario'!$B$5:$B$504, B380, '📅 Resumen Diario'!$C$5:$C$504, D380) * SUMIFS('📅 Resumen Diario'!$K$5:$K$504, '📅 Resumen Diario'!$B$5:$B$504, B380, '📅 Resumen Diario'!$C$5:$C$504, D380), 0))</f>
        <v/>
      </c>
      <c r="M380" s="31" t="str">
        <f t="shared" si="38"/>
        <v/>
      </c>
      <c r="N380" s="31" t="str">
        <f t="shared" si="39"/>
        <v/>
      </c>
      <c r="O380" s="31" t="str">
        <f>IF(OR(B380="",C380=""),"",K380-N380 + IFERROR(E380 / SUMIFS('📅 Resumen Diario'!$D$5:$D$504, '📅 Resumen Diario'!$B$5:$B$504, B380, '📅 Resumen Diario'!$C$5:$C$504, D380) * (SUMIFS('📋 Detalle Diario'!$E$5:$E$489, '📋 Detalle Diario'!$B$5:$B$489, B380, '📋 Detalle Diario'!$C$5:$C$489, D380) * 135 + SUMIFS('📋 Detalle Diario'!$I$5:$I$489, '📋 Detalle Diario'!$B$5:$B$489, B380, '📋 Detalle Diario'!$C$5:$C$489, D380) * 200), 0))</f>
        <v/>
      </c>
      <c r="P380" s="32" t="str">
        <f t="shared" si="40"/>
        <v/>
      </c>
      <c r="Q380" s="33" t="str">
        <f t="shared" si="41"/>
        <v/>
      </c>
    </row>
    <row r="381" spans="2:17" ht="18" customHeight="1" x14ac:dyDescent="0.3">
      <c r="B381" s="26"/>
      <c r="C381" s="28"/>
      <c r="D381" s="27"/>
      <c r="E381" s="29"/>
      <c r="F381" s="29"/>
      <c r="G381" s="29"/>
      <c r="H381" s="30" t="str">
        <f t="shared" si="35"/>
        <v/>
      </c>
      <c r="I381" s="31" t="str">
        <f>IF(OR(B381="",C381=""),"",IFERROR(E381*IF(E381="",0,VLOOKUP(C381,'📦 Precios Proforma'!$B$5:$D$104,IF(D381="DIA",2,3),FALSE)),0))</f>
        <v/>
      </c>
      <c r="J381" s="31" t="str">
        <f t="shared" si="36"/>
        <v/>
      </c>
      <c r="K381" s="31" t="str">
        <f t="shared" si="37"/>
        <v/>
      </c>
      <c r="L381" s="31" t="str">
        <f>IF(OR(B381="",C381=""),"",IFERROR(E381 / SUMIFS('📅 Resumen Diario'!$D$5:$D$504, '📅 Resumen Diario'!$B$5:$B$504, B381, '📅 Resumen Diario'!$C$5:$C$504, D381) * SUMIFS('📅 Resumen Diario'!$K$5:$K$504, '📅 Resumen Diario'!$B$5:$B$504, B381, '📅 Resumen Diario'!$C$5:$C$504, D381), 0))</f>
        <v/>
      </c>
      <c r="M381" s="31" t="str">
        <f t="shared" si="38"/>
        <v/>
      </c>
      <c r="N381" s="31" t="str">
        <f t="shared" si="39"/>
        <v/>
      </c>
      <c r="O381" s="31" t="str">
        <f>IF(OR(B381="",C381=""),"",K381-N381 + IFERROR(E381 / SUMIFS('📅 Resumen Diario'!$D$5:$D$504, '📅 Resumen Diario'!$B$5:$B$504, B381, '📅 Resumen Diario'!$C$5:$C$504, D381) * (SUMIFS('📋 Detalle Diario'!$E$5:$E$489, '📋 Detalle Diario'!$B$5:$B$489, B381, '📋 Detalle Diario'!$C$5:$C$489, D381) * 135 + SUMIFS('📋 Detalle Diario'!$I$5:$I$489, '📋 Detalle Diario'!$B$5:$B$489, B381, '📋 Detalle Diario'!$C$5:$C$489, D381) * 200), 0))</f>
        <v/>
      </c>
      <c r="P381" s="32" t="str">
        <f t="shared" si="40"/>
        <v/>
      </c>
      <c r="Q381" s="33" t="str">
        <f t="shared" si="41"/>
        <v/>
      </c>
    </row>
    <row r="382" spans="2:17" ht="18" customHeight="1" x14ac:dyDescent="0.3">
      <c r="B382" s="26"/>
      <c r="C382" s="17"/>
      <c r="D382" s="27"/>
      <c r="E382" s="18"/>
      <c r="F382" s="18"/>
      <c r="G382" s="18"/>
      <c r="H382" s="30" t="str">
        <f t="shared" si="35"/>
        <v/>
      </c>
      <c r="I382" s="31" t="str">
        <f>IF(OR(B382="",C382=""),"",IFERROR(E382*IF(E382="",0,VLOOKUP(C382,'📦 Precios Proforma'!$B$5:$D$104,IF(D382="DIA",2,3),FALSE)),0))</f>
        <v/>
      </c>
      <c r="J382" s="31" t="str">
        <f t="shared" si="36"/>
        <v/>
      </c>
      <c r="K382" s="31" t="str">
        <f t="shared" si="37"/>
        <v/>
      </c>
      <c r="L382" s="31" t="str">
        <f>IF(OR(B382="",C382=""),"",IFERROR(E382 / SUMIFS('📅 Resumen Diario'!$D$5:$D$504, '📅 Resumen Diario'!$B$5:$B$504, B382, '📅 Resumen Diario'!$C$5:$C$504, D382) * SUMIFS('📅 Resumen Diario'!$K$5:$K$504, '📅 Resumen Diario'!$B$5:$B$504, B382, '📅 Resumen Diario'!$C$5:$C$504, D382), 0))</f>
        <v/>
      </c>
      <c r="M382" s="31" t="str">
        <f t="shared" si="38"/>
        <v/>
      </c>
      <c r="N382" s="31" t="str">
        <f t="shared" si="39"/>
        <v/>
      </c>
      <c r="O382" s="31" t="str">
        <f>IF(OR(B382="",C382=""),"",K382-N382 + IFERROR(E382 / SUMIFS('📅 Resumen Diario'!$D$5:$D$504, '📅 Resumen Diario'!$B$5:$B$504, B382, '📅 Resumen Diario'!$C$5:$C$504, D382) * (SUMIFS('📋 Detalle Diario'!$E$5:$E$489, '📋 Detalle Diario'!$B$5:$B$489, B382, '📋 Detalle Diario'!$C$5:$C$489, D382) * 135 + SUMIFS('📋 Detalle Diario'!$I$5:$I$489, '📋 Detalle Diario'!$B$5:$B$489, B382, '📋 Detalle Diario'!$C$5:$C$489, D382) * 200), 0))</f>
        <v/>
      </c>
      <c r="P382" s="32" t="str">
        <f t="shared" si="40"/>
        <v/>
      </c>
      <c r="Q382" s="33" t="str">
        <f t="shared" si="41"/>
        <v/>
      </c>
    </row>
    <row r="383" spans="2:17" ht="18" customHeight="1" x14ac:dyDescent="0.3">
      <c r="B383" s="26"/>
      <c r="C383" s="28"/>
      <c r="D383" s="27"/>
      <c r="E383" s="29"/>
      <c r="F383" s="29"/>
      <c r="G383" s="29"/>
      <c r="H383" s="30" t="str">
        <f t="shared" si="35"/>
        <v/>
      </c>
      <c r="I383" s="31" t="str">
        <f>IF(OR(B383="",C383=""),"",IFERROR(E383*IF(E383="",0,VLOOKUP(C383,'📦 Precios Proforma'!$B$5:$D$104,IF(D383="DIA",2,3),FALSE)),0))</f>
        <v/>
      </c>
      <c r="J383" s="31" t="str">
        <f t="shared" si="36"/>
        <v/>
      </c>
      <c r="K383" s="31" t="str">
        <f t="shared" si="37"/>
        <v/>
      </c>
      <c r="L383" s="31" t="str">
        <f>IF(OR(B383="",C383=""),"",IFERROR(E383 / SUMIFS('📅 Resumen Diario'!$D$5:$D$504, '📅 Resumen Diario'!$B$5:$B$504, B383, '📅 Resumen Diario'!$C$5:$C$504, D383) * SUMIFS('📅 Resumen Diario'!$K$5:$K$504, '📅 Resumen Diario'!$B$5:$B$504, B383, '📅 Resumen Diario'!$C$5:$C$504, D383), 0))</f>
        <v/>
      </c>
      <c r="M383" s="31" t="str">
        <f t="shared" si="38"/>
        <v/>
      </c>
      <c r="N383" s="31" t="str">
        <f t="shared" si="39"/>
        <v/>
      </c>
      <c r="O383" s="31" t="str">
        <f>IF(OR(B383="",C383=""),"",K383-N383 + IFERROR(E383 / SUMIFS('📅 Resumen Diario'!$D$5:$D$504, '📅 Resumen Diario'!$B$5:$B$504, B383, '📅 Resumen Diario'!$C$5:$C$504, D383) * (SUMIFS('📋 Detalle Diario'!$E$5:$E$489, '📋 Detalle Diario'!$B$5:$B$489, B383, '📋 Detalle Diario'!$C$5:$C$489, D383) * 135 + SUMIFS('📋 Detalle Diario'!$I$5:$I$489, '📋 Detalle Diario'!$B$5:$B$489, B383, '📋 Detalle Diario'!$C$5:$C$489, D383) * 200), 0))</f>
        <v/>
      </c>
      <c r="P383" s="32" t="str">
        <f t="shared" si="40"/>
        <v/>
      </c>
      <c r="Q383" s="33" t="str">
        <f t="shared" si="41"/>
        <v/>
      </c>
    </row>
    <row r="384" spans="2:17" ht="18" customHeight="1" x14ac:dyDescent="0.3">
      <c r="B384" s="26"/>
      <c r="C384" s="17"/>
      <c r="D384" s="27"/>
      <c r="E384" s="18"/>
      <c r="F384" s="18"/>
      <c r="G384" s="18"/>
      <c r="H384" s="30" t="str">
        <f t="shared" si="35"/>
        <v/>
      </c>
      <c r="I384" s="31" t="str">
        <f>IF(OR(B384="",C384=""),"",IFERROR(E384*IF(E384="",0,VLOOKUP(C384,'📦 Precios Proforma'!$B$5:$D$104,IF(D384="DIA",2,3),FALSE)),0))</f>
        <v/>
      </c>
      <c r="J384" s="31" t="str">
        <f t="shared" si="36"/>
        <v/>
      </c>
      <c r="K384" s="31" t="str">
        <f t="shared" si="37"/>
        <v/>
      </c>
      <c r="L384" s="31" t="str">
        <f>IF(OR(B384="",C384=""),"",IFERROR(E384 / SUMIFS('📅 Resumen Diario'!$D$5:$D$504, '📅 Resumen Diario'!$B$5:$B$504, B384, '📅 Resumen Diario'!$C$5:$C$504, D384) * SUMIFS('📅 Resumen Diario'!$K$5:$K$504, '📅 Resumen Diario'!$B$5:$B$504, B384, '📅 Resumen Diario'!$C$5:$C$504, D384), 0))</f>
        <v/>
      </c>
      <c r="M384" s="31" t="str">
        <f t="shared" si="38"/>
        <v/>
      </c>
      <c r="N384" s="31" t="str">
        <f t="shared" si="39"/>
        <v/>
      </c>
      <c r="O384" s="31" t="str">
        <f>IF(OR(B384="",C384=""),"",K384-N384 + IFERROR(E384 / SUMIFS('📅 Resumen Diario'!$D$5:$D$504, '📅 Resumen Diario'!$B$5:$B$504, B384, '📅 Resumen Diario'!$C$5:$C$504, D384) * (SUMIFS('📋 Detalle Diario'!$E$5:$E$489, '📋 Detalle Diario'!$B$5:$B$489, B384, '📋 Detalle Diario'!$C$5:$C$489, D384) * 135 + SUMIFS('📋 Detalle Diario'!$I$5:$I$489, '📋 Detalle Diario'!$B$5:$B$489, B384, '📋 Detalle Diario'!$C$5:$C$489, D384) * 200), 0))</f>
        <v/>
      </c>
      <c r="P384" s="32" t="str">
        <f t="shared" si="40"/>
        <v/>
      </c>
      <c r="Q384" s="33" t="str">
        <f t="shared" si="41"/>
        <v/>
      </c>
    </row>
    <row r="385" spans="2:17" ht="18" customHeight="1" x14ac:dyDescent="0.3">
      <c r="B385" s="26"/>
      <c r="C385" s="28"/>
      <c r="D385" s="27"/>
      <c r="E385" s="29"/>
      <c r="F385" s="29"/>
      <c r="G385" s="29"/>
      <c r="H385" s="30" t="str">
        <f t="shared" si="35"/>
        <v/>
      </c>
      <c r="I385" s="31" t="str">
        <f>IF(OR(B385="",C385=""),"",IFERROR(E385*IF(E385="",0,VLOOKUP(C385,'📦 Precios Proforma'!$B$5:$D$104,IF(D385="DIA",2,3),FALSE)),0))</f>
        <v/>
      </c>
      <c r="J385" s="31" t="str">
        <f t="shared" si="36"/>
        <v/>
      </c>
      <c r="K385" s="31" t="str">
        <f t="shared" si="37"/>
        <v/>
      </c>
      <c r="L385" s="31" t="str">
        <f>IF(OR(B385="",C385=""),"",IFERROR(E385 / SUMIFS('📅 Resumen Diario'!$D$5:$D$504, '📅 Resumen Diario'!$B$5:$B$504, B385, '📅 Resumen Diario'!$C$5:$C$504, D385) * SUMIFS('📅 Resumen Diario'!$K$5:$K$504, '📅 Resumen Diario'!$B$5:$B$504, B385, '📅 Resumen Diario'!$C$5:$C$504, D385), 0))</f>
        <v/>
      </c>
      <c r="M385" s="31" t="str">
        <f t="shared" si="38"/>
        <v/>
      </c>
      <c r="N385" s="31" t="str">
        <f t="shared" si="39"/>
        <v/>
      </c>
      <c r="O385" s="31" t="str">
        <f>IF(OR(B385="",C385=""),"",K385-N385 + IFERROR(E385 / SUMIFS('📅 Resumen Diario'!$D$5:$D$504, '📅 Resumen Diario'!$B$5:$B$504, B385, '📅 Resumen Diario'!$C$5:$C$504, D385) * (SUMIFS('📋 Detalle Diario'!$E$5:$E$489, '📋 Detalle Diario'!$B$5:$B$489, B385, '📋 Detalle Diario'!$C$5:$C$489, D385) * 135 + SUMIFS('📋 Detalle Diario'!$I$5:$I$489, '📋 Detalle Diario'!$B$5:$B$489, B385, '📋 Detalle Diario'!$C$5:$C$489, D385) * 200), 0))</f>
        <v/>
      </c>
      <c r="P385" s="32" t="str">
        <f t="shared" si="40"/>
        <v/>
      </c>
      <c r="Q385" s="33" t="str">
        <f t="shared" si="41"/>
        <v/>
      </c>
    </row>
    <row r="386" spans="2:17" ht="18" customHeight="1" x14ac:dyDescent="0.3">
      <c r="B386" s="26"/>
      <c r="C386" s="17"/>
      <c r="D386" s="27"/>
      <c r="E386" s="18"/>
      <c r="F386" s="18"/>
      <c r="G386" s="18"/>
      <c r="H386" s="30" t="str">
        <f t="shared" si="35"/>
        <v/>
      </c>
      <c r="I386" s="31" t="str">
        <f>IF(OR(B386="",C386=""),"",IFERROR(E386*IF(E386="",0,VLOOKUP(C386,'📦 Precios Proforma'!$B$5:$D$104,IF(D386="DIA",2,3),FALSE)),0))</f>
        <v/>
      </c>
      <c r="J386" s="31" t="str">
        <f t="shared" si="36"/>
        <v/>
      </c>
      <c r="K386" s="31" t="str">
        <f t="shared" si="37"/>
        <v/>
      </c>
      <c r="L386" s="31" t="str">
        <f>IF(OR(B386="",C386=""),"",IFERROR(E386 / SUMIFS('📅 Resumen Diario'!$D$5:$D$504, '📅 Resumen Diario'!$B$5:$B$504, B386, '📅 Resumen Diario'!$C$5:$C$504, D386) * SUMIFS('📅 Resumen Diario'!$K$5:$K$504, '📅 Resumen Diario'!$B$5:$B$504, B386, '📅 Resumen Diario'!$C$5:$C$504, D386), 0))</f>
        <v/>
      </c>
      <c r="M386" s="31" t="str">
        <f t="shared" si="38"/>
        <v/>
      </c>
      <c r="N386" s="31" t="str">
        <f t="shared" si="39"/>
        <v/>
      </c>
      <c r="O386" s="31" t="str">
        <f>IF(OR(B386="",C386=""),"",K386-N386 + IFERROR(E386 / SUMIFS('📅 Resumen Diario'!$D$5:$D$504, '📅 Resumen Diario'!$B$5:$B$504, B386, '📅 Resumen Diario'!$C$5:$C$504, D386) * (SUMIFS('📋 Detalle Diario'!$E$5:$E$489, '📋 Detalle Diario'!$B$5:$B$489, B386, '📋 Detalle Diario'!$C$5:$C$489, D386) * 135 + SUMIFS('📋 Detalle Diario'!$I$5:$I$489, '📋 Detalle Diario'!$B$5:$B$489, B386, '📋 Detalle Diario'!$C$5:$C$489, D386) * 200), 0))</f>
        <v/>
      </c>
      <c r="P386" s="32" t="str">
        <f t="shared" si="40"/>
        <v/>
      </c>
      <c r="Q386" s="33" t="str">
        <f t="shared" si="41"/>
        <v/>
      </c>
    </row>
    <row r="387" spans="2:17" ht="18" customHeight="1" x14ac:dyDescent="0.3">
      <c r="B387" s="26"/>
      <c r="C387" s="28"/>
      <c r="D387" s="27"/>
      <c r="E387" s="29"/>
      <c r="F387" s="29"/>
      <c r="G387" s="29"/>
      <c r="H387" s="30" t="str">
        <f t="shared" si="35"/>
        <v/>
      </c>
      <c r="I387" s="31" t="str">
        <f>IF(OR(B387="",C387=""),"",IFERROR(E387*IF(E387="",0,VLOOKUP(C387,'📦 Precios Proforma'!$B$5:$D$104,IF(D387="DIA",2,3),FALSE)),0))</f>
        <v/>
      </c>
      <c r="J387" s="31" t="str">
        <f t="shared" si="36"/>
        <v/>
      </c>
      <c r="K387" s="31" t="str">
        <f t="shared" si="37"/>
        <v/>
      </c>
      <c r="L387" s="31" t="str">
        <f>IF(OR(B387="",C387=""),"",IFERROR(E387 / SUMIFS('📅 Resumen Diario'!$D$5:$D$504, '📅 Resumen Diario'!$B$5:$B$504, B387, '📅 Resumen Diario'!$C$5:$C$504, D387) * SUMIFS('📅 Resumen Diario'!$K$5:$K$504, '📅 Resumen Diario'!$B$5:$B$504, B387, '📅 Resumen Diario'!$C$5:$C$504, D387), 0))</f>
        <v/>
      </c>
      <c r="M387" s="31" t="str">
        <f t="shared" si="38"/>
        <v/>
      </c>
      <c r="N387" s="31" t="str">
        <f t="shared" si="39"/>
        <v/>
      </c>
      <c r="O387" s="31" t="str">
        <f>IF(OR(B387="",C387=""),"",K387-N387 + IFERROR(E387 / SUMIFS('📅 Resumen Diario'!$D$5:$D$504, '📅 Resumen Diario'!$B$5:$B$504, B387, '📅 Resumen Diario'!$C$5:$C$504, D387) * (SUMIFS('📋 Detalle Diario'!$E$5:$E$489, '📋 Detalle Diario'!$B$5:$B$489, B387, '📋 Detalle Diario'!$C$5:$C$489, D387) * 135 + SUMIFS('📋 Detalle Diario'!$I$5:$I$489, '📋 Detalle Diario'!$B$5:$B$489, B387, '📋 Detalle Diario'!$C$5:$C$489, D387) * 200), 0))</f>
        <v/>
      </c>
      <c r="P387" s="32" t="str">
        <f t="shared" si="40"/>
        <v/>
      </c>
      <c r="Q387" s="33" t="str">
        <f t="shared" si="41"/>
        <v/>
      </c>
    </row>
    <row r="388" spans="2:17" ht="18" customHeight="1" x14ac:dyDescent="0.3">
      <c r="B388" s="26"/>
      <c r="C388" s="17"/>
      <c r="D388" s="27"/>
      <c r="E388" s="18"/>
      <c r="F388" s="18"/>
      <c r="G388" s="18"/>
      <c r="H388" s="30" t="str">
        <f t="shared" si="35"/>
        <v/>
      </c>
      <c r="I388" s="31" t="str">
        <f>IF(OR(B388="",C388=""),"",IFERROR(E388*IF(E388="",0,VLOOKUP(C388,'📦 Precios Proforma'!$B$5:$D$104,IF(D388="DIA",2,3),FALSE)),0))</f>
        <v/>
      </c>
      <c r="J388" s="31" t="str">
        <f t="shared" si="36"/>
        <v/>
      </c>
      <c r="K388" s="31" t="str">
        <f t="shared" si="37"/>
        <v/>
      </c>
      <c r="L388" s="31" t="str">
        <f>IF(OR(B388="",C388=""),"",IFERROR(E388 / SUMIFS('📅 Resumen Diario'!$D$5:$D$504, '📅 Resumen Diario'!$B$5:$B$504, B388, '📅 Resumen Diario'!$C$5:$C$504, D388) * SUMIFS('📅 Resumen Diario'!$K$5:$K$504, '📅 Resumen Diario'!$B$5:$B$504, B388, '📅 Resumen Diario'!$C$5:$C$504, D388), 0))</f>
        <v/>
      </c>
      <c r="M388" s="31" t="str">
        <f t="shared" si="38"/>
        <v/>
      </c>
      <c r="N388" s="31" t="str">
        <f t="shared" si="39"/>
        <v/>
      </c>
      <c r="O388" s="31" t="str">
        <f>IF(OR(B388="",C388=""),"",K388-N388 + IFERROR(E388 / SUMIFS('📅 Resumen Diario'!$D$5:$D$504, '📅 Resumen Diario'!$B$5:$B$504, B388, '📅 Resumen Diario'!$C$5:$C$504, D388) * (SUMIFS('📋 Detalle Diario'!$E$5:$E$489, '📋 Detalle Diario'!$B$5:$B$489, B388, '📋 Detalle Diario'!$C$5:$C$489, D388) * 135 + SUMIFS('📋 Detalle Diario'!$I$5:$I$489, '📋 Detalle Diario'!$B$5:$B$489, B388, '📋 Detalle Diario'!$C$5:$C$489, D388) * 200), 0))</f>
        <v/>
      </c>
      <c r="P388" s="32" t="str">
        <f t="shared" si="40"/>
        <v/>
      </c>
      <c r="Q388" s="33" t="str">
        <f t="shared" si="41"/>
        <v/>
      </c>
    </row>
    <row r="389" spans="2:17" ht="18" customHeight="1" x14ac:dyDescent="0.3">
      <c r="B389" s="26"/>
      <c r="C389" s="28"/>
      <c r="D389" s="27"/>
      <c r="E389" s="29"/>
      <c r="F389" s="29"/>
      <c r="G389" s="29"/>
      <c r="H389" s="30" t="str">
        <f t="shared" si="35"/>
        <v/>
      </c>
      <c r="I389" s="31" t="str">
        <f>IF(OR(B389="",C389=""),"",IFERROR(E389*IF(E389="",0,VLOOKUP(C389,'📦 Precios Proforma'!$B$5:$D$104,IF(D389="DIA",2,3),FALSE)),0))</f>
        <v/>
      </c>
      <c r="J389" s="31" t="str">
        <f t="shared" si="36"/>
        <v/>
      </c>
      <c r="K389" s="31" t="str">
        <f t="shared" si="37"/>
        <v/>
      </c>
      <c r="L389" s="31" t="str">
        <f>IF(OR(B389="",C389=""),"",IFERROR(E389 / SUMIFS('📅 Resumen Diario'!$D$5:$D$504, '📅 Resumen Diario'!$B$5:$B$504, B389, '📅 Resumen Diario'!$C$5:$C$504, D389) * SUMIFS('📅 Resumen Diario'!$K$5:$K$504, '📅 Resumen Diario'!$B$5:$B$504, B389, '📅 Resumen Diario'!$C$5:$C$504, D389), 0))</f>
        <v/>
      </c>
      <c r="M389" s="31" t="str">
        <f t="shared" si="38"/>
        <v/>
      </c>
      <c r="N389" s="31" t="str">
        <f t="shared" si="39"/>
        <v/>
      </c>
      <c r="O389" s="31" t="str">
        <f>IF(OR(B389="",C389=""),"",K389-N389 + IFERROR(E389 / SUMIFS('📅 Resumen Diario'!$D$5:$D$504, '📅 Resumen Diario'!$B$5:$B$504, B389, '📅 Resumen Diario'!$C$5:$C$504, D389) * (SUMIFS('📋 Detalle Diario'!$E$5:$E$489, '📋 Detalle Diario'!$B$5:$B$489, B389, '📋 Detalle Diario'!$C$5:$C$489, D389) * 135 + SUMIFS('📋 Detalle Diario'!$I$5:$I$489, '📋 Detalle Diario'!$B$5:$B$489, B389, '📋 Detalle Diario'!$C$5:$C$489, D389) * 200), 0))</f>
        <v/>
      </c>
      <c r="P389" s="32" t="str">
        <f t="shared" si="40"/>
        <v/>
      </c>
      <c r="Q389" s="33" t="str">
        <f t="shared" si="41"/>
        <v/>
      </c>
    </row>
    <row r="390" spans="2:17" ht="18" customHeight="1" x14ac:dyDescent="0.3">
      <c r="B390" s="26"/>
      <c r="C390" s="17"/>
      <c r="D390" s="27"/>
      <c r="E390" s="18"/>
      <c r="F390" s="18"/>
      <c r="G390" s="18"/>
      <c r="H390" s="30" t="str">
        <f t="shared" si="35"/>
        <v/>
      </c>
      <c r="I390" s="31" t="str">
        <f>IF(OR(B390="",C390=""),"",IFERROR(E390*IF(E390="",0,VLOOKUP(C390,'📦 Precios Proforma'!$B$5:$D$104,IF(D390="DIA",2,3),FALSE)),0))</f>
        <v/>
      </c>
      <c r="J390" s="31" t="str">
        <f t="shared" si="36"/>
        <v/>
      </c>
      <c r="K390" s="31" t="str">
        <f t="shared" si="37"/>
        <v/>
      </c>
      <c r="L390" s="31" t="str">
        <f>IF(OR(B390="",C390=""),"",IFERROR(E390 / SUMIFS('📅 Resumen Diario'!$D$5:$D$504, '📅 Resumen Diario'!$B$5:$B$504, B390, '📅 Resumen Diario'!$C$5:$C$504, D390) * SUMIFS('📅 Resumen Diario'!$K$5:$K$504, '📅 Resumen Diario'!$B$5:$B$504, B390, '📅 Resumen Diario'!$C$5:$C$504, D390), 0))</f>
        <v/>
      </c>
      <c r="M390" s="31" t="str">
        <f t="shared" si="38"/>
        <v/>
      </c>
      <c r="N390" s="31" t="str">
        <f t="shared" si="39"/>
        <v/>
      </c>
      <c r="O390" s="31" t="str">
        <f>IF(OR(B390="",C390=""),"",K390-N390 + IFERROR(E390 / SUMIFS('📅 Resumen Diario'!$D$5:$D$504, '📅 Resumen Diario'!$B$5:$B$504, B390, '📅 Resumen Diario'!$C$5:$C$504, D390) * (SUMIFS('📋 Detalle Diario'!$E$5:$E$489, '📋 Detalle Diario'!$B$5:$B$489, B390, '📋 Detalle Diario'!$C$5:$C$489, D390) * 135 + SUMIFS('📋 Detalle Diario'!$I$5:$I$489, '📋 Detalle Diario'!$B$5:$B$489, B390, '📋 Detalle Diario'!$C$5:$C$489, D390) * 200), 0))</f>
        <v/>
      </c>
      <c r="P390" s="32" t="str">
        <f t="shared" si="40"/>
        <v/>
      </c>
      <c r="Q390" s="33" t="str">
        <f t="shared" si="41"/>
        <v/>
      </c>
    </row>
    <row r="391" spans="2:17" ht="18" customHeight="1" x14ac:dyDescent="0.3">
      <c r="B391" s="26"/>
      <c r="C391" s="28"/>
      <c r="D391" s="27"/>
      <c r="E391" s="29"/>
      <c r="F391" s="29"/>
      <c r="G391" s="29"/>
      <c r="H391" s="30" t="str">
        <f t="shared" ref="H391:H454" si="42">IF(OR(B391="",C391=""),"",F391+G391)</f>
        <v/>
      </c>
      <c r="I391" s="31" t="str">
        <f>IF(OR(B391="",C391=""),"",IFERROR(E391*IF(E391="",0,VLOOKUP(C391,'📦 Precios Proforma'!$B$5:$D$104,IF(D391="DIA",2,3),FALSE)),0))</f>
        <v/>
      </c>
      <c r="J391" s="31" t="str">
        <f t="shared" ref="J391:J454" si="43">IF(OR(B391="",C391=""),"",IF(D391="DIA",H391*1.01,H391*1.35))</f>
        <v/>
      </c>
      <c r="K391" s="31" t="str">
        <f t="shared" ref="K391:K454" si="44">IF(OR(B391="",C391=""),"",I391+J391)</f>
        <v/>
      </c>
      <c r="L391" s="31" t="str">
        <f>IF(OR(B391="",C391=""),"",IFERROR(E391 / SUMIFS('📅 Resumen Diario'!$D$5:$D$504, '📅 Resumen Diario'!$B$5:$B$504, B391, '📅 Resumen Diario'!$C$5:$C$504, D391) * SUMIFS('📅 Resumen Diario'!$K$5:$K$504, '📅 Resumen Diario'!$B$5:$B$504, B391, '📅 Resumen Diario'!$C$5:$C$504, D391), 0))</f>
        <v/>
      </c>
      <c r="M391" s="31" t="str">
        <f t="shared" ref="M391:M454" si="45">IF(OR(B391="",C391=""),"",H391*0.09)</f>
        <v/>
      </c>
      <c r="N391" s="31" t="str">
        <f t="shared" ref="N391:N454" si="46">IF(OR(B391="",C391=""),"",L391+M391)</f>
        <v/>
      </c>
      <c r="O391" s="31" t="str">
        <f>IF(OR(B391="",C391=""),"",K391-N391 + IFERROR(E391 / SUMIFS('📅 Resumen Diario'!$D$5:$D$504, '📅 Resumen Diario'!$B$5:$B$504, B391, '📅 Resumen Diario'!$C$5:$C$504, D391) * (SUMIFS('📋 Detalle Diario'!$E$5:$E$489, '📋 Detalle Diario'!$B$5:$B$489, B391, '📋 Detalle Diario'!$C$5:$C$489, D391) * 135 + SUMIFS('📋 Detalle Diario'!$I$5:$I$489, '📋 Detalle Diario'!$B$5:$B$489, B391, '📋 Detalle Diario'!$C$5:$C$489, D391) * 200), 0))</f>
        <v/>
      </c>
      <c r="P391" s="32" t="str">
        <f t="shared" ref="P391:P454" si="47">IF(OR(B391="",C391=""),"",IF(K391=0, 0, O391/K391))</f>
        <v/>
      </c>
      <c r="Q391" s="33" t="str">
        <f t="shared" ref="Q391:Q454" si="48">IF(B391="","",IF(ISNUMBER(B391),YEAR(B391)&amp;"-"&amp;IF(MONTH(B391)&lt;10,"0","")&amp;MONTH(B391),LEFT(B391,7)))</f>
        <v/>
      </c>
    </row>
    <row r="392" spans="2:17" ht="18" customHeight="1" x14ac:dyDescent="0.3">
      <c r="B392" s="26"/>
      <c r="C392" s="17"/>
      <c r="D392" s="27"/>
      <c r="E392" s="18"/>
      <c r="F392" s="18"/>
      <c r="G392" s="18"/>
      <c r="H392" s="30" t="str">
        <f t="shared" si="42"/>
        <v/>
      </c>
      <c r="I392" s="31" t="str">
        <f>IF(OR(B392="",C392=""),"",IFERROR(E392*IF(E392="",0,VLOOKUP(C392,'📦 Precios Proforma'!$B$5:$D$104,IF(D392="DIA",2,3),FALSE)),0))</f>
        <v/>
      </c>
      <c r="J392" s="31" t="str">
        <f t="shared" si="43"/>
        <v/>
      </c>
      <c r="K392" s="31" t="str">
        <f t="shared" si="44"/>
        <v/>
      </c>
      <c r="L392" s="31" t="str">
        <f>IF(OR(B392="",C392=""),"",IFERROR(E392 / SUMIFS('📅 Resumen Diario'!$D$5:$D$504, '📅 Resumen Diario'!$B$5:$B$504, B392, '📅 Resumen Diario'!$C$5:$C$504, D392) * SUMIFS('📅 Resumen Diario'!$K$5:$K$504, '📅 Resumen Diario'!$B$5:$B$504, B392, '📅 Resumen Diario'!$C$5:$C$504, D392), 0))</f>
        <v/>
      </c>
      <c r="M392" s="31" t="str">
        <f t="shared" si="45"/>
        <v/>
      </c>
      <c r="N392" s="31" t="str">
        <f t="shared" si="46"/>
        <v/>
      </c>
      <c r="O392" s="31" t="str">
        <f>IF(OR(B392="",C392=""),"",K392-N392 + IFERROR(E392 / SUMIFS('📅 Resumen Diario'!$D$5:$D$504, '📅 Resumen Diario'!$B$5:$B$504, B392, '📅 Resumen Diario'!$C$5:$C$504, D392) * (SUMIFS('📋 Detalle Diario'!$E$5:$E$489, '📋 Detalle Diario'!$B$5:$B$489, B392, '📋 Detalle Diario'!$C$5:$C$489, D392) * 135 + SUMIFS('📋 Detalle Diario'!$I$5:$I$489, '📋 Detalle Diario'!$B$5:$B$489, B392, '📋 Detalle Diario'!$C$5:$C$489, D392) * 200), 0))</f>
        <v/>
      </c>
      <c r="P392" s="32" t="str">
        <f t="shared" si="47"/>
        <v/>
      </c>
      <c r="Q392" s="33" t="str">
        <f t="shared" si="48"/>
        <v/>
      </c>
    </row>
    <row r="393" spans="2:17" ht="18" customHeight="1" x14ac:dyDescent="0.3">
      <c r="B393" s="26"/>
      <c r="C393" s="28"/>
      <c r="D393" s="27"/>
      <c r="E393" s="29"/>
      <c r="F393" s="29"/>
      <c r="G393" s="29"/>
      <c r="H393" s="30" t="str">
        <f t="shared" si="42"/>
        <v/>
      </c>
      <c r="I393" s="31" t="str">
        <f>IF(OR(B393="",C393=""),"",IFERROR(E393*IF(E393="",0,VLOOKUP(C393,'📦 Precios Proforma'!$B$5:$D$104,IF(D393="DIA",2,3),FALSE)),0))</f>
        <v/>
      </c>
      <c r="J393" s="31" t="str">
        <f t="shared" si="43"/>
        <v/>
      </c>
      <c r="K393" s="31" t="str">
        <f t="shared" si="44"/>
        <v/>
      </c>
      <c r="L393" s="31" t="str">
        <f>IF(OR(B393="",C393=""),"",IFERROR(E393 / SUMIFS('📅 Resumen Diario'!$D$5:$D$504, '📅 Resumen Diario'!$B$5:$B$504, B393, '📅 Resumen Diario'!$C$5:$C$504, D393) * SUMIFS('📅 Resumen Diario'!$K$5:$K$504, '📅 Resumen Diario'!$B$5:$B$504, B393, '📅 Resumen Diario'!$C$5:$C$504, D393), 0))</f>
        <v/>
      </c>
      <c r="M393" s="31" t="str">
        <f t="shared" si="45"/>
        <v/>
      </c>
      <c r="N393" s="31" t="str">
        <f t="shared" si="46"/>
        <v/>
      </c>
      <c r="O393" s="31" t="str">
        <f>IF(OR(B393="",C393=""),"",K393-N393 + IFERROR(E393 / SUMIFS('📅 Resumen Diario'!$D$5:$D$504, '📅 Resumen Diario'!$B$5:$B$504, B393, '📅 Resumen Diario'!$C$5:$C$504, D393) * (SUMIFS('📋 Detalle Diario'!$E$5:$E$489, '📋 Detalle Diario'!$B$5:$B$489, B393, '📋 Detalle Diario'!$C$5:$C$489, D393) * 135 + SUMIFS('📋 Detalle Diario'!$I$5:$I$489, '📋 Detalle Diario'!$B$5:$B$489, B393, '📋 Detalle Diario'!$C$5:$C$489, D393) * 200), 0))</f>
        <v/>
      </c>
      <c r="P393" s="32" t="str">
        <f t="shared" si="47"/>
        <v/>
      </c>
      <c r="Q393" s="33" t="str">
        <f t="shared" si="48"/>
        <v/>
      </c>
    </row>
    <row r="394" spans="2:17" ht="18" customHeight="1" x14ac:dyDescent="0.3">
      <c r="B394" s="26"/>
      <c r="C394" s="17"/>
      <c r="D394" s="27"/>
      <c r="E394" s="18"/>
      <c r="F394" s="18"/>
      <c r="G394" s="18"/>
      <c r="H394" s="30" t="str">
        <f t="shared" si="42"/>
        <v/>
      </c>
      <c r="I394" s="31" t="str">
        <f>IF(OR(B394="",C394=""),"",IFERROR(E394*IF(E394="",0,VLOOKUP(C394,'📦 Precios Proforma'!$B$5:$D$104,IF(D394="DIA",2,3),FALSE)),0))</f>
        <v/>
      </c>
      <c r="J394" s="31" t="str">
        <f t="shared" si="43"/>
        <v/>
      </c>
      <c r="K394" s="31" t="str">
        <f t="shared" si="44"/>
        <v/>
      </c>
      <c r="L394" s="31" t="str">
        <f>IF(OR(B394="",C394=""),"",IFERROR(E394 / SUMIFS('📅 Resumen Diario'!$D$5:$D$504, '📅 Resumen Diario'!$B$5:$B$504, B394, '📅 Resumen Diario'!$C$5:$C$504, D394) * SUMIFS('📅 Resumen Diario'!$K$5:$K$504, '📅 Resumen Diario'!$B$5:$B$504, B394, '📅 Resumen Diario'!$C$5:$C$504, D394), 0))</f>
        <v/>
      </c>
      <c r="M394" s="31" t="str">
        <f t="shared" si="45"/>
        <v/>
      </c>
      <c r="N394" s="31" t="str">
        <f t="shared" si="46"/>
        <v/>
      </c>
      <c r="O394" s="31" t="str">
        <f>IF(OR(B394="",C394=""),"",K394-N394 + IFERROR(E394 / SUMIFS('📅 Resumen Diario'!$D$5:$D$504, '📅 Resumen Diario'!$B$5:$B$504, B394, '📅 Resumen Diario'!$C$5:$C$504, D394) * (SUMIFS('📋 Detalle Diario'!$E$5:$E$489, '📋 Detalle Diario'!$B$5:$B$489, B394, '📋 Detalle Diario'!$C$5:$C$489, D394) * 135 + SUMIFS('📋 Detalle Diario'!$I$5:$I$489, '📋 Detalle Diario'!$B$5:$B$489, B394, '📋 Detalle Diario'!$C$5:$C$489, D394) * 200), 0))</f>
        <v/>
      </c>
      <c r="P394" s="32" t="str">
        <f t="shared" si="47"/>
        <v/>
      </c>
      <c r="Q394" s="33" t="str">
        <f t="shared" si="48"/>
        <v/>
      </c>
    </row>
    <row r="395" spans="2:17" ht="18" customHeight="1" x14ac:dyDescent="0.3">
      <c r="B395" s="26"/>
      <c r="C395" s="28"/>
      <c r="D395" s="27"/>
      <c r="E395" s="29"/>
      <c r="F395" s="29"/>
      <c r="G395" s="29"/>
      <c r="H395" s="30" t="str">
        <f t="shared" si="42"/>
        <v/>
      </c>
      <c r="I395" s="31" t="str">
        <f>IF(OR(B395="",C395=""),"",IFERROR(E395*IF(E395="",0,VLOOKUP(C395,'📦 Precios Proforma'!$B$5:$D$104,IF(D395="DIA",2,3),FALSE)),0))</f>
        <v/>
      </c>
      <c r="J395" s="31" t="str">
        <f t="shared" si="43"/>
        <v/>
      </c>
      <c r="K395" s="31" t="str">
        <f t="shared" si="44"/>
        <v/>
      </c>
      <c r="L395" s="31" t="str">
        <f>IF(OR(B395="",C395=""),"",IFERROR(E395 / SUMIFS('📅 Resumen Diario'!$D$5:$D$504, '📅 Resumen Diario'!$B$5:$B$504, B395, '📅 Resumen Diario'!$C$5:$C$504, D395) * SUMIFS('📅 Resumen Diario'!$K$5:$K$504, '📅 Resumen Diario'!$B$5:$B$504, B395, '📅 Resumen Diario'!$C$5:$C$504, D395), 0))</f>
        <v/>
      </c>
      <c r="M395" s="31" t="str">
        <f t="shared" si="45"/>
        <v/>
      </c>
      <c r="N395" s="31" t="str">
        <f t="shared" si="46"/>
        <v/>
      </c>
      <c r="O395" s="31" t="str">
        <f>IF(OR(B395="",C395=""),"",K395-N395 + IFERROR(E395 / SUMIFS('📅 Resumen Diario'!$D$5:$D$504, '📅 Resumen Diario'!$B$5:$B$504, B395, '📅 Resumen Diario'!$C$5:$C$504, D395) * (SUMIFS('📋 Detalle Diario'!$E$5:$E$489, '📋 Detalle Diario'!$B$5:$B$489, B395, '📋 Detalle Diario'!$C$5:$C$489, D395) * 135 + SUMIFS('📋 Detalle Diario'!$I$5:$I$489, '📋 Detalle Diario'!$B$5:$B$489, B395, '📋 Detalle Diario'!$C$5:$C$489, D395) * 200), 0))</f>
        <v/>
      </c>
      <c r="P395" s="32" t="str">
        <f t="shared" si="47"/>
        <v/>
      </c>
      <c r="Q395" s="33" t="str">
        <f t="shared" si="48"/>
        <v/>
      </c>
    </row>
    <row r="396" spans="2:17" ht="18" customHeight="1" x14ac:dyDescent="0.3">
      <c r="B396" s="26"/>
      <c r="C396" s="17"/>
      <c r="D396" s="27"/>
      <c r="E396" s="18"/>
      <c r="F396" s="18"/>
      <c r="G396" s="18"/>
      <c r="H396" s="30" t="str">
        <f t="shared" si="42"/>
        <v/>
      </c>
      <c r="I396" s="31" t="str">
        <f>IF(OR(B396="",C396=""),"",IFERROR(E396*IF(E396="",0,VLOOKUP(C396,'📦 Precios Proforma'!$B$5:$D$104,IF(D396="DIA",2,3),FALSE)),0))</f>
        <v/>
      </c>
      <c r="J396" s="31" t="str">
        <f t="shared" si="43"/>
        <v/>
      </c>
      <c r="K396" s="31" t="str">
        <f t="shared" si="44"/>
        <v/>
      </c>
      <c r="L396" s="31" t="str">
        <f>IF(OR(B396="",C396=""),"",IFERROR(E396 / SUMIFS('📅 Resumen Diario'!$D$5:$D$504, '📅 Resumen Diario'!$B$5:$B$504, B396, '📅 Resumen Diario'!$C$5:$C$504, D396) * SUMIFS('📅 Resumen Diario'!$K$5:$K$504, '📅 Resumen Diario'!$B$5:$B$504, B396, '📅 Resumen Diario'!$C$5:$C$504, D396), 0))</f>
        <v/>
      </c>
      <c r="M396" s="31" t="str">
        <f t="shared" si="45"/>
        <v/>
      </c>
      <c r="N396" s="31" t="str">
        <f t="shared" si="46"/>
        <v/>
      </c>
      <c r="O396" s="31" t="str">
        <f>IF(OR(B396="",C396=""),"",K396-N396 + IFERROR(E396 / SUMIFS('📅 Resumen Diario'!$D$5:$D$504, '📅 Resumen Diario'!$B$5:$B$504, B396, '📅 Resumen Diario'!$C$5:$C$504, D396) * (SUMIFS('📋 Detalle Diario'!$E$5:$E$489, '📋 Detalle Diario'!$B$5:$B$489, B396, '📋 Detalle Diario'!$C$5:$C$489, D396) * 135 + SUMIFS('📋 Detalle Diario'!$I$5:$I$489, '📋 Detalle Diario'!$B$5:$B$489, B396, '📋 Detalle Diario'!$C$5:$C$489, D396) * 200), 0))</f>
        <v/>
      </c>
      <c r="P396" s="32" t="str">
        <f t="shared" si="47"/>
        <v/>
      </c>
      <c r="Q396" s="33" t="str">
        <f t="shared" si="48"/>
        <v/>
      </c>
    </row>
    <row r="397" spans="2:17" ht="18" customHeight="1" x14ac:dyDescent="0.3">
      <c r="B397" s="26"/>
      <c r="C397" s="28"/>
      <c r="D397" s="27"/>
      <c r="E397" s="29"/>
      <c r="F397" s="29"/>
      <c r="G397" s="29"/>
      <c r="H397" s="30" t="str">
        <f t="shared" si="42"/>
        <v/>
      </c>
      <c r="I397" s="31" t="str">
        <f>IF(OR(B397="",C397=""),"",IFERROR(E397*IF(E397="",0,VLOOKUP(C397,'📦 Precios Proforma'!$B$5:$D$104,IF(D397="DIA",2,3),FALSE)),0))</f>
        <v/>
      </c>
      <c r="J397" s="31" t="str">
        <f t="shared" si="43"/>
        <v/>
      </c>
      <c r="K397" s="31" t="str">
        <f t="shared" si="44"/>
        <v/>
      </c>
      <c r="L397" s="31" t="str">
        <f>IF(OR(B397="",C397=""),"",IFERROR(E397 / SUMIFS('📅 Resumen Diario'!$D$5:$D$504, '📅 Resumen Diario'!$B$5:$B$504, B397, '📅 Resumen Diario'!$C$5:$C$504, D397) * SUMIFS('📅 Resumen Diario'!$K$5:$K$504, '📅 Resumen Diario'!$B$5:$B$504, B397, '📅 Resumen Diario'!$C$5:$C$504, D397), 0))</f>
        <v/>
      </c>
      <c r="M397" s="31" t="str">
        <f t="shared" si="45"/>
        <v/>
      </c>
      <c r="N397" s="31" t="str">
        <f t="shared" si="46"/>
        <v/>
      </c>
      <c r="O397" s="31" t="str">
        <f>IF(OR(B397="",C397=""),"",K397-N397 + IFERROR(E397 / SUMIFS('📅 Resumen Diario'!$D$5:$D$504, '📅 Resumen Diario'!$B$5:$B$504, B397, '📅 Resumen Diario'!$C$5:$C$504, D397) * (SUMIFS('📋 Detalle Diario'!$E$5:$E$489, '📋 Detalle Diario'!$B$5:$B$489, B397, '📋 Detalle Diario'!$C$5:$C$489, D397) * 135 + SUMIFS('📋 Detalle Diario'!$I$5:$I$489, '📋 Detalle Diario'!$B$5:$B$489, B397, '📋 Detalle Diario'!$C$5:$C$489, D397) * 200), 0))</f>
        <v/>
      </c>
      <c r="P397" s="32" t="str">
        <f t="shared" si="47"/>
        <v/>
      </c>
      <c r="Q397" s="33" t="str">
        <f t="shared" si="48"/>
        <v/>
      </c>
    </row>
    <row r="398" spans="2:17" ht="18" customHeight="1" x14ac:dyDescent="0.3">
      <c r="B398" s="26"/>
      <c r="C398" s="17"/>
      <c r="D398" s="27"/>
      <c r="E398" s="18"/>
      <c r="F398" s="18"/>
      <c r="G398" s="18"/>
      <c r="H398" s="30" t="str">
        <f t="shared" si="42"/>
        <v/>
      </c>
      <c r="I398" s="31" t="str">
        <f>IF(OR(B398="",C398=""),"",IFERROR(E398*IF(E398="",0,VLOOKUP(C398,'📦 Precios Proforma'!$B$5:$D$104,IF(D398="DIA",2,3),FALSE)),0))</f>
        <v/>
      </c>
      <c r="J398" s="31" t="str">
        <f t="shared" si="43"/>
        <v/>
      </c>
      <c r="K398" s="31" t="str">
        <f t="shared" si="44"/>
        <v/>
      </c>
      <c r="L398" s="31" t="str">
        <f>IF(OR(B398="",C398=""),"",IFERROR(E398 / SUMIFS('📅 Resumen Diario'!$D$5:$D$504, '📅 Resumen Diario'!$B$5:$B$504, B398, '📅 Resumen Diario'!$C$5:$C$504, D398) * SUMIFS('📅 Resumen Diario'!$K$5:$K$504, '📅 Resumen Diario'!$B$5:$B$504, B398, '📅 Resumen Diario'!$C$5:$C$504, D398), 0))</f>
        <v/>
      </c>
      <c r="M398" s="31" t="str">
        <f t="shared" si="45"/>
        <v/>
      </c>
      <c r="N398" s="31" t="str">
        <f t="shared" si="46"/>
        <v/>
      </c>
      <c r="O398" s="31" t="str">
        <f>IF(OR(B398="",C398=""),"",K398-N398 + IFERROR(E398 / SUMIFS('📅 Resumen Diario'!$D$5:$D$504, '📅 Resumen Diario'!$B$5:$B$504, B398, '📅 Resumen Diario'!$C$5:$C$504, D398) * (SUMIFS('📋 Detalle Diario'!$E$5:$E$489, '📋 Detalle Diario'!$B$5:$B$489, B398, '📋 Detalle Diario'!$C$5:$C$489, D398) * 135 + SUMIFS('📋 Detalle Diario'!$I$5:$I$489, '📋 Detalle Diario'!$B$5:$B$489, B398, '📋 Detalle Diario'!$C$5:$C$489, D398) * 200), 0))</f>
        <v/>
      </c>
      <c r="P398" s="32" t="str">
        <f t="shared" si="47"/>
        <v/>
      </c>
      <c r="Q398" s="33" t="str">
        <f t="shared" si="48"/>
        <v/>
      </c>
    </row>
    <row r="399" spans="2:17" ht="18" customHeight="1" x14ac:dyDescent="0.3">
      <c r="B399" s="26"/>
      <c r="C399" s="28"/>
      <c r="D399" s="27"/>
      <c r="E399" s="29"/>
      <c r="F399" s="29"/>
      <c r="G399" s="29"/>
      <c r="H399" s="30" t="str">
        <f t="shared" si="42"/>
        <v/>
      </c>
      <c r="I399" s="31" t="str">
        <f>IF(OR(B399="",C399=""),"",IFERROR(E399*IF(E399="",0,VLOOKUP(C399,'📦 Precios Proforma'!$B$5:$D$104,IF(D399="DIA",2,3),FALSE)),0))</f>
        <v/>
      </c>
      <c r="J399" s="31" t="str">
        <f t="shared" si="43"/>
        <v/>
      </c>
      <c r="K399" s="31" t="str">
        <f t="shared" si="44"/>
        <v/>
      </c>
      <c r="L399" s="31" t="str">
        <f>IF(OR(B399="",C399=""),"",IFERROR(E399 / SUMIFS('📅 Resumen Diario'!$D$5:$D$504, '📅 Resumen Diario'!$B$5:$B$504, B399, '📅 Resumen Diario'!$C$5:$C$504, D399) * SUMIFS('📅 Resumen Diario'!$K$5:$K$504, '📅 Resumen Diario'!$B$5:$B$504, B399, '📅 Resumen Diario'!$C$5:$C$504, D399), 0))</f>
        <v/>
      </c>
      <c r="M399" s="31" t="str">
        <f t="shared" si="45"/>
        <v/>
      </c>
      <c r="N399" s="31" t="str">
        <f t="shared" si="46"/>
        <v/>
      </c>
      <c r="O399" s="31" t="str">
        <f>IF(OR(B399="",C399=""),"",K399-N399 + IFERROR(E399 / SUMIFS('📅 Resumen Diario'!$D$5:$D$504, '📅 Resumen Diario'!$B$5:$B$504, B399, '📅 Resumen Diario'!$C$5:$C$504, D399) * (SUMIFS('📋 Detalle Diario'!$E$5:$E$489, '📋 Detalle Diario'!$B$5:$B$489, B399, '📋 Detalle Diario'!$C$5:$C$489, D399) * 135 + SUMIFS('📋 Detalle Diario'!$I$5:$I$489, '📋 Detalle Diario'!$B$5:$B$489, B399, '📋 Detalle Diario'!$C$5:$C$489, D399) * 200), 0))</f>
        <v/>
      </c>
      <c r="P399" s="32" t="str">
        <f t="shared" si="47"/>
        <v/>
      </c>
      <c r="Q399" s="33" t="str">
        <f t="shared" si="48"/>
        <v/>
      </c>
    </row>
    <row r="400" spans="2:17" ht="18" customHeight="1" x14ac:dyDescent="0.3">
      <c r="B400" s="26"/>
      <c r="C400" s="17"/>
      <c r="D400" s="27"/>
      <c r="E400" s="18"/>
      <c r="F400" s="18"/>
      <c r="G400" s="18"/>
      <c r="H400" s="30" t="str">
        <f t="shared" si="42"/>
        <v/>
      </c>
      <c r="I400" s="31" t="str">
        <f>IF(OR(B400="",C400=""),"",IFERROR(E400*IF(E400="",0,VLOOKUP(C400,'📦 Precios Proforma'!$B$5:$D$104,IF(D400="DIA",2,3),FALSE)),0))</f>
        <v/>
      </c>
      <c r="J400" s="31" t="str">
        <f t="shared" si="43"/>
        <v/>
      </c>
      <c r="K400" s="31" t="str">
        <f t="shared" si="44"/>
        <v/>
      </c>
      <c r="L400" s="31" t="str">
        <f>IF(OR(B400="",C400=""),"",IFERROR(E400 / SUMIFS('📅 Resumen Diario'!$D$5:$D$504, '📅 Resumen Diario'!$B$5:$B$504, B400, '📅 Resumen Diario'!$C$5:$C$504, D400) * SUMIFS('📅 Resumen Diario'!$K$5:$K$504, '📅 Resumen Diario'!$B$5:$B$504, B400, '📅 Resumen Diario'!$C$5:$C$504, D400), 0))</f>
        <v/>
      </c>
      <c r="M400" s="31" t="str">
        <f t="shared" si="45"/>
        <v/>
      </c>
      <c r="N400" s="31" t="str">
        <f t="shared" si="46"/>
        <v/>
      </c>
      <c r="O400" s="31" t="str">
        <f>IF(OR(B400="",C400=""),"",K400-N400 + IFERROR(E400 / SUMIFS('📅 Resumen Diario'!$D$5:$D$504, '📅 Resumen Diario'!$B$5:$B$504, B400, '📅 Resumen Diario'!$C$5:$C$504, D400) * (SUMIFS('📋 Detalle Diario'!$E$5:$E$489, '📋 Detalle Diario'!$B$5:$B$489, B400, '📋 Detalle Diario'!$C$5:$C$489, D400) * 135 + SUMIFS('📋 Detalle Diario'!$I$5:$I$489, '📋 Detalle Diario'!$B$5:$B$489, B400, '📋 Detalle Diario'!$C$5:$C$489, D400) * 200), 0))</f>
        <v/>
      </c>
      <c r="P400" s="32" t="str">
        <f t="shared" si="47"/>
        <v/>
      </c>
      <c r="Q400" s="33" t="str">
        <f t="shared" si="48"/>
        <v/>
      </c>
    </row>
    <row r="401" spans="2:17" ht="18" customHeight="1" x14ac:dyDescent="0.3">
      <c r="B401" s="26"/>
      <c r="C401" s="28"/>
      <c r="D401" s="27"/>
      <c r="E401" s="29"/>
      <c r="F401" s="29"/>
      <c r="G401" s="29"/>
      <c r="H401" s="30" t="str">
        <f t="shared" si="42"/>
        <v/>
      </c>
      <c r="I401" s="31" t="str">
        <f>IF(OR(B401="",C401=""),"",IFERROR(E401*IF(E401="",0,VLOOKUP(C401,'📦 Precios Proforma'!$B$5:$D$104,IF(D401="DIA",2,3),FALSE)),0))</f>
        <v/>
      </c>
      <c r="J401" s="31" t="str">
        <f t="shared" si="43"/>
        <v/>
      </c>
      <c r="K401" s="31" t="str">
        <f t="shared" si="44"/>
        <v/>
      </c>
      <c r="L401" s="31" t="str">
        <f>IF(OR(B401="",C401=""),"",IFERROR(E401 / SUMIFS('📅 Resumen Diario'!$D$5:$D$504, '📅 Resumen Diario'!$B$5:$B$504, B401, '📅 Resumen Diario'!$C$5:$C$504, D401) * SUMIFS('📅 Resumen Diario'!$K$5:$K$504, '📅 Resumen Diario'!$B$5:$B$504, B401, '📅 Resumen Diario'!$C$5:$C$504, D401), 0))</f>
        <v/>
      </c>
      <c r="M401" s="31" t="str">
        <f t="shared" si="45"/>
        <v/>
      </c>
      <c r="N401" s="31" t="str">
        <f t="shared" si="46"/>
        <v/>
      </c>
      <c r="O401" s="31" t="str">
        <f>IF(OR(B401="",C401=""),"",K401-N401 + IFERROR(E401 / SUMIFS('📅 Resumen Diario'!$D$5:$D$504, '📅 Resumen Diario'!$B$5:$B$504, B401, '📅 Resumen Diario'!$C$5:$C$504, D401) * (SUMIFS('📋 Detalle Diario'!$E$5:$E$489, '📋 Detalle Diario'!$B$5:$B$489, B401, '📋 Detalle Diario'!$C$5:$C$489, D401) * 135 + SUMIFS('📋 Detalle Diario'!$I$5:$I$489, '📋 Detalle Diario'!$B$5:$B$489, B401, '📋 Detalle Diario'!$C$5:$C$489, D401) * 200), 0))</f>
        <v/>
      </c>
      <c r="P401" s="32" t="str">
        <f t="shared" si="47"/>
        <v/>
      </c>
      <c r="Q401" s="33" t="str">
        <f t="shared" si="48"/>
        <v/>
      </c>
    </row>
    <row r="402" spans="2:17" ht="18" customHeight="1" x14ac:dyDescent="0.3">
      <c r="B402" s="26"/>
      <c r="C402" s="17"/>
      <c r="D402" s="27"/>
      <c r="E402" s="18"/>
      <c r="F402" s="18"/>
      <c r="G402" s="18"/>
      <c r="H402" s="30" t="str">
        <f t="shared" si="42"/>
        <v/>
      </c>
      <c r="I402" s="31" t="str">
        <f>IF(OR(B402="",C402=""),"",IFERROR(E402*IF(E402="",0,VLOOKUP(C402,'📦 Precios Proforma'!$B$5:$D$104,IF(D402="DIA",2,3),FALSE)),0))</f>
        <v/>
      </c>
      <c r="J402" s="31" t="str">
        <f t="shared" si="43"/>
        <v/>
      </c>
      <c r="K402" s="31" t="str">
        <f t="shared" si="44"/>
        <v/>
      </c>
      <c r="L402" s="31" t="str">
        <f>IF(OR(B402="",C402=""),"",IFERROR(E402 / SUMIFS('📅 Resumen Diario'!$D$5:$D$504, '📅 Resumen Diario'!$B$5:$B$504, B402, '📅 Resumen Diario'!$C$5:$C$504, D402) * SUMIFS('📅 Resumen Diario'!$K$5:$K$504, '📅 Resumen Diario'!$B$5:$B$504, B402, '📅 Resumen Diario'!$C$5:$C$504, D402), 0))</f>
        <v/>
      </c>
      <c r="M402" s="31" t="str">
        <f t="shared" si="45"/>
        <v/>
      </c>
      <c r="N402" s="31" t="str">
        <f t="shared" si="46"/>
        <v/>
      </c>
      <c r="O402" s="31" t="str">
        <f>IF(OR(B402="",C402=""),"",K402-N402 + IFERROR(E402 / SUMIFS('📅 Resumen Diario'!$D$5:$D$504, '📅 Resumen Diario'!$B$5:$B$504, B402, '📅 Resumen Diario'!$C$5:$C$504, D402) * (SUMIFS('📋 Detalle Diario'!$E$5:$E$489, '📋 Detalle Diario'!$B$5:$B$489, B402, '📋 Detalle Diario'!$C$5:$C$489, D402) * 135 + SUMIFS('📋 Detalle Diario'!$I$5:$I$489, '📋 Detalle Diario'!$B$5:$B$489, B402, '📋 Detalle Diario'!$C$5:$C$489, D402) * 200), 0))</f>
        <v/>
      </c>
      <c r="P402" s="32" t="str">
        <f t="shared" si="47"/>
        <v/>
      </c>
      <c r="Q402" s="33" t="str">
        <f t="shared" si="48"/>
        <v/>
      </c>
    </row>
    <row r="403" spans="2:17" ht="18" customHeight="1" x14ac:dyDescent="0.3">
      <c r="B403" s="26"/>
      <c r="C403" s="28"/>
      <c r="D403" s="27"/>
      <c r="E403" s="29"/>
      <c r="F403" s="29"/>
      <c r="G403" s="29"/>
      <c r="H403" s="30" t="str">
        <f t="shared" si="42"/>
        <v/>
      </c>
      <c r="I403" s="31" t="str">
        <f>IF(OR(B403="",C403=""),"",IFERROR(E403*IF(E403="",0,VLOOKUP(C403,'📦 Precios Proforma'!$B$5:$D$104,IF(D403="DIA",2,3),FALSE)),0))</f>
        <v/>
      </c>
      <c r="J403" s="31" t="str">
        <f t="shared" si="43"/>
        <v/>
      </c>
      <c r="K403" s="31" t="str">
        <f t="shared" si="44"/>
        <v/>
      </c>
      <c r="L403" s="31" t="str">
        <f>IF(OR(B403="",C403=""),"",IFERROR(E403 / SUMIFS('📅 Resumen Diario'!$D$5:$D$504, '📅 Resumen Diario'!$B$5:$B$504, B403, '📅 Resumen Diario'!$C$5:$C$504, D403) * SUMIFS('📅 Resumen Diario'!$K$5:$K$504, '📅 Resumen Diario'!$B$5:$B$504, B403, '📅 Resumen Diario'!$C$5:$C$504, D403), 0))</f>
        <v/>
      </c>
      <c r="M403" s="31" t="str">
        <f t="shared" si="45"/>
        <v/>
      </c>
      <c r="N403" s="31" t="str">
        <f t="shared" si="46"/>
        <v/>
      </c>
      <c r="O403" s="31" t="str">
        <f>IF(OR(B403="",C403=""),"",K403-N403 + IFERROR(E403 / SUMIFS('📅 Resumen Diario'!$D$5:$D$504, '📅 Resumen Diario'!$B$5:$B$504, B403, '📅 Resumen Diario'!$C$5:$C$504, D403) * (SUMIFS('📋 Detalle Diario'!$E$5:$E$489, '📋 Detalle Diario'!$B$5:$B$489, B403, '📋 Detalle Diario'!$C$5:$C$489, D403) * 135 + SUMIFS('📋 Detalle Diario'!$I$5:$I$489, '📋 Detalle Diario'!$B$5:$B$489, B403, '📋 Detalle Diario'!$C$5:$C$489, D403) * 200), 0))</f>
        <v/>
      </c>
      <c r="P403" s="32" t="str">
        <f t="shared" si="47"/>
        <v/>
      </c>
      <c r="Q403" s="33" t="str">
        <f t="shared" si="48"/>
        <v/>
      </c>
    </row>
    <row r="404" spans="2:17" ht="18" customHeight="1" x14ac:dyDescent="0.3">
      <c r="B404" s="26"/>
      <c r="C404" s="17"/>
      <c r="D404" s="27"/>
      <c r="E404" s="18"/>
      <c r="F404" s="18"/>
      <c r="G404" s="18"/>
      <c r="H404" s="30" t="str">
        <f t="shared" si="42"/>
        <v/>
      </c>
      <c r="I404" s="31" t="str">
        <f>IF(OR(B404="",C404=""),"",IFERROR(E404*IF(E404="",0,VLOOKUP(C404,'📦 Precios Proforma'!$B$5:$D$104,IF(D404="DIA",2,3),FALSE)),0))</f>
        <v/>
      </c>
      <c r="J404" s="31" t="str">
        <f t="shared" si="43"/>
        <v/>
      </c>
      <c r="K404" s="31" t="str">
        <f t="shared" si="44"/>
        <v/>
      </c>
      <c r="L404" s="31" t="str">
        <f>IF(OR(B404="",C404=""),"",IFERROR(E404 / SUMIFS('📅 Resumen Diario'!$D$5:$D$504, '📅 Resumen Diario'!$B$5:$B$504, B404, '📅 Resumen Diario'!$C$5:$C$504, D404) * SUMIFS('📅 Resumen Diario'!$K$5:$K$504, '📅 Resumen Diario'!$B$5:$B$504, B404, '📅 Resumen Diario'!$C$5:$C$504, D404), 0))</f>
        <v/>
      </c>
      <c r="M404" s="31" t="str">
        <f t="shared" si="45"/>
        <v/>
      </c>
      <c r="N404" s="31" t="str">
        <f t="shared" si="46"/>
        <v/>
      </c>
      <c r="O404" s="31" t="str">
        <f>IF(OR(B404="",C404=""),"",K404-N404 + IFERROR(E404 / SUMIFS('📅 Resumen Diario'!$D$5:$D$504, '📅 Resumen Diario'!$B$5:$B$504, B404, '📅 Resumen Diario'!$C$5:$C$504, D404) * (SUMIFS('📋 Detalle Diario'!$E$5:$E$489, '📋 Detalle Diario'!$B$5:$B$489, B404, '📋 Detalle Diario'!$C$5:$C$489, D404) * 135 + SUMIFS('📋 Detalle Diario'!$I$5:$I$489, '📋 Detalle Diario'!$B$5:$B$489, B404, '📋 Detalle Diario'!$C$5:$C$489, D404) * 200), 0))</f>
        <v/>
      </c>
      <c r="P404" s="32" t="str">
        <f t="shared" si="47"/>
        <v/>
      </c>
      <c r="Q404" s="33" t="str">
        <f t="shared" si="48"/>
        <v/>
      </c>
    </row>
    <row r="405" spans="2:17" ht="18" customHeight="1" x14ac:dyDescent="0.3">
      <c r="B405" s="26"/>
      <c r="C405" s="28"/>
      <c r="D405" s="27"/>
      <c r="E405" s="29"/>
      <c r="F405" s="29"/>
      <c r="G405" s="29"/>
      <c r="H405" s="30" t="str">
        <f t="shared" si="42"/>
        <v/>
      </c>
      <c r="I405" s="31" t="str">
        <f>IF(OR(B405="",C405=""),"",IFERROR(E405*IF(E405="",0,VLOOKUP(C405,'📦 Precios Proforma'!$B$5:$D$104,IF(D405="DIA",2,3),FALSE)),0))</f>
        <v/>
      </c>
      <c r="J405" s="31" t="str">
        <f t="shared" si="43"/>
        <v/>
      </c>
      <c r="K405" s="31" t="str">
        <f t="shared" si="44"/>
        <v/>
      </c>
      <c r="L405" s="31" t="str">
        <f>IF(OR(B405="",C405=""),"",IFERROR(E405 / SUMIFS('📅 Resumen Diario'!$D$5:$D$504, '📅 Resumen Diario'!$B$5:$B$504, B405, '📅 Resumen Diario'!$C$5:$C$504, D405) * SUMIFS('📅 Resumen Diario'!$K$5:$K$504, '📅 Resumen Diario'!$B$5:$B$504, B405, '📅 Resumen Diario'!$C$5:$C$504, D405), 0))</f>
        <v/>
      </c>
      <c r="M405" s="31" t="str">
        <f t="shared" si="45"/>
        <v/>
      </c>
      <c r="N405" s="31" t="str">
        <f t="shared" si="46"/>
        <v/>
      </c>
      <c r="O405" s="31" t="str">
        <f>IF(OR(B405="",C405=""),"",K405-N405 + IFERROR(E405 / SUMIFS('📅 Resumen Diario'!$D$5:$D$504, '📅 Resumen Diario'!$B$5:$B$504, B405, '📅 Resumen Diario'!$C$5:$C$504, D405) * (SUMIFS('📋 Detalle Diario'!$E$5:$E$489, '📋 Detalle Diario'!$B$5:$B$489, B405, '📋 Detalle Diario'!$C$5:$C$489, D405) * 135 + SUMIFS('📋 Detalle Diario'!$I$5:$I$489, '📋 Detalle Diario'!$B$5:$B$489, B405, '📋 Detalle Diario'!$C$5:$C$489, D405) * 200), 0))</f>
        <v/>
      </c>
      <c r="P405" s="32" t="str">
        <f t="shared" si="47"/>
        <v/>
      </c>
      <c r="Q405" s="33" t="str">
        <f t="shared" si="48"/>
        <v/>
      </c>
    </row>
    <row r="406" spans="2:17" ht="18" customHeight="1" x14ac:dyDescent="0.3">
      <c r="B406" s="26"/>
      <c r="C406" s="17"/>
      <c r="D406" s="27"/>
      <c r="E406" s="18"/>
      <c r="F406" s="18"/>
      <c r="G406" s="18"/>
      <c r="H406" s="30" t="str">
        <f t="shared" si="42"/>
        <v/>
      </c>
      <c r="I406" s="31" t="str">
        <f>IF(OR(B406="",C406=""),"",IFERROR(E406*IF(E406="",0,VLOOKUP(C406,'📦 Precios Proforma'!$B$5:$D$104,IF(D406="DIA",2,3),FALSE)),0))</f>
        <v/>
      </c>
      <c r="J406" s="31" t="str">
        <f t="shared" si="43"/>
        <v/>
      </c>
      <c r="K406" s="31" t="str">
        <f t="shared" si="44"/>
        <v/>
      </c>
      <c r="L406" s="31" t="str">
        <f>IF(OR(B406="",C406=""),"",IFERROR(E406 / SUMIFS('📅 Resumen Diario'!$D$5:$D$504, '📅 Resumen Diario'!$B$5:$B$504, B406, '📅 Resumen Diario'!$C$5:$C$504, D406) * SUMIFS('📅 Resumen Diario'!$K$5:$K$504, '📅 Resumen Diario'!$B$5:$B$504, B406, '📅 Resumen Diario'!$C$5:$C$504, D406), 0))</f>
        <v/>
      </c>
      <c r="M406" s="31" t="str">
        <f t="shared" si="45"/>
        <v/>
      </c>
      <c r="N406" s="31" t="str">
        <f t="shared" si="46"/>
        <v/>
      </c>
      <c r="O406" s="31" t="str">
        <f>IF(OR(B406="",C406=""),"",K406-N406 + IFERROR(E406 / SUMIFS('📅 Resumen Diario'!$D$5:$D$504, '📅 Resumen Diario'!$B$5:$B$504, B406, '📅 Resumen Diario'!$C$5:$C$504, D406) * (SUMIFS('📋 Detalle Diario'!$E$5:$E$489, '📋 Detalle Diario'!$B$5:$B$489, B406, '📋 Detalle Diario'!$C$5:$C$489, D406) * 135 + SUMIFS('📋 Detalle Diario'!$I$5:$I$489, '📋 Detalle Diario'!$B$5:$B$489, B406, '📋 Detalle Diario'!$C$5:$C$489, D406) * 200), 0))</f>
        <v/>
      </c>
      <c r="P406" s="32" t="str">
        <f t="shared" si="47"/>
        <v/>
      </c>
      <c r="Q406" s="33" t="str">
        <f t="shared" si="48"/>
        <v/>
      </c>
    </row>
    <row r="407" spans="2:17" ht="18" customHeight="1" x14ac:dyDescent="0.3">
      <c r="B407" s="26"/>
      <c r="C407" s="28"/>
      <c r="D407" s="27"/>
      <c r="E407" s="29"/>
      <c r="F407" s="29"/>
      <c r="G407" s="29"/>
      <c r="H407" s="30" t="str">
        <f t="shared" si="42"/>
        <v/>
      </c>
      <c r="I407" s="31" t="str">
        <f>IF(OR(B407="",C407=""),"",IFERROR(E407*IF(E407="",0,VLOOKUP(C407,'📦 Precios Proforma'!$B$5:$D$104,IF(D407="DIA",2,3),FALSE)),0))</f>
        <v/>
      </c>
      <c r="J407" s="31" t="str">
        <f t="shared" si="43"/>
        <v/>
      </c>
      <c r="K407" s="31" t="str">
        <f t="shared" si="44"/>
        <v/>
      </c>
      <c r="L407" s="31" t="str">
        <f>IF(OR(B407="",C407=""),"",IFERROR(E407 / SUMIFS('📅 Resumen Diario'!$D$5:$D$504, '📅 Resumen Diario'!$B$5:$B$504, B407, '📅 Resumen Diario'!$C$5:$C$504, D407) * SUMIFS('📅 Resumen Diario'!$K$5:$K$504, '📅 Resumen Diario'!$B$5:$B$504, B407, '📅 Resumen Diario'!$C$5:$C$504, D407), 0))</f>
        <v/>
      </c>
      <c r="M407" s="31" t="str">
        <f t="shared" si="45"/>
        <v/>
      </c>
      <c r="N407" s="31" t="str">
        <f t="shared" si="46"/>
        <v/>
      </c>
      <c r="O407" s="31" t="str">
        <f>IF(OR(B407="",C407=""),"",K407-N407 + IFERROR(E407 / SUMIFS('📅 Resumen Diario'!$D$5:$D$504, '📅 Resumen Diario'!$B$5:$B$504, B407, '📅 Resumen Diario'!$C$5:$C$504, D407) * (SUMIFS('📋 Detalle Diario'!$E$5:$E$489, '📋 Detalle Diario'!$B$5:$B$489, B407, '📋 Detalle Diario'!$C$5:$C$489, D407) * 135 + SUMIFS('📋 Detalle Diario'!$I$5:$I$489, '📋 Detalle Diario'!$B$5:$B$489, B407, '📋 Detalle Diario'!$C$5:$C$489, D407) * 200), 0))</f>
        <v/>
      </c>
      <c r="P407" s="32" t="str">
        <f t="shared" si="47"/>
        <v/>
      </c>
      <c r="Q407" s="33" t="str">
        <f t="shared" si="48"/>
        <v/>
      </c>
    </row>
    <row r="408" spans="2:17" ht="18" customHeight="1" x14ac:dyDescent="0.3">
      <c r="B408" s="26"/>
      <c r="C408" s="17"/>
      <c r="D408" s="27"/>
      <c r="E408" s="18"/>
      <c r="F408" s="18"/>
      <c r="G408" s="18"/>
      <c r="H408" s="30" t="str">
        <f t="shared" si="42"/>
        <v/>
      </c>
      <c r="I408" s="31" t="str">
        <f>IF(OR(B408="",C408=""),"",IFERROR(E408*IF(E408="",0,VLOOKUP(C408,'📦 Precios Proforma'!$B$5:$D$104,IF(D408="DIA",2,3),FALSE)),0))</f>
        <v/>
      </c>
      <c r="J408" s="31" t="str">
        <f t="shared" si="43"/>
        <v/>
      </c>
      <c r="K408" s="31" t="str">
        <f t="shared" si="44"/>
        <v/>
      </c>
      <c r="L408" s="31" t="str">
        <f>IF(OR(B408="",C408=""),"",IFERROR(E408 / SUMIFS('📅 Resumen Diario'!$D$5:$D$504, '📅 Resumen Diario'!$B$5:$B$504, B408, '📅 Resumen Diario'!$C$5:$C$504, D408) * SUMIFS('📅 Resumen Diario'!$K$5:$K$504, '📅 Resumen Diario'!$B$5:$B$504, B408, '📅 Resumen Diario'!$C$5:$C$504, D408), 0))</f>
        <v/>
      </c>
      <c r="M408" s="31" t="str">
        <f t="shared" si="45"/>
        <v/>
      </c>
      <c r="N408" s="31" t="str">
        <f t="shared" si="46"/>
        <v/>
      </c>
      <c r="O408" s="31" t="str">
        <f>IF(OR(B408="",C408=""),"",K408-N408 + IFERROR(E408 / SUMIFS('📅 Resumen Diario'!$D$5:$D$504, '📅 Resumen Diario'!$B$5:$B$504, B408, '📅 Resumen Diario'!$C$5:$C$504, D408) * (SUMIFS('📋 Detalle Diario'!$E$5:$E$489, '📋 Detalle Diario'!$B$5:$B$489, B408, '📋 Detalle Diario'!$C$5:$C$489, D408) * 135 + SUMIFS('📋 Detalle Diario'!$I$5:$I$489, '📋 Detalle Diario'!$B$5:$B$489, B408, '📋 Detalle Diario'!$C$5:$C$489, D408) * 200), 0))</f>
        <v/>
      </c>
      <c r="P408" s="32" t="str">
        <f t="shared" si="47"/>
        <v/>
      </c>
      <c r="Q408" s="33" t="str">
        <f t="shared" si="48"/>
        <v/>
      </c>
    </row>
    <row r="409" spans="2:17" ht="18" customHeight="1" x14ac:dyDescent="0.3">
      <c r="B409" s="26"/>
      <c r="C409" s="28"/>
      <c r="D409" s="27"/>
      <c r="E409" s="29"/>
      <c r="F409" s="29"/>
      <c r="G409" s="29"/>
      <c r="H409" s="30" t="str">
        <f t="shared" si="42"/>
        <v/>
      </c>
      <c r="I409" s="31" t="str">
        <f>IF(OR(B409="",C409=""),"",IFERROR(E409*IF(E409="",0,VLOOKUP(C409,'📦 Precios Proforma'!$B$5:$D$104,IF(D409="DIA",2,3),FALSE)),0))</f>
        <v/>
      </c>
      <c r="J409" s="31" t="str">
        <f t="shared" si="43"/>
        <v/>
      </c>
      <c r="K409" s="31" t="str">
        <f t="shared" si="44"/>
        <v/>
      </c>
      <c r="L409" s="31" t="str">
        <f>IF(OR(B409="",C409=""),"",IFERROR(E409 / SUMIFS('📅 Resumen Diario'!$D$5:$D$504, '📅 Resumen Diario'!$B$5:$B$504, B409, '📅 Resumen Diario'!$C$5:$C$504, D409) * SUMIFS('📅 Resumen Diario'!$K$5:$K$504, '📅 Resumen Diario'!$B$5:$B$504, B409, '📅 Resumen Diario'!$C$5:$C$504, D409), 0))</f>
        <v/>
      </c>
      <c r="M409" s="31" t="str">
        <f t="shared" si="45"/>
        <v/>
      </c>
      <c r="N409" s="31" t="str">
        <f t="shared" si="46"/>
        <v/>
      </c>
      <c r="O409" s="31" t="str">
        <f>IF(OR(B409="",C409=""),"",K409-N409 + IFERROR(E409 / SUMIFS('📅 Resumen Diario'!$D$5:$D$504, '📅 Resumen Diario'!$B$5:$B$504, B409, '📅 Resumen Diario'!$C$5:$C$504, D409) * (SUMIFS('📋 Detalle Diario'!$E$5:$E$489, '📋 Detalle Diario'!$B$5:$B$489, B409, '📋 Detalle Diario'!$C$5:$C$489, D409) * 135 + SUMIFS('📋 Detalle Diario'!$I$5:$I$489, '📋 Detalle Diario'!$B$5:$B$489, B409, '📋 Detalle Diario'!$C$5:$C$489, D409) * 200), 0))</f>
        <v/>
      </c>
      <c r="P409" s="32" t="str">
        <f t="shared" si="47"/>
        <v/>
      </c>
      <c r="Q409" s="33" t="str">
        <f t="shared" si="48"/>
        <v/>
      </c>
    </row>
    <row r="410" spans="2:17" ht="18" customHeight="1" x14ac:dyDescent="0.3">
      <c r="B410" s="26"/>
      <c r="C410" s="17"/>
      <c r="D410" s="27"/>
      <c r="E410" s="18"/>
      <c r="F410" s="18"/>
      <c r="G410" s="18"/>
      <c r="H410" s="30" t="str">
        <f t="shared" si="42"/>
        <v/>
      </c>
      <c r="I410" s="31" t="str">
        <f>IF(OR(B410="",C410=""),"",IFERROR(E410*IF(E410="",0,VLOOKUP(C410,'📦 Precios Proforma'!$B$5:$D$104,IF(D410="DIA",2,3),FALSE)),0))</f>
        <v/>
      </c>
      <c r="J410" s="31" t="str">
        <f t="shared" si="43"/>
        <v/>
      </c>
      <c r="K410" s="31" t="str">
        <f t="shared" si="44"/>
        <v/>
      </c>
      <c r="L410" s="31" t="str">
        <f>IF(OR(B410="",C410=""),"",IFERROR(E410 / SUMIFS('📅 Resumen Diario'!$D$5:$D$504, '📅 Resumen Diario'!$B$5:$B$504, B410, '📅 Resumen Diario'!$C$5:$C$504, D410) * SUMIFS('📅 Resumen Diario'!$K$5:$K$504, '📅 Resumen Diario'!$B$5:$B$504, B410, '📅 Resumen Diario'!$C$5:$C$504, D410), 0))</f>
        <v/>
      </c>
      <c r="M410" s="31" t="str">
        <f t="shared" si="45"/>
        <v/>
      </c>
      <c r="N410" s="31" t="str">
        <f t="shared" si="46"/>
        <v/>
      </c>
      <c r="O410" s="31" t="str">
        <f>IF(OR(B410="",C410=""),"",K410-N410 + IFERROR(E410 / SUMIFS('📅 Resumen Diario'!$D$5:$D$504, '📅 Resumen Diario'!$B$5:$B$504, B410, '📅 Resumen Diario'!$C$5:$C$504, D410) * (SUMIFS('📋 Detalle Diario'!$E$5:$E$489, '📋 Detalle Diario'!$B$5:$B$489, B410, '📋 Detalle Diario'!$C$5:$C$489, D410) * 135 + SUMIFS('📋 Detalle Diario'!$I$5:$I$489, '📋 Detalle Diario'!$B$5:$B$489, B410, '📋 Detalle Diario'!$C$5:$C$489, D410) * 200), 0))</f>
        <v/>
      </c>
      <c r="P410" s="32" t="str">
        <f t="shared" si="47"/>
        <v/>
      </c>
      <c r="Q410" s="33" t="str">
        <f t="shared" si="48"/>
        <v/>
      </c>
    </row>
    <row r="411" spans="2:17" ht="18" customHeight="1" x14ac:dyDescent="0.3">
      <c r="B411" s="26"/>
      <c r="C411" s="28"/>
      <c r="D411" s="27"/>
      <c r="E411" s="29"/>
      <c r="F411" s="29"/>
      <c r="G411" s="29"/>
      <c r="H411" s="30" t="str">
        <f t="shared" si="42"/>
        <v/>
      </c>
      <c r="I411" s="31" t="str">
        <f>IF(OR(B411="",C411=""),"",IFERROR(E411*IF(E411="",0,VLOOKUP(C411,'📦 Precios Proforma'!$B$5:$D$104,IF(D411="DIA",2,3),FALSE)),0))</f>
        <v/>
      </c>
      <c r="J411" s="31" t="str">
        <f t="shared" si="43"/>
        <v/>
      </c>
      <c r="K411" s="31" t="str">
        <f t="shared" si="44"/>
        <v/>
      </c>
      <c r="L411" s="31" t="str">
        <f>IF(OR(B411="",C411=""),"",IFERROR(E411 / SUMIFS('📅 Resumen Diario'!$D$5:$D$504, '📅 Resumen Diario'!$B$5:$B$504, B411, '📅 Resumen Diario'!$C$5:$C$504, D411) * SUMIFS('📅 Resumen Diario'!$K$5:$K$504, '📅 Resumen Diario'!$B$5:$B$504, B411, '📅 Resumen Diario'!$C$5:$C$504, D411), 0))</f>
        <v/>
      </c>
      <c r="M411" s="31" t="str">
        <f t="shared" si="45"/>
        <v/>
      </c>
      <c r="N411" s="31" t="str">
        <f t="shared" si="46"/>
        <v/>
      </c>
      <c r="O411" s="31" t="str">
        <f>IF(OR(B411="",C411=""),"",K411-N411 + IFERROR(E411 / SUMIFS('📅 Resumen Diario'!$D$5:$D$504, '📅 Resumen Diario'!$B$5:$B$504, B411, '📅 Resumen Diario'!$C$5:$C$504, D411) * (SUMIFS('📋 Detalle Diario'!$E$5:$E$489, '📋 Detalle Diario'!$B$5:$B$489, B411, '📋 Detalle Diario'!$C$5:$C$489, D411) * 135 + SUMIFS('📋 Detalle Diario'!$I$5:$I$489, '📋 Detalle Diario'!$B$5:$B$489, B411, '📋 Detalle Diario'!$C$5:$C$489, D411) * 200), 0))</f>
        <v/>
      </c>
      <c r="P411" s="32" t="str">
        <f t="shared" si="47"/>
        <v/>
      </c>
      <c r="Q411" s="33" t="str">
        <f t="shared" si="48"/>
        <v/>
      </c>
    </row>
    <row r="412" spans="2:17" ht="18" customHeight="1" x14ac:dyDescent="0.3">
      <c r="B412" s="26"/>
      <c r="C412" s="17"/>
      <c r="D412" s="27"/>
      <c r="E412" s="18"/>
      <c r="F412" s="18"/>
      <c r="G412" s="18"/>
      <c r="H412" s="30" t="str">
        <f t="shared" si="42"/>
        <v/>
      </c>
      <c r="I412" s="31" t="str">
        <f>IF(OR(B412="",C412=""),"",IFERROR(E412*IF(E412="",0,VLOOKUP(C412,'📦 Precios Proforma'!$B$5:$D$104,IF(D412="DIA",2,3),FALSE)),0))</f>
        <v/>
      </c>
      <c r="J412" s="31" t="str">
        <f t="shared" si="43"/>
        <v/>
      </c>
      <c r="K412" s="31" t="str">
        <f t="shared" si="44"/>
        <v/>
      </c>
      <c r="L412" s="31" t="str">
        <f>IF(OR(B412="",C412=""),"",IFERROR(E412 / SUMIFS('📅 Resumen Diario'!$D$5:$D$504, '📅 Resumen Diario'!$B$5:$B$504, B412, '📅 Resumen Diario'!$C$5:$C$504, D412) * SUMIFS('📅 Resumen Diario'!$K$5:$K$504, '📅 Resumen Diario'!$B$5:$B$504, B412, '📅 Resumen Diario'!$C$5:$C$504, D412), 0))</f>
        <v/>
      </c>
      <c r="M412" s="31" t="str">
        <f t="shared" si="45"/>
        <v/>
      </c>
      <c r="N412" s="31" t="str">
        <f t="shared" si="46"/>
        <v/>
      </c>
      <c r="O412" s="31" t="str">
        <f>IF(OR(B412="",C412=""),"",K412-N412 + IFERROR(E412 / SUMIFS('📅 Resumen Diario'!$D$5:$D$504, '📅 Resumen Diario'!$B$5:$B$504, B412, '📅 Resumen Diario'!$C$5:$C$504, D412) * (SUMIFS('📋 Detalle Diario'!$E$5:$E$489, '📋 Detalle Diario'!$B$5:$B$489, B412, '📋 Detalle Diario'!$C$5:$C$489, D412) * 135 + SUMIFS('📋 Detalle Diario'!$I$5:$I$489, '📋 Detalle Diario'!$B$5:$B$489, B412, '📋 Detalle Diario'!$C$5:$C$489, D412) * 200), 0))</f>
        <v/>
      </c>
      <c r="P412" s="32" t="str">
        <f t="shared" si="47"/>
        <v/>
      </c>
      <c r="Q412" s="33" t="str">
        <f t="shared" si="48"/>
        <v/>
      </c>
    </row>
    <row r="413" spans="2:17" ht="18" customHeight="1" x14ac:dyDescent="0.3">
      <c r="B413" s="26"/>
      <c r="C413" s="28"/>
      <c r="D413" s="27"/>
      <c r="E413" s="29"/>
      <c r="F413" s="29"/>
      <c r="G413" s="29"/>
      <c r="H413" s="30" t="str">
        <f t="shared" si="42"/>
        <v/>
      </c>
      <c r="I413" s="31" t="str">
        <f>IF(OR(B413="",C413=""),"",IFERROR(E413*IF(E413="",0,VLOOKUP(C413,'📦 Precios Proforma'!$B$5:$D$104,IF(D413="DIA",2,3),FALSE)),0))</f>
        <v/>
      </c>
      <c r="J413" s="31" t="str">
        <f t="shared" si="43"/>
        <v/>
      </c>
      <c r="K413" s="31" t="str">
        <f t="shared" si="44"/>
        <v/>
      </c>
      <c r="L413" s="31" t="str">
        <f>IF(OR(B413="",C413=""),"",IFERROR(E413 / SUMIFS('📅 Resumen Diario'!$D$5:$D$504, '📅 Resumen Diario'!$B$5:$B$504, B413, '📅 Resumen Diario'!$C$5:$C$504, D413) * SUMIFS('📅 Resumen Diario'!$K$5:$K$504, '📅 Resumen Diario'!$B$5:$B$504, B413, '📅 Resumen Diario'!$C$5:$C$504, D413), 0))</f>
        <v/>
      </c>
      <c r="M413" s="31" t="str">
        <f t="shared" si="45"/>
        <v/>
      </c>
      <c r="N413" s="31" t="str">
        <f t="shared" si="46"/>
        <v/>
      </c>
      <c r="O413" s="31" t="str">
        <f>IF(OR(B413="",C413=""),"",K413-N413 + IFERROR(E413 / SUMIFS('📅 Resumen Diario'!$D$5:$D$504, '📅 Resumen Diario'!$B$5:$B$504, B413, '📅 Resumen Diario'!$C$5:$C$504, D413) * (SUMIFS('📋 Detalle Diario'!$E$5:$E$489, '📋 Detalle Diario'!$B$5:$B$489, B413, '📋 Detalle Diario'!$C$5:$C$489, D413) * 135 + SUMIFS('📋 Detalle Diario'!$I$5:$I$489, '📋 Detalle Diario'!$B$5:$B$489, B413, '📋 Detalle Diario'!$C$5:$C$489, D413) * 200), 0))</f>
        <v/>
      </c>
      <c r="P413" s="32" t="str">
        <f t="shared" si="47"/>
        <v/>
      </c>
      <c r="Q413" s="33" t="str">
        <f t="shared" si="48"/>
        <v/>
      </c>
    </row>
    <row r="414" spans="2:17" ht="18" customHeight="1" x14ac:dyDescent="0.3">
      <c r="B414" s="26"/>
      <c r="C414" s="17"/>
      <c r="D414" s="27"/>
      <c r="E414" s="18"/>
      <c r="F414" s="18"/>
      <c r="G414" s="18"/>
      <c r="H414" s="30" t="str">
        <f t="shared" si="42"/>
        <v/>
      </c>
      <c r="I414" s="31" t="str">
        <f>IF(OR(B414="",C414=""),"",IFERROR(E414*IF(E414="",0,VLOOKUP(C414,'📦 Precios Proforma'!$B$5:$D$104,IF(D414="DIA",2,3),FALSE)),0))</f>
        <v/>
      </c>
      <c r="J414" s="31" t="str">
        <f t="shared" si="43"/>
        <v/>
      </c>
      <c r="K414" s="31" t="str">
        <f t="shared" si="44"/>
        <v/>
      </c>
      <c r="L414" s="31" t="str">
        <f>IF(OR(B414="",C414=""),"",IFERROR(E414 / SUMIFS('📅 Resumen Diario'!$D$5:$D$504, '📅 Resumen Diario'!$B$5:$B$504, B414, '📅 Resumen Diario'!$C$5:$C$504, D414) * SUMIFS('📅 Resumen Diario'!$K$5:$K$504, '📅 Resumen Diario'!$B$5:$B$504, B414, '📅 Resumen Diario'!$C$5:$C$504, D414), 0))</f>
        <v/>
      </c>
      <c r="M414" s="31" t="str">
        <f t="shared" si="45"/>
        <v/>
      </c>
      <c r="N414" s="31" t="str">
        <f t="shared" si="46"/>
        <v/>
      </c>
      <c r="O414" s="31" t="str">
        <f>IF(OR(B414="",C414=""),"",K414-N414 + IFERROR(E414 / SUMIFS('📅 Resumen Diario'!$D$5:$D$504, '📅 Resumen Diario'!$B$5:$B$504, B414, '📅 Resumen Diario'!$C$5:$C$504, D414) * (SUMIFS('📋 Detalle Diario'!$E$5:$E$489, '📋 Detalle Diario'!$B$5:$B$489, B414, '📋 Detalle Diario'!$C$5:$C$489, D414) * 135 + SUMIFS('📋 Detalle Diario'!$I$5:$I$489, '📋 Detalle Diario'!$B$5:$B$489, B414, '📋 Detalle Diario'!$C$5:$C$489, D414) * 200), 0))</f>
        <v/>
      </c>
      <c r="P414" s="32" t="str">
        <f t="shared" si="47"/>
        <v/>
      </c>
      <c r="Q414" s="33" t="str">
        <f t="shared" si="48"/>
        <v/>
      </c>
    </row>
    <row r="415" spans="2:17" ht="18" customHeight="1" x14ac:dyDescent="0.3">
      <c r="B415" s="26"/>
      <c r="C415" s="28"/>
      <c r="D415" s="27"/>
      <c r="E415" s="29"/>
      <c r="F415" s="29"/>
      <c r="G415" s="29"/>
      <c r="H415" s="30" t="str">
        <f t="shared" si="42"/>
        <v/>
      </c>
      <c r="I415" s="31" t="str">
        <f>IF(OR(B415="",C415=""),"",IFERROR(E415*IF(E415="",0,VLOOKUP(C415,'📦 Precios Proforma'!$B$5:$D$104,IF(D415="DIA",2,3),FALSE)),0))</f>
        <v/>
      </c>
      <c r="J415" s="31" t="str">
        <f t="shared" si="43"/>
        <v/>
      </c>
      <c r="K415" s="31" t="str">
        <f t="shared" si="44"/>
        <v/>
      </c>
      <c r="L415" s="31" t="str">
        <f>IF(OR(B415="",C415=""),"",IFERROR(E415 / SUMIFS('📅 Resumen Diario'!$D$5:$D$504, '📅 Resumen Diario'!$B$5:$B$504, B415, '📅 Resumen Diario'!$C$5:$C$504, D415) * SUMIFS('📅 Resumen Diario'!$K$5:$K$504, '📅 Resumen Diario'!$B$5:$B$504, B415, '📅 Resumen Diario'!$C$5:$C$504, D415), 0))</f>
        <v/>
      </c>
      <c r="M415" s="31" t="str">
        <f t="shared" si="45"/>
        <v/>
      </c>
      <c r="N415" s="31" t="str">
        <f t="shared" si="46"/>
        <v/>
      </c>
      <c r="O415" s="31" t="str">
        <f>IF(OR(B415="",C415=""),"",K415-N415 + IFERROR(E415 / SUMIFS('📅 Resumen Diario'!$D$5:$D$504, '📅 Resumen Diario'!$B$5:$B$504, B415, '📅 Resumen Diario'!$C$5:$C$504, D415) * (SUMIFS('📋 Detalle Diario'!$E$5:$E$489, '📋 Detalle Diario'!$B$5:$B$489, B415, '📋 Detalle Diario'!$C$5:$C$489, D415) * 135 + SUMIFS('📋 Detalle Diario'!$I$5:$I$489, '📋 Detalle Diario'!$B$5:$B$489, B415, '📋 Detalle Diario'!$C$5:$C$489, D415) * 200), 0))</f>
        <v/>
      </c>
      <c r="P415" s="32" t="str">
        <f t="shared" si="47"/>
        <v/>
      </c>
      <c r="Q415" s="33" t="str">
        <f t="shared" si="48"/>
        <v/>
      </c>
    </row>
    <row r="416" spans="2:17" ht="18" customHeight="1" x14ac:dyDescent="0.3">
      <c r="B416" s="26"/>
      <c r="C416" s="17"/>
      <c r="D416" s="27"/>
      <c r="E416" s="18"/>
      <c r="F416" s="18"/>
      <c r="G416" s="18"/>
      <c r="H416" s="30" t="str">
        <f t="shared" si="42"/>
        <v/>
      </c>
      <c r="I416" s="31" t="str">
        <f>IF(OR(B416="",C416=""),"",IFERROR(E416*IF(E416="",0,VLOOKUP(C416,'📦 Precios Proforma'!$B$5:$D$104,IF(D416="DIA",2,3),FALSE)),0))</f>
        <v/>
      </c>
      <c r="J416" s="31" t="str">
        <f t="shared" si="43"/>
        <v/>
      </c>
      <c r="K416" s="31" t="str">
        <f t="shared" si="44"/>
        <v/>
      </c>
      <c r="L416" s="31" t="str">
        <f>IF(OR(B416="",C416=""),"",IFERROR(E416 / SUMIFS('📅 Resumen Diario'!$D$5:$D$504, '📅 Resumen Diario'!$B$5:$B$504, B416, '📅 Resumen Diario'!$C$5:$C$504, D416) * SUMIFS('📅 Resumen Diario'!$K$5:$K$504, '📅 Resumen Diario'!$B$5:$B$504, B416, '📅 Resumen Diario'!$C$5:$C$504, D416), 0))</f>
        <v/>
      </c>
      <c r="M416" s="31" t="str">
        <f t="shared" si="45"/>
        <v/>
      </c>
      <c r="N416" s="31" t="str">
        <f t="shared" si="46"/>
        <v/>
      </c>
      <c r="O416" s="31" t="str">
        <f>IF(OR(B416="",C416=""),"",K416-N416 + IFERROR(E416 / SUMIFS('📅 Resumen Diario'!$D$5:$D$504, '📅 Resumen Diario'!$B$5:$B$504, B416, '📅 Resumen Diario'!$C$5:$C$504, D416) * (SUMIFS('📋 Detalle Diario'!$E$5:$E$489, '📋 Detalle Diario'!$B$5:$B$489, B416, '📋 Detalle Diario'!$C$5:$C$489, D416) * 135 + SUMIFS('📋 Detalle Diario'!$I$5:$I$489, '📋 Detalle Diario'!$B$5:$B$489, B416, '📋 Detalle Diario'!$C$5:$C$489, D416) * 200), 0))</f>
        <v/>
      </c>
      <c r="P416" s="32" t="str">
        <f t="shared" si="47"/>
        <v/>
      </c>
      <c r="Q416" s="33" t="str">
        <f t="shared" si="48"/>
        <v/>
      </c>
    </row>
    <row r="417" spans="2:17" ht="18" customHeight="1" x14ac:dyDescent="0.3">
      <c r="B417" s="26"/>
      <c r="C417" s="28"/>
      <c r="D417" s="27"/>
      <c r="E417" s="29"/>
      <c r="F417" s="29"/>
      <c r="G417" s="29"/>
      <c r="H417" s="30" t="str">
        <f t="shared" si="42"/>
        <v/>
      </c>
      <c r="I417" s="31" t="str">
        <f>IF(OR(B417="",C417=""),"",IFERROR(E417*IF(E417="",0,VLOOKUP(C417,'📦 Precios Proforma'!$B$5:$D$104,IF(D417="DIA",2,3),FALSE)),0))</f>
        <v/>
      </c>
      <c r="J417" s="31" t="str">
        <f t="shared" si="43"/>
        <v/>
      </c>
      <c r="K417" s="31" t="str">
        <f t="shared" si="44"/>
        <v/>
      </c>
      <c r="L417" s="31" t="str">
        <f>IF(OR(B417="",C417=""),"",IFERROR(E417 / SUMIFS('📅 Resumen Diario'!$D$5:$D$504, '📅 Resumen Diario'!$B$5:$B$504, B417, '📅 Resumen Diario'!$C$5:$C$504, D417) * SUMIFS('📅 Resumen Diario'!$K$5:$K$504, '📅 Resumen Diario'!$B$5:$B$504, B417, '📅 Resumen Diario'!$C$5:$C$504, D417), 0))</f>
        <v/>
      </c>
      <c r="M417" s="31" t="str">
        <f t="shared" si="45"/>
        <v/>
      </c>
      <c r="N417" s="31" t="str">
        <f t="shared" si="46"/>
        <v/>
      </c>
      <c r="O417" s="31" t="str">
        <f>IF(OR(B417="",C417=""),"",K417-N417 + IFERROR(E417 / SUMIFS('📅 Resumen Diario'!$D$5:$D$504, '📅 Resumen Diario'!$B$5:$B$504, B417, '📅 Resumen Diario'!$C$5:$C$504, D417) * (SUMIFS('📋 Detalle Diario'!$E$5:$E$489, '📋 Detalle Diario'!$B$5:$B$489, B417, '📋 Detalle Diario'!$C$5:$C$489, D417) * 135 + SUMIFS('📋 Detalle Diario'!$I$5:$I$489, '📋 Detalle Diario'!$B$5:$B$489, B417, '📋 Detalle Diario'!$C$5:$C$489, D417) * 200), 0))</f>
        <v/>
      </c>
      <c r="P417" s="32" t="str">
        <f t="shared" si="47"/>
        <v/>
      </c>
      <c r="Q417" s="33" t="str">
        <f t="shared" si="48"/>
        <v/>
      </c>
    </row>
    <row r="418" spans="2:17" ht="18" customHeight="1" x14ac:dyDescent="0.3">
      <c r="B418" s="26"/>
      <c r="C418" s="17"/>
      <c r="D418" s="27"/>
      <c r="E418" s="18"/>
      <c r="F418" s="18"/>
      <c r="G418" s="18"/>
      <c r="H418" s="30" t="str">
        <f t="shared" si="42"/>
        <v/>
      </c>
      <c r="I418" s="31" t="str">
        <f>IF(OR(B418="",C418=""),"",IFERROR(E418*IF(E418="",0,VLOOKUP(C418,'📦 Precios Proforma'!$B$5:$D$104,IF(D418="DIA",2,3),FALSE)),0))</f>
        <v/>
      </c>
      <c r="J418" s="31" t="str">
        <f t="shared" si="43"/>
        <v/>
      </c>
      <c r="K418" s="31" t="str">
        <f t="shared" si="44"/>
        <v/>
      </c>
      <c r="L418" s="31" t="str">
        <f>IF(OR(B418="",C418=""),"",IFERROR(E418 / SUMIFS('📅 Resumen Diario'!$D$5:$D$504, '📅 Resumen Diario'!$B$5:$B$504, B418, '📅 Resumen Diario'!$C$5:$C$504, D418) * SUMIFS('📅 Resumen Diario'!$K$5:$K$504, '📅 Resumen Diario'!$B$5:$B$504, B418, '📅 Resumen Diario'!$C$5:$C$504, D418), 0))</f>
        <v/>
      </c>
      <c r="M418" s="31" t="str">
        <f t="shared" si="45"/>
        <v/>
      </c>
      <c r="N418" s="31" t="str">
        <f t="shared" si="46"/>
        <v/>
      </c>
      <c r="O418" s="31" t="str">
        <f>IF(OR(B418="",C418=""),"",K418-N418 + IFERROR(E418 / SUMIFS('📅 Resumen Diario'!$D$5:$D$504, '📅 Resumen Diario'!$B$5:$B$504, B418, '📅 Resumen Diario'!$C$5:$C$504, D418) * (SUMIFS('📋 Detalle Diario'!$E$5:$E$489, '📋 Detalle Diario'!$B$5:$B$489, B418, '📋 Detalle Diario'!$C$5:$C$489, D418) * 135 + SUMIFS('📋 Detalle Diario'!$I$5:$I$489, '📋 Detalle Diario'!$B$5:$B$489, B418, '📋 Detalle Diario'!$C$5:$C$489, D418) * 200), 0))</f>
        <v/>
      </c>
      <c r="P418" s="32" t="str">
        <f t="shared" si="47"/>
        <v/>
      </c>
      <c r="Q418" s="33" t="str">
        <f t="shared" si="48"/>
        <v/>
      </c>
    </row>
    <row r="419" spans="2:17" ht="18" customHeight="1" x14ac:dyDescent="0.3">
      <c r="B419" s="26"/>
      <c r="C419" s="28"/>
      <c r="D419" s="27"/>
      <c r="E419" s="29"/>
      <c r="F419" s="29"/>
      <c r="G419" s="29"/>
      <c r="H419" s="30" t="str">
        <f t="shared" si="42"/>
        <v/>
      </c>
      <c r="I419" s="31" t="str">
        <f>IF(OR(B419="",C419=""),"",IFERROR(E419*IF(E419="",0,VLOOKUP(C419,'📦 Precios Proforma'!$B$5:$D$104,IF(D419="DIA",2,3),FALSE)),0))</f>
        <v/>
      </c>
      <c r="J419" s="31" t="str">
        <f t="shared" si="43"/>
        <v/>
      </c>
      <c r="K419" s="31" t="str">
        <f t="shared" si="44"/>
        <v/>
      </c>
      <c r="L419" s="31" t="str">
        <f>IF(OR(B419="",C419=""),"",IFERROR(E419 / SUMIFS('📅 Resumen Diario'!$D$5:$D$504, '📅 Resumen Diario'!$B$5:$B$504, B419, '📅 Resumen Diario'!$C$5:$C$504, D419) * SUMIFS('📅 Resumen Diario'!$K$5:$K$504, '📅 Resumen Diario'!$B$5:$B$504, B419, '📅 Resumen Diario'!$C$5:$C$504, D419), 0))</f>
        <v/>
      </c>
      <c r="M419" s="31" t="str">
        <f t="shared" si="45"/>
        <v/>
      </c>
      <c r="N419" s="31" t="str">
        <f t="shared" si="46"/>
        <v/>
      </c>
      <c r="O419" s="31" t="str">
        <f>IF(OR(B419="",C419=""),"",K419-N419 + IFERROR(E419 / SUMIFS('📅 Resumen Diario'!$D$5:$D$504, '📅 Resumen Diario'!$B$5:$B$504, B419, '📅 Resumen Diario'!$C$5:$C$504, D419) * (SUMIFS('📋 Detalle Diario'!$E$5:$E$489, '📋 Detalle Diario'!$B$5:$B$489, B419, '📋 Detalle Diario'!$C$5:$C$489, D419) * 135 + SUMIFS('📋 Detalle Diario'!$I$5:$I$489, '📋 Detalle Diario'!$B$5:$B$489, B419, '📋 Detalle Diario'!$C$5:$C$489, D419) * 200), 0))</f>
        <v/>
      </c>
      <c r="P419" s="32" t="str">
        <f t="shared" si="47"/>
        <v/>
      </c>
      <c r="Q419" s="33" t="str">
        <f t="shared" si="48"/>
        <v/>
      </c>
    </row>
    <row r="420" spans="2:17" ht="18" customHeight="1" x14ac:dyDescent="0.3">
      <c r="B420" s="26"/>
      <c r="C420" s="17"/>
      <c r="D420" s="27"/>
      <c r="E420" s="18"/>
      <c r="F420" s="18"/>
      <c r="G420" s="18"/>
      <c r="H420" s="30" t="str">
        <f t="shared" si="42"/>
        <v/>
      </c>
      <c r="I420" s="31" t="str">
        <f>IF(OR(B420="",C420=""),"",IFERROR(E420*IF(E420="",0,VLOOKUP(C420,'📦 Precios Proforma'!$B$5:$D$104,IF(D420="DIA",2,3),FALSE)),0))</f>
        <v/>
      </c>
      <c r="J420" s="31" t="str">
        <f t="shared" si="43"/>
        <v/>
      </c>
      <c r="K420" s="31" t="str">
        <f t="shared" si="44"/>
        <v/>
      </c>
      <c r="L420" s="31" t="str">
        <f>IF(OR(B420="",C420=""),"",IFERROR(E420 / SUMIFS('📅 Resumen Diario'!$D$5:$D$504, '📅 Resumen Diario'!$B$5:$B$504, B420, '📅 Resumen Diario'!$C$5:$C$504, D420) * SUMIFS('📅 Resumen Diario'!$K$5:$K$504, '📅 Resumen Diario'!$B$5:$B$504, B420, '📅 Resumen Diario'!$C$5:$C$504, D420), 0))</f>
        <v/>
      </c>
      <c r="M420" s="31" t="str">
        <f t="shared" si="45"/>
        <v/>
      </c>
      <c r="N420" s="31" t="str">
        <f t="shared" si="46"/>
        <v/>
      </c>
      <c r="O420" s="31" t="str">
        <f>IF(OR(B420="",C420=""),"",K420-N420 + IFERROR(E420 / SUMIFS('📅 Resumen Diario'!$D$5:$D$504, '📅 Resumen Diario'!$B$5:$B$504, B420, '📅 Resumen Diario'!$C$5:$C$504, D420) * (SUMIFS('📋 Detalle Diario'!$E$5:$E$489, '📋 Detalle Diario'!$B$5:$B$489, B420, '📋 Detalle Diario'!$C$5:$C$489, D420) * 135 + SUMIFS('📋 Detalle Diario'!$I$5:$I$489, '📋 Detalle Diario'!$B$5:$B$489, B420, '📋 Detalle Diario'!$C$5:$C$489, D420) * 200), 0))</f>
        <v/>
      </c>
      <c r="P420" s="32" t="str">
        <f t="shared" si="47"/>
        <v/>
      </c>
      <c r="Q420" s="33" t="str">
        <f t="shared" si="48"/>
        <v/>
      </c>
    </row>
    <row r="421" spans="2:17" ht="18" customHeight="1" x14ac:dyDescent="0.3">
      <c r="B421" s="26"/>
      <c r="C421" s="28"/>
      <c r="D421" s="27"/>
      <c r="E421" s="29"/>
      <c r="F421" s="29"/>
      <c r="G421" s="29"/>
      <c r="H421" s="30" t="str">
        <f t="shared" si="42"/>
        <v/>
      </c>
      <c r="I421" s="31" t="str">
        <f>IF(OR(B421="",C421=""),"",IFERROR(E421*IF(E421="",0,VLOOKUP(C421,'📦 Precios Proforma'!$B$5:$D$104,IF(D421="DIA",2,3),FALSE)),0))</f>
        <v/>
      </c>
      <c r="J421" s="31" t="str">
        <f t="shared" si="43"/>
        <v/>
      </c>
      <c r="K421" s="31" t="str">
        <f t="shared" si="44"/>
        <v/>
      </c>
      <c r="L421" s="31" t="str">
        <f>IF(OR(B421="",C421=""),"",IFERROR(E421 / SUMIFS('📅 Resumen Diario'!$D$5:$D$504, '📅 Resumen Diario'!$B$5:$B$504, B421, '📅 Resumen Diario'!$C$5:$C$504, D421) * SUMIFS('📅 Resumen Diario'!$K$5:$K$504, '📅 Resumen Diario'!$B$5:$B$504, B421, '📅 Resumen Diario'!$C$5:$C$504, D421), 0))</f>
        <v/>
      </c>
      <c r="M421" s="31" t="str">
        <f t="shared" si="45"/>
        <v/>
      </c>
      <c r="N421" s="31" t="str">
        <f t="shared" si="46"/>
        <v/>
      </c>
      <c r="O421" s="31" t="str">
        <f>IF(OR(B421="",C421=""),"",K421-N421 + IFERROR(E421 / SUMIFS('📅 Resumen Diario'!$D$5:$D$504, '📅 Resumen Diario'!$B$5:$B$504, B421, '📅 Resumen Diario'!$C$5:$C$504, D421) * (SUMIFS('📋 Detalle Diario'!$E$5:$E$489, '📋 Detalle Diario'!$B$5:$B$489, B421, '📋 Detalle Diario'!$C$5:$C$489, D421) * 135 + SUMIFS('📋 Detalle Diario'!$I$5:$I$489, '📋 Detalle Diario'!$B$5:$B$489, B421, '📋 Detalle Diario'!$C$5:$C$489, D421) * 200), 0))</f>
        <v/>
      </c>
      <c r="P421" s="32" t="str">
        <f t="shared" si="47"/>
        <v/>
      </c>
      <c r="Q421" s="33" t="str">
        <f t="shared" si="48"/>
        <v/>
      </c>
    </row>
    <row r="422" spans="2:17" ht="18" customHeight="1" x14ac:dyDescent="0.3">
      <c r="B422" s="26"/>
      <c r="C422" s="17"/>
      <c r="D422" s="27"/>
      <c r="E422" s="18"/>
      <c r="F422" s="18"/>
      <c r="G422" s="18"/>
      <c r="H422" s="30" t="str">
        <f t="shared" si="42"/>
        <v/>
      </c>
      <c r="I422" s="31" t="str">
        <f>IF(OR(B422="",C422=""),"",IFERROR(E422*IF(E422="",0,VLOOKUP(C422,'📦 Precios Proforma'!$B$5:$D$104,IF(D422="DIA",2,3),FALSE)),0))</f>
        <v/>
      </c>
      <c r="J422" s="31" t="str">
        <f t="shared" si="43"/>
        <v/>
      </c>
      <c r="K422" s="31" t="str">
        <f t="shared" si="44"/>
        <v/>
      </c>
      <c r="L422" s="31" t="str">
        <f>IF(OR(B422="",C422=""),"",IFERROR(E422 / SUMIFS('📅 Resumen Diario'!$D$5:$D$504, '📅 Resumen Diario'!$B$5:$B$504, B422, '📅 Resumen Diario'!$C$5:$C$504, D422) * SUMIFS('📅 Resumen Diario'!$K$5:$K$504, '📅 Resumen Diario'!$B$5:$B$504, B422, '📅 Resumen Diario'!$C$5:$C$504, D422), 0))</f>
        <v/>
      </c>
      <c r="M422" s="31" t="str">
        <f t="shared" si="45"/>
        <v/>
      </c>
      <c r="N422" s="31" t="str">
        <f t="shared" si="46"/>
        <v/>
      </c>
      <c r="O422" s="31" t="str">
        <f>IF(OR(B422="",C422=""),"",K422-N422 + IFERROR(E422 / SUMIFS('📅 Resumen Diario'!$D$5:$D$504, '📅 Resumen Diario'!$B$5:$B$504, B422, '📅 Resumen Diario'!$C$5:$C$504, D422) * (SUMIFS('📋 Detalle Diario'!$E$5:$E$489, '📋 Detalle Diario'!$B$5:$B$489, B422, '📋 Detalle Diario'!$C$5:$C$489, D422) * 135 + SUMIFS('📋 Detalle Diario'!$I$5:$I$489, '📋 Detalle Diario'!$B$5:$B$489, B422, '📋 Detalle Diario'!$C$5:$C$489, D422) * 200), 0))</f>
        <v/>
      </c>
      <c r="P422" s="32" t="str">
        <f t="shared" si="47"/>
        <v/>
      </c>
      <c r="Q422" s="33" t="str">
        <f t="shared" si="48"/>
        <v/>
      </c>
    </row>
    <row r="423" spans="2:17" ht="18" customHeight="1" x14ac:dyDescent="0.3">
      <c r="B423" s="26"/>
      <c r="C423" s="28"/>
      <c r="D423" s="27"/>
      <c r="E423" s="29"/>
      <c r="F423" s="29"/>
      <c r="G423" s="29"/>
      <c r="H423" s="30" t="str">
        <f t="shared" si="42"/>
        <v/>
      </c>
      <c r="I423" s="31" t="str">
        <f>IF(OR(B423="",C423=""),"",IFERROR(E423*IF(E423="",0,VLOOKUP(C423,'📦 Precios Proforma'!$B$5:$D$104,IF(D423="DIA",2,3),FALSE)),0))</f>
        <v/>
      </c>
      <c r="J423" s="31" t="str">
        <f t="shared" si="43"/>
        <v/>
      </c>
      <c r="K423" s="31" t="str">
        <f t="shared" si="44"/>
        <v/>
      </c>
      <c r="L423" s="31" t="str">
        <f>IF(OR(B423="",C423=""),"",IFERROR(E423 / SUMIFS('📅 Resumen Diario'!$D$5:$D$504, '📅 Resumen Diario'!$B$5:$B$504, B423, '📅 Resumen Diario'!$C$5:$C$504, D423) * SUMIFS('📅 Resumen Diario'!$K$5:$K$504, '📅 Resumen Diario'!$B$5:$B$504, B423, '📅 Resumen Diario'!$C$5:$C$504, D423), 0))</f>
        <v/>
      </c>
      <c r="M423" s="31" t="str">
        <f t="shared" si="45"/>
        <v/>
      </c>
      <c r="N423" s="31" t="str">
        <f t="shared" si="46"/>
        <v/>
      </c>
      <c r="O423" s="31" t="str">
        <f>IF(OR(B423="",C423=""),"",K423-N423 + IFERROR(E423 / SUMIFS('📅 Resumen Diario'!$D$5:$D$504, '📅 Resumen Diario'!$B$5:$B$504, B423, '📅 Resumen Diario'!$C$5:$C$504, D423) * (SUMIFS('📋 Detalle Diario'!$E$5:$E$489, '📋 Detalle Diario'!$B$5:$B$489, B423, '📋 Detalle Diario'!$C$5:$C$489, D423) * 135 + SUMIFS('📋 Detalle Diario'!$I$5:$I$489, '📋 Detalle Diario'!$B$5:$B$489, B423, '📋 Detalle Diario'!$C$5:$C$489, D423) * 200), 0))</f>
        <v/>
      </c>
      <c r="P423" s="32" t="str">
        <f t="shared" si="47"/>
        <v/>
      </c>
      <c r="Q423" s="33" t="str">
        <f t="shared" si="48"/>
        <v/>
      </c>
    </row>
    <row r="424" spans="2:17" ht="18" customHeight="1" x14ac:dyDescent="0.3">
      <c r="B424" s="26"/>
      <c r="C424" s="17"/>
      <c r="D424" s="27"/>
      <c r="E424" s="18"/>
      <c r="F424" s="18"/>
      <c r="G424" s="18"/>
      <c r="H424" s="30" t="str">
        <f t="shared" si="42"/>
        <v/>
      </c>
      <c r="I424" s="31" t="str">
        <f>IF(OR(B424="",C424=""),"",IFERROR(E424*IF(E424="",0,VLOOKUP(C424,'📦 Precios Proforma'!$B$5:$D$104,IF(D424="DIA",2,3),FALSE)),0))</f>
        <v/>
      </c>
      <c r="J424" s="31" t="str">
        <f t="shared" si="43"/>
        <v/>
      </c>
      <c r="K424" s="31" t="str">
        <f t="shared" si="44"/>
        <v/>
      </c>
      <c r="L424" s="31" t="str">
        <f>IF(OR(B424="",C424=""),"",IFERROR(E424 / SUMIFS('📅 Resumen Diario'!$D$5:$D$504, '📅 Resumen Diario'!$B$5:$B$504, B424, '📅 Resumen Diario'!$C$5:$C$504, D424) * SUMIFS('📅 Resumen Diario'!$K$5:$K$504, '📅 Resumen Diario'!$B$5:$B$504, B424, '📅 Resumen Diario'!$C$5:$C$504, D424), 0))</f>
        <v/>
      </c>
      <c r="M424" s="31" t="str">
        <f t="shared" si="45"/>
        <v/>
      </c>
      <c r="N424" s="31" t="str">
        <f t="shared" si="46"/>
        <v/>
      </c>
      <c r="O424" s="31" t="str">
        <f>IF(OR(B424="",C424=""),"",K424-N424 + IFERROR(E424 / SUMIFS('📅 Resumen Diario'!$D$5:$D$504, '📅 Resumen Diario'!$B$5:$B$504, B424, '📅 Resumen Diario'!$C$5:$C$504, D424) * (SUMIFS('📋 Detalle Diario'!$E$5:$E$489, '📋 Detalle Diario'!$B$5:$B$489, B424, '📋 Detalle Diario'!$C$5:$C$489, D424) * 135 + SUMIFS('📋 Detalle Diario'!$I$5:$I$489, '📋 Detalle Diario'!$B$5:$B$489, B424, '📋 Detalle Diario'!$C$5:$C$489, D424) * 200), 0))</f>
        <v/>
      </c>
      <c r="P424" s="32" t="str">
        <f t="shared" si="47"/>
        <v/>
      </c>
      <c r="Q424" s="33" t="str">
        <f t="shared" si="48"/>
        <v/>
      </c>
    </row>
    <row r="425" spans="2:17" ht="18" customHeight="1" x14ac:dyDescent="0.3">
      <c r="B425" s="26"/>
      <c r="C425" s="28"/>
      <c r="D425" s="27"/>
      <c r="E425" s="29"/>
      <c r="F425" s="29"/>
      <c r="G425" s="29"/>
      <c r="H425" s="30" t="str">
        <f t="shared" si="42"/>
        <v/>
      </c>
      <c r="I425" s="31" t="str">
        <f>IF(OR(B425="",C425=""),"",IFERROR(E425*IF(E425="",0,VLOOKUP(C425,'📦 Precios Proforma'!$B$5:$D$104,IF(D425="DIA",2,3),FALSE)),0))</f>
        <v/>
      </c>
      <c r="J425" s="31" t="str">
        <f t="shared" si="43"/>
        <v/>
      </c>
      <c r="K425" s="31" t="str">
        <f t="shared" si="44"/>
        <v/>
      </c>
      <c r="L425" s="31" t="str">
        <f>IF(OR(B425="",C425=""),"",IFERROR(E425 / SUMIFS('📅 Resumen Diario'!$D$5:$D$504, '📅 Resumen Diario'!$B$5:$B$504, B425, '📅 Resumen Diario'!$C$5:$C$504, D425) * SUMIFS('📅 Resumen Diario'!$K$5:$K$504, '📅 Resumen Diario'!$B$5:$B$504, B425, '📅 Resumen Diario'!$C$5:$C$504, D425), 0))</f>
        <v/>
      </c>
      <c r="M425" s="31" t="str">
        <f t="shared" si="45"/>
        <v/>
      </c>
      <c r="N425" s="31" t="str">
        <f t="shared" si="46"/>
        <v/>
      </c>
      <c r="O425" s="31" t="str">
        <f>IF(OR(B425="",C425=""),"",K425-N425 + IFERROR(E425 / SUMIFS('📅 Resumen Diario'!$D$5:$D$504, '📅 Resumen Diario'!$B$5:$B$504, B425, '📅 Resumen Diario'!$C$5:$C$504, D425) * (SUMIFS('📋 Detalle Diario'!$E$5:$E$489, '📋 Detalle Diario'!$B$5:$B$489, B425, '📋 Detalle Diario'!$C$5:$C$489, D425) * 135 + SUMIFS('📋 Detalle Diario'!$I$5:$I$489, '📋 Detalle Diario'!$B$5:$B$489, B425, '📋 Detalle Diario'!$C$5:$C$489, D425) * 200), 0))</f>
        <v/>
      </c>
      <c r="P425" s="32" t="str">
        <f t="shared" si="47"/>
        <v/>
      </c>
      <c r="Q425" s="33" t="str">
        <f t="shared" si="48"/>
        <v/>
      </c>
    </row>
    <row r="426" spans="2:17" ht="18" customHeight="1" x14ac:dyDescent="0.3">
      <c r="B426" s="26"/>
      <c r="C426" s="17"/>
      <c r="D426" s="27"/>
      <c r="E426" s="18"/>
      <c r="F426" s="18"/>
      <c r="G426" s="18"/>
      <c r="H426" s="30" t="str">
        <f t="shared" si="42"/>
        <v/>
      </c>
      <c r="I426" s="31" t="str">
        <f>IF(OR(B426="",C426=""),"",IFERROR(E426*IF(E426="",0,VLOOKUP(C426,'📦 Precios Proforma'!$B$5:$D$104,IF(D426="DIA",2,3),FALSE)),0))</f>
        <v/>
      </c>
      <c r="J426" s="31" t="str">
        <f t="shared" si="43"/>
        <v/>
      </c>
      <c r="K426" s="31" t="str">
        <f t="shared" si="44"/>
        <v/>
      </c>
      <c r="L426" s="31" t="str">
        <f>IF(OR(B426="",C426=""),"",IFERROR(E426 / SUMIFS('📅 Resumen Diario'!$D$5:$D$504, '📅 Resumen Diario'!$B$5:$B$504, B426, '📅 Resumen Diario'!$C$5:$C$504, D426) * SUMIFS('📅 Resumen Diario'!$K$5:$K$504, '📅 Resumen Diario'!$B$5:$B$504, B426, '📅 Resumen Diario'!$C$5:$C$504, D426), 0))</f>
        <v/>
      </c>
      <c r="M426" s="31" t="str">
        <f t="shared" si="45"/>
        <v/>
      </c>
      <c r="N426" s="31" t="str">
        <f t="shared" si="46"/>
        <v/>
      </c>
      <c r="O426" s="31" t="str">
        <f>IF(OR(B426="",C426=""),"",K426-N426 + IFERROR(E426 / SUMIFS('📅 Resumen Diario'!$D$5:$D$504, '📅 Resumen Diario'!$B$5:$B$504, B426, '📅 Resumen Diario'!$C$5:$C$504, D426) * (SUMIFS('📋 Detalle Diario'!$E$5:$E$489, '📋 Detalle Diario'!$B$5:$B$489, B426, '📋 Detalle Diario'!$C$5:$C$489, D426) * 135 + SUMIFS('📋 Detalle Diario'!$I$5:$I$489, '📋 Detalle Diario'!$B$5:$B$489, B426, '📋 Detalle Diario'!$C$5:$C$489, D426) * 200), 0))</f>
        <v/>
      </c>
      <c r="P426" s="32" t="str">
        <f t="shared" si="47"/>
        <v/>
      </c>
      <c r="Q426" s="33" t="str">
        <f t="shared" si="48"/>
        <v/>
      </c>
    </row>
    <row r="427" spans="2:17" ht="18" customHeight="1" x14ac:dyDescent="0.3">
      <c r="B427" s="26"/>
      <c r="C427" s="28"/>
      <c r="D427" s="27"/>
      <c r="E427" s="29"/>
      <c r="F427" s="29"/>
      <c r="G427" s="29"/>
      <c r="H427" s="30" t="str">
        <f t="shared" si="42"/>
        <v/>
      </c>
      <c r="I427" s="31" t="str">
        <f>IF(OR(B427="",C427=""),"",IFERROR(E427*IF(E427="",0,VLOOKUP(C427,'📦 Precios Proforma'!$B$5:$D$104,IF(D427="DIA",2,3),FALSE)),0))</f>
        <v/>
      </c>
      <c r="J427" s="31" t="str">
        <f t="shared" si="43"/>
        <v/>
      </c>
      <c r="K427" s="31" t="str">
        <f t="shared" si="44"/>
        <v/>
      </c>
      <c r="L427" s="31" t="str">
        <f>IF(OR(B427="",C427=""),"",IFERROR(E427 / SUMIFS('📅 Resumen Diario'!$D$5:$D$504, '📅 Resumen Diario'!$B$5:$B$504, B427, '📅 Resumen Diario'!$C$5:$C$504, D427) * SUMIFS('📅 Resumen Diario'!$K$5:$K$504, '📅 Resumen Diario'!$B$5:$B$504, B427, '📅 Resumen Diario'!$C$5:$C$504, D427), 0))</f>
        <v/>
      </c>
      <c r="M427" s="31" t="str">
        <f t="shared" si="45"/>
        <v/>
      </c>
      <c r="N427" s="31" t="str">
        <f t="shared" si="46"/>
        <v/>
      </c>
      <c r="O427" s="31" t="str">
        <f>IF(OR(B427="",C427=""),"",K427-N427 + IFERROR(E427 / SUMIFS('📅 Resumen Diario'!$D$5:$D$504, '📅 Resumen Diario'!$B$5:$B$504, B427, '📅 Resumen Diario'!$C$5:$C$504, D427) * (SUMIFS('📋 Detalle Diario'!$E$5:$E$489, '📋 Detalle Diario'!$B$5:$B$489, B427, '📋 Detalle Diario'!$C$5:$C$489, D427) * 135 + SUMIFS('📋 Detalle Diario'!$I$5:$I$489, '📋 Detalle Diario'!$B$5:$B$489, B427, '📋 Detalle Diario'!$C$5:$C$489, D427) * 200), 0))</f>
        <v/>
      </c>
      <c r="P427" s="32" t="str">
        <f t="shared" si="47"/>
        <v/>
      </c>
      <c r="Q427" s="33" t="str">
        <f t="shared" si="48"/>
        <v/>
      </c>
    </row>
    <row r="428" spans="2:17" ht="18" customHeight="1" x14ac:dyDescent="0.3">
      <c r="B428" s="26"/>
      <c r="C428" s="17"/>
      <c r="D428" s="27"/>
      <c r="E428" s="18"/>
      <c r="F428" s="18"/>
      <c r="G428" s="18"/>
      <c r="H428" s="30" t="str">
        <f t="shared" si="42"/>
        <v/>
      </c>
      <c r="I428" s="31" t="str">
        <f>IF(OR(B428="",C428=""),"",IFERROR(E428*IF(E428="",0,VLOOKUP(C428,'📦 Precios Proforma'!$B$5:$D$104,IF(D428="DIA",2,3),FALSE)),0))</f>
        <v/>
      </c>
      <c r="J428" s="31" t="str">
        <f t="shared" si="43"/>
        <v/>
      </c>
      <c r="K428" s="31" t="str">
        <f t="shared" si="44"/>
        <v/>
      </c>
      <c r="L428" s="31" t="str">
        <f>IF(OR(B428="",C428=""),"",IFERROR(E428 / SUMIFS('📅 Resumen Diario'!$D$5:$D$504, '📅 Resumen Diario'!$B$5:$B$504, B428, '📅 Resumen Diario'!$C$5:$C$504, D428) * SUMIFS('📅 Resumen Diario'!$K$5:$K$504, '📅 Resumen Diario'!$B$5:$B$504, B428, '📅 Resumen Diario'!$C$5:$C$504, D428), 0))</f>
        <v/>
      </c>
      <c r="M428" s="31" t="str">
        <f t="shared" si="45"/>
        <v/>
      </c>
      <c r="N428" s="31" t="str">
        <f t="shared" si="46"/>
        <v/>
      </c>
      <c r="O428" s="31" t="str">
        <f>IF(OR(B428="",C428=""),"",K428-N428 + IFERROR(E428 / SUMIFS('📅 Resumen Diario'!$D$5:$D$504, '📅 Resumen Diario'!$B$5:$B$504, B428, '📅 Resumen Diario'!$C$5:$C$504, D428) * (SUMIFS('📋 Detalle Diario'!$E$5:$E$489, '📋 Detalle Diario'!$B$5:$B$489, B428, '📋 Detalle Diario'!$C$5:$C$489, D428) * 135 + SUMIFS('📋 Detalle Diario'!$I$5:$I$489, '📋 Detalle Diario'!$B$5:$B$489, B428, '📋 Detalle Diario'!$C$5:$C$489, D428) * 200), 0))</f>
        <v/>
      </c>
      <c r="P428" s="32" t="str">
        <f t="shared" si="47"/>
        <v/>
      </c>
      <c r="Q428" s="33" t="str">
        <f t="shared" si="48"/>
        <v/>
      </c>
    </row>
    <row r="429" spans="2:17" ht="18" customHeight="1" x14ac:dyDescent="0.3">
      <c r="B429" s="26"/>
      <c r="C429" s="28"/>
      <c r="D429" s="27"/>
      <c r="E429" s="29"/>
      <c r="F429" s="29"/>
      <c r="G429" s="29"/>
      <c r="H429" s="30" t="str">
        <f t="shared" si="42"/>
        <v/>
      </c>
      <c r="I429" s="31" t="str">
        <f>IF(OR(B429="",C429=""),"",IFERROR(E429*IF(E429="",0,VLOOKUP(C429,'📦 Precios Proforma'!$B$5:$D$104,IF(D429="DIA",2,3),FALSE)),0))</f>
        <v/>
      </c>
      <c r="J429" s="31" t="str">
        <f t="shared" si="43"/>
        <v/>
      </c>
      <c r="K429" s="31" t="str">
        <f t="shared" si="44"/>
        <v/>
      </c>
      <c r="L429" s="31" t="str">
        <f>IF(OR(B429="",C429=""),"",IFERROR(E429 / SUMIFS('📅 Resumen Diario'!$D$5:$D$504, '📅 Resumen Diario'!$B$5:$B$504, B429, '📅 Resumen Diario'!$C$5:$C$504, D429) * SUMIFS('📅 Resumen Diario'!$K$5:$K$504, '📅 Resumen Diario'!$B$5:$B$504, B429, '📅 Resumen Diario'!$C$5:$C$504, D429), 0))</f>
        <v/>
      </c>
      <c r="M429" s="31" t="str">
        <f t="shared" si="45"/>
        <v/>
      </c>
      <c r="N429" s="31" t="str">
        <f t="shared" si="46"/>
        <v/>
      </c>
      <c r="O429" s="31" t="str">
        <f>IF(OR(B429="",C429=""),"",K429-N429 + IFERROR(E429 / SUMIFS('📅 Resumen Diario'!$D$5:$D$504, '📅 Resumen Diario'!$B$5:$B$504, B429, '📅 Resumen Diario'!$C$5:$C$504, D429) * (SUMIFS('📋 Detalle Diario'!$E$5:$E$489, '📋 Detalle Diario'!$B$5:$B$489, B429, '📋 Detalle Diario'!$C$5:$C$489, D429) * 135 + SUMIFS('📋 Detalle Diario'!$I$5:$I$489, '📋 Detalle Diario'!$B$5:$B$489, B429, '📋 Detalle Diario'!$C$5:$C$489, D429) * 200), 0))</f>
        <v/>
      </c>
      <c r="P429" s="32" t="str">
        <f t="shared" si="47"/>
        <v/>
      </c>
      <c r="Q429" s="33" t="str">
        <f t="shared" si="48"/>
        <v/>
      </c>
    </row>
    <row r="430" spans="2:17" ht="18" customHeight="1" x14ac:dyDescent="0.3">
      <c r="B430" s="26"/>
      <c r="C430" s="17"/>
      <c r="D430" s="27"/>
      <c r="E430" s="18"/>
      <c r="F430" s="18"/>
      <c r="G430" s="18"/>
      <c r="H430" s="30" t="str">
        <f t="shared" si="42"/>
        <v/>
      </c>
      <c r="I430" s="31" t="str">
        <f>IF(OR(B430="",C430=""),"",IFERROR(E430*IF(E430="",0,VLOOKUP(C430,'📦 Precios Proforma'!$B$5:$D$104,IF(D430="DIA",2,3),FALSE)),0))</f>
        <v/>
      </c>
      <c r="J430" s="31" t="str">
        <f t="shared" si="43"/>
        <v/>
      </c>
      <c r="K430" s="31" t="str">
        <f t="shared" si="44"/>
        <v/>
      </c>
      <c r="L430" s="31" t="str">
        <f>IF(OR(B430="",C430=""),"",IFERROR(E430 / SUMIFS('📅 Resumen Diario'!$D$5:$D$504, '📅 Resumen Diario'!$B$5:$B$504, B430, '📅 Resumen Diario'!$C$5:$C$504, D430) * SUMIFS('📅 Resumen Diario'!$K$5:$K$504, '📅 Resumen Diario'!$B$5:$B$504, B430, '📅 Resumen Diario'!$C$5:$C$504, D430), 0))</f>
        <v/>
      </c>
      <c r="M430" s="31" t="str">
        <f t="shared" si="45"/>
        <v/>
      </c>
      <c r="N430" s="31" t="str">
        <f t="shared" si="46"/>
        <v/>
      </c>
      <c r="O430" s="31" t="str">
        <f>IF(OR(B430="",C430=""),"",K430-N430 + IFERROR(E430 / SUMIFS('📅 Resumen Diario'!$D$5:$D$504, '📅 Resumen Diario'!$B$5:$B$504, B430, '📅 Resumen Diario'!$C$5:$C$504, D430) * (SUMIFS('📋 Detalle Diario'!$E$5:$E$489, '📋 Detalle Diario'!$B$5:$B$489, B430, '📋 Detalle Diario'!$C$5:$C$489, D430) * 135 + SUMIFS('📋 Detalle Diario'!$I$5:$I$489, '📋 Detalle Diario'!$B$5:$B$489, B430, '📋 Detalle Diario'!$C$5:$C$489, D430) * 200), 0))</f>
        <v/>
      </c>
      <c r="P430" s="32" t="str">
        <f t="shared" si="47"/>
        <v/>
      </c>
      <c r="Q430" s="33" t="str">
        <f t="shared" si="48"/>
        <v/>
      </c>
    </row>
    <row r="431" spans="2:17" ht="18" customHeight="1" x14ac:dyDescent="0.3">
      <c r="B431" s="26"/>
      <c r="C431" s="28"/>
      <c r="D431" s="27"/>
      <c r="E431" s="29"/>
      <c r="F431" s="29"/>
      <c r="G431" s="29"/>
      <c r="H431" s="30" t="str">
        <f t="shared" si="42"/>
        <v/>
      </c>
      <c r="I431" s="31" t="str">
        <f>IF(OR(B431="",C431=""),"",IFERROR(E431*IF(E431="",0,VLOOKUP(C431,'📦 Precios Proforma'!$B$5:$D$104,IF(D431="DIA",2,3),FALSE)),0))</f>
        <v/>
      </c>
      <c r="J431" s="31" t="str">
        <f t="shared" si="43"/>
        <v/>
      </c>
      <c r="K431" s="31" t="str">
        <f t="shared" si="44"/>
        <v/>
      </c>
      <c r="L431" s="31" t="str">
        <f>IF(OR(B431="",C431=""),"",IFERROR(E431 / SUMIFS('📅 Resumen Diario'!$D$5:$D$504, '📅 Resumen Diario'!$B$5:$B$504, B431, '📅 Resumen Diario'!$C$5:$C$504, D431) * SUMIFS('📅 Resumen Diario'!$K$5:$K$504, '📅 Resumen Diario'!$B$5:$B$504, B431, '📅 Resumen Diario'!$C$5:$C$504, D431), 0))</f>
        <v/>
      </c>
      <c r="M431" s="31" t="str">
        <f t="shared" si="45"/>
        <v/>
      </c>
      <c r="N431" s="31" t="str">
        <f t="shared" si="46"/>
        <v/>
      </c>
      <c r="O431" s="31" t="str">
        <f>IF(OR(B431="",C431=""),"",K431-N431 + IFERROR(E431 / SUMIFS('📅 Resumen Diario'!$D$5:$D$504, '📅 Resumen Diario'!$B$5:$B$504, B431, '📅 Resumen Diario'!$C$5:$C$504, D431) * (SUMIFS('📋 Detalle Diario'!$E$5:$E$489, '📋 Detalle Diario'!$B$5:$B$489, B431, '📋 Detalle Diario'!$C$5:$C$489, D431) * 135 + SUMIFS('📋 Detalle Diario'!$I$5:$I$489, '📋 Detalle Diario'!$B$5:$B$489, B431, '📋 Detalle Diario'!$C$5:$C$489, D431) * 200), 0))</f>
        <v/>
      </c>
      <c r="P431" s="32" t="str">
        <f t="shared" si="47"/>
        <v/>
      </c>
      <c r="Q431" s="33" t="str">
        <f t="shared" si="48"/>
        <v/>
      </c>
    </row>
    <row r="432" spans="2:17" ht="18" customHeight="1" x14ac:dyDescent="0.3">
      <c r="B432" s="26"/>
      <c r="C432" s="17"/>
      <c r="D432" s="27"/>
      <c r="E432" s="18"/>
      <c r="F432" s="18"/>
      <c r="G432" s="18"/>
      <c r="H432" s="30" t="str">
        <f t="shared" si="42"/>
        <v/>
      </c>
      <c r="I432" s="31" t="str">
        <f>IF(OR(B432="",C432=""),"",IFERROR(E432*IF(E432="",0,VLOOKUP(C432,'📦 Precios Proforma'!$B$5:$D$104,IF(D432="DIA",2,3),FALSE)),0))</f>
        <v/>
      </c>
      <c r="J432" s="31" t="str">
        <f t="shared" si="43"/>
        <v/>
      </c>
      <c r="K432" s="31" t="str">
        <f t="shared" si="44"/>
        <v/>
      </c>
      <c r="L432" s="31" t="str">
        <f>IF(OR(B432="",C432=""),"",IFERROR(E432 / SUMIFS('📅 Resumen Diario'!$D$5:$D$504, '📅 Resumen Diario'!$B$5:$B$504, B432, '📅 Resumen Diario'!$C$5:$C$504, D432) * SUMIFS('📅 Resumen Diario'!$K$5:$K$504, '📅 Resumen Diario'!$B$5:$B$504, B432, '📅 Resumen Diario'!$C$5:$C$504, D432), 0))</f>
        <v/>
      </c>
      <c r="M432" s="31" t="str">
        <f t="shared" si="45"/>
        <v/>
      </c>
      <c r="N432" s="31" t="str">
        <f t="shared" si="46"/>
        <v/>
      </c>
      <c r="O432" s="31" t="str">
        <f>IF(OR(B432="",C432=""),"",K432-N432 + IFERROR(E432 / SUMIFS('📅 Resumen Diario'!$D$5:$D$504, '📅 Resumen Diario'!$B$5:$B$504, B432, '📅 Resumen Diario'!$C$5:$C$504, D432) * (SUMIFS('📋 Detalle Diario'!$E$5:$E$489, '📋 Detalle Diario'!$B$5:$B$489, B432, '📋 Detalle Diario'!$C$5:$C$489, D432) * 135 + SUMIFS('📋 Detalle Diario'!$I$5:$I$489, '📋 Detalle Diario'!$B$5:$B$489, B432, '📋 Detalle Diario'!$C$5:$C$489, D432) * 200), 0))</f>
        <v/>
      </c>
      <c r="P432" s="32" t="str">
        <f t="shared" si="47"/>
        <v/>
      </c>
      <c r="Q432" s="33" t="str">
        <f t="shared" si="48"/>
        <v/>
      </c>
    </row>
    <row r="433" spans="2:17" ht="18" customHeight="1" x14ac:dyDescent="0.3">
      <c r="B433" s="26"/>
      <c r="C433" s="28"/>
      <c r="D433" s="27"/>
      <c r="E433" s="29"/>
      <c r="F433" s="29"/>
      <c r="G433" s="29"/>
      <c r="H433" s="30" t="str">
        <f t="shared" si="42"/>
        <v/>
      </c>
      <c r="I433" s="31" t="str">
        <f>IF(OR(B433="",C433=""),"",IFERROR(E433*IF(E433="",0,VLOOKUP(C433,'📦 Precios Proforma'!$B$5:$D$104,IF(D433="DIA",2,3),FALSE)),0))</f>
        <v/>
      </c>
      <c r="J433" s="31" t="str">
        <f t="shared" si="43"/>
        <v/>
      </c>
      <c r="K433" s="31" t="str">
        <f t="shared" si="44"/>
        <v/>
      </c>
      <c r="L433" s="31" t="str">
        <f>IF(OR(B433="",C433=""),"",IFERROR(E433 / SUMIFS('📅 Resumen Diario'!$D$5:$D$504, '📅 Resumen Diario'!$B$5:$B$504, B433, '📅 Resumen Diario'!$C$5:$C$504, D433) * SUMIFS('📅 Resumen Diario'!$K$5:$K$504, '📅 Resumen Diario'!$B$5:$B$504, B433, '📅 Resumen Diario'!$C$5:$C$504, D433), 0))</f>
        <v/>
      </c>
      <c r="M433" s="31" t="str">
        <f t="shared" si="45"/>
        <v/>
      </c>
      <c r="N433" s="31" t="str">
        <f t="shared" si="46"/>
        <v/>
      </c>
      <c r="O433" s="31" t="str">
        <f>IF(OR(B433="",C433=""),"",K433-N433 + IFERROR(E433 / SUMIFS('📅 Resumen Diario'!$D$5:$D$504, '📅 Resumen Diario'!$B$5:$B$504, B433, '📅 Resumen Diario'!$C$5:$C$504, D433) * (SUMIFS('📋 Detalle Diario'!$E$5:$E$489, '📋 Detalle Diario'!$B$5:$B$489, B433, '📋 Detalle Diario'!$C$5:$C$489, D433) * 135 + SUMIFS('📋 Detalle Diario'!$I$5:$I$489, '📋 Detalle Diario'!$B$5:$B$489, B433, '📋 Detalle Diario'!$C$5:$C$489, D433) * 200), 0))</f>
        <v/>
      </c>
      <c r="P433" s="32" t="str">
        <f t="shared" si="47"/>
        <v/>
      </c>
      <c r="Q433" s="33" t="str">
        <f t="shared" si="48"/>
        <v/>
      </c>
    </row>
    <row r="434" spans="2:17" ht="18" customHeight="1" x14ac:dyDescent="0.3">
      <c r="B434" s="26"/>
      <c r="C434" s="17"/>
      <c r="D434" s="27"/>
      <c r="E434" s="18"/>
      <c r="F434" s="18"/>
      <c r="G434" s="18"/>
      <c r="H434" s="30" t="str">
        <f t="shared" si="42"/>
        <v/>
      </c>
      <c r="I434" s="31" t="str">
        <f>IF(OR(B434="",C434=""),"",IFERROR(E434*IF(E434="",0,VLOOKUP(C434,'📦 Precios Proforma'!$B$5:$D$104,IF(D434="DIA",2,3),FALSE)),0))</f>
        <v/>
      </c>
      <c r="J434" s="31" t="str">
        <f t="shared" si="43"/>
        <v/>
      </c>
      <c r="K434" s="31" t="str">
        <f t="shared" si="44"/>
        <v/>
      </c>
      <c r="L434" s="31" t="str">
        <f>IF(OR(B434="",C434=""),"",IFERROR(E434 / SUMIFS('📅 Resumen Diario'!$D$5:$D$504, '📅 Resumen Diario'!$B$5:$B$504, B434, '📅 Resumen Diario'!$C$5:$C$504, D434) * SUMIFS('📅 Resumen Diario'!$K$5:$K$504, '📅 Resumen Diario'!$B$5:$B$504, B434, '📅 Resumen Diario'!$C$5:$C$504, D434), 0))</f>
        <v/>
      </c>
      <c r="M434" s="31" t="str">
        <f t="shared" si="45"/>
        <v/>
      </c>
      <c r="N434" s="31" t="str">
        <f t="shared" si="46"/>
        <v/>
      </c>
      <c r="O434" s="31" t="str">
        <f>IF(OR(B434="",C434=""),"",K434-N434 + IFERROR(E434 / SUMIFS('📅 Resumen Diario'!$D$5:$D$504, '📅 Resumen Diario'!$B$5:$B$504, B434, '📅 Resumen Diario'!$C$5:$C$504, D434) * (SUMIFS('📋 Detalle Diario'!$E$5:$E$489, '📋 Detalle Diario'!$B$5:$B$489, B434, '📋 Detalle Diario'!$C$5:$C$489, D434) * 135 + SUMIFS('📋 Detalle Diario'!$I$5:$I$489, '📋 Detalle Diario'!$B$5:$B$489, B434, '📋 Detalle Diario'!$C$5:$C$489, D434) * 200), 0))</f>
        <v/>
      </c>
      <c r="P434" s="32" t="str">
        <f t="shared" si="47"/>
        <v/>
      </c>
      <c r="Q434" s="33" t="str">
        <f t="shared" si="48"/>
        <v/>
      </c>
    </row>
    <row r="435" spans="2:17" ht="18" customHeight="1" x14ac:dyDescent="0.3">
      <c r="B435" s="26"/>
      <c r="C435" s="28"/>
      <c r="D435" s="27"/>
      <c r="E435" s="29"/>
      <c r="F435" s="29"/>
      <c r="G435" s="29"/>
      <c r="H435" s="30" t="str">
        <f t="shared" si="42"/>
        <v/>
      </c>
      <c r="I435" s="31" t="str">
        <f>IF(OR(B435="",C435=""),"",IFERROR(E435*IF(E435="",0,VLOOKUP(C435,'📦 Precios Proforma'!$B$5:$D$104,IF(D435="DIA",2,3),FALSE)),0))</f>
        <v/>
      </c>
      <c r="J435" s="31" t="str">
        <f t="shared" si="43"/>
        <v/>
      </c>
      <c r="K435" s="31" t="str">
        <f t="shared" si="44"/>
        <v/>
      </c>
      <c r="L435" s="31" t="str">
        <f>IF(OR(B435="",C435=""),"",IFERROR(E435 / SUMIFS('📅 Resumen Diario'!$D$5:$D$504, '📅 Resumen Diario'!$B$5:$B$504, B435, '📅 Resumen Diario'!$C$5:$C$504, D435) * SUMIFS('📅 Resumen Diario'!$K$5:$K$504, '📅 Resumen Diario'!$B$5:$B$504, B435, '📅 Resumen Diario'!$C$5:$C$504, D435), 0))</f>
        <v/>
      </c>
      <c r="M435" s="31" t="str">
        <f t="shared" si="45"/>
        <v/>
      </c>
      <c r="N435" s="31" t="str">
        <f t="shared" si="46"/>
        <v/>
      </c>
      <c r="O435" s="31" t="str">
        <f>IF(OR(B435="",C435=""),"",K435-N435 + IFERROR(E435 / SUMIFS('📅 Resumen Diario'!$D$5:$D$504, '📅 Resumen Diario'!$B$5:$B$504, B435, '📅 Resumen Diario'!$C$5:$C$504, D435) * (SUMIFS('📋 Detalle Diario'!$E$5:$E$489, '📋 Detalle Diario'!$B$5:$B$489, B435, '📋 Detalle Diario'!$C$5:$C$489, D435) * 135 + SUMIFS('📋 Detalle Diario'!$I$5:$I$489, '📋 Detalle Diario'!$B$5:$B$489, B435, '📋 Detalle Diario'!$C$5:$C$489, D435) * 200), 0))</f>
        <v/>
      </c>
      <c r="P435" s="32" t="str">
        <f t="shared" si="47"/>
        <v/>
      </c>
      <c r="Q435" s="33" t="str">
        <f t="shared" si="48"/>
        <v/>
      </c>
    </row>
    <row r="436" spans="2:17" ht="18" customHeight="1" x14ac:dyDescent="0.3">
      <c r="B436" s="26"/>
      <c r="C436" s="17"/>
      <c r="D436" s="27"/>
      <c r="E436" s="18"/>
      <c r="F436" s="18"/>
      <c r="G436" s="18"/>
      <c r="H436" s="30" t="str">
        <f t="shared" si="42"/>
        <v/>
      </c>
      <c r="I436" s="31" t="str">
        <f>IF(OR(B436="",C436=""),"",IFERROR(E436*IF(E436="",0,VLOOKUP(C436,'📦 Precios Proforma'!$B$5:$D$104,IF(D436="DIA",2,3),FALSE)),0))</f>
        <v/>
      </c>
      <c r="J436" s="31" t="str">
        <f t="shared" si="43"/>
        <v/>
      </c>
      <c r="K436" s="31" t="str">
        <f t="shared" si="44"/>
        <v/>
      </c>
      <c r="L436" s="31" t="str">
        <f>IF(OR(B436="",C436=""),"",IFERROR(E436 / SUMIFS('📅 Resumen Diario'!$D$5:$D$504, '📅 Resumen Diario'!$B$5:$B$504, B436, '📅 Resumen Diario'!$C$5:$C$504, D436) * SUMIFS('📅 Resumen Diario'!$K$5:$K$504, '📅 Resumen Diario'!$B$5:$B$504, B436, '📅 Resumen Diario'!$C$5:$C$504, D436), 0))</f>
        <v/>
      </c>
      <c r="M436" s="31" t="str">
        <f t="shared" si="45"/>
        <v/>
      </c>
      <c r="N436" s="31" t="str">
        <f t="shared" si="46"/>
        <v/>
      </c>
      <c r="O436" s="31" t="str">
        <f>IF(OR(B436="",C436=""),"",K436-N436 + IFERROR(E436 / SUMIFS('📅 Resumen Diario'!$D$5:$D$504, '📅 Resumen Diario'!$B$5:$B$504, B436, '📅 Resumen Diario'!$C$5:$C$504, D436) * (SUMIFS('📋 Detalle Diario'!$E$5:$E$489, '📋 Detalle Diario'!$B$5:$B$489, B436, '📋 Detalle Diario'!$C$5:$C$489, D436) * 135 + SUMIFS('📋 Detalle Diario'!$I$5:$I$489, '📋 Detalle Diario'!$B$5:$B$489, B436, '📋 Detalle Diario'!$C$5:$C$489, D436) * 200), 0))</f>
        <v/>
      </c>
      <c r="P436" s="32" t="str">
        <f t="shared" si="47"/>
        <v/>
      </c>
      <c r="Q436" s="33" t="str">
        <f t="shared" si="48"/>
        <v/>
      </c>
    </row>
    <row r="437" spans="2:17" ht="18" customHeight="1" x14ac:dyDescent="0.3">
      <c r="B437" s="26"/>
      <c r="C437" s="28"/>
      <c r="D437" s="27"/>
      <c r="E437" s="29"/>
      <c r="F437" s="29"/>
      <c r="G437" s="29"/>
      <c r="H437" s="30" t="str">
        <f t="shared" si="42"/>
        <v/>
      </c>
      <c r="I437" s="31" t="str">
        <f>IF(OR(B437="",C437=""),"",IFERROR(E437*IF(E437="",0,VLOOKUP(C437,'📦 Precios Proforma'!$B$5:$D$104,IF(D437="DIA",2,3),FALSE)),0))</f>
        <v/>
      </c>
      <c r="J437" s="31" t="str">
        <f t="shared" si="43"/>
        <v/>
      </c>
      <c r="K437" s="31" t="str">
        <f t="shared" si="44"/>
        <v/>
      </c>
      <c r="L437" s="31" t="str">
        <f>IF(OR(B437="",C437=""),"",IFERROR(E437 / SUMIFS('📅 Resumen Diario'!$D$5:$D$504, '📅 Resumen Diario'!$B$5:$B$504, B437, '📅 Resumen Diario'!$C$5:$C$504, D437) * SUMIFS('📅 Resumen Diario'!$K$5:$K$504, '📅 Resumen Diario'!$B$5:$B$504, B437, '📅 Resumen Diario'!$C$5:$C$504, D437), 0))</f>
        <v/>
      </c>
      <c r="M437" s="31" t="str">
        <f t="shared" si="45"/>
        <v/>
      </c>
      <c r="N437" s="31" t="str">
        <f t="shared" si="46"/>
        <v/>
      </c>
      <c r="O437" s="31" t="str">
        <f>IF(OR(B437="",C437=""),"",K437-N437 + IFERROR(E437 / SUMIFS('📅 Resumen Diario'!$D$5:$D$504, '📅 Resumen Diario'!$B$5:$B$504, B437, '📅 Resumen Diario'!$C$5:$C$504, D437) * (SUMIFS('📋 Detalle Diario'!$E$5:$E$489, '📋 Detalle Diario'!$B$5:$B$489, B437, '📋 Detalle Diario'!$C$5:$C$489, D437) * 135 + SUMIFS('📋 Detalle Diario'!$I$5:$I$489, '📋 Detalle Diario'!$B$5:$B$489, B437, '📋 Detalle Diario'!$C$5:$C$489, D437) * 200), 0))</f>
        <v/>
      </c>
      <c r="P437" s="32" t="str">
        <f t="shared" si="47"/>
        <v/>
      </c>
      <c r="Q437" s="33" t="str">
        <f t="shared" si="48"/>
        <v/>
      </c>
    </row>
    <row r="438" spans="2:17" ht="18" customHeight="1" x14ac:dyDescent="0.3">
      <c r="B438" s="26"/>
      <c r="C438" s="17"/>
      <c r="D438" s="27"/>
      <c r="E438" s="18"/>
      <c r="F438" s="18"/>
      <c r="G438" s="18"/>
      <c r="H438" s="30" t="str">
        <f t="shared" si="42"/>
        <v/>
      </c>
      <c r="I438" s="31" t="str">
        <f>IF(OR(B438="",C438=""),"",IFERROR(E438*IF(E438="",0,VLOOKUP(C438,'📦 Precios Proforma'!$B$5:$D$104,IF(D438="DIA",2,3),FALSE)),0))</f>
        <v/>
      </c>
      <c r="J438" s="31" t="str">
        <f t="shared" si="43"/>
        <v/>
      </c>
      <c r="K438" s="31" t="str">
        <f t="shared" si="44"/>
        <v/>
      </c>
      <c r="L438" s="31" t="str">
        <f>IF(OR(B438="",C438=""),"",IFERROR(E438 / SUMIFS('📅 Resumen Diario'!$D$5:$D$504, '📅 Resumen Diario'!$B$5:$B$504, B438, '📅 Resumen Diario'!$C$5:$C$504, D438) * SUMIFS('📅 Resumen Diario'!$K$5:$K$504, '📅 Resumen Diario'!$B$5:$B$504, B438, '📅 Resumen Diario'!$C$5:$C$504, D438), 0))</f>
        <v/>
      </c>
      <c r="M438" s="31" t="str">
        <f t="shared" si="45"/>
        <v/>
      </c>
      <c r="N438" s="31" t="str">
        <f t="shared" si="46"/>
        <v/>
      </c>
      <c r="O438" s="31" t="str">
        <f>IF(OR(B438="",C438=""),"",K438-N438 + IFERROR(E438 / SUMIFS('📅 Resumen Diario'!$D$5:$D$504, '📅 Resumen Diario'!$B$5:$B$504, B438, '📅 Resumen Diario'!$C$5:$C$504, D438) * (SUMIFS('📋 Detalle Diario'!$E$5:$E$489, '📋 Detalle Diario'!$B$5:$B$489, B438, '📋 Detalle Diario'!$C$5:$C$489, D438) * 135 + SUMIFS('📋 Detalle Diario'!$I$5:$I$489, '📋 Detalle Diario'!$B$5:$B$489, B438, '📋 Detalle Diario'!$C$5:$C$489, D438) * 200), 0))</f>
        <v/>
      </c>
      <c r="P438" s="32" t="str">
        <f t="shared" si="47"/>
        <v/>
      </c>
      <c r="Q438" s="33" t="str">
        <f t="shared" si="48"/>
        <v/>
      </c>
    </row>
    <row r="439" spans="2:17" ht="18" customHeight="1" x14ac:dyDescent="0.3">
      <c r="B439" s="26"/>
      <c r="C439" s="28"/>
      <c r="D439" s="27"/>
      <c r="E439" s="29"/>
      <c r="F439" s="29"/>
      <c r="G439" s="29"/>
      <c r="H439" s="30" t="str">
        <f t="shared" si="42"/>
        <v/>
      </c>
      <c r="I439" s="31" t="str">
        <f>IF(OR(B439="",C439=""),"",IFERROR(E439*IF(E439="",0,VLOOKUP(C439,'📦 Precios Proforma'!$B$5:$D$104,IF(D439="DIA",2,3),FALSE)),0))</f>
        <v/>
      </c>
      <c r="J439" s="31" t="str">
        <f t="shared" si="43"/>
        <v/>
      </c>
      <c r="K439" s="31" t="str">
        <f t="shared" si="44"/>
        <v/>
      </c>
      <c r="L439" s="31" t="str">
        <f>IF(OR(B439="",C439=""),"",IFERROR(E439 / SUMIFS('📅 Resumen Diario'!$D$5:$D$504, '📅 Resumen Diario'!$B$5:$B$504, B439, '📅 Resumen Diario'!$C$5:$C$504, D439) * SUMIFS('📅 Resumen Diario'!$K$5:$K$504, '📅 Resumen Diario'!$B$5:$B$504, B439, '📅 Resumen Diario'!$C$5:$C$504, D439), 0))</f>
        <v/>
      </c>
      <c r="M439" s="31" t="str">
        <f t="shared" si="45"/>
        <v/>
      </c>
      <c r="N439" s="31" t="str">
        <f t="shared" si="46"/>
        <v/>
      </c>
      <c r="O439" s="31" t="str">
        <f>IF(OR(B439="",C439=""),"",K439-N439 + IFERROR(E439 / SUMIFS('📅 Resumen Diario'!$D$5:$D$504, '📅 Resumen Diario'!$B$5:$B$504, B439, '📅 Resumen Diario'!$C$5:$C$504, D439) * (SUMIFS('📋 Detalle Diario'!$E$5:$E$489, '📋 Detalle Diario'!$B$5:$B$489, B439, '📋 Detalle Diario'!$C$5:$C$489, D439) * 135 + SUMIFS('📋 Detalle Diario'!$I$5:$I$489, '📋 Detalle Diario'!$B$5:$B$489, B439, '📋 Detalle Diario'!$C$5:$C$489, D439) * 200), 0))</f>
        <v/>
      </c>
      <c r="P439" s="32" t="str">
        <f t="shared" si="47"/>
        <v/>
      </c>
      <c r="Q439" s="33" t="str">
        <f t="shared" si="48"/>
        <v/>
      </c>
    </row>
    <row r="440" spans="2:17" ht="18" customHeight="1" x14ac:dyDescent="0.3">
      <c r="B440" s="26"/>
      <c r="C440" s="17"/>
      <c r="D440" s="27"/>
      <c r="E440" s="18"/>
      <c r="F440" s="18"/>
      <c r="G440" s="18"/>
      <c r="H440" s="30" t="str">
        <f t="shared" si="42"/>
        <v/>
      </c>
      <c r="I440" s="31" t="str">
        <f>IF(OR(B440="",C440=""),"",IFERROR(E440*IF(E440="",0,VLOOKUP(C440,'📦 Precios Proforma'!$B$5:$D$104,IF(D440="DIA",2,3),FALSE)),0))</f>
        <v/>
      </c>
      <c r="J440" s="31" t="str">
        <f t="shared" si="43"/>
        <v/>
      </c>
      <c r="K440" s="31" t="str">
        <f t="shared" si="44"/>
        <v/>
      </c>
      <c r="L440" s="31" t="str">
        <f>IF(OR(B440="",C440=""),"",IFERROR(E440 / SUMIFS('📅 Resumen Diario'!$D$5:$D$504, '📅 Resumen Diario'!$B$5:$B$504, B440, '📅 Resumen Diario'!$C$5:$C$504, D440) * SUMIFS('📅 Resumen Diario'!$K$5:$K$504, '📅 Resumen Diario'!$B$5:$B$504, B440, '📅 Resumen Diario'!$C$5:$C$504, D440), 0))</f>
        <v/>
      </c>
      <c r="M440" s="31" t="str">
        <f t="shared" si="45"/>
        <v/>
      </c>
      <c r="N440" s="31" t="str">
        <f t="shared" si="46"/>
        <v/>
      </c>
      <c r="O440" s="31" t="str">
        <f>IF(OR(B440="",C440=""),"",K440-N440 + IFERROR(E440 / SUMIFS('📅 Resumen Diario'!$D$5:$D$504, '📅 Resumen Diario'!$B$5:$B$504, B440, '📅 Resumen Diario'!$C$5:$C$504, D440) * (SUMIFS('📋 Detalle Diario'!$E$5:$E$489, '📋 Detalle Diario'!$B$5:$B$489, B440, '📋 Detalle Diario'!$C$5:$C$489, D440) * 135 + SUMIFS('📋 Detalle Diario'!$I$5:$I$489, '📋 Detalle Diario'!$B$5:$B$489, B440, '📋 Detalle Diario'!$C$5:$C$489, D440) * 200), 0))</f>
        <v/>
      </c>
      <c r="P440" s="32" t="str">
        <f t="shared" si="47"/>
        <v/>
      </c>
      <c r="Q440" s="33" t="str">
        <f t="shared" si="48"/>
        <v/>
      </c>
    </row>
    <row r="441" spans="2:17" ht="18" customHeight="1" x14ac:dyDescent="0.3">
      <c r="B441" s="26"/>
      <c r="C441" s="28"/>
      <c r="D441" s="27"/>
      <c r="E441" s="29"/>
      <c r="F441" s="29"/>
      <c r="G441" s="29"/>
      <c r="H441" s="30" t="str">
        <f t="shared" si="42"/>
        <v/>
      </c>
      <c r="I441" s="31" t="str">
        <f>IF(OR(B441="",C441=""),"",IFERROR(E441*IF(E441="",0,VLOOKUP(C441,'📦 Precios Proforma'!$B$5:$D$104,IF(D441="DIA",2,3),FALSE)),0))</f>
        <v/>
      </c>
      <c r="J441" s="31" t="str">
        <f t="shared" si="43"/>
        <v/>
      </c>
      <c r="K441" s="31" t="str">
        <f t="shared" si="44"/>
        <v/>
      </c>
      <c r="L441" s="31" t="str">
        <f>IF(OR(B441="",C441=""),"",IFERROR(E441 / SUMIFS('📅 Resumen Diario'!$D$5:$D$504, '📅 Resumen Diario'!$B$5:$B$504, B441, '📅 Resumen Diario'!$C$5:$C$504, D441) * SUMIFS('📅 Resumen Diario'!$K$5:$K$504, '📅 Resumen Diario'!$B$5:$B$504, B441, '📅 Resumen Diario'!$C$5:$C$504, D441), 0))</f>
        <v/>
      </c>
      <c r="M441" s="31" t="str">
        <f t="shared" si="45"/>
        <v/>
      </c>
      <c r="N441" s="31" t="str">
        <f t="shared" si="46"/>
        <v/>
      </c>
      <c r="O441" s="31" t="str">
        <f>IF(OR(B441="",C441=""),"",K441-N441 + IFERROR(E441 / SUMIFS('📅 Resumen Diario'!$D$5:$D$504, '📅 Resumen Diario'!$B$5:$B$504, B441, '📅 Resumen Diario'!$C$5:$C$504, D441) * (SUMIFS('📋 Detalle Diario'!$E$5:$E$489, '📋 Detalle Diario'!$B$5:$B$489, B441, '📋 Detalle Diario'!$C$5:$C$489, D441) * 135 + SUMIFS('📋 Detalle Diario'!$I$5:$I$489, '📋 Detalle Diario'!$B$5:$B$489, B441, '📋 Detalle Diario'!$C$5:$C$489, D441) * 200), 0))</f>
        <v/>
      </c>
      <c r="P441" s="32" t="str">
        <f t="shared" si="47"/>
        <v/>
      </c>
      <c r="Q441" s="33" t="str">
        <f t="shared" si="48"/>
        <v/>
      </c>
    </row>
    <row r="442" spans="2:17" ht="18" customHeight="1" x14ac:dyDescent="0.3">
      <c r="B442" s="26"/>
      <c r="C442" s="17"/>
      <c r="D442" s="27"/>
      <c r="E442" s="18"/>
      <c r="F442" s="18"/>
      <c r="G442" s="18"/>
      <c r="H442" s="30" t="str">
        <f t="shared" si="42"/>
        <v/>
      </c>
      <c r="I442" s="31" t="str">
        <f>IF(OR(B442="",C442=""),"",IFERROR(E442*IF(E442="",0,VLOOKUP(C442,'📦 Precios Proforma'!$B$5:$D$104,IF(D442="DIA",2,3),FALSE)),0))</f>
        <v/>
      </c>
      <c r="J442" s="31" t="str">
        <f t="shared" si="43"/>
        <v/>
      </c>
      <c r="K442" s="31" t="str">
        <f t="shared" si="44"/>
        <v/>
      </c>
      <c r="L442" s="31" t="str">
        <f>IF(OR(B442="",C442=""),"",IFERROR(E442 / SUMIFS('📅 Resumen Diario'!$D$5:$D$504, '📅 Resumen Diario'!$B$5:$B$504, B442, '📅 Resumen Diario'!$C$5:$C$504, D442) * SUMIFS('📅 Resumen Diario'!$K$5:$K$504, '📅 Resumen Diario'!$B$5:$B$504, B442, '📅 Resumen Diario'!$C$5:$C$504, D442), 0))</f>
        <v/>
      </c>
      <c r="M442" s="31" t="str">
        <f t="shared" si="45"/>
        <v/>
      </c>
      <c r="N442" s="31" t="str">
        <f t="shared" si="46"/>
        <v/>
      </c>
      <c r="O442" s="31" t="str">
        <f>IF(OR(B442="",C442=""),"",K442-N442 + IFERROR(E442 / SUMIFS('📅 Resumen Diario'!$D$5:$D$504, '📅 Resumen Diario'!$B$5:$B$504, B442, '📅 Resumen Diario'!$C$5:$C$504, D442) * (SUMIFS('📋 Detalle Diario'!$E$5:$E$489, '📋 Detalle Diario'!$B$5:$B$489, B442, '📋 Detalle Diario'!$C$5:$C$489, D442) * 135 + SUMIFS('📋 Detalle Diario'!$I$5:$I$489, '📋 Detalle Diario'!$B$5:$B$489, B442, '📋 Detalle Diario'!$C$5:$C$489, D442) * 200), 0))</f>
        <v/>
      </c>
      <c r="P442" s="32" t="str">
        <f t="shared" si="47"/>
        <v/>
      </c>
      <c r="Q442" s="33" t="str">
        <f t="shared" si="48"/>
        <v/>
      </c>
    </row>
    <row r="443" spans="2:17" ht="18" customHeight="1" x14ac:dyDescent="0.3">
      <c r="B443" s="26"/>
      <c r="C443" s="28"/>
      <c r="D443" s="27"/>
      <c r="E443" s="29"/>
      <c r="F443" s="29"/>
      <c r="G443" s="29"/>
      <c r="H443" s="30" t="str">
        <f t="shared" si="42"/>
        <v/>
      </c>
      <c r="I443" s="31" t="str">
        <f>IF(OR(B443="",C443=""),"",IFERROR(E443*IF(E443="",0,VLOOKUP(C443,'📦 Precios Proforma'!$B$5:$D$104,IF(D443="DIA",2,3),FALSE)),0))</f>
        <v/>
      </c>
      <c r="J443" s="31" t="str">
        <f t="shared" si="43"/>
        <v/>
      </c>
      <c r="K443" s="31" t="str">
        <f t="shared" si="44"/>
        <v/>
      </c>
      <c r="L443" s="31" t="str">
        <f>IF(OR(B443="",C443=""),"",IFERROR(E443 / SUMIFS('📅 Resumen Diario'!$D$5:$D$504, '📅 Resumen Diario'!$B$5:$B$504, B443, '📅 Resumen Diario'!$C$5:$C$504, D443) * SUMIFS('📅 Resumen Diario'!$K$5:$K$504, '📅 Resumen Diario'!$B$5:$B$504, B443, '📅 Resumen Diario'!$C$5:$C$504, D443), 0))</f>
        <v/>
      </c>
      <c r="M443" s="31" t="str">
        <f t="shared" si="45"/>
        <v/>
      </c>
      <c r="N443" s="31" t="str">
        <f t="shared" si="46"/>
        <v/>
      </c>
      <c r="O443" s="31" t="str">
        <f>IF(OR(B443="",C443=""),"",K443-N443 + IFERROR(E443 / SUMIFS('📅 Resumen Diario'!$D$5:$D$504, '📅 Resumen Diario'!$B$5:$B$504, B443, '📅 Resumen Diario'!$C$5:$C$504, D443) * (SUMIFS('📋 Detalle Diario'!$E$5:$E$489, '📋 Detalle Diario'!$B$5:$B$489, B443, '📋 Detalle Diario'!$C$5:$C$489, D443) * 135 + SUMIFS('📋 Detalle Diario'!$I$5:$I$489, '📋 Detalle Diario'!$B$5:$B$489, B443, '📋 Detalle Diario'!$C$5:$C$489, D443) * 200), 0))</f>
        <v/>
      </c>
      <c r="P443" s="32" t="str">
        <f t="shared" si="47"/>
        <v/>
      </c>
      <c r="Q443" s="33" t="str">
        <f t="shared" si="48"/>
        <v/>
      </c>
    </row>
    <row r="444" spans="2:17" ht="18" customHeight="1" x14ac:dyDescent="0.3">
      <c r="B444" s="26"/>
      <c r="C444" s="17"/>
      <c r="D444" s="27"/>
      <c r="E444" s="18"/>
      <c r="F444" s="18"/>
      <c r="G444" s="18"/>
      <c r="H444" s="30" t="str">
        <f t="shared" si="42"/>
        <v/>
      </c>
      <c r="I444" s="31" t="str">
        <f>IF(OR(B444="",C444=""),"",IFERROR(E444*IF(E444="",0,VLOOKUP(C444,'📦 Precios Proforma'!$B$5:$D$104,IF(D444="DIA",2,3),FALSE)),0))</f>
        <v/>
      </c>
      <c r="J444" s="31" t="str">
        <f t="shared" si="43"/>
        <v/>
      </c>
      <c r="K444" s="31" t="str">
        <f t="shared" si="44"/>
        <v/>
      </c>
      <c r="L444" s="31" t="str">
        <f>IF(OR(B444="",C444=""),"",IFERROR(E444 / SUMIFS('📅 Resumen Diario'!$D$5:$D$504, '📅 Resumen Diario'!$B$5:$B$504, B444, '📅 Resumen Diario'!$C$5:$C$504, D444) * SUMIFS('📅 Resumen Diario'!$K$5:$K$504, '📅 Resumen Diario'!$B$5:$B$504, B444, '📅 Resumen Diario'!$C$5:$C$504, D444), 0))</f>
        <v/>
      </c>
      <c r="M444" s="31" t="str">
        <f t="shared" si="45"/>
        <v/>
      </c>
      <c r="N444" s="31" t="str">
        <f t="shared" si="46"/>
        <v/>
      </c>
      <c r="O444" s="31" t="str">
        <f>IF(OR(B444="",C444=""),"",K444-N444 + IFERROR(E444 / SUMIFS('📅 Resumen Diario'!$D$5:$D$504, '📅 Resumen Diario'!$B$5:$B$504, B444, '📅 Resumen Diario'!$C$5:$C$504, D444) * (SUMIFS('📋 Detalle Diario'!$E$5:$E$489, '📋 Detalle Diario'!$B$5:$B$489, B444, '📋 Detalle Diario'!$C$5:$C$489, D444) * 135 + SUMIFS('📋 Detalle Diario'!$I$5:$I$489, '📋 Detalle Diario'!$B$5:$B$489, B444, '📋 Detalle Diario'!$C$5:$C$489, D444) * 200), 0))</f>
        <v/>
      </c>
      <c r="P444" s="32" t="str">
        <f t="shared" si="47"/>
        <v/>
      </c>
      <c r="Q444" s="33" t="str">
        <f t="shared" si="48"/>
        <v/>
      </c>
    </row>
    <row r="445" spans="2:17" ht="18" customHeight="1" x14ac:dyDescent="0.3">
      <c r="B445" s="26"/>
      <c r="C445" s="28"/>
      <c r="D445" s="27"/>
      <c r="E445" s="29"/>
      <c r="F445" s="29"/>
      <c r="G445" s="29"/>
      <c r="H445" s="30" t="str">
        <f t="shared" si="42"/>
        <v/>
      </c>
      <c r="I445" s="31" t="str">
        <f>IF(OR(B445="",C445=""),"",IFERROR(E445*IF(E445="",0,VLOOKUP(C445,'📦 Precios Proforma'!$B$5:$D$104,IF(D445="DIA",2,3),FALSE)),0))</f>
        <v/>
      </c>
      <c r="J445" s="31" t="str">
        <f t="shared" si="43"/>
        <v/>
      </c>
      <c r="K445" s="31" t="str">
        <f t="shared" si="44"/>
        <v/>
      </c>
      <c r="L445" s="31" t="str">
        <f>IF(OR(B445="",C445=""),"",IFERROR(E445 / SUMIFS('📅 Resumen Diario'!$D$5:$D$504, '📅 Resumen Diario'!$B$5:$B$504, B445, '📅 Resumen Diario'!$C$5:$C$504, D445) * SUMIFS('📅 Resumen Diario'!$K$5:$K$504, '📅 Resumen Diario'!$B$5:$B$504, B445, '📅 Resumen Diario'!$C$5:$C$504, D445), 0))</f>
        <v/>
      </c>
      <c r="M445" s="31" t="str">
        <f t="shared" si="45"/>
        <v/>
      </c>
      <c r="N445" s="31" t="str">
        <f t="shared" si="46"/>
        <v/>
      </c>
      <c r="O445" s="31" t="str">
        <f>IF(OR(B445="",C445=""),"",K445-N445 + IFERROR(E445 / SUMIFS('📅 Resumen Diario'!$D$5:$D$504, '📅 Resumen Diario'!$B$5:$B$504, B445, '📅 Resumen Diario'!$C$5:$C$504, D445) * (SUMIFS('📋 Detalle Diario'!$E$5:$E$489, '📋 Detalle Diario'!$B$5:$B$489, B445, '📋 Detalle Diario'!$C$5:$C$489, D445) * 135 + SUMIFS('📋 Detalle Diario'!$I$5:$I$489, '📋 Detalle Diario'!$B$5:$B$489, B445, '📋 Detalle Diario'!$C$5:$C$489, D445) * 200), 0))</f>
        <v/>
      </c>
      <c r="P445" s="32" t="str">
        <f t="shared" si="47"/>
        <v/>
      </c>
      <c r="Q445" s="33" t="str">
        <f t="shared" si="48"/>
        <v/>
      </c>
    </row>
    <row r="446" spans="2:17" ht="18" customHeight="1" x14ac:dyDescent="0.3">
      <c r="B446" s="26"/>
      <c r="C446" s="17"/>
      <c r="D446" s="27"/>
      <c r="E446" s="18"/>
      <c r="F446" s="18"/>
      <c r="G446" s="18"/>
      <c r="H446" s="30" t="str">
        <f t="shared" si="42"/>
        <v/>
      </c>
      <c r="I446" s="31" t="str">
        <f>IF(OR(B446="",C446=""),"",IFERROR(E446*IF(E446="",0,VLOOKUP(C446,'📦 Precios Proforma'!$B$5:$D$104,IF(D446="DIA",2,3),FALSE)),0))</f>
        <v/>
      </c>
      <c r="J446" s="31" t="str">
        <f t="shared" si="43"/>
        <v/>
      </c>
      <c r="K446" s="31" t="str">
        <f t="shared" si="44"/>
        <v/>
      </c>
      <c r="L446" s="31" t="str">
        <f>IF(OR(B446="",C446=""),"",IFERROR(E446 / SUMIFS('📅 Resumen Diario'!$D$5:$D$504, '📅 Resumen Diario'!$B$5:$B$504, B446, '📅 Resumen Diario'!$C$5:$C$504, D446) * SUMIFS('📅 Resumen Diario'!$K$5:$K$504, '📅 Resumen Diario'!$B$5:$B$504, B446, '📅 Resumen Diario'!$C$5:$C$504, D446), 0))</f>
        <v/>
      </c>
      <c r="M446" s="31" t="str">
        <f t="shared" si="45"/>
        <v/>
      </c>
      <c r="N446" s="31" t="str">
        <f t="shared" si="46"/>
        <v/>
      </c>
      <c r="O446" s="31" t="str">
        <f>IF(OR(B446="",C446=""),"",K446-N446 + IFERROR(E446 / SUMIFS('📅 Resumen Diario'!$D$5:$D$504, '📅 Resumen Diario'!$B$5:$B$504, B446, '📅 Resumen Diario'!$C$5:$C$504, D446) * (SUMIFS('📋 Detalle Diario'!$E$5:$E$489, '📋 Detalle Diario'!$B$5:$B$489, B446, '📋 Detalle Diario'!$C$5:$C$489, D446) * 135 + SUMIFS('📋 Detalle Diario'!$I$5:$I$489, '📋 Detalle Diario'!$B$5:$B$489, B446, '📋 Detalle Diario'!$C$5:$C$489, D446) * 200), 0))</f>
        <v/>
      </c>
      <c r="P446" s="32" t="str">
        <f t="shared" si="47"/>
        <v/>
      </c>
      <c r="Q446" s="33" t="str">
        <f t="shared" si="48"/>
        <v/>
      </c>
    </row>
    <row r="447" spans="2:17" ht="18" customHeight="1" x14ac:dyDescent="0.3">
      <c r="B447" s="26"/>
      <c r="C447" s="28"/>
      <c r="D447" s="27"/>
      <c r="E447" s="29"/>
      <c r="F447" s="29"/>
      <c r="G447" s="29"/>
      <c r="H447" s="30" t="str">
        <f t="shared" si="42"/>
        <v/>
      </c>
      <c r="I447" s="31" t="str">
        <f>IF(OR(B447="",C447=""),"",IFERROR(E447*IF(E447="",0,VLOOKUP(C447,'📦 Precios Proforma'!$B$5:$D$104,IF(D447="DIA",2,3),FALSE)),0))</f>
        <v/>
      </c>
      <c r="J447" s="31" t="str">
        <f t="shared" si="43"/>
        <v/>
      </c>
      <c r="K447" s="31" t="str">
        <f t="shared" si="44"/>
        <v/>
      </c>
      <c r="L447" s="31" t="str">
        <f>IF(OR(B447="",C447=""),"",IFERROR(E447 / SUMIFS('📅 Resumen Diario'!$D$5:$D$504, '📅 Resumen Diario'!$B$5:$B$504, B447, '📅 Resumen Diario'!$C$5:$C$504, D447) * SUMIFS('📅 Resumen Diario'!$K$5:$K$504, '📅 Resumen Diario'!$B$5:$B$504, B447, '📅 Resumen Diario'!$C$5:$C$504, D447), 0))</f>
        <v/>
      </c>
      <c r="M447" s="31" t="str">
        <f t="shared" si="45"/>
        <v/>
      </c>
      <c r="N447" s="31" t="str">
        <f t="shared" si="46"/>
        <v/>
      </c>
      <c r="O447" s="31" t="str">
        <f>IF(OR(B447="",C447=""),"",K447-N447 + IFERROR(E447 / SUMIFS('📅 Resumen Diario'!$D$5:$D$504, '📅 Resumen Diario'!$B$5:$B$504, B447, '📅 Resumen Diario'!$C$5:$C$504, D447) * (SUMIFS('📋 Detalle Diario'!$E$5:$E$489, '📋 Detalle Diario'!$B$5:$B$489, B447, '📋 Detalle Diario'!$C$5:$C$489, D447) * 135 + SUMIFS('📋 Detalle Diario'!$I$5:$I$489, '📋 Detalle Diario'!$B$5:$B$489, B447, '📋 Detalle Diario'!$C$5:$C$489, D447) * 200), 0))</f>
        <v/>
      </c>
      <c r="P447" s="32" t="str">
        <f t="shared" si="47"/>
        <v/>
      </c>
      <c r="Q447" s="33" t="str">
        <f t="shared" si="48"/>
        <v/>
      </c>
    </row>
    <row r="448" spans="2:17" ht="18" customHeight="1" x14ac:dyDescent="0.3">
      <c r="B448" s="26"/>
      <c r="C448" s="17"/>
      <c r="D448" s="27"/>
      <c r="E448" s="18"/>
      <c r="F448" s="18"/>
      <c r="G448" s="18"/>
      <c r="H448" s="30" t="str">
        <f t="shared" si="42"/>
        <v/>
      </c>
      <c r="I448" s="31" t="str">
        <f>IF(OR(B448="",C448=""),"",IFERROR(E448*IF(E448="",0,VLOOKUP(C448,'📦 Precios Proforma'!$B$5:$D$104,IF(D448="DIA",2,3),FALSE)),0))</f>
        <v/>
      </c>
      <c r="J448" s="31" t="str">
        <f t="shared" si="43"/>
        <v/>
      </c>
      <c r="K448" s="31" t="str">
        <f t="shared" si="44"/>
        <v/>
      </c>
      <c r="L448" s="31" t="str">
        <f>IF(OR(B448="",C448=""),"",IFERROR(E448 / SUMIFS('📅 Resumen Diario'!$D$5:$D$504, '📅 Resumen Diario'!$B$5:$B$504, B448, '📅 Resumen Diario'!$C$5:$C$504, D448) * SUMIFS('📅 Resumen Diario'!$K$5:$K$504, '📅 Resumen Diario'!$B$5:$B$504, B448, '📅 Resumen Diario'!$C$5:$C$504, D448), 0))</f>
        <v/>
      </c>
      <c r="M448" s="31" t="str">
        <f t="shared" si="45"/>
        <v/>
      </c>
      <c r="N448" s="31" t="str">
        <f t="shared" si="46"/>
        <v/>
      </c>
      <c r="O448" s="31" t="str">
        <f>IF(OR(B448="",C448=""),"",K448-N448 + IFERROR(E448 / SUMIFS('📅 Resumen Diario'!$D$5:$D$504, '📅 Resumen Diario'!$B$5:$B$504, B448, '📅 Resumen Diario'!$C$5:$C$504, D448) * (SUMIFS('📋 Detalle Diario'!$E$5:$E$489, '📋 Detalle Diario'!$B$5:$B$489, B448, '📋 Detalle Diario'!$C$5:$C$489, D448) * 135 + SUMIFS('📋 Detalle Diario'!$I$5:$I$489, '📋 Detalle Diario'!$B$5:$B$489, B448, '📋 Detalle Diario'!$C$5:$C$489, D448) * 200), 0))</f>
        <v/>
      </c>
      <c r="P448" s="32" t="str">
        <f t="shared" si="47"/>
        <v/>
      </c>
      <c r="Q448" s="33" t="str">
        <f t="shared" si="48"/>
        <v/>
      </c>
    </row>
    <row r="449" spans="2:17" ht="18" customHeight="1" x14ac:dyDescent="0.3">
      <c r="B449" s="26"/>
      <c r="C449" s="28"/>
      <c r="D449" s="27"/>
      <c r="E449" s="29"/>
      <c r="F449" s="29"/>
      <c r="G449" s="29"/>
      <c r="H449" s="30" t="str">
        <f t="shared" si="42"/>
        <v/>
      </c>
      <c r="I449" s="31" t="str">
        <f>IF(OR(B449="",C449=""),"",IFERROR(E449*IF(E449="",0,VLOOKUP(C449,'📦 Precios Proforma'!$B$5:$D$104,IF(D449="DIA",2,3),FALSE)),0))</f>
        <v/>
      </c>
      <c r="J449" s="31" t="str">
        <f t="shared" si="43"/>
        <v/>
      </c>
      <c r="K449" s="31" t="str">
        <f t="shared" si="44"/>
        <v/>
      </c>
      <c r="L449" s="31" t="str">
        <f>IF(OR(B449="",C449=""),"",IFERROR(E449 / SUMIFS('📅 Resumen Diario'!$D$5:$D$504, '📅 Resumen Diario'!$B$5:$B$504, B449, '📅 Resumen Diario'!$C$5:$C$504, D449) * SUMIFS('📅 Resumen Diario'!$K$5:$K$504, '📅 Resumen Diario'!$B$5:$B$504, B449, '📅 Resumen Diario'!$C$5:$C$504, D449), 0))</f>
        <v/>
      </c>
      <c r="M449" s="31" t="str">
        <f t="shared" si="45"/>
        <v/>
      </c>
      <c r="N449" s="31" t="str">
        <f t="shared" si="46"/>
        <v/>
      </c>
      <c r="O449" s="31" t="str">
        <f>IF(OR(B449="",C449=""),"",K449-N449 + IFERROR(E449 / SUMIFS('📅 Resumen Diario'!$D$5:$D$504, '📅 Resumen Diario'!$B$5:$B$504, B449, '📅 Resumen Diario'!$C$5:$C$504, D449) * (SUMIFS('📋 Detalle Diario'!$E$5:$E$489, '📋 Detalle Diario'!$B$5:$B$489, B449, '📋 Detalle Diario'!$C$5:$C$489, D449) * 135 + SUMIFS('📋 Detalle Diario'!$I$5:$I$489, '📋 Detalle Diario'!$B$5:$B$489, B449, '📋 Detalle Diario'!$C$5:$C$489, D449) * 200), 0))</f>
        <v/>
      </c>
      <c r="P449" s="32" t="str">
        <f t="shared" si="47"/>
        <v/>
      </c>
      <c r="Q449" s="33" t="str">
        <f t="shared" si="48"/>
        <v/>
      </c>
    </row>
    <row r="450" spans="2:17" ht="18" customHeight="1" x14ac:dyDescent="0.3">
      <c r="B450" s="26"/>
      <c r="C450" s="17"/>
      <c r="D450" s="27"/>
      <c r="E450" s="18"/>
      <c r="F450" s="18"/>
      <c r="G450" s="18"/>
      <c r="H450" s="30" t="str">
        <f t="shared" si="42"/>
        <v/>
      </c>
      <c r="I450" s="31" t="str">
        <f>IF(OR(B450="",C450=""),"",IFERROR(E450*IF(E450="",0,VLOOKUP(C450,'📦 Precios Proforma'!$B$5:$D$104,IF(D450="DIA",2,3),FALSE)),0))</f>
        <v/>
      </c>
      <c r="J450" s="31" t="str">
        <f t="shared" si="43"/>
        <v/>
      </c>
      <c r="K450" s="31" t="str">
        <f t="shared" si="44"/>
        <v/>
      </c>
      <c r="L450" s="31" t="str">
        <f>IF(OR(B450="",C450=""),"",IFERROR(E450 / SUMIFS('📅 Resumen Diario'!$D$5:$D$504, '📅 Resumen Diario'!$B$5:$B$504, B450, '📅 Resumen Diario'!$C$5:$C$504, D450) * SUMIFS('📅 Resumen Diario'!$K$5:$K$504, '📅 Resumen Diario'!$B$5:$B$504, B450, '📅 Resumen Diario'!$C$5:$C$504, D450), 0))</f>
        <v/>
      </c>
      <c r="M450" s="31" t="str">
        <f t="shared" si="45"/>
        <v/>
      </c>
      <c r="N450" s="31" t="str">
        <f t="shared" si="46"/>
        <v/>
      </c>
      <c r="O450" s="31" t="str">
        <f>IF(OR(B450="",C450=""),"",K450-N450 + IFERROR(E450 / SUMIFS('📅 Resumen Diario'!$D$5:$D$504, '📅 Resumen Diario'!$B$5:$B$504, B450, '📅 Resumen Diario'!$C$5:$C$504, D450) * (SUMIFS('📋 Detalle Diario'!$E$5:$E$489, '📋 Detalle Diario'!$B$5:$B$489, B450, '📋 Detalle Diario'!$C$5:$C$489, D450) * 135 + SUMIFS('📋 Detalle Diario'!$I$5:$I$489, '📋 Detalle Diario'!$B$5:$B$489, B450, '📋 Detalle Diario'!$C$5:$C$489, D450) * 200), 0))</f>
        <v/>
      </c>
      <c r="P450" s="32" t="str">
        <f t="shared" si="47"/>
        <v/>
      </c>
      <c r="Q450" s="33" t="str">
        <f t="shared" si="48"/>
        <v/>
      </c>
    </row>
    <row r="451" spans="2:17" ht="18" customHeight="1" x14ac:dyDescent="0.3">
      <c r="B451" s="26"/>
      <c r="C451" s="28"/>
      <c r="D451" s="27"/>
      <c r="E451" s="29"/>
      <c r="F451" s="29"/>
      <c r="G451" s="29"/>
      <c r="H451" s="30" t="str">
        <f t="shared" si="42"/>
        <v/>
      </c>
      <c r="I451" s="31" t="str">
        <f>IF(OR(B451="",C451=""),"",IFERROR(E451*IF(E451="",0,VLOOKUP(C451,'📦 Precios Proforma'!$B$5:$D$104,IF(D451="DIA",2,3),FALSE)),0))</f>
        <v/>
      </c>
      <c r="J451" s="31" t="str">
        <f t="shared" si="43"/>
        <v/>
      </c>
      <c r="K451" s="31" t="str">
        <f t="shared" si="44"/>
        <v/>
      </c>
      <c r="L451" s="31" t="str">
        <f>IF(OR(B451="",C451=""),"",IFERROR(E451 / SUMIFS('📅 Resumen Diario'!$D$5:$D$504, '📅 Resumen Diario'!$B$5:$B$504, B451, '📅 Resumen Diario'!$C$5:$C$504, D451) * SUMIFS('📅 Resumen Diario'!$K$5:$K$504, '📅 Resumen Diario'!$B$5:$B$504, B451, '📅 Resumen Diario'!$C$5:$C$504, D451), 0))</f>
        <v/>
      </c>
      <c r="M451" s="31" t="str">
        <f t="shared" si="45"/>
        <v/>
      </c>
      <c r="N451" s="31" t="str">
        <f t="shared" si="46"/>
        <v/>
      </c>
      <c r="O451" s="31" t="str">
        <f>IF(OR(B451="",C451=""),"",K451-N451 + IFERROR(E451 / SUMIFS('📅 Resumen Diario'!$D$5:$D$504, '📅 Resumen Diario'!$B$5:$B$504, B451, '📅 Resumen Diario'!$C$5:$C$504, D451) * (SUMIFS('📋 Detalle Diario'!$E$5:$E$489, '📋 Detalle Diario'!$B$5:$B$489, B451, '📋 Detalle Diario'!$C$5:$C$489, D451) * 135 + SUMIFS('📋 Detalle Diario'!$I$5:$I$489, '📋 Detalle Diario'!$B$5:$B$489, B451, '📋 Detalle Diario'!$C$5:$C$489, D451) * 200), 0))</f>
        <v/>
      </c>
      <c r="P451" s="32" t="str">
        <f t="shared" si="47"/>
        <v/>
      </c>
      <c r="Q451" s="33" t="str">
        <f t="shared" si="48"/>
        <v/>
      </c>
    </row>
    <row r="452" spans="2:17" ht="18" customHeight="1" x14ac:dyDescent="0.3">
      <c r="B452" s="26"/>
      <c r="C452" s="17"/>
      <c r="D452" s="27"/>
      <c r="E452" s="18"/>
      <c r="F452" s="18"/>
      <c r="G452" s="18"/>
      <c r="H452" s="30" t="str">
        <f t="shared" si="42"/>
        <v/>
      </c>
      <c r="I452" s="31" t="str">
        <f>IF(OR(B452="",C452=""),"",IFERROR(E452*IF(E452="",0,VLOOKUP(C452,'📦 Precios Proforma'!$B$5:$D$104,IF(D452="DIA",2,3),FALSE)),0))</f>
        <v/>
      </c>
      <c r="J452" s="31" t="str">
        <f t="shared" si="43"/>
        <v/>
      </c>
      <c r="K452" s="31" t="str">
        <f t="shared" si="44"/>
        <v/>
      </c>
      <c r="L452" s="31" t="str">
        <f>IF(OR(B452="",C452=""),"",IFERROR(E452 / SUMIFS('📅 Resumen Diario'!$D$5:$D$504, '📅 Resumen Diario'!$B$5:$B$504, B452, '📅 Resumen Diario'!$C$5:$C$504, D452) * SUMIFS('📅 Resumen Diario'!$K$5:$K$504, '📅 Resumen Diario'!$B$5:$B$504, B452, '📅 Resumen Diario'!$C$5:$C$504, D452), 0))</f>
        <v/>
      </c>
      <c r="M452" s="31" t="str">
        <f t="shared" si="45"/>
        <v/>
      </c>
      <c r="N452" s="31" t="str">
        <f t="shared" si="46"/>
        <v/>
      </c>
      <c r="O452" s="31" t="str">
        <f>IF(OR(B452="",C452=""),"",K452-N452 + IFERROR(E452 / SUMIFS('📅 Resumen Diario'!$D$5:$D$504, '📅 Resumen Diario'!$B$5:$B$504, B452, '📅 Resumen Diario'!$C$5:$C$504, D452) * (SUMIFS('📋 Detalle Diario'!$E$5:$E$489, '📋 Detalle Diario'!$B$5:$B$489, B452, '📋 Detalle Diario'!$C$5:$C$489, D452) * 135 + SUMIFS('📋 Detalle Diario'!$I$5:$I$489, '📋 Detalle Diario'!$B$5:$B$489, B452, '📋 Detalle Diario'!$C$5:$C$489, D452) * 200), 0))</f>
        <v/>
      </c>
      <c r="P452" s="32" t="str">
        <f t="shared" si="47"/>
        <v/>
      </c>
      <c r="Q452" s="33" t="str">
        <f t="shared" si="48"/>
        <v/>
      </c>
    </row>
    <row r="453" spans="2:17" ht="18" customHeight="1" x14ac:dyDescent="0.3">
      <c r="B453" s="26"/>
      <c r="C453" s="28"/>
      <c r="D453" s="27"/>
      <c r="E453" s="29"/>
      <c r="F453" s="29"/>
      <c r="G453" s="29"/>
      <c r="H453" s="30" t="str">
        <f t="shared" si="42"/>
        <v/>
      </c>
      <c r="I453" s="31" t="str">
        <f>IF(OR(B453="",C453=""),"",IFERROR(E453*IF(E453="",0,VLOOKUP(C453,'📦 Precios Proforma'!$B$5:$D$104,IF(D453="DIA",2,3),FALSE)),0))</f>
        <v/>
      </c>
      <c r="J453" s="31" t="str">
        <f t="shared" si="43"/>
        <v/>
      </c>
      <c r="K453" s="31" t="str">
        <f t="shared" si="44"/>
        <v/>
      </c>
      <c r="L453" s="31" t="str">
        <f>IF(OR(B453="",C453=""),"",IFERROR(E453 / SUMIFS('📅 Resumen Diario'!$D$5:$D$504, '📅 Resumen Diario'!$B$5:$B$504, B453, '📅 Resumen Diario'!$C$5:$C$504, D453) * SUMIFS('📅 Resumen Diario'!$K$5:$K$504, '📅 Resumen Diario'!$B$5:$B$504, B453, '📅 Resumen Diario'!$C$5:$C$504, D453), 0))</f>
        <v/>
      </c>
      <c r="M453" s="31" t="str">
        <f t="shared" si="45"/>
        <v/>
      </c>
      <c r="N453" s="31" t="str">
        <f t="shared" si="46"/>
        <v/>
      </c>
      <c r="O453" s="31" t="str">
        <f>IF(OR(B453="",C453=""),"",K453-N453 + IFERROR(E453 / SUMIFS('📅 Resumen Diario'!$D$5:$D$504, '📅 Resumen Diario'!$B$5:$B$504, B453, '📅 Resumen Diario'!$C$5:$C$504, D453) * (SUMIFS('📋 Detalle Diario'!$E$5:$E$489, '📋 Detalle Diario'!$B$5:$B$489, B453, '📋 Detalle Diario'!$C$5:$C$489, D453) * 135 + SUMIFS('📋 Detalle Diario'!$I$5:$I$489, '📋 Detalle Diario'!$B$5:$B$489, B453, '📋 Detalle Diario'!$C$5:$C$489, D453) * 200), 0))</f>
        <v/>
      </c>
      <c r="P453" s="32" t="str">
        <f t="shared" si="47"/>
        <v/>
      </c>
      <c r="Q453" s="33" t="str">
        <f t="shared" si="48"/>
        <v/>
      </c>
    </row>
    <row r="454" spans="2:17" ht="18" customHeight="1" x14ac:dyDescent="0.3">
      <c r="B454" s="26"/>
      <c r="C454" s="17"/>
      <c r="D454" s="27"/>
      <c r="E454" s="18"/>
      <c r="F454" s="18"/>
      <c r="G454" s="18"/>
      <c r="H454" s="30" t="str">
        <f t="shared" si="42"/>
        <v/>
      </c>
      <c r="I454" s="31" t="str">
        <f>IF(OR(B454="",C454=""),"",IFERROR(E454*IF(E454="",0,VLOOKUP(C454,'📦 Precios Proforma'!$B$5:$D$104,IF(D454="DIA",2,3),FALSE)),0))</f>
        <v/>
      </c>
      <c r="J454" s="31" t="str">
        <f t="shared" si="43"/>
        <v/>
      </c>
      <c r="K454" s="31" t="str">
        <f t="shared" si="44"/>
        <v/>
      </c>
      <c r="L454" s="31" t="str">
        <f>IF(OR(B454="",C454=""),"",IFERROR(E454 / SUMIFS('📅 Resumen Diario'!$D$5:$D$504, '📅 Resumen Diario'!$B$5:$B$504, B454, '📅 Resumen Diario'!$C$5:$C$504, D454) * SUMIFS('📅 Resumen Diario'!$K$5:$K$504, '📅 Resumen Diario'!$B$5:$B$504, B454, '📅 Resumen Diario'!$C$5:$C$504, D454), 0))</f>
        <v/>
      </c>
      <c r="M454" s="31" t="str">
        <f t="shared" si="45"/>
        <v/>
      </c>
      <c r="N454" s="31" t="str">
        <f t="shared" si="46"/>
        <v/>
      </c>
      <c r="O454" s="31" t="str">
        <f>IF(OR(B454="",C454=""),"",K454-N454 + IFERROR(E454 / SUMIFS('📅 Resumen Diario'!$D$5:$D$504, '📅 Resumen Diario'!$B$5:$B$504, B454, '📅 Resumen Diario'!$C$5:$C$504, D454) * (SUMIFS('📋 Detalle Diario'!$E$5:$E$489, '📋 Detalle Diario'!$B$5:$B$489, B454, '📋 Detalle Diario'!$C$5:$C$489, D454) * 135 + SUMIFS('📋 Detalle Diario'!$I$5:$I$489, '📋 Detalle Diario'!$B$5:$B$489, B454, '📋 Detalle Diario'!$C$5:$C$489, D454) * 200), 0))</f>
        <v/>
      </c>
      <c r="P454" s="32" t="str">
        <f t="shared" si="47"/>
        <v/>
      </c>
      <c r="Q454" s="33" t="str">
        <f t="shared" si="48"/>
        <v/>
      </c>
    </row>
    <row r="455" spans="2:17" ht="18" customHeight="1" x14ac:dyDescent="0.3">
      <c r="B455" s="26"/>
      <c r="C455" s="28"/>
      <c r="D455" s="27"/>
      <c r="E455" s="29"/>
      <c r="F455" s="29"/>
      <c r="G455" s="29"/>
      <c r="H455" s="30" t="str">
        <f t="shared" ref="H455:H518" si="49">IF(OR(B455="",C455=""),"",F455+G455)</f>
        <v/>
      </c>
      <c r="I455" s="31" t="str">
        <f>IF(OR(B455="",C455=""),"",IFERROR(E455*IF(E455="",0,VLOOKUP(C455,'📦 Precios Proforma'!$B$5:$D$104,IF(D455="DIA",2,3),FALSE)),0))</f>
        <v/>
      </c>
      <c r="J455" s="31" t="str">
        <f t="shared" ref="J455:J518" si="50">IF(OR(B455="",C455=""),"",IF(D455="DIA",H455*1.01,H455*1.35))</f>
        <v/>
      </c>
      <c r="K455" s="31" t="str">
        <f t="shared" ref="K455:K518" si="51">IF(OR(B455="",C455=""),"",I455+J455)</f>
        <v/>
      </c>
      <c r="L455" s="31" t="str">
        <f>IF(OR(B455="",C455=""),"",IFERROR(E455 / SUMIFS('📅 Resumen Diario'!$D$5:$D$504, '📅 Resumen Diario'!$B$5:$B$504, B455, '📅 Resumen Diario'!$C$5:$C$504, D455) * SUMIFS('📅 Resumen Diario'!$K$5:$K$504, '📅 Resumen Diario'!$B$5:$B$504, B455, '📅 Resumen Diario'!$C$5:$C$504, D455), 0))</f>
        <v/>
      </c>
      <c r="M455" s="31" t="str">
        <f t="shared" ref="M455:M518" si="52">IF(OR(B455="",C455=""),"",H455*0.09)</f>
        <v/>
      </c>
      <c r="N455" s="31" t="str">
        <f t="shared" ref="N455:N518" si="53">IF(OR(B455="",C455=""),"",L455+M455)</f>
        <v/>
      </c>
      <c r="O455" s="31" t="str">
        <f>IF(OR(B455="",C455=""),"",K455-N455 + IFERROR(E455 / SUMIFS('📅 Resumen Diario'!$D$5:$D$504, '📅 Resumen Diario'!$B$5:$B$504, B455, '📅 Resumen Diario'!$C$5:$C$504, D455) * (SUMIFS('📋 Detalle Diario'!$E$5:$E$489, '📋 Detalle Diario'!$B$5:$B$489, B455, '📋 Detalle Diario'!$C$5:$C$489, D455) * 135 + SUMIFS('📋 Detalle Diario'!$I$5:$I$489, '📋 Detalle Diario'!$B$5:$B$489, B455, '📋 Detalle Diario'!$C$5:$C$489, D455) * 200), 0))</f>
        <v/>
      </c>
      <c r="P455" s="32" t="str">
        <f t="shared" ref="P455:P518" si="54">IF(OR(B455="",C455=""),"",IF(K455=0, 0, O455/K455))</f>
        <v/>
      </c>
      <c r="Q455" s="33" t="str">
        <f t="shared" ref="Q455:Q518" si="55">IF(B455="","",IF(ISNUMBER(B455),YEAR(B455)&amp;"-"&amp;IF(MONTH(B455)&lt;10,"0","")&amp;MONTH(B455),LEFT(B455,7)))</f>
        <v/>
      </c>
    </row>
    <row r="456" spans="2:17" ht="18" customHeight="1" x14ac:dyDescent="0.3">
      <c r="B456" s="26"/>
      <c r="C456" s="17"/>
      <c r="D456" s="27"/>
      <c r="E456" s="18"/>
      <c r="F456" s="18"/>
      <c r="G456" s="18"/>
      <c r="H456" s="30" t="str">
        <f t="shared" si="49"/>
        <v/>
      </c>
      <c r="I456" s="31" t="str">
        <f>IF(OR(B456="",C456=""),"",IFERROR(E456*IF(E456="",0,VLOOKUP(C456,'📦 Precios Proforma'!$B$5:$D$104,IF(D456="DIA",2,3),FALSE)),0))</f>
        <v/>
      </c>
      <c r="J456" s="31" t="str">
        <f t="shared" si="50"/>
        <v/>
      </c>
      <c r="K456" s="31" t="str">
        <f t="shared" si="51"/>
        <v/>
      </c>
      <c r="L456" s="31" t="str">
        <f>IF(OR(B456="",C456=""),"",IFERROR(E456 / SUMIFS('📅 Resumen Diario'!$D$5:$D$504, '📅 Resumen Diario'!$B$5:$B$504, B456, '📅 Resumen Diario'!$C$5:$C$504, D456) * SUMIFS('📅 Resumen Diario'!$K$5:$K$504, '📅 Resumen Diario'!$B$5:$B$504, B456, '📅 Resumen Diario'!$C$5:$C$504, D456), 0))</f>
        <v/>
      </c>
      <c r="M456" s="31" t="str">
        <f t="shared" si="52"/>
        <v/>
      </c>
      <c r="N456" s="31" t="str">
        <f t="shared" si="53"/>
        <v/>
      </c>
      <c r="O456" s="31" t="str">
        <f>IF(OR(B456="",C456=""),"",K456-N456 + IFERROR(E456 / SUMIFS('📅 Resumen Diario'!$D$5:$D$504, '📅 Resumen Diario'!$B$5:$B$504, B456, '📅 Resumen Diario'!$C$5:$C$504, D456) * (SUMIFS('📋 Detalle Diario'!$E$5:$E$489, '📋 Detalle Diario'!$B$5:$B$489, B456, '📋 Detalle Diario'!$C$5:$C$489, D456) * 135 + SUMIFS('📋 Detalle Diario'!$I$5:$I$489, '📋 Detalle Diario'!$B$5:$B$489, B456, '📋 Detalle Diario'!$C$5:$C$489, D456) * 200), 0))</f>
        <v/>
      </c>
      <c r="P456" s="32" t="str">
        <f t="shared" si="54"/>
        <v/>
      </c>
      <c r="Q456" s="33" t="str">
        <f t="shared" si="55"/>
        <v/>
      </c>
    </row>
    <row r="457" spans="2:17" ht="18" customHeight="1" x14ac:dyDescent="0.3">
      <c r="B457" s="26"/>
      <c r="C457" s="28"/>
      <c r="D457" s="27"/>
      <c r="E457" s="29"/>
      <c r="F457" s="29"/>
      <c r="G457" s="29"/>
      <c r="H457" s="30" t="str">
        <f t="shared" si="49"/>
        <v/>
      </c>
      <c r="I457" s="31" t="str">
        <f>IF(OR(B457="",C457=""),"",IFERROR(E457*IF(E457="",0,VLOOKUP(C457,'📦 Precios Proforma'!$B$5:$D$104,IF(D457="DIA",2,3),FALSE)),0))</f>
        <v/>
      </c>
      <c r="J457" s="31" t="str">
        <f t="shared" si="50"/>
        <v/>
      </c>
      <c r="K457" s="31" t="str">
        <f t="shared" si="51"/>
        <v/>
      </c>
      <c r="L457" s="31" t="str">
        <f>IF(OR(B457="",C457=""),"",IFERROR(E457 / SUMIFS('📅 Resumen Diario'!$D$5:$D$504, '📅 Resumen Diario'!$B$5:$B$504, B457, '📅 Resumen Diario'!$C$5:$C$504, D457) * SUMIFS('📅 Resumen Diario'!$K$5:$K$504, '📅 Resumen Diario'!$B$5:$B$504, B457, '📅 Resumen Diario'!$C$5:$C$504, D457), 0))</f>
        <v/>
      </c>
      <c r="M457" s="31" t="str">
        <f t="shared" si="52"/>
        <v/>
      </c>
      <c r="N457" s="31" t="str">
        <f t="shared" si="53"/>
        <v/>
      </c>
      <c r="O457" s="31" t="str">
        <f>IF(OR(B457="",C457=""),"",K457-N457 + IFERROR(E457 / SUMIFS('📅 Resumen Diario'!$D$5:$D$504, '📅 Resumen Diario'!$B$5:$B$504, B457, '📅 Resumen Diario'!$C$5:$C$504, D457) * (SUMIFS('📋 Detalle Diario'!$E$5:$E$489, '📋 Detalle Diario'!$B$5:$B$489, B457, '📋 Detalle Diario'!$C$5:$C$489, D457) * 135 + SUMIFS('📋 Detalle Diario'!$I$5:$I$489, '📋 Detalle Diario'!$B$5:$B$489, B457, '📋 Detalle Diario'!$C$5:$C$489, D457) * 200), 0))</f>
        <v/>
      </c>
      <c r="P457" s="32" t="str">
        <f t="shared" si="54"/>
        <v/>
      </c>
      <c r="Q457" s="33" t="str">
        <f t="shared" si="55"/>
        <v/>
      </c>
    </row>
    <row r="458" spans="2:17" ht="18" customHeight="1" x14ac:dyDescent="0.3">
      <c r="B458" s="26"/>
      <c r="C458" s="17"/>
      <c r="D458" s="27"/>
      <c r="E458" s="18"/>
      <c r="F458" s="18"/>
      <c r="G458" s="18"/>
      <c r="H458" s="30" t="str">
        <f t="shared" si="49"/>
        <v/>
      </c>
      <c r="I458" s="31" t="str">
        <f>IF(OR(B458="",C458=""),"",IFERROR(E458*IF(E458="",0,VLOOKUP(C458,'📦 Precios Proforma'!$B$5:$D$104,IF(D458="DIA",2,3),FALSE)),0))</f>
        <v/>
      </c>
      <c r="J458" s="31" t="str">
        <f t="shared" si="50"/>
        <v/>
      </c>
      <c r="K458" s="31" t="str">
        <f t="shared" si="51"/>
        <v/>
      </c>
      <c r="L458" s="31" t="str">
        <f>IF(OR(B458="",C458=""),"",IFERROR(E458 / SUMIFS('📅 Resumen Diario'!$D$5:$D$504, '📅 Resumen Diario'!$B$5:$B$504, B458, '📅 Resumen Diario'!$C$5:$C$504, D458) * SUMIFS('📅 Resumen Diario'!$K$5:$K$504, '📅 Resumen Diario'!$B$5:$B$504, B458, '📅 Resumen Diario'!$C$5:$C$504, D458), 0))</f>
        <v/>
      </c>
      <c r="M458" s="31" t="str">
        <f t="shared" si="52"/>
        <v/>
      </c>
      <c r="N458" s="31" t="str">
        <f t="shared" si="53"/>
        <v/>
      </c>
      <c r="O458" s="31" t="str">
        <f>IF(OR(B458="",C458=""),"",K458-N458 + IFERROR(E458 / SUMIFS('📅 Resumen Diario'!$D$5:$D$504, '📅 Resumen Diario'!$B$5:$B$504, B458, '📅 Resumen Diario'!$C$5:$C$504, D458) * (SUMIFS('📋 Detalle Diario'!$E$5:$E$489, '📋 Detalle Diario'!$B$5:$B$489, B458, '📋 Detalle Diario'!$C$5:$C$489, D458) * 135 + SUMIFS('📋 Detalle Diario'!$I$5:$I$489, '📋 Detalle Diario'!$B$5:$B$489, B458, '📋 Detalle Diario'!$C$5:$C$489, D458) * 200), 0))</f>
        <v/>
      </c>
      <c r="P458" s="32" t="str">
        <f t="shared" si="54"/>
        <v/>
      </c>
      <c r="Q458" s="33" t="str">
        <f t="shared" si="55"/>
        <v/>
      </c>
    </row>
    <row r="459" spans="2:17" ht="18" customHeight="1" x14ac:dyDescent="0.3">
      <c r="B459" s="26"/>
      <c r="C459" s="28"/>
      <c r="D459" s="27"/>
      <c r="E459" s="29"/>
      <c r="F459" s="29"/>
      <c r="G459" s="29"/>
      <c r="H459" s="30" t="str">
        <f t="shared" si="49"/>
        <v/>
      </c>
      <c r="I459" s="31" t="str">
        <f>IF(OR(B459="",C459=""),"",IFERROR(E459*IF(E459="",0,VLOOKUP(C459,'📦 Precios Proforma'!$B$5:$D$104,IF(D459="DIA",2,3),FALSE)),0))</f>
        <v/>
      </c>
      <c r="J459" s="31" t="str">
        <f t="shared" si="50"/>
        <v/>
      </c>
      <c r="K459" s="31" t="str">
        <f t="shared" si="51"/>
        <v/>
      </c>
      <c r="L459" s="31" t="str">
        <f>IF(OR(B459="",C459=""),"",IFERROR(E459 / SUMIFS('📅 Resumen Diario'!$D$5:$D$504, '📅 Resumen Diario'!$B$5:$B$504, B459, '📅 Resumen Diario'!$C$5:$C$504, D459) * SUMIFS('📅 Resumen Diario'!$K$5:$K$504, '📅 Resumen Diario'!$B$5:$B$504, B459, '📅 Resumen Diario'!$C$5:$C$504, D459), 0))</f>
        <v/>
      </c>
      <c r="M459" s="31" t="str">
        <f t="shared" si="52"/>
        <v/>
      </c>
      <c r="N459" s="31" t="str">
        <f t="shared" si="53"/>
        <v/>
      </c>
      <c r="O459" s="31" t="str">
        <f>IF(OR(B459="",C459=""),"",K459-N459 + IFERROR(E459 / SUMIFS('📅 Resumen Diario'!$D$5:$D$504, '📅 Resumen Diario'!$B$5:$B$504, B459, '📅 Resumen Diario'!$C$5:$C$504, D459) * (SUMIFS('📋 Detalle Diario'!$E$5:$E$489, '📋 Detalle Diario'!$B$5:$B$489, B459, '📋 Detalle Diario'!$C$5:$C$489, D459) * 135 + SUMIFS('📋 Detalle Diario'!$I$5:$I$489, '📋 Detalle Diario'!$B$5:$B$489, B459, '📋 Detalle Diario'!$C$5:$C$489, D459) * 200), 0))</f>
        <v/>
      </c>
      <c r="P459" s="32" t="str">
        <f t="shared" si="54"/>
        <v/>
      </c>
      <c r="Q459" s="33" t="str">
        <f t="shared" si="55"/>
        <v/>
      </c>
    </row>
    <row r="460" spans="2:17" ht="18" customHeight="1" x14ac:dyDescent="0.3">
      <c r="B460" s="26"/>
      <c r="C460" s="17"/>
      <c r="D460" s="27"/>
      <c r="E460" s="18"/>
      <c r="F460" s="18"/>
      <c r="G460" s="18"/>
      <c r="H460" s="30" t="str">
        <f t="shared" si="49"/>
        <v/>
      </c>
      <c r="I460" s="31" t="str">
        <f>IF(OR(B460="",C460=""),"",IFERROR(E460*IF(E460="",0,VLOOKUP(C460,'📦 Precios Proforma'!$B$5:$D$104,IF(D460="DIA",2,3),FALSE)),0))</f>
        <v/>
      </c>
      <c r="J460" s="31" t="str">
        <f t="shared" si="50"/>
        <v/>
      </c>
      <c r="K460" s="31" t="str">
        <f t="shared" si="51"/>
        <v/>
      </c>
      <c r="L460" s="31" t="str">
        <f>IF(OR(B460="",C460=""),"",IFERROR(E460 / SUMIFS('📅 Resumen Diario'!$D$5:$D$504, '📅 Resumen Diario'!$B$5:$B$504, B460, '📅 Resumen Diario'!$C$5:$C$504, D460) * SUMIFS('📅 Resumen Diario'!$K$5:$K$504, '📅 Resumen Diario'!$B$5:$B$504, B460, '📅 Resumen Diario'!$C$5:$C$504, D460), 0))</f>
        <v/>
      </c>
      <c r="M460" s="31" t="str">
        <f t="shared" si="52"/>
        <v/>
      </c>
      <c r="N460" s="31" t="str">
        <f t="shared" si="53"/>
        <v/>
      </c>
      <c r="O460" s="31" t="str">
        <f>IF(OR(B460="",C460=""),"",K460-N460 + IFERROR(E460 / SUMIFS('📅 Resumen Diario'!$D$5:$D$504, '📅 Resumen Diario'!$B$5:$B$504, B460, '📅 Resumen Diario'!$C$5:$C$504, D460) * (SUMIFS('📋 Detalle Diario'!$E$5:$E$489, '📋 Detalle Diario'!$B$5:$B$489, B460, '📋 Detalle Diario'!$C$5:$C$489, D460) * 135 + SUMIFS('📋 Detalle Diario'!$I$5:$I$489, '📋 Detalle Diario'!$B$5:$B$489, B460, '📋 Detalle Diario'!$C$5:$C$489, D460) * 200), 0))</f>
        <v/>
      </c>
      <c r="P460" s="32" t="str">
        <f t="shared" si="54"/>
        <v/>
      </c>
      <c r="Q460" s="33" t="str">
        <f t="shared" si="55"/>
        <v/>
      </c>
    </row>
    <row r="461" spans="2:17" ht="18" customHeight="1" x14ac:dyDescent="0.3">
      <c r="B461" s="26"/>
      <c r="C461" s="28"/>
      <c r="D461" s="27"/>
      <c r="E461" s="29"/>
      <c r="F461" s="29"/>
      <c r="G461" s="29"/>
      <c r="H461" s="30" t="str">
        <f t="shared" si="49"/>
        <v/>
      </c>
      <c r="I461" s="31" t="str">
        <f>IF(OR(B461="",C461=""),"",IFERROR(E461*IF(E461="",0,VLOOKUP(C461,'📦 Precios Proforma'!$B$5:$D$104,IF(D461="DIA",2,3),FALSE)),0))</f>
        <v/>
      </c>
      <c r="J461" s="31" t="str">
        <f t="shared" si="50"/>
        <v/>
      </c>
      <c r="K461" s="31" t="str">
        <f t="shared" si="51"/>
        <v/>
      </c>
      <c r="L461" s="31" t="str">
        <f>IF(OR(B461="",C461=""),"",IFERROR(E461 / SUMIFS('📅 Resumen Diario'!$D$5:$D$504, '📅 Resumen Diario'!$B$5:$B$504, B461, '📅 Resumen Diario'!$C$5:$C$504, D461) * SUMIFS('📅 Resumen Diario'!$K$5:$K$504, '📅 Resumen Diario'!$B$5:$B$504, B461, '📅 Resumen Diario'!$C$5:$C$504, D461), 0))</f>
        <v/>
      </c>
      <c r="M461" s="31" t="str">
        <f t="shared" si="52"/>
        <v/>
      </c>
      <c r="N461" s="31" t="str">
        <f t="shared" si="53"/>
        <v/>
      </c>
      <c r="O461" s="31" t="str">
        <f>IF(OR(B461="",C461=""),"",K461-N461 + IFERROR(E461 / SUMIFS('📅 Resumen Diario'!$D$5:$D$504, '📅 Resumen Diario'!$B$5:$B$504, B461, '📅 Resumen Diario'!$C$5:$C$504, D461) * (SUMIFS('📋 Detalle Diario'!$E$5:$E$489, '📋 Detalle Diario'!$B$5:$B$489, B461, '📋 Detalle Diario'!$C$5:$C$489, D461) * 135 + SUMIFS('📋 Detalle Diario'!$I$5:$I$489, '📋 Detalle Diario'!$B$5:$B$489, B461, '📋 Detalle Diario'!$C$5:$C$489, D461) * 200), 0))</f>
        <v/>
      </c>
      <c r="P461" s="32" t="str">
        <f t="shared" si="54"/>
        <v/>
      </c>
      <c r="Q461" s="33" t="str">
        <f t="shared" si="55"/>
        <v/>
      </c>
    </row>
    <row r="462" spans="2:17" ht="18" customHeight="1" x14ac:dyDescent="0.3">
      <c r="B462" s="26"/>
      <c r="C462" s="17"/>
      <c r="D462" s="27"/>
      <c r="E462" s="18"/>
      <c r="F462" s="18"/>
      <c r="G462" s="18"/>
      <c r="H462" s="30" t="str">
        <f t="shared" si="49"/>
        <v/>
      </c>
      <c r="I462" s="31" t="str">
        <f>IF(OR(B462="",C462=""),"",IFERROR(E462*IF(E462="",0,VLOOKUP(C462,'📦 Precios Proforma'!$B$5:$D$104,IF(D462="DIA",2,3),FALSE)),0))</f>
        <v/>
      </c>
      <c r="J462" s="31" t="str">
        <f t="shared" si="50"/>
        <v/>
      </c>
      <c r="K462" s="31" t="str">
        <f t="shared" si="51"/>
        <v/>
      </c>
      <c r="L462" s="31" t="str">
        <f>IF(OR(B462="",C462=""),"",IFERROR(E462 / SUMIFS('📅 Resumen Diario'!$D$5:$D$504, '📅 Resumen Diario'!$B$5:$B$504, B462, '📅 Resumen Diario'!$C$5:$C$504, D462) * SUMIFS('📅 Resumen Diario'!$K$5:$K$504, '📅 Resumen Diario'!$B$5:$B$504, B462, '📅 Resumen Diario'!$C$5:$C$504, D462), 0))</f>
        <v/>
      </c>
      <c r="M462" s="31" t="str">
        <f t="shared" si="52"/>
        <v/>
      </c>
      <c r="N462" s="31" t="str">
        <f t="shared" si="53"/>
        <v/>
      </c>
      <c r="O462" s="31" t="str">
        <f>IF(OR(B462="",C462=""),"",K462-N462 + IFERROR(E462 / SUMIFS('📅 Resumen Diario'!$D$5:$D$504, '📅 Resumen Diario'!$B$5:$B$504, B462, '📅 Resumen Diario'!$C$5:$C$504, D462) * (SUMIFS('📋 Detalle Diario'!$E$5:$E$489, '📋 Detalle Diario'!$B$5:$B$489, B462, '📋 Detalle Diario'!$C$5:$C$489, D462) * 135 + SUMIFS('📋 Detalle Diario'!$I$5:$I$489, '📋 Detalle Diario'!$B$5:$B$489, B462, '📋 Detalle Diario'!$C$5:$C$489, D462) * 200), 0))</f>
        <v/>
      </c>
      <c r="P462" s="32" t="str">
        <f t="shared" si="54"/>
        <v/>
      </c>
      <c r="Q462" s="33" t="str">
        <f t="shared" si="55"/>
        <v/>
      </c>
    </row>
    <row r="463" spans="2:17" ht="18" customHeight="1" x14ac:dyDescent="0.3">
      <c r="B463" s="26"/>
      <c r="C463" s="28"/>
      <c r="D463" s="27"/>
      <c r="E463" s="29"/>
      <c r="F463" s="29"/>
      <c r="G463" s="29"/>
      <c r="H463" s="30" t="str">
        <f t="shared" si="49"/>
        <v/>
      </c>
      <c r="I463" s="31" t="str">
        <f>IF(OR(B463="",C463=""),"",IFERROR(E463*IF(E463="",0,VLOOKUP(C463,'📦 Precios Proforma'!$B$5:$D$104,IF(D463="DIA",2,3),FALSE)),0))</f>
        <v/>
      </c>
      <c r="J463" s="31" t="str">
        <f t="shared" si="50"/>
        <v/>
      </c>
      <c r="K463" s="31" t="str">
        <f t="shared" si="51"/>
        <v/>
      </c>
      <c r="L463" s="31" t="str">
        <f>IF(OR(B463="",C463=""),"",IFERROR(E463 / SUMIFS('📅 Resumen Diario'!$D$5:$D$504, '📅 Resumen Diario'!$B$5:$B$504, B463, '📅 Resumen Diario'!$C$5:$C$504, D463) * SUMIFS('📅 Resumen Diario'!$K$5:$K$504, '📅 Resumen Diario'!$B$5:$B$504, B463, '📅 Resumen Diario'!$C$5:$C$504, D463), 0))</f>
        <v/>
      </c>
      <c r="M463" s="31" t="str">
        <f t="shared" si="52"/>
        <v/>
      </c>
      <c r="N463" s="31" t="str">
        <f t="shared" si="53"/>
        <v/>
      </c>
      <c r="O463" s="31" t="str">
        <f>IF(OR(B463="",C463=""),"",K463-N463 + IFERROR(E463 / SUMIFS('📅 Resumen Diario'!$D$5:$D$504, '📅 Resumen Diario'!$B$5:$B$504, B463, '📅 Resumen Diario'!$C$5:$C$504, D463) * (SUMIFS('📋 Detalle Diario'!$E$5:$E$489, '📋 Detalle Diario'!$B$5:$B$489, B463, '📋 Detalle Diario'!$C$5:$C$489, D463) * 135 + SUMIFS('📋 Detalle Diario'!$I$5:$I$489, '📋 Detalle Diario'!$B$5:$B$489, B463, '📋 Detalle Diario'!$C$5:$C$489, D463) * 200), 0))</f>
        <v/>
      </c>
      <c r="P463" s="32" t="str">
        <f t="shared" si="54"/>
        <v/>
      </c>
      <c r="Q463" s="33" t="str">
        <f t="shared" si="55"/>
        <v/>
      </c>
    </row>
    <row r="464" spans="2:17" ht="18" customHeight="1" x14ac:dyDescent="0.3">
      <c r="B464" s="26"/>
      <c r="C464" s="17"/>
      <c r="D464" s="27"/>
      <c r="E464" s="18"/>
      <c r="F464" s="18"/>
      <c r="G464" s="18"/>
      <c r="H464" s="30" t="str">
        <f t="shared" si="49"/>
        <v/>
      </c>
      <c r="I464" s="31" t="str">
        <f>IF(OR(B464="",C464=""),"",IFERROR(E464*IF(E464="",0,VLOOKUP(C464,'📦 Precios Proforma'!$B$5:$D$104,IF(D464="DIA",2,3),FALSE)),0))</f>
        <v/>
      </c>
      <c r="J464" s="31" t="str">
        <f t="shared" si="50"/>
        <v/>
      </c>
      <c r="K464" s="31" t="str">
        <f t="shared" si="51"/>
        <v/>
      </c>
      <c r="L464" s="31" t="str">
        <f>IF(OR(B464="",C464=""),"",IFERROR(E464 / SUMIFS('📅 Resumen Diario'!$D$5:$D$504, '📅 Resumen Diario'!$B$5:$B$504, B464, '📅 Resumen Diario'!$C$5:$C$504, D464) * SUMIFS('📅 Resumen Diario'!$K$5:$K$504, '📅 Resumen Diario'!$B$5:$B$504, B464, '📅 Resumen Diario'!$C$5:$C$504, D464), 0))</f>
        <v/>
      </c>
      <c r="M464" s="31" t="str">
        <f t="shared" si="52"/>
        <v/>
      </c>
      <c r="N464" s="31" t="str">
        <f t="shared" si="53"/>
        <v/>
      </c>
      <c r="O464" s="31" t="str">
        <f>IF(OR(B464="",C464=""),"",K464-N464 + IFERROR(E464 / SUMIFS('📅 Resumen Diario'!$D$5:$D$504, '📅 Resumen Diario'!$B$5:$B$504, B464, '📅 Resumen Diario'!$C$5:$C$504, D464) * (SUMIFS('📋 Detalle Diario'!$E$5:$E$489, '📋 Detalle Diario'!$B$5:$B$489, B464, '📋 Detalle Diario'!$C$5:$C$489, D464) * 135 + SUMIFS('📋 Detalle Diario'!$I$5:$I$489, '📋 Detalle Diario'!$B$5:$B$489, B464, '📋 Detalle Diario'!$C$5:$C$489, D464) * 200), 0))</f>
        <v/>
      </c>
      <c r="P464" s="32" t="str">
        <f t="shared" si="54"/>
        <v/>
      </c>
      <c r="Q464" s="33" t="str">
        <f t="shared" si="55"/>
        <v/>
      </c>
    </row>
    <row r="465" spans="2:17" ht="18" customHeight="1" x14ac:dyDescent="0.3">
      <c r="B465" s="26"/>
      <c r="C465" s="28"/>
      <c r="D465" s="27"/>
      <c r="E465" s="29"/>
      <c r="F465" s="29"/>
      <c r="G465" s="29"/>
      <c r="H465" s="30" t="str">
        <f t="shared" si="49"/>
        <v/>
      </c>
      <c r="I465" s="31" t="str">
        <f>IF(OR(B465="",C465=""),"",IFERROR(E465*IF(E465="",0,VLOOKUP(C465,'📦 Precios Proforma'!$B$5:$D$104,IF(D465="DIA",2,3),FALSE)),0))</f>
        <v/>
      </c>
      <c r="J465" s="31" t="str">
        <f t="shared" si="50"/>
        <v/>
      </c>
      <c r="K465" s="31" t="str">
        <f t="shared" si="51"/>
        <v/>
      </c>
      <c r="L465" s="31" t="str">
        <f>IF(OR(B465="",C465=""),"",IFERROR(E465 / SUMIFS('📅 Resumen Diario'!$D$5:$D$504, '📅 Resumen Diario'!$B$5:$B$504, B465, '📅 Resumen Diario'!$C$5:$C$504, D465) * SUMIFS('📅 Resumen Diario'!$K$5:$K$504, '📅 Resumen Diario'!$B$5:$B$504, B465, '📅 Resumen Diario'!$C$5:$C$504, D465), 0))</f>
        <v/>
      </c>
      <c r="M465" s="31" t="str">
        <f t="shared" si="52"/>
        <v/>
      </c>
      <c r="N465" s="31" t="str">
        <f t="shared" si="53"/>
        <v/>
      </c>
      <c r="O465" s="31" t="str">
        <f>IF(OR(B465="",C465=""),"",K465-N465 + IFERROR(E465 / SUMIFS('📅 Resumen Diario'!$D$5:$D$504, '📅 Resumen Diario'!$B$5:$B$504, B465, '📅 Resumen Diario'!$C$5:$C$504, D465) * (SUMIFS('📋 Detalle Diario'!$E$5:$E$489, '📋 Detalle Diario'!$B$5:$B$489, B465, '📋 Detalle Diario'!$C$5:$C$489, D465) * 135 + SUMIFS('📋 Detalle Diario'!$I$5:$I$489, '📋 Detalle Diario'!$B$5:$B$489, B465, '📋 Detalle Diario'!$C$5:$C$489, D465) * 200), 0))</f>
        <v/>
      </c>
      <c r="P465" s="32" t="str">
        <f t="shared" si="54"/>
        <v/>
      </c>
      <c r="Q465" s="33" t="str">
        <f t="shared" si="55"/>
        <v/>
      </c>
    </row>
    <row r="466" spans="2:17" ht="18" customHeight="1" x14ac:dyDescent="0.3">
      <c r="B466" s="26"/>
      <c r="C466" s="17"/>
      <c r="D466" s="27"/>
      <c r="E466" s="18"/>
      <c r="F466" s="18"/>
      <c r="G466" s="18"/>
      <c r="H466" s="30" t="str">
        <f t="shared" si="49"/>
        <v/>
      </c>
      <c r="I466" s="31" t="str">
        <f>IF(OR(B466="",C466=""),"",IFERROR(E466*IF(E466="",0,VLOOKUP(C466,'📦 Precios Proforma'!$B$5:$D$104,IF(D466="DIA",2,3),FALSE)),0))</f>
        <v/>
      </c>
      <c r="J466" s="31" t="str">
        <f t="shared" si="50"/>
        <v/>
      </c>
      <c r="K466" s="31" t="str">
        <f t="shared" si="51"/>
        <v/>
      </c>
      <c r="L466" s="31" t="str">
        <f>IF(OR(B466="",C466=""),"",IFERROR(E466 / SUMIFS('📅 Resumen Diario'!$D$5:$D$504, '📅 Resumen Diario'!$B$5:$B$504, B466, '📅 Resumen Diario'!$C$5:$C$504, D466) * SUMIFS('📅 Resumen Diario'!$K$5:$K$504, '📅 Resumen Diario'!$B$5:$B$504, B466, '📅 Resumen Diario'!$C$5:$C$504, D466), 0))</f>
        <v/>
      </c>
      <c r="M466" s="31" t="str">
        <f t="shared" si="52"/>
        <v/>
      </c>
      <c r="N466" s="31" t="str">
        <f t="shared" si="53"/>
        <v/>
      </c>
      <c r="O466" s="31" t="str">
        <f>IF(OR(B466="",C466=""),"",K466-N466 + IFERROR(E466 / SUMIFS('📅 Resumen Diario'!$D$5:$D$504, '📅 Resumen Diario'!$B$5:$B$504, B466, '📅 Resumen Diario'!$C$5:$C$504, D466) * (SUMIFS('📋 Detalle Diario'!$E$5:$E$489, '📋 Detalle Diario'!$B$5:$B$489, B466, '📋 Detalle Diario'!$C$5:$C$489, D466) * 135 + SUMIFS('📋 Detalle Diario'!$I$5:$I$489, '📋 Detalle Diario'!$B$5:$B$489, B466, '📋 Detalle Diario'!$C$5:$C$489, D466) * 200), 0))</f>
        <v/>
      </c>
      <c r="P466" s="32" t="str">
        <f t="shared" si="54"/>
        <v/>
      </c>
      <c r="Q466" s="33" t="str">
        <f t="shared" si="55"/>
        <v/>
      </c>
    </row>
    <row r="467" spans="2:17" ht="18" customHeight="1" x14ac:dyDescent="0.3">
      <c r="B467" s="26"/>
      <c r="C467" s="28"/>
      <c r="D467" s="27"/>
      <c r="E467" s="29"/>
      <c r="F467" s="29"/>
      <c r="G467" s="29"/>
      <c r="H467" s="30" t="str">
        <f t="shared" si="49"/>
        <v/>
      </c>
      <c r="I467" s="31" t="str">
        <f>IF(OR(B467="",C467=""),"",IFERROR(E467*IF(E467="",0,VLOOKUP(C467,'📦 Precios Proforma'!$B$5:$D$104,IF(D467="DIA",2,3),FALSE)),0))</f>
        <v/>
      </c>
      <c r="J467" s="31" t="str">
        <f t="shared" si="50"/>
        <v/>
      </c>
      <c r="K467" s="31" t="str">
        <f t="shared" si="51"/>
        <v/>
      </c>
      <c r="L467" s="31" t="str">
        <f>IF(OR(B467="",C467=""),"",IFERROR(E467 / SUMIFS('📅 Resumen Diario'!$D$5:$D$504, '📅 Resumen Diario'!$B$5:$B$504, B467, '📅 Resumen Diario'!$C$5:$C$504, D467) * SUMIFS('📅 Resumen Diario'!$K$5:$K$504, '📅 Resumen Diario'!$B$5:$B$504, B467, '📅 Resumen Diario'!$C$5:$C$504, D467), 0))</f>
        <v/>
      </c>
      <c r="M467" s="31" t="str">
        <f t="shared" si="52"/>
        <v/>
      </c>
      <c r="N467" s="31" t="str">
        <f t="shared" si="53"/>
        <v/>
      </c>
      <c r="O467" s="31" t="str">
        <f>IF(OR(B467="",C467=""),"",K467-N467 + IFERROR(E467 / SUMIFS('📅 Resumen Diario'!$D$5:$D$504, '📅 Resumen Diario'!$B$5:$B$504, B467, '📅 Resumen Diario'!$C$5:$C$504, D467) * (SUMIFS('📋 Detalle Diario'!$E$5:$E$489, '📋 Detalle Diario'!$B$5:$B$489, B467, '📋 Detalle Diario'!$C$5:$C$489, D467) * 135 + SUMIFS('📋 Detalle Diario'!$I$5:$I$489, '📋 Detalle Diario'!$B$5:$B$489, B467, '📋 Detalle Diario'!$C$5:$C$489, D467) * 200), 0))</f>
        <v/>
      </c>
      <c r="P467" s="32" t="str">
        <f t="shared" si="54"/>
        <v/>
      </c>
      <c r="Q467" s="33" t="str">
        <f t="shared" si="55"/>
        <v/>
      </c>
    </row>
    <row r="468" spans="2:17" ht="18" customHeight="1" x14ac:dyDescent="0.3">
      <c r="B468" s="26"/>
      <c r="C468" s="17"/>
      <c r="D468" s="27"/>
      <c r="E468" s="18"/>
      <c r="F468" s="18"/>
      <c r="G468" s="18"/>
      <c r="H468" s="30" t="str">
        <f t="shared" si="49"/>
        <v/>
      </c>
      <c r="I468" s="31" t="str">
        <f>IF(OR(B468="",C468=""),"",IFERROR(E468*IF(E468="",0,VLOOKUP(C468,'📦 Precios Proforma'!$B$5:$D$104,IF(D468="DIA",2,3),FALSE)),0))</f>
        <v/>
      </c>
      <c r="J468" s="31" t="str">
        <f t="shared" si="50"/>
        <v/>
      </c>
      <c r="K468" s="31" t="str">
        <f t="shared" si="51"/>
        <v/>
      </c>
      <c r="L468" s="31" t="str">
        <f>IF(OR(B468="",C468=""),"",IFERROR(E468 / SUMIFS('📅 Resumen Diario'!$D$5:$D$504, '📅 Resumen Diario'!$B$5:$B$504, B468, '📅 Resumen Diario'!$C$5:$C$504, D468) * SUMIFS('📅 Resumen Diario'!$K$5:$K$504, '📅 Resumen Diario'!$B$5:$B$504, B468, '📅 Resumen Diario'!$C$5:$C$504, D468), 0))</f>
        <v/>
      </c>
      <c r="M468" s="31" t="str">
        <f t="shared" si="52"/>
        <v/>
      </c>
      <c r="N468" s="31" t="str">
        <f t="shared" si="53"/>
        <v/>
      </c>
      <c r="O468" s="31" t="str">
        <f>IF(OR(B468="",C468=""),"",K468-N468 + IFERROR(E468 / SUMIFS('📅 Resumen Diario'!$D$5:$D$504, '📅 Resumen Diario'!$B$5:$B$504, B468, '📅 Resumen Diario'!$C$5:$C$504, D468) * (SUMIFS('📋 Detalle Diario'!$E$5:$E$489, '📋 Detalle Diario'!$B$5:$B$489, B468, '📋 Detalle Diario'!$C$5:$C$489, D468) * 135 + SUMIFS('📋 Detalle Diario'!$I$5:$I$489, '📋 Detalle Diario'!$B$5:$B$489, B468, '📋 Detalle Diario'!$C$5:$C$489, D468) * 200), 0))</f>
        <v/>
      </c>
      <c r="P468" s="32" t="str">
        <f t="shared" si="54"/>
        <v/>
      </c>
      <c r="Q468" s="33" t="str">
        <f t="shared" si="55"/>
        <v/>
      </c>
    </row>
    <row r="469" spans="2:17" ht="18" customHeight="1" x14ac:dyDescent="0.3">
      <c r="B469" s="26"/>
      <c r="C469" s="28"/>
      <c r="D469" s="27"/>
      <c r="E469" s="29"/>
      <c r="F469" s="29"/>
      <c r="G469" s="29"/>
      <c r="H469" s="30" t="str">
        <f t="shared" si="49"/>
        <v/>
      </c>
      <c r="I469" s="31" t="str">
        <f>IF(OR(B469="",C469=""),"",IFERROR(E469*IF(E469="",0,VLOOKUP(C469,'📦 Precios Proforma'!$B$5:$D$104,IF(D469="DIA",2,3),FALSE)),0))</f>
        <v/>
      </c>
      <c r="J469" s="31" t="str">
        <f t="shared" si="50"/>
        <v/>
      </c>
      <c r="K469" s="31" t="str">
        <f t="shared" si="51"/>
        <v/>
      </c>
      <c r="L469" s="31" t="str">
        <f>IF(OR(B469="",C469=""),"",IFERROR(E469 / SUMIFS('📅 Resumen Diario'!$D$5:$D$504, '📅 Resumen Diario'!$B$5:$B$504, B469, '📅 Resumen Diario'!$C$5:$C$504, D469) * SUMIFS('📅 Resumen Diario'!$K$5:$K$504, '📅 Resumen Diario'!$B$5:$B$504, B469, '📅 Resumen Diario'!$C$5:$C$504, D469), 0))</f>
        <v/>
      </c>
      <c r="M469" s="31" t="str">
        <f t="shared" si="52"/>
        <v/>
      </c>
      <c r="N469" s="31" t="str">
        <f t="shared" si="53"/>
        <v/>
      </c>
      <c r="O469" s="31" t="str">
        <f>IF(OR(B469="",C469=""),"",K469-N469 + IFERROR(E469 / SUMIFS('📅 Resumen Diario'!$D$5:$D$504, '📅 Resumen Diario'!$B$5:$B$504, B469, '📅 Resumen Diario'!$C$5:$C$504, D469) * (SUMIFS('📋 Detalle Diario'!$E$5:$E$489, '📋 Detalle Diario'!$B$5:$B$489, B469, '📋 Detalle Diario'!$C$5:$C$489, D469) * 135 + SUMIFS('📋 Detalle Diario'!$I$5:$I$489, '📋 Detalle Diario'!$B$5:$B$489, B469, '📋 Detalle Diario'!$C$5:$C$489, D469) * 200), 0))</f>
        <v/>
      </c>
      <c r="P469" s="32" t="str">
        <f t="shared" si="54"/>
        <v/>
      </c>
      <c r="Q469" s="33" t="str">
        <f t="shared" si="55"/>
        <v/>
      </c>
    </row>
    <row r="470" spans="2:17" ht="18" customHeight="1" x14ac:dyDescent="0.3">
      <c r="B470" s="26"/>
      <c r="C470" s="17"/>
      <c r="D470" s="27"/>
      <c r="E470" s="18"/>
      <c r="F470" s="18"/>
      <c r="G470" s="18"/>
      <c r="H470" s="30" t="str">
        <f t="shared" si="49"/>
        <v/>
      </c>
      <c r="I470" s="31" t="str">
        <f>IF(OR(B470="",C470=""),"",IFERROR(E470*IF(E470="",0,VLOOKUP(C470,'📦 Precios Proforma'!$B$5:$D$104,IF(D470="DIA",2,3),FALSE)),0))</f>
        <v/>
      </c>
      <c r="J470" s="31" t="str">
        <f t="shared" si="50"/>
        <v/>
      </c>
      <c r="K470" s="31" t="str">
        <f t="shared" si="51"/>
        <v/>
      </c>
      <c r="L470" s="31" t="str">
        <f>IF(OR(B470="",C470=""),"",IFERROR(E470 / SUMIFS('📅 Resumen Diario'!$D$5:$D$504, '📅 Resumen Diario'!$B$5:$B$504, B470, '📅 Resumen Diario'!$C$5:$C$504, D470) * SUMIFS('📅 Resumen Diario'!$K$5:$K$504, '📅 Resumen Diario'!$B$5:$B$504, B470, '📅 Resumen Diario'!$C$5:$C$504, D470), 0))</f>
        <v/>
      </c>
      <c r="M470" s="31" t="str">
        <f t="shared" si="52"/>
        <v/>
      </c>
      <c r="N470" s="31" t="str">
        <f t="shared" si="53"/>
        <v/>
      </c>
      <c r="O470" s="31" t="str">
        <f>IF(OR(B470="",C470=""),"",K470-N470 + IFERROR(E470 / SUMIFS('📅 Resumen Diario'!$D$5:$D$504, '📅 Resumen Diario'!$B$5:$B$504, B470, '📅 Resumen Diario'!$C$5:$C$504, D470) * (SUMIFS('📋 Detalle Diario'!$E$5:$E$489, '📋 Detalle Diario'!$B$5:$B$489, B470, '📋 Detalle Diario'!$C$5:$C$489, D470) * 135 + SUMIFS('📋 Detalle Diario'!$I$5:$I$489, '📋 Detalle Diario'!$B$5:$B$489, B470, '📋 Detalle Diario'!$C$5:$C$489, D470) * 200), 0))</f>
        <v/>
      </c>
      <c r="P470" s="32" t="str">
        <f t="shared" si="54"/>
        <v/>
      </c>
      <c r="Q470" s="33" t="str">
        <f t="shared" si="55"/>
        <v/>
      </c>
    </row>
    <row r="471" spans="2:17" ht="18" customHeight="1" x14ac:dyDescent="0.3">
      <c r="B471" s="26"/>
      <c r="C471" s="28"/>
      <c r="D471" s="27"/>
      <c r="E471" s="29"/>
      <c r="F471" s="29"/>
      <c r="G471" s="29"/>
      <c r="H471" s="30" t="str">
        <f t="shared" si="49"/>
        <v/>
      </c>
      <c r="I471" s="31" t="str">
        <f>IF(OR(B471="",C471=""),"",IFERROR(E471*IF(E471="",0,VLOOKUP(C471,'📦 Precios Proforma'!$B$5:$D$104,IF(D471="DIA",2,3),FALSE)),0))</f>
        <v/>
      </c>
      <c r="J471" s="31" t="str">
        <f t="shared" si="50"/>
        <v/>
      </c>
      <c r="K471" s="31" t="str">
        <f t="shared" si="51"/>
        <v/>
      </c>
      <c r="L471" s="31" t="str">
        <f>IF(OR(B471="",C471=""),"",IFERROR(E471 / SUMIFS('📅 Resumen Diario'!$D$5:$D$504, '📅 Resumen Diario'!$B$5:$B$504, B471, '📅 Resumen Diario'!$C$5:$C$504, D471) * SUMIFS('📅 Resumen Diario'!$K$5:$K$504, '📅 Resumen Diario'!$B$5:$B$504, B471, '📅 Resumen Diario'!$C$5:$C$504, D471), 0))</f>
        <v/>
      </c>
      <c r="M471" s="31" t="str">
        <f t="shared" si="52"/>
        <v/>
      </c>
      <c r="N471" s="31" t="str">
        <f t="shared" si="53"/>
        <v/>
      </c>
      <c r="O471" s="31" t="str">
        <f>IF(OR(B471="",C471=""),"",K471-N471 + IFERROR(E471 / SUMIFS('📅 Resumen Diario'!$D$5:$D$504, '📅 Resumen Diario'!$B$5:$B$504, B471, '📅 Resumen Diario'!$C$5:$C$504, D471) * (SUMIFS('📋 Detalle Diario'!$E$5:$E$489, '📋 Detalle Diario'!$B$5:$B$489, B471, '📋 Detalle Diario'!$C$5:$C$489, D471) * 135 + SUMIFS('📋 Detalle Diario'!$I$5:$I$489, '📋 Detalle Diario'!$B$5:$B$489, B471, '📋 Detalle Diario'!$C$5:$C$489, D471) * 200), 0))</f>
        <v/>
      </c>
      <c r="P471" s="32" t="str">
        <f t="shared" si="54"/>
        <v/>
      </c>
      <c r="Q471" s="33" t="str">
        <f t="shared" si="55"/>
        <v/>
      </c>
    </row>
    <row r="472" spans="2:17" ht="18" customHeight="1" x14ac:dyDescent="0.3">
      <c r="B472" s="26"/>
      <c r="C472" s="17"/>
      <c r="D472" s="27"/>
      <c r="E472" s="18"/>
      <c r="F472" s="18"/>
      <c r="G472" s="18"/>
      <c r="H472" s="30" t="str">
        <f t="shared" si="49"/>
        <v/>
      </c>
      <c r="I472" s="31" t="str">
        <f>IF(OR(B472="",C472=""),"",IFERROR(E472*IF(E472="",0,VLOOKUP(C472,'📦 Precios Proforma'!$B$5:$D$104,IF(D472="DIA",2,3),FALSE)),0))</f>
        <v/>
      </c>
      <c r="J472" s="31" t="str">
        <f t="shared" si="50"/>
        <v/>
      </c>
      <c r="K472" s="31" t="str">
        <f t="shared" si="51"/>
        <v/>
      </c>
      <c r="L472" s="31" t="str">
        <f>IF(OR(B472="",C472=""),"",IFERROR(E472 / SUMIFS('📅 Resumen Diario'!$D$5:$D$504, '📅 Resumen Diario'!$B$5:$B$504, B472, '📅 Resumen Diario'!$C$5:$C$504, D472) * SUMIFS('📅 Resumen Diario'!$K$5:$K$504, '📅 Resumen Diario'!$B$5:$B$504, B472, '📅 Resumen Diario'!$C$5:$C$504, D472), 0))</f>
        <v/>
      </c>
      <c r="M472" s="31" t="str">
        <f t="shared" si="52"/>
        <v/>
      </c>
      <c r="N472" s="31" t="str">
        <f t="shared" si="53"/>
        <v/>
      </c>
      <c r="O472" s="31" t="str">
        <f>IF(OR(B472="",C472=""),"",K472-N472 + IFERROR(E472 / SUMIFS('📅 Resumen Diario'!$D$5:$D$504, '📅 Resumen Diario'!$B$5:$B$504, B472, '📅 Resumen Diario'!$C$5:$C$504, D472) * (SUMIFS('📋 Detalle Diario'!$E$5:$E$489, '📋 Detalle Diario'!$B$5:$B$489, B472, '📋 Detalle Diario'!$C$5:$C$489, D472) * 135 + SUMIFS('📋 Detalle Diario'!$I$5:$I$489, '📋 Detalle Diario'!$B$5:$B$489, B472, '📋 Detalle Diario'!$C$5:$C$489, D472) * 200), 0))</f>
        <v/>
      </c>
      <c r="P472" s="32" t="str">
        <f t="shared" si="54"/>
        <v/>
      </c>
      <c r="Q472" s="33" t="str">
        <f t="shared" si="55"/>
        <v/>
      </c>
    </row>
    <row r="473" spans="2:17" ht="18" customHeight="1" x14ac:dyDescent="0.3">
      <c r="B473" s="26"/>
      <c r="C473" s="28"/>
      <c r="D473" s="27"/>
      <c r="E473" s="29"/>
      <c r="F473" s="29"/>
      <c r="G473" s="29"/>
      <c r="H473" s="30" t="str">
        <f t="shared" si="49"/>
        <v/>
      </c>
      <c r="I473" s="31" t="str">
        <f>IF(OR(B473="",C473=""),"",IFERROR(E473*IF(E473="",0,VLOOKUP(C473,'📦 Precios Proforma'!$B$5:$D$104,IF(D473="DIA",2,3),FALSE)),0))</f>
        <v/>
      </c>
      <c r="J473" s="31" t="str">
        <f t="shared" si="50"/>
        <v/>
      </c>
      <c r="K473" s="31" t="str">
        <f t="shared" si="51"/>
        <v/>
      </c>
      <c r="L473" s="31" t="str">
        <f>IF(OR(B473="",C473=""),"",IFERROR(E473 / SUMIFS('📅 Resumen Diario'!$D$5:$D$504, '📅 Resumen Diario'!$B$5:$B$504, B473, '📅 Resumen Diario'!$C$5:$C$504, D473) * SUMIFS('📅 Resumen Diario'!$K$5:$K$504, '📅 Resumen Diario'!$B$5:$B$504, B473, '📅 Resumen Diario'!$C$5:$C$504, D473), 0))</f>
        <v/>
      </c>
      <c r="M473" s="31" t="str">
        <f t="shared" si="52"/>
        <v/>
      </c>
      <c r="N473" s="31" t="str">
        <f t="shared" si="53"/>
        <v/>
      </c>
      <c r="O473" s="31" t="str">
        <f>IF(OR(B473="",C473=""),"",K473-N473 + IFERROR(E473 / SUMIFS('📅 Resumen Diario'!$D$5:$D$504, '📅 Resumen Diario'!$B$5:$B$504, B473, '📅 Resumen Diario'!$C$5:$C$504, D473) * (SUMIFS('📋 Detalle Diario'!$E$5:$E$489, '📋 Detalle Diario'!$B$5:$B$489, B473, '📋 Detalle Diario'!$C$5:$C$489, D473) * 135 + SUMIFS('📋 Detalle Diario'!$I$5:$I$489, '📋 Detalle Diario'!$B$5:$B$489, B473, '📋 Detalle Diario'!$C$5:$C$489, D473) * 200), 0))</f>
        <v/>
      </c>
      <c r="P473" s="32" t="str">
        <f t="shared" si="54"/>
        <v/>
      </c>
      <c r="Q473" s="33" t="str">
        <f t="shared" si="55"/>
        <v/>
      </c>
    </row>
    <row r="474" spans="2:17" ht="18" customHeight="1" x14ac:dyDescent="0.3">
      <c r="B474" s="26"/>
      <c r="C474" s="17"/>
      <c r="D474" s="27"/>
      <c r="E474" s="18"/>
      <c r="F474" s="18"/>
      <c r="G474" s="18"/>
      <c r="H474" s="30" t="str">
        <f t="shared" si="49"/>
        <v/>
      </c>
      <c r="I474" s="31" t="str">
        <f>IF(OR(B474="",C474=""),"",IFERROR(E474*IF(E474="",0,VLOOKUP(C474,'📦 Precios Proforma'!$B$5:$D$104,IF(D474="DIA",2,3),FALSE)),0))</f>
        <v/>
      </c>
      <c r="J474" s="31" t="str">
        <f t="shared" si="50"/>
        <v/>
      </c>
      <c r="K474" s="31" t="str">
        <f t="shared" si="51"/>
        <v/>
      </c>
      <c r="L474" s="31" t="str">
        <f>IF(OR(B474="",C474=""),"",IFERROR(E474 / SUMIFS('📅 Resumen Diario'!$D$5:$D$504, '📅 Resumen Diario'!$B$5:$B$504, B474, '📅 Resumen Diario'!$C$5:$C$504, D474) * SUMIFS('📅 Resumen Diario'!$K$5:$K$504, '📅 Resumen Diario'!$B$5:$B$504, B474, '📅 Resumen Diario'!$C$5:$C$504, D474), 0))</f>
        <v/>
      </c>
      <c r="M474" s="31" t="str">
        <f t="shared" si="52"/>
        <v/>
      </c>
      <c r="N474" s="31" t="str">
        <f t="shared" si="53"/>
        <v/>
      </c>
      <c r="O474" s="31" t="str">
        <f>IF(OR(B474="",C474=""),"",K474-N474 + IFERROR(E474 / SUMIFS('📅 Resumen Diario'!$D$5:$D$504, '📅 Resumen Diario'!$B$5:$B$504, B474, '📅 Resumen Diario'!$C$5:$C$504, D474) * (SUMIFS('📋 Detalle Diario'!$E$5:$E$489, '📋 Detalle Diario'!$B$5:$B$489, B474, '📋 Detalle Diario'!$C$5:$C$489, D474) * 135 + SUMIFS('📋 Detalle Diario'!$I$5:$I$489, '📋 Detalle Diario'!$B$5:$B$489, B474, '📋 Detalle Diario'!$C$5:$C$489, D474) * 200), 0))</f>
        <v/>
      </c>
      <c r="P474" s="32" t="str">
        <f t="shared" si="54"/>
        <v/>
      </c>
      <c r="Q474" s="33" t="str">
        <f t="shared" si="55"/>
        <v/>
      </c>
    </row>
    <row r="475" spans="2:17" ht="18" customHeight="1" x14ac:dyDescent="0.3">
      <c r="B475" s="26"/>
      <c r="C475" s="28"/>
      <c r="D475" s="27"/>
      <c r="E475" s="29"/>
      <c r="F475" s="29"/>
      <c r="G475" s="29"/>
      <c r="H475" s="30" t="str">
        <f t="shared" si="49"/>
        <v/>
      </c>
      <c r="I475" s="31" t="str">
        <f>IF(OR(B475="",C475=""),"",IFERROR(E475*IF(E475="",0,VLOOKUP(C475,'📦 Precios Proforma'!$B$5:$D$104,IF(D475="DIA",2,3),FALSE)),0))</f>
        <v/>
      </c>
      <c r="J475" s="31" t="str">
        <f t="shared" si="50"/>
        <v/>
      </c>
      <c r="K475" s="31" t="str">
        <f t="shared" si="51"/>
        <v/>
      </c>
      <c r="L475" s="31" t="str">
        <f>IF(OR(B475="",C475=""),"",IFERROR(E475 / SUMIFS('📅 Resumen Diario'!$D$5:$D$504, '📅 Resumen Diario'!$B$5:$B$504, B475, '📅 Resumen Diario'!$C$5:$C$504, D475) * SUMIFS('📅 Resumen Diario'!$K$5:$K$504, '📅 Resumen Diario'!$B$5:$B$504, B475, '📅 Resumen Diario'!$C$5:$C$504, D475), 0))</f>
        <v/>
      </c>
      <c r="M475" s="31" t="str">
        <f t="shared" si="52"/>
        <v/>
      </c>
      <c r="N475" s="31" t="str">
        <f t="shared" si="53"/>
        <v/>
      </c>
      <c r="O475" s="31" t="str">
        <f>IF(OR(B475="",C475=""),"",K475-N475 + IFERROR(E475 / SUMIFS('📅 Resumen Diario'!$D$5:$D$504, '📅 Resumen Diario'!$B$5:$B$504, B475, '📅 Resumen Diario'!$C$5:$C$504, D475) * (SUMIFS('📋 Detalle Diario'!$E$5:$E$489, '📋 Detalle Diario'!$B$5:$B$489, B475, '📋 Detalle Diario'!$C$5:$C$489, D475) * 135 + SUMIFS('📋 Detalle Diario'!$I$5:$I$489, '📋 Detalle Diario'!$B$5:$B$489, B475, '📋 Detalle Diario'!$C$5:$C$489, D475) * 200), 0))</f>
        <v/>
      </c>
      <c r="P475" s="32" t="str">
        <f t="shared" si="54"/>
        <v/>
      </c>
      <c r="Q475" s="33" t="str">
        <f t="shared" si="55"/>
        <v/>
      </c>
    </row>
    <row r="476" spans="2:17" ht="18" customHeight="1" x14ac:dyDescent="0.3">
      <c r="B476" s="26"/>
      <c r="C476" s="17"/>
      <c r="D476" s="27"/>
      <c r="E476" s="18"/>
      <c r="F476" s="18"/>
      <c r="G476" s="18"/>
      <c r="H476" s="30" t="str">
        <f t="shared" si="49"/>
        <v/>
      </c>
      <c r="I476" s="31" t="str">
        <f>IF(OR(B476="",C476=""),"",IFERROR(E476*IF(E476="",0,VLOOKUP(C476,'📦 Precios Proforma'!$B$5:$D$104,IF(D476="DIA",2,3),FALSE)),0))</f>
        <v/>
      </c>
      <c r="J476" s="31" t="str">
        <f t="shared" si="50"/>
        <v/>
      </c>
      <c r="K476" s="31" t="str">
        <f t="shared" si="51"/>
        <v/>
      </c>
      <c r="L476" s="31" t="str">
        <f>IF(OR(B476="",C476=""),"",IFERROR(E476 / SUMIFS('📅 Resumen Diario'!$D$5:$D$504, '📅 Resumen Diario'!$B$5:$B$504, B476, '📅 Resumen Diario'!$C$5:$C$504, D476) * SUMIFS('📅 Resumen Diario'!$K$5:$K$504, '📅 Resumen Diario'!$B$5:$B$504, B476, '📅 Resumen Diario'!$C$5:$C$504, D476), 0))</f>
        <v/>
      </c>
      <c r="M476" s="31" t="str">
        <f t="shared" si="52"/>
        <v/>
      </c>
      <c r="N476" s="31" t="str">
        <f t="shared" si="53"/>
        <v/>
      </c>
      <c r="O476" s="31" t="str">
        <f>IF(OR(B476="",C476=""),"",K476-N476 + IFERROR(E476 / SUMIFS('📅 Resumen Diario'!$D$5:$D$504, '📅 Resumen Diario'!$B$5:$B$504, B476, '📅 Resumen Diario'!$C$5:$C$504, D476) * (SUMIFS('📋 Detalle Diario'!$E$5:$E$489, '📋 Detalle Diario'!$B$5:$B$489, B476, '📋 Detalle Diario'!$C$5:$C$489, D476) * 135 + SUMIFS('📋 Detalle Diario'!$I$5:$I$489, '📋 Detalle Diario'!$B$5:$B$489, B476, '📋 Detalle Diario'!$C$5:$C$489, D476) * 200), 0))</f>
        <v/>
      </c>
      <c r="P476" s="32" t="str">
        <f t="shared" si="54"/>
        <v/>
      </c>
      <c r="Q476" s="33" t="str">
        <f t="shared" si="55"/>
        <v/>
      </c>
    </row>
    <row r="477" spans="2:17" ht="18" customHeight="1" x14ac:dyDescent="0.3">
      <c r="B477" s="26"/>
      <c r="C477" s="28"/>
      <c r="D477" s="27"/>
      <c r="E477" s="29"/>
      <c r="F477" s="29"/>
      <c r="G477" s="29"/>
      <c r="H477" s="30" t="str">
        <f t="shared" si="49"/>
        <v/>
      </c>
      <c r="I477" s="31" t="str">
        <f>IF(OR(B477="",C477=""),"",IFERROR(E477*IF(E477="",0,VLOOKUP(C477,'📦 Precios Proforma'!$B$5:$D$104,IF(D477="DIA",2,3),FALSE)),0))</f>
        <v/>
      </c>
      <c r="J477" s="31" t="str">
        <f t="shared" si="50"/>
        <v/>
      </c>
      <c r="K477" s="31" t="str">
        <f t="shared" si="51"/>
        <v/>
      </c>
      <c r="L477" s="31" t="str">
        <f>IF(OR(B477="",C477=""),"",IFERROR(E477 / SUMIFS('📅 Resumen Diario'!$D$5:$D$504, '📅 Resumen Diario'!$B$5:$B$504, B477, '📅 Resumen Diario'!$C$5:$C$504, D477) * SUMIFS('📅 Resumen Diario'!$K$5:$K$504, '📅 Resumen Diario'!$B$5:$B$504, B477, '📅 Resumen Diario'!$C$5:$C$504, D477), 0))</f>
        <v/>
      </c>
      <c r="M477" s="31" t="str">
        <f t="shared" si="52"/>
        <v/>
      </c>
      <c r="N477" s="31" t="str">
        <f t="shared" si="53"/>
        <v/>
      </c>
      <c r="O477" s="31" t="str">
        <f>IF(OR(B477="",C477=""),"",K477-N477 + IFERROR(E477 / SUMIFS('📅 Resumen Diario'!$D$5:$D$504, '📅 Resumen Diario'!$B$5:$B$504, B477, '📅 Resumen Diario'!$C$5:$C$504, D477) * (SUMIFS('📋 Detalle Diario'!$E$5:$E$489, '📋 Detalle Diario'!$B$5:$B$489, B477, '📋 Detalle Diario'!$C$5:$C$489, D477) * 135 + SUMIFS('📋 Detalle Diario'!$I$5:$I$489, '📋 Detalle Diario'!$B$5:$B$489, B477, '📋 Detalle Diario'!$C$5:$C$489, D477) * 200), 0))</f>
        <v/>
      </c>
      <c r="P477" s="32" t="str">
        <f t="shared" si="54"/>
        <v/>
      </c>
      <c r="Q477" s="33" t="str">
        <f t="shared" si="55"/>
        <v/>
      </c>
    </row>
    <row r="478" spans="2:17" ht="18" customHeight="1" x14ac:dyDescent="0.3">
      <c r="B478" s="26"/>
      <c r="C478" s="17"/>
      <c r="D478" s="27"/>
      <c r="E478" s="18"/>
      <c r="F478" s="18"/>
      <c r="G478" s="18"/>
      <c r="H478" s="30" t="str">
        <f t="shared" si="49"/>
        <v/>
      </c>
      <c r="I478" s="31" t="str">
        <f>IF(OR(B478="",C478=""),"",IFERROR(E478*IF(E478="",0,VLOOKUP(C478,'📦 Precios Proforma'!$B$5:$D$104,IF(D478="DIA",2,3),FALSE)),0))</f>
        <v/>
      </c>
      <c r="J478" s="31" t="str">
        <f t="shared" si="50"/>
        <v/>
      </c>
      <c r="K478" s="31" t="str">
        <f t="shared" si="51"/>
        <v/>
      </c>
      <c r="L478" s="31" t="str">
        <f>IF(OR(B478="",C478=""),"",IFERROR(E478 / SUMIFS('📅 Resumen Diario'!$D$5:$D$504, '📅 Resumen Diario'!$B$5:$B$504, B478, '📅 Resumen Diario'!$C$5:$C$504, D478) * SUMIFS('📅 Resumen Diario'!$K$5:$K$504, '📅 Resumen Diario'!$B$5:$B$504, B478, '📅 Resumen Diario'!$C$5:$C$504, D478), 0))</f>
        <v/>
      </c>
      <c r="M478" s="31" t="str">
        <f t="shared" si="52"/>
        <v/>
      </c>
      <c r="N478" s="31" t="str">
        <f t="shared" si="53"/>
        <v/>
      </c>
      <c r="O478" s="31" t="str">
        <f>IF(OR(B478="",C478=""),"",K478-N478 + IFERROR(E478 / SUMIFS('📅 Resumen Diario'!$D$5:$D$504, '📅 Resumen Diario'!$B$5:$B$504, B478, '📅 Resumen Diario'!$C$5:$C$504, D478) * (SUMIFS('📋 Detalle Diario'!$E$5:$E$489, '📋 Detalle Diario'!$B$5:$B$489, B478, '📋 Detalle Diario'!$C$5:$C$489, D478) * 135 + SUMIFS('📋 Detalle Diario'!$I$5:$I$489, '📋 Detalle Diario'!$B$5:$B$489, B478, '📋 Detalle Diario'!$C$5:$C$489, D478) * 200), 0))</f>
        <v/>
      </c>
      <c r="P478" s="32" t="str">
        <f t="shared" si="54"/>
        <v/>
      </c>
      <c r="Q478" s="33" t="str">
        <f t="shared" si="55"/>
        <v/>
      </c>
    </row>
    <row r="479" spans="2:17" ht="18" customHeight="1" x14ac:dyDescent="0.3">
      <c r="B479" s="26"/>
      <c r="C479" s="28"/>
      <c r="D479" s="27"/>
      <c r="E479" s="29"/>
      <c r="F479" s="29"/>
      <c r="G479" s="29"/>
      <c r="H479" s="30" t="str">
        <f t="shared" si="49"/>
        <v/>
      </c>
      <c r="I479" s="31" t="str">
        <f>IF(OR(B479="",C479=""),"",IFERROR(E479*IF(E479="",0,VLOOKUP(C479,'📦 Precios Proforma'!$B$5:$D$104,IF(D479="DIA",2,3),FALSE)),0))</f>
        <v/>
      </c>
      <c r="J479" s="31" t="str">
        <f t="shared" si="50"/>
        <v/>
      </c>
      <c r="K479" s="31" t="str">
        <f t="shared" si="51"/>
        <v/>
      </c>
      <c r="L479" s="31" t="str">
        <f>IF(OR(B479="",C479=""),"",IFERROR(E479 / SUMIFS('📅 Resumen Diario'!$D$5:$D$504, '📅 Resumen Diario'!$B$5:$B$504, B479, '📅 Resumen Diario'!$C$5:$C$504, D479) * SUMIFS('📅 Resumen Diario'!$K$5:$K$504, '📅 Resumen Diario'!$B$5:$B$504, B479, '📅 Resumen Diario'!$C$5:$C$504, D479), 0))</f>
        <v/>
      </c>
      <c r="M479" s="31" t="str">
        <f t="shared" si="52"/>
        <v/>
      </c>
      <c r="N479" s="31" t="str">
        <f t="shared" si="53"/>
        <v/>
      </c>
      <c r="O479" s="31" t="str">
        <f>IF(OR(B479="",C479=""),"",K479-N479 + IFERROR(E479 / SUMIFS('📅 Resumen Diario'!$D$5:$D$504, '📅 Resumen Diario'!$B$5:$B$504, B479, '📅 Resumen Diario'!$C$5:$C$504, D479) * (SUMIFS('📋 Detalle Diario'!$E$5:$E$489, '📋 Detalle Diario'!$B$5:$B$489, B479, '📋 Detalle Diario'!$C$5:$C$489, D479) * 135 + SUMIFS('📋 Detalle Diario'!$I$5:$I$489, '📋 Detalle Diario'!$B$5:$B$489, B479, '📋 Detalle Diario'!$C$5:$C$489, D479) * 200), 0))</f>
        <v/>
      </c>
      <c r="P479" s="32" t="str">
        <f t="shared" si="54"/>
        <v/>
      </c>
      <c r="Q479" s="33" t="str">
        <f t="shared" si="55"/>
        <v/>
      </c>
    </row>
    <row r="480" spans="2:17" ht="18" customHeight="1" x14ac:dyDescent="0.3">
      <c r="B480" s="26"/>
      <c r="C480" s="17"/>
      <c r="D480" s="27"/>
      <c r="E480" s="18"/>
      <c r="F480" s="18"/>
      <c r="G480" s="18"/>
      <c r="H480" s="30" t="str">
        <f t="shared" si="49"/>
        <v/>
      </c>
      <c r="I480" s="31" t="str">
        <f>IF(OR(B480="",C480=""),"",IFERROR(E480*IF(E480="",0,VLOOKUP(C480,'📦 Precios Proforma'!$B$5:$D$104,IF(D480="DIA",2,3),FALSE)),0))</f>
        <v/>
      </c>
      <c r="J480" s="31" t="str">
        <f t="shared" si="50"/>
        <v/>
      </c>
      <c r="K480" s="31" t="str">
        <f t="shared" si="51"/>
        <v/>
      </c>
      <c r="L480" s="31" t="str">
        <f>IF(OR(B480="",C480=""),"",IFERROR(E480 / SUMIFS('📅 Resumen Diario'!$D$5:$D$504, '📅 Resumen Diario'!$B$5:$B$504, B480, '📅 Resumen Diario'!$C$5:$C$504, D480) * SUMIFS('📅 Resumen Diario'!$K$5:$K$504, '📅 Resumen Diario'!$B$5:$B$504, B480, '📅 Resumen Diario'!$C$5:$C$504, D480), 0))</f>
        <v/>
      </c>
      <c r="M480" s="31" t="str">
        <f t="shared" si="52"/>
        <v/>
      </c>
      <c r="N480" s="31" t="str">
        <f t="shared" si="53"/>
        <v/>
      </c>
      <c r="O480" s="31" t="str">
        <f>IF(OR(B480="",C480=""),"",K480-N480 + IFERROR(E480 / SUMIFS('📅 Resumen Diario'!$D$5:$D$504, '📅 Resumen Diario'!$B$5:$B$504, B480, '📅 Resumen Diario'!$C$5:$C$504, D480) * (SUMIFS('📋 Detalle Diario'!$E$5:$E$489, '📋 Detalle Diario'!$B$5:$B$489, B480, '📋 Detalle Diario'!$C$5:$C$489, D480) * 135 + SUMIFS('📋 Detalle Diario'!$I$5:$I$489, '📋 Detalle Diario'!$B$5:$B$489, B480, '📋 Detalle Diario'!$C$5:$C$489, D480) * 200), 0))</f>
        <v/>
      </c>
      <c r="P480" s="32" t="str">
        <f t="shared" si="54"/>
        <v/>
      </c>
      <c r="Q480" s="33" t="str">
        <f t="shared" si="55"/>
        <v/>
      </c>
    </row>
    <row r="481" spans="2:17" ht="18" customHeight="1" x14ac:dyDescent="0.3">
      <c r="B481" s="26"/>
      <c r="C481" s="28"/>
      <c r="D481" s="27"/>
      <c r="E481" s="29"/>
      <c r="F481" s="29"/>
      <c r="G481" s="29"/>
      <c r="H481" s="30" t="str">
        <f t="shared" si="49"/>
        <v/>
      </c>
      <c r="I481" s="31" t="str">
        <f>IF(OR(B481="",C481=""),"",IFERROR(E481*IF(E481="",0,VLOOKUP(C481,'📦 Precios Proforma'!$B$5:$D$104,IF(D481="DIA",2,3),FALSE)),0))</f>
        <v/>
      </c>
      <c r="J481" s="31" t="str">
        <f t="shared" si="50"/>
        <v/>
      </c>
      <c r="K481" s="31" t="str">
        <f t="shared" si="51"/>
        <v/>
      </c>
      <c r="L481" s="31" t="str">
        <f>IF(OR(B481="",C481=""),"",IFERROR(E481 / SUMIFS('📅 Resumen Diario'!$D$5:$D$504, '📅 Resumen Diario'!$B$5:$B$504, B481, '📅 Resumen Diario'!$C$5:$C$504, D481) * SUMIFS('📅 Resumen Diario'!$K$5:$K$504, '📅 Resumen Diario'!$B$5:$B$504, B481, '📅 Resumen Diario'!$C$5:$C$504, D481), 0))</f>
        <v/>
      </c>
      <c r="M481" s="31" t="str">
        <f t="shared" si="52"/>
        <v/>
      </c>
      <c r="N481" s="31" t="str">
        <f t="shared" si="53"/>
        <v/>
      </c>
      <c r="O481" s="31" t="str">
        <f>IF(OR(B481="",C481=""),"",K481-N481 + IFERROR(E481 / SUMIFS('📅 Resumen Diario'!$D$5:$D$504, '📅 Resumen Diario'!$B$5:$B$504, B481, '📅 Resumen Diario'!$C$5:$C$504, D481) * (SUMIFS('📋 Detalle Diario'!$E$5:$E$489, '📋 Detalle Diario'!$B$5:$B$489, B481, '📋 Detalle Diario'!$C$5:$C$489, D481) * 135 + SUMIFS('📋 Detalle Diario'!$I$5:$I$489, '📋 Detalle Diario'!$B$5:$B$489, B481, '📋 Detalle Diario'!$C$5:$C$489, D481) * 200), 0))</f>
        <v/>
      </c>
      <c r="P481" s="32" t="str">
        <f t="shared" si="54"/>
        <v/>
      </c>
      <c r="Q481" s="33" t="str">
        <f t="shared" si="55"/>
        <v/>
      </c>
    </row>
    <row r="482" spans="2:17" ht="18" customHeight="1" x14ac:dyDescent="0.3">
      <c r="B482" s="26"/>
      <c r="C482" s="17"/>
      <c r="D482" s="27"/>
      <c r="E482" s="18"/>
      <c r="F482" s="18"/>
      <c r="G482" s="18"/>
      <c r="H482" s="30" t="str">
        <f t="shared" si="49"/>
        <v/>
      </c>
      <c r="I482" s="31" t="str">
        <f>IF(OR(B482="",C482=""),"",IFERROR(E482*IF(E482="",0,VLOOKUP(C482,'📦 Precios Proforma'!$B$5:$D$104,IF(D482="DIA",2,3),FALSE)),0))</f>
        <v/>
      </c>
      <c r="J482" s="31" t="str">
        <f t="shared" si="50"/>
        <v/>
      </c>
      <c r="K482" s="31" t="str">
        <f t="shared" si="51"/>
        <v/>
      </c>
      <c r="L482" s="31" t="str">
        <f>IF(OR(B482="",C482=""),"",IFERROR(E482 / SUMIFS('📅 Resumen Diario'!$D$5:$D$504, '📅 Resumen Diario'!$B$5:$B$504, B482, '📅 Resumen Diario'!$C$5:$C$504, D482) * SUMIFS('📅 Resumen Diario'!$K$5:$K$504, '📅 Resumen Diario'!$B$5:$B$504, B482, '📅 Resumen Diario'!$C$5:$C$504, D482), 0))</f>
        <v/>
      </c>
      <c r="M482" s="31" t="str">
        <f t="shared" si="52"/>
        <v/>
      </c>
      <c r="N482" s="31" t="str">
        <f t="shared" si="53"/>
        <v/>
      </c>
      <c r="O482" s="31" t="str">
        <f>IF(OR(B482="",C482=""),"",K482-N482 + IFERROR(E482 / SUMIFS('📅 Resumen Diario'!$D$5:$D$504, '📅 Resumen Diario'!$B$5:$B$504, B482, '📅 Resumen Diario'!$C$5:$C$504, D482) * (SUMIFS('📋 Detalle Diario'!$E$5:$E$489, '📋 Detalle Diario'!$B$5:$B$489, B482, '📋 Detalle Diario'!$C$5:$C$489, D482) * 135 + SUMIFS('📋 Detalle Diario'!$I$5:$I$489, '📋 Detalle Diario'!$B$5:$B$489, B482, '📋 Detalle Diario'!$C$5:$C$489, D482) * 200), 0))</f>
        <v/>
      </c>
      <c r="P482" s="32" t="str">
        <f t="shared" si="54"/>
        <v/>
      </c>
      <c r="Q482" s="33" t="str">
        <f t="shared" si="55"/>
        <v/>
      </c>
    </row>
    <row r="483" spans="2:17" ht="18" customHeight="1" x14ac:dyDescent="0.3">
      <c r="B483" s="26"/>
      <c r="C483" s="28"/>
      <c r="D483" s="27"/>
      <c r="E483" s="29"/>
      <c r="F483" s="29"/>
      <c r="G483" s="29"/>
      <c r="H483" s="30" t="str">
        <f t="shared" si="49"/>
        <v/>
      </c>
      <c r="I483" s="31" t="str">
        <f>IF(OR(B483="",C483=""),"",IFERROR(E483*IF(E483="",0,VLOOKUP(C483,'📦 Precios Proforma'!$B$5:$D$104,IF(D483="DIA",2,3),FALSE)),0))</f>
        <v/>
      </c>
      <c r="J483" s="31" t="str">
        <f t="shared" si="50"/>
        <v/>
      </c>
      <c r="K483" s="31" t="str">
        <f t="shared" si="51"/>
        <v/>
      </c>
      <c r="L483" s="31" t="str">
        <f>IF(OR(B483="",C483=""),"",IFERROR(E483 / SUMIFS('📅 Resumen Diario'!$D$5:$D$504, '📅 Resumen Diario'!$B$5:$B$504, B483, '📅 Resumen Diario'!$C$5:$C$504, D483) * SUMIFS('📅 Resumen Diario'!$K$5:$K$504, '📅 Resumen Diario'!$B$5:$B$504, B483, '📅 Resumen Diario'!$C$5:$C$504, D483), 0))</f>
        <v/>
      </c>
      <c r="M483" s="31" t="str">
        <f t="shared" si="52"/>
        <v/>
      </c>
      <c r="N483" s="31" t="str">
        <f t="shared" si="53"/>
        <v/>
      </c>
      <c r="O483" s="31" t="str">
        <f>IF(OR(B483="",C483=""),"",K483-N483 + IFERROR(E483 / SUMIFS('📅 Resumen Diario'!$D$5:$D$504, '📅 Resumen Diario'!$B$5:$B$504, B483, '📅 Resumen Diario'!$C$5:$C$504, D483) * (SUMIFS('📋 Detalle Diario'!$E$5:$E$489, '📋 Detalle Diario'!$B$5:$B$489, B483, '📋 Detalle Diario'!$C$5:$C$489, D483) * 135 + SUMIFS('📋 Detalle Diario'!$I$5:$I$489, '📋 Detalle Diario'!$B$5:$B$489, B483, '📋 Detalle Diario'!$C$5:$C$489, D483) * 200), 0))</f>
        <v/>
      </c>
      <c r="P483" s="32" t="str">
        <f t="shared" si="54"/>
        <v/>
      </c>
      <c r="Q483" s="33" t="str">
        <f t="shared" si="55"/>
        <v/>
      </c>
    </row>
    <row r="484" spans="2:17" ht="18" customHeight="1" x14ac:dyDescent="0.3">
      <c r="B484" s="26"/>
      <c r="C484" s="17"/>
      <c r="D484" s="27"/>
      <c r="E484" s="18"/>
      <c r="F484" s="18"/>
      <c r="G484" s="18"/>
      <c r="H484" s="30" t="str">
        <f t="shared" si="49"/>
        <v/>
      </c>
      <c r="I484" s="31" t="str">
        <f>IF(OR(B484="",C484=""),"",IFERROR(E484*IF(E484="",0,VLOOKUP(C484,'📦 Precios Proforma'!$B$5:$D$104,IF(D484="DIA",2,3),FALSE)),0))</f>
        <v/>
      </c>
      <c r="J484" s="31" t="str">
        <f t="shared" si="50"/>
        <v/>
      </c>
      <c r="K484" s="31" t="str">
        <f t="shared" si="51"/>
        <v/>
      </c>
      <c r="L484" s="31" t="str">
        <f>IF(OR(B484="",C484=""),"",IFERROR(E484 / SUMIFS('📅 Resumen Diario'!$D$5:$D$504, '📅 Resumen Diario'!$B$5:$B$504, B484, '📅 Resumen Diario'!$C$5:$C$504, D484) * SUMIFS('📅 Resumen Diario'!$K$5:$K$504, '📅 Resumen Diario'!$B$5:$B$504, B484, '📅 Resumen Diario'!$C$5:$C$504, D484), 0))</f>
        <v/>
      </c>
      <c r="M484" s="31" t="str">
        <f t="shared" si="52"/>
        <v/>
      </c>
      <c r="N484" s="31" t="str">
        <f t="shared" si="53"/>
        <v/>
      </c>
      <c r="O484" s="31" t="str">
        <f>IF(OR(B484="",C484=""),"",K484-N484 + IFERROR(E484 / SUMIFS('📅 Resumen Diario'!$D$5:$D$504, '📅 Resumen Diario'!$B$5:$B$504, B484, '📅 Resumen Diario'!$C$5:$C$504, D484) * (SUMIFS('📋 Detalle Diario'!$E$5:$E$489, '📋 Detalle Diario'!$B$5:$B$489, B484, '📋 Detalle Diario'!$C$5:$C$489, D484) * 135 + SUMIFS('📋 Detalle Diario'!$I$5:$I$489, '📋 Detalle Diario'!$B$5:$B$489, B484, '📋 Detalle Diario'!$C$5:$C$489, D484) * 200), 0))</f>
        <v/>
      </c>
      <c r="P484" s="32" t="str">
        <f t="shared" si="54"/>
        <v/>
      </c>
      <c r="Q484" s="33" t="str">
        <f t="shared" si="55"/>
        <v/>
      </c>
    </row>
    <row r="485" spans="2:17" ht="18" customHeight="1" x14ac:dyDescent="0.3">
      <c r="B485" s="26"/>
      <c r="C485" s="28"/>
      <c r="D485" s="27"/>
      <c r="E485" s="29"/>
      <c r="F485" s="29"/>
      <c r="G485" s="29"/>
      <c r="H485" s="30" t="str">
        <f t="shared" si="49"/>
        <v/>
      </c>
      <c r="I485" s="31" t="str">
        <f>IF(OR(B485="",C485=""),"",IFERROR(E485*IF(E485="",0,VLOOKUP(C485,'📦 Precios Proforma'!$B$5:$D$104,IF(D485="DIA",2,3),FALSE)),0))</f>
        <v/>
      </c>
      <c r="J485" s="31" t="str">
        <f t="shared" si="50"/>
        <v/>
      </c>
      <c r="K485" s="31" t="str">
        <f t="shared" si="51"/>
        <v/>
      </c>
      <c r="L485" s="31" t="str">
        <f>IF(OR(B485="",C485=""),"",IFERROR(E485 / SUMIFS('📅 Resumen Diario'!$D$5:$D$504, '📅 Resumen Diario'!$B$5:$B$504, B485, '📅 Resumen Diario'!$C$5:$C$504, D485) * SUMIFS('📅 Resumen Diario'!$K$5:$K$504, '📅 Resumen Diario'!$B$5:$B$504, B485, '📅 Resumen Diario'!$C$5:$C$504, D485), 0))</f>
        <v/>
      </c>
      <c r="M485" s="31" t="str">
        <f t="shared" si="52"/>
        <v/>
      </c>
      <c r="N485" s="31" t="str">
        <f t="shared" si="53"/>
        <v/>
      </c>
      <c r="O485" s="31" t="str">
        <f>IF(OR(B485="",C485=""),"",K485-N485 + IFERROR(E485 / SUMIFS('📅 Resumen Diario'!$D$5:$D$504, '📅 Resumen Diario'!$B$5:$B$504, B485, '📅 Resumen Diario'!$C$5:$C$504, D485) * (SUMIFS('📋 Detalle Diario'!$E$5:$E$489, '📋 Detalle Diario'!$B$5:$B$489, B485, '📋 Detalle Diario'!$C$5:$C$489, D485) * 135 + SUMIFS('📋 Detalle Diario'!$I$5:$I$489, '📋 Detalle Diario'!$B$5:$B$489, B485, '📋 Detalle Diario'!$C$5:$C$489, D485) * 200), 0))</f>
        <v/>
      </c>
      <c r="P485" s="32" t="str">
        <f t="shared" si="54"/>
        <v/>
      </c>
      <c r="Q485" s="33" t="str">
        <f t="shared" si="55"/>
        <v/>
      </c>
    </row>
    <row r="486" spans="2:17" ht="18" customHeight="1" x14ac:dyDescent="0.3">
      <c r="B486" s="26"/>
      <c r="C486" s="17"/>
      <c r="D486" s="27"/>
      <c r="E486" s="18"/>
      <c r="F486" s="18"/>
      <c r="G486" s="18"/>
      <c r="H486" s="30" t="str">
        <f t="shared" si="49"/>
        <v/>
      </c>
      <c r="I486" s="31" t="str">
        <f>IF(OR(B486="",C486=""),"",IFERROR(E486*IF(E486="",0,VLOOKUP(C486,'📦 Precios Proforma'!$B$5:$D$104,IF(D486="DIA",2,3),FALSE)),0))</f>
        <v/>
      </c>
      <c r="J486" s="31" t="str">
        <f t="shared" si="50"/>
        <v/>
      </c>
      <c r="K486" s="31" t="str">
        <f t="shared" si="51"/>
        <v/>
      </c>
      <c r="L486" s="31" t="str">
        <f>IF(OR(B486="",C486=""),"",IFERROR(E486 / SUMIFS('📅 Resumen Diario'!$D$5:$D$504, '📅 Resumen Diario'!$B$5:$B$504, B486, '📅 Resumen Diario'!$C$5:$C$504, D486) * SUMIFS('📅 Resumen Diario'!$K$5:$K$504, '📅 Resumen Diario'!$B$5:$B$504, B486, '📅 Resumen Diario'!$C$5:$C$504, D486), 0))</f>
        <v/>
      </c>
      <c r="M486" s="31" t="str">
        <f t="shared" si="52"/>
        <v/>
      </c>
      <c r="N486" s="31" t="str">
        <f t="shared" si="53"/>
        <v/>
      </c>
      <c r="O486" s="31" t="str">
        <f>IF(OR(B486="",C486=""),"",K486-N486 + IFERROR(E486 / SUMIFS('📅 Resumen Diario'!$D$5:$D$504, '📅 Resumen Diario'!$B$5:$B$504, B486, '📅 Resumen Diario'!$C$5:$C$504, D486) * (SUMIFS('📋 Detalle Diario'!$E$5:$E$489, '📋 Detalle Diario'!$B$5:$B$489, B486, '📋 Detalle Diario'!$C$5:$C$489, D486) * 135 + SUMIFS('📋 Detalle Diario'!$I$5:$I$489, '📋 Detalle Diario'!$B$5:$B$489, B486, '📋 Detalle Diario'!$C$5:$C$489, D486) * 200), 0))</f>
        <v/>
      </c>
      <c r="P486" s="32" t="str">
        <f t="shared" si="54"/>
        <v/>
      </c>
      <c r="Q486" s="33" t="str">
        <f t="shared" si="55"/>
        <v/>
      </c>
    </row>
    <row r="487" spans="2:17" ht="18" customHeight="1" x14ac:dyDescent="0.3">
      <c r="B487" s="26"/>
      <c r="C487" s="28"/>
      <c r="D487" s="27"/>
      <c r="E487" s="29"/>
      <c r="F487" s="29"/>
      <c r="G487" s="29"/>
      <c r="H487" s="30" t="str">
        <f t="shared" si="49"/>
        <v/>
      </c>
      <c r="I487" s="31" t="str">
        <f>IF(OR(B487="",C487=""),"",IFERROR(E487*IF(E487="",0,VLOOKUP(C487,'📦 Precios Proforma'!$B$5:$D$104,IF(D487="DIA",2,3),FALSE)),0))</f>
        <v/>
      </c>
      <c r="J487" s="31" t="str">
        <f t="shared" si="50"/>
        <v/>
      </c>
      <c r="K487" s="31" t="str">
        <f t="shared" si="51"/>
        <v/>
      </c>
      <c r="L487" s="31" t="str">
        <f>IF(OR(B487="",C487=""),"",IFERROR(E487 / SUMIFS('📅 Resumen Diario'!$D$5:$D$504, '📅 Resumen Diario'!$B$5:$B$504, B487, '📅 Resumen Diario'!$C$5:$C$504, D487) * SUMIFS('📅 Resumen Diario'!$K$5:$K$504, '📅 Resumen Diario'!$B$5:$B$504, B487, '📅 Resumen Diario'!$C$5:$C$504, D487), 0))</f>
        <v/>
      </c>
      <c r="M487" s="31" t="str">
        <f t="shared" si="52"/>
        <v/>
      </c>
      <c r="N487" s="31" t="str">
        <f t="shared" si="53"/>
        <v/>
      </c>
      <c r="O487" s="31" t="str">
        <f>IF(OR(B487="",C487=""),"",K487-N487 + IFERROR(E487 / SUMIFS('📅 Resumen Diario'!$D$5:$D$504, '📅 Resumen Diario'!$B$5:$B$504, B487, '📅 Resumen Diario'!$C$5:$C$504, D487) * (SUMIFS('📋 Detalle Diario'!$E$5:$E$489, '📋 Detalle Diario'!$B$5:$B$489, B487, '📋 Detalle Diario'!$C$5:$C$489, D487) * 135 + SUMIFS('📋 Detalle Diario'!$I$5:$I$489, '📋 Detalle Diario'!$B$5:$B$489, B487, '📋 Detalle Diario'!$C$5:$C$489, D487) * 200), 0))</f>
        <v/>
      </c>
      <c r="P487" s="32" t="str">
        <f t="shared" si="54"/>
        <v/>
      </c>
      <c r="Q487" s="33" t="str">
        <f t="shared" si="55"/>
        <v/>
      </c>
    </row>
    <row r="488" spans="2:17" ht="18" customHeight="1" x14ac:dyDescent="0.3">
      <c r="B488" s="26"/>
      <c r="C488" s="17"/>
      <c r="D488" s="27"/>
      <c r="E488" s="18"/>
      <c r="F488" s="18"/>
      <c r="G488" s="18"/>
      <c r="H488" s="30" t="str">
        <f t="shared" si="49"/>
        <v/>
      </c>
      <c r="I488" s="31" t="str">
        <f>IF(OR(B488="",C488=""),"",IFERROR(E488*IF(E488="",0,VLOOKUP(C488,'📦 Precios Proforma'!$B$5:$D$104,IF(D488="DIA",2,3),FALSE)),0))</f>
        <v/>
      </c>
      <c r="J488" s="31" t="str">
        <f t="shared" si="50"/>
        <v/>
      </c>
      <c r="K488" s="31" t="str">
        <f t="shared" si="51"/>
        <v/>
      </c>
      <c r="L488" s="31" t="str">
        <f>IF(OR(B488="",C488=""),"",IFERROR(E488 / SUMIFS('📅 Resumen Diario'!$D$5:$D$504, '📅 Resumen Diario'!$B$5:$B$504, B488, '📅 Resumen Diario'!$C$5:$C$504, D488) * SUMIFS('📅 Resumen Diario'!$K$5:$K$504, '📅 Resumen Diario'!$B$5:$B$504, B488, '📅 Resumen Diario'!$C$5:$C$504, D488), 0))</f>
        <v/>
      </c>
      <c r="M488" s="31" t="str">
        <f t="shared" si="52"/>
        <v/>
      </c>
      <c r="N488" s="31" t="str">
        <f t="shared" si="53"/>
        <v/>
      </c>
      <c r="O488" s="31" t="str">
        <f>IF(OR(B488="",C488=""),"",K488-N488 + IFERROR(E488 / SUMIFS('📅 Resumen Diario'!$D$5:$D$504, '📅 Resumen Diario'!$B$5:$B$504, B488, '📅 Resumen Diario'!$C$5:$C$504, D488) * (SUMIFS('📋 Detalle Diario'!$E$5:$E$489, '📋 Detalle Diario'!$B$5:$B$489, B488, '📋 Detalle Diario'!$C$5:$C$489, D488) * 135 + SUMIFS('📋 Detalle Diario'!$I$5:$I$489, '📋 Detalle Diario'!$B$5:$B$489, B488, '📋 Detalle Diario'!$C$5:$C$489, D488) * 200), 0))</f>
        <v/>
      </c>
      <c r="P488" s="32" t="str">
        <f t="shared" si="54"/>
        <v/>
      </c>
      <c r="Q488" s="33" t="str">
        <f t="shared" si="55"/>
        <v/>
      </c>
    </row>
    <row r="489" spans="2:17" ht="18" customHeight="1" x14ac:dyDescent="0.3">
      <c r="B489" s="26"/>
      <c r="C489" s="28"/>
      <c r="D489" s="27"/>
      <c r="E489" s="29"/>
      <c r="F489" s="29"/>
      <c r="G489" s="29"/>
      <c r="H489" s="30" t="str">
        <f t="shared" si="49"/>
        <v/>
      </c>
      <c r="I489" s="31" t="str">
        <f>IF(OR(B489="",C489=""),"",IFERROR(E489*IF(E489="",0,VLOOKUP(C489,'📦 Precios Proforma'!$B$5:$D$104,IF(D489="DIA",2,3),FALSE)),0))</f>
        <v/>
      </c>
      <c r="J489" s="31" t="str">
        <f t="shared" si="50"/>
        <v/>
      </c>
      <c r="K489" s="31" t="str">
        <f t="shared" si="51"/>
        <v/>
      </c>
      <c r="L489" s="31" t="str">
        <f>IF(OR(B489="",C489=""),"",IFERROR(E489 / SUMIFS('📅 Resumen Diario'!$D$5:$D$504, '📅 Resumen Diario'!$B$5:$B$504, B489, '📅 Resumen Diario'!$C$5:$C$504, D489) * SUMIFS('📅 Resumen Diario'!$K$5:$K$504, '📅 Resumen Diario'!$B$5:$B$504, B489, '📅 Resumen Diario'!$C$5:$C$504, D489), 0))</f>
        <v/>
      </c>
      <c r="M489" s="31" t="str">
        <f t="shared" si="52"/>
        <v/>
      </c>
      <c r="N489" s="31" t="str">
        <f t="shared" si="53"/>
        <v/>
      </c>
      <c r="O489" s="31" t="str">
        <f>IF(OR(B489="",C489=""),"",K489-N489 + IFERROR(E489 / SUMIFS('📅 Resumen Diario'!$D$5:$D$504, '📅 Resumen Diario'!$B$5:$B$504, B489, '📅 Resumen Diario'!$C$5:$C$504, D489) * (SUMIFS('📋 Detalle Diario'!$E$5:$E$489, '📋 Detalle Diario'!$B$5:$B$489, B489, '📋 Detalle Diario'!$C$5:$C$489, D489) * 135 + SUMIFS('📋 Detalle Diario'!$I$5:$I$489, '📋 Detalle Diario'!$B$5:$B$489, B489, '📋 Detalle Diario'!$C$5:$C$489, D489) * 200), 0))</f>
        <v/>
      </c>
      <c r="P489" s="32" t="str">
        <f t="shared" si="54"/>
        <v/>
      </c>
      <c r="Q489" s="33" t="str">
        <f t="shared" si="55"/>
        <v/>
      </c>
    </row>
    <row r="490" spans="2:17" ht="18" customHeight="1" x14ac:dyDescent="0.3">
      <c r="B490" s="26"/>
      <c r="C490" s="17"/>
      <c r="D490" s="27"/>
      <c r="E490" s="18"/>
      <c r="F490" s="18"/>
      <c r="G490" s="18"/>
      <c r="H490" s="30" t="str">
        <f t="shared" si="49"/>
        <v/>
      </c>
      <c r="I490" s="31" t="str">
        <f>IF(OR(B490="",C490=""),"",IFERROR(E490*IF(E490="",0,VLOOKUP(C490,'📦 Precios Proforma'!$B$5:$D$104,IF(D490="DIA",2,3),FALSE)),0))</f>
        <v/>
      </c>
      <c r="J490" s="31" t="str">
        <f t="shared" si="50"/>
        <v/>
      </c>
      <c r="K490" s="31" t="str">
        <f t="shared" si="51"/>
        <v/>
      </c>
      <c r="L490" s="31" t="str">
        <f>IF(OR(B490="",C490=""),"",IFERROR(E490 / SUMIFS('📅 Resumen Diario'!$D$5:$D$504, '📅 Resumen Diario'!$B$5:$B$504, B490, '📅 Resumen Diario'!$C$5:$C$504, D490) * SUMIFS('📅 Resumen Diario'!$K$5:$K$504, '📅 Resumen Diario'!$B$5:$B$504, B490, '📅 Resumen Diario'!$C$5:$C$504, D490), 0))</f>
        <v/>
      </c>
      <c r="M490" s="31" t="str">
        <f t="shared" si="52"/>
        <v/>
      </c>
      <c r="N490" s="31" t="str">
        <f t="shared" si="53"/>
        <v/>
      </c>
      <c r="O490" s="31" t="str">
        <f>IF(OR(B490="",C490=""),"",K490-N490 + IFERROR(E490 / SUMIFS('📅 Resumen Diario'!$D$5:$D$504, '📅 Resumen Diario'!$B$5:$B$504, B490, '📅 Resumen Diario'!$C$5:$C$504, D490) * (SUMIFS('📋 Detalle Diario'!$E$5:$E$489, '📋 Detalle Diario'!$B$5:$B$489, B490, '📋 Detalle Diario'!$C$5:$C$489, D490) * 135 + SUMIFS('📋 Detalle Diario'!$I$5:$I$489, '📋 Detalle Diario'!$B$5:$B$489, B490, '📋 Detalle Diario'!$C$5:$C$489, D490) * 200), 0))</f>
        <v/>
      </c>
      <c r="P490" s="32" t="str">
        <f t="shared" si="54"/>
        <v/>
      </c>
      <c r="Q490" s="33" t="str">
        <f t="shared" si="55"/>
        <v/>
      </c>
    </row>
    <row r="491" spans="2:17" ht="18" customHeight="1" x14ac:dyDescent="0.3">
      <c r="B491" s="26"/>
      <c r="C491" s="28"/>
      <c r="D491" s="27"/>
      <c r="E491" s="29"/>
      <c r="F491" s="29"/>
      <c r="G491" s="29"/>
      <c r="H491" s="30" t="str">
        <f t="shared" si="49"/>
        <v/>
      </c>
      <c r="I491" s="31" t="str">
        <f>IF(OR(B491="",C491=""),"",IFERROR(E491*IF(E491="",0,VLOOKUP(C491,'📦 Precios Proforma'!$B$5:$D$104,IF(D491="DIA",2,3),FALSE)),0))</f>
        <v/>
      </c>
      <c r="J491" s="31" t="str">
        <f t="shared" si="50"/>
        <v/>
      </c>
      <c r="K491" s="31" t="str">
        <f t="shared" si="51"/>
        <v/>
      </c>
      <c r="L491" s="31" t="str">
        <f>IF(OR(B491="",C491=""),"",IFERROR(E491 / SUMIFS('📅 Resumen Diario'!$D$5:$D$504, '📅 Resumen Diario'!$B$5:$B$504, B491, '📅 Resumen Diario'!$C$5:$C$504, D491) * SUMIFS('📅 Resumen Diario'!$K$5:$K$504, '📅 Resumen Diario'!$B$5:$B$504, B491, '📅 Resumen Diario'!$C$5:$C$504, D491), 0))</f>
        <v/>
      </c>
      <c r="M491" s="31" t="str">
        <f t="shared" si="52"/>
        <v/>
      </c>
      <c r="N491" s="31" t="str">
        <f t="shared" si="53"/>
        <v/>
      </c>
      <c r="O491" s="31" t="str">
        <f>IF(OR(B491="",C491=""),"",K491-N491 + IFERROR(E491 / SUMIFS('📅 Resumen Diario'!$D$5:$D$504, '📅 Resumen Diario'!$B$5:$B$504, B491, '📅 Resumen Diario'!$C$5:$C$504, D491) * (SUMIFS('📋 Detalle Diario'!$E$5:$E$489, '📋 Detalle Diario'!$B$5:$B$489, B491, '📋 Detalle Diario'!$C$5:$C$489, D491) * 135 + SUMIFS('📋 Detalle Diario'!$I$5:$I$489, '📋 Detalle Diario'!$B$5:$B$489, B491, '📋 Detalle Diario'!$C$5:$C$489, D491) * 200), 0))</f>
        <v/>
      </c>
      <c r="P491" s="32" t="str">
        <f t="shared" si="54"/>
        <v/>
      </c>
      <c r="Q491" s="33" t="str">
        <f t="shared" si="55"/>
        <v/>
      </c>
    </row>
    <row r="492" spans="2:17" ht="18" customHeight="1" x14ac:dyDescent="0.3">
      <c r="B492" s="26"/>
      <c r="C492" s="17"/>
      <c r="D492" s="27"/>
      <c r="E492" s="18"/>
      <c r="F492" s="18"/>
      <c r="G492" s="18"/>
      <c r="H492" s="30" t="str">
        <f t="shared" si="49"/>
        <v/>
      </c>
      <c r="I492" s="31" t="str">
        <f>IF(OR(B492="",C492=""),"",IFERROR(E492*IF(E492="",0,VLOOKUP(C492,'📦 Precios Proforma'!$B$5:$D$104,IF(D492="DIA",2,3),FALSE)),0))</f>
        <v/>
      </c>
      <c r="J492" s="31" t="str">
        <f t="shared" si="50"/>
        <v/>
      </c>
      <c r="K492" s="31" t="str">
        <f t="shared" si="51"/>
        <v/>
      </c>
      <c r="L492" s="31" t="str">
        <f>IF(OR(B492="",C492=""),"",IFERROR(E492 / SUMIFS('📅 Resumen Diario'!$D$5:$D$504, '📅 Resumen Diario'!$B$5:$B$504, B492, '📅 Resumen Diario'!$C$5:$C$504, D492) * SUMIFS('📅 Resumen Diario'!$K$5:$K$504, '📅 Resumen Diario'!$B$5:$B$504, B492, '📅 Resumen Diario'!$C$5:$C$504, D492), 0))</f>
        <v/>
      </c>
      <c r="M492" s="31" t="str">
        <f t="shared" si="52"/>
        <v/>
      </c>
      <c r="N492" s="31" t="str">
        <f t="shared" si="53"/>
        <v/>
      </c>
      <c r="O492" s="31" t="str">
        <f>IF(OR(B492="",C492=""),"",K492-N492 + IFERROR(E492 / SUMIFS('📅 Resumen Diario'!$D$5:$D$504, '📅 Resumen Diario'!$B$5:$B$504, B492, '📅 Resumen Diario'!$C$5:$C$504, D492) * (SUMIFS('📋 Detalle Diario'!$E$5:$E$489, '📋 Detalle Diario'!$B$5:$B$489, B492, '📋 Detalle Diario'!$C$5:$C$489, D492) * 135 + SUMIFS('📋 Detalle Diario'!$I$5:$I$489, '📋 Detalle Diario'!$B$5:$B$489, B492, '📋 Detalle Diario'!$C$5:$C$489, D492) * 200), 0))</f>
        <v/>
      </c>
      <c r="P492" s="32" t="str">
        <f t="shared" si="54"/>
        <v/>
      </c>
      <c r="Q492" s="33" t="str">
        <f t="shared" si="55"/>
        <v/>
      </c>
    </row>
    <row r="493" spans="2:17" ht="18" customHeight="1" x14ac:dyDescent="0.3">
      <c r="B493" s="26"/>
      <c r="C493" s="28"/>
      <c r="D493" s="27"/>
      <c r="E493" s="29"/>
      <c r="F493" s="29"/>
      <c r="G493" s="29"/>
      <c r="H493" s="30" t="str">
        <f t="shared" si="49"/>
        <v/>
      </c>
      <c r="I493" s="31" t="str">
        <f>IF(OR(B493="",C493=""),"",IFERROR(E493*IF(E493="",0,VLOOKUP(C493,'📦 Precios Proforma'!$B$5:$D$104,IF(D493="DIA",2,3),FALSE)),0))</f>
        <v/>
      </c>
      <c r="J493" s="31" t="str">
        <f t="shared" si="50"/>
        <v/>
      </c>
      <c r="K493" s="31" t="str">
        <f t="shared" si="51"/>
        <v/>
      </c>
      <c r="L493" s="31" t="str">
        <f>IF(OR(B493="",C493=""),"",IFERROR(E493 / SUMIFS('📅 Resumen Diario'!$D$5:$D$504, '📅 Resumen Diario'!$B$5:$B$504, B493, '📅 Resumen Diario'!$C$5:$C$504, D493) * SUMIFS('📅 Resumen Diario'!$K$5:$K$504, '📅 Resumen Diario'!$B$5:$B$504, B493, '📅 Resumen Diario'!$C$5:$C$504, D493), 0))</f>
        <v/>
      </c>
      <c r="M493" s="31" t="str">
        <f t="shared" si="52"/>
        <v/>
      </c>
      <c r="N493" s="31" t="str">
        <f t="shared" si="53"/>
        <v/>
      </c>
      <c r="O493" s="31" t="str">
        <f>IF(OR(B493="",C493=""),"",K493-N493 + IFERROR(E493 / SUMIFS('📅 Resumen Diario'!$D$5:$D$504, '📅 Resumen Diario'!$B$5:$B$504, B493, '📅 Resumen Diario'!$C$5:$C$504, D493) * (SUMIFS('📋 Detalle Diario'!$E$5:$E$489, '📋 Detalle Diario'!$B$5:$B$489, B493, '📋 Detalle Diario'!$C$5:$C$489, D493) * 135 + SUMIFS('📋 Detalle Diario'!$I$5:$I$489, '📋 Detalle Diario'!$B$5:$B$489, B493, '📋 Detalle Diario'!$C$5:$C$489, D493) * 200), 0))</f>
        <v/>
      </c>
      <c r="P493" s="32" t="str">
        <f t="shared" si="54"/>
        <v/>
      </c>
      <c r="Q493" s="33" t="str">
        <f t="shared" si="55"/>
        <v/>
      </c>
    </row>
    <row r="494" spans="2:17" ht="18" customHeight="1" x14ac:dyDescent="0.3">
      <c r="B494" s="26"/>
      <c r="C494" s="17"/>
      <c r="D494" s="27"/>
      <c r="E494" s="18"/>
      <c r="F494" s="18"/>
      <c r="G494" s="18"/>
      <c r="H494" s="30" t="str">
        <f t="shared" si="49"/>
        <v/>
      </c>
      <c r="I494" s="31" t="str">
        <f>IF(OR(B494="",C494=""),"",IFERROR(E494*IF(E494="",0,VLOOKUP(C494,'📦 Precios Proforma'!$B$5:$D$104,IF(D494="DIA",2,3),FALSE)),0))</f>
        <v/>
      </c>
      <c r="J494" s="31" t="str">
        <f t="shared" si="50"/>
        <v/>
      </c>
      <c r="K494" s="31" t="str">
        <f t="shared" si="51"/>
        <v/>
      </c>
      <c r="L494" s="31" t="str">
        <f>IF(OR(B494="",C494=""),"",IFERROR(E494 / SUMIFS('📅 Resumen Diario'!$D$5:$D$504, '📅 Resumen Diario'!$B$5:$B$504, B494, '📅 Resumen Diario'!$C$5:$C$504, D494) * SUMIFS('📅 Resumen Diario'!$K$5:$K$504, '📅 Resumen Diario'!$B$5:$B$504, B494, '📅 Resumen Diario'!$C$5:$C$504, D494), 0))</f>
        <v/>
      </c>
      <c r="M494" s="31" t="str">
        <f t="shared" si="52"/>
        <v/>
      </c>
      <c r="N494" s="31" t="str">
        <f t="shared" si="53"/>
        <v/>
      </c>
      <c r="O494" s="31" t="str">
        <f>IF(OR(B494="",C494=""),"",K494-N494 + IFERROR(E494 / SUMIFS('📅 Resumen Diario'!$D$5:$D$504, '📅 Resumen Diario'!$B$5:$B$504, B494, '📅 Resumen Diario'!$C$5:$C$504, D494) * (SUMIFS('📋 Detalle Diario'!$E$5:$E$489, '📋 Detalle Diario'!$B$5:$B$489, B494, '📋 Detalle Diario'!$C$5:$C$489, D494) * 135 + SUMIFS('📋 Detalle Diario'!$I$5:$I$489, '📋 Detalle Diario'!$B$5:$B$489, B494, '📋 Detalle Diario'!$C$5:$C$489, D494) * 200), 0))</f>
        <v/>
      </c>
      <c r="P494" s="32" t="str">
        <f t="shared" si="54"/>
        <v/>
      </c>
      <c r="Q494" s="33" t="str">
        <f t="shared" si="55"/>
        <v/>
      </c>
    </row>
    <row r="495" spans="2:17" ht="18" customHeight="1" x14ac:dyDescent="0.3">
      <c r="B495" s="26"/>
      <c r="C495" s="28"/>
      <c r="D495" s="27"/>
      <c r="E495" s="29"/>
      <c r="F495" s="29"/>
      <c r="G495" s="29"/>
      <c r="H495" s="30" t="str">
        <f t="shared" si="49"/>
        <v/>
      </c>
      <c r="I495" s="31" t="str">
        <f>IF(OR(B495="",C495=""),"",IFERROR(E495*IF(E495="",0,VLOOKUP(C495,'📦 Precios Proforma'!$B$5:$D$104,IF(D495="DIA",2,3),FALSE)),0))</f>
        <v/>
      </c>
      <c r="J495" s="31" t="str">
        <f t="shared" si="50"/>
        <v/>
      </c>
      <c r="K495" s="31" t="str">
        <f t="shared" si="51"/>
        <v/>
      </c>
      <c r="L495" s="31" t="str">
        <f>IF(OR(B495="",C495=""),"",IFERROR(E495 / SUMIFS('📅 Resumen Diario'!$D$5:$D$504, '📅 Resumen Diario'!$B$5:$B$504, B495, '📅 Resumen Diario'!$C$5:$C$504, D495) * SUMIFS('📅 Resumen Diario'!$K$5:$K$504, '📅 Resumen Diario'!$B$5:$B$504, B495, '📅 Resumen Diario'!$C$5:$C$504, D495), 0))</f>
        <v/>
      </c>
      <c r="M495" s="31" t="str">
        <f t="shared" si="52"/>
        <v/>
      </c>
      <c r="N495" s="31" t="str">
        <f t="shared" si="53"/>
        <v/>
      </c>
      <c r="O495" s="31" t="str">
        <f>IF(OR(B495="",C495=""),"",K495-N495 + IFERROR(E495 / SUMIFS('📅 Resumen Diario'!$D$5:$D$504, '📅 Resumen Diario'!$B$5:$B$504, B495, '📅 Resumen Diario'!$C$5:$C$504, D495) * (SUMIFS('📋 Detalle Diario'!$E$5:$E$489, '📋 Detalle Diario'!$B$5:$B$489, B495, '📋 Detalle Diario'!$C$5:$C$489, D495) * 135 + SUMIFS('📋 Detalle Diario'!$I$5:$I$489, '📋 Detalle Diario'!$B$5:$B$489, B495, '📋 Detalle Diario'!$C$5:$C$489, D495) * 200), 0))</f>
        <v/>
      </c>
      <c r="P495" s="32" t="str">
        <f t="shared" si="54"/>
        <v/>
      </c>
      <c r="Q495" s="33" t="str">
        <f t="shared" si="55"/>
        <v/>
      </c>
    </row>
    <row r="496" spans="2:17" ht="18" customHeight="1" x14ac:dyDescent="0.3">
      <c r="B496" s="26"/>
      <c r="C496" s="17"/>
      <c r="D496" s="27"/>
      <c r="E496" s="18"/>
      <c r="F496" s="18"/>
      <c r="G496" s="18"/>
      <c r="H496" s="30" t="str">
        <f t="shared" si="49"/>
        <v/>
      </c>
      <c r="I496" s="31" t="str">
        <f>IF(OR(B496="",C496=""),"",IFERROR(E496*IF(E496="",0,VLOOKUP(C496,'📦 Precios Proforma'!$B$5:$D$104,IF(D496="DIA",2,3),FALSE)),0))</f>
        <v/>
      </c>
      <c r="J496" s="31" t="str">
        <f t="shared" si="50"/>
        <v/>
      </c>
      <c r="K496" s="31" t="str">
        <f t="shared" si="51"/>
        <v/>
      </c>
      <c r="L496" s="31" t="str">
        <f>IF(OR(B496="",C496=""),"",IFERROR(E496 / SUMIFS('📅 Resumen Diario'!$D$5:$D$504, '📅 Resumen Diario'!$B$5:$B$504, B496, '📅 Resumen Diario'!$C$5:$C$504, D496) * SUMIFS('📅 Resumen Diario'!$K$5:$K$504, '📅 Resumen Diario'!$B$5:$B$504, B496, '📅 Resumen Diario'!$C$5:$C$504, D496), 0))</f>
        <v/>
      </c>
      <c r="M496" s="31" t="str">
        <f t="shared" si="52"/>
        <v/>
      </c>
      <c r="N496" s="31" t="str">
        <f t="shared" si="53"/>
        <v/>
      </c>
      <c r="O496" s="31" t="str">
        <f>IF(OR(B496="",C496=""),"",K496-N496 + IFERROR(E496 / SUMIFS('📅 Resumen Diario'!$D$5:$D$504, '📅 Resumen Diario'!$B$5:$B$504, B496, '📅 Resumen Diario'!$C$5:$C$504, D496) * (SUMIFS('📋 Detalle Diario'!$E$5:$E$489, '📋 Detalle Diario'!$B$5:$B$489, B496, '📋 Detalle Diario'!$C$5:$C$489, D496) * 135 + SUMIFS('📋 Detalle Diario'!$I$5:$I$489, '📋 Detalle Diario'!$B$5:$B$489, B496, '📋 Detalle Diario'!$C$5:$C$489, D496) * 200), 0))</f>
        <v/>
      </c>
      <c r="P496" s="32" t="str">
        <f t="shared" si="54"/>
        <v/>
      </c>
      <c r="Q496" s="33" t="str">
        <f t="shared" si="55"/>
        <v/>
      </c>
    </row>
    <row r="497" spans="2:17" ht="18" customHeight="1" x14ac:dyDescent="0.3">
      <c r="B497" s="26"/>
      <c r="C497" s="28"/>
      <c r="D497" s="27"/>
      <c r="E497" s="29"/>
      <c r="F497" s="29"/>
      <c r="G497" s="29"/>
      <c r="H497" s="30" t="str">
        <f t="shared" si="49"/>
        <v/>
      </c>
      <c r="I497" s="31" t="str">
        <f>IF(OR(B497="",C497=""),"",IFERROR(E497*IF(E497="",0,VLOOKUP(C497,'📦 Precios Proforma'!$B$5:$D$104,IF(D497="DIA",2,3),FALSE)),0))</f>
        <v/>
      </c>
      <c r="J497" s="31" t="str">
        <f t="shared" si="50"/>
        <v/>
      </c>
      <c r="K497" s="31" t="str">
        <f t="shared" si="51"/>
        <v/>
      </c>
      <c r="L497" s="31" t="str">
        <f>IF(OR(B497="",C497=""),"",IFERROR(E497 / SUMIFS('📅 Resumen Diario'!$D$5:$D$504, '📅 Resumen Diario'!$B$5:$B$504, B497, '📅 Resumen Diario'!$C$5:$C$504, D497) * SUMIFS('📅 Resumen Diario'!$K$5:$K$504, '📅 Resumen Diario'!$B$5:$B$504, B497, '📅 Resumen Diario'!$C$5:$C$504, D497), 0))</f>
        <v/>
      </c>
      <c r="M497" s="31" t="str">
        <f t="shared" si="52"/>
        <v/>
      </c>
      <c r="N497" s="31" t="str">
        <f t="shared" si="53"/>
        <v/>
      </c>
      <c r="O497" s="31" t="str">
        <f>IF(OR(B497="",C497=""),"",K497-N497 + IFERROR(E497 / SUMIFS('📅 Resumen Diario'!$D$5:$D$504, '📅 Resumen Diario'!$B$5:$B$504, B497, '📅 Resumen Diario'!$C$5:$C$504, D497) * (SUMIFS('📋 Detalle Diario'!$E$5:$E$489, '📋 Detalle Diario'!$B$5:$B$489, B497, '📋 Detalle Diario'!$C$5:$C$489, D497) * 135 + SUMIFS('📋 Detalle Diario'!$I$5:$I$489, '📋 Detalle Diario'!$B$5:$B$489, B497, '📋 Detalle Diario'!$C$5:$C$489, D497) * 200), 0))</f>
        <v/>
      </c>
      <c r="P497" s="32" t="str">
        <f t="shared" si="54"/>
        <v/>
      </c>
      <c r="Q497" s="33" t="str">
        <f t="shared" si="55"/>
        <v/>
      </c>
    </row>
    <row r="498" spans="2:17" ht="18" customHeight="1" x14ac:dyDescent="0.3">
      <c r="B498" s="26"/>
      <c r="C498" s="17"/>
      <c r="D498" s="27"/>
      <c r="E498" s="18"/>
      <c r="F498" s="18"/>
      <c r="G498" s="18"/>
      <c r="H498" s="30" t="str">
        <f t="shared" si="49"/>
        <v/>
      </c>
      <c r="I498" s="31" t="str">
        <f>IF(OR(B498="",C498=""),"",IFERROR(E498*IF(E498="",0,VLOOKUP(C498,'📦 Precios Proforma'!$B$5:$D$104,IF(D498="DIA",2,3),FALSE)),0))</f>
        <v/>
      </c>
      <c r="J498" s="31" t="str">
        <f t="shared" si="50"/>
        <v/>
      </c>
      <c r="K498" s="31" t="str">
        <f t="shared" si="51"/>
        <v/>
      </c>
      <c r="L498" s="31" t="str">
        <f>IF(OR(B498="",C498=""),"",IFERROR(E498 / SUMIFS('📅 Resumen Diario'!$D$5:$D$504, '📅 Resumen Diario'!$B$5:$B$504, B498, '📅 Resumen Diario'!$C$5:$C$504, D498) * SUMIFS('📅 Resumen Diario'!$K$5:$K$504, '📅 Resumen Diario'!$B$5:$B$504, B498, '📅 Resumen Diario'!$C$5:$C$504, D498), 0))</f>
        <v/>
      </c>
      <c r="M498" s="31" t="str">
        <f t="shared" si="52"/>
        <v/>
      </c>
      <c r="N498" s="31" t="str">
        <f t="shared" si="53"/>
        <v/>
      </c>
      <c r="O498" s="31" t="str">
        <f>IF(OR(B498="",C498=""),"",K498-N498 + IFERROR(E498 / SUMIFS('📅 Resumen Diario'!$D$5:$D$504, '📅 Resumen Diario'!$B$5:$B$504, B498, '📅 Resumen Diario'!$C$5:$C$504, D498) * (SUMIFS('📋 Detalle Diario'!$E$5:$E$489, '📋 Detalle Diario'!$B$5:$B$489, B498, '📋 Detalle Diario'!$C$5:$C$489, D498) * 135 + SUMIFS('📋 Detalle Diario'!$I$5:$I$489, '📋 Detalle Diario'!$B$5:$B$489, B498, '📋 Detalle Diario'!$C$5:$C$489, D498) * 200), 0))</f>
        <v/>
      </c>
      <c r="P498" s="32" t="str">
        <f t="shared" si="54"/>
        <v/>
      </c>
      <c r="Q498" s="33" t="str">
        <f t="shared" si="55"/>
        <v/>
      </c>
    </row>
    <row r="499" spans="2:17" ht="18" customHeight="1" x14ac:dyDescent="0.3">
      <c r="B499" s="26"/>
      <c r="C499" s="28"/>
      <c r="D499" s="27"/>
      <c r="E499" s="29"/>
      <c r="F499" s="29"/>
      <c r="G499" s="29"/>
      <c r="H499" s="30" t="str">
        <f t="shared" si="49"/>
        <v/>
      </c>
      <c r="I499" s="31" t="str">
        <f>IF(OR(B499="",C499=""),"",IFERROR(E499*IF(E499="",0,VLOOKUP(C499,'📦 Precios Proforma'!$B$5:$D$104,IF(D499="DIA",2,3),FALSE)),0))</f>
        <v/>
      </c>
      <c r="J499" s="31" t="str">
        <f t="shared" si="50"/>
        <v/>
      </c>
      <c r="K499" s="31" t="str">
        <f t="shared" si="51"/>
        <v/>
      </c>
      <c r="L499" s="31" t="str">
        <f>IF(OR(B499="",C499=""),"",IFERROR(E499 / SUMIFS('📅 Resumen Diario'!$D$5:$D$504, '📅 Resumen Diario'!$B$5:$B$504, B499, '📅 Resumen Diario'!$C$5:$C$504, D499) * SUMIFS('📅 Resumen Diario'!$K$5:$K$504, '📅 Resumen Diario'!$B$5:$B$504, B499, '📅 Resumen Diario'!$C$5:$C$504, D499), 0))</f>
        <v/>
      </c>
      <c r="M499" s="31" t="str">
        <f t="shared" si="52"/>
        <v/>
      </c>
      <c r="N499" s="31" t="str">
        <f t="shared" si="53"/>
        <v/>
      </c>
      <c r="O499" s="31" t="str">
        <f>IF(OR(B499="",C499=""),"",K499-N499 + IFERROR(E499 / SUMIFS('📅 Resumen Diario'!$D$5:$D$504, '📅 Resumen Diario'!$B$5:$B$504, B499, '📅 Resumen Diario'!$C$5:$C$504, D499) * (SUMIFS('📋 Detalle Diario'!$E$5:$E$489, '📋 Detalle Diario'!$B$5:$B$489, B499, '📋 Detalle Diario'!$C$5:$C$489, D499) * 135 + SUMIFS('📋 Detalle Diario'!$I$5:$I$489, '📋 Detalle Diario'!$B$5:$B$489, B499, '📋 Detalle Diario'!$C$5:$C$489, D499) * 200), 0))</f>
        <v/>
      </c>
      <c r="P499" s="32" t="str">
        <f t="shared" si="54"/>
        <v/>
      </c>
      <c r="Q499" s="33" t="str">
        <f t="shared" si="55"/>
        <v/>
      </c>
    </row>
    <row r="500" spans="2:17" ht="18" customHeight="1" x14ac:dyDescent="0.3">
      <c r="B500" s="26"/>
      <c r="C500" s="17"/>
      <c r="D500" s="27"/>
      <c r="E500" s="18"/>
      <c r="F500" s="18"/>
      <c r="G500" s="18"/>
      <c r="H500" s="30" t="str">
        <f t="shared" si="49"/>
        <v/>
      </c>
      <c r="I500" s="31" t="str">
        <f>IF(OR(B500="",C500=""),"",IFERROR(E500*IF(E500="",0,VLOOKUP(C500,'📦 Precios Proforma'!$B$5:$D$104,IF(D500="DIA",2,3),FALSE)),0))</f>
        <v/>
      </c>
      <c r="J500" s="31" t="str">
        <f t="shared" si="50"/>
        <v/>
      </c>
      <c r="K500" s="31" t="str">
        <f t="shared" si="51"/>
        <v/>
      </c>
      <c r="L500" s="31" t="str">
        <f>IF(OR(B500="",C500=""),"",IFERROR(E500 / SUMIFS('📅 Resumen Diario'!$D$5:$D$504, '📅 Resumen Diario'!$B$5:$B$504, B500, '📅 Resumen Diario'!$C$5:$C$504, D500) * SUMIFS('📅 Resumen Diario'!$K$5:$K$504, '📅 Resumen Diario'!$B$5:$B$504, B500, '📅 Resumen Diario'!$C$5:$C$504, D500), 0))</f>
        <v/>
      </c>
      <c r="M500" s="31" t="str">
        <f t="shared" si="52"/>
        <v/>
      </c>
      <c r="N500" s="31" t="str">
        <f t="shared" si="53"/>
        <v/>
      </c>
      <c r="O500" s="31" t="str">
        <f>IF(OR(B500="",C500=""),"",K500-N500 + IFERROR(E500 / SUMIFS('📅 Resumen Diario'!$D$5:$D$504, '📅 Resumen Diario'!$B$5:$B$504, B500, '📅 Resumen Diario'!$C$5:$C$504, D500) * (SUMIFS('📋 Detalle Diario'!$E$5:$E$489, '📋 Detalle Diario'!$B$5:$B$489, B500, '📋 Detalle Diario'!$C$5:$C$489, D500) * 135 + SUMIFS('📋 Detalle Diario'!$I$5:$I$489, '📋 Detalle Diario'!$B$5:$B$489, B500, '📋 Detalle Diario'!$C$5:$C$489, D500) * 200), 0))</f>
        <v/>
      </c>
      <c r="P500" s="32" t="str">
        <f t="shared" si="54"/>
        <v/>
      </c>
      <c r="Q500" s="33" t="str">
        <f t="shared" si="55"/>
        <v/>
      </c>
    </row>
    <row r="501" spans="2:17" ht="18" customHeight="1" x14ac:dyDescent="0.3">
      <c r="B501" s="26"/>
      <c r="C501" s="28"/>
      <c r="D501" s="27"/>
      <c r="E501" s="29"/>
      <c r="F501" s="29"/>
      <c r="G501" s="29"/>
      <c r="H501" s="30" t="str">
        <f t="shared" si="49"/>
        <v/>
      </c>
      <c r="I501" s="31" t="str">
        <f>IF(OR(B501="",C501=""),"",IFERROR(E501*IF(E501="",0,VLOOKUP(C501,'📦 Precios Proforma'!$B$5:$D$104,IF(D501="DIA",2,3),FALSE)),0))</f>
        <v/>
      </c>
      <c r="J501" s="31" t="str">
        <f t="shared" si="50"/>
        <v/>
      </c>
      <c r="K501" s="31" t="str">
        <f t="shared" si="51"/>
        <v/>
      </c>
      <c r="L501" s="31" t="str">
        <f>IF(OR(B501="",C501=""),"",IFERROR(E501 / SUMIFS('📅 Resumen Diario'!$D$5:$D$504, '📅 Resumen Diario'!$B$5:$B$504, B501, '📅 Resumen Diario'!$C$5:$C$504, D501) * SUMIFS('📅 Resumen Diario'!$K$5:$K$504, '📅 Resumen Diario'!$B$5:$B$504, B501, '📅 Resumen Diario'!$C$5:$C$504, D501), 0))</f>
        <v/>
      </c>
      <c r="M501" s="31" t="str">
        <f t="shared" si="52"/>
        <v/>
      </c>
      <c r="N501" s="31" t="str">
        <f t="shared" si="53"/>
        <v/>
      </c>
      <c r="O501" s="31" t="str">
        <f>IF(OR(B501="",C501=""),"",K501-N501 + IFERROR(E501 / SUMIFS('📅 Resumen Diario'!$D$5:$D$504, '📅 Resumen Diario'!$B$5:$B$504, B501, '📅 Resumen Diario'!$C$5:$C$504, D501) * (SUMIFS('📋 Detalle Diario'!$E$5:$E$489, '📋 Detalle Diario'!$B$5:$B$489, B501, '📋 Detalle Diario'!$C$5:$C$489, D501) * 135 + SUMIFS('📋 Detalle Diario'!$I$5:$I$489, '📋 Detalle Diario'!$B$5:$B$489, B501, '📋 Detalle Diario'!$C$5:$C$489, D501) * 200), 0))</f>
        <v/>
      </c>
      <c r="P501" s="32" t="str">
        <f t="shared" si="54"/>
        <v/>
      </c>
      <c r="Q501" s="33" t="str">
        <f t="shared" si="55"/>
        <v/>
      </c>
    </row>
    <row r="502" spans="2:17" ht="18" customHeight="1" x14ac:dyDescent="0.3">
      <c r="B502" s="26"/>
      <c r="C502" s="17"/>
      <c r="D502" s="27"/>
      <c r="E502" s="18"/>
      <c r="F502" s="18"/>
      <c r="G502" s="18"/>
      <c r="H502" s="30" t="str">
        <f t="shared" si="49"/>
        <v/>
      </c>
      <c r="I502" s="31" t="str">
        <f>IF(OR(B502="",C502=""),"",IFERROR(E502*IF(E502="",0,VLOOKUP(C502,'📦 Precios Proforma'!$B$5:$D$104,IF(D502="DIA",2,3),FALSE)),0))</f>
        <v/>
      </c>
      <c r="J502" s="31" t="str">
        <f t="shared" si="50"/>
        <v/>
      </c>
      <c r="K502" s="31" t="str">
        <f t="shared" si="51"/>
        <v/>
      </c>
      <c r="L502" s="31" t="str">
        <f>IF(OR(B502="",C502=""),"",IFERROR(E502 / SUMIFS('📅 Resumen Diario'!$D$5:$D$504, '📅 Resumen Diario'!$B$5:$B$504, B502, '📅 Resumen Diario'!$C$5:$C$504, D502) * SUMIFS('📅 Resumen Diario'!$K$5:$K$504, '📅 Resumen Diario'!$B$5:$B$504, B502, '📅 Resumen Diario'!$C$5:$C$504, D502), 0))</f>
        <v/>
      </c>
      <c r="M502" s="31" t="str">
        <f t="shared" si="52"/>
        <v/>
      </c>
      <c r="N502" s="31" t="str">
        <f t="shared" si="53"/>
        <v/>
      </c>
      <c r="O502" s="31" t="str">
        <f>IF(OR(B502="",C502=""),"",K502-N502 + IFERROR(E502 / SUMIFS('📅 Resumen Diario'!$D$5:$D$504, '📅 Resumen Diario'!$B$5:$B$504, B502, '📅 Resumen Diario'!$C$5:$C$504, D502) * (SUMIFS('📋 Detalle Diario'!$E$5:$E$489, '📋 Detalle Diario'!$B$5:$B$489, B502, '📋 Detalle Diario'!$C$5:$C$489, D502) * 135 + SUMIFS('📋 Detalle Diario'!$I$5:$I$489, '📋 Detalle Diario'!$B$5:$B$489, B502, '📋 Detalle Diario'!$C$5:$C$489, D502) * 200), 0))</f>
        <v/>
      </c>
      <c r="P502" s="32" t="str">
        <f t="shared" si="54"/>
        <v/>
      </c>
      <c r="Q502" s="33" t="str">
        <f t="shared" si="55"/>
        <v/>
      </c>
    </row>
    <row r="503" spans="2:17" ht="18" customHeight="1" x14ac:dyDescent="0.3">
      <c r="B503" s="26"/>
      <c r="C503" s="28"/>
      <c r="D503" s="27"/>
      <c r="E503" s="29"/>
      <c r="F503" s="29"/>
      <c r="G503" s="29"/>
      <c r="H503" s="30" t="str">
        <f t="shared" si="49"/>
        <v/>
      </c>
      <c r="I503" s="31" t="str">
        <f>IF(OR(B503="",C503=""),"",IFERROR(E503*IF(E503="",0,VLOOKUP(C503,'📦 Precios Proforma'!$B$5:$D$104,IF(D503="DIA",2,3),FALSE)),0))</f>
        <v/>
      </c>
      <c r="J503" s="31" t="str">
        <f t="shared" si="50"/>
        <v/>
      </c>
      <c r="K503" s="31" t="str">
        <f t="shared" si="51"/>
        <v/>
      </c>
      <c r="L503" s="31" t="str">
        <f>IF(OR(B503="",C503=""),"",IFERROR(E503 / SUMIFS('📅 Resumen Diario'!$D$5:$D$504, '📅 Resumen Diario'!$B$5:$B$504, B503, '📅 Resumen Diario'!$C$5:$C$504, D503) * SUMIFS('📅 Resumen Diario'!$K$5:$K$504, '📅 Resumen Diario'!$B$5:$B$504, B503, '📅 Resumen Diario'!$C$5:$C$504, D503), 0))</f>
        <v/>
      </c>
      <c r="M503" s="31" t="str">
        <f t="shared" si="52"/>
        <v/>
      </c>
      <c r="N503" s="31" t="str">
        <f t="shared" si="53"/>
        <v/>
      </c>
      <c r="O503" s="31" t="str">
        <f>IF(OR(B503="",C503=""),"",K503-N503 + IFERROR(E503 / SUMIFS('📅 Resumen Diario'!$D$5:$D$504, '📅 Resumen Diario'!$B$5:$B$504, B503, '📅 Resumen Diario'!$C$5:$C$504, D503) * (SUMIFS('📋 Detalle Diario'!$E$5:$E$489, '📋 Detalle Diario'!$B$5:$B$489, B503, '📋 Detalle Diario'!$C$5:$C$489, D503) * 135 + SUMIFS('📋 Detalle Diario'!$I$5:$I$489, '📋 Detalle Diario'!$B$5:$B$489, B503, '📋 Detalle Diario'!$C$5:$C$489, D503) * 200), 0))</f>
        <v/>
      </c>
      <c r="P503" s="32" t="str">
        <f t="shared" si="54"/>
        <v/>
      </c>
      <c r="Q503" s="33" t="str">
        <f t="shared" si="55"/>
        <v/>
      </c>
    </row>
    <row r="504" spans="2:17" ht="18" customHeight="1" x14ac:dyDescent="0.3">
      <c r="B504" s="26"/>
      <c r="C504" s="17"/>
      <c r="D504" s="27"/>
      <c r="E504" s="18"/>
      <c r="F504" s="18"/>
      <c r="G504" s="18"/>
      <c r="H504" s="30" t="str">
        <f t="shared" si="49"/>
        <v/>
      </c>
      <c r="I504" s="31" t="str">
        <f>IF(OR(B504="",C504=""),"",IFERROR(E504*IF(E504="",0,VLOOKUP(C504,'📦 Precios Proforma'!$B$5:$D$104,IF(D504="DIA",2,3),FALSE)),0))</f>
        <v/>
      </c>
      <c r="J504" s="31" t="str">
        <f t="shared" si="50"/>
        <v/>
      </c>
      <c r="K504" s="31" t="str">
        <f t="shared" si="51"/>
        <v/>
      </c>
      <c r="L504" s="31" t="str">
        <f>IF(OR(B504="",C504=""),"",IFERROR(E504 / SUMIFS('📅 Resumen Diario'!$D$5:$D$504, '📅 Resumen Diario'!$B$5:$B$504, B504, '📅 Resumen Diario'!$C$5:$C$504, D504) * SUMIFS('📅 Resumen Diario'!$K$5:$K$504, '📅 Resumen Diario'!$B$5:$B$504, B504, '📅 Resumen Diario'!$C$5:$C$504, D504), 0))</f>
        <v/>
      </c>
      <c r="M504" s="31" t="str">
        <f t="shared" si="52"/>
        <v/>
      </c>
      <c r="N504" s="31" t="str">
        <f t="shared" si="53"/>
        <v/>
      </c>
      <c r="O504" s="31" t="str">
        <f>IF(OR(B504="",C504=""),"",K504-N504 + IFERROR(E504 / SUMIFS('📅 Resumen Diario'!$D$5:$D$504, '📅 Resumen Diario'!$B$5:$B$504, B504, '📅 Resumen Diario'!$C$5:$C$504, D504) * (SUMIFS('📋 Detalle Diario'!$E$5:$E$489, '📋 Detalle Diario'!$B$5:$B$489, B504, '📋 Detalle Diario'!$C$5:$C$489, D504) * 135 + SUMIFS('📋 Detalle Diario'!$I$5:$I$489, '📋 Detalle Diario'!$B$5:$B$489, B504, '📋 Detalle Diario'!$C$5:$C$489, D504) * 200), 0))</f>
        <v/>
      </c>
      <c r="P504" s="32" t="str">
        <f t="shared" si="54"/>
        <v/>
      </c>
      <c r="Q504" s="33" t="str">
        <f t="shared" si="55"/>
        <v/>
      </c>
    </row>
    <row r="505" spans="2:17" ht="18" customHeight="1" x14ac:dyDescent="0.3">
      <c r="B505" s="26"/>
      <c r="C505" s="28"/>
      <c r="D505" s="27"/>
      <c r="E505" s="29"/>
      <c r="F505" s="29"/>
      <c r="G505" s="29"/>
      <c r="H505" s="30" t="str">
        <f t="shared" si="49"/>
        <v/>
      </c>
      <c r="I505" s="31" t="str">
        <f>IF(OR(B505="",C505=""),"",IFERROR(E505*IF(E505="",0,VLOOKUP(C505,'📦 Precios Proforma'!$B$5:$D$104,IF(D505="DIA",2,3),FALSE)),0))</f>
        <v/>
      </c>
      <c r="J505" s="31" t="str">
        <f t="shared" si="50"/>
        <v/>
      </c>
      <c r="K505" s="31" t="str">
        <f t="shared" si="51"/>
        <v/>
      </c>
      <c r="L505" s="31" t="str">
        <f>IF(OR(B505="",C505=""),"",IFERROR(E505 / SUMIFS('📅 Resumen Diario'!$D$5:$D$504, '📅 Resumen Diario'!$B$5:$B$504, B505, '📅 Resumen Diario'!$C$5:$C$504, D505) * SUMIFS('📅 Resumen Diario'!$K$5:$K$504, '📅 Resumen Diario'!$B$5:$B$504, B505, '📅 Resumen Diario'!$C$5:$C$504, D505), 0))</f>
        <v/>
      </c>
      <c r="M505" s="31" t="str">
        <f t="shared" si="52"/>
        <v/>
      </c>
      <c r="N505" s="31" t="str">
        <f t="shared" si="53"/>
        <v/>
      </c>
      <c r="O505" s="31" t="str">
        <f>IF(OR(B505="",C505=""),"",K505-N505 + IFERROR(E505 / SUMIFS('📅 Resumen Diario'!$D$5:$D$504, '📅 Resumen Diario'!$B$5:$B$504, B505, '📅 Resumen Diario'!$C$5:$C$504, D505) * (SUMIFS('📋 Detalle Diario'!$E$5:$E$489, '📋 Detalle Diario'!$B$5:$B$489, B505, '📋 Detalle Diario'!$C$5:$C$489, D505) * 135 + SUMIFS('📋 Detalle Diario'!$I$5:$I$489, '📋 Detalle Diario'!$B$5:$B$489, B505, '📋 Detalle Diario'!$C$5:$C$489, D505) * 200), 0))</f>
        <v/>
      </c>
      <c r="P505" s="32" t="str">
        <f t="shared" si="54"/>
        <v/>
      </c>
      <c r="Q505" s="33" t="str">
        <f t="shared" si="55"/>
        <v/>
      </c>
    </row>
    <row r="506" spans="2:17" ht="18" customHeight="1" x14ac:dyDescent="0.3">
      <c r="B506" s="26"/>
      <c r="C506" s="17"/>
      <c r="D506" s="27"/>
      <c r="E506" s="18"/>
      <c r="F506" s="18"/>
      <c r="G506" s="18"/>
      <c r="H506" s="30" t="str">
        <f t="shared" si="49"/>
        <v/>
      </c>
      <c r="I506" s="31" t="str">
        <f>IF(OR(B506="",C506=""),"",IFERROR(E506*IF(E506="",0,VLOOKUP(C506,'📦 Precios Proforma'!$B$5:$D$104,IF(D506="DIA",2,3),FALSE)),0))</f>
        <v/>
      </c>
      <c r="J506" s="31" t="str">
        <f t="shared" si="50"/>
        <v/>
      </c>
      <c r="K506" s="31" t="str">
        <f t="shared" si="51"/>
        <v/>
      </c>
      <c r="L506" s="31" t="str">
        <f>IF(OR(B506="",C506=""),"",IFERROR(E506 / SUMIFS('📅 Resumen Diario'!$D$5:$D$504, '📅 Resumen Diario'!$B$5:$B$504, B506, '📅 Resumen Diario'!$C$5:$C$504, D506) * SUMIFS('📅 Resumen Diario'!$K$5:$K$504, '📅 Resumen Diario'!$B$5:$B$504, B506, '📅 Resumen Diario'!$C$5:$C$504, D506), 0))</f>
        <v/>
      </c>
      <c r="M506" s="31" t="str">
        <f t="shared" si="52"/>
        <v/>
      </c>
      <c r="N506" s="31" t="str">
        <f t="shared" si="53"/>
        <v/>
      </c>
      <c r="O506" s="31" t="str">
        <f>IF(OR(B506="",C506=""),"",K506-N506 + IFERROR(E506 / SUMIFS('📅 Resumen Diario'!$D$5:$D$504, '📅 Resumen Diario'!$B$5:$B$504, B506, '📅 Resumen Diario'!$C$5:$C$504, D506) * (SUMIFS('📋 Detalle Diario'!$E$5:$E$489, '📋 Detalle Diario'!$B$5:$B$489, B506, '📋 Detalle Diario'!$C$5:$C$489, D506) * 135 + SUMIFS('📋 Detalle Diario'!$I$5:$I$489, '📋 Detalle Diario'!$B$5:$B$489, B506, '📋 Detalle Diario'!$C$5:$C$489, D506) * 200), 0))</f>
        <v/>
      </c>
      <c r="P506" s="32" t="str">
        <f t="shared" si="54"/>
        <v/>
      </c>
      <c r="Q506" s="33" t="str">
        <f t="shared" si="55"/>
        <v/>
      </c>
    </row>
    <row r="507" spans="2:17" ht="18" customHeight="1" x14ac:dyDescent="0.3">
      <c r="B507" s="26"/>
      <c r="C507" s="28"/>
      <c r="D507" s="27"/>
      <c r="E507" s="29"/>
      <c r="F507" s="29"/>
      <c r="G507" s="29"/>
      <c r="H507" s="30" t="str">
        <f t="shared" si="49"/>
        <v/>
      </c>
      <c r="I507" s="31" t="str">
        <f>IF(OR(B507="",C507=""),"",IFERROR(E507*IF(E507="",0,VLOOKUP(C507,'📦 Precios Proforma'!$B$5:$D$104,IF(D507="DIA",2,3),FALSE)),0))</f>
        <v/>
      </c>
      <c r="J507" s="31" t="str">
        <f t="shared" si="50"/>
        <v/>
      </c>
      <c r="K507" s="31" t="str">
        <f t="shared" si="51"/>
        <v/>
      </c>
      <c r="L507" s="31" t="str">
        <f>IF(OR(B507="",C507=""),"",IFERROR(E507 / SUMIFS('📅 Resumen Diario'!$D$5:$D$504, '📅 Resumen Diario'!$B$5:$B$504, B507, '📅 Resumen Diario'!$C$5:$C$504, D507) * SUMIFS('📅 Resumen Diario'!$K$5:$K$504, '📅 Resumen Diario'!$B$5:$B$504, B507, '📅 Resumen Diario'!$C$5:$C$504, D507), 0))</f>
        <v/>
      </c>
      <c r="M507" s="31" t="str">
        <f t="shared" si="52"/>
        <v/>
      </c>
      <c r="N507" s="31" t="str">
        <f t="shared" si="53"/>
        <v/>
      </c>
      <c r="O507" s="31" t="str">
        <f>IF(OR(B507="",C507=""),"",K507-N507 + IFERROR(E507 / SUMIFS('📅 Resumen Diario'!$D$5:$D$504, '📅 Resumen Diario'!$B$5:$B$504, B507, '📅 Resumen Diario'!$C$5:$C$504, D507) * (SUMIFS('📋 Detalle Diario'!$E$5:$E$489, '📋 Detalle Diario'!$B$5:$B$489, B507, '📋 Detalle Diario'!$C$5:$C$489, D507) * 135 + SUMIFS('📋 Detalle Diario'!$I$5:$I$489, '📋 Detalle Diario'!$B$5:$B$489, B507, '📋 Detalle Diario'!$C$5:$C$489, D507) * 200), 0))</f>
        <v/>
      </c>
      <c r="P507" s="32" t="str">
        <f t="shared" si="54"/>
        <v/>
      </c>
      <c r="Q507" s="33" t="str">
        <f t="shared" si="55"/>
        <v/>
      </c>
    </row>
    <row r="508" spans="2:17" ht="18" customHeight="1" x14ac:dyDescent="0.3">
      <c r="B508" s="26"/>
      <c r="C508" s="17"/>
      <c r="D508" s="27"/>
      <c r="E508" s="18"/>
      <c r="F508" s="18"/>
      <c r="G508" s="18"/>
      <c r="H508" s="30" t="str">
        <f t="shared" si="49"/>
        <v/>
      </c>
      <c r="I508" s="31" t="str">
        <f>IF(OR(B508="",C508=""),"",IFERROR(E508*IF(E508="",0,VLOOKUP(C508,'📦 Precios Proforma'!$B$5:$D$104,IF(D508="DIA",2,3),FALSE)),0))</f>
        <v/>
      </c>
      <c r="J508" s="31" t="str">
        <f t="shared" si="50"/>
        <v/>
      </c>
      <c r="K508" s="31" t="str">
        <f t="shared" si="51"/>
        <v/>
      </c>
      <c r="L508" s="31" t="str">
        <f>IF(OR(B508="",C508=""),"",IFERROR(E508 / SUMIFS('📅 Resumen Diario'!$D$5:$D$504, '📅 Resumen Diario'!$B$5:$B$504, B508, '📅 Resumen Diario'!$C$5:$C$504, D508) * SUMIFS('📅 Resumen Diario'!$K$5:$K$504, '📅 Resumen Diario'!$B$5:$B$504, B508, '📅 Resumen Diario'!$C$5:$C$504, D508), 0))</f>
        <v/>
      </c>
      <c r="M508" s="31" t="str">
        <f t="shared" si="52"/>
        <v/>
      </c>
      <c r="N508" s="31" t="str">
        <f t="shared" si="53"/>
        <v/>
      </c>
      <c r="O508" s="31" t="str">
        <f>IF(OR(B508="",C508=""),"",K508-N508 + IFERROR(E508 / SUMIFS('📅 Resumen Diario'!$D$5:$D$504, '📅 Resumen Diario'!$B$5:$B$504, B508, '📅 Resumen Diario'!$C$5:$C$504, D508) * (SUMIFS('📋 Detalle Diario'!$E$5:$E$489, '📋 Detalle Diario'!$B$5:$B$489, B508, '📋 Detalle Diario'!$C$5:$C$489, D508) * 135 + SUMIFS('📋 Detalle Diario'!$I$5:$I$489, '📋 Detalle Diario'!$B$5:$B$489, B508, '📋 Detalle Diario'!$C$5:$C$489, D508) * 200), 0))</f>
        <v/>
      </c>
      <c r="P508" s="32" t="str">
        <f t="shared" si="54"/>
        <v/>
      </c>
      <c r="Q508" s="33" t="str">
        <f t="shared" si="55"/>
        <v/>
      </c>
    </row>
    <row r="509" spans="2:17" ht="18" customHeight="1" x14ac:dyDescent="0.3">
      <c r="B509" s="26"/>
      <c r="C509" s="28"/>
      <c r="D509" s="27"/>
      <c r="E509" s="29"/>
      <c r="F509" s="29"/>
      <c r="G509" s="29"/>
      <c r="H509" s="30" t="str">
        <f t="shared" si="49"/>
        <v/>
      </c>
      <c r="I509" s="31" t="str">
        <f>IF(OR(B509="",C509=""),"",IFERROR(E509*IF(E509="",0,VLOOKUP(C509,'📦 Precios Proforma'!$B$5:$D$104,IF(D509="DIA",2,3),FALSE)),0))</f>
        <v/>
      </c>
      <c r="J509" s="31" t="str">
        <f t="shared" si="50"/>
        <v/>
      </c>
      <c r="K509" s="31" t="str">
        <f t="shared" si="51"/>
        <v/>
      </c>
      <c r="L509" s="31" t="str">
        <f>IF(OR(B509="",C509=""),"",IFERROR(E509 / SUMIFS('📅 Resumen Diario'!$D$5:$D$504, '📅 Resumen Diario'!$B$5:$B$504, B509, '📅 Resumen Diario'!$C$5:$C$504, D509) * SUMIFS('📅 Resumen Diario'!$K$5:$K$504, '📅 Resumen Diario'!$B$5:$B$504, B509, '📅 Resumen Diario'!$C$5:$C$504, D509), 0))</f>
        <v/>
      </c>
      <c r="M509" s="31" t="str">
        <f t="shared" si="52"/>
        <v/>
      </c>
      <c r="N509" s="31" t="str">
        <f t="shared" si="53"/>
        <v/>
      </c>
      <c r="O509" s="31" t="str">
        <f>IF(OR(B509="",C509=""),"",K509-N509 + IFERROR(E509 / SUMIFS('📅 Resumen Diario'!$D$5:$D$504, '📅 Resumen Diario'!$B$5:$B$504, B509, '📅 Resumen Diario'!$C$5:$C$504, D509) * (SUMIFS('📋 Detalle Diario'!$E$5:$E$489, '📋 Detalle Diario'!$B$5:$B$489, B509, '📋 Detalle Diario'!$C$5:$C$489, D509) * 135 + SUMIFS('📋 Detalle Diario'!$I$5:$I$489, '📋 Detalle Diario'!$B$5:$B$489, B509, '📋 Detalle Diario'!$C$5:$C$489, D509) * 200), 0))</f>
        <v/>
      </c>
      <c r="P509" s="32" t="str">
        <f t="shared" si="54"/>
        <v/>
      </c>
      <c r="Q509" s="33" t="str">
        <f t="shared" si="55"/>
        <v/>
      </c>
    </row>
    <row r="510" spans="2:17" ht="18" customHeight="1" x14ac:dyDescent="0.3">
      <c r="B510" s="26"/>
      <c r="C510" s="17"/>
      <c r="D510" s="27"/>
      <c r="E510" s="18"/>
      <c r="F510" s="18"/>
      <c r="G510" s="18"/>
      <c r="H510" s="30" t="str">
        <f t="shared" si="49"/>
        <v/>
      </c>
      <c r="I510" s="31" t="str">
        <f>IF(OR(B510="",C510=""),"",IFERROR(E510*IF(E510="",0,VLOOKUP(C510,'📦 Precios Proforma'!$B$5:$D$104,IF(D510="DIA",2,3),FALSE)),0))</f>
        <v/>
      </c>
      <c r="J510" s="31" t="str">
        <f t="shared" si="50"/>
        <v/>
      </c>
      <c r="K510" s="31" t="str">
        <f t="shared" si="51"/>
        <v/>
      </c>
      <c r="L510" s="31" t="str">
        <f>IF(OR(B510="",C510=""),"",IFERROR(E510 / SUMIFS('📅 Resumen Diario'!$D$5:$D$504, '📅 Resumen Diario'!$B$5:$B$504, B510, '📅 Resumen Diario'!$C$5:$C$504, D510) * SUMIFS('📅 Resumen Diario'!$K$5:$K$504, '📅 Resumen Diario'!$B$5:$B$504, B510, '📅 Resumen Diario'!$C$5:$C$504, D510), 0))</f>
        <v/>
      </c>
      <c r="M510" s="31" t="str">
        <f t="shared" si="52"/>
        <v/>
      </c>
      <c r="N510" s="31" t="str">
        <f t="shared" si="53"/>
        <v/>
      </c>
      <c r="O510" s="31" t="str">
        <f>IF(OR(B510="",C510=""),"",K510-N510 + IFERROR(E510 / SUMIFS('📅 Resumen Diario'!$D$5:$D$504, '📅 Resumen Diario'!$B$5:$B$504, B510, '📅 Resumen Diario'!$C$5:$C$504, D510) * (SUMIFS('📋 Detalle Diario'!$E$5:$E$489, '📋 Detalle Diario'!$B$5:$B$489, B510, '📋 Detalle Diario'!$C$5:$C$489, D510) * 135 + SUMIFS('📋 Detalle Diario'!$I$5:$I$489, '📋 Detalle Diario'!$B$5:$B$489, B510, '📋 Detalle Diario'!$C$5:$C$489, D510) * 200), 0))</f>
        <v/>
      </c>
      <c r="P510" s="32" t="str">
        <f t="shared" si="54"/>
        <v/>
      </c>
      <c r="Q510" s="33" t="str">
        <f t="shared" si="55"/>
        <v/>
      </c>
    </row>
    <row r="511" spans="2:17" ht="18" customHeight="1" x14ac:dyDescent="0.3">
      <c r="B511" s="26"/>
      <c r="C511" s="28"/>
      <c r="D511" s="27"/>
      <c r="E511" s="29"/>
      <c r="F511" s="29"/>
      <c r="G511" s="29"/>
      <c r="H511" s="30" t="str">
        <f t="shared" si="49"/>
        <v/>
      </c>
      <c r="I511" s="31" t="str">
        <f>IF(OR(B511="",C511=""),"",IFERROR(E511*IF(E511="",0,VLOOKUP(C511,'📦 Precios Proforma'!$B$5:$D$104,IF(D511="DIA",2,3),FALSE)),0))</f>
        <v/>
      </c>
      <c r="J511" s="31" t="str">
        <f t="shared" si="50"/>
        <v/>
      </c>
      <c r="K511" s="31" t="str">
        <f t="shared" si="51"/>
        <v/>
      </c>
      <c r="L511" s="31" t="str">
        <f>IF(OR(B511="",C511=""),"",IFERROR(E511 / SUMIFS('📅 Resumen Diario'!$D$5:$D$504, '📅 Resumen Diario'!$B$5:$B$504, B511, '📅 Resumen Diario'!$C$5:$C$504, D511) * SUMIFS('📅 Resumen Diario'!$K$5:$K$504, '📅 Resumen Diario'!$B$5:$B$504, B511, '📅 Resumen Diario'!$C$5:$C$504, D511), 0))</f>
        <v/>
      </c>
      <c r="M511" s="31" t="str">
        <f t="shared" si="52"/>
        <v/>
      </c>
      <c r="N511" s="31" t="str">
        <f t="shared" si="53"/>
        <v/>
      </c>
      <c r="O511" s="31" t="str">
        <f>IF(OR(B511="",C511=""),"",K511-N511 + IFERROR(E511 / SUMIFS('📅 Resumen Diario'!$D$5:$D$504, '📅 Resumen Diario'!$B$5:$B$504, B511, '📅 Resumen Diario'!$C$5:$C$504, D511) * (SUMIFS('📋 Detalle Diario'!$E$5:$E$489, '📋 Detalle Diario'!$B$5:$B$489, B511, '📋 Detalle Diario'!$C$5:$C$489, D511) * 135 + SUMIFS('📋 Detalle Diario'!$I$5:$I$489, '📋 Detalle Diario'!$B$5:$B$489, B511, '📋 Detalle Diario'!$C$5:$C$489, D511) * 200), 0))</f>
        <v/>
      </c>
      <c r="P511" s="32" t="str">
        <f t="shared" si="54"/>
        <v/>
      </c>
      <c r="Q511" s="33" t="str">
        <f t="shared" si="55"/>
        <v/>
      </c>
    </row>
    <row r="512" spans="2:17" ht="18" customHeight="1" x14ac:dyDescent="0.3">
      <c r="B512" s="26"/>
      <c r="C512" s="17"/>
      <c r="D512" s="27"/>
      <c r="E512" s="18"/>
      <c r="F512" s="18"/>
      <c r="G512" s="18"/>
      <c r="H512" s="30" t="str">
        <f t="shared" si="49"/>
        <v/>
      </c>
      <c r="I512" s="31" t="str">
        <f>IF(OR(B512="",C512=""),"",IFERROR(E512*IF(E512="",0,VLOOKUP(C512,'📦 Precios Proforma'!$B$5:$D$104,IF(D512="DIA",2,3),FALSE)),0))</f>
        <v/>
      </c>
      <c r="J512" s="31" t="str">
        <f t="shared" si="50"/>
        <v/>
      </c>
      <c r="K512" s="31" t="str">
        <f t="shared" si="51"/>
        <v/>
      </c>
      <c r="L512" s="31" t="str">
        <f>IF(OR(B512="",C512=""),"",IFERROR(E512 / SUMIFS('📅 Resumen Diario'!$D$5:$D$504, '📅 Resumen Diario'!$B$5:$B$504, B512, '📅 Resumen Diario'!$C$5:$C$504, D512) * SUMIFS('📅 Resumen Diario'!$K$5:$K$504, '📅 Resumen Diario'!$B$5:$B$504, B512, '📅 Resumen Diario'!$C$5:$C$504, D512), 0))</f>
        <v/>
      </c>
      <c r="M512" s="31" t="str">
        <f t="shared" si="52"/>
        <v/>
      </c>
      <c r="N512" s="31" t="str">
        <f t="shared" si="53"/>
        <v/>
      </c>
      <c r="O512" s="31" t="str">
        <f>IF(OR(B512="",C512=""),"",K512-N512 + IFERROR(E512 / SUMIFS('📅 Resumen Diario'!$D$5:$D$504, '📅 Resumen Diario'!$B$5:$B$504, B512, '📅 Resumen Diario'!$C$5:$C$504, D512) * (SUMIFS('📋 Detalle Diario'!$E$5:$E$489, '📋 Detalle Diario'!$B$5:$B$489, B512, '📋 Detalle Diario'!$C$5:$C$489, D512) * 135 + SUMIFS('📋 Detalle Diario'!$I$5:$I$489, '📋 Detalle Diario'!$B$5:$B$489, B512, '📋 Detalle Diario'!$C$5:$C$489, D512) * 200), 0))</f>
        <v/>
      </c>
      <c r="P512" s="32" t="str">
        <f t="shared" si="54"/>
        <v/>
      </c>
      <c r="Q512" s="33" t="str">
        <f t="shared" si="55"/>
        <v/>
      </c>
    </row>
    <row r="513" spans="2:17" ht="18" customHeight="1" x14ac:dyDescent="0.3">
      <c r="B513" s="26"/>
      <c r="C513" s="28"/>
      <c r="D513" s="27"/>
      <c r="E513" s="29"/>
      <c r="F513" s="29"/>
      <c r="G513" s="29"/>
      <c r="H513" s="30" t="str">
        <f t="shared" si="49"/>
        <v/>
      </c>
      <c r="I513" s="31" t="str">
        <f>IF(OR(B513="",C513=""),"",IFERROR(E513*IF(E513="",0,VLOOKUP(C513,'📦 Precios Proforma'!$B$5:$D$104,IF(D513="DIA",2,3),FALSE)),0))</f>
        <v/>
      </c>
      <c r="J513" s="31" t="str">
        <f t="shared" si="50"/>
        <v/>
      </c>
      <c r="K513" s="31" t="str">
        <f t="shared" si="51"/>
        <v/>
      </c>
      <c r="L513" s="31" t="str">
        <f>IF(OR(B513="",C513=""),"",IFERROR(E513 / SUMIFS('📅 Resumen Diario'!$D$5:$D$504, '📅 Resumen Diario'!$B$5:$B$504, B513, '📅 Resumen Diario'!$C$5:$C$504, D513) * SUMIFS('📅 Resumen Diario'!$K$5:$K$504, '📅 Resumen Diario'!$B$5:$B$504, B513, '📅 Resumen Diario'!$C$5:$C$504, D513), 0))</f>
        <v/>
      </c>
      <c r="M513" s="31" t="str">
        <f t="shared" si="52"/>
        <v/>
      </c>
      <c r="N513" s="31" t="str">
        <f t="shared" si="53"/>
        <v/>
      </c>
      <c r="O513" s="31" t="str">
        <f>IF(OR(B513="",C513=""),"",K513-N513 + IFERROR(E513 / SUMIFS('📅 Resumen Diario'!$D$5:$D$504, '📅 Resumen Diario'!$B$5:$B$504, B513, '📅 Resumen Diario'!$C$5:$C$504, D513) * (SUMIFS('📋 Detalle Diario'!$E$5:$E$489, '📋 Detalle Diario'!$B$5:$B$489, B513, '📋 Detalle Diario'!$C$5:$C$489, D513) * 135 + SUMIFS('📋 Detalle Diario'!$I$5:$I$489, '📋 Detalle Diario'!$B$5:$B$489, B513, '📋 Detalle Diario'!$C$5:$C$489, D513) * 200), 0))</f>
        <v/>
      </c>
      <c r="P513" s="32" t="str">
        <f t="shared" si="54"/>
        <v/>
      </c>
      <c r="Q513" s="33" t="str">
        <f t="shared" si="55"/>
        <v/>
      </c>
    </row>
    <row r="514" spans="2:17" ht="18" customHeight="1" x14ac:dyDescent="0.3">
      <c r="B514" s="26"/>
      <c r="C514" s="17"/>
      <c r="D514" s="27"/>
      <c r="E514" s="18"/>
      <c r="F514" s="18"/>
      <c r="G514" s="18"/>
      <c r="H514" s="30" t="str">
        <f t="shared" si="49"/>
        <v/>
      </c>
      <c r="I514" s="31" t="str">
        <f>IF(OR(B514="",C514=""),"",IFERROR(E514*IF(E514="",0,VLOOKUP(C514,'📦 Precios Proforma'!$B$5:$D$104,IF(D514="DIA",2,3),FALSE)),0))</f>
        <v/>
      </c>
      <c r="J514" s="31" t="str">
        <f t="shared" si="50"/>
        <v/>
      </c>
      <c r="K514" s="31" t="str">
        <f t="shared" si="51"/>
        <v/>
      </c>
      <c r="L514" s="31" t="str">
        <f>IF(OR(B514="",C514=""),"",IFERROR(E514 / SUMIFS('📅 Resumen Diario'!$D$5:$D$504, '📅 Resumen Diario'!$B$5:$B$504, B514, '📅 Resumen Diario'!$C$5:$C$504, D514) * SUMIFS('📅 Resumen Diario'!$K$5:$K$504, '📅 Resumen Diario'!$B$5:$B$504, B514, '📅 Resumen Diario'!$C$5:$C$504, D514), 0))</f>
        <v/>
      </c>
      <c r="M514" s="31" t="str">
        <f t="shared" si="52"/>
        <v/>
      </c>
      <c r="N514" s="31" t="str">
        <f t="shared" si="53"/>
        <v/>
      </c>
      <c r="O514" s="31" t="str">
        <f>IF(OR(B514="",C514=""),"",K514-N514 + IFERROR(E514 / SUMIFS('📅 Resumen Diario'!$D$5:$D$504, '📅 Resumen Diario'!$B$5:$B$504, B514, '📅 Resumen Diario'!$C$5:$C$504, D514) * (SUMIFS('📋 Detalle Diario'!$E$5:$E$489, '📋 Detalle Diario'!$B$5:$B$489, B514, '📋 Detalle Diario'!$C$5:$C$489, D514) * 135 + SUMIFS('📋 Detalle Diario'!$I$5:$I$489, '📋 Detalle Diario'!$B$5:$B$489, B514, '📋 Detalle Diario'!$C$5:$C$489, D514) * 200), 0))</f>
        <v/>
      </c>
      <c r="P514" s="32" t="str">
        <f t="shared" si="54"/>
        <v/>
      </c>
      <c r="Q514" s="33" t="str">
        <f t="shared" si="55"/>
        <v/>
      </c>
    </row>
    <row r="515" spans="2:17" ht="18" customHeight="1" x14ac:dyDescent="0.3">
      <c r="B515" s="26"/>
      <c r="C515" s="28"/>
      <c r="D515" s="27"/>
      <c r="E515" s="29"/>
      <c r="F515" s="29"/>
      <c r="G515" s="29"/>
      <c r="H515" s="30" t="str">
        <f t="shared" si="49"/>
        <v/>
      </c>
      <c r="I515" s="31" t="str">
        <f>IF(OR(B515="",C515=""),"",IFERROR(E515*IF(E515="",0,VLOOKUP(C515,'📦 Precios Proforma'!$B$5:$D$104,IF(D515="DIA",2,3),FALSE)),0))</f>
        <v/>
      </c>
      <c r="J515" s="31" t="str">
        <f t="shared" si="50"/>
        <v/>
      </c>
      <c r="K515" s="31" t="str">
        <f t="shared" si="51"/>
        <v/>
      </c>
      <c r="L515" s="31" t="str">
        <f>IF(OR(B515="",C515=""),"",IFERROR(E515 / SUMIFS('📅 Resumen Diario'!$D$5:$D$504, '📅 Resumen Diario'!$B$5:$B$504, B515, '📅 Resumen Diario'!$C$5:$C$504, D515) * SUMIFS('📅 Resumen Diario'!$K$5:$K$504, '📅 Resumen Diario'!$B$5:$B$504, B515, '📅 Resumen Diario'!$C$5:$C$504, D515), 0))</f>
        <v/>
      </c>
      <c r="M515" s="31" t="str">
        <f t="shared" si="52"/>
        <v/>
      </c>
      <c r="N515" s="31" t="str">
        <f t="shared" si="53"/>
        <v/>
      </c>
      <c r="O515" s="31" t="str">
        <f>IF(OR(B515="",C515=""),"",K515-N515 + IFERROR(E515 / SUMIFS('📅 Resumen Diario'!$D$5:$D$504, '📅 Resumen Diario'!$B$5:$B$504, B515, '📅 Resumen Diario'!$C$5:$C$504, D515) * (SUMIFS('📋 Detalle Diario'!$E$5:$E$489, '📋 Detalle Diario'!$B$5:$B$489, B515, '📋 Detalle Diario'!$C$5:$C$489, D515) * 135 + SUMIFS('📋 Detalle Diario'!$I$5:$I$489, '📋 Detalle Diario'!$B$5:$B$489, B515, '📋 Detalle Diario'!$C$5:$C$489, D515) * 200), 0))</f>
        <v/>
      </c>
      <c r="P515" s="32" t="str">
        <f t="shared" si="54"/>
        <v/>
      </c>
      <c r="Q515" s="33" t="str">
        <f t="shared" si="55"/>
        <v/>
      </c>
    </row>
    <row r="516" spans="2:17" ht="18" customHeight="1" x14ac:dyDescent="0.3">
      <c r="B516" s="26"/>
      <c r="C516" s="17"/>
      <c r="D516" s="27"/>
      <c r="E516" s="18"/>
      <c r="F516" s="18"/>
      <c r="G516" s="18"/>
      <c r="H516" s="30" t="str">
        <f t="shared" si="49"/>
        <v/>
      </c>
      <c r="I516" s="31" t="str">
        <f>IF(OR(B516="",C516=""),"",IFERROR(E516*IF(E516="",0,VLOOKUP(C516,'📦 Precios Proforma'!$B$5:$D$104,IF(D516="DIA",2,3),FALSE)),0))</f>
        <v/>
      </c>
      <c r="J516" s="31" t="str">
        <f t="shared" si="50"/>
        <v/>
      </c>
      <c r="K516" s="31" t="str">
        <f t="shared" si="51"/>
        <v/>
      </c>
      <c r="L516" s="31" t="str">
        <f>IF(OR(B516="",C516=""),"",IFERROR(E516 / SUMIFS('📅 Resumen Diario'!$D$5:$D$504, '📅 Resumen Diario'!$B$5:$B$504, B516, '📅 Resumen Diario'!$C$5:$C$504, D516) * SUMIFS('📅 Resumen Diario'!$K$5:$K$504, '📅 Resumen Diario'!$B$5:$B$504, B516, '📅 Resumen Diario'!$C$5:$C$504, D516), 0))</f>
        <v/>
      </c>
      <c r="M516" s="31" t="str">
        <f t="shared" si="52"/>
        <v/>
      </c>
      <c r="N516" s="31" t="str">
        <f t="shared" si="53"/>
        <v/>
      </c>
      <c r="O516" s="31" t="str">
        <f>IF(OR(B516="",C516=""),"",K516-N516 + IFERROR(E516 / SUMIFS('📅 Resumen Diario'!$D$5:$D$504, '📅 Resumen Diario'!$B$5:$B$504, B516, '📅 Resumen Diario'!$C$5:$C$504, D516) * (SUMIFS('📋 Detalle Diario'!$E$5:$E$489, '📋 Detalle Diario'!$B$5:$B$489, B516, '📋 Detalle Diario'!$C$5:$C$489, D516) * 135 + SUMIFS('📋 Detalle Diario'!$I$5:$I$489, '📋 Detalle Diario'!$B$5:$B$489, B516, '📋 Detalle Diario'!$C$5:$C$489, D516) * 200), 0))</f>
        <v/>
      </c>
      <c r="P516" s="32" t="str">
        <f t="shared" si="54"/>
        <v/>
      </c>
      <c r="Q516" s="33" t="str">
        <f t="shared" si="55"/>
        <v/>
      </c>
    </row>
    <row r="517" spans="2:17" ht="18" customHeight="1" x14ac:dyDescent="0.3">
      <c r="B517" s="26"/>
      <c r="C517" s="28"/>
      <c r="D517" s="27"/>
      <c r="E517" s="29"/>
      <c r="F517" s="29"/>
      <c r="G517" s="29"/>
      <c r="H517" s="30" t="str">
        <f t="shared" si="49"/>
        <v/>
      </c>
      <c r="I517" s="31" t="str">
        <f>IF(OR(B517="",C517=""),"",IFERROR(E517*IF(E517="",0,VLOOKUP(C517,'📦 Precios Proforma'!$B$5:$D$104,IF(D517="DIA",2,3),FALSE)),0))</f>
        <v/>
      </c>
      <c r="J517" s="31" t="str">
        <f t="shared" si="50"/>
        <v/>
      </c>
      <c r="K517" s="31" t="str">
        <f t="shared" si="51"/>
        <v/>
      </c>
      <c r="L517" s="31" t="str">
        <f>IF(OR(B517="",C517=""),"",IFERROR(E517 / SUMIFS('📅 Resumen Diario'!$D$5:$D$504, '📅 Resumen Diario'!$B$5:$B$504, B517, '📅 Resumen Diario'!$C$5:$C$504, D517) * SUMIFS('📅 Resumen Diario'!$K$5:$K$504, '📅 Resumen Diario'!$B$5:$B$504, B517, '📅 Resumen Diario'!$C$5:$C$504, D517), 0))</f>
        <v/>
      </c>
      <c r="M517" s="31" t="str">
        <f t="shared" si="52"/>
        <v/>
      </c>
      <c r="N517" s="31" t="str">
        <f t="shared" si="53"/>
        <v/>
      </c>
      <c r="O517" s="31" t="str">
        <f>IF(OR(B517="",C517=""),"",K517-N517 + IFERROR(E517 / SUMIFS('📅 Resumen Diario'!$D$5:$D$504, '📅 Resumen Diario'!$B$5:$B$504, B517, '📅 Resumen Diario'!$C$5:$C$504, D517) * (SUMIFS('📋 Detalle Diario'!$E$5:$E$489, '📋 Detalle Diario'!$B$5:$B$489, B517, '📋 Detalle Diario'!$C$5:$C$489, D517) * 135 + SUMIFS('📋 Detalle Diario'!$I$5:$I$489, '📋 Detalle Diario'!$B$5:$B$489, B517, '📋 Detalle Diario'!$C$5:$C$489, D517) * 200), 0))</f>
        <v/>
      </c>
      <c r="P517" s="32" t="str">
        <f t="shared" si="54"/>
        <v/>
      </c>
      <c r="Q517" s="33" t="str">
        <f t="shared" si="55"/>
        <v/>
      </c>
    </row>
    <row r="518" spans="2:17" ht="18" customHeight="1" x14ac:dyDescent="0.3">
      <c r="B518" s="26"/>
      <c r="C518" s="17"/>
      <c r="D518" s="27"/>
      <c r="E518" s="18"/>
      <c r="F518" s="18"/>
      <c r="G518" s="18"/>
      <c r="H518" s="30" t="str">
        <f t="shared" si="49"/>
        <v/>
      </c>
      <c r="I518" s="31" t="str">
        <f>IF(OR(B518="",C518=""),"",IFERROR(E518*IF(E518="",0,VLOOKUP(C518,'📦 Precios Proforma'!$B$5:$D$104,IF(D518="DIA",2,3),FALSE)),0))</f>
        <v/>
      </c>
      <c r="J518" s="31" t="str">
        <f t="shared" si="50"/>
        <v/>
      </c>
      <c r="K518" s="31" t="str">
        <f t="shared" si="51"/>
        <v/>
      </c>
      <c r="L518" s="31" t="str">
        <f>IF(OR(B518="",C518=""),"",IFERROR(E518 / SUMIFS('📅 Resumen Diario'!$D$5:$D$504, '📅 Resumen Diario'!$B$5:$B$504, B518, '📅 Resumen Diario'!$C$5:$C$504, D518) * SUMIFS('📅 Resumen Diario'!$K$5:$K$504, '📅 Resumen Diario'!$B$5:$B$504, B518, '📅 Resumen Diario'!$C$5:$C$504, D518), 0))</f>
        <v/>
      </c>
      <c r="M518" s="31" t="str">
        <f t="shared" si="52"/>
        <v/>
      </c>
      <c r="N518" s="31" t="str">
        <f t="shared" si="53"/>
        <v/>
      </c>
      <c r="O518" s="31" t="str">
        <f>IF(OR(B518="",C518=""),"",K518-N518 + IFERROR(E518 / SUMIFS('📅 Resumen Diario'!$D$5:$D$504, '📅 Resumen Diario'!$B$5:$B$504, B518, '📅 Resumen Diario'!$C$5:$C$504, D518) * (SUMIFS('📋 Detalle Diario'!$E$5:$E$489, '📋 Detalle Diario'!$B$5:$B$489, B518, '📋 Detalle Diario'!$C$5:$C$489, D518) * 135 + SUMIFS('📋 Detalle Diario'!$I$5:$I$489, '📋 Detalle Diario'!$B$5:$B$489, B518, '📋 Detalle Diario'!$C$5:$C$489, D518) * 200), 0))</f>
        <v/>
      </c>
      <c r="P518" s="32" t="str">
        <f t="shared" si="54"/>
        <v/>
      </c>
      <c r="Q518" s="33" t="str">
        <f t="shared" si="55"/>
        <v/>
      </c>
    </row>
    <row r="519" spans="2:17" ht="18" customHeight="1" x14ac:dyDescent="0.3">
      <c r="B519" s="26"/>
      <c r="C519" s="28"/>
      <c r="D519" s="27"/>
      <c r="E519" s="29"/>
      <c r="F519" s="29"/>
      <c r="G519" s="29"/>
      <c r="H519" s="30" t="str">
        <f t="shared" ref="H519:H582" si="56">IF(OR(B519="",C519=""),"",F519+G519)</f>
        <v/>
      </c>
      <c r="I519" s="31" t="str">
        <f>IF(OR(B519="",C519=""),"",IFERROR(E519*IF(E519="",0,VLOOKUP(C519,'📦 Precios Proforma'!$B$5:$D$104,IF(D519="DIA",2,3),FALSE)),0))</f>
        <v/>
      </c>
      <c r="J519" s="31" t="str">
        <f t="shared" ref="J519:J582" si="57">IF(OR(B519="",C519=""),"",IF(D519="DIA",H519*1.01,H519*1.35))</f>
        <v/>
      </c>
      <c r="K519" s="31" t="str">
        <f t="shared" ref="K519:K582" si="58">IF(OR(B519="",C519=""),"",I519+J519)</f>
        <v/>
      </c>
      <c r="L519" s="31" t="str">
        <f>IF(OR(B519="",C519=""),"",IFERROR(E519 / SUMIFS('📅 Resumen Diario'!$D$5:$D$504, '📅 Resumen Diario'!$B$5:$B$504, B519, '📅 Resumen Diario'!$C$5:$C$504, D519) * SUMIFS('📅 Resumen Diario'!$K$5:$K$504, '📅 Resumen Diario'!$B$5:$B$504, B519, '📅 Resumen Diario'!$C$5:$C$504, D519), 0))</f>
        <v/>
      </c>
      <c r="M519" s="31" t="str">
        <f t="shared" ref="M519:M582" si="59">IF(OR(B519="",C519=""),"",H519*0.09)</f>
        <v/>
      </c>
      <c r="N519" s="31" t="str">
        <f t="shared" ref="N519:N582" si="60">IF(OR(B519="",C519=""),"",L519+M519)</f>
        <v/>
      </c>
      <c r="O519" s="31" t="str">
        <f>IF(OR(B519="",C519=""),"",K519-N519 + IFERROR(E519 / SUMIFS('📅 Resumen Diario'!$D$5:$D$504, '📅 Resumen Diario'!$B$5:$B$504, B519, '📅 Resumen Diario'!$C$5:$C$504, D519) * (SUMIFS('📋 Detalle Diario'!$E$5:$E$489, '📋 Detalle Diario'!$B$5:$B$489, B519, '📋 Detalle Diario'!$C$5:$C$489, D519) * 135 + SUMIFS('📋 Detalle Diario'!$I$5:$I$489, '📋 Detalle Diario'!$B$5:$B$489, B519, '📋 Detalle Diario'!$C$5:$C$489, D519) * 200), 0))</f>
        <v/>
      </c>
      <c r="P519" s="32" t="str">
        <f t="shared" ref="P519:P582" si="61">IF(OR(B519="",C519=""),"",IF(K519=0, 0, O519/K519))</f>
        <v/>
      </c>
      <c r="Q519" s="33" t="str">
        <f t="shared" ref="Q519:Q582" si="62">IF(B519="","",IF(ISNUMBER(B519),YEAR(B519)&amp;"-"&amp;IF(MONTH(B519)&lt;10,"0","")&amp;MONTH(B519),LEFT(B519,7)))</f>
        <v/>
      </c>
    </row>
    <row r="520" spans="2:17" ht="18" customHeight="1" x14ac:dyDescent="0.3">
      <c r="B520" s="26"/>
      <c r="C520" s="17"/>
      <c r="D520" s="27"/>
      <c r="E520" s="18"/>
      <c r="F520" s="18"/>
      <c r="G520" s="18"/>
      <c r="H520" s="30" t="str">
        <f t="shared" si="56"/>
        <v/>
      </c>
      <c r="I520" s="31" t="str">
        <f>IF(OR(B520="",C520=""),"",IFERROR(E520*IF(E520="",0,VLOOKUP(C520,'📦 Precios Proforma'!$B$5:$D$104,IF(D520="DIA",2,3),FALSE)),0))</f>
        <v/>
      </c>
      <c r="J520" s="31" t="str">
        <f t="shared" si="57"/>
        <v/>
      </c>
      <c r="K520" s="31" t="str">
        <f t="shared" si="58"/>
        <v/>
      </c>
      <c r="L520" s="31" t="str">
        <f>IF(OR(B520="",C520=""),"",IFERROR(E520 / SUMIFS('📅 Resumen Diario'!$D$5:$D$504, '📅 Resumen Diario'!$B$5:$B$504, B520, '📅 Resumen Diario'!$C$5:$C$504, D520) * SUMIFS('📅 Resumen Diario'!$K$5:$K$504, '📅 Resumen Diario'!$B$5:$B$504, B520, '📅 Resumen Diario'!$C$5:$C$504, D520), 0))</f>
        <v/>
      </c>
      <c r="M520" s="31" t="str">
        <f t="shared" si="59"/>
        <v/>
      </c>
      <c r="N520" s="31" t="str">
        <f t="shared" si="60"/>
        <v/>
      </c>
      <c r="O520" s="31" t="str">
        <f>IF(OR(B520="",C520=""),"",K520-N520 + IFERROR(E520 / SUMIFS('📅 Resumen Diario'!$D$5:$D$504, '📅 Resumen Diario'!$B$5:$B$504, B520, '📅 Resumen Diario'!$C$5:$C$504, D520) * (SUMIFS('📋 Detalle Diario'!$E$5:$E$489, '📋 Detalle Diario'!$B$5:$B$489, B520, '📋 Detalle Diario'!$C$5:$C$489, D520) * 135 + SUMIFS('📋 Detalle Diario'!$I$5:$I$489, '📋 Detalle Diario'!$B$5:$B$489, B520, '📋 Detalle Diario'!$C$5:$C$489, D520) * 200), 0))</f>
        <v/>
      </c>
      <c r="P520" s="32" t="str">
        <f t="shared" si="61"/>
        <v/>
      </c>
      <c r="Q520" s="33" t="str">
        <f t="shared" si="62"/>
        <v/>
      </c>
    </row>
    <row r="521" spans="2:17" ht="18" customHeight="1" x14ac:dyDescent="0.3">
      <c r="B521" s="26"/>
      <c r="C521" s="28"/>
      <c r="D521" s="27"/>
      <c r="E521" s="29"/>
      <c r="F521" s="29"/>
      <c r="G521" s="29"/>
      <c r="H521" s="30" t="str">
        <f t="shared" si="56"/>
        <v/>
      </c>
      <c r="I521" s="31" t="str">
        <f>IF(OR(B521="",C521=""),"",IFERROR(E521*IF(E521="",0,VLOOKUP(C521,'📦 Precios Proforma'!$B$5:$D$104,IF(D521="DIA",2,3),FALSE)),0))</f>
        <v/>
      </c>
      <c r="J521" s="31" t="str">
        <f t="shared" si="57"/>
        <v/>
      </c>
      <c r="K521" s="31" t="str">
        <f t="shared" si="58"/>
        <v/>
      </c>
      <c r="L521" s="31" t="str">
        <f>IF(OR(B521="",C521=""),"",IFERROR(E521 / SUMIFS('📅 Resumen Diario'!$D$5:$D$504, '📅 Resumen Diario'!$B$5:$B$504, B521, '📅 Resumen Diario'!$C$5:$C$504, D521) * SUMIFS('📅 Resumen Diario'!$K$5:$K$504, '📅 Resumen Diario'!$B$5:$B$504, B521, '📅 Resumen Diario'!$C$5:$C$504, D521), 0))</f>
        <v/>
      </c>
      <c r="M521" s="31" t="str">
        <f t="shared" si="59"/>
        <v/>
      </c>
      <c r="N521" s="31" t="str">
        <f t="shared" si="60"/>
        <v/>
      </c>
      <c r="O521" s="31" t="str">
        <f>IF(OR(B521="",C521=""),"",K521-N521 + IFERROR(E521 / SUMIFS('📅 Resumen Diario'!$D$5:$D$504, '📅 Resumen Diario'!$B$5:$B$504, B521, '📅 Resumen Diario'!$C$5:$C$504, D521) * (SUMIFS('📋 Detalle Diario'!$E$5:$E$489, '📋 Detalle Diario'!$B$5:$B$489, B521, '📋 Detalle Diario'!$C$5:$C$489, D521) * 135 + SUMIFS('📋 Detalle Diario'!$I$5:$I$489, '📋 Detalle Diario'!$B$5:$B$489, B521, '📋 Detalle Diario'!$C$5:$C$489, D521) * 200), 0))</f>
        <v/>
      </c>
      <c r="P521" s="32" t="str">
        <f t="shared" si="61"/>
        <v/>
      </c>
      <c r="Q521" s="33" t="str">
        <f t="shared" si="62"/>
        <v/>
      </c>
    </row>
    <row r="522" spans="2:17" ht="18" customHeight="1" x14ac:dyDescent="0.3">
      <c r="B522" s="26"/>
      <c r="C522" s="17"/>
      <c r="D522" s="27"/>
      <c r="E522" s="18"/>
      <c r="F522" s="18"/>
      <c r="G522" s="18"/>
      <c r="H522" s="30" t="str">
        <f t="shared" si="56"/>
        <v/>
      </c>
      <c r="I522" s="31" t="str">
        <f>IF(OR(B522="",C522=""),"",IFERROR(E522*IF(E522="",0,VLOOKUP(C522,'📦 Precios Proforma'!$B$5:$D$104,IF(D522="DIA",2,3),FALSE)),0))</f>
        <v/>
      </c>
      <c r="J522" s="31" t="str">
        <f t="shared" si="57"/>
        <v/>
      </c>
      <c r="K522" s="31" t="str">
        <f t="shared" si="58"/>
        <v/>
      </c>
      <c r="L522" s="31" t="str">
        <f>IF(OR(B522="",C522=""),"",IFERROR(E522 / SUMIFS('📅 Resumen Diario'!$D$5:$D$504, '📅 Resumen Diario'!$B$5:$B$504, B522, '📅 Resumen Diario'!$C$5:$C$504, D522) * SUMIFS('📅 Resumen Diario'!$K$5:$K$504, '📅 Resumen Diario'!$B$5:$B$504, B522, '📅 Resumen Diario'!$C$5:$C$504, D522), 0))</f>
        <v/>
      </c>
      <c r="M522" s="31" t="str">
        <f t="shared" si="59"/>
        <v/>
      </c>
      <c r="N522" s="31" t="str">
        <f t="shared" si="60"/>
        <v/>
      </c>
      <c r="O522" s="31" t="str">
        <f>IF(OR(B522="",C522=""),"",K522-N522 + IFERROR(E522 / SUMIFS('📅 Resumen Diario'!$D$5:$D$504, '📅 Resumen Diario'!$B$5:$B$504, B522, '📅 Resumen Diario'!$C$5:$C$504, D522) * (SUMIFS('📋 Detalle Diario'!$E$5:$E$489, '📋 Detalle Diario'!$B$5:$B$489, B522, '📋 Detalle Diario'!$C$5:$C$489, D522) * 135 + SUMIFS('📋 Detalle Diario'!$I$5:$I$489, '📋 Detalle Diario'!$B$5:$B$489, B522, '📋 Detalle Diario'!$C$5:$C$489, D522) * 200), 0))</f>
        <v/>
      </c>
      <c r="P522" s="32" t="str">
        <f t="shared" si="61"/>
        <v/>
      </c>
      <c r="Q522" s="33" t="str">
        <f t="shared" si="62"/>
        <v/>
      </c>
    </row>
    <row r="523" spans="2:17" ht="18" customHeight="1" x14ac:dyDescent="0.3">
      <c r="B523" s="26"/>
      <c r="C523" s="28"/>
      <c r="D523" s="27"/>
      <c r="E523" s="29"/>
      <c r="F523" s="29"/>
      <c r="G523" s="29"/>
      <c r="H523" s="30" t="str">
        <f t="shared" si="56"/>
        <v/>
      </c>
      <c r="I523" s="31" t="str">
        <f>IF(OR(B523="",C523=""),"",IFERROR(E523*IF(E523="",0,VLOOKUP(C523,'📦 Precios Proforma'!$B$5:$D$104,IF(D523="DIA",2,3),FALSE)),0))</f>
        <v/>
      </c>
      <c r="J523" s="31" t="str">
        <f t="shared" si="57"/>
        <v/>
      </c>
      <c r="K523" s="31" t="str">
        <f t="shared" si="58"/>
        <v/>
      </c>
      <c r="L523" s="31" t="str">
        <f>IF(OR(B523="",C523=""),"",IFERROR(E523 / SUMIFS('📅 Resumen Diario'!$D$5:$D$504, '📅 Resumen Diario'!$B$5:$B$504, B523, '📅 Resumen Diario'!$C$5:$C$504, D523) * SUMIFS('📅 Resumen Diario'!$K$5:$K$504, '📅 Resumen Diario'!$B$5:$B$504, B523, '📅 Resumen Diario'!$C$5:$C$504, D523), 0))</f>
        <v/>
      </c>
      <c r="M523" s="31" t="str">
        <f t="shared" si="59"/>
        <v/>
      </c>
      <c r="N523" s="31" t="str">
        <f t="shared" si="60"/>
        <v/>
      </c>
      <c r="O523" s="31" t="str">
        <f>IF(OR(B523="",C523=""),"",K523-N523 + IFERROR(E523 / SUMIFS('📅 Resumen Diario'!$D$5:$D$504, '📅 Resumen Diario'!$B$5:$B$504, B523, '📅 Resumen Diario'!$C$5:$C$504, D523) * (SUMIFS('📋 Detalle Diario'!$E$5:$E$489, '📋 Detalle Diario'!$B$5:$B$489, B523, '📋 Detalle Diario'!$C$5:$C$489, D523) * 135 + SUMIFS('📋 Detalle Diario'!$I$5:$I$489, '📋 Detalle Diario'!$B$5:$B$489, B523, '📋 Detalle Diario'!$C$5:$C$489, D523) * 200), 0))</f>
        <v/>
      </c>
      <c r="P523" s="32" t="str">
        <f t="shared" si="61"/>
        <v/>
      </c>
      <c r="Q523" s="33" t="str">
        <f t="shared" si="62"/>
        <v/>
      </c>
    </row>
    <row r="524" spans="2:17" ht="18" customHeight="1" x14ac:dyDescent="0.3">
      <c r="B524" s="26"/>
      <c r="C524" s="17"/>
      <c r="D524" s="27"/>
      <c r="E524" s="18"/>
      <c r="F524" s="18"/>
      <c r="G524" s="18"/>
      <c r="H524" s="30" t="str">
        <f t="shared" si="56"/>
        <v/>
      </c>
      <c r="I524" s="31" t="str">
        <f>IF(OR(B524="",C524=""),"",IFERROR(E524*IF(E524="",0,VLOOKUP(C524,'📦 Precios Proforma'!$B$5:$D$104,IF(D524="DIA",2,3),FALSE)),0))</f>
        <v/>
      </c>
      <c r="J524" s="31" t="str">
        <f t="shared" si="57"/>
        <v/>
      </c>
      <c r="K524" s="31" t="str">
        <f t="shared" si="58"/>
        <v/>
      </c>
      <c r="L524" s="31" t="str">
        <f>IF(OR(B524="",C524=""),"",IFERROR(E524 / SUMIFS('📅 Resumen Diario'!$D$5:$D$504, '📅 Resumen Diario'!$B$5:$B$504, B524, '📅 Resumen Diario'!$C$5:$C$504, D524) * SUMIFS('📅 Resumen Diario'!$K$5:$K$504, '📅 Resumen Diario'!$B$5:$B$504, B524, '📅 Resumen Diario'!$C$5:$C$504, D524), 0))</f>
        <v/>
      </c>
      <c r="M524" s="31" t="str">
        <f t="shared" si="59"/>
        <v/>
      </c>
      <c r="N524" s="31" t="str">
        <f t="shared" si="60"/>
        <v/>
      </c>
      <c r="O524" s="31" t="str">
        <f>IF(OR(B524="",C524=""),"",K524-N524 + IFERROR(E524 / SUMIFS('📅 Resumen Diario'!$D$5:$D$504, '📅 Resumen Diario'!$B$5:$B$504, B524, '📅 Resumen Diario'!$C$5:$C$504, D524) * (SUMIFS('📋 Detalle Diario'!$E$5:$E$489, '📋 Detalle Diario'!$B$5:$B$489, B524, '📋 Detalle Diario'!$C$5:$C$489, D524) * 135 + SUMIFS('📋 Detalle Diario'!$I$5:$I$489, '📋 Detalle Diario'!$B$5:$B$489, B524, '📋 Detalle Diario'!$C$5:$C$489, D524) * 200), 0))</f>
        <v/>
      </c>
      <c r="P524" s="32" t="str">
        <f t="shared" si="61"/>
        <v/>
      </c>
      <c r="Q524" s="33" t="str">
        <f t="shared" si="62"/>
        <v/>
      </c>
    </row>
    <row r="525" spans="2:17" ht="18" customHeight="1" x14ac:dyDescent="0.3">
      <c r="B525" s="26"/>
      <c r="C525" s="28"/>
      <c r="D525" s="27"/>
      <c r="E525" s="29"/>
      <c r="F525" s="29"/>
      <c r="G525" s="29"/>
      <c r="H525" s="30" t="str">
        <f t="shared" si="56"/>
        <v/>
      </c>
      <c r="I525" s="31" t="str">
        <f>IF(OR(B525="",C525=""),"",IFERROR(E525*IF(E525="",0,VLOOKUP(C525,'📦 Precios Proforma'!$B$5:$D$104,IF(D525="DIA",2,3),FALSE)),0))</f>
        <v/>
      </c>
      <c r="J525" s="31" t="str">
        <f t="shared" si="57"/>
        <v/>
      </c>
      <c r="K525" s="31" t="str">
        <f t="shared" si="58"/>
        <v/>
      </c>
      <c r="L525" s="31" t="str">
        <f>IF(OR(B525="",C525=""),"",IFERROR(E525 / SUMIFS('📅 Resumen Diario'!$D$5:$D$504, '📅 Resumen Diario'!$B$5:$B$504, B525, '📅 Resumen Diario'!$C$5:$C$504, D525) * SUMIFS('📅 Resumen Diario'!$K$5:$K$504, '📅 Resumen Diario'!$B$5:$B$504, B525, '📅 Resumen Diario'!$C$5:$C$504, D525), 0))</f>
        <v/>
      </c>
      <c r="M525" s="31" t="str">
        <f t="shared" si="59"/>
        <v/>
      </c>
      <c r="N525" s="31" t="str">
        <f t="shared" si="60"/>
        <v/>
      </c>
      <c r="O525" s="31" t="str">
        <f>IF(OR(B525="",C525=""),"",K525-N525 + IFERROR(E525 / SUMIFS('📅 Resumen Diario'!$D$5:$D$504, '📅 Resumen Diario'!$B$5:$B$504, B525, '📅 Resumen Diario'!$C$5:$C$504, D525) * (SUMIFS('📋 Detalle Diario'!$E$5:$E$489, '📋 Detalle Diario'!$B$5:$B$489, B525, '📋 Detalle Diario'!$C$5:$C$489, D525) * 135 + SUMIFS('📋 Detalle Diario'!$I$5:$I$489, '📋 Detalle Diario'!$B$5:$B$489, B525, '📋 Detalle Diario'!$C$5:$C$489, D525) * 200), 0))</f>
        <v/>
      </c>
      <c r="P525" s="32" t="str">
        <f t="shared" si="61"/>
        <v/>
      </c>
      <c r="Q525" s="33" t="str">
        <f t="shared" si="62"/>
        <v/>
      </c>
    </row>
    <row r="526" spans="2:17" ht="18" customHeight="1" x14ac:dyDescent="0.3">
      <c r="B526" s="26"/>
      <c r="C526" s="17"/>
      <c r="D526" s="27"/>
      <c r="E526" s="18"/>
      <c r="F526" s="18"/>
      <c r="G526" s="18"/>
      <c r="H526" s="30" t="str">
        <f t="shared" si="56"/>
        <v/>
      </c>
      <c r="I526" s="31" t="str">
        <f>IF(OR(B526="",C526=""),"",IFERROR(E526*IF(E526="",0,VLOOKUP(C526,'📦 Precios Proforma'!$B$5:$D$104,IF(D526="DIA",2,3),FALSE)),0))</f>
        <v/>
      </c>
      <c r="J526" s="31" t="str">
        <f t="shared" si="57"/>
        <v/>
      </c>
      <c r="K526" s="31" t="str">
        <f t="shared" si="58"/>
        <v/>
      </c>
      <c r="L526" s="31" t="str">
        <f>IF(OR(B526="",C526=""),"",IFERROR(E526 / SUMIFS('📅 Resumen Diario'!$D$5:$D$504, '📅 Resumen Diario'!$B$5:$B$504, B526, '📅 Resumen Diario'!$C$5:$C$504, D526) * SUMIFS('📅 Resumen Diario'!$K$5:$K$504, '📅 Resumen Diario'!$B$5:$B$504, B526, '📅 Resumen Diario'!$C$5:$C$504, D526), 0))</f>
        <v/>
      </c>
      <c r="M526" s="31" t="str">
        <f t="shared" si="59"/>
        <v/>
      </c>
      <c r="N526" s="31" t="str">
        <f t="shared" si="60"/>
        <v/>
      </c>
      <c r="O526" s="31" t="str">
        <f>IF(OR(B526="",C526=""),"",K526-N526 + IFERROR(E526 / SUMIFS('📅 Resumen Diario'!$D$5:$D$504, '📅 Resumen Diario'!$B$5:$B$504, B526, '📅 Resumen Diario'!$C$5:$C$504, D526) * (SUMIFS('📋 Detalle Diario'!$E$5:$E$489, '📋 Detalle Diario'!$B$5:$B$489, B526, '📋 Detalle Diario'!$C$5:$C$489, D526) * 135 + SUMIFS('📋 Detalle Diario'!$I$5:$I$489, '📋 Detalle Diario'!$B$5:$B$489, B526, '📋 Detalle Diario'!$C$5:$C$489, D526) * 200), 0))</f>
        <v/>
      </c>
      <c r="P526" s="32" t="str">
        <f t="shared" si="61"/>
        <v/>
      </c>
      <c r="Q526" s="33" t="str">
        <f t="shared" si="62"/>
        <v/>
      </c>
    </row>
    <row r="527" spans="2:17" ht="18" customHeight="1" x14ac:dyDescent="0.3">
      <c r="B527" s="26"/>
      <c r="C527" s="28"/>
      <c r="D527" s="27"/>
      <c r="E527" s="29"/>
      <c r="F527" s="29"/>
      <c r="G527" s="29"/>
      <c r="H527" s="30" t="str">
        <f t="shared" si="56"/>
        <v/>
      </c>
      <c r="I527" s="31" t="str">
        <f>IF(OR(B527="",C527=""),"",IFERROR(E527*IF(E527="",0,VLOOKUP(C527,'📦 Precios Proforma'!$B$5:$D$104,IF(D527="DIA",2,3),FALSE)),0))</f>
        <v/>
      </c>
      <c r="J527" s="31" t="str">
        <f t="shared" si="57"/>
        <v/>
      </c>
      <c r="K527" s="31" t="str">
        <f t="shared" si="58"/>
        <v/>
      </c>
      <c r="L527" s="31" t="str">
        <f>IF(OR(B527="",C527=""),"",IFERROR(E527 / SUMIFS('📅 Resumen Diario'!$D$5:$D$504, '📅 Resumen Diario'!$B$5:$B$504, B527, '📅 Resumen Diario'!$C$5:$C$504, D527) * SUMIFS('📅 Resumen Diario'!$K$5:$K$504, '📅 Resumen Diario'!$B$5:$B$504, B527, '📅 Resumen Diario'!$C$5:$C$504, D527), 0))</f>
        <v/>
      </c>
      <c r="M527" s="31" t="str">
        <f t="shared" si="59"/>
        <v/>
      </c>
      <c r="N527" s="31" t="str">
        <f t="shared" si="60"/>
        <v/>
      </c>
      <c r="O527" s="31" t="str">
        <f>IF(OR(B527="",C527=""),"",K527-N527 + IFERROR(E527 / SUMIFS('📅 Resumen Diario'!$D$5:$D$504, '📅 Resumen Diario'!$B$5:$B$504, B527, '📅 Resumen Diario'!$C$5:$C$504, D527) * (SUMIFS('📋 Detalle Diario'!$E$5:$E$489, '📋 Detalle Diario'!$B$5:$B$489, B527, '📋 Detalle Diario'!$C$5:$C$489, D527) * 135 + SUMIFS('📋 Detalle Diario'!$I$5:$I$489, '📋 Detalle Diario'!$B$5:$B$489, B527, '📋 Detalle Diario'!$C$5:$C$489, D527) * 200), 0))</f>
        <v/>
      </c>
      <c r="P527" s="32" t="str">
        <f t="shared" si="61"/>
        <v/>
      </c>
      <c r="Q527" s="33" t="str">
        <f t="shared" si="62"/>
        <v/>
      </c>
    </row>
    <row r="528" spans="2:17" ht="18" customHeight="1" x14ac:dyDescent="0.3">
      <c r="B528" s="26"/>
      <c r="C528" s="17"/>
      <c r="D528" s="27"/>
      <c r="E528" s="18"/>
      <c r="F528" s="18"/>
      <c r="G528" s="18"/>
      <c r="H528" s="30" t="str">
        <f t="shared" si="56"/>
        <v/>
      </c>
      <c r="I528" s="31" t="str">
        <f>IF(OR(B528="",C528=""),"",IFERROR(E528*IF(E528="",0,VLOOKUP(C528,'📦 Precios Proforma'!$B$5:$D$104,IF(D528="DIA",2,3),FALSE)),0))</f>
        <v/>
      </c>
      <c r="J528" s="31" t="str">
        <f t="shared" si="57"/>
        <v/>
      </c>
      <c r="K528" s="31" t="str">
        <f t="shared" si="58"/>
        <v/>
      </c>
      <c r="L528" s="31" t="str">
        <f>IF(OR(B528="",C528=""),"",IFERROR(E528 / SUMIFS('📅 Resumen Diario'!$D$5:$D$504, '📅 Resumen Diario'!$B$5:$B$504, B528, '📅 Resumen Diario'!$C$5:$C$504, D528) * SUMIFS('📅 Resumen Diario'!$K$5:$K$504, '📅 Resumen Diario'!$B$5:$B$504, B528, '📅 Resumen Diario'!$C$5:$C$504, D528), 0))</f>
        <v/>
      </c>
      <c r="M528" s="31" t="str">
        <f t="shared" si="59"/>
        <v/>
      </c>
      <c r="N528" s="31" t="str">
        <f t="shared" si="60"/>
        <v/>
      </c>
      <c r="O528" s="31" t="str">
        <f>IF(OR(B528="",C528=""),"",K528-N528 + IFERROR(E528 / SUMIFS('📅 Resumen Diario'!$D$5:$D$504, '📅 Resumen Diario'!$B$5:$B$504, B528, '📅 Resumen Diario'!$C$5:$C$504, D528) * (SUMIFS('📋 Detalle Diario'!$E$5:$E$489, '📋 Detalle Diario'!$B$5:$B$489, B528, '📋 Detalle Diario'!$C$5:$C$489, D528) * 135 + SUMIFS('📋 Detalle Diario'!$I$5:$I$489, '📋 Detalle Diario'!$B$5:$B$489, B528, '📋 Detalle Diario'!$C$5:$C$489, D528) * 200), 0))</f>
        <v/>
      </c>
      <c r="P528" s="32" t="str">
        <f t="shared" si="61"/>
        <v/>
      </c>
      <c r="Q528" s="33" t="str">
        <f t="shared" si="62"/>
        <v/>
      </c>
    </row>
    <row r="529" spans="2:17" ht="18" customHeight="1" x14ac:dyDescent="0.3">
      <c r="B529" s="26"/>
      <c r="C529" s="28"/>
      <c r="D529" s="27"/>
      <c r="E529" s="29"/>
      <c r="F529" s="29"/>
      <c r="G529" s="29"/>
      <c r="H529" s="30" t="str">
        <f t="shared" si="56"/>
        <v/>
      </c>
      <c r="I529" s="31" t="str">
        <f>IF(OR(B529="",C529=""),"",IFERROR(E529*IF(E529="",0,VLOOKUP(C529,'📦 Precios Proforma'!$B$5:$D$104,IF(D529="DIA",2,3),FALSE)),0))</f>
        <v/>
      </c>
      <c r="J529" s="31" t="str">
        <f t="shared" si="57"/>
        <v/>
      </c>
      <c r="K529" s="31" t="str">
        <f t="shared" si="58"/>
        <v/>
      </c>
      <c r="L529" s="31" t="str">
        <f>IF(OR(B529="",C529=""),"",IFERROR(E529 / SUMIFS('📅 Resumen Diario'!$D$5:$D$504, '📅 Resumen Diario'!$B$5:$B$504, B529, '📅 Resumen Diario'!$C$5:$C$504, D529) * SUMIFS('📅 Resumen Diario'!$K$5:$K$504, '📅 Resumen Diario'!$B$5:$B$504, B529, '📅 Resumen Diario'!$C$5:$C$504, D529), 0))</f>
        <v/>
      </c>
      <c r="M529" s="31" t="str">
        <f t="shared" si="59"/>
        <v/>
      </c>
      <c r="N529" s="31" t="str">
        <f t="shared" si="60"/>
        <v/>
      </c>
      <c r="O529" s="31" t="str">
        <f>IF(OR(B529="",C529=""),"",K529-N529 + IFERROR(E529 / SUMIFS('📅 Resumen Diario'!$D$5:$D$504, '📅 Resumen Diario'!$B$5:$B$504, B529, '📅 Resumen Diario'!$C$5:$C$504, D529) * (SUMIFS('📋 Detalle Diario'!$E$5:$E$489, '📋 Detalle Diario'!$B$5:$B$489, B529, '📋 Detalle Diario'!$C$5:$C$489, D529) * 135 + SUMIFS('📋 Detalle Diario'!$I$5:$I$489, '📋 Detalle Diario'!$B$5:$B$489, B529, '📋 Detalle Diario'!$C$5:$C$489, D529) * 200), 0))</f>
        <v/>
      </c>
      <c r="P529" s="32" t="str">
        <f t="shared" si="61"/>
        <v/>
      </c>
      <c r="Q529" s="33" t="str">
        <f t="shared" si="62"/>
        <v/>
      </c>
    </row>
    <row r="530" spans="2:17" ht="18" customHeight="1" x14ac:dyDescent="0.3">
      <c r="B530" s="26"/>
      <c r="C530" s="17"/>
      <c r="D530" s="27"/>
      <c r="E530" s="18"/>
      <c r="F530" s="18"/>
      <c r="G530" s="18"/>
      <c r="H530" s="30" t="str">
        <f t="shared" si="56"/>
        <v/>
      </c>
      <c r="I530" s="31" t="str">
        <f>IF(OR(B530="",C530=""),"",IFERROR(E530*IF(E530="",0,VLOOKUP(C530,'📦 Precios Proforma'!$B$5:$D$104,IF(D530="DIA",2,3),FALSE)),0))</f>
        <v/>
      </c>
      <c r="J530" s="31" t="str">
        <f t="shared" si="57"/>
        <v/>
      </c>
      <c r="K530" s="31" t="str">
        <f t="shared" si="58"/>
        <v/>
      </c>
      <c r="L530" s="31" t="str">
        <f>IF(OR(B530="",C530=""),"",IFERROR(E530 / SUMIFS('📅 Resumen Diario'!$D$5:$D$504, '📅 Resumen Diario'!$B$5:$B$504, B530, '📅 Resumen Diario'!$C$5:$C$504, D530) * SUMIFS('📅 Resumen Diario'!$K$5:$K$504, '📅 Resumen Diario'!$B$5:$B$504, B530, '📅 Resumen Diario'!$C$5:$C$504, D530), 0))</f>
        <v/>
      </c>
      <c r="M530" s="31" t="str">
        <f t="shared" si="59"/>
        <v/>
      </c>
      <c r="N530" s="31" t="str">
        <f t="shared" si="60"/>
        <v/>
      </c>
      <c r="O530" s="31" t="str">
        <f>IF(OR(B530="",C530=""),"",K530-N530 + IFERROR(E530 / SUMIFS('📅 Resumen Diario'!$D$5:$D$504, '📅 Resumen Diario'!$B$5:$B$504, B530, '📅 Resumen Diario'!$C$5:$C$504, D530) * (SUMIFS('📋 Detalle Diario'!$E$5:$E$489, '📋 Detalle Diario'!$B$5:$B$489, B530, '📋 Detalle Diario'!$C$5:$C$489, D530) * 135 + SUMIFS('📋 Detalle Diario'!$I$5:$I$489, '📋 Detalle Diario'!$B$5:$B$489, B530, '📋 Detalle Diario'!$C$5:$C$489, D530) * 200), 0))</f>
        <v/>
      </c>
      <c r="P530" s="32" t="str">
        <f t="shared" si="61"/>
        <v/>
      </c>
      <c r="Q530" s="33" t="str">
        <f t="shared" si="62"/>
        <v/>
      </c>
    </row>
    <row r="531" spans="2:17" ht="18" customHeight="1" x14ac:dyDescent="0.3">
      <c r="B531" s="26"/>
      <c r="C531" s="28"/>
      <c r="D531" s="27"/>
      <c r="E531" s="29"/>
      <c r="F531" s="29"/>
      <c r="G531" s="29"/>
      <c r="H531" s="30" t="str">
        <f t="shared" si="56"/>
        <v/>
      </c>
      <c r="I531" s="31" t="str">
        <f>IF(OR(B531="",C531=""),"",IFERROR(E531*IF(E531="",0,VLOOKUP(C531,'📦 Precios Proforma'!$B$5:$D$104,IF(D531="DIA",2,3),FALSE)),0))</f>
        <v/>
      </c>
      <c r="J531" s="31" t="str">
        <f t="shared" si="57"/>
        <v/>
      </c>
      <c r="K531" s="31" t="str">
        <f t="shared" si="58"/>
        <v/>
      </c>
      <c r="L531" s="31" t="str">
        <f>IF(OR(B531="",C531=""),"",IFERROR(E531 / SUMIFS('📅 Resumen Diario'!$D$5:$D$504, '📅 Resumen Diario'!$B$5:$B$504, B531, '📅 Resumen Diario'!$C$5:$C$504, D531) * SUMIFS('📅 Resumen Diario'!$K$5:$K$504, '📅 Resumen Diario'!$B$5:$B$504, B531, '📅 Resumen Diario'!$C$5:$C$504, D531), 0))</f>
        <v/>
      </c>
      <c r="M531" s="31" t="str">
        <f t="shared" si="59"/>
        <v/>
      </c>
      <c r="N531" s="31" t="str">
        <f t="shared" si="60"/>
        <v/>
      </c>
      <c r="O531" s="31" t="str">
        <f>IF(OR(B531="",C531=""),"",K531-N531 + IFERROR(E531 / SUMIFS('📅 Resumen Diario'!$D$5:$D$504, '📅 Resumen Diario'!$B$5:$B$504, B531, '📅 Resumen Diario'!$C$5:$C$504, D531) * (SUMIFS('📋 Detalle Diario'!$E$5:$E$489, '📋 Detalle Diario'!$B$5:$B$489, B531, '📋 Detalle Diario'!$C$5:$C$489, D531) * 135 + SUMIFS('📋 Detalle Diario'!$I$5:$I$489, '📋 Detalle Diario'!$B$5:$B$489, B531, '📋 Detalle Diario'!$C$5:$C$489, D531) * 200), 0))</f>
        <v/>
      </c>
      <c r="P531" s="32" t="str">
        <f t="shared" si="61"/>
        <v/>
      </c>
      <c r="Q531" s="33" t="str">
        <f t="shared" si="62"/>
        <v/>
      </c>
    </row>
    <row r="532" spans="2:17" ht="18" customHeight="1" x14ac:dyDescent="0.3">
      <c r="B532" s="26"/>
      <c r="C532" s="17"/>
      <c r="D532" s="27"/>
      <c r="E532" s="18"/>
      <c r="F532" s="18"/>
      <c r="G532" s="18"/>
      <c r="H532" s="30" t="str">
        <f t="shared" si="56"/>
        <v/>
      </c>
      <c r="I532" s="31" t="str">
        <f>IF(OR(B532="",C532=""),"",IFERROR(E532*IF(E532="",0,VLOOKUP(C532,'📦 Precios Proforma'!$B$5:$D$104,IF(D532="DIA",2,3),FALSE)),0))</f>
        <v/>
      </c>
      <c r="J532" s="31" t="str">
        <f t="shared" si="57"/>
        <v/>
      </c>
      <c r="K532" s="31" t="str">
        <f t="shared" si="58"/>
        <v/>
      </c>
      <c r="L532" s="31" t="str">
        <f>IF(OR(B532="",C532=""),"",IFERROR(E532 / SUMIFS('📅 Resumen Diario'!$D$5:$D$504, '📅 Resumen Diario'!$B$5:$B$504, B532, '📅 Resumen Diario'!$C$5:$C$504, D532) * SUMIFS('📅 Resumen Diario'!$K$5:$K$504, '📅 Resumen Diario'!$B$5:$B$504, B532, '📅 Resumen Diario'!$C$5:$C$504, D532), 0))</f>
        <v/>
      </c>
      <c r="M532" s="31" t="str">
        <f t="shared" si="59"/>
        <v/>
      </c>
      <c r="N532" s="31" t="str">
        <f t="shared" si="60"/>
        <v/>
      </c>
      <c r="O532" s="31" t="str">
        <f>IF(OR(B532="",C532=""),"",K532-N532 + IFERROR(E532 / SUMIFS('📅 Resumen Diario'!$D$5:$D$504, '📅 Resumen Diario'!$B$5:$B$504, B532, '📅 Resumen Diario'!$C$5:$C$504, D532) * (SUMIFS('📋 Detalle Diario'!$E$5:$E$489, '📋 Detalle Diario'!$B$5:$B$489, B532, '📋 Detalle Diario'!$C$5:$C$489, D532) * 135 + SUMIFS('📋 Detalle Diario'!$I$5:$I$489, '📋 Detalle Diario'!$B$5:$B$489, B532, '📋 Detalle Diario'!$C$5:$C$489, D532) * 200), 0))</f>
        <v/>
      </c>
      <c r="P532" s="32" t="str">
        <f t="shared" si="61"/>
        <v/>
      </c>
      <c r="Q532" s="33" t="str">
        <f t="shared" si="62"/>
        <v/>
      </c>
    </row>
    <row r="533" spans="2:17" ht="18" customHeight="1" x14ac:dyDescent="0.3">
      <c r="B533" s="26"/>
      <c r="C533" s="28"/>
      <c r="D533" s="27"/>
      <c r="E533" s="29"/>
      <c r="F533" s="29"/>
      <c r="G533" s="29"/>
      <c r="H533" s="30" t="str">
        <f t="shared" si="56"/>
        <v/>
      </c>
      <c r="I533" s="31" t="str">
        <f>IF(OR(B533="",C533=""),"",IFERROR(E533*IF(E533="",0,VLOOKUP(C533,'📦 Precios Proforma'!$B$5:$D$104,IF(D533="DIA",2,3),FALSE)),0))</f>
        <v/>
      </c>
      <c r="J533" s="31" t="str">
        <f t="shared" si="57"/>
        <v/>
      </c>
      <c r="K533" s="31" t="str">
        <f t="shared" si="58"/>
        <v/>
      </c>
      <c r="L533" s="31" t="str">
        <f>IF(OR(B533="",C533=""),"",IFERROR(E533 / SUMIFS('📅 Resumen Diario'!$D$5:$D$504, '📅 Resumen Diario'!$B$5:$B$504, B533, '📅 Resumen Diario'!$C$5:$C$504, D533) * SUMIFS('📅 Resumen Diario'!$K$5:$K$504, '📅 Resumen Diario'!$B$5:$B$504, B533, '📅 Resumen Diario'!$C$5:$C$504, D533), 0))</f>
        <v/>
      </c>
      <c r="M533" s="31" t="str">
        <f t="shared" si="59"/>
        <v/>
      </c>
      <c r="N533" s="31" t="str">
        <f t="shared" si="60"/>
        <v/>
      </c>
      <c r="O533" s="31" t="str">
        <f>IF(OR(B533="",C533=""),"",K533-N533 + IFERROR(E533 / SUMIFS('📅 Resumen Diario'!$D$5:$D$504, '📅 Resumen Diario'!$B$5:$B$504, B533, '📅 Resumen Diario'!$C$5:$C$504, D533) * (SUMIFS('📋 Detalle Diario'!$E$5:$E$489, '📋 Detalle Diario'!$B$5:$B$489, B533, '📋 Detalle Diario'!$C$5:$C$489, D533) * 135 + SUMIFS('📋 Detalle Diario'!$I$5:$I$489, '📋 Detalle Diario'!$B$5:$B$489, B533, '📋 Detalle Diario'!$C$5:$C$489, D533) * 200), 0))</f>
        <v/>
      </c>
      <c r="P533" s="32" t="str">
        <f t="shared" si="61"/>
        <v/>
      </c>
      <c r="Q533" s="33" t="str">
        <f t="shared" si="62"/>
        <v/>
      </c>
    </row>
    <row r="534" spans="2:17" ht="18" customHeight="1" x14ac:dyDescent="0.3">
      <c r="B534" s="26"/>
      <c r="C534" s="17"/>
      <c r="D534" s="27"/>
      <c r="E534" s="18"/>
      <c r="F534" s="18"/>
      <c r="G534" s="18"/>
      <c r="H534" s="30" t="str">
        <f t="shared" si="56"/>
        <v/>
      </c>
      <c r="I534" s="31" t="str">
        <f>IF(OR(B534="",C534=""),"",IFERROR(E534*IF(E534="",0,VLOOKUP(C534,'📦 Precios Proforma'!$B$5:$D$104,IF(D534="DIA",2,3),FALSE)),0))</f>
        <v/>
      </c>
      <c r="J534" s="31" t="str">
        <f t="shared" si="57"/>
        <v/>
      </c>
      <c r="K534" s="31" t="str">
        <f t="shared" si="58"/>
        <v/>
      </c>
      <c r="L534" s="31" t="str">
        <f>IF(OR(B534="",C534=""),"",IFERROR(E534 / SUMIFS('📅 Resumen Diario'!$D$5:$D$504, '📅 Resumen Diario'!$B$5:$B$504, B534, '📅 Resumen Diario'!$C$5:$C$504, D534) * SUMIFS('📅 Resumen Diario'!$K$5:$K$504, '📅 Resumen Diario'!$B$5:$B$504, B534, '📅 Resumen Diario'!$C$5:$C$504, D534), 0))</f>
        <v/>
      </c>
      <c r="M534" s="31" t="str">
        <f t="shared" si="59"/>
        <v/>
      </c>
      <c r="N534" s="31" t="str">
        <f t="shared" si="60"/>
        <v/>
      </c>
      <c r="O534" s="31" t="str">
        <f>IF(OR(B534="",C534=""),"",K534-N534 + IFERROR(E534 / SUMIFS('📅 Resumen Diario'!$D$5:$D$504, '📅 Resumen Diario'!$B$5:$B$504, B534, '📅 Resumen Diario'!$C$5:$C$504, D534) * (SUMIFS('📋 Detalle Diario'!$E$5:$E$489, '📋 Detalle Diario'!$B$5:$B$489, B534, '📋 Detalle Diario'!$C$5:$C$489, D534) * 135 + SUMIFS('📋 Detalle Diario'!$I$5:$I$489, '📋 Detalle Diario'!$B$5:$B$489, B534, '📋 Detalle Diario'!$C$5:$C$489, D534) * 200), 0))</f>
        <v/>
      </c>
      <c r="P534" s="32" t="str">
        <f t="shared" si="61"/>
        <v/>
      </c>
      <c r="Q534" s="33" t="str">
        <f t="shared" si="62"/>
        <v/>
      </c>
    </row>
    <row r="535" spans="2:17" ht="18" customHeight="1" x14ac:dyDescent="0.3">
      <c r="B535" s="26"/>
      <c r="C535" s="28"/>
      <c r="D535" s="27"/>
      <c r="E535" s="29"/>
      <c r="F535" s="29"/>
      <c r="G535" s="29"/>
      <c r="H535" s="30" t="str">
        <f t="shared" si="56"/>
        <v/>
      </c>
      <c r="I535" s="31" t="str">
        <f>IF(OR(B535="",C535=""),"",IFERROR(E535*IF(E535="",0,VLOOKUP(C535,'📦 Precios Proforma'!$B$5:$D$104,IF(D535="DIA",2,3),FALSE)),0))</f>
        <v/>
      </c>
      <c r="J535" s="31" t="str">
        <f t="shared" si="57"/>
        <v/>
      </c>
      <c r="K535" s="31" t="str">
        <f t="shared" si="58"/>
        <v/>
      </c>
      <c r="L535" s="31" t="str">
        <f>IF(OR(B535="",C535=""),"",IFERROR(E535 / SUMIFS('📅 Resumen Diario'!$D$5:$D$504, '📅 Resumen Diario'!$B$5:$B$504, B535, '📅 Resumen Diario'!$C$5:$C$504, D535) * SUMIFS('📅 Resumen Diario'!$K$5:$K$504, '📅 Resumen Diario'!$B$5:$B$504, B535, '📅 Resumen Diario'!$C$5:$C$504, D535), 0))</f>
        <v/>
      </c>
      <c r="M535" s="31" t="str">
        <f t="shared" si="59"/>
        <v/>
      </c>
      <c r="N535" s="31" t="str">
        <f t="shared" si="60"/>
        <v/>
      </c>
      <c r="O535" s="31" t="str">
        <f>IF(OR(B535="",C535=""),"",K535-N535 + IFERROR(E535 / SUMIFS('📅 Resumen Diario'!$D$5:$D$504, '📅 Resumen Diario'!$B$5:$B$504, B535, '📅 Resumen Diario'!$C$5:$C$504, D535) * (SUMIFS('📋 Detalle Diario'!$E$5:$E$489, '📋 Detalle Diario'!$B$5:$B$489, B535, '📋 Detalle Diario'!$C$5:$C$489, D535) * 135 + SUMIFS('📋 Detalle Diario'!$I$5:$I$489, '📋 Detalle Diario'!$B$5:$B$489, B535, '📋 Detalle Diario'!$C$5:$C$489, D535) * 200), 0))</f>
        <v/>
      </c>
      <c r="P535" s="32" t="str">
        <f t="shared" si="61"/>
        <v/>
      </c>
      <c r="Q535" s="33" t="str">
        <f t="shared" si="62"/>
        <v/>
      </c>
    </row>
    <row r="536" spans="2:17" ht="18" customHeight="1" x14ac:dyDescent="0.3">
      <c r="B536" s="26"/>
      <c r="C536" s="17"/>
      <c r="D536" s="27"/>
      <c r="E536" s="18"/>
      <c r="F536" s="18"/>
      <c r="G536" s="18"/>
      <c r="H536" s="30" t="str">
        <f t="shared" si="56"/>
        <v/>
      </c>
      <c r="I536" s="31" t="str">
        <f>IF(OR(B536="",C536=""),"",IFERROR(E536*IF(E536="",0,VLOOKUP(C536,'📦 Precios Proforma'!$B$5:$D$104,IF(D536="DIA",2,3),FALSE)),0))</f>
        <v/>
      </c>
      <c r="J536" s="31" t="str">
        <f t="shared" si="57"/>
        <v/>
      </c>
      <c r="K536" s="31" t="str">
        <f t="shared" si="58"/>
        <v/>
      </c>
      <c r="L536" s="31" t="str">
        <f>IF(OR(B536="",C536=""),"",IFERROR(E536 / SUMIFS('📅 Resumen Diario'!$D$5:$D$504, '📅 Resumen Diario'!$B$5:$B$504, B536, '📅 Resumen Diario'!$C$5:$C$504, D536) * SUMIFS('📅 Resumen Diario'!$K$5:$K$504, '📅 Resumen Diario'!$B$5:$B$504, B536, '📅 Resumen Diario'!$C$5:$C$504, D536), 0))</f>
        <v/>
      </c>
      <c r="M536" s="31" t="str">
        <f t="shared" si="59"/>
        <v/>
      </c>
      <c r="N536" s="31" t="str">
        <f t="shared" si="60"/>
        <v/>
      </c>
      <c r="O536" s="31" t="str">
        <f>IF(OR(B536="",C536=""),"",K536-N536 + IFERROR(E536 / SUMIFS('📅 Resumen Diario'!$D$5:$D$504, '📅 Resumen Diario'!$B$5:$B$504, B536, '📅 Resumen Diario'!$C$5:$C$504, D536) * (SUMIFS('📋 Detalle Diario'!$E$5:$E$489, '📋 Detalle Diario'!$B$5:$B$489, B536, '📋 Detalle Diario'!$C$5:$C$489, D536) * 135 + SUMIFS('📋 Detalle Diario'!$I$5:$I$489, '📋 Detalle Diario'!$B$5:$B$489, B536, '📋 Detalle Diario'!$C$5:$C$489, D536) * 200), 0))</f>
        <v/>
      </c>
      <c r="P536" s="32" t="str">
        <f t="shared" si="61"/>
        <v/>
      </c>
      <c r="Q536" s="33" t="str">
        <f t="shared" si="62"/>
        <v/>
      </c>
    </row>
    <row r="537" spans="2:17" ht="18" customHeight="1" x14ac:dyDescent="0.3">
      <c r="B537" s="26"/>
      <c r="C537" s="28"/>
      <c r="D537" s="27"/>
      <c r="E537" s="29"/>
      <c r="F537" s="29"/>
      <c r="G537" s="29"/>
      <c r="H537" s="30" t="str">
        <f t="shared" si="56"/>
        <v/>
      </c>
      <c r="I537" s="31" t="str">
        <f>IF(OR(B537="",C537=""),"",IFERROR(E537*IF(E537="",0,VLOOKUP(C537,'📦 Precios Proforma'!$B$5:$D$104,IF(D537="DIA",2,3),FALSE)),0))</f>
        <v/>
      </c>
      <c r="J537" s="31" t="str">
        <f t="shared" si="57"/>
        <v/>
      </c>
      <c r="K537" s="31" t="str">
        <f t="shared" si="58"/>
        <v/>
      </c>
      <c r="L537" s="31" t="str">
        <f>IF(OR(B537="",C537=""),"",IFERROR(E537 / SUMIFS('📅 Resumen Diario'!$D$5:$D$504, '📅 Resumen Diario'!$B$5:$B$504, B537, '📅 Resumen Diario'!$C$5:$C$504, D537) * SUMIFS('📅 Resumen Diario'!$K$5:$K$504, '📅 Resumen Diario'!$B$5:$B$504, B537, '📅 Resumen Diario'!$C$5:$C$504, D537), 0))</f>
        <v/>
      </c>
      <c r="M537" s="31" t="str">
        <f t="shared" si="59"/>
        <v/>
      </c>
      <c r="N537" s="31" t="str">
        <f t="shared" si="60"/>
        <v/>
      </c>
      <c r="O537" s="31" t="str">
        <f>IF(OR(B537="",C537=""),"",K537-N537 + IFERROR(E537 / SUMIFS('📅 Resumen Diario'!$D$5:$D$504, '📅 Resumen Diario'!$B$5:$B$504, B537, '📅 Resumen Diario'!$C$5:$C$504, D537) * (SUMIFS('📋 Detalle Diario'!$E$5:$E$489, '📋 Detalle Diario'!$B$5:$B$489, B537, '📋 Detalle Diario'!$C$5:$C$489, D537) * 135 + SUMIFS('📋 Detalle Diario'!$I$5:$I$489, '📋 Detalle Diario'!$B$5:$B$489, B537, '📋 Detalle Diario'!$C$5:$C$489, D537) * 200), 0))</f>
        <v/>
      </c>
      <c r="P537" s="32" t="str">
        <f t="shared" si="61"/>
        <v/>
      </c>
      <c r="Q537" s="33" t="str">
        <f t="shared" si="62"/>
        <v/>
      </c>
    </row>
    <row r="538" spans="2:17" ht="18" customHeight="1" x14ac:dyDescent="0.3">
      <c r="B538" s="26"/>
      <c r="C538" s="17"/>
      <c r="D538" s="27"/>
      <c r="E538" s="18"/>
      <c r="F538" s="18"/>
      <c r="G538" s="18"/>
      <c r="H538" s="30" t="str">
        <f t="shared" si="56"/>
        <v/>
      </c>
      <c r="I538" s="31" t="str">
        <f>IF(OR(B538="",C538=""),"",IFERROR(E538*IF(E538="",0,VLOOKUP(C538,'📦 Precios Proforma'!$B$5:$D$104,IF(D538="DIA",2,3),FALSE)),0))</f>
        <v/>
      </c>
      <c r="J538" s="31" t="str">
        <f t="shared" si="57"/>
        <v/>
      </c>
      <c r="K538" s="31" t="str">
        <f t="shared" si="58"/>
        <v/>
      </c>
      <c r="L538" s="31" t="str">
        <f>IF(OR(B538="",C538=""),"",IFERROR(E538 / SUMIFS('📅 Resumen Diario'!$D$5:$D$504, '📅 Resumen Diario'!$B$5:$B$504, B538, '📅 Resumen Diario'!$C$5:$C$504, D538) * SUMIFS('📅 Resumen Diario'!$K$5:$K$504, '📅 Resumen Diario'!$B$5:$B$504, B538, '📅 Resumen Diario'!$C$5:$C$504, D538), 0))</f>
        <v/>
      </c>
      <c r="M538" s="31" t="str">
        <f t="shared" si="59"/>
        <v/>
      </c>
      <c r="N538" s="31" t="str">
        <f t="shared" si="60"/>
        <v/>
      </c>
      <c r="O538" s="31" t="str">
        <f>IF(OR(B538="",C538=""),"",K538-N538 + IFERROR(E538 / SUMIFS('📅 Resumen Diario'!$D$5:$D$504, '📅 Resumen Diario'!$B$5:$B$504, B538, '📅 Resumen Diario'!$C$5:$C$504, D538) * (SUMIFS('📋 Detalle Diario'!$E$5:$E$489, '📋 Detalle Diario'!$B$5:$B$489, B538, '📋 Detalle Diario'!$C$5:$C$489, D538) * 135 + SUMIFS('📋 Detalle Diario'!$I$5:$I$489, '📋 Detalle Diario'!$B$5:$B$489, B538, '📋 Detalle Diario'!$C$5:$C$489, D538) * 200), 0))</f>
        <v/>
      </c>
      <c r="P538" s="32" t="str">
        <f t="shared" si="61"/>
        <v/>
      </c>
      <c r="Q538" s="33" t="str">
        <f t="shared" si="62"/>
        <v/>
      </c>
    </row>
    <row r="539" spans="2:17" ht="18" customHeight="1" x14ac:dyDescent="0.3">
      <c r="B539" s="26"/>
      <c r="C539" s="28"/>
      <c r="D539" s="27"/>
      <c r="E539" s="29"/>
      <c r="F539" s="29"/>
      <c r="G539" s="29"/>
      <c r="H539" s="30" t="str">
        <f t="shared" si="56"/>
        <v/>
      </c>
      <c r="I539" s="31" t="str">
        <f>IF(OR(B539="",C539=""),"",IFERROR(E539*IF(E539="",0,VLOOKUP(C539,'📦 Precios Proforma'!$B$5:$D$104,IF(D539="DIA",2,3),FALSE)),0))</f>
        <v/>
      </c>
      <c r="J539" s="31" t="str">
        <f t="shared" si="57"/>
        <v/>
      </c>
      <c r="K539" s="31" t="str">
        <f t="shared" si="58"/>
        <v/>
      </c>
      <c r="L539" s="31" t="str">
        <f>IF(OR(B539="",C539=""),"",IFERROR(E539 / SUMIFS('📅 Resumen Diario'!$D$5:$D$504, '📅 Resumen Diario'!$B$5:$B$504, B539, '📅 Resumen Diario'!$C$5:$C$504, D539) * SUMIFS('📅 Resumen Diario'!$K$5:$K$504, '📅 Resumen Diario'!$B$5:$B$504, B539, '📅 Resumen Diario'!$C$5:$C$504, D539), 0))</f>
        <v/>
      </c>
      <c r="M539" s="31" t="str">
        <f t="shared" si="59"/>
        <v/>
      </c>
      <c r="N539" s="31" t="str">
        <f t="shared" si="60"/>
        <v/>
      </c>
      <c r="O539" s="31" t="str">
        <f>IF(OR(B539="",C539=""),"",K539-N539 + IFERROR(E539 / SUMIFS('📅 Resumen Diario'!$D$5:$D$504, '📅 Resumen Diario'!$B$5:$B$504, B539, '📅 Resumen Diario'!$C$5:$C$504, D539) * (SUMIFS('📋 Detalle Diario'!$E$5:$E$489, '📋 Detalle Diario'!$B$5:$B$489, B539, '📋 Detalle Diario'!$C$5:$C$489, D539) * 135 + SUMIFS('📋 Detalle Diario'!$I$5:$I$489, '📋 Detalle Diario'!$B$5:$B$489, B539, '📋 Detalle Diario'!$C$5:$C$489, D539) * 200), 0))</f>
        <v/>
      </c>
      <c r="P539" s="32" t="str">
        <f t="shared" si="61"/>
        <v/>
      </c>
      <c r="Q539" s="33" t="str">
        <f t="shared" si="62"/>
        <v/>
      </c>
    </row>
    <row r="540" spans="2:17" ht="18" customHeight="1" x14ac:dyDescent="0.3">
      <c r="B540" s="26"/>
      <c r="C540" s="17"/>
      <c r="D540" s="27"/>
      <c r="E540" s="18"/>
      <c r="F540" s="18"/>
      <c r="G540" s="18"/>
      <c r="H540" s="30" t="str">
        <f t="shared" si="56"/>
        <v/>
      </c>
      <c r="I540" s="31" t="str">
        <f>IF(OR(B540="",C540=""),"",IFERROR(E540*IF(E540="",0,VLOOKUP(C540,'📦 Precios Proforma'!$B$5:$D$104,IF(D540="DIA",2,3),FALSE)),0))</f>
        <v/>
      </c>
      <c r="J540" s="31" t="str">
        <f t="shared" si="57"/>
        <v/>
      </c>
      <c r="K540" s="31" t="str">
        <f t="shared" si="58"/>
        <v/>
      </c>
      <c r="L540" s="31" t="str">
        <f>IF(OR(B540="",C540=""),"",IFERROR(E540 / SUMIFS('📅 Resumen Diario'!$D$5:$D$504, '📅 Resumen Diario'!$B$5:$B$504, B540, '📅 Resumen Diario'!$C$5:$C$504, D540) * SUMIFS('📅 Resumen Diario'!$K$5:$K$504, '📅 Resumen Diario'!$B$5:$B$504, B540, '📅 Resumen Diario'!$C$5:$C$504, D540), 0))</f>
        <v/>
      </c>
      <c r="M540" s="31" t="str">
        <f t="shared" si="59"/>
        <v/>
      </c>
      <c r="N540" s="31" t="str">
        <f t="shared" si="60"/>
        <v/>
      </c>
      <c r="O540" s="31" t="str">
        <f>IF(OR(B540="",C540=""),"",K540-N540 + IFERROR(E540 / SUMIFS('📅 Resumen Diario'!$D$5:$D$504, '📅 Resumen Diario'!$B$5:$B$504, B540, '📅 Resumen Diario'!$C$5:$C$504, D540) * (SUMIFS('📋 Detalle Diario'!$E$5:$E$489, '📋 Detalle Diario'!$B$5:$B$489, B540, '📋 Detalle Diario'!$C$5:$C$489, D540) * 135 + SUMIFS('📋 Detalle Diario'!$I$5:$I$489, '📋 Detalle Diario'!$B$5:$B$489, B540, '📋 Detalle Diario'!$C$5:$C$489, D540) * 200), 0))</f>
        <v/>
      </c>
      <c r="P540" s="32" t="str">
        <f t="shared" si="61"/>
        <v/>
      </c>
      <c r="Q540" s="33" t="str">
        <f t="shared" si="62"/>
        <v/>
      </c>
    </row>
    <row r="541" spans="2:17" ht="18" customHeight="1" x14ac:dyDescent="0.3">
      <c r="B541" s="26"/>
      <c r="C541" s="28"/>
      <c r="D541" s="27"/>
      <c r="E541" s="29"/>
      <c r="F541" s="29"/>
      <c r="G541" s="29"/>
      <c r="H541" s="30" t="str">
        <f t="shared" si="56"/>
        <v/>
      </c>
      <c r="I541" s="31" t="str">
        <f>IF(OR(B541="",C541=""),"",IFERROR(E541*IF(E541="",0,VLOOKUP(C541,'📦 Precios Proforma'!$B$5:$D$104,IF(D541="DIA",2,3),FALSE)),0))</f>
        <v/>
      </c>
      <c r="J541" s="31" t="str">
        <f t="shared" si="57"/>
        <v/>
      </c>
      <c r="K541" s="31" t="str">
        <f t="shared" si="58"/>
        <v/>
      </c>
      <c r="L541" s="31" t="str">
        <f>IF(OR(B541="",C541=""),"",IFERROR(E541 / SUMIFS('📅 Resumen Diario'!$D$5:$D$504, '📅 Resumen Diario'!$B$5:$B$504, B541, '📅 Resumen Diario'!$C$5:$C$504, D541) * SUMIFS('📅 Resumen Diario'!$K$5:$K$504, '📅 Resumen Diario'!$B$5:$B$504, B541, '📅 Resumen Diario'!$C$5:$C$504, D541), 0))</f>
        <v/>
      </c>
      <c r="M541" s="31" t="str">
        <f t="shared" si="59"/>
        <v/>
      </c>
      <c r="N541" s="31" t="str">
        <f t="shared" si="60"/>
        <v/>
      </c>
      <c r="O541" s="31" t="str">
        <f>IF(OR(B541="",C541=""),"",K541-N541 + IFERROR(E541 / SUMIFS('📅 Resumen Diario'!$D$5:$D$504, '📅 Resumen Diario'!$B$5:$B$504, B541, '📅 Resumen Diario'!$C$5:$C$504, D541) * (SUMIFS('📋 Detalle Diario'!$E$5:$E$489, '📋 Detalle Diario'!$B$5:$B$489, B541, '📋 Detalle Diario'!$C$5:$C$489, D541) * 135 + SUMIFS('📋 Detalle Diario'!$I$5:$I$489, '📋 Detalle Diario'!$B$5:$B$489, B541, '📋 Detalle Diario'!$C$5:$C$489, D541) * 200), 0))</f>
        <v/>
      </c>
      <c r="P541" s="32" t="str">
        <f t="shared" si="61"/>
        <v/>
      </c>
      <c r="Q541" s="33" t="str">
        <f t="shared" si="62"/>
        <v/>
      </c>
    </row>
    <row r="542" spans="2:17" ht="18" customHeight="1" x14ac:dyDescent="0.3">
      <c r="B542" s="26"/>
      <c r="C542" s="17"/>
      <c r="D542" s="27"/>
      <c r="E542" s="18"/>
      <c r="F542" s="18"/>
      <c r="G542" s="18"/>
      <c r="H542" s="30" t="str">
        <f t="shared" si="56"/>
        <v/>
      </c>
      <c r="I542" s="31" t="str">
        <f>IF(OR(B542="",C542=""),"",IFERROR(E542*IF(E542="",0,VLOOKUP(C542,'📦 Precios Proforma'!$B$5:$D$104,IF(D542="DIA",2,3),FALSE)),0))</f>
        <v/>
      </c>
      <c r="J542" s="31" t="str">
        <f t="shared" si="57"/>
        <v/>
      </c>
      <c r="K542" s="31" t="str">
        <f t="shared" si="58"/>
        <v/>
      </c>
      <c r="L542" s="31" t="str">
        <f>IF(OR(B542="",C542=""),"",IFERROR(E542 / SUMIFS('📅 Resumen Diario'!$D$5:$D$504, '📅 Resumen Diario'!$B$5:$B$504, B542, '📅 Resumen Diario'!$C$5:$C$504, D542) * SUMIFS('📅 Resumen Diario'!$K$5:$K$504, '📅 Resumen Diario'!$B$5:$B$504, B542, '📅 Resumen Diario'!$C$5:$C$504, D542), 0))</f>
        <v/>
      </c>
      <c r="M542" s="31" t="str">
        <f t="shared" si="59"/>
        <v/>
      </c>
      <c r="N542" s="31" t="str">
        <f t="shared" si="60"/>
        <v/>
      </c>
      <c r="O542" s="31" t="str">
        <f>IF(OR(B542="",C542=""),"",K542-N542 + IFERROR(E542 / SUMIFS('📅 Resumen Diario'!$D$5:$D$504, '📅 Resumen Diario'!$B$5:$B$504, B542, '📅 Resumen Diario'!$C$5:$C$504, D542) * (SUMIFS('📋 Detalle Diario'!$E$5:$E$489, '📋 Detalle Diario'!$B$5:$B$489, B542, '📋 Detalle Diario'!$C$5:$C$489, D542) * 135 + SUMIFS('📋 Detalle Diario'!$I$5:$I$489, '📋 Detalle Diario'!$B$5:$B$489, B542, '📋 Detalle Diario'!$C$5:$C$489, D542) * 200), 0))</f>
        <v/>
      </c>
      <c r="P542" s="32" t="str">
        <f t="shared" si="61"/>
        <v/>
      </c>
      <c r="Q542" s="33" t="str">
        <f t="shared" si="62"/>
        <v/>
      </c>
    </row>
    <row r="543" spans="2:17" ht="18" customHeight="1" x14ac:dyDescent="0.3">
      <c r="B543" s="26"/>
      <c r="C543" s="28"/>
      <c r="D543" s="27"/>
      <c r="E543" s="29"/>
      <c r="F543" s="29"/>
      <c r="G543" s="29"/>
      <c r="H543" s="30" t="str">
        <f t="shared" si="56"/>
        <v/>
      </c>
      <c r="I543" s="31" t="str">
        <f>IF(OR(B543="",C543=""),"",IFERROR(E543*IF(E543="",0,VLOOKUP(C543,'📦 Precios Proforma'!$B$5:$D$104,IF(D543="DIA",2,3),FALSE)),0))</f>
        <v/>
      </c>
      <c r="J543" s="31" t="str">
        <f t="shared" si="57"/>
        <v/>
      </c>
      <c r="K543" s="31" t="str">
        <f t="shared" si="58"/>
        <v/>
      </c>
      <c r="L543" s="31" t="str">
        <f>IF(OR(B543="",C543=""),"",IFERROR(E543 / SUMIFS('📅 Resumen Diario'!$D$5:$D$504, '📅 Resumen Diario'!$B$5:$B$504, B543, '📅 Resumen Diario'!$C$5:$C$504, D543) * SUMIFS('📅 Resumen Diario'!$K$5:$K$504, '📅 Resumen Diario'!$B$5:$B$504, B543, '📅 Resumen Diario'!$C$5:$C$504, D543), 0))</f>
        <v/>
      </c>
      <c r="M543" s="31" t="str">
        <f t="shared" si="59"/>
        <v/>
      </c>
      <c r="N543" s="31" t="str">
        <f t="shared" si="60"/>
        <v/>
      </c>
      <c r="O543" s="31" t="str">
        <f>IF(OR(B543="",C543=""),"",K543-N543 + IFERROR(E543 / SUMIFS('📅 Resumen Diario'!$D$5:$D$504, '📅 Resumen Diario'!$B$5:$B$504, B543, '📅 Resumen Diario'!$C$5:$C$504, D543) * (SUMIFS('📋 Detalle Diario'!$E$5:$E$489, '📋 Detalle Diario'!$B$5:$B$489, B543, '📋 Detalle Diario'!$C$5:$C$489, D543) * 135 + SUMIFS('📋 Detalle Diario'!$I$5:$I$489, '📋 Detalle Diario'!$B$5:$B$489, B543, '📋 Detalle Diario'!$C$5:$C$489, D543) * 200), 0))</f>
        <v/>
      </c>
      <c r="P543" s="32" t="str">
        <f t="shared" si="61"/>
        <v/>
      </c>
      <c r="Q543" s="33" t="str">
        <f t="shared" si="62"/>
        <v/>
      </c>
    </row>
    <row r="544" spans="2:17" ht="18" customHeight="1" x14ac:dyDescent="0.3">
      <c r="B544" s="26"/>
      <c r="C544" s="17"/>
      <c r="D544" s="27"/>
      <c r="E544" s="18"/>
      <c r="F544" s="18"/>
      <c r="G544" s="18"/>
      <c r="H544" s="30" t="str">
        <f t="shared" si="56"/>
        <v/>
      </c>
      <c r="I544" s="31" t="str">
        <f>IF(OR(B544="",C544=""),"",IFERROR(E544*IF(E544="",0,VLOOKUP(C544,'📦 Precios Proforma'!$B$5:$D$104,IF(D544="DIA",2,3),FALSE)),0))</f>
        <v/>
      </c>
      <c r="J544" s="31" t="str">
        <f t="shared" si="57"/>
        <v/>
      </c>
      <c r="K544" s="31" t="str">
        <f t="shared" si="58"/>
        <v/>
      </c>
      <c r="L544" s="31" t="str">
        <f>IF(OR(B544="",C544=""),"",IFERROR(E544 / SUMIFS('📅 Resumen Diario'!$D$5:$D$504, '📅 Resumen Diario'!$B$5:$B$504, B544, '📅 Resumen Diario'!$C$5:$C$504, D544) * SUMIFS('📅 Resumen Diario'!$K$5:$K$504, '📅 Resumen Diario'!$B$5:$B$504, B544, '📅 Resumen Diario'!$C$5:$C$504, D544), 0))</f>
        <v/>
      </c>
      <c r="M544" s="31" t="str">
        <f t="shared" si="59"/>
        <v/>
      </c>
      <c r="N544" s="31" t="str">
        <f t="shared" si="60"/>
        <v/>
      </c>
      <c r="O544" s="31" t="str">
        <f>IF(OR(B544="",C544=""),"",K544-N544 + IFERROR(E544 / SUMIFS('📅 Resumen Diario'!$D$5:$D$504, '📅 Resumen Diario'!$B$5:$B$504, B544, '📅 Resumen Diario'!$C$5:$C$504, D544) * (SUMIFS('📋 Detalle Diario'!$E$5:$E$489, '📋 Detalle Diario'!$B$5:$B$489, B544, '📋 Detalle Diario'!$C$5:$C$489, D544) * 135 + SUMIFS('📋 Detalle Diario'!$I$5:$I$489, '📋 Detalle Diario'!$B$5:$B$489, B544, '📋 Detalle Diario'!$C$5:$C$489, D544) * 200), 0))</f>
        <v/>
      </c>
      <c r="P544" s="32" t="str">
        <f t="shared" si="61"/>
        <v/>
      </c>
      <c r="Q544" s="33" t="str">
        <f t="shared" si="62"/>
        <v/>
      </c>
    </row>
    <row r="545" spans="2:17" ht="18" customHeight="1" x14ac:dyDescent="0.3">
      <c r="B545" s="26"/>
      <c r="C545" s="28"/>
      <c r="D545" s="27"/>
      <c r="E545" s="29"/>
      <c r="F545" s="29"/>
      <c r="G545" s="29"/>
      <c r="H545" s="30" t="str">
        <f t="shared" si="56"/>
        <v/>
      </c>
      <c r="I545" s="31" t="str">
        <f>IF(OR(B545="",C545=""),"",IFERROR(E545*IF(E545="",0,VLOOKUP(C545,'📦 Precios Proforma'!$B$5:$D$104,IF(D545="DIA",2,3),FALSE)),0))</f>
        <v/>
      </c>
      <c r="J545" s="31" t="str">
        <f t="shared" si="57"/>
        <v/>
      </c>
      <c r="K545" s="31" t="str">
        <f t="shared" si="58"/>
        <v/>
      </c>
      <c r="L545" s="31" t="str">
        <f>IF(OR(B545="",C545=""),"",IFERROR(E545 / SUMIFS('📅 Resumen Diario'!$D$5:$D$504, '📅 Resumen Diario'!$B$5:$B$504, B545, '📅 Resumen Diario'!$C$5:$C$504, D545) * SUMIFS('📅 Resumen Diario'!$K$5:$K$504, '📅 Resumen Diario'!$B$5:$B$504, B545, '📅 Resumen Diario'!$C$5:$C$504, D545), 0))</f>
        <v/>
      </c>
      <c r="M545" s="31" t="str">
        <f t="shared" si="59"/>
        <v/>
      </c>
      <c r="N545" s="31" t="str">
        <f t="shared" si="60"/>
        <v/>
      </c>
      <c r="O545" s="31" t="str">
        <f>IF(OR(B545="",C545=""),"",K545-N545 + IFERROR(E545 / SUMIFS('📅 Resumen Diario'!$D$5:$D$504, '📅 Resumen Diario'!$B$5:$B$504, B545, '📅 Resumen Diario'!$C$5:$C$504, D545) * (SUMIFS('📋 Detalle Diario'!$E$5:$E$489, '📋 Detalle Diario'!$B$5:$B$489, B545, '📋 Detalle Diario'!$C$5:$C$489, D545) * 135 + SUMIFS('📋 Detalle Diario'!$I$5:$I$489, '📋 Detalle Diario'!$B$5:$B$489, B545, '📋 Detalle Diario'!$C$5:$C$489, D545) * 200), 0))</f>
        <v/>
      </c>
      <c r="P545" s="32" t="str">
        <f t="shared" si="61"/>
        <v/>
      </c>
      <c r="Q545" s="33" t="str">
        <f t="shared" si="62"/>
        <v/>
      </c>
    </row>
    <row r="546" spans="2:17" ht="18" customHeight="1" x14ac:dyDescent="0.3">
      <c r="B546" s="26"/>
      <c r="C546" s="17"/>
      <c r="D546" s="27"/>
      <c r="E546" s="18"/>
      <c r="F546" s="18"/>
      <c r="G546" s="18"/>
      <c r="H546" s="30" t="str">
        <f t="shared" si="56"/>
        <v/>
      </c>
      <c r="I546" s="31" t="str">
        <f>IF(OR(B546="",C546=""),"",IFERROR(E546*IF(E546="",0,VLOOKUP(C546,'📦 Precios Proforma'!$B$5:$D$104,IF(D546="DIA",2,3),FALSE)),0))</f>
        <v/>
      </c>
      <c r="J546" s="31" t="str">
        <f t="shared" si="57"/>
        <v/>
      </c>
      <c r="K546" s="31" t="str">
        <f t="shared" si="58"/>
        <v/>
      </c>
      <c r="L546" s="31" t="str">
        <f>IF(OR(B546="",C546=""),"",IFERROR(E546 / SUMIFS('📅 Resumen Diario'!$D$5:$D$504, '📅 Resumen Diario'!$B$5:$B$504, B546, '📅 Resumen Diario'!$C$5:$C$504, D546) * SUMIFS('📅 Resumen Diario'!$K$5:$K$504, '📅 Resumen Diario'!$B$5:$B$504, B546, '📅 Resumen Diario'!$C$5:$C$504, D546), 0))</f>
        <v/>
      </c>
      <c r="M546" s="31" t="str">
        <f t="shared" si="59"/>
        <v/>
      </c>
      <c r="N546" s="31" t="str">
        <f t="shared" si="60"/>
        <v/>
      </c>
      <c r="O546" s="31" t="str">
        <f>IF(OR(B546="",C546=""),"",K546-N546 + IFERROR(E546 / SUMIFS('📅 Resumen Diario'!$D$5:$D$504, '📅 Resumen Diario'!$B$5:$B$504, B546, '📅 Resumen Diario'!$C$5:$C$504, D546) * (SUMIFS('📋 Detalle Diario'!$E$5:$E$489, '📋 Detalle Diario'!$B$5:$B$489, B546, '📋 Detalle Diario'!$C$5:$C$489, D546) * 135 + SUMIFS('📋 Detalle Diario'!$I$5:$I$489, '📋 Detalle Diario'!$B$5:$B$489, B546, '📋 Detalle Diario'!$C$5:$C$489, D546) * 200), 0))</f>
        <v/>
      </c>
      <c r="P546" s="32" t="str">
        <f t="shared" si="61"/>
        <v/>
      </c>
      <c r="Q546" s="33" t="str">
        <f t="shared" si="62"/>
        <v/>
      </c>
    </row>
    <row r="547" spans="2:17" ht="18" customHeight="1" x14ac:dyDescent="0.3">
      <c r="B547" s="26"/>
      <c r="C547" s="28"/>
      <c r="D547" s="27"/>
      <c r="E547" s="29"/>
      <c r="F547" s="29"/>
      <c r="G547" s="29"/>
      <c r="H547" s="30" t="str">
        <f t="shared" si="56"/>
        <v/>
      </c>
      <c r="I547" s="31" t="str">
        <f>IF(OR(B547="",C547=""),"",IFERROR(E547*IF(E547="",0,VLOOKUP(C547,'📦 Precios Proforma'!$B$5:$D$104,IF(D547="DIA",2,3),FALSE)),0))</f>
        <v/>
      </c>
      <c r="J547" s="31" t="str">
        <f t="shared" si="57"/>
        <v/>
      </c>
      <c r="K547" s="31" t="str">
        <f t="shared" si="58"/>
        <v/>
      </c>
      <c r="L547" s="31" t="str">
        <f>IF(OR(B547="",C547=""),"",IFERROR(E547 / SUMIFS('📅 Resumen Diario'!$D$5:$D$504, '📅 Resumen Diario'!$B$5:$B$504, B547, '📅 Resumen Diario'!$C$5:$C$504, D547) * SUMIFS('📅 Resumen Diario'!$K$5:$K$504, '📅 Resumen Diario'!$B$5:$B$504, B547, '📅 Resumen Diario'!$C$5:$C$504, D547), 0))</f>
        <v/>
      </c>
      <c r="M547" s="31" t="str">
        <f t="shared" si="59"/>
        <v/>
      </c>
      <c r="N547" s="31" t="str">
        <f t="shared" si="60"/>
        <v/>
      </c>
      <c r="O547" s="31" t="str">
        <f>IF(OR(B547="",C547=""),"",K547-N547 + IFERROR(E547 / SUMIFS('📅 Resumen Diario'!$D$5:$D$504, '📅 Resumen Diario'!$B$5:$B$504, B547, '📅 Resumen Diario'!$C$5:$C$504, D547) * (SUMIFS('📋 Detalle Diario'!$E$5:$E$489, '📋 Detalle Diario'!$B$5:$B$489, B547, '📋 Detalle Diario'!$C$5:$C$489, D547) * 135 + SUMIFS('📋 Detalle Diario'!$I$5:$I$489, '📋 Detalle Diario'!$B$5:$B$489, B547, '📋 Detalle Diario'!$C$5:$C$489, D547) * 200), 0))</f>
        <v/>
      </c>
      <c r="P547" s="32" t="str">
        <f t="shared" si="61"/>
        <v/>
      </c>
      <c r="Q547" s="33" t="str">
        <f t="shared" si="62"/>
        <v/>
      </c>
    </row>
    <row r="548" spans="2:17" ht="18" customHeight="1" x14ac:dyDescent="0.3">
      <c r="B548" s="26"/>
      <c r="C548" s="17"/>
      <c r="D548" s="27"/>
      <c r="E548" s="18"/>
      <c r="F548" s="18"/>
      <c r="G548" s="18"/>
      <c r="H548" s="30" t="str">
        <f t="shared" si="56"/>
        <v/>
      </c>
      <c r="I548" s="31" t="str">
        <f>IF(OR(B548="",C548=""),"",IFERROR(E548*IF(E548="",0,VLOOKUP(C548,'📦 Precios Proforma'!$B$5:$D$104,IF(D548="DIA",2,3),FALSE)),0))</f>
        <v/>
      </c>
      <c r="J548" s="31" t="str">
        <f t="shared" si="57"/>
        <v/>
      </c>
      <c r="K548" s="31" t="str">
        <f t="shared" si="58"/>
        <v/>
      </c>
      <c r="L548" s="31" t="str">
        <f>IF(OR(B548="",C548=""),"",IFERROR(E548 / SUMIFS('📅 Resumen Diario'!$D$5:$D$504, '📅 Resumen Diario'!$B$5:$B$504, B548, '📅 Resumen Diario'!$C$5:$C$504, D548) * SUMIFS('📅 Resumen Diario'!$K$5:$K$504, '📅 Resumen Diario'!$B$5:$B$504, B548, '📅 Resumen Diario'!$C$5:$C$504, D548), 0))</f>
        <v/>
      </c>
      <c r="M548" s="31" t="str">
        <f t="shared" si="59"/>
        <v/>
      </c>
      <c r="N548" s="31" t="str">
        <f t="shared" si="60"/>
        <v/>
      </c>
      <c r="O548" s="31" t="str">
        <f>IF(OR(B548="",C548=""),"",K548-N548 + IFERROR(E548 / SUMIFS('📅 Resumen Diario'!$D$5:$D$504, '📅 Resumen Diario'!$B$5:$B$504, B548, '📅 Resumen Diario'!$C$5:$C$504, D548) * (SUMIFS('📋 Detalle Diario'!$E$5:$E$489, '📋 Detalle Diario'!$B$5:$B$489, B548, '📋 Detalle Diario'!$C$5:$C$489, D548) * 135 + SUMIFS('📋 Detalle Diario'!$I$5:$I$489, '📋 Detalle Diario'!$B$5:$B$489, B548, '📋 Detalle Diario'!$C$5:$C$489, D548) * 200), 0))</f>
        <v/>
      </c>
      <c r="P548" s="32" t="str">
        <f t="shared" si="61"/>
        <v/>
      </c>
      <c r="Q548" s="33" t="str">
        <f t="shared" si="62"/>
        <v/>
      </c>
    </row>
    <row r="549" spans="2:17" ht="18" customHeight="1" x14ac:dyDescent="0.3">
      <c r="B549" s="26"/>
      <c r="C549" s="28"/>
      <c r="D549" s="27"/>
      <c r="E549" s="29"/>
      <c r="F549" s="29"/>
      <c r="G549" s="29"/>
      <c r="H549" s="30" t="str">
        <f t="shared" si="56"/>
        <v/>
      </c>
      <c r="I549" s="31" t="str">
        <f>IF(OR(B549="",C549=""),"",IFERROR(E549*IF(E549="",0,VLOOKUP(C549,'📦 Precios Proforma'!$B$5:$D$104,IF(D549="DIA",2,3),FALSE)),0))</f>
        <v/>
      </c>
      <c r="J549" s="31" t="str">
        <f t="shared" si="57"/>
        <v/>
      </c>
      <c r="K549" s="31" t="str">
        <f t="shared" si="58"/>
        <v/>
      </c>
      <c r="L549" s="31" t="str">
        <f>IF(OR(B549="",C549=""),"",IFERROR(E549 / SUMIFS('📅 Resumen Diario'!$D$5:$D$504, '📅 Resumen Diario'!$B$5:$B$504, B549, '📅 Resumen Diario'!$C$5:$C$504, D549) * SUMIFS('📅 Resumen Diario'!$K$5:$K$504, '📅 Resumen Diario'!$B$5:$B$504, B549, '📅 Resumen Diario'!$C$5:$C$504, D549), 0))</f>
        <v/>
      </c>
      <c r="M549" s="31" t="str">
        <f t="shared" si="59"/>
        <v/>
      </c>
      <c r="N549" s="31" t="str">
        <f t="shared" si="60"/>
        <v/>
      </c>
      <c r="O549" s="31" t="str">
        <f>IF(OR(B549="",C549=""),"",K549-N549 + IFERROR(E549 / SUMIFS('📅 Resumen Diario'!$D$5:$D$504, '📅 Resumen Diario'!$B$5:$B$504, B549, '📅 Resumen Diario'!$C$5:$C$504, D549) * (SUMIFS('📋 Detalle Diario'!$E$5:$E$489, '📋 Detalle Diario'!$B$5:$B$489, B549, '📋 Detalle Diario'!$C$5:$C$489, D549) * 135 + SUMIFS('📋 Detalle Diario'!$I$5:$I$489, '📋 Detalle Diario'!$B$5:$B$489, B549, '📋 Detalle Diario'!$C$5:$C$489, D549) * 200), 0))</f>
        <v/>
      </c>
      <c r="P549" s="32" t="str">
        <f t="shared" si="61"/>
        <v/>
      </c>
      <c r="Q549" s="33" t="str">
        <f t="shared" si="62"/>
        <v/>
      </c>
    </row>
    <row r="550" spans="2:17" ht="18" customHeight="1" x14ac:dyDescent="0.3">
      <c r="B550" s="26"/>
      <c r="C550" s="17"/>
      <c r="D550" s="27"/>
      <c r="E550" s="18"/>
      <c r="F550" s="18"/>
      <c r="G550" s="18"/>
      <c r="H550" s="30" t="str">
        <f t="shared" si="56"/>
        <v/>
      </c>
      <c r="I550" s="31" t="str">
        <f>IF(OR(B550="",C550=""),"",IFERROR(E550*IF(E550="",0,VLOOKUP(C550,'📦 Precios Proforma'!$B$5:$D$104,IF(D550="DIA",2,3),FALSE)),0))</f>
        <v/>
      </c>
      <c r="J550" s="31" t="str">
        <f t="shared" si="57"/>
        <v/>
      </c>
      <c r="K550" s="31" t="str">
        <f t="shared" si="58"/>
        <v/>
      </c>
      <c r="L550" s="31" t="str">
        <f>IF(OR(B550="",C550=""),"",IFERROR(E550 / SUMIFS('📅 Resumen Diario'!$D$5:$D$504, '📅 Resumen Diario'!$B$5:$B$504, B550, '📅 Resumen Diario'!$C$5:$C$504, D550) * SUMIFS('📅 Resumen Diario'!$K$5:$K$504, '📅 Resumen Diario'!$B$5:$B$504, B550, '📅 Resumen Diario'!$C$5:$C$504, D550), 0))</f>
        <v/>
      </c>
      <c r="M550" s="31" t="str">
        <f t="shared" si="59"/>
        <v/>
      </c>
      <c r="N550" s="31" t="str">
        <f t="shared" si="60"/>
        <v/>
      </c>
      <c r="O550" s="31" t="str">
        <f>IF(OR(B550="",C550=""),"",K550-N550 + IFERROR(E550 / SUMIFS('📅 Resumen Diario'!$D$5:$D$504, '📅 Resumen Diario'!$B$5:$B$504, B550, '📅 Resumen Diario'!$C$5:$C$504, D550) * (SUMIFS('📋 Detalle Diario'!$E$5:$E$489, '📋 Detalle Diario'!$B$5:$B$489, B550, '📋 Detalle Diario'!$C$5:$C$489, D550) * 135 + SUMIFS('📋 Detalle Diario'!$I$5:$I$489, '📋 Detalle Diario'!$B$5:$B$489, B550, '📋 Detalle Diario'!$C$5:$C$489, D550) * 200), 0))</f>
        <v/>
      </c>
      <c r="P550" s="32" t="str">
        <f t="shared" si="61"/>
        <v/>
      </c>
      <c r="Q550" s="33" t="str">
        <f t="shared" si="62"/>
        <v/>
      </c>
    </row>
    <row r="551" spans="2:17" ht="18" customHeight="1" x14ac:dyDescent="0.3">
      <c r="B551" s="26"/>
      <c r="C551" s="28"/>
      <c r="D551" s="27"/>
      <c r="E551" s="29"/>
      <c r="F551" s="29"/>
      <c r="G551" s="29"/>
      <c r="H551" s="30" t="str">
        <f t="shared" si="56"/>
        <v/>
      </c>
      <c r="I551" s="31" t="str">
        <f>IF(OR(B551="",C551=""),"",IFERROR(E551*IF(E551="",0,VLOOKUP(C551,'📦 Precios Proforma'!$B$5:$D$104,IF(D551="DIA",2,3),FALSE)),0))</f>
        <v/>
      </c>
      <c r="J551" s="31" t="str">
        <f t="shared" si="57"/>
        <v/>
      </c>
      <c r="K551" s="31" t="str">
        <f t="shared" si="58"/>
        <v/>
      </c>
      <c r="L551" s="31" t="str">
        <f>IF(OR(B551="",C551=""),"",IFERROR(E551 / SUMIFS('📅 Resumen Diario'!$D$5:$D$504, '📅 Resumen Diario'!$B$5:$B$504, B551, '📅 Resumen Diario'!$C$5:$C$504, D551) * SUMIFS('📅 Resumen Diario'!$K$5:$K$504, '📅 Resumen Diario'!$B$5:$B$504, B551, '📅 Resumen Diario'!$C$5:$C$504, D551), 0))</f>
        <v/>
      </c>
      <c r="M551" s="31" t="str">
        <f t="shared" si="59"/>
        <v/>
      </c>
      <c r="N551" s="31" t="str">
        <f t="shared" si="60"/>
        <v/>
      </c>
      <c r="O551" s="31" t="str">
        <f>IF(OR(B551="",C551=""),"",K551-N551 + IFERROR(E551 / SUMIFS('📅 Resumen Diario'!$D$5:$D$504, '📅 Resumen Diario'!$B$5:$B$504, B551, '📅 Resumen Diario'!$C$5:$C$504, D551) * (SUMIFS('📋 Detalle Diario'!$E$5:$E$489, '📋 Detalle Diario'!$B$5:$B$489, B551, '📋 Detalle Diario'!$C$5:$C$489, D551) * 135 + SUMIFS('📋 Detalle Diario'!$I$5:$I$489, '📋 Detalle Diario'!$B$5:$B$489, B551, '📋 Detalle Diario'!$C$5:$C$489, D551) * 200), 0))</f>
        <v/>
      </c>
      <c r="P551" s="32" t="str">
        <f t="shared" si="61"/>
        <v/>
      </c>
      <c r="Q551" s="33" t="str">
        <f t="shared" si="62"/>
        <v/>
      </c>
    </row>
    <row r="552" spans="2:17" ht="18" customHeight="1" x14ac:dyDescent="0.3">
      <c r="B552" s="26"/>
      <c r="C552" s="17"/>
      <c r="D552" s="27"/>
      <c r="E552" s="18"/>
      <c r="F552" s="18"/>
      <c r="G552" s="18"/>
      <c r="H552" s="30" t="str">
        <f t="shared" si="56"/>
        <v/>
      </c>
      <c r="I552" s="31" t="str">
        <f>IF(OR(B552="",C552=""),"",IFERROR(E552*IF(E552="",0,VLOOKUP(C552,'📦 Precios Proforma'!$B$5:$D$104,IF(D552="DIA",2,3),FALSE)),0))</f>
        <v/>
      </c>
      <c r="J552" s="31" t="str">
        <f t="shared" si="57"/>
        <v/>
      </c>
      <c r="K552" s="31" t="str">
        <f t="shared" si="58"/>
        <v/>
      </c>
      <c r="L552" s="31" t="str">
        <f>IF(OR(B552="",C552=""),"",IFERROR(E552 / SUMIFS('📅 Resumen Diario'!$D$5:$D$504, '📅 Resumen Diario'!$B$5:$B$504, B552, '📅 Resumen Diario'!$C$5:$C$504, D552) * SUMIFS('📅 Resumen Diario'!$K$5:$K$504, '📅 Resumen Diario'!$B$5:$B$504, B552, '📅 Resumen Diario'!$C$5:$C$504, D552), 0))</f>
        <v/>
      </c>
      <c r="M552" s="31" t="str">
        <f t="shared" si="59"/>
        <v/>
      </c>
      <c r="N552" s="31" t="str">
        <f t="shared" si="60"/>
        <v/>
      </c>
      <c r="O552" s="31" t="str">
        <f>IF(OR(B552="",C552=""),"",K552-N552 + IFERROR(E552 / SUMIFS('📅 Resumen Diario'!$D$5:$D$504, '📅 Resumen Diario'!$B$5:$B$504, B552, '📅 Resumen Diario'!$C$5:$C$504, D552) * (SUMIFS('📋 Detalle Diario'!$E$5:$E$489, '📋 Detalle Diario'!$B$5:$B$489, B552, '📋 Detalle Diario'!$C$5:$C$489, D552) * 135 + SUMIFS('📋 Detalle Diario'!$I$5:$I$489, '📋 Detalle Diario'!$B$5:$B$489, B552, '📋 Detalle Diario'!$C$5:$C$489, D552) * 200), 0))</f>
        <v/>
      </c>
      <c r="P552" s="32" t="str">
        <f t="shared" si="61"/>
        <v/>
      </c>
      <c r="Q552" s="33" t="str">
        <f t="shared" si="62"/>
        <v/>
      </c>
    </row>
    <row r="553" spans="2:17" ht="18" customHeight="1" x14ac:dyDescent="0.3">
      <c r="B553" s="26"/>
      <c r="C553" s="28"/>
      <c r="D553" s="27"/>
      <c r="E553" s="29"/>
      <c r="F553" s="29"/>
      <c r="G553" s="29"/>
      <c r="H553" s="30" t="str">
        <f t="shared" si="56"/>
        <v/>
      </c>
      <c r="I553" s="31" t="str">
        <f>IF(OR(B553="",C553=""),"",IFERROR(E553*IF(E553="",0,VLOOKUP(C553,'📦 Precios Proforma'!$B$5:$D$104,IF(D553="DIA",2,3),FALSE)),0))</f>
        <v/>
      </c>
      <c r="J553" s="31" t="str">
        <f t="shared" si="57"/>
        <v/>
      </c>
      <c r="K553" s="31" t="str">
        <f t="shared" si="58"/>
        <v/>
      </c>
      <c r="L553" s="31" t="str">
        <f>IF(OR(B553="",C553=""),"",IFERROR(E553 / SUMIFS('📅 Resumen Diario'!$D$5:$D$504, '📅 Resumen Diario'!$B$5:$B$504, B553, '📅 Resumen Diario'!$C$5:$C$504, D553) * SUMIFS('📅 Resumen Diario'!$K$5:$K$504, '📅 Resumen Diario'!$B$5:$B$504, B553, '📅 Resumen Diario'!$C$5:$C$504, D553), 0))</f>
        <v/>
      </c>
      <c r="M553" s="31" t="str">
        <f t="shared" si="59"/>
        <v/>
      </c>
      <c r="N553" s="31" t="str">
        <f t="shared" si="60"/>
        <v/>
      </c>
      <c r="O553" s="31" t="str">
        <f>IF(OR(B553="",C553=""),"",K553-N553 + IFERROR(E553 / SUMIFS('📅 Resumen Diario'!$D$5:$D$504, '📅 Resumen Diario'!$B$5:$B$504, B553, '📅 Resumen Diario'!$C$5:$C$504, D553) * (SUMIFS('📋 Detalle Diario'!$E$5:$E$489, '📋 Detalle Diario'!$B$5:$B$489, B553, '📋 Detalle Diario'!$C$5:$C$489, D553) * 135 + SUMIFS('📋 Detalle Diario'!$I$5:$I$489, '📋 Detalle Diario'!$B$5:$B$489, B553, '📋 Detalle Diario'!$C$5:$C$489, D553) * 200), 0))</f>
        <v/>
      </c>
      <c r="P553" s="32" t="str">
        <f t="shared" si="61"/>
        <v/>
      </c>
      <c r="Q553" s="33" t="str">
        <f t="shared" si="62"/>
        <v/>
      </c>
    </row>
    <row r="554" spans="2:17" ht="18" customHeight="1" x14ac:dyDescent="0.3">
      <c r="B554" s="26"/>
      <c r="C554" s="17"/>
      <c r="D554" s="27"/>
      <c r="E554" s="18"/>
      <c r="F554" s="18"/>
      <c r="G554" s="18"/>
      <c r="H554" s="30" t="str">
        <f t="shared" si="56"/>
        <v/>
      </c>
      <c r="I554" s="31" t="str">
        <f>IF(OR(B554="",C554=""),"",IFERROR(E554*IF(E554="",0,VLOOKUP(C554,'📦 Precios Proforma'!$B$5:$D$104,IF(D554="DIA",2,3),FALSE)),0))</f>
        <v/>
      </c>
      <c r="J554" s="31" t="str">
        <f t="shared" si="57"/>
        <v/>
      </c>
      <c r="K554" s="31" t="str">
        <f t="shared" si="58"/>
        <v/>
      </c>
      <c r="L554" s="31" t="str">
        <f>IF(OR(B554="",C554=""),"",IFERROR(E554 / SUMIFS('📅 Resumen Diario'!$D$5:$D$504, '📅 Resumen Diario'!$B$5:$B$504, B554, '📅 Resumen Diario'!$C$5:$C$504, D554) * SUMIFS('📅 Resumen Diario'!$K$5:$K$504, '📅 Resumen Diario'!$B$5:$B$504, B554, '📅 Resumen Diario'!$C$5:$C$504, D554), 0))</f>
        <v/>
      </c>
      <c r="M554" s="31" t="str">
        <f t="shared" si="59"/>
        <v/>
      </c>
      <c r="N554" s="31" t="str">
        <f t="shared" si="60"/>
        <v/>
      </c>
      <c r="O554" s="31" t="str">
        <f>IF(OR(B554="",C554=""),"",K554-N554 + IFERROR(E554 / SUMIFS('📅 Resumen Diario'!$D$5:$D$504, '📅 Resumen Diario'!$B$5:$B$504, B554, '📅 Resumen Diario'!$C$5:$C$504, D554) * (SUMIFS('📋 Detalle Diario'!$E$5:$E$489, '📋 Detalle Diario'!$B$5:$B$489, B554, '📋 Detalle Diario'!$C$5:$C$489, D554) * 135 + SUMIFS('📋 Detalle Diario'!$I$5:$I$489, '📋 Detalle Diario'!$B$5:$B$489, B554, '📋 Detalle Diario'!$C$5:$C$489, D554) * 200), 0))</f>
        <v/>
      </c>
      <c r="P554" s="32" t="str">
        <f t="shared" si="61"/>
        <v/>
      </c>
      <c r="Q554" s="33" t="str">
        <f t="shared" si="62"/>
        <v/>
      </c>
    </row>
    <row r="555" spans="2:17" ht="18" customHeight="1" x14ac:dyDescent="0.3">
      <c r="B555" s="26"/>
      <c r="C555" s="28"/>
      <c r="D555" s="27"/>
      <c r="E555" s="29"/>
      <c r="F555" s="29"/>
      <c r="G555" s="29"/>
      <c r="H555" s="30" t="str">
        <f t="shared" si="56"/>
        <v/>
      </c>
      <c r="I555" s="31" t="str">
        <f>IF(OR(B555="",C555=""),"",IFERROR(E555*IF(E555="",0,VLOOKUP(C555,'📦 Precios Proforma'!$B$5:$D$104,IF(D555="DIA",2,3),FALSE)),0))</f>
        <v/>
      </c>
      <c r="J555" s="31" t="str">
        <f t="shared" si="57"/>
        <v/>
      </c>
      <c r="K555" s="31" t="str">
        <f t="shared" si="58"/>
        <v/>
      </c>
      <c r="L555" s="31" t="str">
        <f>IF(OR(B555="",C555=""),"",IFERROR(E555 / SUMIFS('📅 Resumen Diario'!$D$5:$D$504, '📅 Resumen Diario'!$B$5:$B$504, B555, '📅 Resumen Diario'!$C$5:$C$504, D555) * SUMIFS('📅 Resumen Diario'!$K$5:$K$504, '📅 Resumen Diario'!$B$5:$B$504, B555, '📅 Resumen Diario'!$C$5:$C$504, D555), 0))</f>
        <v/>
      </c>
      <c r="M555" s="31" t="str">
        <f t="shared" si="59"/>
        <v/>
      </c>
      <c r="N555" s="31" t="str">
        <f t="shared" si="60"/>
        <v/>
      </c>
      <c r="O555" s="31" t="str">
        <f>IF(OR(B555="",C555=""),"",K555-N555 + IFERROR(E555 / SUMIFS('📅 Resumen Diario'!$D$5:$D$504, '📅 Resumen Diario'!$B$5:$B$504, B555, '📅 Resumen Diario'!$C$5:$C$504, D555) * (SUMIFS('📋 Detalle Diario'!$E$5:$E$489, '📋 Detalle Diario'!$B$5:$B$489, B555, '📋 Detalle Diario'!$C$5:$C$489, D555) * 135 + SUMIFS('📋 Detalle Diario'!$I$5:$I$489, '📋 Detalle Diario'!$B$5:$B$489, B555, '📋 Detalle Diario'!$C$5:$C$489, D555) * 200), 0))</f>
        <v/>
      </c>
      <c r="P555" s="32" t="str">
        <f t="shared" si="61"/>
        <v/>
      </c>
      <c r="Q555" s="33" t="str">
        <f t="shared" si="62"/>
        <v/>
      </c>
    </row>
    <row r="556" spans="2:17" ht="18" customHeight="1" x14ac:dyDescent="0.3">
      <c r="B556" s="26"/>
      <c r="C556" s="17"/>
      <c r="D556" s="27"/>
      <c r="E556" s="18"/>
      <c r="F556" s="18"/>
      <c r="G556" s="18"/>
      <c r="H556" s="30" t="str">
        <f t="shared" si="56"/>
        <v/>
      </c>
      <c r="I556" s="31" t="str">
        <f>IF(OR(B556="",C556=""),"",IFERROR(E556*IF(E556="",0,VLOOKUP(C556,'📦 Precios Proforma'!$B$5:$D$104,IF(D556="DIA",2,3),FALSE)),0))</f>
        <v/>
      </c>
      <c r="J556" s="31" t="str">
        <f t="shared" si="57"/>
        <v/>
      </c>
      <c r="K556" s="31" t="str">
        <f t="shared" si="58"/>
        <v/>
      </c>
      <c r="L556" s="31" t="str">
        <f>IF(OR(B556="",C556=""),"",IFERROR(E556 / SUMIFS('📅 Resumen Diario'!$D$5:$D$504, '📅 Resumen Diario'!$B$5:$B$504, B556, '📅 Resumen Diario'!$C$5:$C$504, D556) * SUMIFS('📅 Resumen Diario'!$K$5:$K$504, '📅 Resumen Diario'!$B$5:$B$504, B556, '📅 Resumen Diario'!$C$5:$C$504, D556), 0))</f>
        <v/>
      </c>
      <c r="M556" s="31" t="str">
        <f t="shared" si="59"/>
        <v/>
      </c>
      <c r="N556" s="31" t="str">
        <f t="shared" si="60"/>
        <v/>
      </c>
      <c r="O556" s="31" t="str">
        <f>IF(OR(B556="",C556=""),"",K556-N556 + IFERROR(E556 / SUMIFS('📅 Resumen Diario'!$D$5:$D$504, '📅 Resumen Diario'!$B$5:$B$504, B556, '📅 Resumen Diario'!$C$5:$C$504, D556) * (SUMIFS('📋 Detalle Diario'!$E$5:$E$489, '📋 Detalle Diario'!$B$5:$B$489, B556, '📋 Detalle Diario'!$C$5:$C$489, D556) * 135 + SUMIFS('📋 Detalle Diario'!$I$5:$I$489, '📋 Detalle Diario'!$B$5:$B$489, B556, '📋 Detalle Diario'!$C$5:$C$489, D556) * 200), 0))</f>
        <v/>
      </c>
      <c r="P556" s="32" t="str">
        <f t="shared" si="61"/>
        <v/>
      </c>
      <c r="Q556" s="33" t="str">
        <f t="shared" si="62"/>
        <v/>
      </c>
    </row>
    <row r="557" spans="2:17" ht="18" customHeight="1" x14ac:dyDescent="0.3">
      <c r="B557" s="26"/>
      <c r="C557" s="28"/>
      <c r="D557" s="27"/>
      <c r="E557" s="29"/>
      <c r="F557" s="29"/>
      <c r="G557" s="29"/>
      <c r="H557" s="30" t="str">
        <f t="shared" si="56"/>
        <v/>
      </c>
      <c r="I557" s="31" t="str">
        <f>IF(OR(B557="",C557=""),"",IFERROR(E557*IF(E557="",0,VLOOKUP(C557,'📦 Precios Proforma'!$B$5:$D$104,IF(D557="DIA",2,3),FALSE)),0))</f>
        <v/>
      </c>
      <c r="J557" s="31" t="str">
        <f t="shared" si="57"/>
        <v/>
      </c>
      <c r="K557" s="31" t="str">
        <f t="shared" si="58"/>
        <v/>
      </c>
      <c r="L557" s="31" t="str">
        <f>IF(OR(B557="",C557=""),"",IFERROR(E557 / SUMIFS('📅 Resumen Diario'!$D$5:$D$504, '📅 Resumen Diario'!$B$5:$B$504, B557, '📅 Resumen Diario'!$C$5:$C$504, D557) * SUMIFS('📅 Resumen Diario'!$K$5:$K$504, '📅 Resumen Diario'!$B$5:$B$504, B557, '📅 Resumen Diario'!$C$5:$C$504, D557), 0))</f>
        <v/>
      </c>
      <c r="M557" s="31" t="str">
        <f t="shared" si="59"/>
        <v/>
      </c>
      <c r="N557" s="31" t="str">
        <f t="shared" si="60"/>
        <v/>
      </c>
      <c r="O557" s="31" t="str">
        <f>IF(OR(B557="",C557=""),"",K557-N557 + IFERROR(E557 / SUMIFS('📅 Resumen Diario'!$D$5:$D$504, '📅 Resumen Diario'!$B$5:$B$504, B557, '📅 Resumen Diario'!$C$5:$C$504, D557) * (SUMIFS('📋 Detalle Diario'!$E$5:$E$489, '📋 Detalle Diario'!$B$5:$B$489, B557, '📋 Detalle Diario'!$C$5:$C$489, D557) * 135 + SUMIFS('📋 Detalle Diario'!$I$5:$I$489, '📋 Detalle Diario'!$B$5:$B$489, B557, '📋 Detalle Diario'!$C$5:$C$489, D557) * 200), 0))</f>
        <v/>
      </c>
      <c r="P557" s="32" t="str">
        <f t="shared" si="61"/>
        <v/>
      </c>
      <c r="Q557" s="33" t="str">
        <f t="shared" si="62"/>
        <v/>
      </c>
    </row>
    <row r="558" spans="2:17" ht="18" customHeight="1" x14ac:dyDescent="0.3">
      <c r="B558" s="26"/>
      <c r="C558" s="17"/>
      <c r="D558" s="27"/>
      <c r="E558" s="18"/>
      <c r="F558" s="18"/>
      <c r="G558" s="18"/>
      <c r="H558" s="30" t="str">
        <f t="shared" si="56"/>
        <v/>
      </c>
      <c r="I558" s="31" t="str">
        <f>IF(OR(B558="",C558=""),"",IFERROR(E558*IF(E558="",0,VLOOKUP(C558,'📦 Precios Proforma'!$B$5:$D$104,IF(D558="DIA",2,3),FALSE)),0))</f>
        <v/>
      </c>
      <c r="J558" s="31" t="str">
        <f t="shared" si="57"/>
        <v/>
      </c>
      <c r="K558" s="31" t="str">
        <f t="shared" si="58"/>
        <v/>
      </c>
      <c r="L558" s="31" t="str">
        <f>IF(OR(B558="",C558=""),"",IFERROR(E558 / SUMIFS('📅 Resumen Diario'!$D$5:$D$504, '📅 Resumen Diario'!$B$5:$B$504, B558, '📅 Resumen Diario'!$C$5:$C$504, D558) * SUMIFS('📅 Resumen Diario'!$K$5:$K$504, '📅 Resumen Diario'!$B$5:$B$504, B558, '📅 Resumen Diario'!$C$5:$C$504, D558), 0))</f>
        <v/>
      </c>
      <c r="M558" s="31" t="str">
        <f t="shared" si="59"/>
        <v/>
      </c>
      <c r="N558" s="31" t="str">
        <f t="shared" si="60"/>
        <v/>
      </c>
      <c r="O558" s="31" t="str">
        <f>IF(OR(B558="",C558=""),"",K558-N558 + IFERROR(E558 / SUMIFS('📅 Resumen Diario'!$D$5:$D$504, '📅 Resumen Diario'!$B$5:$B$504, B558, '📅 Resumen Diario'!$C$5:$C$504, D558) * (SUMIFS('📋 Detalle Diario'!$E$5:$E$489, '📋 Detalle Diario'!$B$5:$B$489, B558, '📋 Detalle Diario'!$C$5:$C$489, D558) * 135 + SUMIFS('📋 Detalle Diario'!$I$5:$I$489, '📋 Detalle Diario'!$B$5:$B$489, B558, '📋 Detalle Diario'!$C$5:$C$489, D558) * 200), 0))</f>
        <v/>
      </c>
      <c r="P558" s="32" t="str">
        <f t="shared" si="61"/>
        <v/>
      </c>
      <c r="Q558" s="33" t="str">
        <f t="shared" si="62"/>
        <v/>
      </c>
    </row>
    <row r="559" spans="2:17" ht="18" customHeight="1" x14ac:dyDescent="0.3">
      <c r="B559" s="26"/>
      <c r="C559" s="28"/>
      <c r="D559" s="27"/>
      <c r="E559" s="29"/>
      <c r="F559" s="29"/>
      <c r="G559" s="29"/>
      <c r="H559" s="30" t="str">
        <f t="shared" si="56"/>
        <v/>
      </c>
      <c r="I559" s="31" t="str">
        <f>IF(OR(B559="",C559=""),"",IFERROR(E559*IF(E559="",0,VLOOKUP(C559,'📦 Precios Proforma'!$B$5:$D$104,IF(D559="DIA",2,3),FALSE)),0))</f>
        <v/>
      </c>
      <c r="J559" s="31" t="str">
        <f t="shared" si="57"/>
        <v/>
      </c>
      <c r="K559" s="31" t="str">
        <f t="shared" si="58"/>
        <v/>
      </c>
      <c r="L559" s="31" t="str">
        <f>IF(OR(B559="",C559=""),"",IFERROR(E559 / SUMIFS('📅 Resumen Diario'!$D$5:$D$504, '📅 Resumen Diario'!$B$5:$B$504, B559, '📅 Resumen Diario'!$C$5:$C$504, D559) * SUMIFS('📅 Resumen Diario'!$K$5:$K$504, '📅 Resumen Diario'!$B$5:$B$504, B559, '📅 Resumen Diario'!$C$5:$C$504, D559), 0))</f>
        <v/>
      </c>
      <c r="M559" s="31" t="str">
        <f t="shared" si="59"/>
        <v/>
      </c>
      <c r="N559" s="31" t="str">
        <f t="shared" si="60"/>
        <v/>
      </c>
      <c r="O559" s="31" t="str">
        <f>IF(OR(B559="",C559=""),"",K559-N559 + IFERROR(E559 / SUMIFS('📅 Resumen Diario'!$D$5:$D$504, '📅 Resumen Diario'!$B$5:$B$504, B559, '📅 Resumen Diario'!$C$5:$C$504, D559) * (SUMIFS('📋 Detalle Diario'!$E$5:$E$489, '📋 Detalle Diario'!$B$5:$B$489, B559, '📋 Detalle Diario'!$C$5:$C$489, D559) * 135 + SUMIFS('📋 Detalle Diario'!$I$5:$I$489, '📋 Detalle Diario'!$B$5:$B$489, B559, '📋 Detalle Diario'!$C$5:$C$489, D559) * 200), 0))</f>
        <v/>
      </c>
      <c r="P559" s="32" t="str">
        <f t="shared" si="61"/>
        <v/>
      </c>
      <c r="Q559" s="33" t="str">
        <f t="shared" si="62"/>
        <v/>
      </c>
    </row>
    <row r="560" spans="2:17" ht="18" customHeight="1" x14ac:dyDescent="0.3">
      <c r="B560" s="26"/>
      <c r="C560" s="17"/>
      <c r="D560" s="27"/>
      <c r="E560" s="18"/>
      <c r="F560" s="18"/>
      <c r="G560" s="18"/>
      <c r="H560" s="30" t="str">
        <f t="shared" si="56"/>
        <v/>
      </c>
      <c r="I560" s="31" t="str">
        <f>IF(OR(B560="",C560=""),"",IFERROR(E560*IF(E560="",0,VLOOKUP(C560,'📦 Precios Proforma'!$B$5:$D$104,IF(D560="DIA",2,3),FALSE)),0))</f>
        <v/>
      </c>
      <c r="J560" s="31" t="str">
        <f t="shared" si="57"/>
        <v/>
      </c>
      <c r="K560" s="31" t="str">
        <f t="shared" si="58"/>
        <v/>
      </c>
      <c r="L560" s="31" t="str">
        <f>IF(OR(B560="",C560=""),"",IFERROR(E560 / SUMIFS('📅 Resumen Diario'!$D$5:$D$504, '📅 Resumen Diario'!$B$5:$B$504, B560, '📅 Resumen Diario'!$C$5:$C$504, D560) * SUMIFS('📅 Resumen Diario'!$K$5:$K$504, '📅 Resumen Diario'!$B$5:$B$504, B560, '📅 Resumen Diario'!$C$5:$C$504, D560), 0))</f>
        <v/>
      </c>
      <c r="M560" s="31" t="str">
        <f t="shared" si="59"/>
        <v/>
      </c>
      <c r="N560" s="31" t="str">
        <f t="shared" si="60"/>
        <v/>
      </c>
      <c r="O560" s="31" t="str">
        <f>IF(OR(B560="",C560=""),"",K560-N560 + IFERROR(E560 / SUMIFS('📅 Resumen Diario'!$D$5:$D$504, '📅 Resumen Diario'!$B$5:$B$504, B560, '📅 Resumen Diario'!$C$5:$C$504, D560) * (SUMIFS('📋 Detalle Diario'!$E$5:$E$489, '📋 Detalle Diario'!$B$5:$B$489, B560, '📋 Detalle Diario'!$C$5:$C$489, D560) * 135 + SUMIFS('📋 Detalle Diario'!$I$5:$I$489, '📋 Detalle Diario'!$B$5:$B$489, B560, '📋 Detalle Diario'!$C$5:$C$489, D560) * 200), 0))</f>
        <v/>
      </c>
      <c r="P560" s="32" t="str">
        <f t="shared" si="61"/>
        <v/>
      </c>
      <c r="Q560" s="33" t="str">
        <f t="shared" si="62"/>
        <v/>
      </c>
    </row>
    <row r="561" spans="2:17" ht="18" customHeight="1" x14ac:dyDescent="0.3">
      <c r="B561" s="26"/>
      <c r="C561" s="28"/>
      <c r="D561" s="27"/>
      <c r="E561" s="29"/>
      <c r="F561" s="29"/>
      <c r="G561" s="29"/>
      <c r="H561" s="30" t="str">
        <f t="shared" si="56"/>
        <v/>
      </c>
      <c r="I561" s="31" t="str">
        <f>IF(OR(B561="",C561=""),"",IFERROR(E561*IF(E561="",0,VLOOKUP(C561,'📦 Precios Proforma'!$B$5:$D$104,IF(D561="DIA",2,3),FALSE)),0))</f>
        <v/>
      </c>
      <c r="J561" s="31" t="str">
        <f t="shared" si="57"/>
        <v/>
      </c>
      <c r="K561" s="31" t="str">
        <f t="shared" si="58"/>
        <v/>
      </c>
      <c r="L561" s="31" t="str">
        <f>IF(OR(B561="",C561=""),"",IFERROR(E561 / SUMIFS('📅 Resumen Diario'!$D$5:$D$504, '📅 Resumen Diario'!$B$5:$B$504, B561, '📅 Resumen Diario'!$C$5:$C$504, D561) * SUMIFS('📅 Resumen Diario'!$K$5:$K$504, '📅 Resumen Diario'!$B$5:$B$504, B561, '📅 Resumen Diario'!$C$5:$C$504, D561), 0))</f>
        <v/>
      </c>
      <c r="M561" s="31" t="str">
        <f t="shared" si="59"/>
        <v/>
      </c>
      <c r="N561" s="31" t="str">
        <f t="shared" si="60"/>
        <v/>
      </c>
      <c r="O561" s="31" t="str">
        <f>IF(OR(B561="",C561=""),"",K561-N561 + IFERROR(E561 / SUMIFS('📅 Resumen Diario'!$D$5:$D$504, '📅 Resumen Diario'!$B$5:$B$504, B561, '📅 Resumen Diario'!$C$5:$C$504, D561) * (SUMIFS('📋 Detalle Diario'!$E$5:$E$489, '📋 Detalle Diario'!$B$5:$B$489, B561, '📋 Detalle Diario'!$C$5:$C$489, D561) * 135 + SUMIFS('📋 Detalle Diario'!$I$5:$I$489, '📋 Detalle Diario'!$B$5:$B$489, B561, '📋 Detalle Diario'!$C$5:$C$489, D561) * 200), 0))</f>
        <v/>
      </c>
      <c r="P561" s="32" t="str">
        <f t="shared" si="61"/>
        <v/>
      </c>
      <c r="Q561" s="33" t="str">
        <f t="shared" si="62"/>
        <v/>
      </c>
    </row>
    <row r="562" spans="2:17" ht="18" customHeight="1" x14ac:dyDescent="0.3">
      <c r="B562" s="26"/>
      <c r="C562" s="17"/>
      <c r="D562" s="27"/>
      <c r="E562" s="18"/>
      <c r="F562" s="18"/>
      <c r="G562" s="18"/>
      <c r="H562" s="30" t="str">
        <f t="shared" si="56"/>
        <v/>
      </c>
      <c r="I562" s="31" t="str">
        <f>IF(OR(B562="",C562=""),"",IFERROR(E562*IF(E562="",0,VLOOKUP(C562,'📦 Precios Proforma'!$B$5:$D$104,IF(D562="DIA",2,3),FALSE)),0))</f>
        <v/>
      </c>
      <c r="J562" s="31" t="str">
        <f t="shared" si="57"/>
        <v/>
      </c>
      <c r="K562" s="31" t="str">
        <f t="shared" si="58"/>
        <v/>
      </c>
      <c r="L562" s="31" t="str">
        <f>IF(OR(B562="",C562=""),"",IFERROR(E562 / SUMIFS('📅 Resumen Diario'!$D$5:$D$504, '📅 Resumen Diario'!$B$5:$B$504, B562, '📅 Resumen Diario'!$C$5:$C$504, D562) * SUMIFS('📅 Resumen Diario'!$K$5:$K$504, '📅 Resumen Diario'!$B$5:$B$504, B562, '📅 Resumen Diario'!$C$5:$C$504, D562), 0))</f>
        <v/>
      </c>
      <c r="M562" s="31" t="str">
        <f t="shared" si="59"/>
        <v/>
      </c>
      <c r="N562" s="31" t="str">
        <f t="shared" si="60"/>
        <v/>
      </c>
      <c r="O562" s="31" t="str">
        <f>IF(OR(B562="",C562=""),"",K562-N562 + IFERROR(E562 / SUMIFS('📅 Resumen Diario'!$D$5:$D$504, '📅 Resumen Diario'!$B$5:$B$504, B562, '📅 Resumen Diario'!$C$5:$C$504, D562) * (SUMIFS('📋 Detalle Diario'!$E$5:$E$489, '📋 Detalle Diario'!$B$5:$B$489, B562, '📋 Detalle Diario'!$C$5:$C$489, D562) * 135 + SUMIFS('📋 Detalle Diario'!$I$5:$I$489, '📋 Detalle Diario'!$B$5:$B$489, B562, '📋 Detalle Diario'!$C$5:$C$489, D562) * 200), 0))</f>
        <v/>
      </c>
      <c r="P562" s="32" t="str">
        <f t="shared" si="61"/>
        <v/>
      </c>
      <c r="Q562" s="33" t="str">
        <f t="shared" si="62"/>
        <v/>
      </c>
    </row>
    <row r="563" spans="2:17" ht="18" customHeight="1" x14ac:dyDescent="0.3">
      <c r="B563" s="26"/>
      <c r="C563" s="28"/>
      <c r="D563" s="27"/>
      <c r="E563" s="29"/>
      <c r="F563" s="29"/>
      <c r="G563" s="29"/>
      <c r="H563" s="30" t="str">
        <f t="shared" si="56"/>
        <v/>
      </c>
      <c r="I563" s="31" t="str">
        <f>IF(OR(B563="",C563=""),"",IFERROR(E563*IF(E563="",0,VLOOKUP(C563,'📦 Precios Proforma'!$B$5:$D$104,IF(D563="DIA",2,3),FALSE)),0))</f>
        <v/>
      </c>
      <c r="J563" s="31" t="str">
        <f t="shared" si="57"/>
        <v/>
      </c>
      <c r="K563" s="31" t="str">
        <f t="shared" si="58"/>
        <v/>
      </c>
      <c r="L563" s="31" t="str">
        <f>IF(OR(B563="",C563=""),"",IFERROR(E563 / SUMIFS('📅 Resumen Diario'!$D$5:$D$504, '📅 Resumen Diario'!$B$5:$B$504, B563, '📅 Resumen Diario'!$C$5:$C$504, D563) * SUMIFS('📅 Resumen Diario'!$K$5:$K$504, '📅 Resumen Diario'!$B$5:$B$504, B563, '📅 Resumen Diario'!$C$5:$C$504, D563), 0))</f>
        <v/>
      </c>
      <c r="M563" s="31" t="str">
        <f t="shared" si="59"/>
        <v/>
      </c>
      <c r="N563" s="31" t="str">
        <f t="shared" si="60"/>
        <v/>
      </c>
      <c r="O563" s="31" t="str">
        <f>IF(OR(B563="",C563=""),"",K563-N563 + IFERROR(E563 / SUMIFS('📅 Resumen Diario'!$D$5:$D$504, '📅 Resumen Diario'!$B$5:$B$504, B563, '📅 Resumen Diario'!$C$5:$C$504, D563) * (SUMIFS('📋 Detalle Diario'!$E$5:$E$489, '📋 Detalle Diario'!$B$5:$B$489, B563, '📋 Detalle Diario'!$C$5:$C$489, D563) * 135 + SUMIFS('📋 Detalle Diario'!$I$5:$I$489, '📋 Detalle Diario'!$B$5:$B$489, B563, '📋 Detalle Diario'!$C$5:$C$489, D563) * 200), 0))</f>
        <v/>
      </c>
      <c r="P563" s="32" t="str">
        <f t="shared" si="61"/>
        <v/>
      </c>
      <c r="Q563" s="33" t="str">
        <f t="shared" si="62"/>
        <v/>
      </c>
    </row>
    <row r="564" spans="2:17" ht="18" customHeight="1" x14ac:dyDescent="0.3">
      <c r="B564" s="26"/>
      <c r="C564" s="17"/>
      <c r="D564" s="27"/>
      <c r="E564" s="18"/>
      <c r="F564" s="18"/>
      <c r="G564" s="18"/>
      <c r="H564" s="30" t="str">
        <f t="shared" si="56"/>
        <v/>
      </c>
      <c r="I564" s="31" t="str">
        <f>IF(OR(B564="",C564=""),"",IFERROR(E564*IF(E564="",0,VLOOKUP(C564,'📦 Precios Proforma'!$B$5:$D$104,IF(D564="DIA",2,3),FALSE)),0))</f>
        <v/>
      </c>
      <c r="J564" s="31" t="str">
        <f t="shared" si="57"/>
        <v/>
      </c>
      <c r="K564" s="31" t="str">
        <f t="shared" si="58"/>
        <v/>
      </c>
      <c r="L564" s="31" t="str">
        <f>IF(OR(B564="",C564=""),"",IFERROR(E564 / SUMIFS('📅 Resumen Diario'!$D$5:$D$504, '📅 Resumen Diario'!$B$5:$B$504, B564, '📅 Resumen Diario'!$C$5:$C$504, D564) * SUMIFS('📅 Resumen Diario'!$K$5:$K$504, '📅 Resumen Diario'!$B$5:$B$504, B564, '📅 Resumen Diario'!$C$5:$C$504, D564), 0))</f>
        <v/>
      </c>
      <c r="M564" s="31" t="str">
        <f t="shared" si="59"/>
        <v/>
      </c>
      <c r="N564" s="31" t="str">
        <f t="shared" si="60"/>
        <v/>
      </c>
      <c r="O564" s="31" t="str">
        <f>IF(OR(B564="",C564=""),"",K564-N564 + IFERROR(E564 / SUMIFS('📅 Resumen Diario'!$D$5:$D$504, '📅 Resumen Diario'!$B$5:$B$504, B564, '📅 Resumen Diario'!$C$5:$C$504, D564) * (SUMIFS('📋 Detalle Diario'!$E$5:$E$489, '📋 Detalle Diario'!$B$5:$B$489, B564, '📋 Detalle Diario'!$C$5:$C$489, D564) * 135 + SUMIFS('📋 Detalle Diario'!$I$5:$I$489, '📋 Detalle Diario'!$B$5:$B$489, B564, '📋 Detalle Diario'!$C$5:$C$489, D564) * 200), 0))</f>
        <v/>
      </c>
      <c r="P564" s="32" t="str">
        <f t="shared" si="61"/>
        <v/>
      </c>
      <c r="Q564" s="33" t="str">
        <f t="shared" si="62"/>
        <v/>
      </c>
    </row>
    <row r="565" spans="2:17" ht="18" customHeight="1" x14ac:dyDescent="0.3">
      <c r="B565" s="26"/>
      <c r="C565" s="28"/>
      <c r="D565" s="27"/>
      <c r="E565" s="29"/>
      <c r="F565" s="29"/>
      <c r="G565" s="29"/>
      <c r="H565" s="30" t="str">
        <f t="shared" si="56"/>
        <v/>
      </c>
      <c r="I565" s="31" t="str">
        <f>IF(OR(B565="",C565=""),"",IFERROR(E565*IF(E565="",0,VLOOKUP(C565,'📦 Precios Proforma'!$B$5:$D$104,IF(D565="DIA",2,3),FALSE)),0))</f>
        <v/>
      </c>
      <c r="J565" s="31" t="str">
        <f t="shared" si="57"/>
        <v/>
      </c>
      <c r="K565" s="31" t="str">
        <f t="shared" si="58"/>
        <v/>
      </c>
      <c r="L565" s="31" t="str">
        <f>IF(OR(B565="",C565=""),"",IFERROR(E565 / SUMIFS('📅 Resumen Diario'!$D$5:$D$504, '📅 Resumen Diario'!$B$5:$B$504, B565, '📅 Resumen Diario'!$C$5:$C$504, D565) * SUMIFS('📅 Resumen Diario'!$K$5:$K$504, '📅 Resumen Diario'!$B$5:$B$504, B565, '📅 Resumen Diario'!$C$5:$C$504, D565), 0))</f>
        <v/>
      </c>
      <c r="M565" s="31" t="str">
        <f t="shared" si="59"/>
        <v/>
      </c>
      <c r="N565" s="31" t="str">
        <f t="shared" si="60"/>
        <v/>
      </c>
      <c r="O565" s="31" t="str">
        <f>IF(OR(B565="",C565=""),"",K565-N565 + IFERROR(E565 / SUMIFS('📅 Resumen Diario'!$D$5:$D$504, '📅 Resumen Diario'!$B$5:$B$504, B565, '📅 Resumen Diario'!$C$5:$C$504, D565) * (SUMIFS('📋 Detalle Diario'!$E$5:$E$489, '📋 Detalle Diario'!$B$5:$B$489, B565, '📋 Detalle Diario'!$C$5:$C$489, D565) * 135 + SUMIFS('📋 Detalle Diario'!$I$5:$I$489, '📋 Detalle Diario'!$B$5:$B$489, B565, '📋 Detalle Diario'!$C$5:$C$489, D565) * 200), 0))</f>
        <v/>
      </c>
      <c r="P565" s="32" t="str">
        <f t="shared" si="61"/>
        <v/>
      </c>
      <c r="Q565" s="33" t="str">
        <f t="shared" si="62"/>
        <v/>
      </c>
    </row>
    <row r="566" spans="2:17" ht="18" customHeight="1" x14ac:dyDescent="0.3">
      <c r="B566" s="26"/>
      <c r="C566" s="17"/>
      <c r="D566" s="27"/>
      <c r="E566" s="18"/>
      <c r="F566" s="18"/>
      <c r="G566" s="18"/>
      <c r="H566" s="30" t="str">
        <f t="shared" si="56"/>
        <v/>
      </c>
      <c r="I566" s="31" t="str">
        <f>IF(OR(B566="",C566=""),"",IFERROR(E566*IF(E566="",0,VLOOKUP(C566,'📦 Precios Proforma'!$B$5:$D$104,IF(D566="DIA",2,3),FALSE)),0))</f>
        <v/>
      </c>
      <c r="J566" s="31" t="str">
        <f t="shared" si="57"/>
        <v/>
      </c>
      <c r="K566" s="31" t="str">
        <f t="shared" si="58"/>
        <v/>
      </c>
      <c r="L566" s="31" t="str">
        <f>IF(OR(B566="",C566=""),"",IFERROR(E566 / SUMIFS('📅 Resumen Diario'!$D$5:$D$504, '📅 Resumen Diario'!$B$5:$B$504, B566, '📅 Resumen Diario'!$C$5:$C$504, D566) * SUMIFS('📅 Resumen Diario'!$K$5:$K$504, '📅 Resumen Diario'!$B$5:$B$504, B566, '📅 Resumen Diario'!$C$5:$C$504, D566), 0))</f>
        <v/>
      </c>
      <c r="M566" s="31" t="str">
        <f t="shared" si="59"/>
        <v/>
      </c>
      <c r="N566" s="31" t="str">
        <f t="shared" si="60"/>
        <v/>
      </c>
      <c r="O566" s="31" t="str">
        <f>IF(OR(B566="",C566=""),"",K566-N566 + IFERROR(E566 / SUMIFS('📅 Resumen Diario'!$D$5:$D$504, '📅 Resumen Diario'!$B$5:$B$504, B566, '📅 Resumen Diario'!$C$5:$C$504, D566) * (SUMIFS('📋 Detalle Diario'!$E$5:$E$489, '📋 Detalle Diario'!$B$5:$B$489, B566, '📋 Detalle Diario'!$C$5:$C$489, D566) * 135 + SUMIFS('📋 Detalle Diario'!$I$5:$I$489, '📋 Detalle Diario'!$B$5:$B$489, B566, '📋 Detalle Diario'!$C$5:$C$489, D566) * 200), 0))</f>
        <v/>
      </c>
      <c r="P566" s="32" t="str">
        <f t="shared" si="61"/>
        <v/>
      </c>
      <c r="Q566" s="33" t="str">
        <f t="shared" si="62"/>
        <v/>
      </c>
    </row>
    <row r="567" spans="2:17" ht="18" customHeight="1" x14ac:dyDescent="0.3">
      <c r="B567" s="26"/>
      <c r="C567" s="28"/>
      <c r="D567" s="27"/>
      <c r="E567" s="29"/>
      <c r="F567" s="29"/>
      <c r="G567" s="29"/>
      <c r="H567" s="30" t="str">
        <f t="shared" si="56"/>
        <v/>
      </c>
      <c r="I567" s="31" t="str">
        <f>IF(OR(B567="",C567=""),"",IFERROR(E567*IF(E567="",0,VLOOKUP(C567,'📦 Precios Proforma'!$B$5:$D$104,IF(D567="DIA",2,3),FALSE)),0))</f>
        <v/>
      </c>
      <c r="J567" s="31" t="str">
        <f t="shared" si="57"/>
        <v/>
      </c>
      <c r="K567" s="31" t="str">
        <f t="shared" si="58"/>
        <v/>
      </c>
      <c r="L567" s="31" t="str">
        <f>IF(OR(B567="",C567=""),"",IFERROR(E567 / SUMIFS('📅 Resumen Diario'!$D$5:$D$504, '📅 Resumen Diario'!$B$5:$B$504, B567, '📅 Resumen Diario'!$C$5:$C$504, D567) * SUMIFS('📅 Resumen Diario'!$K$5:$K$504, '📅 Resumen Diario'!$B$5:$B$504, B567, '📅 Resumen Diario'!$C$5:$C$504, D567), 0))</f>
        <v/>
      </c>
      <c r="M567" s="31" t="str">
        <f t="shared" si="59"/>
        <v/>
      </c>
      <c r="N567" s="31" t="str">
        <f t="shared" si="60"/>
        <v/>
      </c>
      <c r="O567" s="31" t="str">
        <f>IF(OR(B567="",C567=""),"",K567-N567 + IFERROR(E567 / SUMIFS('📅 Resumen Diario'!$D$5:$D$504, '📅 Resumen Diario'!$B$5:$B$504, B567, '📅 Resumen Diario'!$C$5:$C$504, D567) * (SUMIFS('📋 Detalle Diario'!$E$5:$E$489, '📋 Detalle Diario'!$B$5:$B$489, B567, '📋 Detalle Diario'!$C$5:$C$489, D567) * 135 + SUMIFS('📋 Detalle Diario'!$I$5:$I$489, '📋 Detalle Diario'!$B$5:$B$489, B567, '📋 Detalle Diario'!$C$5:$C$489, D567) * 200), 0))</f>
        <v/>
      </c>
      <c r="P567" s="32" t="str">
        <f t="shared" si="61"/>
        <v/>
      </c>
      <c r="Q567" s="33" t="str">
        <f t="shared" si="62"/>
        <v/>
      </c>
    </row>
    <row r="568" spans="2:17" ht="18" customHeight="1" x14ac:dyDescent="0.3">
      <c r="B568" s="26"/>
      <c r="C568" s="17"/>
      <c r="D568" s="27"/>
      <c r="E568" s="18"/>
      <c r="F568" s="18"/>
      <c r="G568" s="18"/>
      <c r="H568" s="30" t="str">
        <f t="shared" si="56"/>
        <v/>
      </c>
      <c r="I568" s="31" t="str">
        <f>IF(OR(B568="",C568=""),"",IFERROR(E568*IF(E568="",0,VLOOKUP(C568,'📦 Precios Proforma'!$B$5:$D$104,IF(D568="DIA",2,3),FALSE)),0))</f>
        <v/>
      </c>
      <c r="J568" s="31" t="str">
        <f t="shared" si="57"/>
        <v/>
      </c>
      <c r="K568" s="31" t="str">
        <f t="shared" si="58"/>
        <v/>
      </c>
      <c r="L568" s="31" t="str">
        <f>IF(OR(B568="",C568=""),"",IFERROR(E568 / SUMIFS('📅 Resumen Diario'!$D$5:$D$504, '📅 Resumen Diario'!$B$5:$B$504, B568, '📅 Resumen Diario'!$C$5:$C$504, D568) * SUMIFS('📅 Resumen Diario'!$K$5:$K$504, '📅 Resumen Diario'!$B$5:$B$504, B568, '📅 Resumen Diario'!$C$5:$C$504, D568), 0))</f>
        <v/>
      </c>
      <c r="M568" s="31" t="str">
        <f t="shared" si="59"/>
        <v/>
      </c>
      <c r="N568" s="31" t="str">
        <f t="shared" si="60"/>
        <v/>
      </c>
      <c r="O568" s="31" t="str">
        <f>IF(OR(B568="",C568=""),"",K568-N568 + IFERROR(E568 / SUMIFS('📅 Resumen Diario'!$D$5:$D$504, '📅 Resumen Diario'!$B$5:$B$504, B568, '📅 Resumen Diario'!$C$5:$C$504, D568) * (SUMIFS('📋 Detalle Diario'!$E$5:$E$489, '📋 Detalle Diario'!$B$5:$B$489, B568, '📋 Detalle Diario'!$C$5:$C$489, D568) * 135 + SUMIFS('📋 Detalle Diario'!$I$5:$I$489, '📋 Detalle Diario'!$B$5:$B$489, B568, '📋 Detalle Diario'!$C$5:$C$489, D568) * 200), 0))</f>
        <v/>
      </c>
      <c r="P568" s="32" t="str">
        <f t="shared" si="61"/>
        <v/>
      </c>
      <c r="Q568" s="33" t="str">
        <f t="shared" si="62"/>
        <v/>
      </c>
    </row>
    <row r="569" spans="2:17" ht="18" customHeight="1" x14ac:dyDescent="0.3">
      <c r="B569" s="26"/>
      <c r="C569" s="28"/>
      <c r="D569" s="27"/>
      <c r="E569" s="29"/>
      <c r="F569" s="29"/>
      <c r="G569" s="29"/>
      <c r="H569" s="30" t="str">
        <f t="shared" si="56"/>
        <v/>
      </c>
      <c r="I569" s="31" t="str">
        <f>IF(OR(B569="",C569=""),"",IFERROR(E569*IF(E569="",0,VLOOKUP(C569,'📦 Precios Proforma'!$B$5:$D$104,IF(D569="DIA",2,3),FALSE)),0))</f>
        <v/>
      </c>
      <c r="J569" s="31" t="str">
        <f t="shared" si="57"/>
        <v/>
      </c>
      <c r="K569" s="31" t="str">
        <f t="shared" si="58"/>
        <v/>
      </c>
      <c r="L569" s="31" t="str">
        <f>IF(OR(B569="",C569=""),"",IFERROR(E569 / SUMIFS('📅 Resumen Diario'!$D$5:$D$504, '📅 Resumen Diario'!$B$5:$B$504, B569, '📅 Resumen Diario'!$C$5:$C$504, D569) * SUMIFS('📅 Resumen Diario'!$K$5:$K$504, '📅 Resumen Diario'!$B$5:$B$504, B569, '📅 Resumen Diario'!$C$5:$C$504, D569), 0))</f>
        <v/>
      </c>
      <c r="M569" s="31" t="str">
        <f t="shared" si="59"/>
        <v/>
      </c>
      <c r="N569" s="31" t="str">
        <f t="shared" si="60"/>
        <v/>
      </c>
      <c r="O569" s="31" t="str">
        <f>IF(OR(B569="",C569=""),"",K569-N569 + IFERROR(E569 / SUMIFS('📅 Resumen Diario'!$D$5:$D$504, '📅 Resumen Diario'!$B$5:$B$504, B569, '📅 Resumen Diario'!$C$5:$C$504, D569) * (SUMIFS('📋 Detalle Diario'!$E$5:$E$489, '📋 Detalle Diario'!$B$5:$B$489, B569, '📋 Detalle Diario'!$C$5:$C$489, D569) * 135 + SUMIFS('📋 Detalle Diario'!$I$5:$I$489, '📋 Detalle Diario'!$B$5:$B$489, B569, '📋 Detalle Diario'!$C$5:$C$489, D569) * 200), 0))</f>
        <v/>
      </c>
      <c r="P569" s="32" t="str">
        <f t="shared" si="61"/>
        <v/>
      </c>
      <c r="Q569" s="33" t="str">
        <f t="shared" si="62"/>
        <v/>
      </c>
    </row>
    <row r="570" spans="2:17" ht="18" customHeight="1" x14ac:dyDescent="0.3">
      <c r="B570" s="26"/>
      <c r="C570" s="17"/>
      <c r="D570" s="27"/>
      <c r="E570" s="18"/>
      <c r="F570" s="18"/>
      <c r="G570" s="18"/>
      <c r="H570" s="30" t="str">
        <f t="shared" si="56"/>
        <v/>
      </c>
      <c r="I570" s="31" t="str">
        <f>IF(OR(B570="",C570=""),"",IFERROR(E570*IF(E570="",0,VLOOKUP(C570,'📦 Precios Proforma'!$B$5:$D$104,IF(D570="DIA",2,3),FALSE)),0))</f>
        <v/>
      </c>
      <c r="J570" s="31" t="str">
        <f t="shared" si="57"/>
        <v/>
      </c>
      <c r="K570" s="31" t="str">
        <f t="shared" si="58"/>
        <v/>
      </c>
      <c r="L570" s="31" t="str">
        <f>IF(OR(B570="",C570=""),"",IFERROR(E570 / SUMIFS('📅 Resumen Diario'!$D$5:$D$504, '📅 Resumen Diario'!$B$5:$B$504, B570, '📅 Resumen Diario'!$C$5:$C$504, D570) * SUMIFS('📅 Resumen Diario'!$K$5:$K$504, '📅 Resumen Diario'!$B$5:$B$504, B570, '📅 Resumen Diario'!$C$5:$C$504, D570), 0))</f>
        <v/>
      </c>
      <c r="M570" s="31" t="str">
        <f t="shared" si="59"/>
        <v/>
      </c>
      <c r="N570" s="31" t="str">
        <f t="shared" si="60"/>
        <v/>
      </c>
      <c r="O570" s="31" t="str">
        <f>IF(OR(B570="",C570=""),"",K570-N570 + IFERROR(E570 / SUMIFS('📅 Resumen Diario'!$D$5:$D$504, '📅 Resumen Diario'!$B$5:$B$504, B570, '📅 Resumen Diario'!$C$5:$C$504, D570) * (SUMIFS('📋 Detalle Diario'!$E$5:$E$489, '📋 Detalle Diario'!$B$5:$B$489, B570, '📋 Detalle Diario'!$C$5:$C$489, D570) * 135 + SUMIFS('📋 Detalle Diario'!$I$5:$I$489, '📋 Detalle Diario'!$B$5:$B$489, B570, '📋 Detalle Diario'!$C$5:$C$489, D570) * 200), 0))</f>
        <v/>
      </c>
      <c r="P570" s="32" t="str">
        <f t="shared" si="61"/>
        <v/>
      </c>
      <c r="Q570" s="33" t="str">
        <f t="shared" si="62"/>
        <v/>
      </c>
    </row>
    <row r="571" spans="2:17" ht="18" customHeight="1" x14ac:dyDescent="0.3">
      <c r="B571" s="26"/>
      <c r="C571" s="28"/>
      <c r="D571" s="27"/>
      <c r="E571" s="29"/>
      <c r="F571" s="29"/>
      <c r="G571" s="29"/>
      <c r="H571" s="30" t="str">
        <f t="shared" si="56"/>
        <v/>
      </c>
      <c r="I571" s="31" t="str">
        <f>IF(OR(B571="",C571=""),"",IFERROR(E571*IF(E571="",0,VLOOKUP(C571,'📦 Precios Proforma'!$B$5:$D$104,IF(D571="DIA",2,3),FALSE)),0))</f>
        <v/>
      </c>
      <c r="J571" s="31" t="str">
        <f t="shared" si="57"/>
        <v/>
      </c>
      <c r="K571" s="31" t="str">
        <f t="shared" si="58"/>
        <v/>
      </c>
      <c r="L571" s="31" t="str">
        <f>IF(OR(B571="",C571=""),"",IFERROR(E571 / SUMIFS('📅 Resumen Diario'!$D$5:$D$504, '📅 Resumen Diario'!$B$5:$B$504, B571, '📅 Resumen Diario'!$C$5:$C$504, D571) * SUMIFS('📅 Resumen Diario'!$K$5:$K$504, '📅 Resumen Diario'!$B$5:$B$504, B571, '📅 Resumen Diario'!$C$5:$C$504, D571), 0))</f>
        <v/>
      </c>
      <c r="M571" s="31" t="str">
        <f t="shared" si="59"/>
        <v/>
      </c>
      <c r="N571" s="31" t="str">
        <f t="shared" si="60"/>
        <v/>
      </c>
      <c r="O571" s="31" t="str">
        <f>IF(OR(B571="",C571=""),"",K571-N571 + IFERROR(E571 / SUMIFS('📅 Resumen Diario'!$D$5:$D$504, '📅 Resumen Diario'!$B$5:$B$504, B571, '📅 Resumen Diario'!$C$5:$C$504, D571) * (SUMIFS('📋 Detalle Diario'!$E$5:$E$489, '📋 Detalle Diario'!$B$5:$B$489, B571, '📋 Detalle Diario'!$C$5:$C$489, D571) * 135 + SUMIFS('📋 Detalle Diario'!$I$5:$I$489, '📋 Detalle Diario'!$B$5:$B$489, B571, '📋 Detalle Diario'!$C$5:$C$489, D571) * 200), 0))</f>
        <v/>
      </c>
      <c r="P571" s="32" t="str">
        <f t="shared" si="61"/>
        <v/>
      </c>
      <c r="Q571" s="33" t="str">
        <f t="shared" si="62"/>
        <v/>
      </c>
    </row>
    <row r="572" spans="2:17" ht="18" customHeight="1" x14ac:dyDescent="0.3">
      <c r="B572" s="26"/>
      <c r="C572" s="17"/>
      <c r="D572" s="27"/>
      <c r="E572" s="18"/>
      <c r="F572" s="18"/>
      <c r="G572" s="18"/>
      <c r="H572" s="30" t="str">
        <f t="shared" si="56"/>
        <v/>
      </c>
      <c r="I572" s="31" t="str">
        <f>IF(OR(B572="",C572=""),"",IFERROR(E572*IF(E572="",0,VLOOKUP(C572,'📦 Precios Proforma'!$B$5:$D$104,IF(D572="DIA",2,3),FALSE)),0))</f>
        <v/>
      </c>
      <c r="J572" s="31" t="str">
        <f t="shared" si="57"/>
        <v/>
      </c>
      <c r="K572" s="31" t="str">
        <f t="shared" si="58"/>
        <v/>
      </c>
      <c r="L572" s="31" t="str">
        <f>IF(OR(B572="",C572=""),"",IFERROR(E572 / SUMIFS('📅 Resumen Diario'!$D$5:$D$504, '📅 Resumen Diario'!$B$5:$B$504, B572, '📅 Resumen Diario'!$C$5:$C$504, D572) * SUMIFS('📅 Resumen Diario'!$K$5:$K$504, '📅 Resumen Diario'!$B$5:$B$504, B572, '📅 Resumen Diario'!$C$5:$C$504, D572), 0))</f>
        <v/>
      </c>
      <c r="M572" s="31" t="str">
        <f t="shared" si="59"/>
        <v/>
      </c>
      <c r="N572" s="31" t="str">
        <f t="shared" si="60"/>
        <v/>
      </c>
      <c r="O572" s="31" t="str">
        <f>IF(OR(B572="",C572=""),"",K572-N572 + IFERROR(E572 / SUMIFS('📅 Resumen Diario'!$D$5:$D$504, '📅 Resumen Diario'!$B$5:$B$504, B572, '📅 Resumen Diario'!$C$5:$C$504, D572) * (SUMIFS('📋 Detalle Diario'!$E$5:$E$489, '📋 Detalle Diario'!$B$5:$B$489, B572, '📋 Detalle Diario'!$C$5:$C$489, D572) * 135 + SUMIFS('📋 Detalle Diario'!$I$5:$I$489, '📋 Detalle Diario'!$B$5:$B$489, B572, '📋 Detalle Diario'!$C$5:$C$489, D572) * 200), 0))</f>
        <v/>
      </c>
      <c r="P572" s="32" t="str">
        <f t="shared" si="61"/>
        <v/>
      </c>
      <c r="Q572" s="33" t="str">
        <f t="shared" si="62"/>
        <v/>
      </c>
    </row>
    <row r="573" spans="2:17" ht="18" customHeight="1" x14ac:dyDescent="0.3">
      <c r="B573" s="26"/>
      <c r="C573" s="28"/>
      <c r="D573" s="27"/>
      <c r="E573" s="29"/>
      <c r="F573" s="29"/>
      <c r="G573" s="29"/>
      <c r="H573" s="30" t="str">
        <f t="shared" si="56"/>
        <v/>
      </c>
      <c r="I573" s="31" t="str">
        <f>IF(OR(B573="",C573=""),"",IFERROR(E573*IF(E573="",0,VLOOKUP(C573,'📦 Precios Proforma'!$B$5:$D$104,IF(D573="DIA",2,3),FALSE)),0))</f>
        <v/>
      </c>
      <c r="J573" s="31" t="str">
        <f t="shared" si="57"/>
        <v/>
      </c>
      <c r="K573" s="31" t="str">
        <f t="shared" si="58"/>
        <v/>
      </c>
      <c r="L573" s="31" t="str">
        <f>IF(OR(B573="",C573=""),"",IFERROR(E573 / SUMIFS('📅 Resumen Diario'!$D$5:$D$504, '📅 Resumen Diario'!$B$5:$B$504, B573, '📅 Resumen Diario'!$C$5:$C$504, D573) * SUMIFS('📅 Resumen Diario'!$K$5:$K$504, '📅 Resumen Diario'!$B$5:$B$504, B573, '📅 Resumen Diario'!$C$5:$C$504, D573), 0))</f>
        <v/>
      </c>
      <c r="M573" s="31" t="str">
        <f t="shared" si="59"/>
        <v/>
      </c>
      <c r="N573" s="31" t="str">
        <f t="shared" si="60"/>
        <v/>
      </c>
      <c r="O573" s="31" t="str">
        <f>IF(OR(B573="",C573=""),"",K573-N573 + IFERROR(E573 / SUMIFS('📅 Resumen Diario'!$D$5:$D$504, '📅 Resumen Diario'!$B$5:$B$504, B573, '📅 Resumen Diario'!$C$5:$C$504, D573) * (SUMIFS('📋 Detalle Diario'!$E$5:$E$489, '📋 Detalle Diario'!$B$5:$B$489, B573, '📋 Detalle Diario'!$C$5:$C$489, D573) * 135 + SUMIFS('📋 Detalle Diario'!$I$5:$I$489, '📋 Detalle Diario'!$B$5:$B$489, B573, '📋 Detalle Diario'!$C$5:$C$489, D573) * 200), 0))</f>
        <v/>
      </c>
      <c r="P573" s="32" t="str">
        <f t="shared" si="61"/>
        <v/>
      </c>
      <c r="Q573" s="33" t="str">
        <f t="shared" si="62"/>
        <v/>
      </c>
    </row>
    <row r="574" spans="2:17" ht="18" customHeight="1" x14ac:dyDescent="0.3">
      <c r="B574" s="26"/>
      <c r="C574" s="17"/>
      <c r="D574" s="27"/>
      <c r="E574" s="18"/>
      <c r="F574" s="18"/>
      <c r="G574" s="18"/>
      <c r="H574" s="30" t="str">
        <f t="shared" si="56"/>
        <v/>
      </c>
      <c r="I574" s="31" t="str">
        <f>IF(OR(B574="",C574=""),"",IFERROR(E574*IF(E574="",0,VLOOKUP(C574,'📦 Precios Proforma'!$B$5:$D$104,IF(D574="DIA",2,3),FALSE)),0))</f>
        <v/>
      </c>
      <c r="J574" s="31" t="str">
        <f t="shared" si="57"/>
        <v/>
      </c>
      <c r="K574" s="31" t="str">
        <f t="shared" si="58"/>
        <v/>
      </c>
      <c r="L574" s="31" t="str">
        <f>IF(OR(B574="",C574=""),"",IFERROR(E574 / SUMIFS('📅 Resumen Diario'!$D$5:$D$504, '📅 Resumen Diario'!$B$5:$B$504, B574, '📅 Resumen Diario'!$C$5:$C$504, D574) * SUMIFS('📅 Resumen Diario'!$K$5:$K$504, '📅 Resumen Diario'!$B$5:$B$504, B574, '📅 Resumen Diario'!$C$5:$C$504, D574), 0))</f>
        <v/>
      </c>
      <c r="M574" s="31" t="str">
        <f t="shared" si="59"/>
        <v/>
      </c>
      <c r="N574" s="31" t="str">
        <f t="shared" si="60"/>
        <v/>
      </c>
      <c r="O574" s="31" t="str">
        <f>IF(OR(B574="",C574=""),"",K574-N574 + IFERROR(E574 / SUMIFS('📅 Resumen Diario'!$D$5:$D$504, '📅 Resumen Diario'!$B$5:$B$504, B574, '📅 Resumen Diario'!$C$5:$C$504, D574) * (SUMIFS('📋 Detalle Diario'!$E$5:$E$489, '📋 Detalle Diario'!$B$5:$B$489, B574, '📋 Detalle Diario'!$C$5:$C$489, D574) * 135 + SUMIFS('📋 Detalle Diario'!$I$5:$I$489, '📋 Detalle Diario'!$B$5:$B$489, B574, '📋 Detalle Diario'!$C$5:$C$489, D574) * 200), 0))</f>
        <v/>
      </c>
      <c r="P574" s="32" t="str">
        <f t="shared" si="61"/>
        <v/>
      </c>
      <c r="Q574" s="33" t="str">
        <f t="shared" si="62"/>
        <v/>
      </c>
    </row>
    <row r="575" spans="2:17" ht="18" customHeight="1" x14ac:dyDescent="0.3">
      <c r="B575" s="26"/>
      <c r="C575" s="28"/>
      <c r="D575" s="27"/>
      <c r="E575" s="29"/>
      <c r="F575" s="29"/>
      <c r="G575" s="29"/>
      <c r="H575" s="30" t="str">
        <f t="shared" si="56"/>
        <v/>
      </c>
      <c r="I575" s="31" t="str">
        <f>IF(OR(B575="",C575=""),"",IFERROR(E575*IF(E575="",0,VLOOKUP(C575,'📦 Precios Proforma'!$B$5:$D$104,IF(D575="DIA",2,3),FALSE)),0))</f>
        <v/>
      </c>
      <c r="J575" s="31" t="str">
        <f t="shared" si="57"/>
        <v/>
      </c>
      <c r="K575" s="31" t="str">
        <f t="shared" si="58"/>
        <v/>
      </c>
      <c r="L575" s="31" t="str">
        <f>IF(OR(B575="",C575=""),"",IFERROR(E575 / SUMIFS('📅 Resumen Diario'!$D$5:$D$504, '📅 Resumen Diario'!$B$5:$B$504, B575, '📅 Resumen Diario'!$C$5:$C$504, D575) * SUMIFS('📅 Resumen Diario'!$K$5:$K$504, '📅 Resumen Diario'!$B$5:$B$504, B575, '📅 Resumen Diario'!$C$5:$C$504, D575), 0))</f>
        <v/>
      </c>
      <c r="M575" s="31" t="str">
        <f t="shared" si="59"/>
        <v/>
      </c>
      <c r="N575" s="31" t="str">
        <f t="shared" si="60"/>
        <v/>
      </c>
      <c r="O575" s="31" t="str">
        <f>IF(OR(B575="",C575=""),"",K575-N575 + IFERROR(E575 / SUMIFS('📅 Resumen Diario'!$D$5:$D$504, '📅 Resumen Diario'!$B$5:$B$504, B575, '📅 Resumen Diario'!$C$5:$C$504, D575) * (SUMIFS('📋 Detalle Diario'!$E$5:$E$489, '📋 Detalle Diario'!$B$5:$B$489, B575, '📋 Detalle Diario'!$C$5:$C$489, D575) * 135 + SUMIFS('📋 Detalle Diario'!$I$5:$I$489, '📋 Detalle Diario'!$B$5:$B$489, B575, '📋 Detalle Diario'!$C$5:$C$489, D575) * 200), 0))</f>
        <v/>
      </c>
      <c r="P575" s="32" t="str">
        <f t="shared" si="61"/>
        <v/>
      </c>
      <c r="Q575" s="33" t="str">
        <f t="shared" si="62"/>
        <v/>
      </c>
    </row>
    <row r="576" spans="2:17" ht="18" customHeight="1" x14ac:dyDescent="0.3">
      <c r="B576" s="26"/>
      <c r="C576" s="17"/>
      <c r="D576" s="27"/>
      <c r="E576" s="18"/>
      <c r="F576" s="18"/>
      <c r="G576" s="18"/>
      <c r="H576" s="30" t="str">
        <f t="shared" si="56"/>
        <v/>
      </c>
      <c r="I576" s="31" t="str">
        <f>IF(OR(B576="",C576=""),"",IFERROR(E576*IF(E576="",0,VLOOKUP(C576,'📦 Precios Proforma'!$B$5:$D$104,IF(D576="DIA",2,3),FALSE)),0))</f>
        <v/>
      </c>
      <c r="J576" s="31" t="str">
        <f t="shared" si="57"/>
        <v/>
      </c>
      <c r="K576" s="31" t="str">
        <f t="shared" si="58"/>
        <v/>
      </c>
      <c r="L576" s="31" t="str">
        <f>IF(OR(B576="",C576=""),"",IFERROR(E576 / SUMIFS('📅 Resumen Diario'!$D$5:$D$504, '📅 Resumen Diario'!$B$5:$B$504, B576, '📅 Resumen Diario'!$C$5:$C$504, D576) * SUMIFS('📅 Resumen Diario'!$K$5:$K$504, '📅 Resumen Diario'!$B$5:$B$504, B576, '📅 Resumen Diario'!$C$5:$C$504, D576), 0))</f>
        <v/>
      </c>
      <c r="M576" s="31" t="str">
        <f t="shared" si="59"/>
        <v/>
      </c>
      <c r="N576" s="31" t="str">
        <f t="shared" si="60"/>
        <v/>
      </c>
      <c r="O576" s="31" t="str">
        <f>IF(OR(B576="",C576=""),"",K576-N576 + IFERROR(E576 / SUMIFS('📅 Resumen Diario'!$D$5:$D$504, '📅 Resumen Diario'!$B$5:$B$504, B576, '📅 Resumen Diario'!$C$5:$C$504, D576) * (SUMIFS('📋 Detalle Diario'!$E$5:$E$489, '📋 Detalle Diario'!$B$5:$B$489, B576, '📋 Detalle Diario'!$C$5:$C$489, D576) * 135 + SUMIFS('📋 Detalle Diario'!$I$5:$I$489, '📋 Detalle Diario'!$B$5:$B$489, B576, '📋 Detalle Diario'!$C$5:$C$489, D576) * 200), 0))</f>
        <v/>
      </c>
      <c r="P576" s="32" t="str">
        <f t="shared" si="61"/>
        <v/>
      </c>
      <c r="Q576" s="33" t="str">
        <f t="shared" si="62"/>
        <v/>
      </c>
    </row>
    <row r="577" spans="2:17" ht="18" customHeight="1" x14ac:dyDescent="0.3">
      <c r="B577" s="26"/>
      <c r="C577" s="28"/>
      <c r="D577" s="27"/>
      <c r="E577" s="29"/>
      <c r="F577" s="29"/>
      <c r="G577" s="29"/>
      <c r="H577" s="30" t="str">
        <f t="shared" si="56"/>
        <v/>
      </c>
      <c r="I577" s="31" t="str">
        <f>IF(OR(B577="",C577=""),"",IFERROR(E577*IF(E577="",0,VLOOKUP(C577,'📦 Precios Proforma'!$B$5:$D$104,IF(D577="DIA",2,3),FALSE)),0))</f>
        <v/>
      </c>
      <c r="J577" s="31" t="str">
        <f t="shared" si="57"/>
        <v/>
      </c>
      <c r="K577" s="31" t="str">
        <f t="shared" si="58"/>
        <v/>
      </c>
      <c r="L577" s="31" t="str">
        <f>IF(OR(B577="",C577=""),"",IFERROR(E577 / SUMIFS('📅 Resumen Diario'!$D$5:$D$504, '📅 Resumen Diario'!$B$5:$B$504, B577, '📅 Resumen Diario'!$C$5:$C$504, D577) * SUMIFS('📅 Resumen Diario'!$K$5:$K$504, '📅 Resumen Diario'!$B$5:$B$504, B577, '📅 Resumen Diario'!$C$5:$C$504, D577), 0))</f>
        <v/>
      </c>
      <c r="M577" s="31" t="str">
        <f t="shared" si="59"/>
        <v/>
      </c>
      <c r="N577" s="31" t="str">
        <f t="shared" si="60"/>
        <v/>
      </c>
      <c r="O577" s="31" t="str">
        <f>IF(OR(B577="",C577=""),"",K577-N577 + IFERROR(E577 / SUMIFS('📅 Resumen Diario'!$D$5:$D$504, '📅 Resumen Diario'!$B$5:$B$504, B577, '📅 Resumen Diario'!$C$5:$C$504, D577) * (SUMIFS('📋 Detalle Diario'!$E$5:$E$489, '📋 Detalle Diario'!$B$5:$B$489, B577, '📋 Detalle Diario'!$C$5:$C$489, D577) * 135 + SUMIFS('📋 Detalle Diario'!$I$5:$I$489, '📋 Detalle Diario'!$B$5:$B$489, B577, '📋 Detalle Diario'!$C$5:$C$489, D577) * 200), 0))</f>
        <v/>
      </c>
      <c r="P577" s="32" t="str">
        <f t="shared" si="61"/>
        <v/>
      </c>
      <c r="Q577" s="33" t="str">
        <f t="shared" si="62"/>
        <v/>
      </c>
    </row>
    <row r="578" spans="2:17" ht="18" customHeight="1" x14ac:dyDescent="0.3">
      <c r="B578" s="26"/>
      <c r="C578" s="17"/>
      <c r="D578" s="27"/>
      <c r="E578" s="18"/>
      <c r="F578" s="18"/>
      <c r="G578" s="18"/>
      <c r="H578" s="30" t="str">
        <f t="shared" si="56"/>
        <v/>
      </c>
      <c r="I578" s="31" t="str">
        <f>IF(OR(B578="",C578=""),"",IFERROR(E578*IF(E578="",0,VLOOKUP(C578,'📦 Precios Proforma'!$B$5:$D$104,IF(D578="DIA",2,3),FALSE)),0))</f>
        <v/>
      </c>
      <c r="J578" s="31" t="str">
        <f t="shared" si="57"/>
        <v/>
      </c>
      <c r="K578" s="31" t="str">
        <f t="shared" si="58"/>
        <v/>
      </c>
      <c r="L578" s="31" t="str">
        <f>IF(OR(B578="",C578=""),"",IFERROR(E578 / SUMIFS('📅 Resumen Diario'!$D$5:$D$504, '📅 Resumen Diario'!$B$5:$B$504, B578, '📅 Resumen Diario'!$C$5:$C$504, D578) * SUMIFS('📅 Resumen Diario'!$K$5:$K$504, '📅 Resumen Diario'!$B$5:$B$504, B578, '📅 Resumen Diario'!$C$5:$C$504, D578), 0))</f>
        <v/>
      </c>
      <c r="M578" s="31" t="str">
        <f t="shared" si="59"/>
        <v/>
      </c>
      <c r="N578" s="31" t="str">
        <f t="shared" si="60"/>
        <v/>
      </c>
      <c r="O578" s="31" t="str">
        <f>IF(OR(B578="",C578=""),"",K578-N578 + IFERROR(E578 / SUMIFS('📅 Resumen Diario'!$D$5:$D$504, '📅 Resumen Diario'!$B$5:$B$504, B578, '📅 Resumen Diario'!$C$5:$C$504, D578) * (SUMIFS('📋 Detalle Diario'!$E$5:$E$489, '📋 Detalle Diario'!$B$5:$B$489, B578, '📋 Detalle Diario'!$C$5:$C$489, D578) * 135 + SUMIFS('📋 Detalle Diario'!$I$5:$I$489, '📋 Detalle Diario'!$B$5:$B$489, B578, '📋 Detalle Diario'!$C$5:$C$489, D578) * 200), 0))</f>
        <v/>
      </c>
      <c r="P578" s="32" t="str">
        <f t="shared" si="61"/>
        <v/>
      </c>
      <c r="Q578" s="33" t="str">
        <f t="shared" si="62"/>
        <v/>
      </c>
    </row>
    <row r="579" spans="2:17" ht="18" customHeight="1" x14ac:dyDescent="0.3">
      <c r="B579" s="26"/>
      <c r="C579" s="28"/>
      <c r="D579" s="27"/>
      <c r="E579" s="29"/>
      <c r="F579" s="29"/>
      <c r="G579" s="29"/>
      <c r="H579" s="30" t="str">
        <f t="shared" si="56"/>
        <v/>
      </c>
      <c r="I579" s="31" t="str">
        <f>IF(OR(B579="",C579=""),"",IFERROR(E579*IF(E579="",0,VLOOKUP(C579,'📦 Precios Proforma'!$B$5:$D$104,IF(D579="DIA",2,3),FALSE)),0))</f>
        <v/>
      </c>
      <c r="J579" s="31" t="str">
        <f t="shared" si="57"/>
        <v/>
      </c>
      <c r="K579" s="31" t="str">
        <f t="shared" si="58"/>
        <v/>
      </c>
      <c r="L579" s="31" t="str">
        <f>IF(OR(B579="",C579=""),"",IFERROR(E579 / SUMIFS('📅 Resumen Diario'!$D$5:$D$504, '📅 Resumen Diario'!$B$5:$B$504, B579, '📅 Resumen Diario'!$C$5:$C$504, D579) * SUMIFS('📅 Resumen Diario'!$K$5:$K$504, '📅 Resumen Diario'!$B$5:$B$504, B579, '📅 Resumen Diario'!$C$5:$C$504, D579), 0))</f>
        <v/>
      </c>
      <c r="M579" s="31" t="str">
        <f t="shared" si="59"/>
        <v/>
      </c>
      <c r="N579" s="31" t="str">
        <f t="shared" si="60"/>
        <v/>
      </c>
      <c r="O579" s="31" t="str">
        <f>IF(OR(B579="",C579=""),"",K579-N579 + IFERROR(E579 / SUMIFS('📅 Resumen Diario'!$D$5:$D$504, '📅 Resumen Diario'!$B$5:$B$504, B579, '📅 Resumen Diario'!$C$5:$C$504, D579) * (SUMIFS('📋 Detalle Diario'!$E$5:$E$489, '📋 Detalle Diario'!$B$5:$B$489, B579, '📋 Detalle Diario'!$C$5:$C$489, D579) * 135 + SUMIFS('📋 Detalle Diario'!$I$5:$I$489, '📋 Detalle Diario'!$B$5:$B$489, B579, '📋 Detalle Diario'!$C$5:$C$489, D579) * 200), 0))</f>
        <v/>
      </c>
      <c r="P579" s="32" t="str">
        <f t="shared" si="61"/>
        <v/>
      </c>
      <c r="Q579" s="33" t="str">
        <f t="shared" si="62"/>
        <v/>
      </c>
    </row>
    <row r="580" spans="2:17" ht="18" customHeight="1" x14ac:dyDescent="0.3">
      <c r="B580" s="26"/>
      <c r="C580" s="17"/>
      <c r="D580" s="27"/>
      <c r="E580" s="18"/>
      <c r="F580" s="18"/>
      <c r="G580" s="18"/>
      <c r="H580" s="30" t="str">
        <f t="shared" si="56"/>
        <v/>
      </c>
      <c r="I580" s="31" t="str">
        <f>IF(OR(B580="",C580=""),"",IFERROR(E580*IF(E580="",0,VLOOKUP(C580,'📦 Precios Proforma'!$B$5:$D$104,IF(D580="DIA",2,3),FALSE)),0))</f>
        <v/>
      </c>
      <c r="J580" s="31" t="str">
        <f t="shared" si="57"/>
        <v/>
      </c>
      <c r="K580" s="31" t="str">
        <f t="shared" si="58"/>
        <v/>
      </c>
      <c r="L580" s="31" t="str">
        <f>IF(OR(B580="",C580=""),"",IFERROR(E580 / SUMIFS('📅 Resumen Diario'!$D$5:$D$504, '📅 Resumen Diario'!$B$5:$B$504, B580, '📅 Resumen Diario'!$C$5:$C$504, D580) * SUMIFS('📅 Resumen Diario'!$K$5:$K$504, '📅 Resumen Diario'!$B$5:$B$504, B580, '📅 Resumen Diario'!$C$5:$C$504, D580), 0))</f>
        <v/>
      </c>
      <c r="M580" s="31" t="str">
        <f t="shared" si="59"/>
        <v/>
      </c>
      <c r="N580" s="31" t="str">
        <f t="shared" si="60"/>
        <v/>
      </c>
      <c r="O580" s="31" t="str">
        <f>IF(OR(B580="",C580=""),"",K580-N580 + IFERROR(E580 / SUMIFS('📅 Resumen Diario'!$D$5:$D$504, '📅 Resumen Diario'!$B$5:$B$504, B580, '📅 Resumen Diario'!$C$5:$C$504, D580) * (SUMIFS('📋 Detalle Diario'!$E$5:$E$489, '📋 Detalle Diario'!$B$5:$B$489, B580, '📋 Detalle Diario'!$C$5:$C$489, D580) * 135 + SUMIFS('📋 Detalle Diario'!$I$5:$I$489, '📋 Detalle Diario'!$B$5:$B$489, B580, '📋 Detalle Diario'!$C$5:$C$489, D580) * 200), 0))</f>
        <v/>
      </c>
      <c r="P580" s="32" t="str">
        <f t="shared" si="61"/>
        <v/>
      </c>
      <c r="Q580" s="33" t="str">
        <f t="shared" si="62"/>
        <v/>
      </c>
    </row>
    <row r="581" spans="2:17" ht="18" customHeight="1" x14ac:dyDescent="0.3">
      <c r="B581" s="26"/>
      <c r="C581" s="28"/>
      <c r="D581" s="27"/>
      <c r="E581" s="29"/>
      <c r="F581" s="29"/>
      <c r="G581" s="29"/>
      <c r="H581" s="30" t="str">
        <f t="shared" si="56"/>
        <v/>
      </c>
      <c r="I581" s="31" t="str">
        <f>IF(OR(B581="",C581=""),"",IFERROR(E581*IF(E581="",0,VLOOKUP(C581,'📦 Precios Proforma'!$B$5:$D$104,IF(D581="DIA",2,3),FALSE)),0))</f>
        <v/>
      </c>
      <c r="J581" s="31" t="str">
        <f t="shared" si="57"/>
        <v/>
      </c>
      <c r="K581" s="31" t="str">
        <f t="shared" si="58"/>
        <v/>
      </c>
      <c r="L581" s="31" t="str">
        <f>IF(OR(B581="",C581=""),"",IFERROR(E581 / SUMIFS('📅 Resumen Diario'!$D$5:$D$504, '📅 Resumen Diario'!$B$5:$B$504, B581, '📅 Resumen Diario'!$C$5:$C$504, D581) * SUMIFS('📅 Resumen Diario'!$K$5:$K$504, '📅 Resumen Diario'!$B$5:$B$504, B581, '📅 Resumen Diario'!$C$5:$C$504, D581), 0))</f>
        <v/>
      </c>
      <c r="M581" s="31" t="str">
        <f t="shared" si="59"/>
        <v/>
      </c>
      <c r="N581" s="31" t="str">
        <f t="shared" si="60"/>
        <v/>
      </c>
      <c r="O581" s="31" t="str">
        <f>IF(OR(B581="",C581=""),"",K581-N581 + IFERROR(E581 / SUMIFS('📅 Resumen Diario'!$D$5:$D$504, '📅 Resumen Diario'!$B$5:$B$504, B581, '📅 Resumen Diario'!$C$5:$C$504, D581) * (SUMIFS('📋 Detalle Diario'!$E$5:$E$489, '📋 Detalle Diario'!$B$5:$B$489, B581, '📋 Detalle Diario'!$C$5:$C$489, D581) * 135 + SUMIFS('📋 Detalle Diario'!$I$5:$I$489, '📋 Detalle Diario'!$B$5:$B$489, B581, '📋 Detalle Diario'!$C$5:$C$489, D581) * 200), 0))</f>
        <v/>
      </c>
      <c r="P581" s="32" t="str">
        <f t="shared" si="61"/>
        <v/>
      </c>
      <c r="Q581" s="33" t="str">
        <f t="shared" si="62"/>
        <v/>
      </c>
    </row>
    <row r="582" spans="2:17" ht="18" customHeight="1" x14ac:dyDescent="0.3">
      <c r="B582" s="26"/>
      <c r="C582" s="17"/>
      <c r="D582" s="27"/>
      <c r="E582" s="18"/>
      <c r="F582" s="18"/>
      <c r="G582" s="18"/>
      <c r="H582" s="30" t="str">
        <f t="shared" si="56"/>
        <v/>
      </c>
      <c r="I582" s="31" t="str">
        <f>IF(OR(B582="",C582=""),"",IFERROR(E582*IF(E582="",0,VLOOKUP(C582,'📦 Precios Proforma'!$B$5:$D$104,IF(D582="DIA",2,3),FALSE)),0))</f>
        <v/>
      </c>
      <c r="J582" s="31" t="str">
        <f t="shared" si="57"/>
        <v/>
      </c>
      <c r="K582" s="31" t="str">
        <f t="shared" si="58"/>
        <v/>
      </c>
      <c r="L582" s="31" t="str">
        <f>IF(OR(B582="",C582=""),"",IFERROR(E582 / SUMIFS('📅 Resumen Diario'!$D$5:$D$504, '📅 Resumen Diario'!$B$5:$B$504, B582, '📅 Resumen Diario'!$C$5:$C$504, D582) * SUMIFS('📅 Resumen Diario'!$K$5:$K$504, '📅 Resumen Diario'!$B$5:$B$504, B582, '📅 Resumen Diario'!$C$5:$C$504, D582), 0))</f>
        <v/>
      </c>
      <c r="M582" s="31" t="str">
        <f t="shared" si="59"/>
        <v/>
      </c>
      <c r="N582" s="31" t="str">
        <f t="shared" si="60"/>
        <v/>
      </c>
      <c r="O582" s="31" t="str">
        <f>IF(OR(B582="",C582=""),"",K582-N582 + IFERROR(E582 / SUMIFS('📅 Resumen Diario'!$D$5:$D$504, '📅 Resumen Diario'!$B$5:$B$504, B582, '📅 Resumen Diario'!$C$5:$C$504, D582) * (SUMIFS('📋 Detalle Diario'!$E$5:$E$489, '📋 Detalle Diario'!$B$5:$B$489, B582, '📋 Detalle Diario'!$C$5:$C$489, D582) * 135 + SUMIFS('📋 Detalle Diario'!$I$5:$I$489, '📋 Detalle Diario'!$B$5:$B$489, B582, '📋 Detalle Diario'!$C$5:$C$489, D582) * 200), 0))</f>
        <v/>
      </c>
      <c r="P582" s="32" t="str">
        <f t="shared" si="61"/>
        <v/>
      </c>
      <c r="Q582" s="33" t="str">
        <f t="shared" si="62"/>
        <v/>
      </c>
    </row>
    <row r="583" spans="2:17" ht="18" customHeight="1" x14ac:dyDescent="0.3">
      <c r="B583" s="26"/>
      <c r="C583" s="28"/>
      <c r="D583" s="27"/>
      <c r="E583" s="29"/>
      <c r="F583" s="29"/>
      <c r="G583" s="29"/>
      <c r="H583" s="30" t="str">
        <f t="shared" ref="H583:H646" si="63">IF(OR(B583="",C583=""),"",F583+G583)</f>
        <v/>
      </c>
      <c r="I583" s="31" t="str">
        <f>IF(OR(B583="",C583=""),"",IFERROR(E583*IF(E583="",0,VLOOKUP(C583,'📦 Precios Proforma'!$B$5:$D$104,IF(D583="DIA",2,3),FALSE)),0))</f>
        <v/>
      </c>
      <c r="J583" s="31" t="str">
        <f t="shared" ref="J583:J646" si="64">IF(OR(B583="",C583=""),"",IF(D583="DIA",H583*1.01,H583*1.35))</f>
        <v/>
      </c>
      <c r="K583" s="31" t="str">
        <f t="shared" ref="K583:K646" si="65">IF(OR(B583="",C583=""),"",I583+J583)</f>
        <v/>
      </c>
      <c r="L583" s="31" t="str">
        <f>IF(OR(B583="",C583=""),"",IFERROR(E583 / SUMIFS('📅 Resumen Diario'!$D$5:$D$504, '📅 Resumen Diario'!$B$5:$B$504, B583, '📅 Resumen Diario'!$C$5:$C$504, D583) * SUMIFS('📅 Resumen Diario'!$K$5:$K$504, '📅 Resumen Diario'!$B$5:$B$504, B583, '📅 Resumen Diario'!$C$5:$C$504, D583), 0))</f>
        <v/>
      </c>
      <c r="M583" s="31" t="str">
        <f t="shared" ref="M583:M646" si="66">IF(OR(B583="",C583=""),"",H583*0.09)</f>
        <v/>
      </c>
      <c r="N583" s="31" t="str">
        <f t="shared" ref="N583:N646" si="67">IF(OR(B583="",C583=""),"",L583+M583)</f>
        <v/>
      </c>
      <c r="O583" s="31" t="str">
        <f>IF(OR(B583="",C583=""),"",K583-N583 + IFERROR(E583 / SUMIFS('📅 Resumen Diario'!$D$5:$D$504, '📅 Resumen Diario'!$B$5:$B$504, B583, '📅 Resumen Diario'!$C$5:$C$504, D583) * (SUMIFS('📋 Detalle Diario'!$E$5:$E$489, '📋 Detalle Diario'!$B$5:$B$489, B583, '📋 Detalle Diario'!$C$5:$C$489, D583) * 135 + SUMIFS('📋 Detalle Diario'!$I$5:$I$489, '📋 Detalle Diario'!$B$5:$B$489, B583, '📋 Detalle Diario'!$C$5:$C$489, D583) * 200), 0))</f>
        <v/>
      </c>
      <c r="P583" s="32" t="str">
        <f t="shared" ref="P583:P646" si="68">IF(OR(B583="",C583=""),"",IF(K583=0, 0, O583/K583))</f>
        <v/>
      </c>
      <c r="Q583" s="33" t="str">
        <f t="shared" ref="Q583:Q646" si="69">IF(B583="","",IF(ISNUMBER(B583),YEAR(B583)&amp;"-"&amp;IF(MONTH(B583)&lt;10,"0","")&amp;MONTH(B583),LEFT(B583,7)))</f>
        <v/>
      </c>
    </row>
    <row r="584" spans="2:17" ht="18" customHeight="1" x14ac:dyDescent="0.3">
      <c r="B584" s="26"/>
      <c r="C584" s="17"/>
      <c r="D584" s="27"/>
      <c r="E584" s="18"/>
      <c r="F584" s="18"/>
      <c r="G584" s="18"/>
      <c r="H584" s="30" t="str">
        <f t="shared" si="63"/>
        <v/>
      </c>
      <c r="I584" s="31" t="str">
        <f>IF(OR(B584="",C584=""),"",IFERROR(E584*IF(E584="",0,VLOOKUP(C584,'📦 Precios Proforma'!$B$5:$D$104,IF(D584="DIA",2,3),FALSE)),0))</f>
        <v/>
      </c>
      <c r="J584" s="31" t="str">
        <f t="shared" si="64"/>
        <v/>
      </c>
      <c r="K584" s="31" t="str">
        <f t="shared" si="65"/>
        <v/>
      </c>
      <c r="L584" s="31" t="str">
        <f>IF(OR(B584="",C584=""),"",IFERROR(E584 / SUMIFS('📅 Resumen Diario'!$D$5:$D$504, '📅 Resumen Diario'!$B$5:$B$504, B584, '📅 Resumen Diario'!$C$5:$C$504, D584) * SUMIFS('📅 Resumen Diario'!$K$5:$K$504, '📅 Resumen Diario'!$B$5:$B$504, B584, '📅 Resumen Diario'!$C$5:$C$504, D584), 0))</f>
        <v/>
      </c>
      <c r="M584" s="31" t="str">
        <f t="shared" si="66"/>
        <v/>
      </c>
      <c r="N584" s="31" t="str">
        <f t="shared" si="67"/>
        <v/>
      </c>
      <c r="O584" s="31" t="str">
        <f>IF(OR(B584="",C584=""),"",K584-N584 + IFERROR(E584 / SUMIFS('📅 Resumen Diario'!$D$5:$D$504, '📅 Resumen Diario'!$B$5:$B$504, B584, '📅 Resumen Diario'!$C$5:$C$504, D584) * (SUMIFS('📋 Detalle Diario'!$E$5:$E$489, '📋 Detalle Diario'!$B$5:$B$489, B584, '📋 Detalle Diario'!$C$5:$C$489, D584) * 135 + SUMIFS('📋 Detalle Diario'!$I$5:$I$489, '📋 Detalle Diario'!$B$5:$B$489, B584, '📋 Detalle Diario'!$C$5:$C$489, D584) * 200), 0))</f>
        <v/>
      </c>
      <c r="P584" s="32" t="str">
        <f t="shared" si="68"/>
        <v/>
      </c>
      <c r="Q584" s="33" t="str">
        <f t="shared" si="69"/>
        <v/>
      </c>
    </row>
    <row r="585" spans="2:17" ht="18" customHeight="1" x14ac:dyDescent="0.3">
      <c r="B585" s="26"/>
      <c r="C585" s="28"/>
      <c r="D585" s="27"/>
      <c r="E585" s="29"/>
      <c r="F585" s="29"/>
      <c r="G585" s="29"/>
      <c r="H585" s="30" t="str">
        <f t="shared" si="63"/>
        <v/>
      </c>
      <c r="I585" s="31" t="str">
        <f>IF(OR(B585="",C585=""),"",IFERROR(E585*IF(E585="",0,VLOOKUP(C585,'📦 Precios Proforma'!$B$5:$D$104,IF(D585="DIA",2,3),FALSE)),0))</f>
        <v/>
      </c>
      <c r="J585" s="31" t="str">
        <f t="shared" si="64"/>
        <v/>
      </c>
      <c r="K585" s="31" t="str">
        <f t="shared" si="65"/>
        <v/>
      </c>
      <c r="L585" s="31" t="str">
        <f>IF(OR(B585="",C585=""),"",IFERROR(E585 / SUMIFS('📅 Resumen Diario'!$D$5:$D$504, '📅 Resumen Diario'!$B$5:$B$504, B585, '📅 Resumen Diario'!$C$5:$C$504, D585) * SUMIFS('📅 Resumen Diario'!$K$5:$K$504, '📅 Resumen Diario'!$B$5:$B$504, B585, '📅 Resumen Diario'!$C$5:$C$504, D585), 0))</f>
        <v/>
      </c>
      <c r="M585" s="31" t="str">
        <f t="shared" si="66"/>
        <v/>
      </c>
      <c r="N585" s="31" t="str">
        <f t="shared" si="67"/>
        <v/>
      </c>
      <c r="O585" s="31" t="str">
        <f>IF(OR(B585="",C585=""),"",K585-N585 + IFERROR(E585 / SUMIFS('📅 Resumen Diario'!$D$5:$D$504, '📅 Resumen Diario'!$B$5:$B$504, B585, '📅 Resumen Diario'!$C$5:$C$504, D585) * (SUMIFS('📋 Detalle Diario'!$E$5:$E$489, '📋 Detalle Diario'!$B$5:$B$489, B585, '📋 Detalle Diario'!$C$5:$C$489, D585) * 135 + SUMIFS('📋 Detalle Diario'!$I$5:$I$489, '📋 Detalle Diario'!$B$5:$B$489, B585, '📋 Detalle Diario'!$C$5:$C$489, D585) * 200), 0))</f>
        <v/>
      </c>
      <c r="P585" s="32" t="str">
        <f t="shared" si="68"/>
        <v/>
      </c>
      <c r="Q585" s="33" t="str">
        <f t="shared" si="69"/>
        <v/>
      </c>
    </row>
    <row r="586" spans="2:17" ht="18" customHeight="1" x14ac:dyDescent="0.3">
      <c r="B586" s="26"/>
      <c r="C586" s="17"/>
      <c r="D586" s="27"/>
      <c r="E586" s="18"/>
      <c r="F586" s="18"/>
      <c r="G586" s="18"/>
      <c r="H586" s="30" t="str">
        <f t="shared" si="63"/>
        <v/>
      </c>
      <c r="I586" s="31" t="str">
        <f>IF(OR(B586="",C586=""),"",IFERROR(E586*IF(E586="",0,VLOOKUP(C586,'📦 Precios Proforma'!$B$5:$D$104,IF(D586="DIA",2,3),FALSE)),0))</f>
        <v/>
      </c>
      <c r="J586" s="31" t="str">
        <f t="shared" si="64"/>
        <v/>
      </c>
      <c r="K586" s="31" t="str">
        <f t="shared" si="65"/>
        <v/>
      </c>
      <c r="L586" s="31" t="str">
        <f>IF(OR(B586="",C586=""),"",IFERROR(E586 / SUMIFS('📅 Resumen Diario'!$D$5:$D$504, '📅 Resumen Diario'!$B$5:$B$504, B586, '📅 Resumen Diario'!$C$5:$C$504, D586) * SUMIFS('📅 Resumen Diario'!$K$5:$K$504, '📅 Resumen Diario'!$B$5:$B$504, B586, '📅 Resumen Diario'!$C$5:$C$504, D586), 0))</f>
        <v/>
      </c>
      <c r="M586" s="31" t="str">
        <f t="shared" si="66"/>
        <v/>
      </c>
      <c r="N586" s="31" t="str">
        <f t="shared" si="67"/>
        <v/>
      </c>
      <c r="O586" s="31" t="str">
        <f>IF(OR(B586="",C586=""),"",K586-N586 + IFERROR(E586 / SUMIFS('📅 Resumen Diario'!$D$5:$D$504, '📅 Resumen Diario'!$B$5:$B$504, B586, '📅 Resumen Diario'!$C$5:$C$504, D586) * (SUMIFS('📋 Detalle Diario'!$E$5:$E$489, '📋 Detalle Diario'!$B$5:$B$489, B586, '📋 Detalle Diario'!$C$5:$C$489, D586) * 135 + SUMIFS('📋 Detalle Diario'!$I$5:$I$489, '📋 Detalle Diario'!$B$5:$B$489, B586, '📋 Detalle Diario'!$C$5:$C$489, D586) * 200), 0))</f>
        <v/>
      </c>
      <c r="P586" s="32" t="str">
        <f t="shared" si="68"/>
        <v/>
      </c>
      <c r="Q586" s="33" t="str">
        <f t="shared" si="69"/>
        <v/>
      </c>
    </row>
    <row r="587" spans="2:17" ht="18" customHeight="1" x14ac:dyDescent="0.3">
      <c r="B587" s="26"/>
      <c r="C587" s="28"/>
      <c r="D587" s="27"/>
      <c r="E587" s="29"/>
      <c r="F587" s="29"/>
      <c r="G587" s="29"/>
      <c r="H587" s="30" t="str">
        <f t="shared" si="63"/>
        <v/>
      </c>
      <c r="I587" s="31" t="str">
        <f>IF(OR(B587="",C587=""),"",IFERROR(E587*IF(E587="",0,VLOOKUP(C587,'📦 Precios Proforma'!$B$5:$D$104,IF(D587="DIA",2,3),FALSE)),0))</f>
        <v/>
      </c>
      <c r="J587" s="31" t="str">
        <f t="shared" si="64"/>
        <v/>
      </c>
      <c r="K587" s="31" t="str">
        <f t="shared" si="65"/>
        <v/>
      </c>
      <c r="L587" s="31" t="str">
        <f>IF(OR(B587="",C587=""),"",IFERROR(E587 / SUMIFS('📅 Resumen Diario'!$D$5:$D$504, '📅 Resumen Diario'!$B$5:$B$504, B587, '📅 Resumen Diario'!$C$5:$C$504, D587) * SUMIFS('📅 Resumen Diario'!$K$5:$K$504, '📅 Resumen Diario'!$B$5:$B$504, B587, '📅 Resumen Diario'!$C$5:$C$504, D587), 0))</f>
        <v/>
      </c>
      <c r="M587" s="31" t="str">
        <f t="shared" si="66"/>
        <v/>
      </c>
      <c r="N587" s="31" t="str">
        <f t="shared" si="67"/>
        <v/>
      </c>
      <c r="O587" s="31" t="str">
        <f>IF(OR(B587="",C587=""),"",K587-N587 + IFERROR(E587 / SUMIFS('📅 Resumen Diario'!$D$5:$D$504, '📅 Resumen Diario'!$B$5:$B$504, B587, '📅 Resumen Diario'!$C$5:$C$504, D587) * (SUMIFS('📋 Detalle Diario'!$E$5:$E$489, '📋 Detalle Diario'!$B$5:$B$489, B587, '📋 Detalle Diario'!$C$5:$C$489, D587) * 135 + SUMIFS('📋 Detalle Diario'!$I$5:$I$489, '📋 Detalle Diario'!$B$5:$B$489, B587, '📋 Detalle Diario'!$C$5:$C$489, D587) * 200), 0))</f>
        <v/>
      </c>
      <c r="P587" s="32" t="str">
        <f t="shared" si="68"/>
        <v/>
      </c>
      <c r="Q587" s="33" t="str">
        <f t="shared" si="69"/>
        <v/>
      </c>
    </row>
    <row r="588" spans="2:17" ht="18" customHeight="1" x14ac:dyDescent="0.3">
      <c r="B588" s="26"/>
      <c r="C588" s="17"/>
      <c r="D588" s="27"/>
      <c r="E588" s="18"/>
      <c r="F588" s="18"/>
      <c r="G588" s="18"/>
      <c r="H588" s="30" t="str">
        <f t="shared" si="63"/>
        <v/>
      </c>
      <c r="I588" s="31" t="str">
        <f>IF(OR(B588="",C588=""),"",IFERROR(E588*IF(E588="",0,VLOOKUP(C588,'📦 Precios Proforma'!$B$5:$D$104,IF(D588="DIA",2,3),FALSE)),0))</f>
        <v/>
      </c>
      <c r="J588" s="31" t="str">
        <f t="shared" si="64"/>
        <v/>
      </c>
      <c r="K588" s="31" t="str">
        <f t="shared" si="65"/>
        <v/>
      </c>
      <c r="L588" s="31" t="str">
        <f>IF(OR(B588="",C588=""),"",IFERROR(E588 / SUMIFS('📅 Resumen Diario'!$D$5:$D$504, '📅 Resumen Diario'!$B$5:$B$504, B588, '📅 Resumen Diario'!$C$5:$C$504, D588) * SUMIFS('📅 Resumen Diario'!$K$5:$K$504, '📅 Resumen Diario'!$B$5:$B$504, B588, '📅 Resumen Diario'!$C$5:$C$504, D588), 0))</f>
        <v/>
      </c>
      <c r="M588" s="31" t="str">
        <f t="shared" si="66"/>
        <v/>
      </c>
      <c r="N588" s="31" t="str">
        <f t="shared" si="67"/>
        <v/>
      </c>
      <c r="O588" s="31" t="str">
        <f>IF(OR(B588="",C588=""),"",K588-N588 + IFERROR(E588 / SUMIFS('📅 Resumen Diario'!$D$5:$D$504, '📅 Resumen Diario'!$B$5:$B$504, B588, '📅 Resumen Diario'!$C$5:$C$504, D588) * (SUMIFS('📋 Detalle Diario'!$E$5:$E$489, '📋 Detalle Diario'!$B$5:$B$489, B588, '📋 Detalle Diario'!$C$5:$C$489, D588) * 135 + SUMIFS('📋 Detalle Diario'!$I$5:$I$489, '📋 Detalle Diario'!$B$5:$B$489, B588, '📋 Detalle Diario'!$C$5:$C$489, D588) * 200), 0))</f>
        <v/>
      </c>
      <c r="P588" s="32" t="str">
        <f t="shared" si="68"/>
        <v/>
      </c>
      <c r="Q588" s="33" t="str">
        <f t="shared" si="69"/>
        <v/>
      </c>
    </row>
    <row r="589" spans="2:17" ht="18" customHeight="1" x14ac:dyDescent="0.3">
      <c r="B589" s="26"/>
      <c r="C589" s="28"/>
      <c r="D589" s="27"/>
      <c r="E589" s="29"/>
      <c r="F589" s="29"/>
      <c r="G589" s="29"/>
      <c r="H589" s="30" t="str">
        <f t="shared" si="63"/>
        <v/>
      </c>
      <c r="I589" s="31" t="str">
        <f>IF(OR(B589="",C589=""),"",IFERROR(E589*IF(E589="",0,VLOOKUP(C589,'📦 Precios Proforma'!$B$5:$D$104,IF(D589="DIA",2,3),FALSE)),0))</f>
        <v/>
      </c>
      <c r="J589" s="31" t="str">
        <f t="shared" si="64"/>
        <v/>
      </c>
      <c r="K589" s="31" t="str">
        <f t="shared" si="65"/>
        <v/>
      </c>
      <c r="L589" s="31" t="str">
        <f>IF(OR(B589="",C589=""),"",IFERROR(E589 / SUMIFS('📅 Resumen Diario'!$D$5:$D$504, '📅 Resumen Diario'!$B$5:$B$504, B589, '📅 Resumen Diario'!$C$5:$C$504, D589) * SUMIFS('📅 Resumen Diario'!$K$5:$K$504, '📅 Resumen Diario'!$B$5:$B$504, B589, '📅 Resumen Diario'!$C$5:$C$504, D589), 0))</f>
        <v/>
      </c>
      <c r="M589" s="31" t="str">
        <f t="shared" si="66"/>
        <v/>
      </c>
      <c r="N589" s="31" t="str">
        <f t="shared" si="67"/>
        <v/>
      </c>
      <c r="O589" s="31" t="str">
        <f>IF(OR(B589="",C589=""),"",K589-N589 + IFERROR(E589 / SUMIFS('📅 Resumen Diario'!$D$5:$D$504, '📅 Resumen Diario'!$B$5:$B$504, B589, '📅 Resumen Diario'!$C$5:$C$504, D589) * (SUMIFS('📋 Detalle Diario'!$E$5:$E$489, '📋 Detalle Diario'!$B$5:$B$489, B589, '📋 Detalle Diario'!$C$5:$C$489, D589) * 135 + SUMIFS('📋 Detalle Diario'!$I$5:$I$489, '📋 Detalle Diario'!$B$5:$B$489, B589, '📋 Detalle Diario'!$C$5:$C$489, D589) * 200), 0))</f>
        <v/>
      </c>
      <c r="P589" s="32" t="str">
        <f t="shared" si="68"/>
        <v/>
      </c>
      <c r="Q589" s="33" t="str">
        <f t="shared" si="69"/>
        <v/>
      </c>
    </row>
    <row r="590" spans="2:17" ht="18" customHeight="1" x14ac:dyDescent="0.3">
      <c r="B590" s="26"/>
      <c r="C590" s="17"/>
      <c r="D590" s="27"/>
      <c r="E590" s="18"/>
      <c r="F590" s="18"/>
      <c r="G590" s="18"/>
      <c r="H590" s="30" t="str">
        <f t="shared" si="63"/>
        <v/>
      </c>
      <c r="I590" s="31" t="str">
        <f>IF(OR(B590="",C590=""),"",IFERROR(E590*IF(E590="",0,VLOOKUP(C590,'📦 Precios Proforma'!$B$5:$D$104,IF(D590="DIA",2,3),FALSE)),0))</f>
        <v/>
      </c>
      <c r="J590" s="31" t="str">
        <f t="shared" si="64"/>
        <v/>
      </c>
      <c r="K590" s="31" t="str">
        <f t="shared" si="65"/>
        <v/>
      </c>
      <c r="L590" s="31" t="str">
        <f>IF(OR(B590="",C590=""),"",IFERROR(E590 / SUMIFS('📅 Resumen Diario'!$D$5:$D$504, '📅 Resumen Diario'!$B$5:$B$504, B590, '📅 Resumen Diario'!$C$5:$C$504, D590) * SUMIFS('📅 Resumen Diario'!$K$5:$K$504, '📅 Resumen Diario'!$B$5:$B$504, B590, '📅 Resumen Diario'!$C$5:$C$504, D590), 0))</f>
        <v/>
      </c>
      <c r="M590" s="31" t="str">
        <f t="shared" si="66"/>
        <v/>
      </c>
      <c r="N590" s="31" t="str">
        <f t="shared" si="67"/>
        <v/>
      </c>
      <c r="O590" s="31" t="str">
        <f>IF(OR(B590="",C590=""),"",K590-N590 + IFERROR(E590 / SUMIFS('📅 Resumen Diario'!$D$5:$D$504, '📅 Resumen Diario'!$B$5:$B$504, B590, '📅 Resumen Diario'!$C$5:$C$504, D590) * (SUMIFS('📋 Detalle Diario'!$E$5:$E$489, '📋 Detalle Diario'!$B$5:$B$489, B590, '📋 Detalle Diario'!$C$5:$C$489, D590) * 135 + SUMIFS('📋 Detalle Diario'!$I$5:$I$489, '📋 Detalle Diario'!$B$5:$B$489, B590, '📋 Detalle Diario'!$C$5:$C$489, D590) * 200), 0))</f>
        <v/>
      </c>
      <c r="P590" s="32" t="str">
        <f t="shared" si="68"/>
        <v/>
      </c>
      <c r="Q590" s="33" t="str">
        <f t="shared" si="69"/>
        <v/>
      </c>
    </row>
    <row r="591" spans="2:17" ht="18" customHeight="1" x14ac:dyDescent="0.3">
      <c r="B591" s="26"/>
      <c r="C591" s="28"/>
      <c r="D591" s="27"/>
      <c r="E591" s="29"/>
      <c r="F591" s="29"/>
      <c r="G591" s="29"/>
      <c r="H591" s="30" t="str">
        <f t="shared" si="63"/>
        <v/>
      </c>
      <c r="I591" s="31" t="str">
        <f>IF(OR(B591="",C591=""),"",IFERROR(E591*IF(E591="",0,VLOOKUP(C591,'📦 Precios Proforma'!$B$5:$D$104,IF(D591="DIA",2,3),FALSE)),0))</f>
        <v/>
      </c>
      <c r="J591" s="31" t="str">
        <f t="shared" si="64"/>
        <v/>
      </c>
      <c r="K591" s="31" t="str">
        <f t="shared" si="65"/>
        <v/>
      </c>
      <c r="L591" s="31" t="str">
        <f>IF(OR(B591="",C591=""),"",IFERROR(E591 / SUMIFS('📅 Resumen Diario'!$D$5:$D$504, '📅 Resumen Diario'!$B$5:$B$504, B591, '📅 Resumen Diario'!$C$5:$C$504, D591) * SUMIFS('📅 Resumen Diario'!$K$5:$K$504, '📅 Resumen Diario'!$B$5:$B$504, B591, '📅 Resumen Diario'!$C$5:$C$504, D591), 0))</f>
        <v/>
      </c>
      <c r="M591" s="31" t="str">
        <f t="shared" si="66"/>
        <v/>
      </c>
      <c r="N591" s="31" t="str">
        <f t="shared" si="67"/>
        <v/>
      </c>
      <c r="O591" s="31" t="str">
        <f>IF(OR(B591="",C591=""),"",K591-N591 + IFERROR(E591 / SUMIFS('📅 Resumen Diario'!$D$5:$D$504, '📅 Resumen Diario'!$B$5:$B$504, B591, '📅 Resumen Diario'!$C$5:$C$504, D591) * (SUMIFS('📋 Detalle Diario'!$E$5:$E$489, '📋 Detalle Diario'!$B$5:$B$489, B591, '📋 Detalle Diario'!$C$5:$C$489, D591) * 135 + SUMIFS('📋 Detalle Diario'!$I$5:$I$489, '📋 Detalle Diario'!$B$5:$B$489, B591, '📋 Detalle Diario'!$C$5:$C$489, D591) * 200), 0))</f>
        <v/>
      </c>
      <c r="P591" s="32" t="str">
        <f t="shared" si="68"/>
        <v/>
      </c>
      <c r="Q591" s="33" t="str">
        <f t="shared" si="69"/>
        <v/>
      </c>
    </row>
    <row r="592" spans="2:17" ht="18" customHeight="1" x14ac:dyDescent="0.3">
      <c r="B592" s="26"/>
      <c r="C592" s="17"/>
      <c r="D592" s="27"/>
      <c r="E592" s="18"/>
      <c r="F592" s="18"/>
      <c r="G592" s="18"/>
      <c r="H592" s="30" t="str">
        <f t="shared" si="63"/>
        <v/>
      </c>
      <c r="I592" s="31" t="str">
        <f>IF(OR(B592="",C592=""),"",IFERROR(E592*IF(E592="",0,VLOOKUP(C592,'📦 Precios Proforma'!$B$5:$D$104,IF(D592="DIA",2,3),FALSE)),0))</f>
        <v/>
      </c>
      <c r="J592" s="31" t="str">
        <f t="shared" si="64"/>
        <v/>
      </c>
      <c r="K592" s="31" t="str">
        <f t="shared" si="65"/>
        <v/>
      </c>
      <c r="L592" s="31" t="str">
        <f>IF(OR(B592="",C592=""),"",IFERROR(E592 / SUMIFS('📅 Resumen Diario'!$D$5:$D$504, '📅 Resumen Diario'!$B$5:$B$504, B592, '📅 Resumen Diario'!$C$5:$C$504, D592) * SUMIFS('📅 Resumen Diario'!$K$5:$K$504, '📅 Resumen Diario'!$B$5:$B$504, B592, '📅 Resumen Diario'!$C$5:$C$504, D592), 0))</f>
        <v/>
      </c>
      <c r="M592" s="31" t="str">
        <f t="shared" si="66"/>
        <v/>
      </c>
      <c r="N592" s="31" t="str">
        <f t="shared" si="67"/>
        <v/>
      </c>
      <c r="O592" s="31" t="str">
        <f>IF(OR(B592="",C592=""),"",K592-N592 + IFERROR(E592 / SUMIFS('📅 Resumen Diario'!$D$5:$D$504, '📅 Resumen Diario'!$B$5:$B$504, B592, '📅 Resumen Diario'!$C$5:$C$504, D592) * (SUMIFS('📋 Detalle Diario'!$E$5:$E$489, '📋 Detalle Diario'!$B$5:$B$489, B592, '📋 Detalle Diario'!$C$5:$C$489, D592) * 135 + SUMIFS('📋 Detalle Diario'!$I$5:$I$489, '📋 Detalle Diario'!$B$5:$B$489, B592, '📋 Detalle Diario'!$C$5:$C$489, D592) * 200), 0))</f>
        <v/>
      </c>
      <c r="P592" s="32" t="str">
        <f t="shared" si="68"/>
        <v/>
      </c>
      <c r="Q592" s="33" t="str">
        <f t="shared" si="69"/>
        <v/>
      </c>
    </row>
    <row r="593" spans="2:17" ht="18" customHeight="1" x14ac:dyDescent="0.3">
      <c r="B593" s="26"/>
      <c r="C593" s="28"/>
      <c r="D593" s="27"/>
      <c r="E593" s="29"/>
      <c r="F593" s="29"/>
      <c r="G593" s="29"/>
      <c r="H593" s="30" t="str">
        <f t="shared" si="63"/>
        <v/>
      </c>
      <c r="I593" s="31" t="str">
        <f>IF(OR(B593="",C593=""),"",IFERROR(E593*IF(E593="",0,VLOOKUP(C593,'📦 Precios Proforma'!$B$5:$D$104,IF(D593="DIA",2,3),FALSE)),0))</f>
        <v/>
      </c>
      <c r="J593" s="31" t="str">
        <f t="shared" si="64"/>
        <v/>
      </c>
      <c r="K593" s="31" t="str">
        <f t="shared" si="65"/>
        <v/>
      </c>
      <c r="L593" s="31" t="str">
        <f>IF(OR(B593="",C593=""),"",IFERROR(E593 / SUMIFS('📅 Resumen Diario'!$D$5:$D$504, '📅 Resumen Diario'!$B$5:$B$504, B593, '📅 Resumen Diario'!$C$5:$C$504, D593) * SUMIFS('📅 Resumen Diario'!$K$5:$K$504, '📅 Resumen Diario'!$B$5:$B$504, B593, '📅 Resumen Diario'!$C$5:$C$504, D593), 0))</f>
        <v/>
      </c>
      <c r="M593" s="31" t="str">
        <f t="shared" si="66"/>
        <v/>
      </c>
      <c r="N593" s="31" t="str">
        <f t="shared" si="67"/>
        <v/>
      </c>
      <c r="O593" s="31" t="str">
        <f>IF(OR(B593="",C593=""),"",K593-N593 + IFERROR(E593 / SUMIFS('📅 Resumen Diario'!$D$5:$D$504, '📅 Resumen Diario'!$B$5:$B$504, B593, '📅 Resumen Diario'!$C$5:$C$504, D593) * (SUMIFS('📋 Detalle Diario'!$E$5:$E$489, '📋 Detalle Diario'!$B$5:$B$489, B593, '📋 Detalle Diario'!$C$5:$C$489, D593) * 135 + SUMIFS('📋 Detalle Diario'!$I$5:$I$489, '📋 Detalle Diario'!$B$5:$B$489, B593, '📋 Detalle Diario'!$C$5:$C$489, D593) * 200), 0))</f>
        <v/>
      </c>
      <c r="P593" s="32" t="str">
        <f t="shared" si="68"/>
        <v/>
      </c>
      <c r="Q593" s="33" t="str">
        <f t="shared" si="69"/>
        <v/>
      </c>
    </row>
    <row r="594" spans="2:17" ht="18" customHeight="1" x14ac:dyDescent="0.3">
      <c r="B594" s="26"/>
      <c r="C594" s="17"/>
      <c r="D594" s="27"/>
      <c r="E594" s="18"/>
      <c r="F594" s="18"/>
      <c r="G594" s="18"/>
      <c r="H594" s="30" t="str">
        <f t="shared" si="63"/>
        <v/>
      </c>
      <c r="I594" s="31" t="str">
        <f>IF(OR(B594="",C594=""),"",IFERROR(E594*IF(E594="",0,VLOOKUP(C594,'📦 Precios Proforma'!$B$5:$D$104,IF(D594="DIA",2,3),FALSE)),0))</f>
        <v/>
      </c>
      <c r="J594" s="31" t="str">
        <f t="shared" si="64"/>
        <v/>
      </c>
      <c r="K594" s="31" t="str">
        <f t="shared" si="65"/>
        <v/>
      </c>
      <c r="L594" s="31" t="str">
        <f>IF(OR(B594="",C594=""),"",IFERROR(E594 / SUMIFS('📅 Resumen Diario'!$D$5:$D$504, '📅 Resumen Diario'!$B$5:$B$504, B594, '📅 Resumen Diario'!$C$5:$C$504, D594) * SUMIFS('📅 Resumen Diario'!$K$5:$K$504, '📅 Resumen Diario'!$B$5:$B$504, B594, '📅 Resumen Diario'!$C$5:$C$504, D594), 0))</f>
        <v/>
      </c>
      <c r="M594" s="31" t="str">
        <f t="shared" si="66"/>
        <v/>
      </c>
      <c r="N594" s="31" t="str">
        <f t="shared" si="67"/>
        <v/>
      </c>
      <c r="O594" s="31" t="str">
        <f>IF(OR(B594="",C594=""),"",K594-N594 + IFERROR(E594 / SUMIFS('📅 Resumen Diario'!$D$5:$D$504, '📅 Resumen Diario'!$B$5:$B$504, B594, '📅 Resumen Diario'!$C$5:$C$504, D594) * (SUMIFS('📋 Detalle Diario'!$E$5:$E$489, '📋 Detalle Diario'!$B$5:$B$489, B594, '📋 Detalle Diario'!$C$5:$C$489, D594) * 135 + SUMIFS('📋 Detalle Diario'!$I$5:$I$489, '📋 Detalle Diario'!$B$5:$B$489, B594, '📋 Detalle Diario'!$C$5:$C$489, D594) * 200), 0))</f>
        <v/>
      </c>
      <c r="P594" s="32" t="str">
        <f t="shared" si="68"/>
        <v/>
      </c>
      <c r="Q594" s="33" t="str">
        <f t="shared" si="69"/>
        <v/>
      </c>
    </row>
    <row r="595" spans="2:17" ht="18" customHeight="1" x14ac:dyDescent="0.3">
      <c r="B595" s="26"/>
      <c r="C595" s="28"/>
      <c r="D595" s="27"/>
      <c r="E595" s="29"/>
      <c r="F595" s="29"/>
      <c r="G595" s="29"/>
      <c r="H595" s="30" t="str">
        <f t="shared" si="63"/>
        <v/>
      </c>
      <c r="I595" s="31" t="str">
        <f>IF(OR(B595="",C595=""),"",IFERROR(E595*IF(E595="",0,VLOOKUP(C595,'📦 Precios Proforma'!$B$5:$D$104,IF(D595="DIA",2,3),FALSE)),0))</f>
        <v/>
      </c>
      <c r="J595" s="31" t="str">
        <f t="shared" si="64"/>
        <v/>
      </c>
      <c r="K595" s="31" t="str">
        <f t="shared" si="65"/>
        <v/>
      </c>
      <c r="L595" s="31" t="str">
        <f>IF(OR(B595="",C595=""),"",IFERROR(E595 / SUMIFS('📅 Resumen Diario'!$D$5:$D$504, '📅 Resumen Diario'!$B$5:$B$504, B595, '📅 Resumen Diario'!$C$5:$C$504, D595) * SUMIFS('📅 Resumen Diario'!$K$5:$K$504, '📅 Resumen Diario'!$B$5:$B$504, B595, '📅 Resumen Diario'!$C$5:$C$504, D595), 0))</f>
        <v/>
      </c>
      <c r="M595" s="31" t="str">
        <f t="shared" si="66"/>
        <v/>
      </c>
      <c r="N595" s="31" t="str">
        <f t="shared" si="67"/>
        <v/>
      </c>
      <c r="O595" s="31" t="str">
        <f>IF(OR(B595="",C595=""),"",K595-N595 + IFERROR(E595 / SUMIFS('📅 Resumen Diario'!$D$5:$D$504, '📅 Resumen Diario'!$B$5:$B$504, B595, '📅 Resumen Diario'!$C$5:$C$504, D595) * (SUMIFS('📋 Detalle Diario'!$E$5:$E$489, '📋 Detalle Diario'!$B$5:$B$489, B595, '📋 Detalle Diario'!$C$5:$C$489, D595) * 135 + SUMIFS('📋 Detalle Diario'!$I$5:$I$489, '📋 Detalle Diario'!$B$5:$B$489, B595, '📋 Detalle Diario'!$C$5:$C$489, D595) * 200), 0))</f>
        <v/>
      </c>
      <c r="P595" s="32" t="str">
        <f t="shared" si="68"/>
        <v/>
      </c>
      <c r="Q595" s="33" t="str">
        <f t="shared" si="69"/>
        <v/>
      </c>
    </row>
    <row r="596" spans="2:17" ht="18" customHeight="1" x14ac:dyDescent="0.3">
      <c r="B596" s="26"/>
      <c r="C596" s="17"/>
      <c r="D596" s="27"/>
      <c r="E596" s="18"/>
      <c r="F596" s="18"/>
      <c r="G596" s="18"/>
      <c r="H596" s="30" t="str">
        <f t="shared" si="63"/>
        <v/>
      </c>
      <c r="I596" s="31" t="str">
        <f>IF(OR(B596="",C596=""),"",IFERROR(E596*IF(E596="",0,VLOOKUP(C596,'📦 Precios Proforma'!$B$5:$D$104,IF(D596="DIA",2,3),FALSE)),0))</f>
        <v/>
      </c>
      <c r="J596" s="31" t="str">
        <f t="shared" si="64"/>
        <v/>
      </c>
      <c r="K596" s="31" t="str">
        <f t="shared" si="65"/>
        <v/>
      </c>
      <c r="L596" s="31" t="str">
        <f>IF(OR(B596="",C596=""),"",IFERROR(E596 / SUMIFS('📅 Resumen Diario'!$D$5:$D$504, '📅 Resumen Diario'!$B$5:$B$504, B596, '📅 Resumen Diario'!$C$5:$C$504, D596) * SUMIFS('📅 Resumen Diario'!$K$5:$K$504, '📅 Resumen Diario'!$B$5:$B$504, B596, '📅 Resumen Diario'!$C$5:$C$504, D596), 0))</f>
        <v/>
      </c>
      <c r="M596" s="31" t="str">
        <f t="shared" si="66"/>
        <v/>
      </c>
      <c r="N596" s="31" t="str">
        <f t="shared" si="67"/>
        <v/>
      </c>
      <c r="O596" s="31" t="str">
        <f>IF(OR(B596="",C596=""),"",K596-N596 + IFERROR(E596 / SUMIFS('📅 Resumen Diario'!$D$5:$D$504, '📅 Resumen Diario'!$B$5:$B$504, B596, '📅 Resumen Diario'!$C$5:$C$504, D596) * (SUMIFS('📋 Detalle Diario'!$E$5:$E$489, '📋 Detalle Diario'!$B$5:$B$489, B596, '📋 Detalle Diario'!$C$5:$C$489, D596) * 135 + SUMIFS('📋 Detalle Diario'!$I$5:$I$489, '📋 Detalle Diario'!$B$5:$B$489, B596, '📋 Detalle Diario'!$C$5:$C$489, D596) * 200), 0))</f>
        <v/>
      </c>
      <c r="P596" s="32" t="str">
        <f t="shared" si="68"/>
        <v/>
      </c>
      <c r="Q596" s="33" t="str">
        <f t="shared" si="69"/>
        <v/>
      </c>
    </row>
    <row r="597" spans="2:17" ht="18" customHeight="1" x14ac:dyDescent="0.3">
      <c r="B597" s="26"/>
      <c r="C597" s="28"/>
      <c r="D597" s="27"/>
      <c r="E597" s="29"/>
      <c r="F597" s="29"/>
      <c r="G597" s="29"/>
      <c r="H597" s="30" t="str">
        <f t="shared" si="63"/>
        <v/>
      </c>
      <c r="I597" s="31" t="str">
        <f>IF(OR(B597="",C597=""),"",IFERROR(E597*IF(E597="",0,VLOOKUP(C597,'📦 Precios Proforma'!$B$5:$D$104,IF(D597="DIA",2,3),FALSE)),0))</f>
        <v/>
      </c>
      <c r="J597" s="31" t="str">
        <f t="shared" si="64"/>
        <v/>
      </c>
      <c r="K597" s="31" t="str">
        <f t="shared" si="65"/>
        <v/>
      </c>
      <c r="L597" s="31" t="str">
        <f>IF(OR(B597="",C597=""),"",IFERROR(E597 / SUMIFS('📅 Resumen Diario'!$D$5:$D$504, '📅 Resumen Diario'!$B$5:$B$504, B597, '📅 Resumen Diario'!$C$5:$C$504, D597) * SUMIFS('📅 Resumen Diario'!$K$5:$K$504, '📅 Resumen Diario'!$B$5:$B$504, B597, '📅 Resumen Diario'!$C$5:$C$504, D597), 0))</f>
        <v/>
      </c>
      <c r="M597" s="31" t="str">
        <f t="shared" si="66"/>
        <v/>
      </c>
      <c r="N597" s="31" t="str">
        <f t="shared" si="67"/>
        <v/>
      </c>
      <c r="O597" s="31" t="str">
        <f>IF(OR(B597="",C597=""),"",K597-N597 + IFERROR(E597 / SUMIFS('📅 Resumen Diario'!$D$5:$D$504, '📅 Resumen Diario'!$B$5:$B$504, B597, '📅 Resumen Diario'!$C$5:$C$504, D597) * (SUMIFS('📋 Detalle Diario'!$E$5:$E$489, '📋 Detalle Diario'!$B$5:$B$489, B597, '📋 Detalle Diario'!$C$5:$C$489, D597) * 135 + SUMIFS('📋 Detalle Diario'!$I$5:$I$489, '📋 Detalle Diario'!$B$5:$B$489, B597, '📋 Detalle Diario'!$C$5:$C$489, D597) * 200), 0))</f>
        <v/>
      </c>
      <c r="P597" s="32" t="str">
        <f t="shared" si="68"/>
        <v/>
      </c>
      <c r="Q597" s="33" t="str">
        <f t="shared" si="69"/>
        <v/>
      </c>
    </row>
    <row r="598" spans="2:17" ht="18" customHeight="1" x14ac:dyDescent="0.3">
      <c r="B598" s="26"/>
      <c r="C598" s="17"/>
      <c r="D598" s="27"/>
      <c r="E598" s="18"/>
      <c r="F598" s="18"/>
      <c r="G598" s="18"/>
      <c r="H598" s="30" t="str">
        <f t="shared" si="63"/>
        <v/>
      </c>
      <c r="I598" s="31" t="str">
        <f>IF(OR(B598="",C598=""),"",IFERROR(E598*IF(E598="",0,VLOOKUP(C598,'📦 Precios Proforma'!$B$5:$D$104,IF(D598="DIA",2,3),FALSE)),0))</f>
        <v/>
      </c>
      <c r="J598" s="31" t="str">
        <f t="shared" si="64"/>
        <v/>
      </c>
      <c r="K598" s="31" t="str">
        <f t="shared" si="65"/>
        <v/>
      </c>
      <c r="L598" s="31" t="str">
        <f>IF(OR(B598="",C598=""),"",IFERROR(E598 / SUMIFS('📅 Resumen Diario'!$D$5:$D$504, '📅 Resumen Diario'!$B$5:$B$504, B598, '📅 Resumen Diario'!$C$5:$C$504, D598) * SUMIFS('📅 Resumen Diario'!$K$5:$K$504, '📅 Resumen Diario'!$B$5:$B$504, B598, '📅 Resumen Diario'!$C$5:$C$504, D598), 0))</f>
        <v/>
      </c>
      <c r="M598" s="31" t="str">
        <f t="shared" si="66"/>
        <v/>
      </c>
      <c r="N598" s="31" t="str">
        <f t="shared" si="67"/>
        <v/>
      </c>
      <c r="O598" s="31" t="str">
        <f>IF(OR(B598="",C598=""),"",K598-N598 + IFERROR(E598 / SUMIFS('📅 Resumen Diario'!$D$5:$D$504, '📅 Resumen Diario'!$B$5:$B$504, B598, '📅 Resumen Diario'!$C$5:$C$504, D598) * (SUMIFS('📋 Detalle Diario'!$E$5:$E$489, '📋 Detalle Diario'!$B$5:$B$489, B598, '📋 Detalle Diario'!$C$5:$C$489, D598) * 135 + SUMIFS('📋 Detalle Diario'!$I$5:$I$489, '📋 Detalle Diario'!$B$5:$B$489, B598, '📋 Detalle Diario'!$C$5:$C$489, D598) * 200), 0))</f>
        <v/>
      </c>
      <c r="P598" s="32" t="str">
        <f t="shared" si="68"/>
        <v/>
      </c>
      <c r="Q598" s="33" t="str">
        <f t="shared" si="69"/>
        <v/>
      </c>
    </row>
    <row r="599" spans="2:17" ht="18" customHeight="1" x14ac:dyDescent="0.3">
      <c r="B599" s="26"/>
      <c r="C599" s="28"/>
      <c r="D599" s="27"/>
      <c r="E599" s="29"/>
      <c r="F599" s="29"/>
      <c r="G599" s="29"/>
      <c r="H599" s="30" t="str">
        <f t="shared" si="63"/>
        <v/>
      </c>
      <c r="I599" s="31" t="str">
        <f>IF(OR(B599="",C599=""),"",IFERROR(E599*IF(E599="",0,VLOOKUP(C599,'📦 Precios Proforma'!$B$5:$D$104,IF(D599="DIA",2,3),FALSE)),0))</f>
        <v/>
      </c>
      <c r="J599" s="31" t="str">
        <f t="shared" si="64"/>
        <v/>
      </c>
      <c r="K599" s="31" t="str">
        <f t="shared" si="65"/>
        <v/>
      </c>
      <c r="L599" s="31" t="str">
        <f>IF(OR(B599="",C599=""),"",IFERROR(E599 / SUMIFS('📅 Resumen Diario'!$D$5:$D$504, '📅 Resumen Diario'!$B$5:$B$504, B599, '📅 Resumen Diario'!$C$5:$C$504, D599) * SUMIFS('📅 Resumen Diario'!$K$5:$K$504, '📅 Resumen Diario'!$B$5:$B$504, B599, '📅 Resumen Diario'!$C$5:$C$504, D599), 0))</f>
        <v/>
      </c>
      <c r="M599" s="31" t="str">
        <f t="shared" si="66"/>
        <v/>
      </c>
      <c r="N599" s="31" t="str">
        <f t="shared" si="67"/>
        <v/>
      </c>
      <c r="O599" s="31" t="str">
        <f>IF(OR(B599="",C599=""),"",K599-N599 + IFERROR(E599 / SUMIFS('📅 Resumen Diario'!$D$5:$D$504, '📅 Resumen Diario'!$B$5:$B$504, B599, '📅 Resumen Diario'!$C$5:$C$504, D599) * (SUMIFS('📋 Detalle Diario'!$E$5:$E$489, '📋 Detalle Diario'!$B$5:$B$489, B599, '📋 Detalle Diario'!$C$5:$C$489, D599) * 135 + SUMIFS('📋 Detalle Diario'!$I$5:$I$489, '📋 Detalle Diario'!$B$5:$B$489, B599, '📋 Detalle Diario'!$C$5:$C$489, D599) * 200), 0))</f>
        <v/>
      </c>
      <c r="P599" s="32" t="str">
        <f t="shared" si="68"/>
        <v/>
      </c>
      <c r="Q599" s="33" t="str">
        <f t="shared" si="69"/>
        <v/>
      </c>
    </row>
    <row r="600" spans="2:17" ht="18" customHeight="1" x14ac:dyDescent="0.3">
      <c r="B600" s="26"/>
      <c r="C600" s="17"/>
      <c r="D600" s="27"/>
      <c r="E600" s="18"/>
      <c r="F600" s="18"/>
      <c r="G600" s="18"/>
      <c r="H600" s="30" t="str">
        <f t="shared" si="63"/>
        <v/>
      </c>
      <c r="I600" s="31" t="str">
        <f>IF(OR(B600="",C600=""),"",IFERROR(E600*IF(E600="",0,VLOOKUP(C600,'📦 Precios Proforma'!$B$5:$D$104,IF(D600="DIA",2,3),FALSE)),0))</f>
        <v/>
      </c>
      <c r="J600" s="31" t="str">
        <f t="shared" si="64"/>
        <v/>
      </c>
      <c r="K600" s="31" t="str">
        <f t="shared" si="65"/>
        <v/>
      </c>
      <c r="L600" s="31" t="str">
        <f>IF(OR(B600="",C600=""),"",IFERROR(E600 / SUMIFS('📅 Resumen Diario'!$D$5:$D$504, '📅 Resumen Diario'!$B$5:$B$504, B600, '📅 Resumen Diario'!$C$5:$C$504, D600) * SUMIFS('📅 Resumen Diario'!$K$5:$K$504, '📅 Resumen Diario'!$B$5:$B$504, B600, '📅 Resumen Diario'!$C$5:$C$504, D600), 0))</f>
        <v/>
      </c>
      <c r="M600" s="31" t="str">
        <f t="shared" si="66"/>
        <v/>
      </c>
      <c r="N600" s="31" t="str">
        <f t="shared" si="67"/>
        <v/>
      </c>
      <c r="O600" s="31" t="str">
        <f>IF(OR(B600="",C600=""),"",K600-N600 + IFERROR(E600 / SUMIFS('📅 Resumen Diario'!$D$5:$D$504, '📅 Resumen Diario'!$B$5:$B$504, B600, '📅 Resumen Diario'!$C$5:$C$504, D600) * (SUMIFS('📋 Detalle Diario'!$E$5:$E$489, '📋 Detalle Diario'!$B$5:$B$489, B600, '📋 Detalle Diario'!$C$5:$C$489, D600) * 135 + SUMIFS('📋 Detalle Diario'!$I$5:$I$489, '📋 Detalle Diario'!$B$5:$B$489, B600, '📋 Detalle Diario'!$C$5:$C$489, D600) * 200), 0))</f>
        <v/>
      </c>
      <c r="P600" s="32" t="str">
        <f t="shared" si="68"/>
        <v/>
      </c>
      <c r="Q600" s="33" t="str">
        <f t="shared" si="69"/>
        <v/>
      </c>
    </row>
    <row r="601" spans="2:17" ht="18" customHeight="1" x14ac:dyDescent="0.3">
      <c r="B601" s="26"/>
      <c r="C601" s="28"/>
      <c r="D601" s="27"/>
      <c r="E601" s="29"/>
      <c r="F601" s="29"/>
      <c r="G601" s="29"/>
      <c r="H601" s="30" t="str">
        <f t="shared" si="63"/>
        <v/>
      </c>
      <c r="I601" s="31" t="str">
        <f>IF(OR(B601="",C601=""),"",IFERROR(E601*IF(E601="",0,VLOOKUP(C601,'📦 Precios Proforma'!$B$5:$D$104,IF(D601="DIA",2,3),FALSE)),0))</f>
        <v/>
      </c>
      <c r="J601" s="31" t="str">
        <f t="shared" si="64"/>
        <v/>
      </c>
      <c r="K601" s="31" t="str">
        <f t="shared" si="65"/>
        <v/>
      </c>
      <c r="L601" s="31" t="str">
        <f>IF(OR(B601="",C601=""),"",IFERROR(E601 / SUMIFS('📅 Resumen Diario'!$D$5:$D$504, '📅 Resumen Diario'!$B$5:$B$504, B601, '📅 Resumen Diario'!$C$5:$C$504, D601) * SUMIFS('📅 Resumen Diario'!$K$5:$K$504, '📅 Resumen Diario'!$B$5:$B$504, B601, '📅 Resumen Diario'!$C$5:$C$504, D601), 0))</f>
        <v/>
      </c>
      <c r="M601" s="31" t="str">
        <f t="shared" si="66"/>
        <v/>
      </c>
      <c r="N601" s="31" t="str">
        <f t="shared" si="67"/>
        <v/>
      </c>
      <c r="O601" s="31" t="str">
        <f>IF(OR(B601="",C601=""),"",K601-N601 + IFERROR(E601 / SUMIFS('📅 Resumen Diario'!$D$5:$D$504, '📅 Resumen Diario'!$B$5:$B$504, B601, '📅 Resumen Diario'!$C$5:$C$504, D601) * (SUMIFS('📋 Detalle Diario'!$E$5:$E$489, '📋 Detalle Diario'!$B$5:$B$489, B601, '📋 Detalle Diario'!$C$5:$C$489, D601) * 135 + SUMIFS('📋 Detalle Diario'!$I$5:$I$489, '📋 Detalle Diario'!$B$5:$B$489, B601, '📋 Detalle Diario'!$C$5:$C$489, D601) * 200), 0))</f>
        <v/>
      </c>
      <c r="P601" s="32" t="str">
        <f t="shared" si="68"/>
        <v/>
      </c>
      <c r="Q601" s="33" t="str">
        <f t="shared" si="69"/>
        <v/>
      </c>
    </row>
    <row r="602" spans="2:17" ht="18" customHeight="1" x14ac:dyDescent="0.3">
      <c r="B602" s="26"/>
      <c r="C602" s="17"/>
      <c r="D602" s="27"/>
      <c r="E602" s="18"/>
      <c r="F602" s="18"/>
      <c r="G602" s="18"/>
      <c r="H602" s="30" t="str">
        <f t="shared" si="63"/>
        <v/>
      </c>
      <c r="I602" s="31" t="str">
        <f>IF(OR(B602="",C602=""),"",IFERROR(E602*IF(E602="",0,VLOOKUP(C602,'📦 Precios Proforma'!$B$5:$D$104,IF(D602="DIA",2,3),FALSE)),0))</f>
        <v/>
      </c>
      <c r="J602" s="31" t="str">
        <f t="shared" si="64"/>
        <v/>
      </c>
      <c r="K602" s="31" t="str">
        <f t="shared" si="65"/>
        <v/>
      </c>
      <c r="L602" s="31" t="str">
        <f>IF(OR(B602="",C602=""),"",IFERROR(E602 / SUMIFS('📅 Resumen Diario'!$D$5:$D$504, '📅 Resumen Diario'!$B$5:$B$504, B602, '📅 Resumen Diario'!$C$5:$C$504, D602) * SUMIFS('📅 Resumen Diario'!$K$5:$K$504, '📅 Resumen Diario'!$B$5:$B$504, B602, '📅 Resumen Diario'!$C$5:$C$504, D602), 0))</f>
        <v/>
      </c>
      <c r="M602" s="31" t="str">
        <f t="shared" si="66"/>
        <v/>
      </c>
      <c r="N602" s="31" t="str">
        <f t="shared" si="67"/>
        <v/>
      </c>
      <c r="O602" s="31" t="str">
        <f>IF(OR(B602="",C602=""),"",K602-N602 + IFERROR(E602 / SUMIFS('📅 Resumen Diario'!$D$5:$D$504, '📅 Resumen Diario'!$B$5:$B$504, B602, '📅 Resumen Diario'!$C$5:$C$504, D602) * (SUMIFS('📋 Detalle Diario'!$E$5:$E$489, '📋 Detalle Diario'!$B$5:$B$489, B602, '📋 Detalle Diario'!$C$5:$C$489, D602) * 135 + SUMIFS('📋 Detalle Diario'!$I$5:$I$489, '📋 Detalle Diario'!$B$5:$B$489, B602, '📋 Detalle Diario'!$C$5:$C$489, D602) * 200), 0))</f>
        <v/>
      </c>
      <c r="P602" s="32" t="str">
        <f t="shared" si="68"/>
        <v/>
      </c>
      <c r="Q602" s="33" t="str">
        <f t="shared" si="69"/>
        <v/>
      </c>
    </row>
    <row r="603" spans="2:17" ht="18" customHeight="1" x14ac:dyDescent="0.3">
      <c r="B603" s="26"/>
      <c r="C603" s="28"/>
      <c r="D603" s="27"/>
      <c r="E603" s="29"/>
      <c r="F603" s="29"/>
      <c r="G603" s="29"/>
      <c r="H603" s="30" t="str">
        <f t="shared" si="63"/>
        <v/>
      </c>
      <c r="I603" s="31" t="str">
        <f>IF(OR(B603="",C603=""),"",IFERROR(E603*IF(E603="",0,VLOOKUP(C603,'📦 Precios Proforma'!$B$5:$D$104,IF(D603="DIA",2,3),FALSE)),0))</f>
        <v/>
      </c>
      <c r="J603" s="31" t="str">
        <f t="shared" si="64"/>
        <v/>
      </c>
      <c r="K603" s="31" t="str">
        <f t="shared" si="65"/>
        <v/>
      </c>
      <c r="L603" s="31" t="str">
        <f>IF(OR(B603="",C603=""),"",IFERROR(E603 / SUMIFS('📅 Resumen Diario'!$D$5:$D$504, '📅 Resumen Diario'!$B$5:$B$504, B603, '📅 Resumen Diario'!$C$5:$C$504, D603) * SUMIFS('📅 Resumen Diario'!$K$5:$K$504, '📅 Resumen Diario'!$B$5:$B$504, B603, '📅 Resumen Diario'!$C$5:$C$504, D603), 0))</f>
        <v/>
      </c>
      <c r="M603" s="31" t="str">
        <f t="shared" si="66"/>
        <v/>
      </c>
      <c r="N603" s="31" t="str">
        <f t="shared" si="67"/>
        <v/>
      </c>
      <c r="O603" s="31" t="str">
        <f>IF(OR(B603="",C603=""),"",K603-N603 + IFERROR(E603 / SUMIFS('📅 Resumen Diario'!$D$5:$D$504, '📅 Resumen Diario'!$B$5:$B$504, B603, '📅 Resumen Diario'!$C$5:$C$504, D603) * (SUMIFS('📋 Detalle Diario'!$E$5:$E$489, '📋 Detalle Diario'!$B$5:$B$489, B603, '📋 Detalle Diario'!$C$5:$C$489, D603) * 135 + SUMIFS('📋 Detalle Diario'!$I$5:$I$489, '📋 Detalle Diario'!$B$5:$B$489, B603, '📋 Detalle Diario'!$C$5:$C$489, D603) * 200), 0))</f>
        <v/>
      </c>
      <c r="P603" s="32" t="str">
        <f t="shared" si="68"/>
        <v/>
      </c>
      <c r="Q603" s="33" t="str">
        <f t="shared" si="69"/>
        <v/>
      </c>
    </row>
    <row r="604" spans="2:17" ht="18" customHeight="1" x14ac:dyDescent="0.3">
      <c r="B604" s="26"/>
      <c r="C604" s="17"/>
      <c r="D604" s="27"/>
      <c r="E604" s="18"/>
      <c r="F604" s="18"/>
      <c r="G604" s="18"/>
      <c r="H604" s="30" t="str">
        <f t="shared" si="63"/>
        <v/>
      </c>
      <c r="I604" s="31" t="str">
        <f>IF(OR(B604="",C604=""),"",IFERROR(E604*IF(E604="",0,VLOOKUP(C604,'📦 Precios Proforma'!$B$5:$D$104,IF(D604="DIA",2,3),FALSE)),0))</f>
        <v/>
      </c>
      <c r="J604" s="31" t="str">
        <f t="shared" si="64"/>
        <v/>
      </c>
      <c r="K604" s="31" t="str">
        <f t="shared" si="65"/>
        <v/>
      </c>
      <c r="L604" s="31" t="str">
        <f>IF(OR(B604="",C604=""),"",IFERROR(E604 / SUMIFS('📅 Resumen Diario'!$D$5:$D$504, '📅 Resumen Diario'!$B$5:$B$504, B604, '📅 Resumen Diario'!$C$5:$C$504, D604) * SUMIFS('📅 Resumen Diario'!$K$5:$K$504, '📅 Resumen Diario'!$B$5:$B$504, B604, '📅 Resumen Diario'!$C$5:$C$504, D604), 0))</f>
        <v/>
      </c>
      <c r="M604" s="31" t="str">
        <f t="shared" si="66"/>
        <v/>
      </c>
      <c r="N604" s="31" t="str">
        <f t="shared" si="67"/>
        <v/>
      </c>
      <c r="O604" s="31" t="str">
        <f>IF(OR(B604="",C604=""),"",K604-N604 + IFERROR(E604 / SUMIFS('📅 Resumen Diario'!$D$5:$D$504, '📅 Resumen Diario'!$B$5:$B$504, B604, '📅 Resumen Diario'!$C$5:$C$504, D604) * (SUMIFS('📋 Detalle Diario'!$E$5:$E$489, '📋 Detalle Diario'!$B$5:$B$489, B604, '📋 Detalle Diario'!$C$5:$C$489, D604) * 135 + SUMIFS('📋 Detalle Diario'!$I$5:$I$489, '📋 Detalle Diario'!$B$5:$B$489, B604, '📋 Detalle Diario'!$C$5:$C$489, D604) * 200), 0))</f>
        <v/>
      </c>
      <c r="P604" s="32" t="str">
        <f t="shared" si="68"/>
        <v/>
      </c>
      <c r="Q604" s="33" t="str">
        <f t="shared" si="69"/>
        <v/>
      </c>
    </row>
    <row r="605" spans="2:17" ht="18" customHeight="1" x14ac:dyDescent="0.3">
      <c r="B605" s="26"/>
      <c r="C605" s="28"/>
      <c r="D605" s="27"/>
      <c r="E605" s="29"/>
      <c r="F605" s="29"/>
      <c r="G605" s="29"/>
      <c r="H605" s="30" t="str">
        <f t="shared" si="63"/>
        <v/>
      </c>
      <c r="I605" s="31" t="str">
        <f>IF(OR(B605="",C605=""),"",IFERROR(E605*IF(E605="",0,VLOOKUP(C605,'📦 Precios Proforma'!$B$5:$D$104,IF(D605="DIA",2,3),FALSE)),0))</f>
        <v/>
      </c>
      <c r="J605" s="31" t="str">
        <f t="shared" si="64"/>
        <v/>
      </c>
      <c r="K605" s="31" t="str">
        <f t="shared" si="65"/>
        <v/>
      </c>
      <c r="L605" s="31" t="str">
        <f>IF(OR(B605="",C605=""),"",IFERROR(E605 / SUMIFS('📅 Resumen Diario'!$D$5:$D$504, '📅 Resumen Diario'!$B$5:$B$504, B605, '📅 Resumen Diario'!$C$5:$C$504, D605) * SUMIFS('📅 Resumen Diario'!$K$5:$K$504, '📅 Resumen Diario'!$B$5:$B$504, B605, '📅 Resumen Diario'!$C$5:$C$504, D605), 0))</f>
        <v/>
      </c>
      <c r="M605" s="31" t="str">
        <f t="shared" si="66"/>
        <v/>
      </c>
      <c r="N605" s="31" t="str">
        <f t="shared" si="67"/>
        <v/>
      </c>
      <c r="O605" s="31" t="str">
        <f>IF(OR(B605="",C605=""),"",K605-N605 + IFERROR(E605 / SUMIFS('📅 Resumen Diario'!$D$5:$D$504, '📅 Resumen Diario'!$B$5:$B$504, B605, '📅 Resumen Diario'!$C$5:$C$504, D605) * (SUMIFS('📋 Detalle Diario'!$E$5:$E$489, '📋 Detalle Diario'!$B$5:$B$489, B605, '📋 Detalle Diario'!$C$5:$C$489, D605) * 135 + SUMIFS('📋 Detalle Diario'!$I$5:$I$489, '📋 Detalle Diario'!$B$5:$B$489, B605, '📋 Detalle Diario'!$C$5:$C$489, D605) * 200), 0))</f>
        <v/>
      </c>
      <c r="P605" s="32" t="str">
        <f t="shared" si="68"/>
        <v/>
      </c>
      <c r="Q605" s="33" t="str">
        <f t="shared" si="69"/>
        <v/>
      </c>
    </row>
    <row r="606" spans="2:17" ht="18" customHeight="1" x14ac:dyDescent="0.3">
      <c r="B606" s="26"/>
      <c r="C606" s="17"/>
      <c r="D606" s="27"/>
      <c r="E606" s="18"/>
      <c r="F606" s="18"/>
      <c r="G606" s="18"/>
      <c r="H606" s="30" t="str">
        <f t="shared" si="63"/>
        <v/>
      </c>
      <c r="I606" s="31" t="str">
        <f>IF(OR(B606="",C606=""),"",IFERROR(E606*IF(E606="",0,VLOOKUP(C606,'📦 Precios Proforma'!$B$5:$D$104,IF(D606="DIA",2,3),FALSE)),0))</f>
        <v/>
      </c>
      <c r="J606" s="31" t="str">
        <f t="shared" si="64"/>
        <v/>
      </c>
      <c r="K606" s="31" t="str">
        <f t="shared" si="65"/>
        <v/>
      </c>
      <c r="L606" s="31" t="str">
        <f>IF(OR(B606="",C606=""),"",IFERROR(E606 / SUMIFS('📅 Resumen Diario'!$D$5:$D$504, '📅 Resumen Diario'!$B$5:$B$504, B606, '📅 Resumen Diario'!$C$5:$C$504, D606) * SUMIFS('📅 Resumen Diario'!$K$5:$K$504, '📅 Resumen Diario'!$B$5:$B$504, B606, '📅 Resumen Diario'!$C$5:$C$504, D606), 0))</f>
        <v/>
      </c>
      <c r="M606" s="31" t="str">
        <f t="shared" si="66"/>
        <v/>
      </c>
      <c r="N606" s="31" t="str">
        <f t="shared" si="67"/>
        <v/>
      </c>
      <c r="O606" s="31" t="str">
        <f>IF(OR(B606="",C606=""),"",K606-N606 + IFERROR(E606 / SUMIFS('📅 Resumen Diario'!$D$5:$D$504, '📅 Resumen Diario'!$B$5:$B$504, B606, '📅 Resumen Diario'!$C$5:$C$504, D606) * (SUMIFS('📋 Detalle Diario'!$E$5:$E$489, '📋 Detalle Diario'!$B$5:$B$489, B606, '📋 Detalle Diario'!$C$5:$C$489, D606) * 135 + SUMIFS('📋 Detalle Diario'!$I$5:$I$489, '📋 Detalle Diario'!$B$5:$B$489, B606, '📋 Detalle Diario'!$C$5:$C$489, D606) * 200), 0))</f>
        <v/>
      </c>
      <c r="P606" s="32" t="str">
        <f t="shared" si="68"/>
        <v/>
      </c>
      <c r="Q606" s="33" t="str">
        <f t="shared" si="69"/>
        <v/>
      </c>
    </row>
    <row r="607" spans="2:17" ht="18" customHeight="1" x14ac:dyDescent="0.3">
      <c r="B607" s="26"/>
      <c r="C607" s="28"/>
      <c r="D607" s="27"/>
      <c r="E607" s="29"/>
      <c r="F607" s="29"/>
      <c r="G607" s="29"/>
      <c r="H607" s="30" t="str">
        <f t="shared" si="63"/>
        <v/>
      </c>
      <c r="I607" s="31" t="str">
        <f>IF(OR(B607="",C607=""),"",IFERROR(E607*IF(E607="",0,VLOOKUP(C607,'📦 Precios Proforma'!$B$5:$D$104,IF(D607="DIA",2,3),FALSE)),0))</f>
        <v/>
      </c>
      <c r="J607" s="31" t="str">
        <f t="shared" si="64"/>
        <v/>
      </c>
      <c r="K607" s="31" t="str">
        <f t="shared" si="65"/>
        <v/>
      </c>
      <c r="L607" s="31" t="str">
        <f>IF(OR(B607="",C607=""),"",IFERROR(E607 / SUMIFS('📅 Resumen Diario'!$D$5:$D$504, '📅 Resumen Diario'!$B$5:$B$504, B607, '📅 Resumen Diario'!$C$5:$C$504, D607) * SUMIFS('📅 Resumen Diario'!$K$5:$K$504, '📅 Resumen Diario'!$B$5:$B$504, B607, '📅 Resumen Diario'!$C$5:$C$504, D607), 0))</f>
        <v/>
      </c>
      <c r="M607" s="31" t="str">
        <f t="shared" si="66"/>
        <v/>
      </c>
      <c r="N607" s="31" t="str">
        <f t="shared" si="67"/>
        <v/>
      </c>
      <c r="O607" s="31" t="str">
        <f>IF(OR(B607="",C607=""),"",K607-N607 + IFERROR(E607 / SUMIFS('📅 Resumen Diario'!$D$5:$D$504, '📅 Resumen Diario'!$B$5:$B$504, B607, '📅 Resumen Diario'!$C$5:$C$504, D607) * (SUMIFS('📋 Detalle Diario'!$E$5:$E$489, '📋 Detalle Diario'!$B$5:$B$489, B607, '📋 Detalle Diario'!$C$5:$C$489, D607) * 135 + SUMIFS('📋 Detalle Diario'!$I$5:$I$489, '📋 Detalle Diario'!$B$5:$B$489, B607, '📋 Detalle Diario'!$C$5:$C$489, D607) * 200), 0))</f>
        <v/>
      </c>
      <c r="P607" s="32" t="str">
        <f t="shared" si="68"/>
        <v/>
      </c>
      <c r="Q607" s="33" t="str">
        <f t="shared" si="69"/>
        <v/>
      </c>
    </row>
    <row r="608" spans="2:17" ht="18" customHeight="1" x14ac:dyDescent="0.3">
      <c r="B608" s="26"/>
      <c r="C608" s="17"/>
      <c r="D608" s="27"/>
      <c r="E608" s="18"/>
      <c r="F608" s="18"/>
      <c r="G608" s="18"/>
      <c r="H608" s="30" t="str">
        <f t="shared" si="63"/>
        <v/>
      </c>
      <c r="I608" s="31" t="str">
        <f>IF(OR(B608="",C608=""),"",IFERROR(E608*IF(E608="",0,VLOOKUP(C608,'📦 Precios Proforma'!$B$5:$D$104,IF(D608="DIA",2,3),FALSE)),0))</f>
        <v/>
      </c>
      <c r="J608" s="31" t="str">
        <f t="shared" si="64"/>
        <v/>
      </c>
      <c r="K608" s="31" t="str">
        <f t="shared" si="65"/>
        <v/>
      </c>
      <c r="L608" s="31" t="str">
        <f>IF(OR(B608="",C608=""),"",IFERROR(E608 / SUMIFS('📅 Resumen Diario'!$D$5:$D$504, '📅 Resumen Diario'!$B$5:$B$504, B608, '📅 Resumen Diario'!$C$5:$C$504, D608) * SUMIFS('📅 Resumen Diario'!$K$5:$K$504, '📅 Resumen Diario'!$B$5:$B$504, B608, '📅 Resumen Diario'!$C$5:$C$504, D608), 0))</f>
        <v/>
      </c>
      <c r="M608" s="31" t="str">
        <f t="shared" si="66"/>
        <v/>
      </c>
      <c r="N608" s="31" t="str">
        <f t="shared" si="67"/>
        <v/>
      </c>
      <c r="O608" s="31" t="str">
        <f>IF(OR(B608="",C608=""),"",K608-N608 + IFERROR(E608 / SUMIFS('📅 Resumen Diario'!$D$5:$D$504, '📅 Resumen Diario'!$B$5:$B$504, B608, '📅 Resumen Diario'!$C$5:$C$504, D608) * (SUMIFS('📋 Detalle Diario'!$E$5:$E$489, '📋 Detalle Diario'!$B$5:$B$489, B608, '📋 Detalle Diario'!$C$5:$C$489, D608) * 135 + SUMIFS('📋 Detalle Diario'!$I$5:$I$489, '📋 Detalle Diario'!$B$5:$B$489, B608, '📋 Detalle Diario'!$C$5:$C$489, D608) * 200), 0))</f>
        <v/>
      </c>
      <c r="P608" s="32" t="str">
        <f t="shared" si="68"/>
        <v/>
      </c>
      <c r="Q608" s="33" t="str">
        <f t="shared" si="69"/>
        <v/>
      </c>
    </row>
    <row r="609" spans="2:17" ht="18" customHeight="1" x14ac:dyDescent="0.3">
      <c r="B609" s="26"/>
      <c r="C609" s="28"/>
      <c r="D609" s="27"/>
      <c r="E609" s="29"/>
      <c r="F609" s="29"/>
      <c r="G609" s="29"/>
      <c r="H609" s="30" t="str">
        <f t="shared" si="63"/>
        <v/>
      </c>
      <c r="I609" s="31" t="str">
        <f>IF(OR(B609="",C609=""),"",IFERROR(E609*IF(E609="",0,VLOOKUP(C609,'📦 Precios Proforma'!$B$5:$D$104,IF(D609="DIA",2,3),FALSE)),0))</f>
        <v/>
      </c>
      <c r="J609" s="31" t="str">
        <f t="shared" si="64"/>
        <v/>
      </c>
      <c r="K609" s="31" t="str">
        <f t="shared" si="65"/>
        <v/>
      </c>
      <c r="L609" s="31" t="str">
        <f>IF(OR(B609="",C609=""),"",IFERROR(E609 / SUMIFS('📅 Resumen Diario'!$D$5:$D$504, '📅 Resumen Diario'!$B$5:$B$504, B609, '📅 Resumen Diario'!$C$5:$C$504, D609) * SUMIFS('📅 Resumen Diario'!$K$5:$K$504, '📅 Resumen Diario'!$B$5:$B$504, B609, '📅 Resumen Diario'!$C$5:$C$504, D609), 0))</f>
        <v/>
      </c>
      <c r="M609" s="31" t="str">
        <f t="shared" si="66"/>
        <v/>
      </c>
      <c r="N609" s="31" t="str">
        <f t="shared" si="67"/>
        <v/>
      </c>
      <c r="O609" s="31" t="str">
        <f>IF(OR(B609="",C609=""),"",K609-N609 + IFERROR(E609 / SUMIFS('📅 Resumen Diario'!$D$5:$D$504, '📅 Resumen Diario'!$B$5:$B$504, B609, '📅 Resumen Diario'!$C$5:$C$504, D609) * (SUMIFS('📋 Detalle Diario'!$E$5:$E$489, '📋 Detalle Diario'!$B$5:$B$489, B609, '📋 Detalle Diario'!$C$5:$C$489, D609) * 135 + SUMIFS('📋 Detalle Diario'!$I$5:$I$489, '📋 Detalle Diario'!$B$5:$B$489, B609, '📋 Detalle Diario'!$C$5:$C$489, D609) * 200), 0))</f>
        <v/>
      </c>
      <c r="P609" s="32" t="str">
        <f t="shared" si="68"/>
        <v/>
      </c>
      <c r="Q609" s="33" t="str">
        <f t="shared" si="69"/>
        <v/>
      </c>
    </row>
    <row r="610" spans="2:17" ht="18" customHeight="1" x14ac:dyDescent="0.3">
      <c r="B610" s="26"/>
      <c r="C610" s="17"/>
      <c r="D610" s="27"/>
      <c r="E610" s="18"/>
      <c r="F610" s="18"/>
      <c r="G610" s="18"/>
      <c r="H610" s="30" t="str">
        <f t="shared" si="63"/>
        <v/>
      </c>
      <c r="I610" s="31" t="str">
        <f>IF(OR(B610="",C610=""),"",IFERROR(E610*IF(E610="",0,VLOOKUP(C610,'📦 Precios Proforma'!$B$5:$D$104,IF(D610="DIA",2,3),FALSE)),0))</f>
        <v/>
      </c>
      <c r="J610" s="31" t="str">
        <f t="shared" si="64"/>
        <v/>
      </c>
      <c r="K610" s="31" t="str">
        <f t="shared" si="65"/>
        <v/>
      </c>
      <c r="L610" s="31" t="str">
        <f>IF(OR(B610="",C610=""),"",IFERROR(E610 / SUMIFS('📅 Resumen Diario'!$D$5:$D$504, '📅 Resumen Diario'!$B$5:$B$504, B610, '📅 Resumen Diario'!$C$5:$C$504, D610) * SUMIFS('📅 Resumen Diario'!$K$5:$K$504, '📅 Resumen Diario'!$B$5:$B$504, B610, '📅 Resumen Diario'!$C$5:$C$504, D610), 0))</f>
        <v/>
      </c>
      <c r="M610" s="31" t="str">
        <f t="shared" si="66"/>
        <v/>
      </c>
      <c r="N610" s="31" t="str">
        <f t="shared" si="67"/>
        <v/>
      </c>
      <c r="O610" s="31" t="str">
        <f>IF(OR(B610="",C610=""),"",K610-N610 + IFERROR(E610 / SUMIFS('📅 Resumen Diario'!$D$5:$D$504, '📅 Resumen Diario'!$B$5:$B$504, B610, '📅 Resumen Diario'!$C$5:$C$504, D610) * (SUMIFS('📋 Detalle Diario'!$E$5:$E$489, '📋 Detalle Diario'!$B$5:$B$489, B610, '📋 Detalle Diario'!$C$5:$C$489, D610) * 135 + SUMIFS('📋 Detalle Diario'!$I$5:$I$489, '📋 Detalle Diario'!$B$5:$B$489, B610, '📋 Detalle Diario'!$C$5:$C$489, D610) * 200), 0))</f>
        <v/>
      </c>
      <c r="P610" s="32" t="str">
        <f t="shared" si="68"/>
        <v/>
      </c>
      <c r="Q610" s="33" t="str">
        <f t="shared" si="69"/>
        <v/>
      </c>
    </row>
    <row r="611" spans="2:17" ht="18" customHeight="1" x14ac:dyDescent="0.3">
      <c r="B611" s="26"/>
      <c r="C611" s="28"/>
      <c r="D611" s="27"/>
      <c r="E611" s="29"/>
      <c r="F611" s="29"/>
      <c r="G611" s="29"/>
      <c r="H611" s="30" t="str">
        <f t="shared" si="63"/>
        <v/>
      </c>
      <c r="I611" s="31" t="str">
        <f>IF(OR(B611="",C611=""),"",IFERROR(E611*IF(E611="",0,VLOOKUP(C611,'📦 Precios Proforma'!$B$5:$D$104,IF(D611="DIA",2,3),FALSE)),0))</f>
        <v/>
      </c>
      <c r="J611" s="31" t="str">
        <f t="shared" si="64"/>
        <v/>
      </c>
      <c r="K611" s="31" t="str">
        <f t="shared" si="65"/>
        <v/>
      </c>
      <c r="L611" s="31" t="str">
        <f>IF(OR(B611="",C611=""),"",IFERROR(E611 / SUMIFS('📅 Resumen Diario'!$D$5:$D$504, '📅 Resumen Diario'!$B$5:$B$504, B611, '📅 Resumen Diario'!$C$5:$C$504, D611) * SUMIFS('📅 Resumen Diario'!$K$5:$K$504, '📅 Resumen Diario'!$B$5:$B$504, B611, '📅 Resumen Diario'!$C$5:$C$504, D611), 0))</f>
        <v/>
      </c>
      <c r="M611" s="31" t="str">
        <f t="shared" si="66"/>
        <v/>
      </c>
      <c r="N611" s="31" t="str">
        <f t="shared" si="67"/>
        <v/>
      </c>
      <c r="O611" s="31" t="str">
        <f>IF(OR(B611="",C611=""),"",K611-N611 + IFERROR(E611 / SUMIFS('📅 Resumen Diario'!$D$5:$D$504, '📅 Resumen Diario'!$B$5:$B$504, B611, '📅 Resumen Diario'!$C$5:$C$504, D611) * (SUMIFS('📋 Detalle Diario'!$E$5:$E$489, '📋 Detalle Diario'!$B$5:$B$489, B611, '📋 Detalle Diario'!$C$5:$C$489, D611) * 135 + SUMIFS('📋 Detalle Diario'!$I$5:$I$489, '📋 Detalle Diario'!$B$5:$B$489, B611, '📋 Detalle Diario'!$C$5:$C$489, D611) * 200), 0))</f>
        <v/>
      </c>
      <c r="P611" s="32" t="str">
        <f t="shared" si="68"/>
        <v/>
      </c>
      <c r="Q611" s="33" t="str">
        <f t="shared" si="69"/>
        <v/>
      </c>
    </row>
    <row r="612" spans="2:17" ht="18" customHeight="1" x14ac:dyDescent="0.3">
      <c r="B612" s="26"/>
      <c r="C612" s="17"/>
      <c r="D612" s="27"/>
      <c r="E612" s="18"/>
      <c r="F612" s="18"/>
      <c r="G612" s="18"/>
      <c r="H612" s="30" t="str">
        <f t="shared" si="63"/>
        <v/>
      </c>
      <c r="I612" s="31" t="str">
        <f>IF(OR(B612="",C612=""),"",IFERROR(E612*IF(E612="",0,VLOOKUP(C612,'📦 Precios Proforma'!$B$5:$D$104,IF(D612="DIA",2,3),FALSE)),0))</f>
        <v/>
      </c>
      <c r="J612" s="31" t="str">
        <f t="shared" si="64"/>
        <v/>
      </c>
      <c r="K612" s="31" t="str">
        <f t="shared" si="65"/>
        <v/>
      </c>
      <c r="L612" s="31" t="str">
        <f>IF(OR(B612="",C612=""),"",IFERROR(E612 / SUMIFS('📅 Resumen Diario'!$D$5:$D$504, '📅 Resumen Diario'!$B$5:$B$504, B612, '📅 Resumen Diario'!$C$5:$C$504, D612) * SUMIFS('📅 Resumen Diario'!$K$5:$K$504, '📅 Resumen Diario'!$B$5:$B$504, B612, '📅 Resumen Diario'!$C$5:$C$504, D612), 0))</f>
        <v/>
      </c>
      <c r="M612" s="31" t="str">
        <f t="shared" si="66"/>
        <v/>
      </c>
      <c r="N612" s="31" t="str">
        <f t="shared" si="67"/>
        <v/>
      </c>
      <c r="O612" s="31" t="str">
        <f>IF(OR(B612="",C612=""),"",K612-N612 + IFERROR(E612 / SUMIFS('📅 Resumen Diario'!$D$5:$D$504, '📅 Resumen Diario'!$B$5:$B$504, B612, '📅 Resumen Diario'!$C$5:$C$504, D612) * (SUMIFS('📋 Detalle Diario'!$E$5:$E$489, '📋 Detalle Diario'!$B$5:$B$489, B612, '📋 Detalle Diario'!$C$5:$C$489, D612) * 135 + SUMIFS('📋 Detalle Diario'!$I$5:$I$489, '📋 Detalle Diario'!$B$5:$B$489, B612, '📋 Detalle Diario'!$C$5:$C$489, D612) * 200), 0))</f>
        <v/>
      </c>
      <c r="P612" s="32" t="str">
        <f t="shared" si="68"/>
        <v/>
      </c>
      <c r="Q612" s="33" t="str">
        <f t="shared" si="69"/>
        <v/>
      </c>
    </row>
    <row r="613" spans="2:17" ht="18" customHeight="1" x14ac:dyDescent="0.3">
      <c r="B613" s="26"/>
      <c r="C613" s="28"/>
      <c r="D613" s="27"/>
      <c r="E613" s="29"/>
      <c r="F613" s="29"/>
      <c r="G613" s="29"/>
      <c r="H613" s="30" t="str">
        <f t="shared" si="63"/>
        <v/>
      </c>
      <c r="I613" s="31" t="str">
        <f>IF(OR(B613="",C613=""),"",IFERROR(E613*IF(E613="",0,VLOOKUP(C613,'📦 Precios Proforma'!$B$5:$D$104,IF(D613="DIA",2,3),FALSE)),0))</f>
        <v/>
      </c>
      <c r="J613" s="31" t="str">
        <f t="shared" si="64"/>
        <v/>
      </c>
      <c r="K613" s="31" t="str">
        <f t="shared" si="65"/>
        <v/>
      </c>
      <c r="L613" s="31" t="str">
        <f>IF(OR(B613="",C613=""),"",IFERROR(E613 / SUMIFS('📅 Resumen Diario'!$D$5:$D$504, '📅 Resumen Diario'!$B$5:$B$504, B613, '📅 Resumen Diario'!$C$5:$C$504, D613) * SUMIFS('📅 Resumen Diario'!$K$5:$K$504, '📅 Resumen Diario'!$B$5:$B$504, B613, '📅 Resumen Diario'!$C$5:$C$504, D613), 0))</f>
        <v/>
      </c>
      <c r="M613" s="31" t="str">
        <f t="shared" si="66"/>
        <v/>
      </c>
      <c r="N613" s="31" t="str">
        <f t="shared" si="67"/>
        <v/>
      </c>
      <c r="O613" s="31" t="str">
        <f>IF(OR(B613="",C613=""),"",K613-N613 + IFERROR(E613 / SUMIFS('📅 Resumen Diario'!$D$5:$D$504, '📅 Resumen Diario'!$B$5:$B$504, B613, '📅 Resumen Diario'!$C$5:$C$504, D613) * (SUMIFS('📋 Detalle Diario'!$E$5:$E$489, '📋 Detalle Diario'!$B$5:$B$489, B613, '📋 Detalle Diario'!$C$5:$C$489, D613) * 135 + SUMIFS('📋 Detalle Diario'!$I$5:$I$489, '📋 Detalle Diario'!$B$5:$B$489, B613, '📋 Detalle Diario'!$C$5:$C$489, D613) * 200), 0))</f>
        <v/>
      </c>
      <c r="P613" s="32" t="str">
        <f t="shared" si="68"/>
        <v/>
      </c>
      <c r="Q613" s="33" t="str">
        <f t="shared" si="69"/>
        <v/>
      </c>
    </row>
    <row r="614" spans="2:17" ht="18" customHeight="1" x14ac:dyDescent="0.3">
      <c r="B614" s="26"/>
      <c r="C614" s="17"/>
      <c r="D614" s="27"/>
      <c r="E614" s="18"/>
      <c r="F614" s="18"/>
      <c r="G614" s="18"/>
      <c r="H614" s="30" t="str">
        <f t="shared" si="63"/>
        <v/>
      </c>
      <c r="I614" s="31" t="str">
        <f>IF(OR(B614="",C614=""),"",IFERROR(E614*IF(E614="",0,VLOOKUP(C614,'📦 Precios Proforma'!$B$5:$D$104,IF(D614="DIA",2,3),FALSE)),0))</f>
        <v/>
      </c>
      <c r="J614" s="31" t="str">
        <f t="shared" si="64"/>
        <v/>
      </c>
      <c r="K614" s="31" t="str">
        <f t="shared" si="65"/>
        <v/>
      </c>
      <c r="L614" s="31" t="str">
        <f>IF(OR(B614="",C614=""),"",IFERROR(E614 / SUMIFS('📅 Resumen Diario'!$D$5:$D$504, '📅 Resumen Diario'!$B$5:$B$504, B614, '📅 Resumen Diario'!$C$5:$C$504, D614) * SUMIFS('📅 Resumen Diario'!$K$5:$K$504, '📅 Resumen Diario'!$B$5:$B$504, B614, '📅 Resumen Diario'!$C$5:$C$504, D614), 0))</f>
        <v/>
      </c>
      <c r="M614" s="31" t="str">
        <f t="shared" si="66"/>
        <v/>
      </c>
      <c r="N614" s="31" t="str">
        <f t="shared" si="67"/>
        <v/>
      </c>
      <c r="O614" s="31" t="str">
        <f>IF(OR(B614="",C614=""),"",K614-N614 + IFERROR(E614 / SUMIFS('📅 Resumen Diario'!$D$5:$D$504, '📅 Resumen Diario'!$B$5:$B$504, B614, '📅 Resumen Diario'!$C$5:$C$504, D614) * (SUMIFS('📋 Detalle Diario'!$E$5:$E$489, '📋 Detalle Diario'!$B$5:$B$489, B614, '📋 Detalle Diario'!$C$5:$C$489, D614) * 135 + SUMIFS('📋 Detalle Diario'!$I$5:$I$489, '📋 Detalle Diario'!$B$5:$B$489, B614, '📋 Detalle Diario'!$C$5:$C$489, D614) * 200), 0))</f>
        <v/>
      </c>
      <c r="P614" s="32" t="str">
        <f t="shared" si="68"/>
        <v/>
      </c>
      <c r="Q614" s="33" t="str">
        <f t="shared" si="69"/>
        <v/>
      </c>
    </row>
    <row r="615" spans="2:17" ht="18" customHeight="1" x14ac:dyDescent="0.3">
      <c r="B615" s="26"/>
      <c r="C615" s="28"/>
      <c r="D615" s="27"/>
      <c r="E615" s="29"/>
      <c r="F615" s="29"/>
      <c r="G615" s="29"/>
      <c r="H615" s="30" t="str">
        <f t="shared" si="63"/>
        <v/>
      </c>
      <c r="I615" s="31" t="str">
        <f>IF(OR(B615="",C615=""),"",IFERROR(E615*IF(E615="",0,VLOOKUP(C615,'📦 Precios Proforma'!$B$5:$D$104,IF(D615="DIA",2,3),FALSE)),0))</f>
        <v/>
      </c>
      <c r="J615" s="31" t="str">
        <f t="shared" si="64"/>
        <v/>
      </c>
      <c r="K615" s="31" t="str">
        <f t="shared" si="65"/>
        <v/>
      </c>
      <c r="L615" s="31" t="str">
        <f>IF(OR(B615="",C615=""),"",IFERROR(E615 / SUMIFS('📅 Resumen Diario'!$D$5:$D$504, '📅 Resumen Diario'!$B$5:$B$504, B615, '📅 Resumen Diario'!$C$5:$C$504, D615) * SUMIFS('📅 Resumen Diario'!$K$5:$K$504, '📅 Resumen Diario'!$B$5:$B$504, B615, '📅 Resumen Diario'!$C$5:$C$504, D615), 0))</f>
        <v/>
      </c>
      <c r="M615" s="31" t="str">
        <f t="shared" si="66"/>
        <v/>
      </c>
      <c r="N615" s="31" t="str">
        <f t="shared" si="67"/>
        <v/>
      </c>
      <c r="O615" s="31" t="str">
        <f>IF(OR(B615="",C615=""),"",K615-N615 + IFERROR(E615 / SUMIFS('📅 Resumen Diario'!$D$5:$D$504, '📅 Resumen Diario'!$B$5:$B$504, B615, '📅 Resumen Diario'!$C$5:$C$504, D615) * (SUMIFS('📋 Detalle Diario'!$E$5:$E$489, '📋 Detalle Diario'!$B$5:$B$489, B615, '📋 Detalle Diario'!$C$5:$C$489, D615) * 135 + SUMIFS('📋 Detalle Diario'!$I$5:$I$489, '📋 Detalle Diario'!$B$5:$B$489, B615, '📋 Detalle Diario'!$C$5:$C$489, D615) * 200), 0))</f>
        <v/>
      </c>
      <c r="P615" s="32" t="str">
        <f t="shared" si="68"/>
        <v/>
      </c>
      <c r="Q615" s="33" t="str">
        <f t="shared" si="69"/>
        <v/>
      </c>
    </row>
    <row r="616" spans="2:17" ht="18" customHeight="1" x14ac:dyDescent="0.3">
      <c r="B616" s="26"/>
      <c r="C616" s="17"/>
      <c r="D616" s="27"/>
      <c r="E616" s="18"/>
      <c r="F616" s="18"/>
      <c r="G616" s="18"/>
      <c r="H616" s="30" t="str">
        <f t="shared" si="63"/>
        <v/>
      </c>
      <c r="I616" s="31" t="str">
        <f>IF(OR(B616="",C616=""),"",IFERROR(E616*IF(E616="",0,VLOOKUP(C616,'📦 Precios Proforma'!$B$5:$D$104,IF(D616="DIA",2,3),FALSE)),0))</f>
        <v/>
      </c>
      <c r="J616" s="31" t="str">
        <f t="shared" si="64"/>
        <v/>
      </c>
      <c r="K616" s="31" t="str">
        <f t="shared" si="65"/>
        <v/>
      </c>
      <c r="L616" s="31" t="str">
        <f>IF(OR(B616="",C616=""),"",IFERROR(E616 / SUMIFS('📅 Resumen Diario'!$D$5:$D$504, '📅 Resumen Diario'!$B$5:$B$504, B616, '📅 Resumen Diario'!$C$5:$C$504, D616) * SUMIFS('📅 Resumen Diario'!$K$5:$K$504, '📅 Resumen Diario'!$B$5:$B$504, B616, '📅 Resumen Diario'!$C$5:$C$504, D616), 0))</f>
        <v/>
      </c>
      <c r="M616" s="31" t="str">
        <f t="shared" si="66"/>
        <v/>
      </c>
      <c r="N616" s="31" t="str">
        <f t="shared" si="67"/>
        <v/>
      </c>
      <c r="O616" s="31" t="str">
        <f>IF(OR(B616="",C616=""),"",K616-N616 + IFERROR(E616 / SUMIFS('📅 Resumen Diario'!$D$5:$D$504, '📅 Resumen Diario'!$B$5:$B$504, B616, '📅 Resumen Diario'!$C$5:$C$504, D616) * (SUMIFS('📋 Detalle Diario'!$E$5:$E$489, '📋 Detalle Diario'!$B$5:$B$489, B616, '📋 Detalle Diario'!$C$5:$C$489, D616) * 135 + SUMIFS('📋 Detalle Diario'!$I$5:$I$489, '📋 Detalle Diario'!$B$5:$B$489, B616, '📋 Detalle Diario'!$C$5:$C$489, D616) * 200), 0))</f>
        <v/>
      </c>
      <c r="P616" s="32" t="str">
        <f t="shared" si="68"/>
        <v/>
      </c>
      <c r="Q616" s="33" t="str">
        <f t="shared" si="69"/>
        <v/>
      </c>
    </row>
    <row r="617" spans="2:17" ht="18" customHeight="1" x14ac:dyDescent="0.3">
      <c r="B617" s="26"/>
      <c r="C617" s="28"/>
      <c r="D617" s="27"/>
      <c r="E617" s="29"/>
      <c r="F617" s="29"/>
      <c r="G617" s="29"/>
      <c r="H617" s="30" t="str">
        <f t="shared" si="63"/>
        <v/>
      </c>
      <c r="I617" s="31" t="str">
        <f>IF(OR(B617="",C617=""),"",IFERROR(E617*IF(E617="",0,VLOOKUP(C617,'📦 Precios Proforma'!$B$5:$D$104,IF(D617="DIA",2,3),FALSE)),0))</f>
        <v/>
      </c>
      <c r="J617" s="31" t="str">
        <f t="shared" si="64"/>
        <v/>
      </c>
      <c r="K617" s="31" t="str">
        <f t="shared" si="65"/>
        <v/>
      </c>
      <c r="L617" s="31" t="str">
        <f>IF(OR(B617="",C617=""),"",IFERROR(E617 / SUMIFS('📅 Resumen Diario'!$D$5:$D$504, '📅 Resumen Diario'!$B$5:$B$504, B617, '📅 Resumen Diario'!$C$5:$C$504, D617) * SUMIFS('📅 Resumen Diario'!$K$5:$K$504, '📅 Resumen Diario'!$B$5:$B$504, B617, '📅 Resumen Diario'!$C$5:$C$504, D617), 0))</f>
        <v/>
      </c>
      <c r="M617" s="31" t="str">
        <f t="shared" si="66"/>
        <v/>
      </c>
      <c r="N617" s="31" t="str">
        <f t="shared" si="67"/>
        <v/>
      </c>
      <c r="O617" s="31" t="str">
        <f>IF(OR(B617="",C617=""),"",K617-N617 + IFERROR(E617 / SUMIFS('📅 Resumen Diario'!$D$5:$D$504, '📅 Resumen Diario'!$B$5:$B$504, B617, '📅 Resumen Diario'!$C$5:$C$504, D617) * (SUMIFS('📋 Detalle Diario'!$E$5:$E$489, '📋 Detalle Diario'!$B$5:$B$489, B617, '📋 Detalle Diario'!$C$5:$C$489, D617) * 135 + SUMIFS('📋 Detalle Diario'!$I$5:$I$489, '📋 Detalle Diario'!$B$5:$B$489, B617, '📋 Detalle Diario'!$C$5:$C$489, D617) * 200), 0))</f>
        <v/>
      </c>
      <c r="P617" s="32" t="str">
        <f t="shared" si="68"/>
        <v/>
      </c>
      <c r="Q617" s="33" t="str">
        <f t="shared" si="69"/>
        <v/>
      </c>
    </row>
    <row r="618" spans="2:17" ht="18" customHeight="1" x14ac:dyDescent="0.3">
      <c r="B618" s="26"/>
      <c r="C618" s="17"/>
      <c r="D618" s="27"/>
      <c r="E618" s="18"/>
      <c r="F618" s="18"/>
      <c r="G618" s="18"/>
      <c r="H618" s="30" t="str">
        <f t="shared" si="63"/>
        <v/>
      </c>
      <c r="I618" s="31" t="str">
        <f>IF(OR(B618="",C618=""),"",IFERROR(E618*IF(E618="",0,VLOOKUP(C618,'📦 Precios Proforma'!$B$5:$D$104,IF(D618="DIA",2,3),FALSE)),0))</f>
        <v/>
      </c>
      <c r="J618" s="31" t="str">
        <f t="shared" si="64"/>
        <v/>
      </c>
      <c r="K618" s="31" t="str">
        <f t="shared" si="65"/>
        <v/>
      </c>
      <c r="L618" s="31" t="str">
        <f>IF(OR(B618="",C618=""),"",IFERROR(E618 / SUMIFS('📅 Resumen Diario'!$D$5:$D$504, '📅 Resumen Diario'!$B$5:$B$504, B618, '📅 Resumen Diario'!$C$5:$C$504, D618) * SUMIFS('📅 Resumen Diario'!$K$5:$K$504, '📅 Resumen Diario'!$B$5:$B$504, B618, '📅 Resumen Diario'!$C$5:$C$504, D618), 0))</f>
        <v/>
      </c>
      <c r="M618" s="31" t="str">
        <f t="shared" si="66"/>
        <v/>
      </c>
      <c r="N618" s="31" t="str">
        <f t="shared" si="67"/>
        <v/>
      </c>
      <c r="O618" s="31" t="str">
        <f>IF(OR(B618="",C618=""),"",K618-N618 + IFERROR(E618 / SUMIFS('📅 Resumen Diario'!$D$5:$D$504, '📅 Resumen Diario'!$B$5:$B$504, B618, '📅 Resumen Diario'!$C$5:$C$504, D618) * (SUMIFS('📋 Detalle Diario'!$E$5:$E$489, '📋 Detalle Diario'!$B$5:$B$489, B618, '📋 Detalle Diario'!$C$5:$C$489, D618) * 135 + SUMIFS('📋 Detalle Diario'!$I$5:$I$489, '📋 Detalle Diario'!$B$5:$B$489, B618, '📋 Detalle Diario'!$C$5:$C$489, D618) * 200), 0))</f>
        <v/>
      </c>
      <c r="P618" s="32" t="str">
        <f t="shared" si="68"/>
        <v/>
      </c>
      <c r="Q618" s="33" t="str">
        <f t="shared" si="69"/>
        <v/>
      </c>
    </row>
    <row r="619" spans="2:17" ht="18" customHeight="1" x14ac:dyDescent="0.3">
      <c r="B619" s="26"/>
      <c r="C619" s="28"/>
      <c r="D619" s="27"/>
      <c r="E619" s="29"/>
      <c r="F619" s="29"/>
      <c r="G619" s="29"/>
      <c r="H619" s="30" t="str">
        <f t="shared" si="63"/>
        <v/>
      </c>
      <c r="I619" s="31" t="str">
        <f>IF(OR(B619="",C619=""),"",IFERROR(E619*IF(E619="",0,VLOOKUP(C619,'📦 Precios Proforma'!$B$5:$D$104,IF(D619="DIA",2,3),FALSE)),0))</f>
        <v/>
      </c>
      <c r="J619" s="31" t="str">
        <f t="shared" si="64"/>
        <v/>
      </c>
      <c r="K619" s="31" t="str">
        <f t="shared" si="65"/>
        <v/>
      </c>
      <c r="L619" s="31" t="str">
        <f>IF(OR(B619="",C619=""),"",IFERROR(E619 / SUMIFS('📅 Resumen Diario'!$D$5:$D$504, '📅 Resumen Diario'!$B$5:$B$504, B619, '📅 Resumen Diario'!$C$5:$C$504, D619) * SUMIFS('📅 Resumen Diario'!$K$5:$K$504, '📅 Resumen Diario'!$B$5:$B$504, B619, '📅 Resumen Diario'!$C$5:$C$504, D619), 0))</f>
        <v/>
      </c>
      <c r="M619" s="31" t="str">
        <f t="shared" si="66"/>
        <v/>
      </c>
      <c r="N619" s="31" t="str">
        <f t="shared" si="67"/>
        <v/>
      </c>
      <c r="O619" s="31" t="str">
        <f>IF(OR(B619="",C619=""),"",K619-N619 + IFERROR(E619 / SUMIFS('📅 Resumen Diario'!$D$5:$D$504, '📅 Resumen Diario'!$B$5:$B$504, B619, '📅 Resumen Diario'!$C$5:$C$504, D619) * (SUMIFS('📋 Detalle Diario'!$E$5:$E$489, '📋 Detalle Diario'!$B$5:$B$489, B619, '📋 Detalle Diario'!$C$5:$C$489, D619) * 135 + SUMIFS('📋 Detalle Diario'!$I$5:$I$489, '📋 Detalle Diario'!$B$5:$B$489, B619, '📋 Detalle Diario'!$C$5:$C$489, D619) * 200), 0))</f>
        <v/>
      </c>
      <c r="P619" s="32" t="str">
        <f t="shared" si="68"/>
        <v/>
      </c>
      <c r="Q619" s="33" t="str">
        <f t="shared" si="69"/>
        <v/>
      </c>
    </row>
    <row r="620" spans="2:17" ht="18" customHeight="1" x14ac:dyDescent="0.3">
      <c r="B620" s="26"/>
      <c r="C620" s="17"/>
      <c r="D620" s="27"/>
      <c r="E620" s="18"/>
      <c r="F620" s="18"/>
      <c r="G620" s="18"/>
      <c r="H620" s="30" t="str">
        <f t="shared" si="63"/>
        <v/>
      </c>
      <c r="I620" s="31" t="str">
        <f>IF(OR(B620="",C620=""),"",IFERROR(E620*IF(E620="",0,VLOOKUP(C620,'📦 Precios Proforma'!$B$5:$D$104,IF(D620="DIA",2,3),FALSE)),0))</f>
        <v/>
      </c>
      <c r="J620" s="31" t="str">
        <f t="shared" si="64"/>
        <v/>
      </c>
      <c r="K620" s="31" t="str">
        <f t="shared" si="65"/>
        <v/>
      </c>
      <c r="L620" s="31" t="str">
        <f>IF(OR(B620="",C620=""),"",IFERROR(E620 / SUMIFS('📅 Resumen Diario'!$D$5:$D$504, '📅 Resumen Diario'!$B$5:$B$504, B620, '📅 Resumen Diario'!$C$5:$C$504, D620) * SUMIFS('📅 Resumen Diario'!$K$5:$K$504, '📅 Resumen Diario'!$B$5:$B$504, B620, '📅 Resumen Diario'!$C$5:$C$504, D620), 0))</f>
        <v/>
      </c>
      <c r="M620" s="31" t="str">
        <f t="shared" si="66"/>
        <v/>
      </c>
      <c r="N620" s="31" t="str">
        <f t="shared" si="67"/>
        <v/>
      </c>
      <c r="O620" s="31" t="str">
        <f>IF(OR(B620="",C620=""),"",K620-N620 + IFERROR(E620 / SUMIFS('📅 Resumen Diario'!$D$5:$D$504, '📅 Resumen Diario'!$B$5:$B$504, B620, '📅 Resumen Diario'!$C$5:$C$504, D620) * (SUMIFS('📋 Detalle Diario'!$E$5:$E$489, '📋 Detalle Diario'!$B$5:$B$489, B620, '📋 Detalle Diario'!$C$5:$C$489, D620) * 135 + SUMIFS('📋 Detalle Diario'!$I$5:$I$489, '📋 Detalle Diario'!$B$5:$B$489, B620, '📋 Detalle Diario'!$C$5:$C$489, D620) * 200), 0))</f>
        <v/>
      </c>
      <c r="P620" s="32" t="str">
        <f t="shared" si="68"/>
        <v/>
      </c>
      <c r="Q620" s="33" t="str">
        <f t="shared" si="69"/>
        <v/>
      </c>
    </row>
    <row r="621" spans="2:17" ht="18" customHeight="1" x14ac:dyDescent="0.3">
      <c r="B621" s="26"/>
      <c r="C621" s="28"/>
      <c r="D621" s="27"/>
      <c r="E621" s="29"/>
      <c r="F621" s="29"/>
      <c r="G621" s="29"/>
      <c r="H621" s="30" t="str">
        <f t="shared" si="63"/>
        <v/>
      </c>
      <c r="I621" s="31" t="str">
        <f>IF(OR(B621="",C621=""),"",IFERROR(E621*IF(E621="",0,VLOOKUP(C621,'📦 Precios Proforma'!$B$5:$D$104,IF(D621="DIA",2,3),FALSE)),0))</f>
        <v/>
      </c>
      <c r="J621" s="31" t="str">
        <f t="shared" si="64"/>
        <v/>
      </c>
      <c r="K621" s="31" t="str">
        <f t="shared" si="65"/>
        <v/>
      </c>
      <c r="L621" s="31" t="str">
        <f>IF(OR(B621="",C621=""),"",IFERROR(E621 / SUMIFS('📅 Resumen Diario'!$D$5:$D$504, '📅 Resumen Diario'!$B$5:$B$504, B621, '📅 Resumen Diario'!$C$5:$C$504, D621) * SUMIFS('📅 Resumen Diario'!$K$5:$K$504, '📅 Resumen Diario'!$B$5:$B$504, B621, '📅 Resumen Diario'!$C$5:$C$504, D621), 0))</f>
        <v/>
      </c>
      <c r="M621" s="31" t="str">
        <f t="shared" si="66"/>
        <v/>
      </c>
      <c r="N621" s="31" t="str">
        <f t="shared" si="67"/>
        <v/>
      </c>
      <c r="O621" s="31" t="str">
        <f>IF(OR(B621="",C621=""),"",K621-N621 + IFERROR(E621 / SUMIFS('📅 Resumen Diario'!$D$5:$D$504, '📅 Resumen Diario'!$B$5:$B$504, B621, '📅 Resumen Diario'!$C$5:$C$504, D621) * (SUMIFS('📋 Detalle Diario'!$E$5:$E$489, '📋 Detalle Diario'!$B$5:$B$489, B621, '📋 Detalle Diario'!$C$5:$C$489, D621) * 135 + SUMIFS('📋 Detalle Diario'!$I$5:$I$489, '📋 Detalle Diario'!$B$5:$B$489, B621, '📋 Detalle Diario'!$C$5:$C$489, D621) * 200), 0))</f>
        <v/>
      </c>
      <c r="P621" s="32" t="str">
        <f t="shared" si="68"/>
        <v/>
      </c>
      <c r="Q621" s="33" t="str">
        <f t="shared" si="69"/>
        <v/>
      </c>
    </row>
    <row r="622" spans="2:17" ht="18" customHeight="1" x14ac:dyDescent="0.3">
      <c r="B622" s="26"/>
      <c r="C622" s="17"/>
      <c r="D622" s="27"/>
      <c r="E622" s="18"/>
      <c r="F622" s="18"/>
      <c r="G622" s="18"/>
      <c r="H622" s="30" t="str">
        <f t="shared" si="63"/>
        <v/>
      </c>
      <c r="I622" s="31" t="str">
        <f>IF(OR(B622="",C622=""),"",IFERROR(E622*IF(E622="",0,VLOOKUP(C622,'📦 Precios Proforma'!$B$5:$D$104,IF(D622="DIA",2,3),FALSE)),0))</f>
        <v/>
      </c>
      <c r="J622" s="31" t="str">
        <f t="shared" si="64"/>
        <v/>
      </c>
      <c r="K622" s="31" t="str">
        <f t="shared" si="65"/>
        <v/>
      </c>
      <c r="L622" s="31" t="str">
        <f>IF(OR(B622="",C622=""),"",IFERROR(E622 / SUMIFS('📅 Resumen Diario'!$D$5:$D$504, '📅 Resumen Diario'!$B$5:$B$504, B622, '📅 Resumen Diario'!$C$5:$C$504, D622) * SUMIFS('📅 Resumen Diario'!$K$5:$K$504, '📅 Resumen Diario'!$B$5:$B$504, B622, '📅 Resumen Diario'!$C$5:$C$504, D622), 0))</f>
        <v/>
      </c>
      <c r="M622" s="31" t="str">
        <f t="shared" si="66"/>
        <v/>
      </c>
      <c r="N622" s="31" t="str">
        <f t="shared" si="67"/>
        <v/>
      </c>
      <c r="O622" s="31" t="str">
        <f>IF(OR(B622="",C622=""),"",K622-N622 + IFERROR(E622 / SUMIFS('📅 Resumen Diario'!$D$5:$D$504, '📅 Resumen Diario'!$B$5:$B$504, B622, '📅 Resumen Diario'!$C$5:$C$504, D622) * (SUMIFS('📋 Detalle Diario'!$E$5:$E$489, '📋 Detalle Diario'!$B$5:$B$489, B622, '📋 Detalle Diario'!$C$5:$C$489, D622) * 135 + SUMIFS('📋 Detalle Diario'!$I$5:$I$489, '📋 Detalle Diario'!$B$5:$B$489, B622, '📋 Detalle Diario'!$C$5:$C$489, D622) * 200), 0))</f>
        <v/>
      </c>
      <c r="P622" s="32" t="str">
        <f t="shared" si="68"/>
        <v/>
      </c>
      <c r="Q622" s="33" t="str">
        <f t="shared" si="69"/>
        <v/>
      </c>
    </row>
    <row r="623" spans="2:17" ht="18" customHeight="1" x14ac:dyDescent="0.3">
      <c r="B623" s="26"/>
      <c r="C623" s="28"/>
      <c r="D623" s="27"/>
      <c r="E623" s="29"/>
      <c r="F623" s="29"/>
      <c r="G623" s="29"/>
      <c r="H623" s="30" t="str">
        <f t="shared" si="63"/>
        <v/>
      </c>
      <c r="I623" s="31" t="str">
        <f>IF(OR(B623="",C623=""),"",IFERROR(E623*IF(E623="",0,VLOOKUP(C623,'📦 Precios Proforma'!$B$5:$D$104,IF(D623="DIA",2,3),FALSE)),0))</f>
        <v/>
      </c>
      <c r="J623" s="31" t="str">
        <f t="shared" si="64"/>
        <v/>
      </c>
      <c r="K623" s="31" t="str">
        <f t="shared" si="65"/>
        <v/>
      </c>
      <c r="L623" s="31" t="str">
        <f>IF(OR(B623="",C623=""),"",IFERROR(E623 / SUMIFS('📅 Resumen Diario'!$D$5:$D$504, '📅 Resumen Diario'!$B$5:$B$504, B623, '📅 Resumen Diario'!$C$5:$C$504, D623) * SUMIFS('📅 Resumen Diario'!$K$5:$K$504, '📅 Resumen Diario'!$B$5:$B$504, B623, '📅 Resumen Diario'!$C$5:$C$504, D623), 0))</f>
        <v/>
      </c>
      <c r="M623" s="31" t="str">
        <f t="shared" si="66"/>
        <v/>
      </c>
      <c r="N623" s="31" t="str">
        <f t="shared" si="67"/>
        <v/>
      </c>
      <c r="O623" s="31" t="str">
        <f>IF(OR(B623="",C623=""),"",K623-N623 + IFERROR(E623 / SUMIFS('📅 Resumen Diario'!$D$5:$D$504, '📅 Resumen Diario'!$B$5:$B$504, B623, '📅 Resumen Diario'!$C$5:$C$504, D623) * (SUMIFS('📋 Detalle Diario'!$E$5:$E$489, '📋 Detalle Diario'!$B$5:$B$489, B623, '📋 Detalle Diario'!$C$5:$C$489, D623) * 135 + SUMIFS('📋 Detalle Diario'!$I$5:$I$489, '📋 Detalle Diario'!$B$5:$B$489, B623, '📋 Detalle Diario'!$C$5:$C$489, D623) * 200), 0))</f>
        <v/>
      </c>
      <c r="P623" s="32" t="str">
        <f t="shared" si="68"/>
        <v/>
      </c>
      <c r="Q623" s="33" t="str">
        <f t="shared" si="69"/>
        <v/>
      </c>
    </row>
    <row r="624" spans="2:17" ht="18" customHeight="1" x14ac:dyDescent="0.3">
      <c r="B624" s="26"/>
      <c r="C624" s="17"/>
      <c r="D624" s="27"/>
      <c r="E624" s="18"/>
      <c r="F624" s="18"/>
      <c r="G624" s="18"/>
      <c r="H624" s="30" t="str">
        <f t="shared" si="63"/>
        <v/>
      </c>
      <c r="I624" s="31" t="str">
        <f>IF(OR(B624="",C624=""),"",IFERROR(E624*IF(E624="",0,VLOOKUP(C624,'📦 Precios Proforma'!$B$5:$D$104,IF(D624="DIA",2,3),FALSE)),0))</f>
        <v/>
      </c>
      <c r="J624" s="31" t="str">
        <f t="shared" si="64"/>
        <v/>
      </c>
      <c r="K624" s="31" t="str">
        <f t="shared" si="65"/>
        <v/>
      </c>
      <c r="L624" s="31" t="str">
        <f>IF(OR(B624="",C624=""),"",IFERROR(E624 / SUMIFS('📅 Resumen Diario'!$D$5:$D$504, '📅 Resumen Diario'!$B$5:$B$504, B624, '📅 Resumen Diario'!$C$5:$C$504, D624) * SUMIFS('📅 Resumen Diario'!$K$5:$K$504, '📅 Resumen Diario'!$B$5:$B$504, B624, '📅 Resumen Diario'!$C$5:$C$504, D624), 0))</f>
        <v/>
      </c>
      <c r="M624" s="31" t="str">
        <f t="shared" si="66"/>
        <v/>
      </c>
      <c r="N624" s="31" t="str">
        <f t="shared" si="67"/>
        <v/>
      </c>
      <c r="O624" s="31" t="str">
        <f>IF(OR(B624="",C624=""),"",K624-N624 + IFERROR(E624 / SUMIFS('📅 Resumen Diario'!$D$5:$D$504, '📅 Resumen Diario'!$B$5:$B$504, B624, '📅 Resumen Diario'!$C$5:$C$504, D624) * (SUMIFS('📋 Detalle Diario'!$E$5:$E$489, '📋 Detalle Diario'!$B$5:$B$489, B624, '📋 Detalle Diario'!$C$5:$C$489, D624) * 135 + SUMIFS('📋 Detalle Diario'!$I$5:$I$489, '📋 Detalle Diario'!$B$5:$B$489, B624, '📋 Detalle Diario'!$C$5:$C$489, D624) * 200), 0))</f>
        <v/>
      </c>
      <c r="P624" s="32" t="str">
        <f t="shared" si="68"/>
        <v/>
      </c>
      <c r="Q624" s="33" t="str">
        <f t="shared" si="69"/>
        <v/>
      </c>
    </row>
    <row r="625" spans="2:17" ht="18" customHeight="1" x14ac:dyDescent="0.3">
      <c r="B625" s="26"/>
      <c r="C625" s="28"/>
      <c r="D625" s="27"/>
      <c r="E625" s="29"/>
      <c r="F625" s="29"/>
      <c r="G625" s="29"/>
      <c r="H625" s="30" t="str">
        <f t="shared" si="63"/>
        <v/>
      </c>
      <c r="I625" s="31" t="str">
        <f>IF(OR(B625="",C625=""),"",IFERROR(E625*IF(E625="",0,VLOOKUP(C625,'📦 Precios Proforma'!$B$5:$D$104,IF(D625="DIA",2,3),FALSE)),0))</f>
        <v/>
      </c>
      <c r="J625" s="31" t="str">
        <f t="shared" si="64"/>
        <v/>
      </c>
      <c r="K625" s="31" t="str">
        <f t="shared" si="65"/>
        <v/>
      </c>
      <c r="L625" s="31" t="str">
        <f>IF(OR(B625="",C625=""),"",IFERROR(E625 / SUMIFS('📅 Resumen Diario'!$D$5:$D$504, '📅 Resumen Diario'!$B$5:$B$504, B625, '📅 Resumen Diario'!$C$5:$C$504, D625) * SUMIFS('📅 Resumen Diario'!$K$5:$K$504, '📅 Resumen Diario'!$B$5:$B$504, B625, '📅 Resumen Diario'!$C$5:$C$504, D625), 0))</f>
        <v/>
      </c>
      <c r="M625" s="31" t="str">
        <f t="shared" si="66"/>
        <v/>
      </c>
      <c r="N625" s="31" t="str">
        <f t="shared" si="67"/>
        <v/>
      </c>
      <c r="O625" s="31" t="str">
        <f>IF(OR(B625="",C625=""),"",K625-N625 + IFERROR(E625 / SUMIFS('📅 Resumen Diario'!$D$5:$D$504, '📅 Resumen Diario'!$B$5:$B$504, B625, '📅 Resumen Diario'!$C$5:$C$504, D625) * (SUMIFS('📋 Detalle Diario'!$E$5:$E$489, '📋 Detalle Diario'!$B$5:$B$489, B625, '📋 Detalle Diario'!$C$5:$C$489, D625) * 135 + SUMIFS('📋 Detalle Diario'!$I$5:$I$489, '📋 Detalle Diario'!$B$5:$B$489, B625, '📋 Detalle Diario'!$C$5:$C$489, D625) * 200), 0))</f>
        <v/>
      </c>
      <c r="P625" s="32" t="str">
        <f t="shared" si="68"/>
        <v/>
      </c>
      <c r="Q625" s="33" t="str">
        <f t="shared" si="69"/>
        <v/>
      </c>
    </row>
    <row r="626" spans="2:17" ht="18" customHeight="1" x14ac:dyDescent="0.3">
      <c r="B626" s="26"/>
      <c r="C626" s="17"/>
      <c r="D626" s="27"/>
      <c r="E626" s="18"/>
      <c r="F626" s="18"/>
      <c r="G626" s="18"/>
      <c r="H626" s="30" t="str">
        <f t="shared" si="63"/>
        <v/>
      </c>
      <c r="I626" s="31" t="str">
        <f>IF(OR(B626="",C626=""),"",IFERROR(E626*IF(E626="",0,VLOOKUP(C626,'📦 Precios Proforma'!$B$5:$D$104,IF(D626="DIA",2,3),FALSE)),0))</f>
        <v/>
      </c>
      <c r="J626" s="31" t="str">
        <f t="shared" si="64"/>
        <v/>
      </c>
      <c r="K626" s="31" t="str">
        <f t="shared" si="65"/>
        <v/>
      </c>
      <c r="L626" s="31" t="str">
        <f>IF(OR(B626="",C626=""),"",IFERROR(E626 / SUMIFS('📅 Resumen Diario'!$D$5:$D$504, '📅 Resumen Diario'!$B$5:$B$504, B626, '📅 Resumen Diario'!$C$5:$C$504, D626) * SUMIFS('📅 Resumen Diario'!$K$5:$K$504, '📅 Resumen Diario'!$B$5:$B$504, B626, '📅 Resumen Diario'!$C$5:$C$504, D626), 0))</f>
        <v/>
      </c>
      <c r="M626" s="31" t="str">
        <f t="shared" si="66"/>
        <v/>
      </c>
      <c r="N626" s="31" t="str">
        <f t="shared" si="67"/>
        <v/>
      </c>
      <c r="O626" s="31" t="str">
        <f>IF(OR(B626="",C626=""),"",K626-N626 + IFERROR(E626 / SUMIFS('📅 Resumen Diario'!$D$5:$D$504, '📅 Resumen Diario'!$B$5:$B$504, B626, '📅 Resumen Diario'!$C$5:$C$504, D626) * (SUMIFS('📋 Detalle Diario'!$E$5:$E$489, '📋 Detalle Diario'!$B$5:$B$489, B626, '📋 Detalle Diario'!$C$5:$C$489, D626) * 135 + SUMIFS('📋 Detalle Diario'!$I$5:$I$489, '📋 Detalle Diario'!$B$5:$B$489, B626, '📋 Detalle Diario'!$C$5:$C$489, D626) * 200), 0))</f>
        <v/>
      </c>
      <c r="P626" s="32" t="str">
        <f t="shared" si="68"/>
        <v/>
      </c>
      <c r="Q626" s="33" t="str">
        <f t="shared" si="69"/>
        <v/>
      </c>
    </row>
    <row r="627" spans="2:17" ht="18" customHeight="1" x14ac:dyDescent="0.3">
      <c r="B627" s="26"/>
      <c r="C627" s="28"/>
      <c r="D627" s="27"/>
      <c r="E627" s="29"/>
      <c r="F627" s="29"/>
      <c r="G627" s="29"/>
      <c r="H627" s="30" t="str">
        <f t="shared" si="63"/>
        <v/>
      </c>
      <c r="I627" s="31" t="str">
        <f>IF(OR(B627="",C627=""),"",IFERROR(E627*IF(E627="",0,VLOOKUP(C627,'📦 Precios Proforma'!$B$5:$D$104,IF(D627="DIA",2,3),FALSE)),0))</f>
        <v/>
      </c>
      <c r="J627" s="31" t="str">
        <f t="shared" si="64"/>
        <v/>
      </c>
      <c r="K627" s="31" t="str">
        <f t="shared" si="65"/>
        <v/>
      </c>
      <c r="L627" s="31" t="str">
        <f>IF(OR(B627="",C627=""),"",IFERROR(E627 / SUMIFS('📅 Resumen Diario'!$D$5:$D$504, '📅 Resumen Diario'!$B$5:$B$504, B627, '📅 Resumen Diario'!$C$5:$C$504, D627) * SUMIFS('📅 Resumen Diario'!$K$5:$K$504, '📅 Resumen Diario'!$B$5:$B$504, B627, '📅 Resumen Diario'!$C$5:$C$504, D627), 0))</f>
        <v/>
      </c>
      <c r="M627" s="31" t="str">
        <f t="shared" si="66"/>
        <v/>
      </c>
      <c r="N627" s="31" t="str">
        <f t="shared" si="67"/>
        <v/>
      </c>
      <c r="O627" s="31" t="str">
        <f>IF(OR(B627="",C627=""),"",K627-N627 + IFERROR(E627 / SUMIFS('📅 Resumen Diario'!$D$5:$D$504, '📅 Resumen Diario'!$B$5:$B$504, B627, '📅 Resumen Diario'!$C$5:$C$504, D627) * (SUMIFS('📋 Detalle Diario'!$E$5:$E$489, '📋 Detalle Diario'!$B$5:$B$489, B627, '📋 Detalle Diario'!$C$5:$C$489, D627) * 135 + SUMIFS('📋 Detalle Diario'!$I$5:$I$489, '📋 Detalle Diario'!$B$5:$B$489, B627, '📋 Detalle Diario'!$C$5:$C$489, D627) * 200), 0))</f>
        <v/>
      </c>
      <c r="P627" s="32" t="str">
        <f t="shared" si="68"/>
        <v/>
      </c>
      <c r="Q627" s="33" t="str">
        <f t="shared" si="69"/>
        <v/>
      </c>
    </row>
    <row r="628" spans="2:17" ht="18" customHeight="1" x14ac:dyDescent="0.3">
      <c r="B628" s="26"/>
      <c r="C628" s="17"/>
      <c r="D628" s="27"/>
      <c r="E628" s="18"/>
      <c r="F628" s="18"/>
      <c r="G628" s="18"/>
      <c r="H628" s="30" t="str">
        <f t="shared" si="63"/>
        <v/>
      </c>
      <c r="I628" s="31" t="str">
        <f>IF(OR(B628="",C628=""),"",IFERROR(E628*IF(E628="",0,VLOOKUP(C628,'📦 Precios Proforma'!$B$5:$D$104,IF(D628="DIA",2,3),FALSE)),0))</f>
        <v/>
      </c>
      <c r="J628" s="31" t="str">
        <f t="shared" si="64"/>
        <v/>
      </c>
      <c r="K628" s="31" t="str">
        <f t="shared" si="65"/>
        <v/>
      </c>
      <c r="L628" s="31" t="str">
        <f>IF(OR(B628="",C628=""),"",IFERROR(E628 / SUMIFS('📅 Resumen Diario'!$D$5:$D$504, '📅 Resumen Diario'!$B$5:$B$504, B628, '📅 Resumen Diario'!$C$5:$C$504, D628) * SUMIFS('📅 Resumen Diario'!$K$5:$K$504, '📅 Resumen Diario'!$B$5:$B$504, B628, '📅 Resumen Diario'!$C$5:$C$504, D628), 0))</f>
        <v/>
      </c>
      <c r="M628" s="31" t="str">
        <f t="shared" si="66"/>
        <v/>
      </c>
      <c r="N628" s="31" t="str">
        <f t="shared" si="67"/>
        <v/>
      </c>
      <c r="O628" s="31" t="str">
        <f>IF(OR(B628="",C628=""),"",K628-N628 + IFERROR(E628 / SUMIFS('📅 Resumen Diario'!$D$5:$D$504, '📅 Resumen Diario'!$B$5:$B$504, B628, '📅 Resumen Diario'!$C$5:$C$504, D628) * (SUMIFS('📋 Detalle Diario'!$E$5:$E$489, '📋 Detalle Diario'!$B$5:$B$489, B628, '📋 Detalle Diario'!$C$5:$C$489, D628) * 135 + SUMIFS('📋 Detalle Diario'!$I$5:$I$489, '📋 Detalle Diario'!$B$5:$B$489, B628, '📋 Detalle Diario'!$C$5:$C$489, D628) * 200), 0))</f>
        <v/>
      </c>
      <c r="P628" s="32" t="str">
        <f t="shared" si="68"/>
        <v/>
      </c>
      <c r="Q628" s="33" t="str">
        <f t="shared" si="69"/>
        <v/>
      </c>
    </row>
    <row r="629" spans="2:17" ht="18" customHeight="1" x14ac:dyDescent="0.3">
      <c r="B629" s="26"/>
      <c r="C629" s="28"/>
      <c r="D629" s="27"/>
      <c r="E629" s="29"/>
      <c r="F629" s="29"/>
      <c r="G629" s="29"/>
      <c r="H629" s="30" t="str">
        <f t="shared" si="63"/>
        <v/>
      </c>
      <c r="I629" s="31" t="str">
        <f>IF(OR(B629="",C629=""),"",IFERROR(E629*IF(E629="",0,VLOOKUP(C629,'📦 Precios Proforma'!$B$5:$D$104,IF(D629="DIA",2,3),FALSE)),0))</f>
        <v/>
      </c>
      <c r="J629" s="31" t="str">
        <f t="shared" si="64"/>
        <v/>
      </c>
      <c r="K629" s="31" t="str">
        <f t="shared" si="65"/>
        <v/>
      </c>
      <c r="L629" s="31" t="str">
        <f>IF(OR(B629="",C629=""),"",IFERROR(E629 / SUMIFS('📅 Resumen Diario'!$D$5:$D$504, '📅 Resumen Diario'!$B$5:$B$504, B629, '📅 Resumen Diario'!$C$5:$C$504, D629) * SUMIFS('📅 Resumen Diario'!$K$5:$K$504, '📅 Resumen Diario'!$B$5:$B$504, B629, '📅 Resumen Diario'!$C$5:$C$504, D629), 0))</f>
        <v/>
      </c>
      <c r="M629" s="31" t="str">
        <f t="shared" si="66"/>
        <v/>
      </c>
      <c r="N629" s="31" t="str">
        <f t="shared" si="67"/>
        <v/>
      </c>
      <c r="O629" s="31" t="str">
        <f>IF(OR(B629="",C629=""),"",K629-N629 + IFERROR(E629 / SUMIFS('📅 Resumen Diario'!$D$5:$D$504, '📅 Resumen Diario'!$B$5:$B$504, B629, '📅 Resumen Diario'!$C$5:$C$504, D629) * (SUMIFS('📋 Detalle Diario'!$E$5:$E$489, '📋 Detalle Diario'!$B$5:$B$489, B629, '📋 Detalle Diario'!$C$5:$C$489, D629) * 135 + SUMIFS('📋 Detalle Diario'!$I$5:$I$489, '📋 Detalle Diario'!$B$5:$B$489, B629, '📋 Detalle Diario'!$C$5:$C$489, D629) * 200), 0))</f>
        <v/>
      </c>
      <c r="P629" s="32" t="str">
        <f t="shared" si="68"/>
        <v/>
      </c>
      <c r="Q629" s="33" t="str">
        <f t="shared" si="69"/>
        <v/>
      </c>
    </row>
    <row r="630" spans="2:17" ht="18" customHeight="1" x14ac:dyDescent="0.3">
      <c r="B630" s="26"/>
      <c r="C630" s="17"/>
      <c r="D630" s="27"/>
      <c r="E630" s="18"/>
      <c r="F630" s="18"/>
      <c r="G630" s="18"/>
      <c r="H630" s="30" t="str">
        <f t="shared" si="63"/>
        <v/>
      </c>
      <c r="I630" s="31" t="str">
        <f>IF(OR(B630="",C630=""),"",IFERROR(E630*IF(E630="",0,VLOOKUP(C630,'📦 Precios Proforma'!$B$5:$D$104,IF(D630="DIA",2,3),FALSE)),0))</f>
        <v/>
      </c>
      <c r="J630" s="31" t="str">
        <f t="shared" si="64"/>
        <v/>
      </c>
      <c r="K630" s="31" t="str">
        <f t="shared" si="65"/>
        <v/>
      </c>
      <c r="L630" s="31" t="str">
        <f>IF(OR(B630="",C630=""),"",IFERROR(E630 / SUMIFS('📅 Resumen Diario'!$D$5:$D$504, '📅 Resumen Diario'!$B$5:$B$504, B630, '📅 Resumen Diario'!$C$5:$C$504, D630) * SUMIFS('📅 Resumen Diario'!$K$5:$K$504, '📅 Resumen Diario'!$B$5:$B$504, B630, '📅 Resumen Diario'!$C$5:$C$504, D630), 0))</f>
        <v/>
      </c>
      <c r="M630" s="31" t="str">
        <f t="shared" si="66"/>
        <v/>
      </c>
      <c r="N630" s="31" t="str">
        <f t="shared" si="67"/>
        <v/>
      </c>
      <c r="O630" s="31" t="str">
        <f>IF(OR(B630="",C630=""),"",K630-N630 + IFERROR(E630 / SUMIFS('📅 Resumen Diario'!$D$5:$D$504, '📅 Resumen Diario'!$B$5:$B$504, B630, '📅 Resumen Diario'!$C$5:$C$504, D630) * (SUMIFS('📋 Detalle Diario'!$E$5:$E$489, '📋 Detalle Diario'!$B$5:$B$489, B630, '📋 Detalle Diario'!$C$5:$C$489, D630) * 135 + SUMIFS('📋 Detalle Diario'!$I$5:$I$489, '📋 Detalle Diario'!$B$5:$B$489, B630, '📋 Detalle Diario'!$C$5:$C$489, D630) * 200), 0))</f>
        <v/>
      </c>
      <c r="P630" s="32" t="str">
        <f t="shared" si="68"/>
        <v/>
      </c>
      <c r="Q630" s="33" t="str">
        <f t="shared" si="69"/>
        <v/>
      </c>
    </row>
    <row r="631" spans="2:17" ht="18" customHeight="1" x14ac:dyDescent="0.3">
      <c r="B631" s="26"/>
      <c r="C631" s="28"/>
      <c r="D631" s="27"/>
      <c r="E631" s="29"/>
      <c r="F631" s="29"/>
      <c r="G631" s="29"/>
      <c r="H631" s="30" t="str">
        <f t="shared" si="63"/>
        <v/>
      </c>
      <c r="I631" s="31" t="str">
        <f>IF(OR(B631="",C631=""),"",IFERROR(E631*IF(E631="",0,VLOOKUP(C631,'📦 Precios Proforma'!$B$5:$D$104,IF(D631="DIA",2,3),FALSE)),0))</f>
        <v/>
      </c>
      <c r="J631" s="31" t="str">
        <f t="shared" si="64"/>
        <v/>
      </c>
      <c r="K631" s="31" t="str">
        <f t="shared" si="65"/>
        <v/>
      </c>
      <c r="L631" s="31" t="str">
        <f>IF(OR(B631="",C631=""),"",IFERROR(E631 / SUMIFS('📅 Resumen Diario'!$D$5:$D$504, '📅 Resumen Diario'!$B$5:$B$504, B631, '📅 Resumen Diario'!$C$5:$C$504, D631) * SUMIFS('📅 Resumen Diario'!$K$5:$K$504, '📅 Resumen Diario'!$B$5:$B$504, B631, '📅 Resumen Diario'!$C$5:$C$504, D631), 0))</f>
        <v/>
      </c>
      <c r="M631" s="31" t="str">
        <f t="shared" si="66"/>
        <v/>
      </c>
      <c r="N631" s="31" t="str">
        <f t="shared" si="67"/>
        <v/>
      </c>
      <c r="O631" s="31" t="str">
        <f>IF(OR(B631="",C631=""),"",K631-N631 + IFERROR(E631 / SUMIFS('📅 Resumen Diario'!$D$5:$D$504, '📅 Resumen Diario'!$B$5:$B$504, B631, '📅 Resumen Diario'!$C$5:$C$504, D631) * (SUMIFS('📋 Detalle Diario'!$E$5:$E$489, '📋 Detalle Diario'!$B$5:$B$489, B631, '📋 Detalle Diario'!$C$5:$C$489, D631) * 135 + SUMIFS('📋 Detalle Diario'!$I$5:$I$489, '📋 Detalle Diario'!$B$5:$B$489, B631, '📋 Detalle Diario'!$C$5:$C$489, D631) * 200), 0))</f>
        <v/>
      </c>
      <c r="P631" s="32" t="str">
        <f t="shared" si="68"/>
        <v/>
      </c>
      <c r="Q631" s="33" t="str">
        <f t="shared" si="69"/>
        <v/>
      </c>
    </row>
    <row r="632" spans="2:17" ht="18" customHeight="1" x14ac:dyDescent="0.3">
      <c r="B632" s="26"/>
      <c r="C632" s="17"/>
      <c r="D632" s="27"/>
      <c r="E632" s="18"/>
      <c r="F632" s="18"/>
      <c r="G632" s="18"/>
      <c r="H632" s="30" t="str">
        <f t="shared" si="63"/>
        <v/>
      </c>
      <c r="I632" s="31" t="str">
        <f>IF(OR(B632="",C632=""),"",IFERROR(E632*IF(E632="",0,VLOOKUP(C632,'📦 Precios Proforma'!$B$5:$D$104,IF(D632="DIA",2,3),FALSE)),0))</f>
        <v/>
      </c>
      <c r="J632" s="31" t="str">
        <f t="shared" si="64"/>
        <v/>
      </c>
      <c r="K632" s="31" t="str">
        <f t="shared" si="65"/>
        <v/>
      </c>
      <c r="L632" s="31" t="str">
        <f>IF(OR(B632="",C632=""),"",IFERROR(E632 / SUMIFS('📅 Resumen Diario'!$D$5:$D$504, '📅 Resumen Diario'!$B$5:$B$504, B632, '📅 Resumen Diario'!$C$5:$C$504, D632) * SUMIFS('📅 Resumen Diario'!$K$5:$K$504, '📅 Resumen Diario'!$B$5:$B$504, B632, '📅 Resumen Diario'!$C$5:$C$504, D632), 0))</f>
        <v/>
      </c>
      <c r="M632" s="31" t="str">
        <f t="shared" si="66"/>
        <v/>
      </c>
      <c r="N632" s="31" t="str">
        <f t="shared" si="67"/>
        <v/>
      </c>
      <c r="O632" s="31" t="str">
        <f>IF(OR(B632="",C632=""),"",K632-N632 + IFERROR(E632 / SUMIFS('📅 Resumen Diario'!$D$5:$D$504, '📅 Resumen Diario'!$B$5:$B$504, B632, '📅 Resumen Diario'!$C$5:$C$504, D632) * (SUMIFS('📋 Detalle Diario'!$E$5:$E$489, '📋 Detalle Diario'!$B$5:$B$489, B632, '📋 Detalle Diario'!$C$5:$C$489, D632) * 135 + SUMIFS('📋 Detalle Diario'!$I$5:$I$489, '📋 Detalle Diario'!$B$5:$B$489, B632, '📋 Detalle Diario'!$C$5:$C$489, D632) * 200), 0))</f>
        <v/>
      </c>
      <c r="P632" s="32" t="str">
        <f t="shared" si="68"/>
        <v/>
      </c>
      <c r="Q632" s="33" t="str">
        <f t="shared" si="69"/>
        <v/>
      </c>
    </row>
    <row r="633" spans="2:17" ht="18" customHeight="1" x14ac:dyDescent="0.3">
      <c r="B633" s="26"/>
      <c r="C633" s="28"/>
      <c r="D633" s="27"/>
      <c r="E633" s="29"/>
      <c r="F633" s="29"/>
      <c r="G633" s="29"/>
      <c r="H633" s="30" t="str">
        <f t="shared" si="63"/>
        <v/>
      </c>
      <c r="I633" s="31" t="str">
        <f>IF(OR(B633="",C633=""),"",IFERROR(E633*IF(E633="",0,VLOOKUP(C633,'📦 Precios Proforma'!$B$5:$D$104,IF(D633="DIA",2,3),FALSE)),0))</f>
        <v/>
      </c>
      <c r="J633" s="31" t="str">
        <f t="shared" si="64"/>
        <v/>
      </c>
      <c r="K633" s="31" t="str">
        <f t="shared" si="65"/>
        <v/>
      </c>
      <c r="L633" s="31" t="str">
        <f>IF(OR(B633="",C633=""),"",IFERROR(E633 / SUMIFS('📅 Resumen Diario'!$D$5:$D$504, '📅 Resumen Diario'!$B$5:$B$504, B633, '📅 Resumen Diario'!$C$5:$C$504, D633) * SUMIFS('📅 Resumen Diario'!$K$5:$K$504, '📅 Resumen Diario'!$B$5:$B$504, B633, '📅 Resumen Diario'!$C$5:$C$504, D633), 0))</f>
        <v/>
      </c>
      <c r="M633" s="31" t="str">
        <f t="shared" si="66"/>
        <v/>
      </c>
      <c r="N633" s="31" t="str">
        <f t="shared" si="67"/>
        <v/>
      </c>
      <c r="O633" s="31" t="str">
        <f>IF(OR(B633="",C633=""),"",K633-N633 + IFERROR(E633 / SUMIFS('📅 Resumen Diario'!$D$5:$D$504, '📅 Resumen Diario'!$B$5:$B$504, B633, '📅 Resumen Diario'!$C$5:$C$504, D633) * (SUMIFS('📋 Detalle Diario'!$E$5:$E$489, '📋 Detalle Diario'!$B$5:$B$489, B633, '📋 Detalle Diario'!$C$5:$C$489, D633) * 135 + SUMIFS('📋 Detalle Diario'!$I$5:$I$489, '📋 Detalle Diario'!$B$5:$B$489, B633, '📋 Detalle Diario'!$C$5:$C$489, D633) * 200), 0))</f>
        <v/>
      </c>
      <c r="P633" s="32" t="str">
        <f t="shared" si="68"/>
        <v/>
      </c>
      <c r="Q633" s="33" t="str">
        <f t="shared" si="69"/>
        <v/>
      </c>
    </row>
    <row r="634" spans="2:17" ht="18" customHeight="1" x14ac:dyDescent="0.3">
      <c r="B634" s="26"/>
      <c r="C634" s="17"/>
      <c r="D634" s="27"/>
      <c r="E634" s="18"/>
      <c r="F634" s="18"/>
      <c r="G634" s="18"/>
      <c r="H634" s="30" t="str">
        <f t="shared" si="63"/>
        <v/>
      </c>
      <c r="I634" s="31" t="str">
        <f>IF(OR(B634="",C634=""),"",IFERROR(E634*IF(E634="",0,VLOOKUP(C634,'📦 Precios Proforma'!$B$5:$D$104,IF(D634="DIA",2,3),FALSE)),0))</f>
        <v/>
      </c>
      <c r="J634" s="31" t="str">
        <f t="shared" si="64"/>
        <v/>
      </c>
      <c r="K634" s="31" t="str">
        <f t="shared" si="65"/>
        <v/>
      </c>
      <c r="L634" s="31" t="str">
        <f>IF(OR(B634="",C634=""),"",IFERROR(E634 / SUMIFS('📅 Resumen Diario'!$D$5:$D$504, '📅 Resumen Diario'!$B$5:$B$504, B634, '📅 Resumen Diario'!$C$5:$C$504, D634) * SUMIFS('📅 Resumen Diario'!$K$5:$K$504, '📅 Resumen Diario'!$B$5:$B$504, B634, '📅 Resumen Diario'!$C$5:$C$504, D634), 0))</f>
        <v/>
      </c>
      <c r="M634" s="31" t="str">
        <f t="shared" si="66"/>
        <v/>
      </c>
      <c r="N634" s="31" t="str">
        <f t="shared" si="67"/>
        <v/>
      </c>
      <c r="O634" s="31" t="str">
        <f>IF(OR(B634="",C634=""),"",K634-N634 + IFERROR(E634 / SUMIFS('📅 Resumen Diario'!$D$5:$D$504, '📅 Resumen Diario'!$B$5:$B$504, B634, '📅 Resumen Diario'!$C$5:$C$504, D634) * (SUMIFS('📋 Detalle Diario'!$E$5:$E$489, '📋 Detalle Diario'!$B$5:$B$489, B634, '📋 Detalle Diario'!$C$5:$C$489, D634) * 135 + SUMIFS('📋 Detalle Diario'!$I$5:$I$489, '📋 Detalle Diario'!$B$5:$B$489, B634, '📋 Detalle Diario'!$C$5:$C$489, D634) * 200), 0))</f>
        <v/>
      </c>
      <c r="P634" s="32" t="str">
        <f t="shared" si="68"/>
        <v/>
      </c>
      <c r="Q634" s="33" t="str">
        <f t="shared" si="69"/>
        <v/>
      </c>
    </row>
    <row r="635" spans="2:17" ht="18" customHeight="1" x14ac:dyDescent="0.3">
      <c r="B635" s="26"/>
      <c r="C635" s="28"/>
      <c r="D635" s="27"/>
      <c r="E635" s="29"/>
      <c r="F635" s="29"/>
      <c r="G635" s="29"/>
      <c r="H635" s="30" t="str">
        <f t="shared" si="63"/>
        <v/>
      </c>
      <c r="I635" s="31" t="str">
        <f>IF(OR(B635="",C635=""),"",IFERROR(E635*IF(E635="",0,VLOOKUP(C635,'📦 Precios Proforma'!$B$5:$D$104,IF(D635="DIA",2,3),FALSE)),0))</f>
        <v/>
      </c>
      <c r="J635" s="31" t="str">
        <f t="shared" si="64"/>
        <v/>
      </c>
      <c r="K635" s="31" t="str">
        <f t="shared" si="65"/>
        <v/>
      </c>
      <c r="L635" s="31" t="str">
        <f>IF(OR(B635="",C635=""),"",IFERROR(E635 / SUMIFS('📅 Resumen Diario'!$D$5:$D$504, '📅 Resumen Diario'!$B$5:$B$504, B635, '📅 Resumen Diario'!$C$5:$C$504, D635) * SUMIFS('📅 Resumen Diario'!$K$5:$K$504, '📅 Resumen Diario'!$B$5:$B$504, B635, '📅 Resumen Diario'!$C$5:$C$504, D635), 0))</f>
        <v/>
      </c>
      <c r="M635" s="31" t="str">
        <f t="shared" si="66"/>
        <v/>
      </c>
      <c r="N635" s="31" t="str">
        <f t="shared" si="67"/>
        <v/>
      </c>
      <c r="O635" s="31" t="str">
        <f>IF(OR(B635="",C635=""),"",K635-N635 + IFERROR(E635 / SUMIFS('📅 Resumen Diario'!$D$5:$D$504, '📅 Resumen Diario'!$B$5:$B$504, B635, '📅 Resumen Diario'!$C$5:$C$504, D635) * (SUMIFS('📋 Detalle Diario'!$E$5:$E$489, '📋 Detalle Diario'!$B$5:$B$489, B635, '📋 Detalle Diario'!$C$5:$C$489, D635) * 135 + SUMIFS('📋 Detalle Diario'!$I$5:$I$489, '📋 Detalle Diario'!$B$5:$B$489, B635, '📋 Detalle Diario'!$C$5:$C$489, D635) * 200), 0))</f>
        <v/>
      </c>
      <c r="P635" s="32" t="str">
        <f t="shared" si="68"/>
        <v/>
      </c>
      <c r="Q635" s="33" t="str">
        <f t="shared" si="69"/>
        <v/>
      </c>
    </row>
    <row r="636" spans="2:17" ht="18" customHeight="1" x14ac:dyDescent="0.3">
      <c r="B636" s="26"/>
      <c r="C636" s="17"/>
      <c r="D636" s="27"/>
      <c r="E636" s="18"/>
      <c r="F636" s="18"/>
      <c r="G636" s="18"/>
      <c r="H636" s="30" t="str">
        <f t="shared" si="63"/>
        <v/>
      </c>
      <c r="I636" s="31" t="str">
        <f>IF(OR(B636="",C636=""),"",IFERROR(E636*IF(E636="",0,VLOOKUP(C636,'📦 Precios Proforma'!$B$5:$D$104,IF(D636="DIA",2,3),FALSE)),0))</f>
        <v/>
      </c>
      <c r="J636" s="31" t="str">
        <f t="shared" si="64"/>
        <v/>
      </c>
      <c r="K636" s="31" t="str">
        <f t="shared" si="65"/>
        <v/>
      </c>
      <c r="L636" s="31" t="str">
        <f>IF(OR(B636="",C636=""),"",IFERROR(E636 / SUMIFS('📅 Resumen Diario'!$D$5:$D$504, '📅 Resumen Diario'!$B$5:$B$504, B636, '📅 Resumen Diario'!$C$5:$C$504, D636) * SUMIFS('📅 Resumen Diario'!$K$5:$K$504, '📅 Resumen Diario'!$B$5:$B$504, B636, '📅 Resumen Diario'!$C$5:$C$504, D636), 0))</f>
        <v/>
      </c>
      <c r="M636" s="31" t="str">
        <f t="shared" si="66"/>
        <v/>
      </c>
      <c r="N636" s="31" t="str">
        <f t="shared" si="67"/>
        <v/>
      </c>
      <c r="O636" s="31" t="str">
        <f>IF(OR(B636="",C636=""),"",K636-N636 + IFERROR(E636 / SUMIFS('📅 Resumen Diario'!$D$5:$D$504, '📅 Resumen Diario'!$B$5:$B$504, B636, '📅 Resumen Diario'!$C$5:$C$504, D636) * (SUMIFS('📋 Detalle Diario'!$E$5:$E$489, '📋 Detalle Diario'!$B$5:$B$489, B636, '📋 Detalle Diario'!$C$5:$C$489, D636) * 135 + SUMIFS('📋 Detalle Diario'!$I$5:$I$489, '📋 Detalle Diario'!$B$5:$B$489, B636, '📋 Detalle Diario'!$C$5:$C$489, D636) * 200), 0))</f>
        <v/>
      </c>
      <c r="P636" s="32" t="str">
        <f t="shared" si="68"/>
        <v/>
      </c>
      <c r="Q636" s="33" t="str">
        <f t="shared" si="69"/>
        <v/>
      </c>
    </row>
    <row r="637" spans="2:17" ht="18" customHeight="1" x14ac:dyDescent="0.3">
      <c r="B637" s="26"/>
      <c r="C637" s="28"/>
      <c r="D637" s="27"/>
      <c r="E637" s="29"/>
      <c r="F637" s="29"/>
      <c r="G637" s="29"/>
      <c r="H637" s="30" t="str">
        <f t="shared" si="63"/>
        <v/>
      </c>
      <c r="I637" s="31" t="str">
        <f>IF(OR(B637="",C637=""),"",IFERROR(E637*IF(E637="",0,VLOOKUP(C637,'📦 Precios Proforma'!$B$5:$D$104,IF(D637="DIA",2,3),FALSE)),0))</f>
        <v/>
      </c>
      <c r="J637" s="31" t="str">
        <f t="shared" si="64"/>
        <v/>
      </c>
      <c r="K637" s="31" t="str">
        <f t="shared" si="65"/>
        <v/>
      </c>
      <c r="L637" s="31" t="str">
        <f>IF(OR(B637="",C637=""),"",IFERROR(E637 / SUMIFS('📅 Resumen Diario'!$D$5:$D$504, '📅 Resumen Diario'!$B$5:$B$504, B637, '📅 Resumen Diario'!$C$5:$C$504, D637) * SUMIFS('📅 Resumen Diario'!$K$5:$K$504, '📅 Resumen Diario'!$B$5:$B$504, B637, '📅 Resumen Diario'!$C$5:$C$504, D637), 0))</f>
        <v/>
      </c>
      <c r="M637" s="31" t="str">
        <f t="shared" si="66"/>
        <v/>
      </c>
      <c r="N637" s="31" t="str">
        <f t="shared" si="67"/>
        <v/>
      </c>
      <c r="O637" s="31" t="str">
        <f>IF(OR(B637="",C637=""),"",K637-N637 + IFERROR(E637 / SUMIFS('📅 Resumen Diario'!$D$5:$D$504, '📅 Resumen Diario'!$B$5:$B$504, B637, '📅 Resumen Diario'!$C$5:$C$504, D637) * (SUMIFS('📋 Detalle Diario'!$E$5:$E$489, '📋 Detalle Diario'!$B$5:$B$489, B637, '📋 Detalle Diario'!$C$5:$C$489, D637) * 135 + SUMIFS('📋 Detalle Diario'!$I$5:$I$489, '📋 Detalle Diario'!$B$5:$B$489, B637, '📋 Detalle Diario'!$C$5:$C$489, D637) * 200), 0))</f>
        <v/>
      </c>
      <c r="P637" s="32" t="str">
        <f t="shared" si="68"/>
        <v/>
      </c>
      <c r="Q637" s="33" t="str">
        <f t="shared" si="69"/>
        <v/>
      </c>
    </row>
    <row r="638" spans="2:17" ht="18" customHeight="1" x14ac:dyDescent="0.3">
      <c r="B638" s="26"/>
      <c r="C638" s="17"/>
      <c r="D638" s="27"/>
      <c r="E638" s="18"/>
      <c r="F638" s="18"/>
      <c r="G638" s="18"/>
      <c r="H638" s="30" t="str">
        <f t="shared" si="63"/>
        <v/>
      </c>
      <c r="I638" s="31" t="str">
        <f>IF(OR(B638="",C638=""),"",IFERROR(E638*IF(E638="",0,VLOOKUP(C638,'📦 Precios Proforma'!$B$5:$D$104,IF(D638="DIA",2,3),FALSE)),0))</f>
        <v/>
      </c>
      <c r="J638" s="31" t="str">
        <f t="shared" si="64"/>
        <v/>
      </c>
      <c r="K638" s="31" t="str">
        <f t="shared" si="65"/>
        <v/>
      </c>
      <c r="L638" s="31" t="str">
        <f>IF(OR(B638="",C638=""),"",IFERROR(E638 / SUMIFS('📅 Resumen Diario'!$D$5:$D$504, '📅 Resumen Diario'!$B$5:$B$504, B638, '📅 Resumen Diario'!$C$5:$C$504, D638) * SUMIFS('📅 Resumen Diario'!$K$5:$K$504, '📅 Resumen Diario'!$B$5:$B$504, B638, '📅 Resumen Diario'!$C$5:$C$504, D638), 0))</f>
        <v/>
      </c>
      <c r="M638" s="31" t="str">
        <f t="shared" si="66"/>
        <v/>
      </c>
      <c r="N638" s="31" t="str">
        <f t="shared" si="67"/>
        <v/>
      </c>
      <c r="O638" s="31" t="str">
        <f>IF(OR(B638="",C638=""),"",K638-N638 + IFERROR(E638 / SUMIFS('📅 Resumen Diario'!$D$5:$D$504, '📅 Resumen Diario'!$B$5:$B$504, B638, '📅 Resumen Diario'!$C$5:$C$504, D638) * (SUMIFS('📋 Detalle Diario'!$E$5:$E$489, '📋 Detalle Diario'!$B$5:$B$489, B638, '📋 Detalle Diario'!$C$5:$C$489, D638) * 135 + SUMIFS('📋 Detalle Diario'!$I$5:$I$489, '📋 Detalle Diario'!$B$5:$B$489, B638, '📋 Detalle Diario'!$C$5:$C$489, D638) * 200), 0))</f>
        <v/>
      </c>
      <c r="P638" s="32" t="str">
        <f t="shared" si="68"/>
        <v/>
      </c>
      <c r="Q638" s="33" t="str">
        <f t="shared" si="69"/>
        <v/>
      </c>
    </row>
    <row r="639" spans="2:17" ht="18" customHeight="1" x14ac:dyDescent="0.3">
      <c r="B639" s="26"/>
      <c r="C639" s="28"/>
      <c r="D639" s="27"/>
      <c r="E639" s="29"/>
      <c r="F639" s="29"/>
      <c r="G639" s="29"/>
      <c r="H639" s="30" t="str">
        <f t="shared" si="63"/>
        <v/>
      </c>
      <c r="I639" s="31" t="str">
        <f>IF(OR(B639="",C639=""),"",IFERROR(E639*IF(E639="",0,VLOOKUP(C639,'📦 Precios Proforma'!$B$5:$D$104,IF(D639="DIA",2,3),FALSE)),0))</f>
        <v/>
      </c>
      <c r="J639" s="31" t="str">
        <f t="shared" si="64"/>
        <v/>
      </c>
      <c r="K639" s="31" t="str">
        <f t="shared" si="65"/>
        <v/>
      </c>
      <c r="L639" s="31" t="str">
        <f>IF(OR(B639="",C639=""),"",IFERROR(E639 / SUMIFS('📅 Resumen Diario'!$D$5:$D$504, '📅 Resumen Diario'!$B$5:$B$504, B639, '📅 Resumen Diario'!$C$5:$C$504, D639) * SUMIFS('📅 Resumen Diario'!$K$5:$K$504, '📅 Resumen Diario'!$B$5:$B$504, B639, '📅 Resumen Diario'!$C$5:$C$504, D639), 0))</f>
        <v/>
      </c>
      <c r="M639" s="31" t="str">
        <f t="shared" si="66"/>
        <v/>
      </c>
      <c r="N639" s="31" t="str">
        <f t="shared" si="67"/>
        <v/>
      </c>
      <c r="O639" s="31" t="str">
        <f>IF(OR(B639="",C639=""),"",K639-N639 + IFERROR(E639 / SUMIFS('📅 Resumen Diario'!$D$5:$D$504, '📅 Resumen Diario'!$B$5:$B$504, B639, '📅 Resumen Diario'!$C$5:$C$504, D639) * (SUMIFS('📋 Detalle Diario'!$E$5:$E$489, '📋 Detalle Diario'!$B$5:$B$489, B639, '📋 Detalle Diario'!$C$5:$C$489, D639) * 135 + SUMIFS('📋 Detalle Diario'!$I$5:$I$489, '📋 Detalle Diario'!$B$5:$B$489, B639, '📋 Detalle Diario'!$C$5:$C$489, D639) * 200), 0))</f>
        <v/>
      </c>
      <c r="P639" s="32" t="str">
        <f t="shared" si="68"/>
        <v/>
      </c>
      <c r="Q639" s="33" t="str">
        <f t="shared" si="69"/>
        <v/>
      </c>
    </row>
    <row r="640" spans="2:17" ht="18" customHeight="1" x14ac:dyDescent="0.3">
      <c r="B640" s="26"/>
      <c r="C640" s="17"/>
      <c r="D640" s="27"/>
      <c r="E640" s="18"/>
      <c r="F640" s="18"/>
      <c r="G640" s="18"/>
      <c r="H640" s="30" t="str">
        <f t="shared" si="63"/>
        <v/>
      </c>
      <c r="I640" s="31" t="str">
        <f>IF(OR(B640="",C640=""),"",IFERROR(E640*IF(E640="",0,VLOOKUP(C640,'📦 Precios Proforma'!$B$5:$D$104,IF(D640="DIA",2,3),FALSE)),0))</f>
        <v/>
      </c>
      <c r="J640" s="31" t="str">
        <f t="shared" si="64"/>
        <v/>
      </c>
      <c r="K640" s="31" t="str">
        <f t="shared" si="65"/>
        <v/>
      </c>
      <c r="L640" s="31" t="str">
        <f>IF(OR(B640="",C640=""),"",IFERROR(E640 / SUMIFS('📅 Resumen Diario'!$D$5:$D$504, '📅 Resumen Diario'!$B$5:$B$504, B640, '📅 Resumen Diario'!$C$5:$C$504, D640) * SUMIFS('📅 Resumen Diario'!$K$5:$K$504, '📅 Resumen Diario'!$B$5:$B$504, B640, '📅 Resumen Diario'!$C$5:$C$504, D640), 0))</f>
        <v/>
      </c>
      <c r="M640" s="31" t="str">
        <f t="shared" si="66"/>
        <v/>
      </c>
      <c r="N640" s="31" t="str">
        <f t="shared" si="67"/>
        <v/>
      </c>
      <c r="O640" s="31" t="str">
        <f>IF(OR(B640="",C640=""),"",K640-N640 + IFERROR(E640 / SUMIFS('📅 Resumen Diario'!$D$5:$D$504, '📅 Resumen Diario'!$B$5:$B$504, B640, '📅 Resumen Diario'!$C$5:$C$504, D640) * (SUMIFS('📋 Detalle Diario'!$E$5:$E$489, '📋 Detalle Diario'!$B$5:$B$489, B640, '📋 Detalle Diario'!$C$5:$C$489, D640) * 135 + SUMIFS('📋 Detalle Diario'!$I$5:$I$489, '📋 Detalle Diario'!$B$5:$B$489, B640, '📋 Detalle Diario'!$C$5:$C$489, D640) * 200), 0))</f>
        <v/>
      </c>
      <c r="P640" s="32" t="str">
        <f t="shared" si="68"/>
        <v/>
      </c>
      <c r="Q640" s="33" t="str">
        <f t="shared" si="69"/>
        <v/>
      </c>
    </row>
    <row r="641" spans="2:17" ht="18" customHeight="1" x14ac:dyDescent="0.3">
      <c r="B641" s="26"/>
      <c r="C641" s="28"/>
      <c r="D641" s="27"/>
      <c r="E641" s="29"/>
      <c r="F641" s="29"/>
      <c r="G641" s="29"/>
      <c r="H641" s="30" t="str">
        <f t="shared" si="63"/>
        <v/>
      </c>
      <c r="I641" s="31" t="str">
        <f>IF(OR(B641="",C641=""),"",IFERROR(E641*IF(E641="",0,VLOOKUP(C641,'📦 Precios Proforma'!$B$5:$D$104,IF(D641="DIA",2,3),FALSE)),0))</f>
        <v/>
      </c>
      <c r="J641" s="31" t="str">
        <f t="shared" si="64"/>
        <v/>
      </c>
      <c r="K641" s="31" t="str">
        <f t="shared" si="65"/>
        <v/>
      </c>
      <c r="L641" s="31" t="str">
        <f>IF(OR(B641="",C641=""),"",IFERROR(E641 / SUMIFS('📅 Resumen Diario'!$D$5:$D$504, '📅 Resumen Diario'!$B$5:$B$504, B641, '📅 Resumen Diario'!$C$5:$C$504, D641) * SUMIFS('📅 Resumen Diario'!$K$5:$K$504, '📅 Resumen Diario'!$B$5:$B$504, B641, '📅 Resumen Diario'!$C$5:$C$504, D641), 0))</f>
        <v/>
      </c>
      <c r="M641" s="31" t="str">
        <f t="shared" si="66"/>
        <v/>
      </c>
      <c r="N641" s="31" t="str">
        <f t="shared" si="67"/>
        <v/>
      </c>
      <c r="O641" s="31" t="str">
        <f>IF(OR(B641="",C641=""),"",K641-N641 + IFERROR(E641 / SUMIFS('📅 Resumen Diario'!$D$5:$D$504, '📅 Resumen Diario'!$B$5:$B$504, B641, '📅 Resumen Diario'!$C$5:$C$504, D641) * (SUMIFS('📋 Detalle Diario'!$E$5:$E$489, '📋 Detalle Diario'!$B$5:$B$489, B641, '📋 Detalle Diario'!$C$5:$C$489, D641) * 135 + SUMIFS('📋 Detalle Diario'!$I$5:$I$489, '📋 Detalle Diario'!$B$5:$B$489, B641, '📋 Detalle Diario'!$C$5:$C$489, D641) * 200), 0))</f>
        <v/>
      </c>
      <c r="P641" s="32" t="str">
        <f t="shared" si="68"/>
        <v/>
      </c>
      <c r="Q641" s="33" t="str">
        <f t="shared" si="69"/>
        <v/>
      </c>
    </row>
    <row r="642" spans="2:17" ht="18" customHeight="1" x14ac:dyDescent="0.3">
      <c r="B642" s="26"/>
      <c r="C642" s="17"/>
      <c r="D642" s="27"/>
      <c r="E642" s="18"/>
      <c r="F642" s="18"/>
      <c r="G642" s="18"/>
      <c r="H642" s="30" t="str">
        <f t="shared" si="63"/>
        <v/>
      </c>
      <c r="I642" s="31" t="str">
        <f>IF(OR(B642="",C642=""),"",IFERROR(E642*IF(E642="",0,VLOOKUP(C642,'📦 Precios Proforma'!$B$5:$D$104,IF(D642="DIA",2,3),FALSE)),0))</f>
        <v/>
      </c>
      <c r="J642" s="31" t="str">
        <f t="shared" si="64"/>
        <v/>
      </c>
      <c r="K642" s="31" t="str">
        <f t="shared" si="65"/>
        <v/>
      </c>
      <c r="L642" s="31" t="str">
        <f>IF(OR(B642="",C642=""),"",IFERROR(E642 / SUMIFS('📅 Resumen Diario'!$D$5:$D$504, '📅 Resumen Diario'!$B$5:$B$504, B642, '📅 Resumen Diario'!$C$5:$C$504, D642) * SUMIFS('📅 Resumen Diario'!$K$5:$K$504, '📅 Resumen Diario'!$B$5:$B$504, B642, '📅 Resumen Diario'!$C$5:$C$504, D642), 0))</f>
        <v/>
      </c>
      <c r="M642" s="31" t="str">
        <f t="shared" si="66"/>
        <v/>
      </c>
      <c r="N642" s="31" t="str">
        <f t="shared" si="67"/>
        <v/>
      </c>
      <c r="O642" s="31" t="str">
        <f>IF(OR(B642="",C642=""),"",K642-N642 + IFERROR(E642 / SUMIFS('📅 Resumen Diario'!$D$5:$D$504, '📅 Resumen Diario'!$B$5:$B$504, B642, '📅 Resumen Diario'!$C$5:$C$504, D642) * (SUMIFS('📋 Detalle Diario'!$E$5:$E$489, '📋 Detalle Diario'!$B$5:$B$489, B642, '📋 Detalle Diario'!$C$5:$C$489, D642) * 135 + SUMIFS('📋 Detalle Diario'!$I$5:$I$489, '📋 Detalle Diario'!$B$5:$B$489, B642, '📋 Detalle Diario'!$C$5:$C$489, D642) * 200), 0))</f>
        <v/>
      </c>
      <c r="P642" s="32" t="str">
        <f t="shared" si="68"/>
        <v/>
      </c>
      <c r="Q642" s="33" t="str">
        <f t="shared" si="69"/>
        <v/>
      </c>
    </row>
    <row r="643" spans="2:17" ht="18" customHeight="1" x14ac:dyDescent="0.3">
      <c r="B643" s="26"/>
      <c r="C643" s="28"/>
      <c r="D643" s="27"/>
      <c r="E643" s="29"/>
      <c r="F643" s="29"/>
      <c r="G643" s="29"/>
      <c r="H643" s="30" t="str">
        <f t="shared" si="63"/>
        <v/>
      </c>
      <c r="I643" s="31" t="str">
        <f>IF(OR(B643="",C643=""),"",IFERROR(E643*IF(E643="",0,VLOOKUP(C643,'📦 Precios Proforma'!$B$5:$D$104,IF(D643="DIA",2,3),FALSE)),0))</f>
        <v/>
      </c>
      <c r="J643" s="31" t="str">
        <f t="shared" si="64"/>
        <v/>
      </c>
      <c r="K643" s="31" t="str">
        <f t="shared" si="65"/>
        <v/>
      </c>
      <c r="L643" s="31" t="str">
        <f>IF(OR(B643="",C643=""),"",IFERROR(E643 / SUMIFS('📅 Resumen Diario'!$D$5:$D$504, '📅 Resumen Diario'!$B$5:$B$504, B643, '📅 Resumen Diario'!$C$5:$C$504, D643) * SUMIFS('📅 Resumen Diario'!$K$5:$K$504, '📅 Resumen Diario'!$B$5:$B$504, B643, '📅 Resumen Diario'!$C$5:$C$504, D643), 0))</f>
        <v/>
      </c>
      <c r="M643" s="31" t="str">
        <f t="shared" si="66"/>
        <v/>
      </c>
      <c r="N643" s="31" t="str">
        <f t="shared" si="67"/>
        <v/>
      </c>
      <c r="O643" s="31" t="str">
        <f>IF(OR(B643="",C643=""),"",K643-N643 + IFERROR(E643 / SUMIFS('📅 Resumen Diario'!$D$5:$D$504, '📅 Resumen Diario'!$B$5:$B$504, B643, '📅 Resumen Diario'!$C$5:$C$504, D643) * (SUMIFS('📋 Detalle Diario'!$E$5:$E$489, '📋 Detalle Diario'!$B$5:$B$489, B643, '📋 Detalle Diario'!$C$5:$C$489, D643) * 135 + SUMIFS('📋 Detalle Diario'!$I$5:$I$489, '📋 Detalle Diario'!$B$5:$B$489, B643, '📋 Detalle Diario'!$C$5:$C$489, D643) * 200), 0))</f>
        <v/>
      </c>
      <c r="P643" s="32" t="str">
        <f t="shared" si="68"/>
        <v/>
      </c>
      <c r="Q643" s="33" t="str">
        <f t="shared" si="69"/>
        <v/>
      </c>
    </row>
    <row r="644" spans="2:17" ht="18" customHeight="1" x14ac:dyDescent="0.3">
      <c r="B644" s="26"/>
      <c r="C644" s="17"/>
      <c r="D644" s="27"/>
      <c r="E644" s="18"/>
      <c r="F644" s="18"/>
      <c r="G644" s="18"/>
      <c r="H644" s="30" t="str">
        <f t="shared" si="63"/>
        <v/>
      </c>
      <c r="I644" s="31" t="str">
        <f>IF(OR(B644="",C644=""),"",IFERROR(E644*IF(E644="",0,VLOOKUP(C644,'📦 Precios Proforma'!$B$5:$D$104,IF(D644="DIA",2,3),FALSE)),0))</f>
        <v/>
      </c>
      <c r="J644" s="31" t="str">
        <f t="shared" si="64"/>
        <v/>
      </c>
      <c r="K644" s="31" t="str">
        <f t="shared" si="65"/>
        <v/>
      </c>
      <c r="L644" s="31" t="str">
        <f>IF(OR(B644="",C644=""),"",IFERROR(E644 / SUMIFS('📅 Resumen Diario'!$D$5:$D$504, '📅 Resumen Diario'!$B$5:$B$504, B644, '📅 Resumen Diario'!$C$5:$C$504, D644) * SUMIFS('📅 Resumen Diario'!$K$5:$K$504, '📅 Resumen Diario'!$B$5:$B$504, B644, '📅 Resumen Diario'!$C$5:$C$504, D644), 0))</f>
        <v/>
      </c>
      <c r="M644" s="31" t="str">
        <f t="shared" si="66"/>
        <v/>
      </c>
      <c r="N644" s="31" t="str">
        <f t="shared" si="67"/>
        <v/>
      </c>
      <c r="O644" s="31" t="str">
        <f>IF(OR(B644="",C644=""),"",K644-N644 + IFERROR(E644 / SUMIFS('📅 Resumen Diario'!$D$5:$D$504, '📅 Resumen Diario'!$B$5:$B$504, B644, '📅 Resumen Diario'!$C$5:$C$504, D644) * (SUMIFS('📋 Detalle Diario'!$E$5:$E$489, '📋 Detalle Diario'!$B$5:$B$489, B644, '📋 Detalle Diario'!$C$5:$C$489, D644) * 135 + SUMIFS('📋 Detalle Diario'!$I$5:$I$489, '📋 Detalle Diario'!$B$5:$B$489, B644, '📋 Detalle Diario'!$C$5:$C$489, D644) * 200), 0))</f>
        <v/>
      </c>
      <c r="P644" s="32" t="str">
        <f t="shared" si="68"/>
        <v/>
      </c>
      <c r="Q644" s="33" t="str">
        <f t="shared" si="69"/>
        <v/>
      </c>
    </row>
    <row r="645" spans="2:17" ht="18" customHeight="1" x14ac:dyDescent="0.3">
      <c r="B645" s="26"/>
      <c r="C645" s="28"/>
      <c r="D645" s="27"/>
      <c r="E645" s="29"/>
      <c r="F645" s="29"/>
      <c r="G645" s="29"/>
      <c r="H645" s="30" t="str">
        <f t="shared" si="63"/>
        <v/>
      </c>
      <c r="I645" s="31" t="str">
        <f>IF(OR(B645="",C645=""),"",IFERROR(E645*IF(E645="",0,VLOOKUP(C645,'📦 Precios Proforma'!$B$5:$D$104,IF(D645="DIA",2,3),FALSE)),0))</f>
        <v/>
      </c>
      <c r="J645" s="31" t="str">
        <f t="shared" si="64"/>
        <v/>
      </c>
      <c r="K645" s="31" t="str">
        <f t="shared" si="65"/>
        <v/>
      </c>
      <c r="L645" s="31" t="str">
        <f>IF(OR(B645="",C645=""),"",IFERROR(E645 / SUMIFS('📅 Resumen Diario'!$D$5:$D$504, '📅 Resumen Diario'!$B$5:$B$504, B645, '📅 Resumen Diario'!$C$5:$C$504, D645) * SUMIFS('📅 Resumen Diario'!$K$5:$K$504, '📅 Resumen Diario'!$B$5:$B$504, B645, '📅 Resumen Diario'!$C$5:$C$504, D645), 0))</f>
        <v/>
      </c>
      <c r="M645" s="31" t="str">
        <f t="shared" si="66"/>
        <v/>
      </c>
      <c r="N645" s="31" t="str">
        <f t="shared" si="67"/>
        <v/>
      </c>
      <c r="O645" s="31" t="str">
        <f>IF(OR(B645="",C645=""),"",K645-N645 + IFERROR(E645 / SUMIFS('📅 Resumen Diario'!$D$5:$D$504, '📅 Resumen Diario'!$B$5:$B$504, B645, '📅 Resumen Diario'!$C$5:$C$504, D645) * (SUMIFS('📋 Detalle Diario'!$E$5:$E$489, '📋 Detalle Diario'!$B$5:$B$489, B645, '📋 Detalle Diario'!$C$5:$C$489, D645) * 135 + SUMIFS('📋 Detalle Diario'!$I$5:$I$489, '📋 Detalle Diario'!$B$5:$B$489, B645, '📋 Detalle Diario'!$C$5:$C$489, D645) * 200), 0))</f>
        <v/>
      </c>
      <c r="P645" s="32" t="str">
        <f t="shared" si="68"/>
        <v/>
      </c>
      <c r="Q645" s="33" t="str">
        <f t="shared" si="69"/>
        <v/>
      </c>
    </row>
    <row r="646" spans="2:17" ht="18" customHeight="1" x14ac:dyDescent="0.3">
      <c r="B646" s="26"/>
      <c r="C646" s="17"/>
      <c r="D646" s="27"/>
      <c r="E646" s="18"/>
      <c r="F646" s="18"/>
      <c r="G646" s="18"/>
      <c r="H646" s="30" t="str">
        <f t="shared" si="63"/>
        <v/>
      </c>
      <c r="I646" s="31" t="str">
        <f>IF(OR(B646="",C646=""),"",IFERROR(E646*IF(E646="",0,VLOOKUP(C646,'📦 Precios Proforma'!$B$5:$D$104,IF(D646="DIA",2,3),FALSE)),0))</f>
        <v/>
      </c>
      <c r="J646" s="31" t="str">
        <f t="shared" si="64"/>
        <v/>
      </c>
      <c r="K646" s="31" t="str">
        <f t="shared" si="65"/>
        <v/>
      </c>
      <c r="L646" s="31" t="str">
        <f>IF(OR(B646="",C646=""),"",IFERROR(E646 / SUMIFS('📅 Resumen Diario'!$D$5:$D$504, '📅 Resumen Diario'!$B$5:$B$504, B646, '📅 Resumen Diario'!$C$5:$C$504, D646) * SUMIFS('📅 Resumen Diario'!$K$5:$K$504, '📅 Resumen Diario'!$B$5:$B$504, B646, '📅 Resumen Diario'!$C$5:$C$504, D646), 0))</f>
        <v/>
      </c>
      <c r="M646" s="31" t="str">
        <f t="shared" si="66"/>
        <v/>
      </c>
      <c r="N646" s="31" t="str">
        <f t="shared" si="67"/>
        <v/>
      </c>
      <c r="O646" s="31" t="str">
        <f>IF(OR(B646="",C646=""),"",K646-N646 + IFERROR(E646 / SUMIFS('📅 Resumen Diario'!$D$5:$D$504, '📅 Resumen Diario'!$B$5:$B$504, B646, '📅 Resumen Diario'!$C$5:$C$504, D646) * (SUMIFS('📋 Detalle Diario'!$E$5:$E$489, '📋 Detalle Diario'!$B$5:$B$489, B646, '📋 Detalle Diario'!$C$5:$C$489, D646) * 135 + SUMIFS('📋 Detalle Diario'!$I$5:$I$489, '📋 Detalle Diario'!$B$5:$B$489, B646, '📋 Detalle Diario'!$C$5:$C$489, D646) * 200), 0))</f>
        <v/>
      </c>
      <c r="P646" s="32" t="str">
        <f t="shared" si="68"/>
        <v/>
      </c>
      <c r="Q646" s="33" t="str">
        <f t="shared" si="69"/>
        <v/>
      </c>
    </row>
    <row r="647" spans="2:17" ht="18" customHeight="1" x14ac:dyDescent="0.3">
      <c r="B647" s="26"/>
      <c r="C647" s="28"/>
      <c r="D647" s="27"/>
      <c r="E647" s="29"/>
      <c r="F647" s="29"/>
      <c r="G647" s="29"/>
      <c r="H647" s="30" t="str">
        <f t="shared" ref="H647:H710" si="70">IF(OR(B647="",C647=""),"",F647+G647)</f>
        <v/>
      </c>
      <c r="I647" s="31" t="str">
        <f>IF(OR(B647="",C647=""),"",IFERROR(E647*IF(E647="",0,VLOOKUP(C647,'📦 Precios Proforma'!$B$5:$D$104,IF(D647="DIA",2,3),FALSE)),0))</f>
        <v/>
      </c>
      <c r="J647" s="31" t="str">
        <f t="shared" ref="J647:J710" si="71">IF(OR(B647="",C647=""),"",IF(D647="DIA",H647*1.01,H647*1.35))</f>
        <v/>
      </c>
      <c r="K647" s="31" t="str">
        <f t="shared" ref="K647:K710" si="72">IF(OR(B647="",C647=""),"",I647+J647)</f>
        <v/>
      </c>
      <c r="L647" s="31" t="str">
        <f>IF(OR(B647="",C647=""),"",IFERROR(E647 / SUMIFS('📅 Resumen Diario'!$D$5:$D$504, '📅 Resumen Diario'!$B$5:$B$504, B647, '📅 Resumen Diario'!$C$5:$C$504, D647) * SUMIFS('📅 Resumen Diario'!$K$5:$K$504, '📅 Resumen Diario'!$B$5:$B$504, B647, '📅 Resumen Diario'!$C$5:$C$504, D647), 0))</f>
        <v/>
      </c>
      <c r="M647" s="31" t="str">
        <f t="shared" ref="M647:M710" si="73">IF(OR(B647="",C647=""),"",H647*0.09)</f>
        <v/>
      </c>
      <c r="N647" s="31" t="str">
        <f t="shared" ref="N647:N710" si="74">IF(OR(B647="",C647=""),"",L647+M647)</f>
        <v/>
      </c>
      <c r="O647" s="31" t="str">
        <f>IF(OR(B647="",C647=""),"",K647-N647 + IFERROR(E647 / SUMIFS('📅 Resumen Diario'!$D$5:$D$504, '📅 Resumen Diario'!$B$5:$B$504, B647, '📅 Resumen Diario'!$C$5:$C$504, D647) * (SUMIFS('📋 Detalle Diario'!$E$5:$E$489, '📋 Detalle Diario'!$B$5:$B$489, B647, '📋 Detalle Diario'!$C$5:$C$489, D647) * 135 + SUMIFS('📋 Detalle Diario'!$I$5:$I$489, '📋 Detalle Diario'!$B$5:$B$489, B647, '📋 Detalle Diario'!$C$5:$C$489, D647) * 200), 0))</f>
        <v/>
      </c>
      <c r="P647" s="32" t="str">
        <f t="shared" ref="P647:P710" si="75">IF(OR(B647="",C647=""),"",IF(K647=0, 0, O647/K647))</f>
        <v/>
      </c>
      <c r="Q647" s="33" t="str">
        <f t="shared" ref="Q647:Q710" si="76">IF(B647="","",IF(ISNUMBER(B647),YEAR(B647)&amp;"-"&amp;IF(MONTH(B647)&lt;10,"0","")&amp;MONTH(B647),LEFT(B647,7)))</f>
        <v/>
      </c>
    </row>
    <row r="648" spans="2:17" ht="18" customHeight="1" x14ac:dyDescent="0.3">
      <c r="B648" s="26"/>
      <c r="C648" s="17"/>
      <c r="D648" s="27"/>
      <c r="E648" s="18"/>
      <c r="F648" s="18"/>
      <c r="G648" s="18"/>
      <c r="H648" s="30" t="str">
        <f t="shared" si="70"/>
        <v/>
      </c>
      <c r="I648" s="31" t="str">
        <f>IF(OR(B648="",C648=""),"",IFERROR(E648*IF(E648="",0,VLOOKUP(C648,'📦 Precios Proforma'!$B$5:$D$104,IF(D648="DIA",2,3),FALSE)),0))</f>
        <v/>
      </c>
      <c r="J648" s="31" t="str">
        <f t="shared" si="71"/>
        <v/>
      </c>
      <c r="K648" s="31" t="str">
        <f t="shared" si="72"/>
        <v/>
      </c>
      <c r="L648" s="31" t="str">
        <f>IF(OR(B648="",C648=""),"",IFERROR(E648 / SUMIFS('📅 Resumen Diario'!$D$5:$D$504, '📅 Resumen Diario'!$B$5:$B$504, B648, '📅 Resumen Diario'!$C$5:$C$504, D648) * SUMIFS('📅 Resumen Diario'!$K$5:$K$504, '📅 Resumen Diario'!$B$5:$B$504, B648, '📅 Resumen Diario'!$C$5:$C$504, D648), 0))</f>
        <v/>
      </c>
      <c r="M648" s="31" t="str">
        <f t="shared" si="73"/>
        <v/>
      </c>
      <c r="N648" s="31" t="str">
        <f t="shared" si="74"/>
        <v/>
      </c>
      <c r="O648" s="31" t="str">
        <f>IF(OR(B648="",C648=""),"",K648-N648 + IFERROR(E648 / SUMIFS('📅 Resumen Diario'!$D$5:$D$504, '📅 Resumen Diario'!$B$5:$B$504, B648, '📅 Resumen Diario'!$C$5:$C$504, D648) * (SUMIFS('📋 Detalle Diario'!$E$5:$E$489, '📋 Detalle Diario'!$B$5:$B$489, B648, '📋 Detalle Diario'!$C$5:$C$489, D648) * 135 + SUMIFS('📋 Detalle Diario'!$I$5:$I$489, '📋 Detalle Diario'!$B$5:$B$489, B648, '📋 Detalle Diario'!$C$5:$C$489, D648) * 200), 0))</f>
        <v/>
      </c>
      <c r="P648" s="32" t="str">
        <f t="shared" si="75"/>
        <v/>
      </c>
      <c r="Q648" s="33" t="str">
        <f t="shared" si="76"/>
        <v/>
      </c>
    </row>
    <row r="649" spans="2:17" ht="18" customHeight="1" x14ac:dyDescent="0.3">
      <c r="B649" s="26"/>
      <c r="C649" s="28"/>
      <c r="D649" s="27"/>
      <c r="E649" s="29"/>
      <c r="F649" s="29"/>
      <c r="G649" s="29"/>
      <c r="H649" s="30" t="str">
        <f t="shared" si="70"/>
        <v/>
      </c>
      <c r="I649" s="31" t="str">
        <f>IF(OR(B649="",C649=""),"",IFERROR(E649*IF(E649="",0,VLOOKUP(C649,'📦 Precios Proforma'!$B$5:$D$104,IF(D649="DIA",2,3),FALSE)),0))</f>
        <v/>
      </c>
      <c r="J649" s="31" t="str">
        <f t="shared" si="71"/>
        <v/>
      </c>
      <c r="K649" s="31" t="str">
        <f t="shared" si="72"/>
        <v/>
      </c>
      <c r="L649" s="31" t="str">
        <f>IF(OR(B649="",C649=""),"",IFERROR(E649 / SUMIFS('📅 Resumen Diario'!$D$5:$D$504, '📅 Resumen Diario'!$B$5:$B$504, B649, '📅 Resumen Diario'!$C$5:$C$504, D649) * SUMIFS('📅 Resumen Diario'!$K$5:$K$504, '📅 Resumen Diario'!$B$5:$B$504, B649, '📅 Resumen Diario'!$C$5:$C$504, D649), 0))</f>
        <v/>
      </c>
      <c r="M649" s="31" t="str">
        <f t="shared" si="73"/>
        <v/>
      </c>
      <c r="N649" s="31" t="str">
        <f t="shared" si="74"/>
        <v/>
      </c>
      <c r="O649" s="31" t="str">
        <f>IF(OR(B649="",C649=""),"",K649-N649 + IFERROR(E649 / SUMIFS('📅 Resumen Diario'!$D$5:$D$504, '📅 Resumen Diario'!$B$5:$B$504, B649, '📅 Resumen Diario'!$C$5:$C$504, D649) * (SUMIFS('📋 Detalle Diario'!$E$5:$E$489, '📋 Detalle Diario'!$B$5:$B$489, B649, '📋 Detalle Diario'!$C$5:$C$489, D649) * 135 + SUMIFS('📋 Detalle Diario'!$I$5:$I$489, '📋 Detalle Diario'!$B$5:$B$489, B649, '📋 Detalle Diario'!$C$5:$C$489, D649) * 200), 0))</f>
        <v/>
      </c>
      <c r="P649" s="32" t="str">
        <f t="shared" si="75"/>
        <v/>
      </c>
      <c r="Q649" s="33" t="str">
        <f t="shared" si="76"/>
        <v/>
      </c>
    </row>
    <row r="650" spans="2:17" ht="18" customHeight="1" x14ac:dyDescent="0.3">
      <c r="B650" s="26"/>
      <c r="C650" s="17"/>
      <c r="D650" s="27"/>
      <c r="E650" s="18"/>
      <c r="F650" s="18"/>
      <c r="G650" s="18"/>
      <c r="H650" s="30" t="str">
        <f t="shared" si="70"/>
        <v/>
      </c>
      <c r="I650" s="31" t="str">
        <f>IF(OR(B650="",C650=""),"",IFERROR(E650*IF(E650="",0,VLOOKUP(C650,'📦 Precios Proforma'!$B$5:$D$104,IF(D650="DIA",2,3),FALSE)),0))</f>
        <v/>
      </c>
      <c r="J650" s="31" t="str">
        <f t="shared" si="71"/>
        <v/>
      </c>
      <c r="K650" s="31" t="str">
        <f t="shared" si="72"/>
        <v/>
      </c>
      <c r="L650" s="31" t="str">
        <f>IF(OR(B650="",C650=""),"",IFERROR(E650 / SUMIFS('📅 Resumen Diario'!$D$5:$D$504, '📅 Resumen Diario'!$B$5:$B$504, B650, '📅 Resumen Diario'!$C$5:$C$504, D650) * SUMIFS('📅 Resumen Diario'!$K$5:$K$504, '📅 Resumen Diario'!$B$5:$B$504, B650, '📅 Resumen Diario'!$C$5:$C$504, D650), 0))</f>
        <v/>
      </c>
      <c r="M650" s="31" t="str">
        <f t="shared" si="73"/>
        <v/>
      </c>
      <c r="N650" s="31" t="str">
        <f t="shared" si="74"/>
        <v/>
      </c>
      <c r="O650" s="31" t="str">
        <f>IF(OR(B650="",C650=""),"",K650-N650 + IFERROR(E650 / SUMIFS('📅 Resumen Diario'!$D$5:$D$504, '📅 Resumen Diario'!$B$5:$B$504, B650, '📅 Resumen Diario'!$C$5:$C$504, D650) * (SUMIFS('📋 Detalle Diario'!$E$5:$E$489, '📋 Detalle Diario'!$B$5:$B$489, B650, '📋 Detalle Diario'!$C$5:$C$489, D650) * 135 + SUMIFS('📋 Detalle Diario'!$I$5:$I$489, '📋 Detalle Diario'!$B$5:$B$489, B650, '📋 Detalle Diario'!$C$5:$C$489, D650) * 200), 0))</f>
        <v/>
      </c>
      <c r="P650" s="32" t="str">
        <f t="shared" si="75"/>
        <v/>
      </c>
      <c r="Q650" s="33" t="str">
        <f t="shared" si="76"/>
        <v/>
      </c>
    </row>
    <row r="651" spans="2:17" ht="18" customHeight="1" x14ac:dyDescent="0.3">
      <c r="B651" s="26"/>
      <c r="C651" s="28"/>
      <c r="D651" s="27"/>
      <c r="E651" s="29"/>
      <c r="F651" s="29"/>
      <c r="G651" s="29"/>
      <c r="H651" s="30" t="str">
        <f t="shared" si="70"/>
        <v/>
      </c>
      <c r="I651" s="31" t="str">
        <f>IF(OR(B651="",C651=""),"",IFERROR(E651*IF(E651="",0,VLOOKUP(C651,'📦 Precios Proforma'!$B$5:$D$104,IF(D651="DIA",2,3),FALSE)),0))</f>
        <v/>
      </c>
      <c r="J651" s="31" t="str">
        <f t="shared" si="71"/>
        <v/>
      </c>
      <c r="K651" s="31" t="str">
        <f t="shared" si="72"/>
        <v/>
      </c>
      <c r="L651" s="31" t="str">
        <f>IF(OR(B651="",C651=""),"",IFERROR(E651 / SUMIFS('📅 Resumen Diario'!$D$5:$D$504, '📅 Resumen Diario'!$B$5:$B$504, B651, '📅 Resumen Diario'!$C$5:$C$504, D651) * SUMIFS('📅 Resumen Diario'!$K$5:$K$504, '📅 Resumen Diario'!$B$5:$B$504, B651, '📅 Resumen Diario'!$C$5:$C$504, D651), 0))</f>
        <v/>
      </c>
      <c r="M651" s="31" t="str">
        <f t="shared" si="73"/>
        <v/>
      </c>
      <c r="N651" s="31" t="str">
        <f t="shared" si="74"/>
        <v/>
      </c>
      <c r="O651" s="31" t="str">
        <f>IF(OR(B651="",C651=""),"",K651-N651 + IFERROR(E651 / SUMIFS('📅 Resumen Diario'!$D$5:$D$504, '📅 Resumen Diario'!$B$5:$B$504, B651, '📅 Resumen Diario'!$C$5:$C$504, D651) * (SUMIFS('📋 Detalle Diario'!$E$5:$E$489, '📋 Detalle Diario'!$B$5:$B$489, B651, '📋 Detalle Diario'!$C$5:$C$489, D651) * 135 + SUMIFS('📋 Detalle Diario'!$I$5:$I$489, '📋 Detalle Diario'!$B$5:$B$489, B651, '📋 Detalle Diario'!$C$5:$C$489, D651) * 200), 0))</f>
        <v/>
      </c>
      <c r="P651" s="32" t="str">
        <f t="shared" si="75"/>
        <v/>
      </c>
      <c r="Q651" s="33" t="str">
        <f t="shared" si="76"/>
        <v/>
      </c>
    </row>
    <row r="652" spans="2:17" ht="18" customHeight="1" x14ac:dyDescent="0.3">
      <c r="B652" s="26"/>
      <c r="C652" s="17"/>
      <c r="D652" s="27"/>
      <c r="E652" s="18"/>
      <c r="F652" s="18"/>
      <c r="G652" s="18"/>
      <c r="H652" s="30" t="str">
        <f t="shared" si="70"/>
        <v/>
      </c>
      <c r="I652" s="31" t="str">
        <f>IF(OR(B652="",C652=""),"",IFERROR(E652*IF(E652="",0,VLOOKUP(C652,'📦 Precios Proforma'!$B$5:$D$104,IF(D652="DIA",2,3),FALSE)),0))</f>
        <v/>
      </c>
      <c r="J652" s="31" t="str">
        <f t="shared" si="71"/>
        <v/>
      </c>
      <c r="K652" s="31" t="str">
        <f t="shared" si="72"/>
        <v/>
      </c>
      <c r="L652" s="31" t="str">
        <f>IF(OR(B652="",C652=""),"",IFERROR(E652 / SUMIFS('📅 Resumen Diario'!$D$5:$D$504, '📅 Resumen Diario'!$B$5:$B$504, B652, '📅 Resumen Diario'!$C$5:$C$504, D652) * SUMIFS('📅 Resumen Diario'!$K$5:$K$504, '📅 Resumen Diario'!$B$5:$B$504, B652, '📅 Resumen Diario'!$C$5:$C$504, D652), 0))</f>
        <v/>
      </c>
      <c r="M652" s="31" t="str">
        <f t="shared" si="73"/>
        <v/>
      </c>
      <c r="N652" s="31" t="str">
        <f t="shared" si="74"/>
        <v/>
      </c>
      <c r="O652" s="31" t="str">
        <f>IF(OR(B652="",C652=""),"",K652-N652 + IFERROR(E652 / SUMIFS('📅 Resumen Diario'!$D$5:$D$504, '📅 Resumen Diario'!$B$5:$B$504, B652, '📅 Resumen Diario'!$C$5:$C$504, D652) * (SUMIFS('📋 Detalle Diario'!$E$5:$E$489, '📋 Detalle Diario'!$B$5:$B$489, B652, '📋 Detalle Diario'!$C$5:$C$489, D652) * 135 + SUMIFS('📋 Detalle Diario'!$I$5:$I$489, '📋 Detalle Diario'!$B$5:$B$489, B652, '📋 Detalle Diario'!$C$5:$C$489, D652) * 200), 0))</f>
        <v/>
      </c>
      <c r="P652" s="32" t="str">
        <f t="shared" si="75"/>
        <v/>
      </c>
      <c r="Q652" s="33" t="str">
        <f t="shared" si="76"/>
        <v/>
      </c>
    </row>
    <row r="653" spans="2:17" ht="18" customHeight="1" x14ac:dyDescent="0.3">
      <c r="B653" s="26"/>
      <c r="C653" s="28"/>
      <c r="D653" s="27"/>
      <c r="E653" s="29"/>
      <c r="F653" s="29"/>
      <c r="G653" s="29"/>
      <c r="H653" s="30" t="str">
        <f t="shared" si="70"/>
        <v/>
      </c>
      <c r="I653" s="31" t="str">
        <f>IF(OR(B653="",C653=""),"",IFERROR(E653*IF(E653="",0,VLOOKUP(C653,'📦 Precios Proforma'!$B$5:$D$104,IF(D653="DIA",2,3),FALSE)),0))</f>
        <v/>
      </c>
      <c r="J653" s="31" t="str">
        <f t="shared" si="71"/>
        <v/>
      </c>
      <c r="K653" s="31" t="str">
        <f t="shared" si="72"/>
        <v/>
      </c>
      <c r="L653" s="31" t="str">
        <f>IF(OR(B653="",C653=""),"",IFERROR(E653 / SUMIFS('📅 Resumen Diario'!$D$5:$D$504, '📅 Resumen Diario'!$B$5:$B$504, B653, '📅 Resumen Diario'!$C$5:$C$504, D653) * SUMIFS('📅 Resumen Diario'!$K$5:$K$504, '📅 Resumen Diario'!$B$5:$B$504, B653, '📅 Resumen Diario'!$C$5:$C$504, D653), 0))</f>
        <v/>
      </c>
      <c r="M653" s="31" t="str">
        <f t="shared" si="73"/>
        <v/>
      </c>
      <c r="N653" s="31" t="str">
        <f t="shared" si="74"/>
        <v/>
      </c>
      <c r="O653" s="31" t="str">
        <f>IF(OR(B653="",C653=""),"",K653-N653 + IFERROR(E653 / SUMIFS('📅 Resumen Diario'!$D$5:$D$504, '📅 Resumen Diario'!$B$5:$B$504, B653, '📅 Resumen Diario'!$C$5:$C$504, D653) * (SUMIFS('📋 Detalle Diario'!$E$5:$E$489, '📋 Detalle Diario'!$B$5:$B$489, B653, '📋 Detalle Diario'!$C$5:$C$489, D653) * 135 + SUMIFS('📋 Detalle Diario'!$I$5:$I$489, '📋 Detalle Diario'!$B$5:$B$489, B653, '📋 Detalle Diario'!$C$5:$C$489, D653) * 200), 0))</f>
        <v/>
      </c>
      <c r="P653" s="32" t="str">
        <f t="shared" si="75"/>
        <v/>
      </c>
      <c r="Q653" s="33" t="str">
        <f t="shared" si="76"/>
        <v/>
      </c>
    </row>
    <row r="654" spans="2:17" ht="18" customHeight="1" x14ac:dyDescent="0.3">
      <c r="B654" s="26"/>
      <c r="C654" s="17"/>
      <c r="D654" s="27"/>
      <c r="E654" s="18"/>
      <c r="F654" s="18"/>
      <c r="G654" s="18"/>
      <c r="H654" s="30" t="str">
        <f t="shared" si="70"/>
        <v/>
      </c>
      <c r="I654" s="31" t="str">
        <f>IF(OR(B654="",C654=""),"",IFERROR(E654*IF(E654="",0,VLOOKUP(C654,'📦 Precios Proforma'!$B$5:$D$104,IF(D654="DIA",2,3),FALSE)),0))</f>
        <v/>
      </c>
      <c r="J654" s="31" t="str">
        <f t="shared" si="71"/>
        <v/>
      </c>
      <c r="K654" s="31" t="str">
        <f t="shared" si="72"/>
        <v/>
      </c>
      <c r="L654" s="31" t="str">
        <f>IF(OR(B654="",C654=""),"",IFERROR(E654 / SUMIFS('📅 Resumen Diario'!$D$5:$D$504, '📅 Resumen Diario'!$B$5:$B$504, B654, '📅 Resumen Diario'!$C$5:$C$504, D654) * SUMIFS('📅 Resumen Diario'!$K$5:$K$504, '📅 Resumen Diario'!$B$5:$B$504, B654, '📅 Resumen Diario'!$C$5:$C$504, D654), 0))</f>
        <v/>
      </c>
      <c r="M654" s="31" t="str">
        <f t="shared" si="73"/>
        <v/>
      </c>
      <c r="N654" s="31" t="str">
        <f t="shared" si="74"/>
        <v/>
      </c>
      <c r="O654" s="31" t="str">
        <f>IF(OR(B654="",C654=""),"",K654-N654 + IFERROR(E654 / SUMIFS('📅 Resumen Diario'!$D$5:$D$504, '📅 Resumen Diario'!$B$5:$B$504, B654, '📅 Resumen Diario'!$C$5:$C$504, D654) * (SUMIFS('📋 Detalle Diario'!$E$5:$E$489, '📋 Detalle Diario'!$B$5:$B$489, B654, '📋 Detalle Diario'!$C$5:$C$489, D654) * 135 + SUMIFS('📋 Detalle Diario'!$I$5:$I$489, '📋 Detalle Diario'!$B$5:$B$489, B654, '📋 Detalle Diario'!$C$5:$C$489, D654) * 200), 0))</f>
        <v/>
      </c>
      <c r="P654" s="32" t="str">
        <f t="shared" si="75"/>
        <v/>
      </c>
      <c r="Q654" s="33" t="str">
        <f t="shared" si="76"/>
        <v/>
      </c>
    </row>
    <row r="655" spans="2:17" ht="18" customHeight="1" x14ac:dyDescent="0.3">
      <c r="B655" s="26"/>
      <c r="C655" s="28"/>
      <c r="D655" s="27"/>
      <c r="E655" s="29"/>
      <c r="F655" s="29"/>
      <c r="G655" s="29"/>
      <c r="H655" s="30" t="str">
        <f t="shared" si="70"/>
        <v/>
      </c>
      <c r="I655" s="31" t="str">
        <f>IF(OR(B655="",C655=""),"",IFERROR(E655*IF(E655="",0,VLOOKUP(C655,'📦 Precios Proforma'!$B$5:$D$104,IF(D655="DIA",2,3),FALSE)),0))</f>
        <v/>
      </c>
      <c r="J655" s="31" t="str">
        <f t="shared" si="71"/>
        <v/>
      </c>
      <c r="K655" s="31" t="str">
        <f t="shared" si="72"/>
        <v/>
      </c>
      <c r="L655" s="31" t="str">
        <f>IF(OR(B655="",C655=""),"",IFERROR(E655 / SUMIFS('📅 Resumen Diario'!$D$5:$D$504, '📅 Resumen Diario'!$B$5:$B$504, B655, '📅 Resumen Diario'!$C$5:$C$504, D655) * SUMIFS('📅 Resumen Diario'!$K$5:$K$504, '📅 Resumen Diario'!$B$5:$B$504, B655, '📅 Resumen Diario'!$C$5:$C$504, D655), 0))</f>
        <v/>
      </c>
      <c r="M655" s="31" t="str">
        <f t="shared" si="73"/>
        <v/>
      </c>
      <c r="N655" s="31" t="str">
        <f t="shared" si="74"/>
        <v/>
      </c>
      <c r="O655" s="31" t="str">
        <f>IF(OR(B655="",C655=""),"",K655-N655 + IFERROR(E655 / SUMIFS('📅 Resumen Diario'!$D$5:$D$504, '📅 Resumen Diario'!$B$5:$B$504, B655, '📅 Resumen Diario'!$C$5:$C$504, D655) * (SUMIFS('📋 Detalle Diario'!$E$5:$E$489, '📋 Detalle Diario'!$B$5:$B$489, B655, '📋 Detalle Diario'!$C$5:$C$489, D655) * 135 + SUMIFS('📋 Detalle Diario'!$I$5:$I$489, '📋 Detalle Diario'!$B$5:$B$489, B655, '📋 Detalle Diario'!$C$5:$C$489, D655) * 200), 0))</f>
        <v/>
      </c>
      <c r="P655" s="32" t="str">
        <f t="shared" si="75"/>
        <v/>
      </c>
      <c r="Q655" s="33" t="str">
        <f t="shared" si="76"/>
        <v/>
      </c>
    </row>
    <row r="656" spans="2:17" ht="18" customHeight="1" x14ac:dyDescent="0.3">
      <c r="B656" s="26"/>
      <c r="C656" s="17"/>
      <c r="D656" s="27"/>
      <c r="E656" s="18"/>
      <c r="F656" s="18"/>
      <c r="G656" s="18"/>
      <c r="H656" s="30" t="str">
        <f t="shared" si="70"/>
        <v/>
      </c>
      <c r="I656" s="31" t="str">
        <f>IF(OR(B656="",C656=""),"",IFERROR(E656*IF(E656="",0,VLOOKUP(C656,'📦 Precios Proforma'!$B$5:$D$104,IF(D656="DIA",2,3),FALSE)),0))</f>
        <v/>
      </c>
      <c r="J656" s="31" t="str">
        <f t="shared" si="71"/>
        <v/>
      </c>
      <c r="K656" s="31" t="str">
        <f t="shared" si="72"/>
        <v/>
      </c>
      <c r="L656" s="31" t="str">
        <f>IF(OR(B656="",C656=""),"",IFERROR(E656 / SUMIFS('📅 Resumen Diario'!$D$5:$D$504, '📅 Resumen Diario'!$B$5:$B$504, B656, '📅 Resumen Diario'!$C$5:$C$504, D656) * SUMIFS('📅 Resumen Diario'!$K$5:$K$504, '📅 Resumen Diario'!$B$5:$B$504, B656, '📅 Resumen Diario'!$C$5:$C$504, D656), 0))</f>
        <v/>
      </c>
      <c r="M656" s="31" t="str">
        <f t="shared" si="73"/>
        <v/>
      </c>
      <c r="N656" s="31" t="str">
        <f t="shared" si="74"/>
        <v/>
      </c>
      <c r="O656" s="31" t="str">
        <f>IF(OR(B656="",C656=""),"",K656-N656 + IFERROR(E656 / SUMIFS('📅 Resumen Diario'!$D$5:$D$504, '📅 Resumen Diario'!$B$5:$B$504, B656, '📅 Resumen Diario'!$C$5:$C$504, D656) * (SUMIFS('📋 Detalle Diario'!$E$5:$E$489, '📋 Detalle Diario'!$B$5:$B$489, B656, '📋 Detalle Diario'!$C$5:$C$489, D656) * 135 + SUMIFS('📋 Detalle Diario'!$I$5:$I$489, '📋 Detalle Diario'!$B$5:$B$489, B656, '📋 Detalle Diario'!$C$5:$C$489, D656) * 200), 0))</f>
        <v/>
      </c>
      <c r="P656" s="32" t="str">
        <f t="shared" si="75"/>
        <v/>
      </c>
      <c r="Q656" s="33" t="str">
        <f t="shared" si="76"/>
        <v/>
      </c>
    </row>
    <row r="657" spans="2:17" ht="18" customHeight="1" x14ac:dyDescent="0.3">
      <c r="B657" s="26"/>
      <c r="C657" s="28"/>
      <c r="D657" s="27"/>
      <c r="E657" s="29"/>
      <c r="F657" s="29"/>
      <c r="G657" s="29"/>
      <c r="H657" s="30" t="str">
        <f t="shared" si="70"/>
        <v/>
      </c>
      <c r="I657" s="31" t="str">
        <f>IF(OR(B657="",C657=""),"",IFERROR(E657*IF(E657="",0,VLOOKUP(C657,'📦 Precios Proforma'!$B$5:$D$104,IF(D657="DIA",2,3),FALSE)),0))</f>
        <v/>
      </c>
      <c r="J657" s="31" t="str">
        <f t="shared" si="71"/>
        <v/>
      </c>
      <c r="K657" s="31" t="str">
        <f t="shared" si="72"/>
        <v/>
      </c>
      <c r="L657" s="31" t="str">
        <f>IF(OR(B657="",C657=""),"",IFERROR(E657 / SUMIFS('📅 Resumen Diario'!$D$5:$D$504, '📅 Resumen Diario'!$B$5:$B$504, B657, '📅 Resumen Diario'!$C$5:$C$504, D657) * SUMIFS('📅 Resumen Diario'!$K$5:$K$504, '📅 Resumen Diario'!$B$5:$B$504, B657, '📅 Resumen Diario'!$C$5:$C$504, D657), 0))</f>
        <v/>
      </c>
      <c r="M657" s="31" t="str">
        <f t="shared" si="73"/>
        <v/>
      </c>
      <c r="N657" s="31" t="str">
        <f t="shared" si="74"/>
        <v/>
      </c>
      <c r="O657" s="31" t="str">
        <f>IF(OR(B657="",C657=""),"",K657-N657 + IFERROR(E657 / SUMIFS('📅 Resumen Diario'!$D$5:$D$504, '📅 Resumen Diario'!$B$5:$B$504, B657, '📅 Resumen Diario'!$C$5:$C$504, D657) * (SUMIFS('📋 Detalle Diario'!$E$5:$E$489, '📋 Detalle Diario'!$B$5:$B$489, B657, '📋 Detalle Diario'!$C$5:$C$489, D657) * 135 + SUMIFS('📋 Detalle Diario'!$I$5:$I$489, '📋 Detalle Diario'!$B$5:$B$489, B657, '📋 Detalle Diario'!$C$5:$C$489, D657) * 200), 0))</f>
        <v/>
      </c>
      <c r="P657" s="32" t="str">
        <f t="shared" si="75"/>
        <v/>
      </c>
      <c r="Q657" s="33" t="str">
        <f t="shared" si="76"/>
        <v/>
      </c>
    </row>
    <row r="658" spans="2:17" ht="18" customHeight="1" x14ac:dyDescent="0.3">
      <c r="B658" s="26"/>
      <c r="C658" s="17"/>
      <c r="D658" s="27"/>
      <c r="E658" s="18"/>
      <c r="F658" s="18"/>
      <c r="G658" s="18"/>
      <c r="H658" s="30" t="str">
        <f t="shared" si="70"/>
        <v/>
      </c>
      <c r="I658" s="31" t="str">
        <f>IF(OR(B658="",C658=""),"",IFERROR(E658*IF(E658="",0,VLOOKUP(C658,'📦 Precios Proforma'!$B$5:$D$104,IF(D658="DIA",2,3),FALSE)),0))</f>
        <v/>
      </c>
      <c r="J658" s="31" t="str">
        <f t="shared" si="71"/>
        <v/>
      </c>
      <c r="K658" s="31" t="str">
        <f t="shared" si="72"/>
        <v/>
      </c>
      <c r="L658" s="31" t="str">
        <f>IF(OR(B658="",C658=""),"",IFERROR(E658 / SUMIFS('📅 Resumen Diario'!$D$5:$D$504, '📅 Resumen Diario'!$B$5:$B$504, B658, '📅 Resumen Diario'!$C$5:$C$504, D658) * SUMIFS('📅 Resumen Diario'!$K$5:$K$504, '📅 Resumen Diario'!$B$5:$B$504, B658, '📅 Resumen Diario'!$C$5:$C$504, D658), 0))</f>
        <v/>
      </c>
      <c r="M658" s="31" t="str">
        <f t="shared" si="73"/>
        <v/>
      </c>
      <c r="N658" s="31" t="str">
        <f t="shared" si="74"/>
        <v/>
      </c>
      <c r="O658" s="31" t="str">
        <f>IF(OR(B658="",C658=""),"",K658-N658 + IFERROR(E658 / SUMIFS('📅 Resumen Diario'!$D$5:$D$504, '📅 Resumen Diario'!$B$5:$B$504, B658, '📅 Resumen Diario'!$C$5:$C$504, D658) * (SUMIFS('📋 Detalle Diario'!$E$5:$E$489, '📋 Detalle Diario'!$B$5:$B$489, B658, '📋 Detalle Diario'!$C$5:$C$489, D658) * 135 + SUMIFS('📋 Detalle Diario'!$I$5:$I$489, '📋 Detalle Diario'!$B$5:$B$489, B658, '📋 Detalle Diario'!$C$5:$C$489, D658) * 200), 0))</f>
        <v/>
      </c>
      <c r="P658" s="32" t="str">
        <f t="shared" si="75"/>
        <v/>
      </c>
      <c r="Q658" s="33" t="str">
        <f t="shared" si="76"/>
        <v/>
      </c>
    </row>
    <row r="659" spans="2:17" ht="18" customHeight="1" x14ac:dyDescent="0.3">
      <c r="B659" s="26"/>
      <c r="C659" s="28"/>
      <c r="D659" s="27"/>
      <c r="E659" s="29"/>
      <c r="F659" s="29"/>
      <c r="G659" s="29"/>
      <c r="H659" s="30" t="str">
        <f t="shared" si="70"/>
        <v/>
      </c>
      <c r="I659" s="31" t="str">
        <f>IF(OR(B659="",C659=""),"",IFERROR(E659*IF(E659="",0,VLOOKUP(C659,'📦 Precios Proforma'!$B$5:$D$104,IF(D659="DIA",2,3),FALSE)),0))</f>
        <v/>
      </c>
      <c r="J659" s="31" t="str">
        <f t="shared" si="71"/>
        <v/>
      </c>
      <c r="K659" s="31" t="str">
        <f t="shared" si="72"/>
        <v/>
      </c>
      <c r="L659" s="31" t="str">
        <f>IF(OR(B659="",C659=""),"",IFERROR(E659 / SUMIFS('📅 Resumen Diario'!$D$5:$D$504, '📅 Resumen Diario'!$B$5:$B$504, B659, '📅 Resumen Diario'!$C$5:$C$504, D659) * SUMIFS('📅 Resumen Diario'!$K$5:$K$504, '📅 Resumen Diario'!$B$5:$B$504, B659, '📅 Resumen Diario'!$C$5:$C$504, D659), 0))</f>
        <v/>
      </c>
      <c r="M659" s="31" t="str">
        <f t="shared" si="73"/>
        <v/>
      </c>
      <c r="N659" s="31" t="str">
        <f t="shared" si="74"/>
        <v/>
      </c>
      <c r="O659" s="31" t="str">
        <f>IF(OR(B659="",C659=""),"",K659-N659 + IFERROR(E659 / SUMIFS('📅 Resumen Diario'!$D$5:$D$504, '📅 Resumen Diario'!$B$5:$B$504, B659, '📅 Resumen Diario'!$C$5:$C$504, D659) * (SUMIFS('📋 Detalle Diario'!$E$5:$E$489, '📋 Detalle Diario'!$B$5:$B$489, B659, '📋 Detalle Diario'!$C$5:$C$489, D659) * 135 + SUMIFS('📋 Detalle Diario'!$I$5:$I$489, '📋 Detalle Diario'!$B$5:$B$489, B659, '📋 Detalle Diario'!$C$5:$C$489, D659) * 200), 0))</f>
        <v/>
      </c>
      <c r="P659" s="32" t="str">
        <f t="shared" si="75"/>
        <v/>
      </c>
      <c r="Q659" s="33" t="str">
        <f t="shared" si="76"/>
        <v/>
      </c>
    </row>
    <row r="660" spans="2:17" ht="18" customHeight="1" x14ac:dyDescent="0.3">
      <c r="B660" s="26"/>
      <c r="C660" s="17"/>
      <c r="D660" s="27"/>
      <c r="E660" s="18"/>
      <c r="F660" s="18"/>
      <c r="G660" s="18"/>
      <c r="H660" s="30" t="str">
        <f t="shared" si="70"/>
        <v/>
      </c>
      <c r="I660" s="31" t="str">
        <f>IF(OR(B660="",C660=""),"",IFERROR(E660*IF(E660="",0,VLOOKUP(C660,'📦 Precios Proforma'!$B$5:$D$104,IF(D660="DIA",2,3),FALSE)),0))</f>
        <v/>
      </c>
      <c r="J660" s="31" t="str">
        <f t="shared" si="71"/>
        <v/>
      </c>
      <c r="K660" s="31" t="str">
        <f t="shared" si="72"/>
        <v/>
      </c>
      <c r="L660" s="31" t="str">
        <f>IF(OR(B660="",C660=""),"",IFERROR(E660 / SUMIFS('📅 Resumen Diario'!$D$5:$D$504, '📅 Resumen Diario'!$B$5:$B$504, B660, '📅 Resumen Diario'!$C$5:$C$504, D660) * SUMIFS('📅 Resumen Diario'!$K$5:$K$504, '📅 Resumen Diario'!$B$5:$B$504, B660, '📅 Resumen Diario'!$C$5:$C$504, D660), 0))</f>
        <v/>
      </c>
      <c r="M660" s="31" t="str">
        <f t="shared" si="73"/>
        <v/>
      </c>
      <c r="N660" s="31" t="str">
        <f t="shared" si="74"/>
        <v/>
      </c>
      <c r="O660" s="31" t="str">
        <f>IF(OR(B660="",C660=""),"",K660-N660 + IFERROR(E660 / SUMIFS('📅 Resumen Diario'!$D$5:$D$504, '📅 Resumen Diario'!$B$5:$B$504, B660, '📅 Resumen Diario'!$C$5:$C$504, D660) * (SUMIFS('📋 Detalle Diario'!$E$5:$E$489, '📋 Detalle Diario'!$B$5:$B$489, B660, '📋 Detalle Diario'!$C$5:$C$489, D660) * 135 + SUMIFS('📋 Detalle Diario'!$I$5:$I$489, '📋 Detalle Diario'!$B$5:$B$489, B660, '📋 Detalle Diario'!$C$5:$C$489, D660) * 200), 0))</f>
        <v/>
      </c>
      <c r="P660" s="32" t="str">
        <f t="shared" si="75"/>
        <v/>
      </c>
      <c r="Q660" s="33" t="str">
        <f t="shared" si="76"/>
        <v/>
      </c>
    </row>
    <row r="661" spans="2:17" ht="18" customHeight="1" x14ac:dyDescent="0.3">
      <c r="B661" s="26"/>
      <c r="C661" s="28"/>
      <c r="D661" s="27"/>
      <c r="E661" s="29"/>
      <c r="F661" s="29"/>
      <c r="G661" s="29"/>
      <c r="H661" s="30" t="str">
        <f t="shared" si="70"/>
        <v/>
      </c>
      <c r="I661" s="31" t="str">
        <f>IF(OR(B661="",C661=""),"",IFERROR(E661*IF(E661="",0,VLOOKUP(C661,'📦 Precios Proforma'!$B$5:$D$104,IF(D661="DIA",2,3),FALSE)),0))</f>
        <v/>
      </c>
      <c r="J661" s="31" t="str">
        <f t="shared" si="71"/>
        <v/>
      </c>
      <c r="K661" s="31" t="str">
        <f t="shared" si="72"/>
        <v/>
      </c>
      <c r="L661" s="31" t="str">
        <f>IF(OR(B661="",C661=""),"",IFERROR(E661 / SUMIFS('📅 Resumen Diario'!$D$5:$D$504, '📅 Resumen Diario'!$B$5:$B$504, B661, '📅 Resumen Diario'!$C$5:$C$504, D661) * SUMIFS('📅 Resumen Diario'!$K$5:$K$504, '📅 Resumen Diario'!$B$5:$B$504, B661, '📅 Resumen Diario'!$C$5:$C$504, D661), 0))</f>
        <v/>
      </c>
      <c r="M661" s="31" t="str">
        <f t="shared" si="73"/>
        <v/>
      </c>
      <c r="N661" s="31" t="str">
        <f t="shared" si="74"/>
        <v/>
      </c>
      <c r="O661" s="31" t="str">
        <f>IF(OR(B661="",C661=""),"",K661-N661 + IFERROR(E661 / SUMIFS('📅 Resumen Diario'!$D$5:$D$504, '📅 Resumen Diario'!$B$5:$B$504, B661, '📅 Resumen Diario'!$C$5:$C$504, D661) * (SUMIFS('📋 Detalle Diario'!$E$5:$E$489, '📋 Detalle Diario'!$B$5:$B$489, B661, '📋 Detalle Diario'!$C$5:$C$489, D661) * 135 + SUMIFS('📋 Detalle Diario'!$I$5:$I$489, '📋 Detalle Diario'!$B$5:$B$489, B661, '📋 Detalle Diario'!$C$5:$C$489, D661) * 200), 0))</f>
        <v/>
      </c>
      <c r="P661" s="32" t="str">
        <f t="shared" si="75"/>
        <v/>
      </c>
      <c r="Q661" s="33" t="str">
        <f t="shared" si="76"/>
        <v/>
      </c>
    </row>
    <row r="662" spans="2:17" ht="18" customHeight="1" x14ac:dyDescent="0.3">
      <c r="B662" s="26"/>
      <c r="C662" s="17"/>
      <c r="D662" s="27"/>
      <c r="E662" s="18"/>
      <c r="F662" s="18"/>
      <c r="G662" s="18"/>
      <c r="H662" s="30" t="str">
        <f t="shared" si="70"/>
        <v/>
      </c>
      <c r="I662" s="31" t="str">
        <f>IF(OR(B662="",C662=""),"",IFERROR(E662*IF(E662="",0,VLOOKUP(C662,'📦 Precios Proforma'!$B$5:$D$104,IF(D662="DIA",2,3),FALSE)),0))</f>
        <v/>
      </c>
      <c r="J662" s="31" t="str">
        <f t="shared" si="71"/>
        <v/>
      </c>
      <c r="K662" s="31" t="str">
        <f t="shared" si="72"/>
        <v/>
      </c>
      <c r="L662" s="31" t="str">
        <f>IF(OR(B662="",C662=""),"",IFERROR(E662 / SUMIFS('📅 Resumen Diario'!$D$5:$D$504, '📅 Resumen Diario'!$B$5:$B$504, B662, '📅 Resumen Diario'!$C$5:$C$504, D662) * SUMIFS('📅 Resumen Diario'!$K$5:$K$504, '📅 Resumen Diario'!$B$5:$B$504, B662, '📅 Resumen Diario'!$C$5:$C$504, D662), 0))</f>
        <v/>
      </c>
      <c r="M662" s="31" t="str">
        <f t="shared" si="73"/>
        <v/>
      </c>
      <c r="N662" s="31" t="str">
        <f t="shared" si="74"/>
        <v/>
      </c>
      <c r="O662" s="31" t="str">
        <f>IF(OR(B662="",C662=""),"",K662-N662 + IFERROR(E662 / SUMIFS('📅 Resumen Diario'!$D$5:$D$504, '📅 Resumen Diario'!$B$5:$B$504, B662, '📅 Resumen Diario'!$C$5:$C$504, D662) * (SUMIFS('📋 Detalle Diario'!$E$5:$E$489, '📋 Detalle Diario'!$B$5:$B$489, B662, '📋 Detalle Diario'!$C$5:$C$489, D662) * 135 + SUMIFS('📋 Detalle Diario'!$I$5:$I$489, '📋 Detalle Diario'!$B$5:$B$489, B662, '📋 Detalle Diario'!$C$5:$C$489, D662) * 200), 0))</f>
        <v/>
      </c>
      <c r="P662" s="32" t="str">
        <f t="shared" si="75"/>
        <v/>
      </c>
      <c r="Q662" s="33" t="str">
        <f t="shared" si="76"/>
        <v/>
      </c>
    </row>
    <row r="663" spans="2:17" ht="18" customHeight="1" x14ac:dyDescent="0.3">
      <c r="B663" s="26"/>
      <c r="C663" s="28"/>
      <c r="D663" s="27"/>
      <c r="E663" s="29"/>
      <c r="F663" s="29"/>
      <c r="G663" s="29"/>
      <c r="H663" s="30" t="str">
        <f t="shared" si="70"/>
        <v/>
      </c>
      <c r="I663" s="31" t="str">
        <f>IF(OR(B663="",C663=""),"",IFERROR(E663*IF(E663="",0,VLOOKUP(C663,'📦 Precios Proforma'!$B$5:$D$104,IF(D663="DIA",2,3),FALSE)),0))</f>
        <v/>
      </c>
      <c r="J663" s="31" t="str">
        <f t="shared" si="71"/>
        <v/>
      </c>
      <c r="K663" s="31" t="str">
        <f t="shared" si="72"/>
        <v/>
      </c>
      <c r="L663" s="31" t="str">
        <f>IF(OR(B663="",C663=""),"",IFERROR(E663 / SUMIFS('📅 Resumen Diario'!$D$5:$D$504, '📅 Resumen Diario'!$B$5:$B$504, B663, '📅 Resumen Diario'!$C$5:$C$504, D663) * SUMIFS('📅 Resumen Diario'!$K$5:$K$504, '📅 Resumen Diario'!$B$5:$B$504, B663, '📅 Resumen Diario'!$C$5:$C$504, D663), 0))</f>
        <v/>
      </c>
      <c r="M663" s="31" t="str">
        <f t="shared" si="73"/>
        <v/>
      </c>
      <c r="N663" s="31" t="str">
        <f t="shared" si="74"/>
        <v/>
      </c>
      <c r="O663" s="31" t="str">
        <f>IF(OR(B663="",C663=""),"",K663-N663 + IFERROR(E663 / SUMIFS('📅 Resumen Diario'!$D$5:$D$504, '📅 Resumen Diario'!$B$5:$B$504, B663, '📅 Resumen Diario'!$C$5:$C$504, D663) * (SUMIFS('📋 Detalle Diario'!$E$5:$E$489, '📋 Detalle Diario'!$B$5:$B$489, B663, '📋 Detalle Diario'!$C$5:$C$489, D663) * 135 + SUMIFS('📋 Detalle Diario'!$I$5:$I$489, '📋 Detalle Diario'!$B$5:$B$489, B663, '📋 Detalle Diario'!$C$5:$C$489, D663) * 200), 0))</f>
        <v/>
      </c>
      <c r="P663" s="32" t="str">
        <f t="shared" si="75"/>
        <v/>
      </c>
      <c r="Q663" s="33" t="str">
        <f t="shared" si="76"/>
        <v/>
      </c>
    </row>
    <row r="664" spans="2:17" ht="18" customHeight="1" x14ac:dyDescent="0.3">
      <c r="B664" s="26"/>
      <c r="C664" s="17"/>
      <c r="D664" s="27"/>
      <c r="E664" s="18"/>
      <c r="F664" s="18"/>
      <c r="G664" s="18"/>
      <c r="H664" s="30" t="str">
        <f t="shared" si="70"/>
        <v/>
      </c>
      <c r="I664" s="31" t="str">
        <f>IF(OR(B664="",C664=""),"",IFERROR(E664*IF(E664="",0,VLOOKUP(C664,'📦 Precios Proforma'!$B$5:$D$104,IF(D664="DIA",2,3),FALSE)),0))</f>
        <v/>
      </c>
      <c r="J664" s="31" t="str">
        <f t="shared" si="71"/>
        <v/>
      </c>
      <c r="K664" s="31" t="str">
        <f t="shared" si="72"/>
        <v/>
      </c>
      <c r="L664" s="31" t="str">
        <f>IF(OR(B664="",C664=""),"",IFERROR(E664 / SUMIFS('📅 Resumen Diario'!$D$5:$D$504, '📅 Resumen Diario'!$B$5:$B$504, B664, '📅 Resumen Diario'!$C$5:$C$504, D664) * SUMIFS('📅 Resumen Diario'!$K$5:$K$504, '📅 Resumen Diario'!$B$5:$B$504, B664, '📅 Resumen Diario'!$C$5:$C$504, D664), 0))</f>
        <v/>
      </c>
      <c r="M664" s="31" t="str">
        <f t="shared" si="73"/>
        <v/>
      </c>
      <c r="N664" s="31" t="str">
        <f t="shared" si="74"/>
        <v/>
      </c>
      <c r="O664" s="31" t="str">
        <f>IF(OR(B664="",C664=""),"",K664-N664 + IFERROR(E664 / SUMIFS('📅 Resumen Diario'!$D$5:$D$504, '📅 Resumen Diario'!$B$5:$B$504, B664, '📅 Resumen Diario'!$C$5:$C$504, D664) * (SUMIFS('📋 Detalle Diario'!$E$5:$E$489, '📋 Detalle Diario'!$B$5:$B$489, B664, '📋 Detalle Diario'!$C$5:$C$489, D664) * 135 + SUMIFS('📋 Detalle Diario'!$I$5:$I$489, '📋 Detalle Diario'!$B$5:$B$489, B664, '📋 Detalle Diario'!$C$5:$C$489, D664) * 200), 0))</f>
        <v/>
      </c>
      <c r="P664" s="32" t="str">
        <f t="shared" si="75"/>
        <v/>
      </c>
      <c r="Q664" s="33" t="str">
        <f t="shared" si="76"/>
        <v/>
      </c>
    </row>
    <row r="665" spans="2:17" ht="18" customHeight="1" x14ac:dyDescent="0.3">
      <c r="B665" s="26"/>
      <c r="C665" s="28"/>
      <c r="D665" s="27"/>
      <c r="E665" s="29"/>
      <c r="F665" s="29"/>
      <c r="G665" s="29"/>
      <c r="H665" s="30" t="str">
        <f t="shared" si="70"/>
        <v/>
      </c>
      <c r="I665" s="31" t="str">
        <f>IF(OR(B665="",C665=""),"",IFERROR(E665*IF(E665="",0,VLOOKUP(C665,'📦 Precios Proforma'!$B$5:$D$104,IF(D665="DIA",2,3),FALSE)),0))</f>
        <v/>
      </c>
      <c r="J665" s="31" t="str">
        <f t="shared" si="71"/>
        <v/>
      </c>
      <c r="K665" s="31" t="str">
        <f t="shared" si="72"/>
        <v/>
      </c>
      <c r="L665" s="31" t="str">
        <f>IF(OR(B665="",C665=""),"",IFERROR(E665 / SUMIFS('📅 Resumen Diario'!$D$5:$D$504, '📅 Resumen Diario'!$B$5:$B$504, B665, '📅 Resumen Diario'!$C$5:$C$504, D665) * SUMIFS('📅 Resumen Diario'!$K$5:$K$504, '📅 Resumen Diario'!$B$5:$B$504, B665, '📅 Resumen Diario'!$C$5:$C$504, D665), 0))</f>
        <v/>
      </c>
      <c r="M665" s="31" t="str">
        <f t="shared" si="73"/>
        <v/>
      </c>
      <c r="N665" s="31" t="str">
        <f t="shared" si="74"/>
        <v/>
      </c>
      <c r="O665" s="31" t="str">
        <f>IF(OR(B665="",C665=""),"",K665-N665 + IFERROR(E665 / SUMIFS('📅 Resumen Diario'!$D$5:$D$504, '📅 Resumen Diario'!$B$5:$B$504, B665, '📅 Resumen Diario'!$C$5:$C$504, D665) * (SUMIFS('📋 Detalle Diario'!$E$5:$E$489, '📋 Detalle Diario'!$B$5:$B$489, B665, '📋 Detalle Diario'!$C$5:$C$489, D665) * 135 + SUMIFS('📋 Detalle Diario'!$I$5:$I$489, '📋 Detalle Diario'!$B$5:$B$489, B665, '📋 Detalle Diario'!$C$5:$C$489, D665) * 200), 0))</f>
        <v/>
      </c>
      <c r="P665" s="32" t="str">
        <f t="shared" si="75"/>
        <v/>
      </c>
      <c r="Q665" s="33" t="str">
        <f t="shared" si="76"/>
        <v/>
      </c>
    </row>
    <row r="666" spans="2:17" ht="18" customHeight="1" x14ac:dyDescent="0.3">
      <c r="B666" s="26"/>
      <c r="C666" s="17"/>
      <c r="D666" s="27"/>
      <c r="E666" s="18"/>
      <c r="F666" s="18"/>
      <c r="G666" s="18"/>
      <c r="H666" s="30" t="str">
        <f t="shared" si="70"/>
        <v/>
      </c>
      <c r="I666" s="31" t="str">
        <f>IF(OR(B666="",C666=""),"",IFERROR(E666*IF(E666="",0,VLOOKUP(C666,'📦 Precios Proforma'!$B$5:$D$104,IF(D666="DIA",2,3),FALSE)),0))</f>
        <v/>
      </c>
      <c r="J666" s="31" t="str">
        <f t="shared" si="71"/>
        <v/>
      </c>
      <c r="K666" s="31" t="str">
        <f t="shared" si="72"/>
        <v/>
      </c>
      <c r="L666" s="31" t="str">
        <f>IF(OR(B666="",C666=""),"",IFERROR(E666 / SUMIFS('📅 Resumen Diario'!$D$5:$D$504, '📅 Resumen Diario'!$B$5:$B$504, B666, '📅 Resumen Diario'!$C$5:$C$504, D666) * SUMIFS('📅 Resumen Diario'!$K$5:$K$504, '📅 Resumen Diario'!$B$5:$B$504, B666, '📅 Resumen Diario'!$C$5:$C$504, D666), 0))</f>
        <v/>
      </c>
      <c r="M666" s="31" t="str">
        <f t="shared" si="73"/>
        <v/>
      </c>
      <c r="N666" s="31" t="str">
        <f t="shared" si="74"/>
        <v/>
      </c>
      <c r="O666" s="31" t="str">
        <f>IF(OR(B666="",C666=""),"",K666-N666 + IFERROR(E666 / SUMIFS('📅 Resumen Diario'!$D$5:$D$504, '📅 Resumen Diario'!$B$5:$B$504, B666, '📅 Resumen Diario'!$C$5:$C$504, D666) * (SUMIFS('📋 Detalle Diario'!$E$5:$E$489, '📋 Detalle Diario'!$B$5:$B$489, B666, '📋 Detalle Diario'!$C$5:$C$489, D666) * 135 + SUMIFS('📋 Detalle Diario'!$I$5:$I$489, '📋 Detalle Diario'!$B$5:$B$489, B666, '📋 Detalle Diario'!$C$5:$C$489, D666) * 200), 0))</f>
        <v/>
      </c>
      <c r="P666" s="32" t="str">
        <f t="shared" si="75"/>
        <v/>
      </c>
      <c r="Q666" s="33" t="str">
        <f t="shared" si="76"/>
        <v/>
      </c>
    </row>
    <row r="667" spans="2:17" ht="18" customHeight="1" x14ac:dyDescent="0.3">
      <c r="B667" s="26"/>
      <c r="C667" s="28"/>
      <c r="D667" s="27"/>
      <c r="E667" s="29"/>
      <c r="F667" s="29"/>
      <c r="G667" s="29"/>
      <c r="H667" s="30" t="str">
        <f t="shared" si="70"/>
        <v/>
      </c>
      <c r="I667" s="31" t="str">
        <f>IF(OR(B667="",C667=""),"",IFERROR(E667*IF(E667="",0,VLOOKUP(C667,'📦 Precios Proforma'!$B$5:$D$104,IF(D667="DIA",2,3),FALSE)),0))</f>
        <v/>
      </c>
      <c r="J667" s="31" t="str">
        <f t="shared" si="71"/>
        <v/>
      </c>
      <c r="K667" s="31" t="str">
        <f t="shared" si="72"/>
        <v/>
      </c>
      <c r="L667" s="31" t="str">
        <f>IF(OR(B667="",C667=""),"",IFERROR(E667 / SUMIFS('📅 Resumen Diario'!$D$5:$D$504, '📅 Resumen Diario'!$B$5:$B$504, B667, '📅 Resumen Diario'!$C$5:$C$504, D667) * SUMIFS('📅 Resumen Diario'!$K$5:$K$504, '📅 Resumen Diario'!$B$5:$B$504, B667, '📅 Resumen Diario'!$C$5:$C$504, D667), 0))</f>
        <v/>
      </c>
      <c r="M667" s="31" t="str">
        <f t="shared" si="73"/>
        <v/>
      </c>
      <c r="N667" s="31" t="str">
        <f t="shared" si="74"/>
        <v/>
      </c>
      <c r="O667" s="31" t="str">
        <f>IF(OR(B667="",C667=""),"",K667-N667 + IFERROR(E667 / SUMIFS('📅 Resumen Diario'!$D$5:$D$504, '📅 Resumen Diario'!$B$5:$B$504, B667, '📅 Resumen Diario'!$C$5:$C$504, D667) * (SUMIFS('📋 Detalle Diario'!$E$5:$E$489, '📋 Detalle Diario'!$B$5:$B$489, B667, '📋 Detalle Diario'!$C$5:$C$489, D667) * 135 + SUMIFS('📋 Detalle Diario'!$I$5:$I$489, '📋 Detalle Diario'!$B$5:$B$489, B667, '📋 Detalle Diario'!$C$5:$C$489, D667) * 200), 0))</f>
        <v/>
      </c>
      <c r="P667" s="32" t="str">
        <f t="shared" si="75"/>
        <v/>
      </c>
      <c r="Q667" s="33" t="str">
        <f t="shared" si="76"/>
        <v/>
      </c>
    </row>
    <row r="668" spans="2:17" ht="18" customHeight="1" x14ac:dyDescent="0.3">
      <c r="B668" s="26"/>
      <c r="C668" s="17"/>
      <c r="D668" s="27"/>
      <c r="E668" s="18"/>
      <c r="F668" s="18"/>
      <c r="G668" s="18"/>
      <c r="H668" s="30" t="str">
        <f t="shared" si="70"/>
        <v/>
      </c>
      <c r="I668" s="31" t="str">
        <f>IF(OR(B668="",C668=""),"",IFERROR(E668*IF(E668="",0,VLOOKUP(C668,'📦 Precios Proforma'!$B$5:$D$104,IF(D668="DIA",2,3),FALSE)),0))</f>
        <v/>
      </c>
      <c r="J668" s="31" t="str">
        <f t="shared" si="71"/>
        <v/>
      </c>
      <c r="K668" s="31" t="str">
        <f t="shared" si="72"/>
        <v/>
      </c>
      <c r="L668" s="31" t="str">
        <f>IF(OR(B668="",C668=""),"",IFERROR(E668 / SUMIFS('📅 Resumen Diario'!$D$5:$D$504, '📅 Resumen Diario'!$B$5:$B$504, B668, '📅 Resumen Diario'!$C$5:$C$504, D668) * SUMIFS('📅 Resumen Diario'!$K$5:$K$504, '📅 Resumen Diario'!$B$5:$B$504, B668, '📅 Resumen Diario'!$C$5:$C$504, D668), 0))</f>
        <v/>
      </c>
      <c r="M668" s="31" t="str">
        <f t="shared" si="73"/>
        <v/>
      </c>
      <c r="N668" s="31" t="str">
        <f t="shared" si="74"/>
        <v/>
      </c>
      <c r="O668" s="31" t="str">
        <f>IF(OR(B668="",C668=""),"",K668-N668 + IFERROR(E668 / SUMIFS('📅 Resumen Diario'!$D$5:$D$504, '📅 Resumen Diario'!$B$5:$B$504, B668, '📅 Resumen Diario'!$C$5:$C$504, D668) * (SUMIFS('📋 Detalle Diario'!$E$5:$E$489, '📋 Detalle Diario'!$B$5:$B$489, B668, '📋 Detalle Diario'!$C$5:$C$489, D668) * 135 + SUMIFS('📋 Detalle Diario'!$I$5:$I$489, '📋 Detalle Diario'!$B$5:$B$489, B668, '📋 Detalle Diario'!$C$5:$C$489, D668) * 200), 0))</f>
        <v/>
      </c>
      <c r="P668" s="32" t="str">
        <f t="shared" si="75"/>
        <v/>
      </c>
      <c r="Q668" s="33" t="str">
        <f t="shared" si="76"/>
        <v/>
      </c>
    </row>
    <row r="669" spans="2:17" ht="18" customHeight="1" x14ac:dyDescent="0.3">
      <c r="B669" s="26"/>
      <c r="C669" s="28"/>
      <c r="D669" s="27"/>
      <c r="E669" s="29"/>
      <c r="F669" s="29"/>
      <c r="G669" s="29"/>
      <c r="H669" s="30" t="str">
        <f t="shared" si="70"/>
        <v/>
      </c>
      <c r="I669" s="31" t="str">
        <f>IF(OR(B669="",C669=""),"",IFERROR(E669*IF(E669="",0,VLOOKUP(C669,'📦 Precios Proforma'!$B$5:$D$104,IF(D669="DIA",2,3),FALSE)),0))</f>
        <v/>
      </c>
      <c r="J669" s="31" t="str">
        <f t="shared" si="71"/>
        <v/>
      </c>
      <c r="K669" s="31" t="str">
        <f t="shared" si="72"/>
        <v/>
      </c>
      <c r="L669" s="31" t="str">
        <f>IF(OR(B669="",C669=""),"",IFERROR(E669 / SUMIFS('📅 Resumen Diario'!$D$5:$D$504, '📅 Resumen Diario'!$B$5:$B$504, B669, '📅 Resumen Diario'!$C$5:$C$504, D669) * SUMIFS('📅 Resumen Diario'!$K$5:$K$504, '📅 Resumen Diario'!$B$5:$B$504, B669, '📅 Resumen Diario'!$C$5:$C$504, D669), 0))</f>
        <v/>
      </c>
      <c r="M669" s="31" t="str">
        <f t="shared" si="73"/>
        <v/>
      </c>
      <c r="N669" s="31" t="str">
        <f t="shared" si="74"/>
        <v/>
      </c>
      <c r="O669" s="31" t="str">
        <f>IF(OR(B669="",C669=""),"",K669-N669 + IFERROR(E669 / SUMIFS('📅 Resumen Diario'!$D$5:$D$504, '📅 Resumen Diario'!$B$5:$B$504, B669, '📅 Resumen Diario'!$C$5:$C$504, D669) * (SUMIFS('📋 Detalle Diario'!$E$5:$E$489, '📋 Detalle Diario'!$B$5:$B$489, B669, '📋 Detalle Diario'!$C$5:$C$489, D669) * 135 + SUMIFS('📋 Detalle Diario'!$I$5:$I$489, '📋 Detalle Diario'!$B$5:$B$489, B669, '📋 Detalle Diario'!$C$5:$C$489, D669) * 200), 0))</f>
        <v/>
      </c>
      <c r="P669" s="32" t="str">
        <f t="shared" si="75"/>
        <v/>
      </c>
      <c r="Q669" s="33" t="str">
        <f t="shared" si="76"/>
        <v/>
      </c>
    </row>
    <row r="670" spans="2:17" ht="18" customHeight="1" x14ac:dyDescent="0.3">
      <c r="B670" s="26"/>
      <c r="C670" s="17"/>
      <c r="D670" s="27"/>
      <c r="E670" s="18"/>
      <c r="F670" s="18"/>
      <c r="G670" s="18"/>
      <c r="H670" s="30" t="str">
        <f t="shared" si="70"/>
        <v/>
      </c>
      <c r="I670" s="31" t="str">
        <f>IF(OR(B670="",C670=""),"",IFERROR(E670*IF(E670="",0,VLOOKUP(C670,'📦 Precios Proforma'!$B$5:$D$104,IF(D670="DIA",2,3),FALSE)),0))</f>
        <v/>
      </c>
      <c r="J670" s="31" t="str">
        <f t="shared" si="71"/>
        <v/>
      </c>
      <c r="K670" s="31" t="str">
        <f t="shared" si="72"/>
        <v/>
      </c>
      <c r="L670" s="31" t="str">
        <f>IF(OR(B670="",C670=""),"",IFERROR(E670 / SUMIFS('📅 Resumen Diario'!$D$5:$D$504, '📅 Resumen Diario'!$B$5:$B$504, B670, '📅 Resumen Diario'!$C$5:$C$504, D670) * SUMIFS('📅 Resumen Diario'!$K$5:$K$504, '📅 Resumen Diario'!$B$5:$B$504, B670, '📅 Resumen Diario'!$C$5:$C$504, D670), 0))</f>
        <v/>
      </c>
      <c r="M670" s="31" t="str">
        <f t="shared" si="73"/>
        <v/>
      </c>
      <c r="N670" s="31" t="str">
        <f t="shared" si="74"/>
        <v/>
      </c>
      <c r="O670" s="31" t="str">
        <f>IF(OR(B670="",C670=""),"",K670-N670 + IFERROR(E670 / SUMIFS('📅 Resumen Diario'!$D$5:$D$504, '📅 Resumen Diario'!$B$5:$B$504, B670, '📅 Resumen Diario'!$C$5:$C$504, D670) * (SUMIFS('📋 Detalle Diario'!$E$5:$E$489, '📋 Detalle Diario'!$B$5:$B$489, B670, '📋 Detalle Diario'!$C$5:$C$489, D670) * 135 + SUMIFS('📋 Detalle Diario'!$I$5:$I$489, '📋 Detalle Diario'!$B$5:$B$489, B670, '📋 Detalle Diario'!$C$5:$C$489, D670) * 200), 0))</f>
        <v/>
      </c>
      <c r="P670" s="32" t="str">
        <f t="shared" si="75"/>
        <v/>
      </c>
      <c r="Q670" s="33" t="str">
        <f t="shared" si="76"/>
        <v/>
      </c>
    </row>
    <row r="671" spans="2:17" ht="18" customHeight="1" x14ac:dyDescent="0.3">
      <c r="B671" s="26"/>
      <c r="C671" s="28"/>
      <c r="D671" s="27"/>
      <c r="E671" s="29"/>
      <c r="F671" s="29"/>
      <c r="G671" s="29"/>
      <c r="H671" s="30" t="str">
        <f t="shared" si="70"/>
        <v/>
      </c>
      <c r="I671" s="31" t="str">
        <f>IF(OR(B671="",C671=""),"",IFERROR(E671*IF(E671="",0,VLOOKUP(C671,'📦 Precios Proforma'!$B$5:$D$104,IF(D671="DIA",2,3),FALSE)),0))</f>
        <v/>
      </c>
      <c r="J671" s="31" t="str">
        <f t="shared" si="71"/>
        <v/>
      </c>
      <c r="K671" s="31" t="str">
        <f t="shared" si="72"/>
        <v/>
      </c>
      <c r="L671" s="31" t="str">
        <f>IF(OR(B671="",C671=""),"",IFERROR(E671 / SUMIFS('📅 Resumen Diario'!$D$5:$D$504, '📅 Resumen Diario'!$B$5:$B$504, B671, '📅 Resumen Diario'!$C$5:$C$504, D671) * SUMIFS('📅 Resumen Diario'!$K$5:$K$504, '📅 Resumen Diario'!$B$5:$B$504, B671, '📅 Resumen Diario'!$C$5:$C$504, D671), 0))</f>
        <v/>
      </c>
      <c r="M671" s="31" t="str">
        <f t="shared" si="73"/>
        <v/>
      </c>
      <c r="N671" s="31" t="str">
        <f t="shared" si="74"/>
        <v/>
      </c>
      <c r="O671" s="31" t="str">
        <f>IF(OR(B671="",C671=""),"",K671-N671 + IFERROR(E671 / SUMIFS('📅 Resumen Diario'!$D$5:$D$504, '📅 Resumen Diario'!$B$5:$B$504, B671, '📅 Resumen Diario'!$C$5:$C$504, D671) * (SUMIFS('📋 Detalle Diario'!$E$5:$E$489, '📋 Detalle Diario'!$B$5:$B$489, B671, '📋 Detalle Diario'!$C$5:$C$489, D671) * 135 + SUMIFS('📋 Detalle Diario'!$I$5:$I$489, '📋 Detalle Diario'!$B$5:$B$489, B671, '📋 Detalle Diario'!$C$5:$C$489, D671) * 200), 0))</f>
        <v/>
      </c>
      <c r="P671" s="32" t="str">
        <f t="shared" si="75"/>
        <v/>
      </c>
      <c r="Q671" s="33" t="str">
        <f t="shared" si="76"/>
        <v/>
      </c>
    </row>
    <row r="672" spans="2:17" ht="18" customHeight="1" x14ac:dyDescent="0.3">
      <c r="B672" s="26"/>
      <c r="C672" s="17"/>
      <c r="D672" s="27"/>
      <c r="E672" s="18"/>
      <c r="F672" s="18"/>
      <c r="G672" s="18"/>
      <c r="H672" s="30" t="str">
        <f t="shared" si="70"/>
        <v/>
      </c>
      <c r="I672" s="31" t="str">
        <f>IF(OR(B672="",C672=""),"",IFERROR(E672*IF(E672="",0,VLOOKUP(C672,'📦 Precios Proforma'!$B$5:$D$104,IF(D672="DIA",2,3),FALSE)),0))</f>
        <v/>
      </c>
      <c r="J672" s="31" t="str">
        <f t="shared" si="71"/>
        <v/>
      </c>
      <c r="K672" s="31" t="str">
        <f t="shared" si="72"/>
        <v/>
      </c>
      <c r="L672" s="31" t="str">
        <f>IF(OR(B672="",C672=""),"",IFERROR(E672 / SUMIFS('📅 Resumen Diario'!$D$5:$D$504, '📅 Resumen Diario'!$B$5:$B$504, B672, '📅 Resumen Diario'!$C$5:$C$504, D672) * SUMIFS('📅 Resumen Diario'!$K$5:$K$504, '📅 Resumen Diario'!$B$5:$B$504, B672, '📅 Resumen Diario'!$C$5:$C$504, D672), 0))</f>
        <v/>
      </c>
      <c r="M672" s="31" t="str">
        <f t="shared" si="73"/>
        <v/>
      </c>
      <c r="N672" s="31" t="str">
        <f t="shared" si="74"/>
        <v/>
      </c>
      <c r="O672" s="31" t="str">
        <f>IF(OR(B672="",C672=""),"",K672-N672 + IFERROR(E672 / SUMIFS('📅 Resumen Diario'!$D$5:$D$504, '📅 Resumen Diario'!$B$5:$B$504, B672, '📅 Resumen Diario'!$C$5:$C$504, D672) * (SUMIFS('📋 Detalle Diario'!$E$5:$E$489, '📋 Detalle Diario'!$B$5:$B$489, B672, '📋 Detalle Diario'!$C$5:$C$489, D672) * 135 + SUMIFS('📋 Detalle Diario'!$I$5:$I$489, '📋 Detalle Diario'!$B$5:$B$489, B672, '📋 Detalle Diario'!$C$5:$C$489, D672) * 200), 0))</f>
        <v/>
      </c>
      <c r="P672" s="32" t="str">
        <f t="shared" si="75"/>
        <v/>
      </c>
      <c r="Q672" s="33" t="str">
        <f t="shared" si="76"/>
        <v/>
      </c>
    </row>
    <row r="673" spans="2:17" ht="18" customHeight="1" x14ac:dyDescent="0.3">
      <c r="B673" s="26"/>
      <c r="C673" s="28"/>
      <c r="D673" s="27"/>
      <c r="E673" s="29"/>
      <c r="F673" s="29"/>
      <c r="G673" s="29"/>
      <c r="H673" s="30" t="str">
        <f t="shared" si="70"/>
        <v/>
      </c>
      <c r="I673" s="31" t="str">
        <f>IF(OR(B673="",C673=""),"",IFERROR(E673*IF(E673="",0,VLOOKUP(C673,'📦 Precios Proforma'!$B$5:$D$104,IF(D673="DIA",2,3),FALSE)),0))</f>
        <v/>
      </c>
      <c r="J673" s="31" t="str">
        <f t="shared" si="71"/>
        <v/>
      </c>
      <c r="K673" s="31" t="str">
        <f t="shared" si="72"/>
        <v/>
      </c>
      <c r="L673" s="31" t="str">
        <f>IF(OR(B673="",C673=""),"",IFERROR(E673 / SUMIFS('📅 Resumen Diario'!$D$5:$D$504, '📅 Resumen Diario'!$B$5:$B$504, B673, '📅 Resumen Diario'!$C$5:$C$504, D673) * SUMIFS('📅 Resumen Diario'!$K$5:$K$504, '📅 Resumen Diario'!$B$5:$B$504, B673, '📅 Resumen Diario'!$C$5:$C$504, D673), 0))</f>
        <v/>
      </c>
      <c r="M673" s="31" t="str">
        <f t="shared" si="73"/>
        <v/>
      </c>
      <c r="N673" s="31" t="str">
        <f t="shared" si="74"/>
        <v/>
      </c>
      <c r="O673" s="31" t="str">
        <f>IF(OR(B673="",C673=""),"",K673-N673 + IFERROR(E673 / SUMIFS('📅 Resumen Diario'!$D$5:$D$504, '📅 Resumen Diario'!$B$5:$B$504, B673, '📅 Resumen Diario'!$C$5:$C$504, D673) * (SUMIFS('📋 Detalle Diario'!$E$5:$E$489, '📋 Detalle Diario'!$B$5:$B$489, B673, '📋 Detalle Diario'!$C$5:$C$489, D673) * 135 + SUMIFS('📋 Detalle Diario'!$I$5:$I$489, '📋 Detalle Diario'!$B$5:$B$489, B673, '📋 Detalle Diario'!$C$5:$C$489, D673) * 200), 0))</f>
        <v/>
      </c>
      <c r="P673" s="32" t="str">
        <f t="shared" si="75"/>
        <v/>
      </c>
      <c r="Q673" s="33" t="str">
        <f t="shared" si="76"/>
        <v/>
      </c>
    </row>
    <row r="674" spans="2:17" ht="18" customHeight="1" x14ac:dyDescent="0.3">
      <c r="B674" s="26"/>
      <c r="C674" s="17"/>
      <c r="D674" s="27"/>
      <c r="E674" s="18"/>
      <c r="F674" s="18"/>
      <c r="G674" s="18"/>
      <c r="H674" s="30" t="str">
        <f t="shared" si="70"/>
        <v/>
      </c>
      <c r="I674" s="31" t="str">
        <f>IF(OR(B674="",C674=""),"",IFERROR(E674*IF(E674="",0,VLOOKUP(C674,'📦 Precios Proforma'!$B$5:$D$104,IF(D674="DIA",2,3),FALSE)),0))</f>
        <v/>
      </c>
      <c r="J674" s="31" t="str">
        <f t="shared" si="71"/>
        <v/>
      </c>
      <c r="K674" s="31" t="str">
        <f t="shared" si="72"/>
        <v/>
      </c>
      <c r="L674" s="31" t="str">
        <f>IF(OR(B674="",C674=""),"",IFERROR(E674 / SUMIFS('📅 Resumen Diario'!$D$5:$D$504, '📅 Resumen Diario'!$B$5:$B$504, B674, '📅 Resumen Diario'!$C$5:$C$504, D674) * SUMIFS('📅 Resumen Diario'!$K$5:$K$504, '📅 Resumen Diario'!$B$5:$B$504, B674, '📅 Resumen Diario'!$C$5:$C$504, D674), 0))</f>
        <v/>
      </c>
      <c r="M674" s="31" t="str">
        <f t="shared" si="73"/>
        <v/>
      </c>
      <c r="N674" s="31" t="str">
        <f t="shared" si="74"/>
        <v/>
      </c>
      <c r="O674" s="31" t="str">
        <f>IF(OR(B674="",C674=""),"",K674-N674 + IFERROR(E674 / SUMIFS('📅 Resumen Diario'!$D$5:$D$504, '📅 Resumen Diario'!$B$5:$B$504, B674, '📅 Resumen Diario'!$C$5:$C$504, D674) * (SUMIFS('📋 Detalle Diario'!$E$5:$E$489, '📋 Detalle Diario'!$B$5:$B$489, B674, '📋 Detalle Diario'!$C$5:$C$489, D674) * 135 + SUMIFS('📋 Detalle Diario'!$I$5:$I$489, '📋 Detalle Diario'!$B$5:$B$489, B674, '📋 Detalle Diario'!$C$5:$C$489, D674) * 200), 0))</f>
        <v/>
      </c>
      <c r="P674" s="32" t="str">
        <f t="shared" si="75"/>
        <v/>
      </c>
      <c r="Q674" s="33" t="str">
        <f t="shared" si="76"/>
        <v/>
      </c>
    </row>
    <row r="675" spans="2:17" ht="18" customHeight="1" x14ac:dyDescent="0.3">
      <c r="B675" s="26"/>
      <c r="C675" s="28"/>
      <c r="D675" s="27"/>
      <c r="E675" s="29"/>
      <c r="F675" s="29"/>
      <c r="G675" s="29"/>
      <c r="H675" s="30" t="str">
        <f t="shared" si="70"/>
        <v/>
      </c>
      <c r="I675" s="31" t="str">
        <f>IF(OR(B675="",C675=""),"",IFERROR(E675*IF(E675="",0,VLOOKUP(C675,'📦 Precios Proforma'!$B$5:$D$104,IF(D675="DIA",2,3),FALSE)),0))</f>
        <v/>
      </c>
      <c r="J675" s="31" t="str">
        <f t="shared" si="71"/>
        <v/>
      </c>
      <c r="K675" s="31" t="str">
        <f t="shared" si="72"/>
        <v/>
      </c>
      <c r="L675" s="31" t="str">
        <f>IF(OR(B675="",C675=""),"",IFERROR(E675 / SUMIFS('📅 Resumen Diario'!$D$5:$D$504, '📅 Resumen Diario'!$B$5:$B$504, B675, '📅 Resumen Diario'!$C$5:$C$504, D675) * SUMIFS('📅 Resumen Diario'!$K$5:$K$504, '📅 Resumen Diario'!$B$5:$B$504, B675, '📅 Resumen Diario'!$C$5:$C$504, D675), 0))</f>
        <v/>
      </c>
      <c r="M675" s="31" t="str">
        <f t="shared" si="73"/>
        <v/>
      </c>
      <c r="N675" s="31" t="str">
        <f t="shared" si="74"/>
        <v/>
      </c>
      <c r="O675" s="31" t="str">
        <f>IF(OR(B675="",C675=""),"",K675-N675 + IFERROR(E675 / SUMIFS('📅 Resumen Diario'!$D$5:$D$504, '📅 Resumen Diario'!$B$5:$B$504, B675, '📅 Resumen Diario'!$C$5:$C$504, D675) * (SUMIFS('📋 Detalle Diario'!$E$5:$E$489, '📋 Detalle Diario'!$B$5:$B$489, B675, '📋 Detalle Diario'!$C$5:$C$489, D675) * 135 + SUMIFS('📋 Detalle Diario'!$I$5:$I$489, '📋 Detalle Diario'!$B$5:$B$489, B675, '📋 Detalle Diario'!$C$5:$C$489, D675) * 200), 0))</f>
        <v/>
      </c>
      <c r="P675" s="32" t="str">
        <f t="shared" si="75"/>
        <v/>
      </c>
      <c r="Q675" s="33" t="str">
        <f t="shared" si="76"/>
        <v/>
      </c>
    </row>
    <row r="676" spans="2:17" ht="18" customHeight="1" x14ac:dyDescent="0.3">
      <c r="B676" s="26"/>
      <c r="C676" s="17"/>
      <c r="D676" s="27"/>
      <c r="E676" s="18"/>
      <c r="F676" s="18"/>
      <c r="G676" s="18"/>
      <c r="H676" s="30" t="str">
        <f t="shared" si="70"/>
        <v/>
      </c>
      <c r="I676" s="31" t="str">
        <f>IF(OR(B676="",C676=""),"",IFERROR(E676*IF(E676="",0,VLOOKUP(C676,'📦 Precios Proforma'!$B$5:$D$104,IF(D676="DIA",2,3),FALSE)),0))</f>
        <v/>
      </c>
      <c r="J676" s="31" t="str">
        <f t="shared" si="71"/>
        <v/>
      </c>
      <c r="K676" s="31" t="str">
        <f t="shared" si="72"/>
        <v/>
      </c>
      <c r="L676" s="31" t="str">
        <f>IF(OR(B676="",C676=""),"",IFERROR(E676 / SUMIFS('📅 Resumen Diario'!$D$5:$D$504, '📅 Resumen Diario'!$B$5:$B$504, B676, '📅 Resumen Diario'!$C$5:$C$504, D676) * SUMIFS('📅 Resumen Diario'!$K$5:$K$504, '📅 Resumen Diario'!$B$5:$B$504, B676, '📅 Resumen Diario'!$C$5:$C$504, D676), 0))</f>
        <v/>
      </c>
      <c r="M676" s="31" t="str">
        <f t="shared" si="73"/>
        <v/>
      </c>
      <c r="N676" s="31" t="str">
        <f t="shared" si="74"/>
        <v/>
      </c>
      <c r="O676" s="31" t="str">
        <f>IF(OR(B676="",C676=""),"",K676-N676 + IFERROR(E676 / SUMIFS('📅 Resumen Diario'!$D$5:$D$504, '📅 Resumen Diario'!$B$5:$B$504, B676, '📅 Resumen Diario'!$C$5:$C$504, D676) * (SUMIFS('📋 Detalle Diario'!$E$5:$E$489, '📋 Detalle Diario'!$B$5:$B$489, B676, '📋 Detalle Diario'!$C$5:$C$489, D676) * 135 + SUMIFS('📋 Detalle Diario'!$I$5:$I$489, '📋 Detalle Diario'!$B$5:$B$489, B676, '📋 Detalle Diario'!$C$5:$C$489, D676) * 200), 0))</f>
        <v/>
      </c>
      <c r="P676" s="32" t="str">
        <f t="shared" si="75"/>
        <v/>
      </c>
      <c r="Q676" s="33" t="str">
        <f t="shared" si="76"/>
        <v/>
      </c>
    </row>
    <row r="677" spans="2:17" ht="18" customHeight="1" x14ac:dyDescent="0.3">
      <c r="B677" s="26"/>
      <c r="C677" s="28"/>
      <c r="D677" s="27"/>
      <c r="E677" s="29"/>
      <c r="F677" s="29"/>
      <c r="G677" s="29"/>
      <c r="H677" s="30" t="str">
        <f t="shared" si="70"/>
        <v/>
      </c>
      <c r="I677" s="31" t="str">
        <f>IF(OR(B677="",C677=""),"",IFERROR(E677*IF(E677="",0,VLOOKUP(C677,'📦 Precios Proforma'!$B$5:$D$104,IF(D677="DIA",2,3),FALSE)),0))</f>
        <v/>
      </c>
      <c r="J677" s="31" t="str">
        <f t="shared" si="71"/>
        <v/>
      </c>
      <c r="K677" s="31" t="str">
        <f t="shared" si="72"/>
        <v/>
      </c>
      <c r="L677" s="31" t="str">
        <f>IF(OR(B677="",C677=""),"",IFERROR(E677 / SUMIFS('📅 Resumen Diario'!$D$5:$D$504, '📅 Resumen Diario'!$B$5:$B$504, B677, '📅 Resumen Diario'!$C$5:$C$504, D677) * SUMIFS('📅 Resumen Diario'!$K$5:$K$504, '📅 Resumen Diario'!$B$5:$B$504, B677, '📅 Resumen Diario'!$C$5:$C$504, D677), 0))</f>
        <v/>
      </c>
      <c r="M677" s="31" t="str">
        <f t="shared" si="73"/>
        <v/>
      </c>
      <c r="N677" s="31" t="str">
        <f t="shared" si="74"/>
        <v/>
      </c>
      <c r="O677" s="31" t="str">
        <f>IF(OR(B677="",C677=""),"",K677-N677 + IFERROR(E677 / SUMIFS('📅 Resumen Diario'!$D$5:$D$504, '📅 Resumen Diario'!$B$5:$B$504, B677, '📅 Resumen Diario'!$C$5:$C$504, D677) * (SUMIFS('📋 Detalle Diario'!$E$5:$E$489, '📋 Detalle Diario'!$B$5:$B$489, B677, '📋 Detalle Diario'!$C$5:$C$489, D677) * 135 + SUMIFS('📋 Detalle Diario'!$I$5:$I$489, '📋 Detalle Diario'!$B$5:$B$489, B677, '📋 Detalle Diario'!$C$5:$C$489, D677) * 200), 0))</f>
        <v/>
      </c>
      <c r="P677" s="32" t="str">
        <f t="shared" si="75"/>
        <v/>
      </c>
      <c r="Q677" s="33" t="str">
        <f t="shared" si="76"/>
        <v/>
      </c>
    </row>
    <row r="678" spans="2:17" ht="18" customHeight="1" x14ac:dyDescent="0.3">
      <c r="B678" s="26"/>
      <c r="C678" s="17"/>
      <c r="D678" s="27"/>
      <c r="E678" s="18"/>
      <c r="F678" s="18"/>
      <c r="G678" s="18"/>
      <c r="H678" s="30" t="str">
        <f t="shared" si="70"/>
        <v/>
      </c>
      <c r="I678" s="31" t="str">
        <f>IF(OR(B678="",C678=""),"",IFERROR(E678*IF(E678="",0,VLOOKUP(C678,'📦 Precios Proforma'!$B$5:$D$104,IF(D678="DIA",2,3),FALSE)),0))</f>
        <v/>
      </c>
      <c r="J678" s="31" t="str">
        <f t="shared" si="71"/>
        <v/>
      </c>
      <c r="K678" s="31" t="str">
        <f t="shared" si="72"/>
        <v/>
      </c>
      <c r="L678" s="31" t="str">
        <f>IF(OR(B678="",C678=""),"",IFERROR(E678 / SUMIFS('📅 Resumen Diario'!$D$5:$D$504, '📅 Resumen Diario'!$B$5:$B$504, B678, '📅 Resumen Diario'!$C$5:$C$504, D678) * SUMIFS('📅 Resumen Diario'!$K$5:$K$504, '📅 Resumen Diario'!$B$5:$B$504, B678, '📅 Resumen Diario'!$C$5:$C$504, D678), 0))</f>
        <v/>
      </c>
      <c r="M678" s="31" t="str">
        <f t="shared" si="73"/>
        <v/>
      </c>
      <c r="N678" s="31" t="str">
        <f t="shared" si="74"/>
        <v/>
      </c>
      <c r="O678" s="31" t="str">
        <f>IF(OR(B678="",C678=""),"",K678-N678 + IFERROR(E678 / SUMIFS('📅 Resumen Diario'!$D$5:$D$504, '📅 Resumen Diario'!$B$5:$B$504, B678, '📅 Resumen Diario'!$C$5:$C$504, D678) * (SUMIFS('📋 Detalle Diario'!$E$5:$E$489, '📋 Detalle Diario'!$B$5:$B$489, B678, '📋 Detalle Diario'!$C$5:$C$489, D678) * 135 + SUMIFS('📋 Detalle Diario'!$I$5:$I$489, '📋 Detalle Diario'!$B$5:$B$489, B678, '📋 Detalle Diario'!$C$5:$C$489, D678) * 200), 0))</f>
        <v/>
      </c>
      <c r="P678" s="32" t="str">
        <f t="shared" si="75"/>
        <v/>
      </c>
      <c r="Q678" s="33" t="str">
        <f t="shared" si="76"/>
        <v/>
      </c>
    </row>
    <row r="679" spans="2:17" ht="18" customHeight="1" x14ac:dyDescent="0.3">
      <c r="B679" s="26"/>
      <c r="C679" s="28"/>
      <c r="D679" s="27"/>
      <c r="E679" s="29"/>
      <c r="F679" s="29"/>
      <c r="G679" s="29"/>
      <c r="H679" s="30" t="str">
        <f t="shared" si="70"/>
        <v/>
      </c>
      <c r="I679" s="31" t="str">
        <f>IF(OR(B679="",C679=""),"",IFERROR(E679*IF(E679="",0,VLOOKUP(C679,'📦 Precios Proforma'!$B$5:$D$104,IF(D679="DIA",2,3),FALSE)),0))</f>
        <v/>
      </c>
      <c r="J679" s="31" t="str">
        <f t="shared" si="71"/>
        <v/>
      </c>
      <c r="K679" s="31" t="str">
        <f t="shared" si="72"/>
        <v/>
      </c>
      <c r="L679" s="31" t="str">
        <f>IF(OR(B679="",C679=""),"",IFERROR(E679 / SUMIFS('📅 Resumen Diario'!$D$5:$D$504, '📅 Resumen Diario'!$B$5:$B$504, B679, '📅 Resumen Diario'!$C$5:$C$504, D679) * SUMIFS('📅 Resumen Diario'!$K$5:$K$504, '📅 Resumen Diario'!$B$5:$B$504, B679, '📅 Resumen Diario'!$C$5:$C$504, D679), 0))</f>
        <v/>
      </c>
      <c r="M679" s="31" t="str">
        <f t="shared" si="73"/>
        <v/>
      </c>
      <c r="N679" s="31" t="str">
        <f t="shared" si="74"/>
        <v/>
      </c>
      <c r="O679" s="31" t="str">
        <f>IF(OR(B679="",C679=""),"",K679-N679 + IFERROR(E679 / SUMIFS('📅 Resumen Diario'!$D$5:$D$504, '📅 Resumen Diario'!$B$5:$B$504, B679, '📅 Resumen Diario'!$C$5:$C$504, D679) * (SUMIFS('📋 Detalle Diario'!$E$5:$E$489, '📋 Detalle Diario'!$B$5:$B$489, B679, '📋 Detalle Diario'!$C$5:$C$489, D679) * 135 + SUMIFS('📋 Detalle Diario'!$I$5:$I$489, '📋 Detalle Diario'!$B$5:$B$489, B679, '📋 Detalle Diario'!$C$5:$C$489, D679) * 200), 0))</f>
        <v/>
      </c>
      <c r="P679" s="32" t="str">
        <f t="shared" si="75"/>
        <v/>
      </c>
      <c r="Q679" s="33" t="str">
        <f t="shared" si="76"/>
        <v/>
      </c>
    </row>
    <row r="680" spans="2:17" ht="18" customHeight="1" x14ac:dyDescent="0.3">
      <c r="B680" s="26"/>
      <c r="C680" s="17"/>
      <c r="D680" s="27"/>
      <c r="E680" s="18"/>
      <c r="F680" s="18"/>
      <c r="G680" s="18"/>
      <c r="H680" s="30" t="str">
        <f t="shared" si="70"/>
        <v/>
      </c>
      <c r="I680" s="31" t="str">
        <f>IF(OR(B680="",C680=""),"",IFERROR(E680*IF(E680="",0,VLOOKUP(C680,'📦 Precios Proforma'!$B$5:$D$104,IF(D680="DIA",2,3),FALSE)),0))</f>
        <v/>
      </c>
      <c r="J680" s="31" t="str">
        <f t="shared" si="71"/>
        <v/>
      </c>
      <c r="K680" s="31" t="str">
        <f t="shared" si="72"/>
        <v/>
      </c>
      <c r="L680" s="31" t="str">
        <f>IF(OR(B680="",C680=""),"",IFERROR(E680 / SUMIFS('📅 Resumen Diario'!$D$5:$D$504, '📅 Resumen Diario'!$B$5:$B$504, B680, '📅 Resumen Diario'!$C$5:$C$504, D680) * SUMIFS('📅 Resumen Diario'!$K$5:$K$504, '📅 Resumen Diario'!$B$5:$B$504, B680, '📅 Resumen Diario'!$C$5:$C$504, D680), 0))</f>
        <v/>
      </c>
      <c r="M680" s="31" t="str">
        <f t="shared" si="73"/>
        <v/>
      </c>
      <c r="N680" s="31" t="str">
        <f t="shared" si="74"/>
        <v/>
      </c>
      <c r="O680" s="31" t="str">
        <f>IF(OR(B680="",C680=""),"",K680-N680 + IFERROR(E680 / SUMIFS('📅 Resumen Diario'!$D$5:$D$504, '📅 Resumen Diario'!$B$5:$B$504, B680, '📅 Resumen Diario'!$C$5:$C$504, D680) * (SUMIFS('📋 Detalle Diario'!$E$5:$E$489, '📋 Detalle Diario'!$B$5:$B$489, B680, '📋 Detalle Diario'!$C$5:$C$489, D680) * 135 + SUMIFS('📋 Detalle Diario'!$I$5:$I$489, '📋 Detalle Diario'!$B$5:$B$489, B680, '📋 Detalle Diario'!$C$5:$C$489, D680) * 200), 0))</f>
        <v/>
      </c>
      <c r="P680" s="32" t="str">
        <f t="shared" si="75"/>
        <v/>
      </c>
      <c r="Q680" s="33" t="str">
        <f t="shared" si="76"/>
        <v/>
      </c>
    </row>
    <row r="681" spans="2:17" ht="18" customHeight="1" x14ac:dyDescent="0.3">
      <c r="B681" s="26"/>
      <c r="C681" s="28"/>
      <c r="D681" s="27"/>
      <c r="E681" s="29"/>
      <c r="F681" s="29"/>
      <c r="G681" s="29"/>
      <c r="H681" s="30" t="str">
        <f t="shared" si="70"/>
        <v/>
      </c>
      <c r="I681" s="31" t="str">
        <f>IF(OR(B681="",C681=""),"",IFERROR(E681*IF(E681="",0,VLOOKUP(C681,'📦 Precios Proforma'!$B$5:$D$104,IF(D681="DIA",2,3),FALSE)),0))</f>
        <v/>
      </c>
      <c r="J681" s="31" t="str">
        <f t="shared" si="71"/>
        <v/>
      </c>
      <c r="K681" s="31" t="str">
        <f t="shared" si="72"/>
        <v/>
      </c>
      <c r="L681" s="31" t="str">
        <f>IF(OR(B681="",C681=""),"",IFERROR(E681 / SUMIFS('📅 Resumen Diario'!$D$5:$D$504, '📅 Resumen Diario'!$B$5:$B$504, B681, '📅 Resumen Diario'!$C$5:$C$504, D681) * SUMIFS('📅 Resumen Diario'!$K$5:$K$504, '📅 Resumen Diario'!$B$5:$B$504, B681, '📅 Resumen Diario'!$C$5:$C$504, D681), 0))</f>
        <v/>
      </c>
      <c r="M681" s="31" t="str">
        <f t="shared" si="73"/>
        <v/>
      </c>
      <c r="N681" s="31" t="str">
        <f t="shared" si="74"/>
        <v/>
      </c>
      <c r="O681" s="31" t="str">
        <f>IF(OR(B681="",C681=""),"",K681-N681 + IFERROR(E681 / SUMIFS('📅 Resumen Diario'!$D$5:$D$504, '📅 Resumen Diario'!$B$5:$B$504, B681, '📅 Resumen Diario'!$C$5:$C$504, D681) * (SUMIFS('📋 Detalle Diario'!$E$5:$E$489, '📋 Detalle Diario'!$B$5:$B$489, B681, '📋 Detalle Diario'!$C$5:$C$489, D681) * 135 + SUMIFS('📋 Detalle Diario'!$I$5:$I$489, '📋 Detalle Diario'!$B$5:$B$489, B681, '📋 Detalle Diario'!$C$5:$C$489, D681) * 200), 0))</f>
        <v/>
      </c>
      <c r="P681" s="32" t="str">
        <f t="shared" si="75"/>
        <v/>
      </c>
      <c r="Q681" s="33" t="str">
        <f t="shared" si="76"/>
        <v/>
      </c>
    </row>
    <row r="682" spans="2:17" ht="18" customHeight="1" x14ac:dyDescent="0.3">
      <c r="B682" s="26"/>
      <c r="C682" s="17"/>
      <c r="D682" s="27"/>
      <c r="E682" s="18"/>
      <c r="F682" s="18"/>
      <c r="G682" s="18"/>
      <c r="H682" s="30" t="str">
        <f t="shared" si="70"/>
        <v/>
      </c>
      <c r="I682" s="31" t="str">
        <f>IF(OR(B682="",C682=""),"",IFERROR(E682*IF(E682="",0,VLOOKUP(C682,'📦 Precios Proforma'!$B$5:$D$104,IF(D682="DIA",2,3),FALSE)),0))</f>
        <v/>
      </c>
      <c r="J682" s="31" t="str">
        <f t="shared" si="71"/>
        <v/>
      </c>
      <c r="K682" s="31" t="str">
        <f t="shared" si="72"/>
        <v/>
      </c>
      <c r="L682" s="31" t="str">
        <f>IF(OR(B682="",C682=""),"",IFERROR(E682 / SUMIFS('📅 Resumen Diario'!$D$5:$D$504, '📅 Resumen Diario'!$B$5:$B$504, B682, '📅 Resumen Diario'!$C$5:$C$504, D682) * SUMIFS('📅 Resumen Diario'!$K$5:$K$504, '📅 Resumen Diario'!$B$5:$B$504, B682, '📅 Resumen Diario'!$C$5:$C$504, D682), 0))</f>
        <v/>
      </c>
      <c r="M682" s="31" t="str">
        <f t="shared" si="73"/>
        <v/>
      </c>
      <c r="N682" s="31" t="str">
        <f t="shared" si="74"/>
        <v/>
      </c>
      <c r="O682" s="31" t="str">
        <f>IF(OR(B682="",C682=""),"",K682-N682 + IFERROR(E682 / SUMIFS('📅 Resumen Diario'!$D$5:$D$504, '📅 Resumen Diario'!$B$5:$B$504, B682, '📅 Resumen Diario'!$C$5:$C$504, D682) * (SUMIFS('📋 Detalle Diario'!$E$5:$E$489, '📋 Detalle Diario'!$B$5:$B$489, B682, '📋 Detalle Diario'!$C$5:$C$489, D682) * 135 + SUMIFS('📋 Detalle Diario'!$I$5:$I$489, '📋 Detalle Diario'!$B$5:$B$489, B682, '📋 Detalle Diario'!$C$5:$C$489, D682) * 200), 0))</f>
        <v/>
      </c>
      <c r="P682" s="32" t="str">
        <f t="shared" si="75"/>
        <v/>
      </c>
      <c r="Q682" s="33" t="str">
        <f t="shared" si="76"/>
        <v/>
      </c>
    </row>
    <row r="683" spans="2:17" ht="18" customHeight="1" x14ac:dyDescent="0.3">
      <c r="B683" s="26"/>
      <c r="C683" s="28"/>
      <c r="D683" s="27"/>
      <c r="E683" s="29"/>
      <c r="F683" s="29"/>
      <c r="G683" s="29"/>
      <c r="H683" s="30" t="str">
        <f t="shared" si="70"/>
        <v/>
      </c>
      <c r="I683" s="31" t="str">
        <f>IF(OR(B683="",C683=""),"",IFERROR(E683*IF(E683="",0,VLOOKUP(C683,'📦 Precios Proforma'!$B$5:$D$104,IF(D683="DIA",2,3),FALSE)),0))</f>
        <v/>
      </c>
      <c r="J683" s="31" t="str">
        <f t="shared" si="71"/>
        <v/>
      </c>
      <c r="K683" s="31" t="str">
        <f t="shared" si="72"/>
        <v/>
      </c>
      <c r="L683" s="31" t="str">
        <f>IF(OR(B683="",C683=""),"",IFERROR(E683 / SUMIFS('📅 Resumen Diario'!$D$5:$D$504, '📅 Resumen Diario'!$B$5:$B$504, B683, '📅 Resumen Diario'!$C$5:$C$504, D683) * SUMIFS('📅 Resumen Diario'!$K$5:$K$504, '📅 Resumen Diario'!$B$5:$B$504, B683, '📅 Resumen Diario'!$C$5:$C$504, D683), 0))</f>
        <v/>
      </c>
      <c r="M683" s="31" t="str">
        <f t="shared" si="73"/>
        <v/>
      </c>
      <c r="N683" s="31" t="str">
        <f t="shared" si="74"/>
        <v/>
      </c>
      <c r="O683" s="31" t="str">
        <f>IF(OR(B683="",C683=""),"",K683-N683 + IFERROR(E683 / SUMIFS('📅 Resumen Diario'!$D$5:$D$504, '📅 Resumen Diario'!$B$5:$B$504, B683, '📅 Resumen Diario'!$C$5:$C$504, D683) * (SUMIFS('📋 Detalle Diario'!$E$5:$E$489, '📋 Detalle Diario'!$B$5:$B$489, B683, '📋 Detalle Diario'!$C$5:$C$489, D683) * 135 + SUMIFS('📋 Detalle Diario'!$I$5:$I$489, '📋 Detalle Diario'!$B$5:$B$489, B683, '📋 Detalle Diario'!$C$5:$C$489, D683) * 200), 0))</f>
        <v/>
      </c>
      <c r="P683" s="32" t="str">
        <f t="shared" si="75"/>
        <v/>
      </c>
      <c r="Q683" s="33" t="str">
        <f t="shared" si="76"/>
        <v/>
      </c>
    </row>
    <row r="684" spans="2:17" ht="18" customHeight="1" x14ac:dyDescent="0.3">
      <c r="B684" s="26"/>
      <c r="C684" s="17"/>
      <c r="D684" s="27"/>
      <c r="E684" s="18"/>
      <c r="F684" s="18"/>
      <c r="G684" s="18"/>
      <c r="H684" s="30" t="str">
        <f t="shared" si="70"/>
        <v/>
      </c>
      <c r="I684" s="31" t="str">
        <f>IF(OR(B684="",C684=""),"",IFERROR(E684*IF(E684="",0,VLOOKUP(C684,'📦 Precios Proforma'!$B$5:$D$104,IF(D684="DIA",2,3),FALSE)),0))</f>
        <v/>
      </c>
      <c r="J684" s="31" t="str">
        <f t="shared" si="71"/>
        <v/>
      </c>
      <c r="K684" s="31" t="str">
        <f t="shared" si="72"/>
        <v/>
      </c>
      <c r="L684" s="31" t="str">
        <f>IF(OR(B684="",C684=""),"",IFERROR(E684 / SUMIFS('📅 Resumen Diario'!$D$5:$D$504, '📅 Resumen Diario'!$B$5:$B$504, B684, '📅 Resumen Diario'!$C$5:$C$504, D684) * SUMIFS('📅 Resumen Diario'!$K$5:$K$504, '📅 Resumen Diario'!$B$5:$B$504, B684, '📅 Resumen Diario'!$C$5:$C$504, D684), 0))</f>
        <v/>
      </c>
      <c r="M684" s="31" t="str">
        <f t="shared" si="73"/>
        <v/>
      </c>
      <c r="N684" s="31" t="str">
        <f t="shared" si="74"/>
        <v/>
      </c>
      <c r="O684" s="31" t="str">
        <f>IF(OR(B684="",C684=""),"",K684-N684 + IFERROR(E684 / SUMIFS('📅 Resumen Diario'!$D$5:$D$504, '📅 Resumen Diario'!$B$5:$B$504, B684, '📅 Resumen Diario'!$C$5:$C$504, D684) * (SUMIFS('📋 Detalle Diario'!$E$5:$E$489, '📋 Detalle Diario'!$B$5:$B$489, B684, '📋 Detalle Diario'!$C$5:$C$489, D684) * 135 + SUMIFS('📋 Detalle Diario'!$I$5:$I$489, '📋 Detalle Diario'!$B$5:$B$489, B684, '📋 Detalle Diario'!$C$5:$C$489, D684) * 200), 0))</f>
        <v/>
      </c>
      <c r="P684" s="32" t="str">
        <f t="shared" si="75"/>
        <v/>
      </c>
      <c r="Q684" s="33" t="str">
        <f t="shared" si="76"/>
        <v/>
      </c>
    </row>
    <row r="685" spans="2:17" ht="18" customHeight="1" x14ac:dyDescent="0.3">
      <c r="B685" s="26"/>
      <c r="C685" s="28"/>
      <c r="D685" s="27"/>
      <c r="E685" s="29"/>
      <c r="F685" s="29"/>
      <c r="G685" s="29"/>
      <c r="H685" s="30" t="str">
        <f t="shared" si="70"/>
        <v/>
      </c>
      <c r="I685" s="31" t="str">
        <f>IF(OR(B685="",C685=""),"",IFERROR(E685*IF(E685="",0,VLOOKUP(C685,'📦 Precios Proforma'!$B$5:$D$104,IF(D685="DIA",2,3),FALSE)),0))</f>
        <v/>
      </c>
      <c r="J685" s="31" t="str">
        <f t="shared" si="71"/>
        <v/>
      </c>
      <c r="K685" s="31" t="str">
        <f t="shared" si="72"/>
        <v/>
      </c>
      <c r="L685" s="31" t="str">
        <f>IF(OR(B685="",C685=""),"",IFERROR(E685 / SUMIFS('📅 Resumen Diario'!$D$5:$D$504, '📅 Resumen Diario'!$B$5:$B$504, B685, '📅 Resumen Diario'!$C$5:$C$504, D685) * SUMIFS('📅 Resumen Diario'!$K$5:$K$504, '📅 Resumen Diario'!$B$5:$B$504, B685, '📅 Resumen Diario'!$C$5:$C$504, D685), 0))</f>
        <v/>
      </c>
      <c r="M685" s="31" t="str">
        <f t="shared" si="73"/>
        <v/>
      </c>
      <c r="N685" s="31" t="str">
        <f t="shared" si="74"/>
        <v/>
      </c>
      <c r="O685" s="31" t="str">
        <f>IF(OR(B685="",C685=""),"",K685-N685 + IFERROR(E685 / SUMIFS('📅 Resumen Diario'!$D$5:$D$504, '📅 Resumen Diario'!$B$5:$B$504, B685, '📅 Resumen Diario'!$C$5:$C$504, D685) * (SUMIFS('📋 Detalle Diario'!$E$5:$E$489, '📋 Detalle Diario'!$B$5:$B$489, B685, '📋 Detalle Diario'!$C$5:$C$489, D685) * 135 + SUMIFS('📋 Detalle Diario'!$I$5:$I$489, '📋 Detalle Diario'!$B$5:$B$489, B685, '📋 Detalle Diario'!$C$5:$C$489, D685) * 200), 0))</f>
        <v/>
      </c>
      <c r="P685" s="32" t="str">
        <f t="shared" si="75"/>
        <v/>
      </c>
      <c r="Q685" s="33" t="str">
        <f t="shared" si="76"/>
        <v/>
      </c>
    </row>
    <row r="686" spans="2:17" ht="18" customHeight="1" x14ac:dyDescent="0.3">
      <c r="B686" s="26"/>
      <c r="C686" s="17"/>
      <c r="D686" s="27"/>
      <c r="E686" s="18"/>
      <c r="F686" s="18"/>
      <c r="G686" s="18"/>
      <c r="H686" s="30" t="str">
        <f t="shared" si="70"/>
        <v/>
      </c>
      <c r="I686" s="31" t="str">
        <f>IF(OR(B686="",C686=""),"",IFERROR(E686*IF(E686="",0,VLOOKUP(C686,'📦 Precios Proforma'!$B$5:$D$104,IF(D686="DIA",2,3),FALSE)),0))</f>
        <v/>
      </c>
      <c r="J686" s="31" t="str">
        <f t="shared" si="71"/>
        <v/>
      </c>
      <c r="K686" s="31" t="str">
        <f t="shared" si="72"/>
        <v/>
      </c>
      <c r="L686" s="31" t="str">
        <f>IF(OR(B686="",C686=""),"",IFERROR(E686 / SUMIFS('📅 Resumen Diario'!$D$5:$D$504, '📅 Resumen Diario'!$B$5:$B$504, B686, '📅 Resumen Diario'!$C$5:$C$504, D686) * SUMIFS('📅 Resumen Diario'!$K$5:$K$504, '📅 Resumen Diario'!$B$5:$B$504, B686, '📅 Resumen Diario'!$C$5:$C$504, D686), 0))</f>
        <v/>
      </c>
      <c r="M686" s="31" t="str">
        <f t="shared" si="73"/>
        <v/>
      </c>
      <c r="N686" s="31" t="str">
        <f t="shared" si="74"/>
        <v/>
      </c>
      <c r="O686" s="31" t="str">
        <f>IF(OR(B686="",C686=""),"",K686-N686 + IFERROR(E686 / SUMIFS('📅 Resumen Diario'!$D$5:$D$504, '📅 Resumen Diario'!$B$5:$B$504, B686, '📅 Resumen Diario'!$C$5:$C$504, D686) * (SUMIFS('📋 Detalle Diario'!$E$5:$E$489, '📋 Detalle Diario'!$B$5:$B$489, B686, '📋 Detalle Diario'!$C$5:$C$489, D686) * 135 + SUMIFS('📋 Detalle Diario'!$I$5:$I$489, '📋 Detalle Diario'!$B$5:$B$489, B686, '📋 Detalle Diario'!$C$5:$C$489, D686) * 200), 0))</f>
        <v/>
      </c>
      <c r="P686" s="32" t="str">
        <f t="shared" si="75"/>
        <v/>
      </c>
      <c r="Q686" s="33" t="str">
        <f t="shared" si="76"/>
        <v/>
      </c>
    </row>
    <row r="687" spans="2:17" ht="18" customHeight="1" x14ac:dyDescent="0.3">
      <c r="B687" s="26"/>
      <c r="C687" s="28"/>
      <c r="D687" s="27"/>
      <c r="E687" s="29"/>
      <c r="F687" s="29"/>
      <c r="G687" s="29"/>
      <c r="H687" s="30" t="str">
        <f t="shared" si="70"/>
        <v/>
      </c>
      <c r="I687" s="31" t="str">
        <f>IF(OR(B687="",C687=""),"",IFERROR(E687*IF(E687="",0,VLOOKUP(C687,'📦 Precios Proforma'!$B$5:$D$104,IF(D687="DIA",2,3),FALSE)),0))</f>
        <v/>
      </c>
      <c r="J687" s="31" t="str">
        <f t="shared" si="71"/>
        <v/>
      </c>
      <c r="K687" s="31" t="str">
        <f t="shared" si="72"/>
        <v/>
      </c>
      <c r="L687" s="31" t="str">
        <f>IF(OR(B687="",C687=""),"",IFERROR(E687 / SUMIFS('📅 Resumen Diario'!$D$5:$D$504, '📅 Resumen Diario'!$B$5:$B$504, B687, '📅 Resumen Diario'!$C$5:$C$504, D687) * SUMIFS('📅 Resumen Diario'!$K$5:$K$504, '📅 Resumen Diario'!$B$5:$B$504, B687, '📅 Resumen Diario'!$C$5:$C$504, D687), 0))</f>
        <v/>
      </c>
      <c r="M687" s="31" t="str">
        <f t="shared" si="73"/>
        <v/>
      </c>
      <c r="N687" s="31" t="str">
        <f t="shared" si="74"/>
        <v/>
      </c>
      <c r="O687" s="31" t="str">
        <f>IF(OR(B687="",C687=""),"",K687-N687 + IFERROR(E687 / SUMIFS('📅 Resumen Diario'!$D$5:$D$504, '📅 Resumen Diario'!$B$5:$B$504, B687, '📅 Resumen Diario'!$C$5:$C$504, D687) * (SUMIFS('📋 Detalle Diario'!$E$5:$E$489, '📋 Detalle Diario'!$B$5:$B$489, B687, '📋 Detalle Diario'!$C$5:$C$489, D687) * 135 + SUMIFS('📋 Detalle Diario'!$I$5:$I$489, '📋 Detalle Diario'!$B$5:$B$489, B687, '📋 Detalle Diario'!$C$5:$C$489, D687) * 200), 0))</f>
        <v/>
      </c>
      <c r="P687" s="32" t="str">
        <f t="shared" si="75"/>
        <v/>
      </c>
      <c r="Q687" s="33" t="str">
        <f t="shared" si="76"/>
        <v/>
      </c>
    </row>
    <row r="688" spans="2:17" ht="18" customHeight="1" x14ac:dyDescent="0.3">
      <c r="B688" s="26"/>
      <c r="C688" s="17"/>
      <c r="D688" s="27"/>
      <c r="E688" s="18"/>
      <c r="F688" s="18"/>
      <c r="G688" s="18"/>
      <c r="H688" s="30" t="str">
        <f t="shared" si="70"/>
        <v/>
      </c>
      <c r="I688" s="31" t="str">
        <f>IF(OR(B688="",C688=""),"",IFERROR(E688*IF(E688="",0,VLOOKUP(C688,'📦 Precios Proforma'!$B$5:$D$104,IF(D688="DIA",2,3),FALSE)),0))</f>
        <v/>
      </c>
      <c r="J688" s="31" t="str">
        <f t="shared" si="71"/>
        <v/>
      </c>
      <c r="K688" s="31" t="str">
        <f t="shared" si="72"/>
        <v/>
      </c>
      <c r="L688" s="31" t="str">
        <f>IF(OR(B688="",C688=""),"",IFERROR(E688 / SUMIFS('📅 Resumen Diario'!$D$5:$D$504, '📅 Resumen Diario'!$B$5:$B$504, B688, '📅 Resumen Diario'!$C$5:$C$504, D688) * SUMIFS('📅 Resumen Diario'!$K$5:$K$504, '📅 Resumen Diario'!$B$5:$B$504, B688, '📅 Resumen Diario'!$C$5:$C$504, D688), 0))</f>
        <v/>
      </c>
      <c r="M688" s="31" t="str">
        <f t="shared" si="73"/>
        <v/>
      </c>
      <c r="N688" s="31" t="str">
        <f t="shared" si="74"/>
        <v/>
      </c>
      <c r="O688" s="31" t="str">
        <f>IF(OR(B688="",C688=""),"",K688-N688 + IFERROR(E688 / SUMIFS('📅 Resumen Diario'!$D$5:$D$504, '📅 Resumen Diario'!$B$5:$B$504, B688, '📅 Resumen Diario'!$C$5:$C$504, D688) * (SUMIFS('📋 Detalle Diario'!$E$5:$E$489, '📋 Detalle Diario'!$B$5:$B$489, B688, '📋 Detalle Diario'!$C$5:$C$489, D688) * 135 + SUMIFS('📋 Detalle Diario'!$I$5:$I$489, '📋 Detalle Diario'!$B$5:$B$489, B688, '📋 Detalle Diario'!$C$5:$C$489, D688) * 200), 0))</f>
        <v/>
      </c>
      <c r="P688" s="32" t="str">
        <f t="shared" si="75"/>
        <v/>
      </c>
      <c r="Q688" s="33" t="str">
        <f t="shared" si="76"/>
        <v/>
      </c>
    </row>
    <row r="689" spans="2:17" ht="18" customHeight="1" x14ac:dyDescent="0.3">
      <c r="B689" s="26"/>
      <c r="C689" s="28"/>
      <c r="D689" s="27"/>
      <c r="E689" s="29"/>
      <c r="F689" s="29"/>
      <c r="G689" s="29"/>
      <c r="H689" s="30" t="str">
        <f t="shared" si="70"/>
        <v/>
      </c>
      <c r="I689" s="31" t="str">
        <f>IF(OR(B689="",C689=""),"",IFERROR(E689*IF(E689="",0,VLOOKUP(C689,'📦 Precios Proforma'!$B$5:$D$104,IF(D689="DIA",2,3),FALSE)),0))</f>
        <v/>
      </c>
      <c r="J689" s="31" t="str">
        <f t="shared" si="71"/>
        <v/>
      </c>
      <c r="K689" s="31" t="str">
        <f t="shared" si="72"/>
        <v/>
      </c>
      <c r="L689" s="31" t="str">
        <f>IF(OR(B689="",C689=""),"",IFERROR(E689 / SUMIFS('📅 Resumen Diario'!$D$5:$D$504, '📅 Resumen Diario'!$B$5:$B$504, B689, '📅 Resumen Diario'!$C$5:$C$504, D689) * SUMIFS('📅 Resumen Diario'!$K$5:$K$504, '📅 Resumen Diario'!$B$5:$B$504, B689, '📅 Resumen Diario'!$C$5:$C$504, D689), 0))</f>
        <v/>
      </c>
      <c r="M689" s="31" t="str">
        <f t="shared" si="73"/>
        <v/>
      </c>
      <c r="N689" s="31" t="str">
        <f t="shared" si="74"/>
        <v/>
      </c>
      <c r="O689" s="31" t="str">
        <f>IF(OR(B689="",C689=""),"",K689-N689 + IFERROR(E689 / SUMIFS('📅 Resumen Diario'!$D$5:$D$504, '📅 Resumen Diario'!$B$5:$B$504, B689, '📅 Resumen Diario'!$C$5:$C$504, D689) * (SUMIFS('📋 Detalle Diario'!$E$5:$E$489, '📋 Detalle Diario'!$B$5:$B$489, B689, '📋 Detalle Diario'!$C$5:$C$489, D689) * 135 + SUMIFS('📋 Detalle Diario'!$I$5:$I$489, '📋 Detalle Diario'!$B$5:$B$489, B689, '📋 Detalle Diario'!$C$5:$C$489, D689) * 200), 0))</f>
        <v/>
      </c>
      <c r="P689" s="32" t="str">
        <f t="shared" si="75"/>
        <v/>
      </c>
      <c r="Q689" s="33" t="str">
        <f t="shared" si="76"/>
        <v/>
      </c>
    </row>
    <row r="690" spans="2:17" ht="18" customHeight="1" x14ac:dyDescent="0.3">
      <c r="B690" s="26"/>
      <c r="C690" s="17"/>
      <c r="D690" s="27"/>
      <c r="E690" s="18"/>
      <c r="F690" s="18"/>
      <c r="G690" s="18"/>
      <c r="H690" s="30" t="str">
        <f t="shared" si="70"/>
        <v/>
      </c>
      <c r="I690" s="31" t="str">
        <f>IF(OR(B690="",C690=""),"",IFERROR(E690*IF(E690="",0,VLOOKUP(C690,'📦 Precios Proforma'!$B$5:$D$104,IF(D690="DIA",2,3),FALSE)),0))</f>
        <v/>
      </c>
      <c r="J690" s="31" t="str">
        <f t="shared" si="71"/>
        <v/>
      </c>
      <c r="K690" s="31" t="str">
        <f t="shared" si="72"/>
        <v/>
      </c>
      <c r="L690" s="31" t="str">
        <f>IF(OR(B690="",C690=""),"",IFERROR(E690 / SUMIFS('📅 Resumen Diario'!$D$5:$D$504, '📅 Resumen Diario'!$B$5:$B$504, B690, '📅 Resumen Diario'!$C$5:$C$504, D690) * SUMIFS('📅 Resumen Diario'!$K$5:$K$504, '📅 Resumen Diario'!$B$5:$B$504, B690, '📅 Resumen Diario'!$C$5:$C$504, D690), 0))</f>
        <v/>
      </c>
      <c r="M690" s="31" t="str">
        <f t="shared" si="73"/>
        <v/>
      </c>
      <c r="N690" s="31" t="str">
        <f t="shared" si="74"/>
        <v/>
      </c>
      <c r="O690" s="31" t="str">
        <f>IF(OR(B690="",C690=""),"",K690-N690 + IFERROR(E690 / SUMIFS('📅 Resumen Diario'!$D$5:$D$504, '📅 Resumen Diario'!$B$5:$B$504, B690, '📅 Resumen Diario'!$C$5:$C$504, D690) * (SUMIFS('📋 Detalle Diario'!$E$5:$E$489, '📋 Detalle Diario'!$B$5:$B$489, B690, '📋 Detalle Diario'!$C$5:$C$489, D690) * 135 + SUMIFS('📋 Detalle Diario'!$I$5:$I$489, '📋 Detalle Diario'!$B$5:$B$489, B690, '📋 Detalle Diario'!$C$5:$C$489, D690) * 200), 0))</f>
        <v/>
      </c>
      <c r="P690" s="32" t="str">
        <f t="shared" si="75"/>
        <v/>
      </c>
      <c r="Q690" s="33" t="str">
        <f t="shared" si="76"/>
        <v/>
      </c>
    </row>
    <row r="691" spans="2:17" ht="18" customHeight="1" x14ac:dyDescent="0.3">
      <c r="B691" s="26"/>
      <c r="C691" s="28"/>
      <c r="D691" s="27"/>
      <c r="E691" s="29"/>
      <c r="F691" s="29"/>
      <c r="G691" s="29"/>
      <c r="H691" s="30" t="str">
        <f t="shared" si="70"/>
        <v/>
      </c>
      <c r="I691" s="31" t="str">
        <f>IF(OR(B691="",C691=""),"",IFERROR(E691*IF(E691="",0,VLOOKUP(C691,'📦 Precios Proforma'!$B$5:$D$104,IF(D691="DIA",2,3),FALSE)),0))</f>
        <v/>
      </c>
      <c r="J691" s="31" t="str">
        <f t="shared" si="71"/>
        <v/>
      </c>
      <c r="K691" s="31" t="str">
        <f t="shared" si="72"/>
        <v/>
      </c>
      <c r="L691" s="31" t="str">
        <f>IF(OR(B691="",C691=""),"",IFERROR(E691 / SUMIFS('📅 Resumen Diario'!$D$5:$D$504, '📅 Resumen Diario'!$B$5:$B$504, B691, '📅 Resumen Diario'!$C$5:$C$504, D691) * SUMIFS('📅 Resumen Diario'!$K$5:$K$504, '📅 Resumen Diario'!$B$5:$B$504, B691, '📅 Resumen Diario'!$C$5:$C$504, D691), 0))</f>
        <v/>
      </c>
      <c r="M691" s="31" t="str">
        <f t="shared" si="73"/>
        <v/>
      </c>
      <c r="N691" s="31" t="str">
        <f t="shared" si="74"/>
        <v/>
      </c>
      <c r="O691" s="31" t="str">
        <f>IF(OR(B691="",C691=""),"",K691-N691 + IFERROR(E691 / SUMIFS('📅 Resumen Diario'!$D$5:$D$504, '📅 Resumen Diario'!$B$5:$B$504, B691, '📅 Resumen Diario'!$C$5:$C$504, D691) * (SUMIFS('📋 Detalle Diario'!$E$5:$E$489, '📋 Detalle Diario'!$B$5:$B$489, B691, '📋 Detalle Diario'!$C$5:$C$489, D691) * 135 + SUMIFS('📋 Detalle Diario'!$I$5:$I$489, '📋 Detalle Diario'!$B$5:$B$489, B691, '📋 Detalle Diario'!$C$5:$C$489, D691) * 200), 0))</f>
        <v/>
      </c>
      <c r="P691" s="32" t="str">
        <f t="shared" si="75"/>
        <v/>
      </c>
      <c r="Q691" s="33" t="str">
        <f t="shared" si="76"/>
        <v/>
      </c>
    </row>
    <row r="692" spans="2:17" ht="18" customHeight="1" x14ac:dyDescent="0.3">
      <c r="B692" s="26"/>
      <c r="C692" s="17"/>
      <c r="D692" s="27"/>
      <c r="E692" s="18"/>
      <c r="F692" s="18"/>
      <c r="G692" s="18"/>
      <c r="H692" s="30" t="str">
        <f t="shared" si="70"/>
        <v/>
      </c>
      <c r="I692" s="31" t="str">
        <f>IF(OR(B692="",C692=""),"",IFERROR(E692*IF(E692="",0,VLOOKUP(C692,'📦 Precios Proforma'!$B$5:$D$104,IF(D692="DIA",2,3),FALSE)),0))</f>
        <v/>
      </c>
      <c r="J692" s="31" t="str">
        <f t="shared" si="71"/>
        <v/>
      </c>
      <c r="K692" s="31" t="str">
        <f t="shared" si="72"/>
        <v/>
      </c>
      <c r="L692" s="31" t="str">
        <f>IF(OR(B692="",C692=""),"",IFERROR(E692 / SUMIFS('📅 Resumen Diario'!$D$5:$D$504, '📅 Resumen Diario'!$B$5:$B$504, B692, '📅 Resumen Diario'!$C$5:$C$504, D692) * SUMIFS('📅 Resumen Diario'!$K$5:$K$504, '📅 Resumen Diario'!$B$5:$B$504, B692, '📅 Resumen Diario'!$C$5:$C$504, D692), 0))</f>
        <v/>
      </c>
      <c r="M692" s="31" t="str">
        <f t="shared" si="73"/>
        <v/>
      </c>
      <c r="N692" s="31" t="str">
        <f t="shared" si="74"/>
        <v/>
      </c>
      <c r="O692" s="31" t="str">
        <f>IF(OR(B692="",C692=""),"",K692-N692 + IFERROR(E692 / SUMIFS('📅 Resumen Diario'!$D$5:$D$504, '📅 Resumen Diario'!$B$5:$B$504, B692, '📅 Resumen Diario'!$C$5:$C$504, D692) * (SUMIFS('📋 Detalle Diario'!$E$5:$E$489, '📋 Detalle Diario'!$B$5:$B$489, B692, '📋 Detalle Diario'!$C$5:$C$489, D692) * 135 + SUMIFS('📋 Detalle Diario'!$I$5:$I$489, '📋 Detalle Diario'!$B$5:$B$489, B692, '📋 Detalle Diario'!$C$5:$C$489, D692) * 200), 0))</f>
        <v/>
      </c>
      <c r="P692" s="32" t="str">
        <f t="shared" si="75"/>
        <v/>
      </c>
      <c r="Q692" s="33" t="str">
        <f t="shared" si="76"/>
        <v/>
      </c>
    </row>
    <row r="693" spans="2:17" ht="18" customHeight="1" x14ac:dyDescent="0.3">
      <c r="B693" s="26"/>
      <c r="C693" s="28"/>
      <c r="D693" s="27"/>
      <c r="E693" s="29"/>
      <c r="F693" s="29"/>
      <c r="G693" s="29"/>
      <c r="H693" s="30" t="str">
        <f t="shared" si="70"/>
        <v/>
      </c>
      <c r="I693" s="31" t="str">
        <f>IF(OR(B693="",C693=""),"",IFERROR(E693*IF(E693="",0,VLOOKUP(C693,'📦 Precios Proforma'!$B$5:$D$104,IF(D693="DIA",2,3),FALSE)),0))</f>
        <v/>
      </c>
      <c r="J693" s="31" t="str">
        <f t="shared" si="71"/>
        <v/>
      </c>
      <c r="K693" s="31" t="str">
        <f t="shared" si="72"/>
        <v/>
      </c>
      <c r="L693" s="31" t="str">
        <f>IF(OR(B693="",C693=""),"",IFERROR(E693 / SUMIFS('📅 Resumen Diario'!$D$5:$D$504, '📅 Resumen Diario'!$B$5:$B$504, B693, '📅 Resumen Diario'!$C$5:$C$504, D693) * SUMIFS('📅 Resumen Diario'!$K$5:$K$504, '📅 Resumen Diario'!$B$5:$B$504, B693, '📅 Resumen Diario'!$C$5:$C$504, D693), 0))</f>
        <v/>
      </c>
      <c r="M693" s="31" t="str">
        <f t="shared" si="73"/>
        <v/>
      </c>
      <c r="N693" s="31" t="str">
        <f t="shared" si="74"/>
        <v/>
      </c>
      <c r="O693" s="31" t="str">
        <f>IF(OR(B693="",C693=""),"",K693-N693 + IFERROR(E693 / SUMIFS('📅 Resumen Diario'!$D$5:$D$504, '📅 Resumen Diario'!$B$5:$B$504, B693, '📅 Resumen Diario'!$C$5:$C$504, D693) * (SUMIFS('📋 Detalle Diario'!$E$5:$E$489, '📋 Detalle Diario'!$B$5:$B$489, B693, '📋 Detalle Diario'!$C$5:$C$489, D693) * 135 + SUMIFS('📋 Detalle Diario'!$I$5:$I$489, '📋 Detalle Diario'!$B$5:$B$489, B693, '📋 Detalle Diario'!$C$5:$C$489, D693) * 200), 0))</f>
        <v/>
      </c>
      <c r="P693" s="32" t="str">
        <f t="shared" si="75"/>
        <v/>
      </c>
      <c r="Q693" s="33" t="str">
        <f t="shared" si="76"/>
        <v/>
      </c>
    </row>
    <row r="694" spans="2:17" ht="18" customHeight="1" x14ac:dyDescent="0.3">
      <c r="B694" s="26"/>
      <c r="C694" s="17"/>
      <c r="D694" s="27"/>
      <c r="E694" s="18"/>
      <c r="F694" s="18"/>
      <c r="G694" s="18"/>
      <c r="H694" s="30" t="str">
        <f t="shared" si="70"/>
        <v/>
      </c>
      <c r="I694" s="31" t="str">
        <f>IF(OR(B694="",C694=""),"",IFERROR(E694*IF(E694="",0,VLOOKUP(C694,'📦 Precios Proforma'!$B$5:$D$104,IF(D694="DIA",2,3),FALSE)),0))</f>
        <v/>
      </c>
      <c r="J694" s="31" t="str">
        <f t="shared" si="71"/>
        <v/>
      </c>
      <c r="K694" s="31" t="str">
        <f t="shared" si="72"/>
        <v/>
      </c>
      <c r="L694" s="31" t="str">
        <f>IF(OR(B694="",C694=""),"",IFERROR(E694 / SUMIFS('📅 Resumen Diario'!$D$5:$D$504, '📅 Resumen Diario'!$B$5:$B$504, B694, '📅 Resumen Diario'!$C$5:$C$504, D694) * SUMIFS('📅 Resumen Diario'!$K$5:$K$504, '📅 Resumen Diario'!$B$5:$B$504, B694, '📅 Resumen Diario'!$C$5:$C$504, D694), 0))</f>
        <v/>
      </c>
      <c r="M694" s="31" t="str">
        <f t="shared" si="73"/>
        <v/>
      </c>
      <c r="N694" s="31" t="str">
        <f t="shared" si="74"/>
        <v/>
      </c>
      <c r="O694" s="31" t="str">
        <f>IF(OR(B694="",C694=""),"",K694-N694 + IFERROR(E694 / SUMIFS('📅 Resumen Diario'!$D$5:$D$504, '📅 Resumen Diario'!$B$5:$B$504, B694, '📅 Resumen Diario'!$C$5:$C$504, D694) * (SUMIFS('📋 Detalle Diario'!$E$5:$E$489, '📋 Detalle Diario'!$B$5:$B$489, B694, '📋 Detalle Diario'!$C$5:$C$489, D694) * 135 + SUMIFS('📋 Detalle Diario'!$I$5:$I$489, '📋 Detalle Diario'!$B$5:$B$489, B694, '📋 Detalle Diario'!$C$5:$C$489, D694) * 200), 0))</f>
        <v/>
      </c>
      <c r="P694" s="32" t="str">
        <f t="shared" si="75"/>
        <v/>
      </c>
      <c r="Q694" s="33" t="str">
        <f t="shared" si="76"/>
        <v/>
      </c>
    </row>
    <row r="695" spans="2:17" ht="18" customHeight="1" x14ac:dyDescent="0.3">
      <c r="B695" s="26"/>
      <c r="C695" s="28"/>
      <c r="D695" s="27"/>
      <c r="E695" s="29"/>
      <c r="F695" s="29"/>
      <c r="G695" s="29"/>
      <c r="H695" s="30" t="str">
        <f t="shared" si="70"/>
        <v/>
      </c>
      <c r="I695" s="31" t="str">
        <f>IF(OR(B695="",C695=""),"",IFERROR(E695*IF(E695="",0,VLOOKUP(C695,'📦 Precios Proforma'!$B$5:$D$104,IF(D695="DIA",2,3),FALSE)),0))</f>
        <v/>
      </c>
      <c r="J695" s="31" t="str">
        <f t="shared" si="71"/>
        <v/>
      </c>
      <c r="K695" s="31" t="str">
        <f t="shared" si="72"/>
        <v/>
      </c>
      <c r="L695" s="31" t="str">
        <f>IF(OR(B695="",C695=""),"",IFERROR(E695 / SUMIFS('📅 Resumen Diario'!$D$5:$D$504, '📅 Resumen Diario'!$B$5:$B$504, B695, '📅 Resumen Diario'!$C$5:$C$504, D695) * SUMIFS('📅 Resumen Diario'!$K$5:$K$504, '📅 Resumen Diario'!$B$5:$B$504, B695, '📅 Resumen Diario'!$C$5:$C$504, D695), 0))</f>
        <v/>
      </c>
      <c r="M695" s="31" t="str">
        <f t="shared" si="73"/>
        <v/>
      </c>
      <c r="N695" s="31" t="str">
        <f t="shared" si="74"/>
        <v/>
      </c>
      <c r="O695" s="31" t="str">
        <f>IF(OR(B695="",C695=""),"",K695-N695 + IFERROR(E695 / SUMIFS('📅 Resumen Diario'!$D$5:$D$504, '📅 Resumen Diario'!$B$5:$B$504, B695, '📅 Resumen Diario'!$C$5:$C$504, D695) * (SUMIFS('📋 Detalle Diario'!$E$5:$E$489, '📋 Detalle Diario'!$B$5:$B$489, B695, '📋 Detalle Diario'!$C$5:$C$489, D695) * 135 + SUMIFS('📋 Detalle Diario'!$I$5:$I$489, '📋 Detalle Diario'!$B$5:$B$489, B695, '📋 Detalle Diario'!$C$5:$C$489, D695) * 200), 0))</f>
        <v/>
      </c>
      <c r="P695" s="32" t="str">
        <f t="shared" si="75"/>
        <v/>
      </c>
      <c r="Q695" s="33" t="str">
        <f t="shared" si="76"/>
        <v/>
      </c>
    </row>
    <row r="696" spans="2:17" ht="18" customHeight="1" x14ac:dyDescent="0.3">
      <c r="B696" s="26"/>
      <c r="C696" s="17"/>
      <c r="D696" s="27"/>
      <c r="E696" s="18"/>
      <c r="F696" s="18"/>
      <c r="G696" s="18"/>
      <c r="H696" s="30" t="str">
        <f t="shared" si="70"/>
        <v/>
      </c>
      <c r="I696" s="31" t="str">
        <f>IF(OR(B696="",C696=""),"",IFERROR(E696*IF(E696="",0,VLOOKUP(C696,'📦 Precios Proforma'!$B$5:$D$104,IF(D696="DIA",2,3),FALSE)),0))</f>
        <v/>
      </c>
      <c r="J696" s="31" t="str">
        <f t="shared" si="71"/>
        <v/>
      </c>
      <c r="K696" s="31" t="str">
        <f t="shared" si="72"/>
        <v/>
      </c>
      <c r="L696" s="31" t="str">
        <f>IF(OR(B696="",C696=""),"",IFERROR(E696 / SUMIFS('📅 Resumen Diario'!$D$5:$D$504, '📅 Resumen Diario'!$B$5:$B$504, B696, '📅 Resumen Diario'!$C$5:$C$504, D696) * SUMIFS('📅 Resumen Diario'!$K$5:$K$504, '📅 Resumen Diario'!$B$5:$B$504, B696, '📅 Resumen Diario'!$C$5:$C$504, D696), 0))</f>
        <v/>
      </c>
      <c r="M696" s="31" t="str">
        <f t="shared" si="73"/>
        <v/>
      </c>
      <c r="N696" s="31" t="str">
        <f t="shared" si="74"/>
        <v/>
      </c>
      <c r="O696" s="31" t="str">
        <f>IF(OR(B696="",C696=""),"",K696-N696 + IFERROR(E696 / SUMIFS('📅 Resumen Diario'!$D$5:$D$504, '📅 Resumen Diario'!$B$5:$B$504, B696, '📅 Resumen Diario'!$C$5:$C$504, D696) * (SUMIFS('📋 Detalle Diario'!$E$5:$E$489, '📋 Detalle Diario'!$B$5:$B$489, B696, '📋 Detalle Diario'!$C$5:$C$489, D696) * 135 + SUMIFS('📋 Detalle Diario'!$I$5:$I$489, '📋 Detalle Diario'!$B$5:$B$489, B696, '📋 Detalle Diario'!$C$5:$C$489, D696) * 200), 0))</f>
        <v/>
      </c>
      <c r="P696" s="32" t="str">
        <f t="shared" si="75"/>
        <v/>
      </c>
      <c r="Q696" s="33" t="str">
        <f t="shared" si="76"/>
        <v/>
      </c>
    </row>
    <row r="697" spans="2:17" ht="18" customHeight="1" x14ac:dyDescent="0.3">
      <c r="B697" s="26"/>
      <c r="C697" s="28"/>
      <c r="D697" s="27"/>
      <c r="E697" s="29"/>
      <c r="F697" s="29"/>
      <c r="G697" s="29"/>
      <c r="H697" s="30" t="str">
        <f t="shared" si="70"/>
        <v/>
      </c>
      <c r="I697" s="31" t="str">
        <f>IF(OR(B697="",C697=""),"",IFERROR(E697*IF(E697="",0,VLOOKUP(C697,'📦 Precios Proforma'!$B$5:$D$104,IF(D697="DIA",2,3),FALSE)),0))</f>
        <v/>
      </c>
      <c r="J697" s="31" t="str">
        <f t="shared" si="71"/>
        <v/>
      </c>
      <c r="K697" s="31" t="str">
        <f t="shared" si="72"/>
        <v/>
      </c>
      <c r="L697" s="31" t="str">
        <f>IF(OR(B697="",C697=""),"",IFERROR(E697 / SUMIFS('📅 Resumen Diario'!$D$5:$D$504, '📅 Resumen Diario'!$B$5:$B$504, B697, '📅 Resumen Diario'!$C$5:$C$504, D697) * SUMIFS('📅 Resumen Diario'!$K$5:$K$504, '📅 Resumen Diario'!$B$5:$B$504, B697, '📅 Resumen Diario'!$C$5:$C$504, D697), 0))</f>
        <v/>
      </c>
      <c r="M697" s="31" t="str">
        <f t="shared" si="73"/>
        <v/>
      </c>
      <c r="N697" s="31" t="str">
        <f t="shared" si="74"/>
        <v/>
      </c>
      <c r="O697" s="31" t="str">
        <f>IF(OR(B697="",C697=""),"",K697-N697 + IFERROR(E697 / SUMIFS('📅 Resumen Diario'!$D$5:$D$504, '📅 Resumen Diario'!$B$5:$B$504, B697, '📅 Resumen Diario'!$C$5:$C$504, D697) * (SUMIFS('📋 Detalle Diario'!$E$5:$E$489, '📋 Detalle Diario'!$B$5:$B$489, B697, '📋 Detalle Diario'!$C$5:$C$489, D697) * 135 + SUMIFS('📋 Detalle Diario'!$I$5:$I$489, '📋 Detalle Diario'!$B$5:$B$489, B697, '📋 Detalle Diario'!$C$5:$C$489, D697) * 200), 0))</f>
        <v/>
      </c>
      <c r="P697" s="32" t="str">
        <f t="shared" si="75"/>
        <v/>
      </c>
      <c r="Q697" s="33" t="str">
        <f t="shared" si="76"/>
        <v/>
      </c>
    </row>
    <row r="698" spans="2:17" ht="18" customHeight="1" x14ac:dyDescent="0.3">
      <c r="B698" s="26"/>
      <c r="C698" s="17"/>
      <c r="D698" s="27"/>
      <c r="E698" s="18"/>
      <c r="F698" s="18"/>
      <c r="G698" s="18"/>
      <c r="H698" s="30" t="str">
        <f t="shared" si="70"/>
        <v/>
      </c>
      <c r="I698" s="31" t="str">
        <f>IF(OR(B698="",C698=""),"",IFERROR(E698*IF(E698="",0,VLOOKUP(C698,'📦 Precios Proforma'!$B$5:$D$104,IF(D698="DIA",2,3),FALSE)),0))</f>
        <v/>
      </c>
      <c r="J698" s="31" t="str">
        <f t="shared" si="71"/>
        <v/>
      </c>
      <c r="K698" s="31" t="str">
        <f t="shared" si="72"/>
        <v/>
      </c>
      <c r="L698" s="31" t="str">
        <f>IF(OR(B698="",C698=""),"",IFERROR(E698 / SUMIFS('📅 Resumen Diario'!$D$5:$D$504, '📅 Resumen Diario'!$B$5:$B$504, B698, '📅 Resumen Diario'!$C$5:$C$504, D698) * SUMIFS('📅 Resumen Diario'!$K$5:$K$504, '📅 Resumen Diario'!$B$5:$B$504, B698, '📅 Resumen Diario'!$C$5:$C$504, D698), 0))</f>
        <v/>
      </c>
      <c r="M698" s="31" t="str">
        <f t="shared" si="73"/>
        <v/>
      </c>
      <c r="N698" s="31" t="str">
        <f t="shared" si="74"/>
        <v/>
      </c>
      <c r="O698" s="31" t="str">
        <f>IF(OR(B698="",C698=""),"",K698-N698 + IFERROR(E698 / SUMIFS('📅 Resumen Diario'!$D$5:$D$504, '📅 Resumen Diario'!$B$5:$B$504, B698, '📅 Resumen Diario'!$C$5:$C$504, D698) * (SUMIFS('📋 Detalle Diario'!$E$5:$E$489, '📋 Detalle Diario'!$B$5:$B$489, B698, '📋 Detalle Diario'!$C$5:$C$489, D698) * 135 + SUMIFS('📋 Detalle Diario'!$I$5:$I$489, '📋 Detalle Diario'!$B$5:$B$489, B698, '📋 Detalle Diario'!$C$5:$C$489, D698) * 200), 0))</f>
        <v/>
      </c>
      <c r="P698" s="32" t="str">
        <f t="shared" si="75"/>
        <v/>
      </c>
      <c r="Q698" s="33" t="str">
        <f t="shared" si="76"/>
        <v/>
      </c>
    </row>
    <row r="699" spans="2:17" ht="18" customHeight="1" x14ac:dyDescent="0.3">
      <c r="B699" s="26"/>
      <c r="C699" s="28"/>
      <c r="D699" s="27"/>
      <c r="E699" s="29"/>
      <c r="F699" s="29"/>
      <c r="G699" s="29"/>
      <c r="H699" s="30" t="str">
        <f t="shared" si="70"/>
        <v/>
      </c>
      <c r="I699" s="31" t="str">
        <f>IF(OR(B699="",C699=""),"",IFERROR(E699*IF(E699="",0,VLOOKUP(C699,'📦 Precios Proforma'!$B$5:$D$104,IF(D699="DIA",2,3),FALSE)),0))</f>
        <v/>
      </c>
      <c r="J699" s="31" t="str">
        <f t="shared" si="71"/>
        <v/>
      </c>
      <c r="K699" s="31" t="str">
        <f t="shared" si="72"/>
        <v/>
      </c>
      <c r="L699" s="31" t="str">
        <f>IF(OR(B699="",C699=""),"",IFERROR(E699 / SUMIFS('📅 Resumen Diario'!$D$5:$D$504, '📅 Resumen Diario'!$B$5:$B$504, B699, '📅 Resumen Diario'!$C$5:$C$504, D699) * SUMIFS('📅 Resumen Diario'!$K$5:$K$504, '📅 Resumen Diario'!$B$5:$B$504, B699, '📅 Resumen Diario'!$C$5:$C$504, D699), 0))</f>
        <v/>
      </c>
      <c r="M699" s="31" t="str">
        <f t="shared" si="73"/>
        <v/>
      </c>
      <c r="N699" s="31" t="str">
        <f t="shared" si="74"/>
        <v/>
      </c>
      <c r="O699" s="31" t="str">
        <f>IF(OR(B699="",C699=""),"",K699-N699 + IFERROR(E699 / SUMIFS('📅 Resumen Diario'!$D$5:$D$504, '📅 Resumen Diario'!$B$5:$B$504, B699, '📅 Resumen Diario'!$C$5:$C$504, D699) * (SUMIFS('📋 Detalle Diario'!$E$5:$E$489, '📋 Detalle Diario'!$B$5:$B$489, B699, '📋 Detalle Diario'!$C$5:$C$489, D699) * 135 + SUMIFS('📋 Detalle Diario'!$I$5:$I$489, '📋 Detalle Diario'!$B$5:$B$489, B699, '📋 Detalle Diario'!$C$5:$C$489, D699) * 200), 0))</f>
        <v/>
      </c>
      <c r="P699" s="32" t="str">
        <f t="shared" si="75"/>
        <v/>
      </c>
      <c r="Q699" s="33" t="str">
        <f t="shared" si="76"/>
        <v/>
      </c>
    </row>
    <row r="700" spans="2:17" ht="18" customHeight="1" x14ac:dyDescent="0.3">
      <c r="B700" s="26"/>
      <c r="C700" s="17"/>
      <c r="D700" s="27"/>
      <c r="E700" s="18"/>
      <c r="F700" s="18"/>
      <c r="G700" s="18"/>
      <c r="H700" s="30" t="str">
        <f t="shared" si="70"/>
        <v/>
      </c>
      <c r="I700" s="31" t="str">
        <f>IF(OR(B700="",C700=""),"",IFERROR(E700*IF(E700="",0,VLOOKUP(C700,'📦 Precios Proforma'!$B$5:$D$104,IF(D700="DIA",2,3),FALSE)),0))</f>
        <v/>
      </c>
      <c r="J700" s="31" t="str">
        <f t="shared" si="71"/>
        <v/>
      </c>
      <c r="K700" s="31" t="str">
        <f t="shared" si="72"/>
        <v/>
      </c>
      <c r="L700" s="31" t="str">
        <f>IF(OR(B700="",C700=""),"",IFERROR(E700 / SUMIFS('📅 Resumen Diario'!$D$5:$D$504, '📅 Resumen Diario'!$B$5:$B$504, B700, '📅 Resumen Diario'!$C$5:$C$504, D700) * SUMIFS('📅 Resumen Diario'!$K$5:$K$504, '📅 Resumen Diario'!$B$5:$B$504, B700, '📅 Resumen Diario'!$C$5:$C$504, D700), 0))</f>
        <v/>
      </c>
      <c r="M700" s="31" t="str">
        <f t="shared" si="73"/>
        <v/>
      </c>
      <c r="N700" s="31" t="str">
        <f t="shared" si="74"/>
        <v/>
      </c>
      <c r="O700" s="31" t="str">
        <f>IF(OR(B700="",C700=""),"",K700-N700 + IFERROR(E700 / SUMIFS('📅 Resumen Diario'!$D$5:$D$504, '📅 Resumen Diario'!$B$5:$B$504, B700, '📅 Resumen Diario'!$C$5:$C$504, D700) * (SUMIFS('📋 Detalle Diario'!$E$5:$E$489, '📋 Detalle Diario'!$B$5:$B$489, B700, '📋 Detalle Diario'!$C$5:$C$489, D700) * 135 + SUMIFS('📋 Detalle Diario'!$I$5:$I$489, '📋 Detalle Diario'!$B$5:$B$489, B700, '📋 Detalle Diario'!$C$5:$C$489, D700) * 200), 0))</f>
        <v/>
      </c>
      <c r="P700" s="32" t="str">
        <f t="shared" si="75"/>
        <v/>
      </c>
      <c r="Q700" s="33" t="str">
        <f t="shared" si="76"/>
        <v/>
      </c>
    </row>
    <row r="701" spans="2:17" ht="18" customHeight="1" x14ac:dyDescent="0.3">
      <c r="B701" s="26"/>
      <c r="C701" s="28"/>
      <c r="D701" s="27"/>
      <c r="E701" s="29"/>
      <c r="F701" s="29"/>
      <c r="G701" s="29"/>
      <c r="H701" s="30" t="str">
        <f t="shared" si="70"/>
        <v/>
      </c>
      <c r="I701" s="31" t="str">
        <f>IF(OR(B701="",C701=""),"",IFERROR(E701*IF(E701="",0,VLOOKUP(C701,'📦 Precios Proforma'!$B$5:$D$104,IF(D701="DIA",2,3),FALSE)),0))</f>
        <v/>
      </c>
      <c r="J701" s="31" t="str">
        <f t="shared" si="71"/>
        <v/>
      </c>
      <c r="K701" s="31" t="str">
        <f t="shared" si="72"/>
        <v/>
      </c>
      <c r="L701" s="31" t="str">
        <f>IF(OR(B701="",C701=""),"",IFERROR(E701 / SUMIFS('📅 Resumen Diario'!$D$5:$D$504, '📅 Resumen Diario'!$B$5:$B$504, B701, '📅 Resumen Diario'!$C$5:$C$504, D701) * SUMIFS('📅 Resumen Diario'!$K$5:$K$504, '📅 Resumen Diario'!$B$5:$B$504, B701, '📅 Resumen Diario'!$C$5:$C$504, D701), 0))</f>
        <v/>
      </c>
      <c r="M701" s="31" t="str">
        <f t="shared" si="73"/>
        <v/>
      </c>
      <c r="N701" s="31" t="str">
        <f t="shared" si="74"/>
        <v/>
      </c>
      <c r="O701" s="31" t="str">
        <f>IF(OR(B701="",C701=""),"",K701-N701 + IFERROR(E701 / SUMIFS('📅 Resumen Diario'!$D$5:$D$504, '📅 Resumen Diario'!$B$5:$B$504, B701, '📅 Resumen Diario'!$C$5:$C$504, D701) * (SUMIFS('📋 Detalle Diario'!$E$5:$E$489, '📋 Detalle Diario'!$B$5:$B$489, B701, '📋 Detalle Diario'!$C$5:$C$489, D701) * 135 + SUMIFS('📋 Detalle Diario'!$I$5:$I$489, '📋 Detalle Diario'!$B$5:$B$489, B701, '📋 Detalle Diario'!$C$5:$C$489, D701) * 200), 0))</f>
        <v/>
      </c>
      <c r="P701" s="32" t="str">
        <f t="shared" si="75"/>
        <v/>
      </c>
      <c r="Q701" s="33" t="str">
        <f t="shared" si="76"/>
        <v/>
      </c>
    </row>
    <row r="702" spans="2:17" ht="18" customHeight="1" x14ac:dyDescent="0.3">
      <c r="B702" s="26"/>
      <c r="C702" s="17"/>
      <c r="D702" s="27"/>
      <c r="E702" s="18"/>
      <c r="F702" s="18"/>
      <c r="G702" s="18"/>
      <c r="H702" s="30" t="str">
        <f t="shared" si="70"/>
        <v/>
      </c>
      <c r="I702" s="31" t="str">
        <f>IF(OR(B702="",C702=""),"",IFERROR(E702*IF(E702="",0,VLOOKUP(C702,'📦 Precios Proforma'!$B$5:$D$104,IF(D702="DIA",2,3),FALSE)),0))</f>
        <v/>
      </c>
      <c r="J702" s="31" t="str">
        <f t="shared" si="71"/>
        <v/>
      </c>
      <c r="K702" s="31" t="str">
        <f t="shared" si="72"/>
        <v/>
      </c>
      <c r="L702" s="31" t="str">
        <f>IF(OR(B702="",C702=""),"",IFERROR(E702 / SUMIFS('📅 Resumen Diario'!$D$5:$D$504, '📅 Resumen Diario'!$B$5:$B$504, B702, '📅 Resumen Diario'!$C$5:$C$504, D702) * SUMIFS('📅 Resumen Diario'!$K$5:$K$504, '📅 Resumen Diario'!$B$5:$B$504, B702, '📅 Resumen Diario'!$C$5:$C$504, D702), 0))</f>
        <v/>
      </c>
      <c r="M702" s="31" t="str">
        <f t="shared" si="73"/>
        <v/>
      </c>
      <c r="N702" s="31" t="str">
        <f t="shared" si="74"/>
        <v/>
      </c>
      <c r="O702" s="31" t="str">
        <f>IF(OR(B702="",C702=""),"",K702-N702 + IFERROR(E702 / SUMIFS('📅 Resumen Diario'!$D$5:$D$504, '📅 Resumen Diario'!$B$5:$B$504, B702, '📅 Resumen Diario'!$C$5:$C$504, D702) * (SUMIFS('📋 Detalle Diario'!$E$5:$E$489, '📋 Detalle Diario'!$B$5:$B$489, B702, '📋 Detalle Diario'!$C$5:$C$489, D702) * 135 + SUMIFS('📋 Detalle Diario'!$I$5:$I$489, '📋 Detalle Diario'!$B$5:$B$489, B702, '📋 Detalle Diario'!$C$5:$C$489, D702) * 200), 0))</f>
        <v/>
      </c>
      <c r="P702" s="32" t="str">
        <f t="shared" si="75"/>
        <v/>
      </c>
      <c r="Q702" s="33" t="str">
        <f t="shared" si="76"/>
        <v/>
      </c>
    </row>
    <row r="703" spans="2:17" ht="18" customHeight="1" x14ac:dyDescent="0.3">
      <c r="B703" s="26"/>
      <c r="C703" s="28"/>
      <c r="D703" s="27"/>
      <c r="E703" s="29"/>
      <c r="F703" s="29"/>
      <c r="G703" s="29"/>
      <c r="H703" s="30" t="str">
        <f t="shared" si="70"/>
        <v/>
      </c>
      <c r="I703" s="31" t="str">
        <f>IF(OR(B703="",C703=""),"",IFERROR(E703*IF(E703="",0,VLOOKUP(C703,'📦 Precios Proforma'!$B$5:$D$104,IF(D703="DIA",2,3),FALSE)),0))</f>
        <v/>
      </c>
      <c r="J703" s="31" t="str">
        <f t="shared" si="71"/>
        <v/>
      </c>
      <c r="K703" s="31" t="str">
        <f t="shared" si="72"/>
        <v/>
      </c>
      <c r="L703" s="31" t="str">
        <f>IF(OR(B703="",C703=""),"",IFERROR(E703 / SUMIFS('📅 Resumen Diario'!$D$5:$D$504, '📅 Resumen Diario'!$B$5:$B$504, B703, '📅 Resumen Diario'!$C$5:$C$504, D703) * SUMIFS('📅 Resumen Diario'!$K$5:$K$504, '📅 Resumen Diario'!$B$5:$B$504, B703, '📅 Resumen Diario'!$C$5:$C$504, D703), 0))</f>
        <v/>
      </c>
      <c r="M703" s="31" t="str">
        <f t="shared" si="73"/>
        <v/>
      </c>
      <c r="N703" s="31" t="str">
        <f t="shared" si="74"/>
        <v/>
      </c>
      <c r="O703" s="31" t="str">
        <f>IF(OR(B703="",C703=""),"",K703-N703 + IFERROR(E703 / SUMIFS('📅 Resumen Diario'!$D$5:$D$504, '📅 Resumen Diario'!$B$5:$B$504, B703, '📅 Resumen Diario'!$C$5:$C$504, D703) * (SUMIFS('📋 Detalle Diario'!$E$5:$E$489, '📋 Detalle Diario'!$B$5:$B$489, B703, '📋 Detalle Diario'!$C$5:$C$489, D703) * 135 + SUMIFS('📋 Detalle Diario'!$I$5:$I$489, '📋 Detalle Diario'!$B$5:$B$489, B703, '📋 Detalle Diario'!$C$5:$C$489, D703) * 200), 0))</f>
        <v/>
      </c>
      <c r="P703" s="32" t="str">
        <f t="shared" si="75"/>
        <v/>
      </c>
      <c r="Q703" s="33" t="str">
        <f t="shared" si="76"/>
        <v/>
      </c>
    </row>
    <row r="704" spans="2:17" ht="18" customHeight="1" x14ac:dyDescent="0.3">
      <c r="B704" s="26"/>
      <c r="C704" s="17"/>
      <c r="D704" s="27"/>
      <c r="E704" s="18"/>
      <c r="F704" s="18"/>
      <c r="G704" s="18"/>
      <c r="H704" s="30" t="str">
        <f t="shared" si="70"/>
        <v/>
      </c>
      <c r="I704" s="31" t="str">
        <f>IF(OR(B704="",C704=""),"",IFERROR(E704*IF(E704="",0,VLOOKUP(C704,'📦 Precios Proforma'!$B$5:$D$104,IF(D704="DIA",2,3),FALSE)),0))</f>
        <v/>
      </c>
      <c r="J704" s="31" t="str">
        <f t="shared" si="71"/>
        <v/>
      </c>
      <c r="K704" s="31" t="str">
        <f t="shared" si="72"/>
        <v/>
      </c>
      <c r="L704" s="31" t="str">
        <f>IF(OR(B704="",C704=""),"",IFERROR(E704 / SUMIFS('📅 Resumen Diario'!$D$5:$D$504, '📅 Resumen Diario'!$B$5:$B$504, B704, '📅 Resumen Diario'!$C$5:$C$504, D704) * SUMIFS('📅 Resumen Diario'!$K$5:$K$504, '📅 Resumen Diario'!$B$5:$B$504, B704, '📅 Resumen Diario'!$C$5:$C$504, D704), 0))</f>
        <v/>
      </c>
      <c r="M704" s="31" t="str">
        <f t="shared" si="73"/>
        <v/>
      </c>
      <c r="N704" s="31" t="str">
        <f t="shared" si="74"/>
        <v/>
      </c>
      <c r="O704" s="31" t="str">
        <f>IF(OR(B704="",C704=""),"",K704-N704 + IFERROR(E704 / SUMIFS('📅 Resumen Diario'!$D$5:$D$504, '📅 Resumen Diario'!$B$5:$B$504, B704, '📅 Resumen Diario'!$C$5:$C$504, D704) * (SUMIFS('📋 Detalle Diario'!$E$5:$E$489, '📋 Detalle Diario'!$B$5:$B$489, B704, '📋 Detalle Diario'!$C$5:$C$489, D704) * 135 + SUMIFS('📋 Detalle Diario'!$I$5:$I$489, '📋 Detalle Diario'!$B$5:$B$489, B704, '📋 Detalle Diario'!$C$5:$C$489, D704) * 200), 0))</f>
        <v/>
      </c>
      <c r="P704" s="32" t="str">
        <f t="shared" si="75"/>
        <v/>
      </c>
      <c r="Q704" s="33" t="str">
        <f t="shared" si="76"/>
        <v/>
      </c>
    </row>
    <row r="705" spans="2:17" ht="18" customHeight="1" x14ac:dyDescent="0.3">
      <c r="B705" s="26"/>
      <c r="C705" s="28"/>
      <c r="D705" s="27"/>
      <c r="E705" s="29"/>
      <c r="F705" s="29"/>
      <c r="G705" s="29"/>
      <c r="H705" s="30" t="str">
        <f t="shared" si="70"/>
        <v/>
      </c>
      <c r="I705" s="31" t="str">
        <f>IF(OR(B705="",C705=""),"",IFERROR(E705*IF(E705="",0,VLOOKUP(C705,'📦 Precios Proforma'!$B$5:$D$104,IF(D705="DIA",2,3),FALSE)),0))</f>
        <v/>
      </c>
      <c r="J705" s="31" t="str">
        <f t="shared" si="71"/>
        <v/>
      </c>
      <c r="K705" s="31" t="str">
        <f t="shared" si="72"/>
        <v/>
      </c>
      <c r="L705" s="31" t="str">
        <f>IF(OR(B705="",C705=""),"",IFERROR(E705 / SUMIFS('📅 Resumen Diario'!$D$5:$D$504, '📅 Resumen Diario'!$B$5:$B$504, B705, '📅 Resumen Diario'!$C$5:$C$504, D705) * SUMIFS('📅 Resumen Diario'!$K$5:$K$504, '📅 Resumen Diario'!$B$5:$B$504, B705, '📅 Resumen Diario'!$C$5:$C$504, D705), 0))</f>
        <v/>
      </c>
      <c r="M705" s="31" t="str">
        <f t="shared" si="73"/>
        <v/>
      </c>
      <c r="N705" s="31" t="str">
        <f t="shared" si="74"/>
        <v/>
      </c>
      <c r="O705" s="31" t="str">
        <f>IF(OR(B705="",C705=""),"",K705-N705 + IFERROR(E705 / SUMIFS('📅 Resumen Diario'!$D$5:$D$504, '📅 Resumen Diario'!$B$5:$B$504, B705, '📅 Resumen Diario'!$C$5:$C$504, D705) * (SUMIFS('📋 Detalle Diario'!$E$5:$E$489, '📋 Detalle Diario'!$B$5:$B$489, B705, '📋 Detalle Diario'!$C$5:$C$489, D705) * 135 + SUMIFS('📋 Detalle Diario'!$I$5:$I$489, '📋 Detalle Diario'!$B$5:$B$489, B705, '📋 Detalle Diario'!$C$5:$C$489, D705) * 200), 0))</f>
        <v/>
      </c>
      <c r="P705" s="32" t="str">
        <f t="shared" si="75"/>
        <v/>
      </c>
      <c r="Q705" s="33" t="str">
        <f t="shared" si="76"/>
        <v/>
      </c>
    </row>
    <row r="706" spans="2:17" ht="18" customHeight="1" x14ac:dyDescent="0.3">
      <c r="B706" s="26"/>
      <c r="C706" s="17"/>
      <c r="D706" s="27"/>
      <c r="E706" s="18"/>
      <c r="F706" s="18"/>
      <c r="G706" s="18"/>
      <c r="H706" s="30" t="str">
        <f t="shared" si="70"/>
        <v/>
      </c>
      <c r="I706" s="31" t="str">
        <f>IF(OR(B706="",C706=""),"",IFERROR(E706*IF(E706="",0,VLOOKUP(C706,'📦 Precios Proforma'!$B$5:$D$104,IF(D706="DIA",2,3),FALSE)),0))</f>
        <v/>
      </c>
      <c r="J706" s="31" t="str">
        <f t="shared" si="71"/>
        <v/>
      </c>
      <c r="K706" s="31" t="str">
        <f t="shared" si="72"/>
        <v/>
      </c>
      <c r="L706" s="31" t="str">
        <f>IF(OR(B706="",C706=""),"",IFERROR(E706 / SUMIFS('📅 Resumen Diario'!$D$5:$D$504, '📅 Resumen Diario'!$B$5:$B$504, B706, '📅 Resumen Diario'!$C$5:$C$504, D706) * SUMIFS('📅 Resumen Diario'!$K$5:$K$504, '📅 Resumen Diario'!$B$5:$B$504, B706, '📅 Resumen Diario'!$C$5:$C$504, D706), 0))</f>
        <v/>
      </c>
      <c r="M706" s="31" t="str">
        <f t="shared" si="73"/>
        <v/>
      </c>
      <c r="N706" s="31" t="str">
        <f t="shared" si="74"/>
        <v/>
      </c>
      <c r="O706" s="31" t="str">
        <f>IF(OR(B706="",C706=""),"",K706-N706 + IFERROR(E706 / SUMIFS('📅 Resumen Diario'!$D$5:$D$504, '📅 Resumen Diario'!$B$5:$B$504, B706, '📅 Resumen Diario'!$C$5:$C$504, D706) * (SUMIFS('📋 Detalle Diario'!$E$5:$E$489, '📋 Detalle Diario'!$B$5:$B$489, B706, '📋 Detalle Diario'!$C$5:$C$489, D706) * 135 + SUMIFS('📋 Detalle Diario'!$I$5:$I$489, '📋 Detalle Diario'!$B$5:$B$489, B706, '📋 Detalle Diario'!$C$5:$C$489, D706) * 200), 0))</f>
        <v/>
      </c>
      <c r="P706" s="32" t="str">
        <f t="shared" si="75"/>
        <v/>
      </c>
      <c r="Q706" s="33" t="str">
        <f t="shared" si="76"/>
        <v/>
      </c>
    </row>
    <row r="707" spans="2:17" ht="18" customHeight="1" x14ac:dyDescent="0.3">
      <c r="B707" s="26"/>
      <c r="C707" s="28"/>
      <c r="D707" s="27"/>
      <c r="E707" s="29"/>
      <c r="F707" s="29"/>
      <c r="G707" s="29"/>
      <c r="H707" s="30" t="str">
        <f t="shared" si="70"/>
        <v/>
      </c>
      <c r="I707" s="31" t="str">
        <f>IF(OR(B707="",C707=""),"",IFERROR(E707*IF(E707="",0,VLOOKUP(C707,'📦 Precios Proforma'!$B$5:$D$104,IF(D707="DIA",2,3),FALSE)),0))</f>
        <v/>
      </c>
      <c r="J707" s="31" t="str">
        <f t="shared" si="71"/>
        <v/>
      </c>
      <c r="K707" s="31" t="str">
        <f t="shared" si="72"/>
        <v/>
      </c>
      <c r="L707" s="31" t="str">
        <f>IF(OR(B707="",C707=""),"",IFERROR(E707 / SUMIFS('📅 Resumen Diario'!$D$5:$D$504, '📅 Resumen Diario'!$B$5:$B$504, B707, '📅 Resumen Diario'!$C$5:$C$504, D707) * SUMIFS('📅 Resumen Diario'!$K$5:$K$504, '📅 Resumen Diario'!$B$5:$B$504, B707, '📅 Resumen Diario'!$C$5:$C$504, D707), 0))</f>
        <v/>
      </c>
      <c r="M707" s="31" t="str">
        <f t="shared" si="73"/>
        <v/>
      </c>
      <c r="N707" s="31" t="str">
        <f t="shared" si="74"/>
        <v/>
      </c>
      <c r="O707" s="31" t="str">
        <f>IF(OR(B707="",C707=""),"",K707-N707 + IFERROR(E707 / SUMIFS('📅 Resumen Diario'!$D$5:$D$504, '📅 Resumen Diario'!$B$5:$B$504, B707, '📅 Resumen Diario'!$C$5:$C$504, D707) * (SUMIFS('📋 Detalle Diario'!$E$5:$E$489, '📋 Detalle Diario'!$B$5:$B$489, B707, '📋 Detalle Diario'!$C$5:$C$489, D707) * 135 + SUMIFS('📋 Detalle Diario'!$I$5:$I$489, '📋 Detalle Diario'!$B$5:$B$489, B707, '📋 Detalle Diario'!$C$5:$C$489, D707) * 200), 0))</f>
        <v/>
      </c>
      <c r="P707" s="32" t="str">
        <f t="shared" si="75"/>
        <v/>
      </c>
      <c r="Q707" s="33" t="str">
        <f t="shared" si="76"/>
        <v/>
      </c>
    </row>
    <row r="708" spans="2:17" ht="18" customHeight="1" x14ac:dyDescent="0.3">
      <c r="B708" s="26"/>
      <c r="C708" s="17"/>
      <c r="D708" s="27"/>
      <c r="E708" s="18"/>
      <c r="F708" s="18"/>
      <c r="G708" s="18"/>
      <c r="H708" s="30" t="str">
        <f t="shared" si="70"/>
        <v/>
      </c>
      <c r="I708" s="31" t="str">
        <f>IF(OR(B708="",C708=""),"",IFERROR(E708*IF(E708="",0,VLOOKUP(C708,'📦 Precios Proforma'!$B$5:$D$104,IF(D708="DIA",2,3),FALSE)),0))</f>
        <v/>
      </c>
      <c r="J708" s="31" t="str">
        <f t="shared" si="71"/>
        <v/>
      </c>
      <c r="K708" s="31" t="str">
        <f t="shared" si="72"/>
        <v/>
      </c>
      <c r="L708" s="31" t="str">
        <f>IF(OR(B708="",C708=""),"",IFERROR(E708 / SUMIFS('📅 Resumen Diario'!$D$5:$D$504, '📅 Resumen Diario'!$B$5:$B$504, B708, '📅 Resumen Diario'!$C$5:$C$504, D708) * SUMIFS('📅 Resumen Diario'!$K$5:$K$504, '📅 Resumen Diario'!$B$5:$B$504, B708, '📅 Resumen Diario'!$C$5:$C$504, D708), 0))</f>
        <v/>
      </c>
      <c r="M708" s="31" t="str">
        <f t="shared" si="73"/>
        <v/>
      </c>
      <c r="N708" s="31" t="str">
        <f t="shared" si="74"/>
        <v/>
      </c>
      <c r="O708" s="31" t="str">
        <f>IF(OR(B708="",C708=""),"",K708-N708 + IFERROR(E708 / SUMIFS('📅 Resumen Diario'!$D$5:$D$504, '📅 Resumen Diario'!$B$5:$B$504, B708, '📅 Resumen Diario'!$C$5:$C$504, D708) * (SUMIFS('📋 Detalle Diario'!$E$5:$E$489, '📋 Detalle Diario'!$B$5:$B$489, B708, '📋 Detalle Diario'!$C$5:$C$489, D708) * 135 + SUMIFS('📋 Detalle Diario'!$I$5:$I$489, '📋 Detalle Diario'!$B$5:$B$489, B708, '📋 Detalle Diario'!$C$5:$C$489, D708) * 200), 0))</f>
        <v/>
      </c>
      <c r="P708" s="32" t="str">
        <f t="shared" si="75"/>
        <v/>
      </c>
      <c r="Q708" s="33" t="str">
        <f t="shared" si="76"/>
        <v/>
      </c>
    </row>
    <row r="709" spans="2:17" ht="18" customHeight="1" x14ac:dyDescent="0.3">
      <c r="B709" s="26"/>
      <c r="C709" s="28"/>
      <c r="D709" s="27"/>
      <c r="E709" s="29"/>
      <c r="F709" s="29"/>
      <c r="G709" s="29"/>
      <c r="H709" s="30" t="str">
        <f t="shared" si="70"/>
        <v/>
      </c>
      <c r="I709" s="31" t="str">
        <f>IF(OR(B709="",C709=""),"",IFERROR(E709*IF(E709="",0,VLOOKUP(C709,'📦 Precios Proforma'!$B$5:$D$104,IF(D709="DIA",2,3),FALSE)),0))</f>
        <v/>
      </c>
      <c r="J709" s="31" t="str">
        <f t="shared" si="71"/>
        <v/>
      </c>
      <c r="K709" s="31" t="str">
        <f t="shared" si="72"/>
        <v/>
      </c>
      <c r="L709" s="31" t="str">
        <f>IF(OR(B709="",C709=""),"",IFERROR(E709 / SUMIFS('📅 Resumen Diario'!$D$5:$D$504, '📅 Resumen Diario'!$B$5:$B$504, B709, '📅 Resumen Diario'!$C$5:$C$504, D709) * SUMIFS('📅 Resumen Diario'!$K$5:$K$504, '📅 Resumen Diario'!$B$5:$B$504, B709, '📅 Resumen Diario'!$C$5:$C$504, D709), 0))</f>
        <v/>
      </c>
      <c r="M709" s="31" t="str">
        <f t="shared" si="73"/>
        <v/>
      </c>
      <c r="N709" s="31" t="str">
        <f t="shared" si="74"/>
        <v/>
      </c>
      <c r="O709" s="31" t="str">
        <f>IF(OR(B709="",C709=""),"",K709-N709 + IFERROR(E709 / SUMIFS('📅 Resumen Diario'!$D$5:$D$504, '📅 Resumen Diario'!$B$5:$B$504, B709, '📅 Resumen Diario'!$C$5:$C$504, D709) * (SUMIFS('📋 Detalle Diario'!$E$5:$E$489, '📋 Detalle Diario'!$B$5:$B$489, B709, '📋 Detalle Diario'!$C$5:$C$489, D709) * 135 + SUMIFS('📋 Detalle Diario'!$I$5:$I$489, '📋 Detalle Diario'!$B$5:$B$489, B709, '📋 Detalle Diario'!$C$5:$C$489, D709) * 200), 0))</f>
        <v/>
      </c>
      <c r="P709" s="32" t="str">
        <f t="shared" si="75"/>
        <v/>
      </c>
      <c r="Q709" s="33" t="str">
        <f t="shared" si="76"/>
        <v/>
      </c>
    </row>
    <row r="710" spans="2:17" ht="18" customHeight="1" x14ac:dyDescent="0.3">
      <c r="B710" s="26"/>
      <c r="C710" s="17"/>
      <c r="D710" s="27"/>
      <c r="E710" s="18"/>
      <c r="F710" s="18"/>
      <c r="G710" s="18"/>
      <c r="H710" s="30" t="str">
        <f t="shared" si="70"/>
        <v/>
      </c>
      <c r="I710" s="31" t="str">
        <f>IF(OR(B710="",C710=""),"",IFERROR(E710*IF(E710="",0,VLOOKUP(C710,'📦 Precios Proforma'!$B$5:$D$104,IF(D710="DIA",2,3),FALSE)),0))</f>
        <v/>
      </c>
      <c r="J710" s="31" t="str">
        <f t="shared" si="71"/>
        <v/>
      </c>
      <c r="K710" s="31" t="str">
        <f t="shared" si="72"/>
        <v/>
      </c>
      <c r="L710" s="31" t="str">
        <f>IF(OR(B710="",C710=""),"",IFERROR(E710 / SUMIFS('📅 Resumen Diario'!$D$5:$D$504, '📅 Resumen Diario'!$B$5:$B$504, B710, '📅 Resumen Diario'!$C$5:$C$504, D710) * SUMIFS('📅 Resumen Diario'!$K$5:$K$504, '📅 Resumen Diario'!$B$5:$B$504, B710, '📅 Resumen Diario'!$C$5:$C$504, D710), 0))</f>
        <v/>
      </c>
      <c r="M710" s="31" t="str">
        <f t="shared" si="73"/>
        <v/>
      </c>
      <c r="N710" s="31" t="str">
        <f t="shared" si="74"/>
        <v/>
      </c>
      <c r="O710" s="31" t="str">
        <f>IF(OR(B710="",C710=""),"",K710-N710 + IFERROR(E710 / SUMIFS('📅 Resumen Diario'!$D$5:$D$504, '📅 Resumen Diario'!$B$5:$B$504, B710, '📅 Resumen Diario'!$C$5:$C$504, D710) * (SUMIFS('📋 Detalle Diario'!$E$5:$E$489, '📋 Detalle Diario'!$B$5:$B$489, B710, '📋 Detalle Diario'!$C$5:$C$489, D710) * 135 + SUMIFS('📋 Detalle Diario'!$I$5:$I$489, '📋 Detalle Diario'!$B$5:$B$489, B710, '📋 Detalle Diario'!$C$5:$C$489, D710) * 200), 0))</f>
        <v/>
      </c>
      <c r="P710" s="32" t="str">
        <f t="shared" si="75"/>
        <v/>
      </c>
      <c r="Q710" s="33" t="str">
        <f t="shared" si="76"/>
        <v/>
      </c>
    </row>
    <row r="711" spans="2:17" ht="18" customHeight="1" x14ac:dyDescent="0.3">
      <c r="B711" s="26"/>
      <c r="C711" s="28"/>
      <c r="D711" s="27"/>
      <c r="E711" s="29"/>
      <c r="F711" s="29"/>
      <c r="G711" s="29"/>
      <c r="H711" s="30" t="str">
        <f t="shared" ref="H711:H774" si="77">IF(OR(B711="",C711=""),"",F711+G711)</f>
        <v/>
      </c>
      <c r="I711" s="31" t="str">
        <f>IF(OR(B711="",C711=""),"",IFERROR(E711*IF(E711="",0,VLOOKUP(C711,'📦 Precios Proforma'!$B$5:$D$104,IF(D711="DIA",2,3),FALSE)),0))</f>
        <v/>
      </c>
      <c r="J711" s="31" t="str">
        <f t="shared" ref="J711:J774" si="78">IF(OR(B711="",C711=""),"",IF(D711="DIA",H711*1.01,H711*1.35))</f>
        <v/>
      </c>
      <c r="K711" s="31" t="str">
        <f t="shared" ref="K711:K774" si="79">IF(OR(B711="",C711=""),"",I711+J711)</f>
        <v/>
      </c>
      <c r="L711" s="31" t="str">
        <f>IF(OR(B711="",C711=""),"",IFERROR(E711 / SUMIFS('📅 Resumen Diario'!$D$5:$D$504, '📅 Resumen Diario'!$B$5:$B$504, B711, '📅 Resumen Diario'!$C$5:$C$504, D711) * SUMIFS('📅 Resumen Diario'!$K$5:$K$504, '📅 Resumen Diario'!$B$5:$B$504, B711, '📅 Resumen Diario'!$C$5:$C$504, D711), 0))</f>
        <v/>
      </c>
      <c r="M711" s="31" t="str">
        <f t="shared" ref="M711:M774" si="80">IF(OR(B711="",C711=""),"",H711*0.09)</f>
        <v/>
      </c>
      <c r="N711" s="31" t="str">
        <f t="shared" ref="N711:N774" si="81">IF(OR(B711="",C711=""),"",L711+M711)</f>
        <v/>
      </c>
      <c r="O711" s="31" t="str">
        <f>IF(OR(B711="",C711=""),"",K711-N711 + IFERROR(E711 / SUMIFS('📅 Resumen Diario'!$D$5:$D$504, '📅 Resumen Diario'!$B$5:$B$504, B711, '📅 Resumen Diario'!$C$5:$C$504, D711) * (SUMIFS('📋 Detalle Diario'!$E$5:$E$489, '📋 Detalle Diario'!$B$5:$B$489, B711, '📋 Detalle Diario'!$C$5:$C$489, D711) * 135 + SUMIFS('📋 Detalle Diario'!$I$5:$I$489, '📋 Detalle Diario'!$B$5:$B$489, B711, '📋 Detalle Diario'!$C$5:$C$489, D711) * 200), 0))</f>
        <v/>
      </c>
      <c r="P711" s="32" t="str">
        <f t="shared" ref="P711:P774" si="82">IF(OR(B711="",C711=""),"",IF(K711=0, 0, O711/K711))</f>
        <v/>
      </c>
      <c r="Q711" s="33" t="str">
        <f t="shared" ref="Q711:Q774" si="83">IF(B711="","",IF(ISNUMBER(B711),YEAR(B711)&amp;"-"&amp;IF(MONTH(B711)&lt;10,"0","")&amp;MONTH(B711),LEFT(B711,7)))</f>
        <v/>
      </c>
    </row>
    <row r="712" spans="2:17" ht="18" customHeight="1" x14ac:dyDescent="0.3">
      <c r="B712" s="26"/>
      <c r="C712" s="17"/>
      <c r="D712" s="27"/>
      <c r="E712" s="18"/>
      <c r="F712" s="18"/>
      <c r="G712" s="18"/>
      <c r="H712" s="30" t="str">
        <f t="shared" si="77"/>
        <v/>
      </c>
      <c r="I712" s="31" t="str">
        <f>IF(OR(B712="",C712=""),"",IFERROR(E712*IF(E712="",0,VLOOKUP(C712,'📦 Precios Proforma'!$B$5:$D$104,IF(D712="DIA",2,3),FALSE)),0))</f>
        <v/>
      </c>
      <c r="J712" s="31" t="str">
        <f t="shared" si="78"/>
        <v/>
      </c>
      <c r="K712" s="31" t="str">
        <f t="shared" si="79"/>
        <v/>
      </c>
      <c r="L712" s="31" t="str">
        <f>IF(OR(B712="",C712=""),"",IFERROR(E712 / SUMIFS('📅 Resumen Diario'!$D$5:$D$504, '📅 Resumen Diario'!$B$5:$B$504, B712, '📅 Resumen Diario'!$C$5:$C$504, D712) * SUMIFS('📅 Resumen Diario'!$K$5:$K$504, '📅 Resumen Diario'!$B$5:$B$504, B712, '📅 Resumen Diario'!$C$5:$C$504, D712), 0))</f>
        <v/>
      </c>
      <c r="M712" s="31" t="str">
        <f t="shared" si="80"/>
        <v/>
      </c>
      <c r="N712" s="31" t="str">
        <f t="shared" si="81"/>
        <v/>
      </c>
      <c r="O712" s="31" t="str">
        <f>IF(OR(B712="",C712=""),"",K712-N712 + IFERROR(E712 / SUMIFS('📅 Resumen Diario'!$D$5:$D$504, '📅 Resumen Diario'!$B$5:$B$504, B712, '📅 Resumen Diario'!$C$5:$C$504, D712) * (SUMIFS('📋 Detalle Diario'!$E$5:$E$489, '📋 Detalle Diario'!$B$5:$B$489, B712, '📋 Detalle Diario'!$C$5:$C$489, D712) * 135 + SUMIFS('📋 Detalle Diario'!$I$5:$I$489, '📋 Detalle Diario'!$B$5:$B$489, B712, '📋 Detalle Diario'!$C$5:$C$489, D712) * 200), 0))</f>
        <v/>
      </c>
      <c r="P712" s="32" t="str">
        <f t="shared" si="82"/>
        <v/>
      </c>
      <c r="Q712" s="33" t="str">
        <f t="shared" si="83"/>
        <v/>
      </c>
    </row>
    <row r="713" spans="2:17" ht="18" customHeight="1" x14ac:dyDescent="0.3">
      <c r="B713" s="26"/>
      <c r="C713" s="28"/>
      <c r="D713" s="27"/>
      <c r="E713" s="29"/>
      <c r="F713" s="29"/>
      <c r="G713" s="29"/>
      <c r="H713" s="30" t="str">
        <f t="shared" si="77"/>
        <v/>
      </c>
      <c r="I713" s="31" t="str">
        <f>IF(OR(B713="",C713=""),"",IFERROR(E713*IF(E713="",0,VLOOKUP(C713,'📦 Precios Proforma'!$B$5:$D$104,IF(D713="DIA",2,3),FALSE)),0))</f>
        <v/>
      </c>
      <c r="J713" s="31" t="str">
        <f t="shared" si="78"/>
        <v/>
      </c>
      <c r="K713" s="31" t="str">
        <f t="shared" si="79"/>
        <v/>
      </c>
      <c r="L713" s="31" t="str">
        <f>IF(OR(B713="",C713=""),"",IFERROR(E713 / SUMIFS('📅 Resumen Diario'!$D$5:$D$504, '📅 Resumen Diario'!$B$5:$B$504, B713, '📅 Resumen Diario'!$C$5:$C$504, D713) * SUMIFS('📅 Resumen Diario'!$K$5:$K$504, '📅 Resumen Diario'!$B$5:$B$504, B713, '📅 Resumen Diario'!$C$5:$C$504, D713), 0))</f>
        <v/>
      </c>
      <c r="M713" s="31" t="str">
        <f t="shared" si="80"/>
        <v/>
      </c>
      <c r="N713" s="31" t="str">
        <f t="shared" si="81"/>
        <v/>
      </c>
      <c r="O713" s="31" t="str">
        <f>IF(OR(B713="",C713=""),"",K713-N713 + IFERROR(E713 / SUMIFS('📅 Resumen Diario'!$D$5:$D$504, '📅 Resumen Diario'!$B$5:$B$504, B713, '📅 Resumen Diario'!$C$5:$C$504, D713) * (SUMIFS('📋 Detalle Diario'!$E$5:$E$489, '📋 Detalle Diario'!$B$5:$B$489, B713, '📋 Detalle Diario'!$C$5:$C$489, D713) * 135 + SUMIFS('📋 Detalle Diario'!$I$5:$I$489, '📋 Detalle Diario'!$B$5:$B$489, B713, '📋 Detalle Diario'!$C$5:$C$489, D713) * 200), 0))</f>
        <v/>
      </c>
      <c r="P713" s="32" t="str">
        <f t="shared" si="82"/>
        <v/>
      </c>
      <c r="Q713" s="33" t="str">
        <f t="shared" si="83"/>
        <v/>
      </c>
    </row>
    <row r="714" spans="2:17" ht="18" customHeight="1" x14ac:dyDescent="0.3">
      <c r="B714" s="26"/>
      <c r="C714" s="17"/>
      <c r="D714" s="27"/>
      <c r="E714" s="18"/>
      <c r="F714" s="18"/>
      <c r="G714" s="18"/>
      <c r="H714" s="30" t="str">
        <f t="shared" si="77"/>
        <v/>
      </c>
      <c r="I714" s="31" t="str">
        <f>IF(OR(B714="",C714=""),"",IFERROR(E714*IF(E714="",0,VLOOKUP(C714,'📦 Precios Proforma'!$B$5:$D$104,IF(D714="DIA",2,3),FALSE)),0))</f>
        <v/>
      </c>
      <c r="J714" s="31" t="str">
        <f t="shared" si="78"/>
        <v/>
      </c>
      <c r="K714" s="31" t="str">
        <f t="shared" si="79"/>
        <v/>
      </c>
      <c r="L714" s="31" t="str">
        <f>IF(OR(B714="",C714=""),"",IFERROR(E714 / SUMIFS('📅 Resumen Diario'!$D$5:$D$504, '📅 Resumen Diario'!$B$5:$B$504, B714, '📅 Resumen Diario'!$C$5:$C$504, D714) * SUMIFS('📅 Resumen Diario'!$K$5:$K$504, '📅 Resumen Diario'!$B$5:$B$504, B714, '📅 Resumen Diario'!$C$5:$C$504, D714), 0))</f>
        <v/>
      </c>
      <c r="M714" s="31" t="str">
        <f t="shared" si="80"/>
        <v/>
      </c>
      <c r="N714" s="31" t="str">
        <f t="shared" si="81"/>
        <v/>
      </c>
      <c r="O714" s="31" t="str">
        <f>IF(OR(B714="",C714=""),"",K714-N714 + IFERROR(E714 / SUMIFS('📅 Resumen Diario'!$D$5:$D$504, '📅 Resumen Diario'!$B$5:$B$504, B714, '📅 Resumen Diario'!$C$5:$C$504, D714) * (SUMIFS('📋 Detalle Diario'!$E$5:$E$489, '📋 Detalle Diario'!$B$5:$B$489, B714, '📋 Detalle Diario'!$C$5:$C$489, D714) * 135 + SUMIFS('📋 Detalle Diario'!$I$5:$I$489, '📋 Detalle Diario'!$B$5:$B$489, B714, '📋 Detalle Diario'!$C$5:$C$489, D714) * 200), 0))</f>
        <v/>
      </c>
      <c r="P714" s="32" t="str">
        <f t="shared" si="82"/>
        <v/>
      </c>
      <c r="Q714" s="33" t="str">
        <f t="shared" si="83"/>
        <v/>
      </c>
    </row>
    <row r="715" spans="2:17" ht="18" customHeight="1" x14ac:dyDescent="0.3">
      <c r="B715" s="26"/>
      <c r="C715" s="28"/>
      <c r="D715" s="27"/>
      <c r="E715" s="29"/>
      <c r="F715" s="29"/>
      <c r="G715" s="29"/>
      <c r="H715" s="30" t="str">
        <f t="shared" si="77"/>
        <v/>
      </c>
      <c r="I715" s="31" t="str">
        <f>IF(OR(B715="",C715=""),"",IFERROR(E715*IF(E715="",0,VLOOKUP(C715,'📦 Precios Proforma'!$B$5:$D$104,IF(D715="DIA",2,3),FALSE)),0))</f>
        <v/>
      </c>
      <c r="J715" s="31" t="str">
        <f t="shared" si="78"/>
        <v/>
      </c>
      <c r="K715" s="31" t="str">
        <f t="shared" si="79"/>
        <v/>
      </c>
      <c r="L715" s="31" t="str">
        <f>IF(OR(B715="",C715=""),"",IFERROR(E715 / SUMIFS('📅 Resumen Diario'!$D$5:$D$504, '📅 Resumen Diario'!$B$5:$B$504, B715, '📅 Resumen Diario'!$C$5:$C$504, D715) * SUMIFS('📅 Resumen Diario'!$K$5:$K$504, '📅 Resumen Diario'!$B$5:$B$504, B715, '📅 Resumen Diario'!$C$5:$C$504, D715), 0))</f>
        <v/>
      </c>
      <c r="M715" s="31" t="str">
        <f t="shared" si="80"/>
        <v/>
      </c>
      <c r="N715" s="31" t="str">
        <f t="shared" si="81"/>
        <v/>
      </c>
      <c r="O715" s="31" t="str">
        <f>IF(OR(B715="",C715=""),"",K715-N715 + IFERROR(E715 / SUMIFS('📅 Resumen Diario'!$D$5:$D$504, '📅 Resumen Diario'!$B$5:$B$504, B715, '📅 Resumen Diario'!$C$5:$C$504, D715) * (SUMIFS('📋 Detalle Diario'!$E$5:$E$489, '📋 Detalle Diario'!$B$5:$B$489, B715, '📋 Detalle Diario'!$C$5:$C$489, D715) * 135 + SUMIFS('📋 Detalle Diario'!$I$5:$I$489, '📋 Detalle Diario'!$B$5:$B$489, B715, '📋 Detalle Diario'!$C$5:$C$489, D715) * 200), 0))</f>
        <v/>
      </c>
      <c r="P715" s="32" t="str">
        <f t="shared" si="82"/>
        <v/>
      </c>
      <c r="Q715" s="33" t="str">
        <f t="shared" si="83"/>
        <v/>
      </c>
    </row>
    <row r="716" spans="2:17" ht="18" customHeight="1" x14ac:dyDescent="0.3">
      <c r="B716" s="26"/>
      <c r="C716" s="17"/>
      <c r="D716" s="27"/>
      <c r="E716" s="18"/>
      <c r="F716" s="18"/>
      <c r="G716" s="18"/>
      <c r="H716" s="30" t="str">
        <f t="shared" si="77"/>
        <v/>
      </c>
      <c r="I716" s="31" t="str">
        <f>IF(OR(B716="",C716=""),"",IFERROR(E716*IF(E716="",0,VLOOKUP(C716,'📦 Precios Proforma'!$B$5:$D$104,IF(D716="DIA",2,3),FALSE)),0))</f>
        <v/>
      </c>
      <c r="J716" s="31" t="str">
        <f t="shared" si="78"/>
        <v/>
      </c>
      <c r="K716" s="31" t="str">
        <f t="shared" si="79"/>
        <v/>
      </c>
      <c r="L716" s="31" t="str">
        <f>IF(OR(B716="",C716=""),"",IFERROR(E716 / SUMIFS('📅 Resumen Diario'!$D$5:$D$504, '📅 Resumen Diario'!$B$5:$B$504, B716, '📅 Resumen Diario'!$C$5:$C$504, D716) * SUMIFS('📅 Resumen Diario'!$K$5:$K$504, '📅 Resumen Diario'!$B$5:$B$504, B716, '📅 Resumen Diario'!$C$5:$C$504, D716), 0))</f>
        <v/>
      </c>
      <c r="M716" s="31" t="str">
        <f t="shared" si="80"/>
        <v/>
      </c>
      <c r="N716" s="31" t="str">
        <f t="shared" si="81"/>
        <v/>
      </c>
      <c r="O716" s="31" t="str">
        <f>IF(OR(B716="",C716=""),"",K716-N716 + IFERROR(E716 / SUMIFS('📅 Resumen Diario'!$D$5:$D$504, '📅 Resumen Diario'!$B$5:$B$504, B716, '📅 Resumen Diario'!$C$5:$C$504, D716) * (SUMIFS('📋 Detalle Diario'!$E$5:$E$489, '📋 Detalle Diario'!$B$5:$B$489, B716, '📋 Detalle Diario'!$C$5:$C$489, D716) * 135 + SUMIFS('📋 Detalle Diario'!$I$5:$I$489, '📋 Detalle Diario'!$B$5:$B$489, B716, '📋 Detalle Diario'!$C$5:$C$489, D716) * 200), 0))</f>
        <v/>
      </c>
      <c r="P716" s="32" t="str">
        <f t="shared" si="82"/>
        <v/>
      </c>
      <c r="Q716" s="33" t="str">
        <f t="shared" si="83"/>
        <v/>
      </c>
    </row>
    <row r="717" spans="2:17" ht="18" customHeight="1" x14ac:dyDescent="0.3">
      <c r="B717" s="26"/>
      <c r="C717" s="28"/>
      <c r="D717" s="27"/>
      <c r="E717" s="29"/>
      <c r="F717" s="29"/>
      <c r="G717" s="29"/>
      <c r="H717" s="30" t="str">
        <f t="shared" si="77"/>
        <v/>
      </c>
      <c r="I717" s="31" t="str">
        <f>IF(OR(B717="",C717=""),"",IFERROR(E717*IF(E717="",0,VLOOKUP(C717,'📦 Precios Proforma'!$B$5:$D$104,IF(D717="DIA",2,3),FALSE)),0))</f>
        <v/>
      </c>
      <c r="J717" s="31" t="str">
        <f t="shared" si="78"/>
        <v/>
      </c>
      <c r="K717" s="31" t="str">
        <f t="shared" si="79"/>
        <v/>
      </c>
      <c r="L717" s="31" t="str">
        <f>IF(OR(B717="",C717=""),"",IFERROR(E717 / SUMIFS('📅 Resumen Diario'!$D$5:$D$504, '📅 Resumen Diario'!$B$5:$B$504, B717, '📅 Resumen Diario'!$C$5:$C$504, D717) * SUMIFS('📅 Resumen Diario'!$K$5:$K$504, '📅 Resumen Diario'!$B$5:$B$504, B717, '📅 Resumen Diario'!$C$5:$C$504, D717), 0))</f>
        <v/>
      </c>
      <c r="M717" s="31" t="str">
        <f t="shared" si="80"/>
        <v/>
      </c>
      <c r="N717" s="31" t="str">
        <f t="shared" si="81"/>
        <v/>
      </c>
      <c r="O717" s="31" t="str">
        <f>IF(OR(B717="",C717=""),"",K717-N717 + IFERROR(E717 / SUMIFS('📅 Resumen Diario'!$D$5:$D$504, '📅 Resumen Diario'!$B$5:$B$504, B717, '📅 Resumen Diario'!$C$5:$C$504, D717) * (SUMIFS('📋 Detalle Diario'!$E$5:$E$489, '📋 Detalle Diario'!$B$5:$B$489, B717, '📋 Detalle Diario'!$C$5:$C$489, D717) * 135 + SUMIFS('📋 Detalle Diario'!$I$5:$I$489, '📋 Detalle Diario'!$B$5:$B$489, B717, '📋 Detalle Diario'!$C$5:$C$489, D717) * 200), 0))</f>
        <v/>
      </c>
      <c r="P717" s="32" t="str">
        <f t="shared" si="82"/>
        <v/>
      </c>
      <c r="Q717" s="33" t="str">
        <f t="shared" si="83"/>
        <v/>
      </c>
    </row>
    <row r="718" spans="2:17" ht="18" customHeight="1" x14ac:dyDescent="0.3">
      <c r="B718" s="26"/>
      <c r="C718" s="17"/>
      <c r="D718" s="27"/>
      <c r="E718" s="18"/>
      <c r="F718" s="18"/>
      <c r="G718" s="18"/>
      <c r="H718" s="30" t="str">
        <f t="shared" si="77"/>
        <v/>
      </c>
      <c r="I718" s="31" t="str">
        <f>IF(OR(B718="",C718=""),"",IFERROR(E718*IF(E718="",0,VLOOKUP(C718,'📦 Precios Proforma'!$B$5:$D$104,IF(D718="DIA",2,3),FALSE)),0))</f>
        <v/>
      </c>
      <c r="J718" s="31" t="str">
        <f t="shared" si="78"/>
        <v/>
      </c>
      <c r="K718" s="31" t="str">
        <f t="shared" si="79"/>
        <v/>
      </c>
      <c r="L718" s="31" t="str">
        <f>IF(OR(B718="",C718=""),"",IFERROR(E718 / SUMIFS('📅 Resumen Diario'!$D$5:$D$504, '📅 Resumen Diario'!$B$5:$B$504, B718, '📅 Resumen Diario'!$C$5:$C$504, D718) * SUMIFS('📅 Resumen Diario'!$K$5:$K$504, '📅 Resumen Diario'!$B$5:$B$504, B718, '📅 Resumen Diario'!$C$5:$C$504, D718), 0))</f>
        <v/>
      </c>
      <c r="M718" s="31" t="str">
        <f t="shared" si="80"/>
        <v/>
      </c>
      <c r="N718" s="31" t="str">
        <f t="shared" si="81"/>
        <v/>
      </c>
      <c r="O718" s="31" t="str">
        <f>IF(OR(B718="",C718=""),"",K718-N718 + IFERROR(E718 / SUMIFS('📅 Resumen Diario'!$D$5:$D$504, '📅 Resumen Diario'!$B$5:$B$504, B718, '📅 Resumen Diario'!$C$5:$C$504, D718) * (SUMIFS('📋 Detalle Diario'!$E$5:$E$489, '📋 Detalle Diario'!$B$5:$B$489, B718, '📋 Detalle Diario'!$C$5:$C$489, D718) * 135 + SUMIFS('📋 Detalle Diario'!$I$5:$I$489, '📋 Detalle Diario'!$B$5:$B$489, B718, '📋 Detalle Diario'!$C$5:$C$489, D718) * 200), 0))</f>
        <v/>
      </c>
      <c r="P718" s="32" t="str">
        <f t="shared" si="82"/>
        <v/>
      </c>
      <c r="Q718" s="33" t="str">
        <f t="shared" si="83"/>
        <v/>
      </c>
    </row>
    <row r="719" spans="2:17" ht="18" customHeight="1" x14ac:dyDescent="0.3">
      <c r="B719" s="26"/>
      <c r="C719" s="28"/>
      <c r="D719" s="27"/>
      <c r="E719" s="29"/>
      <c r="F719" s="29"/>
      <c r="G719" s="29"/>
      <c r="H719" s="30" t="str">
        <f t="shared" si="77"/>
        <v/>
      </c>
      <c r="I719" s="31" t="str">
        <f>IF(OR(B719="",C719=""),"",IFERROR(E719*IF(E719="",0,VLOOKUP(C719,'📦 Precios Proforma'!$B$5:$D$104,IF(D719="DIA",2,3),FALSE)),0))</f>
        <v/>
      </c>
      <c r="J719" s="31" t="str">
        <f t="shared" si="78"/>
        <v/>
      </c>
      <c r="K719" s="31" t="str">
        <f t="shared" si="79"/>
        <v/>
      </c>
      <c r="L719" s="31" t="str">
        <f>IF(OR(B719="",C719=""),"",IFERROR(E719 / SUMIFS('📅 Resumen Diario'!$D$5:$D$504, '📅 Resumen Diario'!$B$5:$B$504, B719, '📅 Resumen Diario'!$C$5:$C$504, D719) * SUMIFS('📅 Resumen Diario'!$K$5:$K$504, '📅 Resumen Diario'!$B$5:$B$504, B719, '📅 Resumen Diario'!$C$5:$C$504, D719), 0))</f>
        <v/>
      </c>
      <c r="M719" s="31" t="str">
        <f t="shared" si="80"/>
        <v/>
      </c>
      <c r="N719" s="31" t="str">
        <f t="shared" si="81"/>
        <v/>
      </c>
      <c r="O719" s="31" t="str">
        <f>IF(OR(B719="",C719=""),"",K719-N719 + IFERROR(E719 / SUMIFS('📅 Resumen Diario'!$D$5:$D$504, '📅 Resumen Diario'!$B$5:$B$504, B719, '📅 Resumen Diario'!$C$5:$C$504, D719) * (SUMIFS('📋 Detalle Diario'!$E$5:$E$489, '📋 Detalle Diario'!$B$5:$B$489, B719, '📋 Detalle Diario'!$C$5:$C$489, D719) * 135 + SUMIFS('📋 Detalle Diario'!$I$5:$I$489, '📋 Detalle Diario'!$B$5:$B$489, B719, '📋 Detalle Diario'!$C$5:$C$489, D719) * 200), 0))</f>
        <v/>
      </c>
      <c r="P719" s="32" t="str">
        <f t="shared" si="82"/>
        <v/>
      </c>
      <c r="Q719" s="33" t="str">
        <f t="shared" si="83"/>
        <v/>
      </c>
    </row>
    <row r="720" spans="2:17" ht="18" customHeight="1" x14ac:dyDescent="0.3">
      <c r="B720" s="26"/>
      <c r="C720" s="17"/>
      <c r="D720" s="27"/>
      <c r="E720" s="18"/>
      <c r="F720" s="18"/>
      <c r="G720" s="18"/>
      <c r="H720" s="30" t="str">
        <f t="shared" si="77"/>
        <v/>
      </c>
      <c r="I720" s="31" t="str">
        <f>IF(OR(B720="",C720=""),"",IFERROR(E720*IF(E720="",0,VLOOKUP(C720,'📦 Precios Proforma'!$B$5:$D$104,IF(D720="DIA",2,3),FALSE)),0))</f>
        <v/>
      </c>
      <c r="J720" s="31" t="str">
        <f t="shared" si="78"/>
        <v/>
      </c>
      <c r="K720" s="31" t="str">
        <f t="shared" si="79"/>
        <v/>
      </c>
      <c r="L720" s="31" t="str">
        <f>IF(OR(B720="",C720=""),"",IFERROR(E720 / SUMIFS('📅 Resumen Diario'!$D$5:$D$504, '📅 Resumen Diario'!$B$5:$B$504, B720, '📅 Resumen Diario'!$C$5:$C$504, D720) * SUMIFS('📅 Resumen Diario'!$K$5:$K$504, '📅 Resumen Diario'!$B$5:$B$504, B720, '📅 Resumen Diario'!$C$5:$C$504, D720), 0))</f>
        <v/>
      </c>
      <c r="M720" s="31" t="str">
        <f t="shared" si="80"/>
        <v/>
      </c>
      <c r="N720" s="31" t="str">
        <f t="shared" si="81"/>
        <v/>
      </c>
      <c r="O720" s="31" t="str">
        <f>IF(OR(B720="",C720=""),"",K720-N720 + IFERROR(E720 / SUMIFS('📅 Resumen Diario'!$D$5:$D$504, '📅 Resumen Diario'!$B$5:$B$504, B720, '📅 Resumen Diario'!$C$5:$C$504, D720) * (SUMIFS('📋 Detalle Diario'!$E$5:$E$489, '📋 Detalle Diario'!$B$5:$B$489, B720, '📋 Detalle Diario'!$C$5:$C$489, D720) * 135 + SUMIFS('📋 Detalle Diario'!$I$5:$I$489, '📋 Detalle Diario'!$B$5:$B$489, B720, '📋 Detalle Diario'!$C$5:$C$489, D720) * 200), 0))</f>
        <v/>
      </c>
      <c r="P720" s="32" t="str">
        <f t="shared" si="82"/>
        <v/>
      </c>
      <c r="Q720" s="33" t="str">
        <f t="shared" si="83"/>
        <v/>
      </c>
    </row>
    <row r="721" spans="2:17" ht="18" customHeight="1" x14ac:dyDescent="0.3">
      <c r="B721" s="26"/>
      <c r="C721" s="28"/>
      <c r="D721" s="27"/>
      <c r="E721" s="29"/>
      <c r="F721" s="29"/>
      <c r="G721" s="29"/>
      <c r="H721" s="30" t="str">
        <f t="shared" si="77"/>
        <v/>
      </c>
      <c r="I721" s="31" t="str">
        <f>IF(OR(B721="",C721=""),"",IFERROR(E721*IF(E721="",0,VLOOKUP(C721,'📦 Precios Proforma'!$B$5:$D$104,IF(D721="DIA",2,3),FALSE)),0))</f>
        <v/>
      </c>
      <c r="J721" s="31" t="str">
        <f t="shared" si="78"/>
        <v/>
      </c>
      <c r="K721" s="31" t="str">
        <f t="shared" si="79"/>
        <v/>
      </c>
      <c r="L721" s="31" t="str">
        <f>IF(OR(B721="",C721=""),"",IFERROR(E721 / SUMIFS('📅 Resumen Diario'!$D$5:$D$504, '📅 Resumen Diario'!$B$5:$B$504, B721, '📅 Resumen Diario'!$C$5:$C$504, D721) * SUMIFS('📅 Resumen Diario'!$K$5:$K$504, '📅 Resumen Diario'!$B$5:$B$504, B721, '📅 Resumen Diario'!$C$5:$C$504, D721), 0))</f>
        <v/>
      </c>
      <c r="M721" s="31" t="str">
        <f t="shared" si="80"/>
        <v/>
      </c>
      <c r="N721" s="31" t="str">
        <f t="shared" si="81"/>
        <v/>
      </c>
      <c r="O721" s="31" t="str">
        <f>IF(OR(B721="",C721=""),"",K721-N721 + IFERROR(E721 / SUMIFS('📅 Resumen Diario'!$D$5:$D$504, '📅 Resumen Diario'!$B$5:$B$504, B721, '📅 Resumen Diario'!$C$5:$C$504, D721) * (SUMIFS('📋 Detalle Diario'!$E$5:$E$489, '📋 Detalle Diario'!$B$5:$B$489, B721, '📋 Detalle Diario'!$C$5:$C$489, D721) * 135 + SUMIFS('📋 Detalle Diario'!$I$5:$I$489, '📋 Detalle Diario'!$B$5:$B$489, B721, '📋 Detalle Diario'!$C$5:$C$489, D721) * 200), 0))</f>
        <v/>
      </c>
      <c r="P721" s="32" t="str">
        <f t="shared" si="82"/>
        <v/>
      </c>
      <c r="Q721" s="33" t="str">
        <f t="shared" si="83"/>
        <v/>
      </c>
    </row>
    <row r="722" spans="2:17" ht="18" customHeight="1" x14ac:dyDescent="0.3">
      <c r="B722" s="26"/>
      <c r="C722" s="17"/>
      <c r="D722" s="27"/>
      <c r="E722" s="18"/>
      <c r="F722" s="18"/>
      <c r="G722" s="18"/>
      <c r="H722" s="30" t="str">
        <f t="shared" si="77"/>
        <v/>
      </c>
      <c r="I722" s="31" t="str">
        <f>IF(OR(B722="",C722=""),"",IFERROR(E722*IF(E722="",0,VLOOKUP(C722,'📦 Precios Proforma'!$B$5:$D$104,IF(D722="DIA",2,3),FALSE)),0))</f>
        <v/>
      </c>
      <c r="J722" s="31" t="str">
        <f t="shared" si="78"/>
        <v/>
      </c>
      <c r="K722" s="31" t="str">
        <f t="shared" si="79"/>
        <v/>
      </c>
      <c r="L722" s="31" t="str">
        <f>IF(OR(B722="",C722=""),"",IFERROR(E722 / SUMIFS('📅 Resumen Diario'!$D$5:$D$504, '📅 Resumen Diario'!$B$5:$B$504, B722, '📅 Resumen Diario'!$C$5:$C$504, D722) * SUMIFS('📅 Resumen Diario'!$K$5:$K$504, '📅 Resumen Diario'!$B$5:$B$504, B722, '📅 Resumen Diario'!$C$5:$C$504, D722), 0))</f>
        <v/>
      </c>
      <c r="M722" s="31" t="str">
        <f t="shared" si="80"/>
        <v/>
      </c>
      <c r="N722" s="31" t="str">
        <f t="shared" si="81"/>
        <v/>
      </c>
      <c r="O722" s="31" t="str">
        <f>IF(OR(B722="",C722=""),"",K722-N722 + IFERROR(E722 / SUMIFS('📅 Resumen Diario'!$D$5:$D$504, '📅 Resumen Diario'!$B$5:$B$504, B722, '📅 Resumen Diario'!$C$5:$C$504, D722) * (SUMIFS('📋 Detalle Diario'!$E$5:$E$489, '📋 Detalle Diario'!$B$5:$B$489, B722, '📋 Detalle Diario'!$C$5:$C$489, D722) * 135 + SUMIFS('📋 Detalle Diario'!$I$5:$I$489, '📋 Detalle Diario'!$B$5:$B$489, B722, '📋 Detalle Diario'!$C$5:$C$489, D722) * 200), 0))</f>
        <v/>
      </c>
      <c r="P722" s="32" t="str">
        <f t="shared" si="82"/>
        <v/>
      </c>
      <c r="Q722" s="33" t="str">
        <f t="shared" si="83"/>
        <v/>
      </c>
    </row>
    <row r="723" spans="2:17" ht="18" customHeight="1" x14ac:dyDescent="0.3">
      <c r="B723" s="26"/>
      <c r="C723" s="28"/>
      <c r="D723" s="27"/>
      <c r="E723" s="29"/>
      <c r="F723" s="29"/>
      <c r="G723" s="29"/>
      <c r="H723" s="30" t="str">
        <f t="shared" si="77"/>
        <v/>
      </c>
      <c r="I723" s="31" t="str">
        <f>IF(OR(B723="",C723=""),"",IFERROR(E723*IF(E723="",0,VLOOKUP(C723,'📦 Precios Proforma'!$B$5:$D$104,IF(D723="DIA",2,3),FALSE)),0))</f>
        <v/>
      </c>
      <c r="J723" s="31" t="str">
        <f t="shared" si="78"/>
        <v/>
      </c>
      <c r="K723" s="31" t="str">
        <f t="shared" si="79"/>
        <v/>
      </c>
      <c r="L723" s="31" t="str">
        <f>IF(OR(B723="",C723=""),"",IFERROR(E723 / SUMIFS('📅 Resumen Diario'!$D$5:$D$504, '📅 Resumen Diario'!$B$5:$B$504, B723, '📅 Resumen Diario'!$C$5:$C$504, D723) * SUMIFS('📅 Resumen Diario'!$K$5:$K$504, '📅 Resumen Diario'!$B$5:$B$504, B723, '📅 Resumen Diario'!$C$5:$C$504, D723), 0))</f>
        <v/>
      </c>
      <c r="M723" s="31" t="str">
        <f t="shared" si="80"/>
        <v/>
      </c>
      <c r="N723" s="31" t="str">
        <f t="shared" si="81"/>
        <v/>
      </c>
      <c r="O723" s="31" t="str">
        <f>IF(OR(B723="",C723=""),"",K723-N723 + IFERROR(E723 / SUMIFS('📅 Resumen Diario'!$D$5:$D$504, '📅 Resumen Diario'!$B$5:$B$504, B723, '📅 Resumen Diario'!$C$5:$C$504, D723) * (SUMIFS('📋 Detalle Diario'!$E$5:$E$489, '📋 Detalle Diario'!$B$5:$B$489, B723, '📋 Detalle Diario'!$C$5:$C$489, D723) * 135 + SUMIFS('📋 Detalle Diario'!$I$5:$I$489, '📋 Detalle Diario'!$B$5:$B$489, B723, '📋 Detalle Diario'!$C$5:$C$489, D723) * 200), 0))</f>
        <v/>
      </c>
      <c r="P723" s="32" t="str">
        <f t="shared" si="82"/>
        <v/>
      </c>
      <c r="Q723" s="33" t="str">
        <f t="shared" si="83"/>
        <v/>
      </c>
    </row>
    <row r="724" spans="2:17" ht="18" customHeight="1" x14ac:dyDescent="0.3">
      <c r="B724" s="26"/>
      <c r="C724" s="17"/>
      <c r="D724" s="27"/>
      <c r="E724" s="18"/>
      <c r="F724" s="18"/>
      <c r="G724" s="18"/>
      <c r="H724" s="30" t="str">
        <f t="shared" si="77"/>
        <v/>
      </c>
      <c r="I724" s="31" t="str">
        <f>IF(OR(B724="",C724=""),"",IFERROR(E724*IF(E724="",0,VLOOKUP(C724,'📦 Precios Proforma'!$B$5:$D$104,IF(D724="DIA",2,3),FALSE)),0))</f>
        <v/>
      </c>
      <c r="J724" s="31" t="str">
        <f t="shared" si="78"/>
        <v/>
      </c>
      <c r="K724" s="31" t="str">
        <f t="shared" si="79"/>
        <v/>
      </c>
      <c r="L724" s="31" t="str">
        <f>IF(OR(B724="",C724=""),"",IFERROR(E724 / SUMIFS('📅 Resumen Diario'!$D$5:$D$504, '📅 Resumen Diario'!$B$5:$B$504, B724, '📅 Resumen Diario'!$C$5:$C$504, D724) * SUMIFS('📅 Resumen Diario'!$K$5:$K$504, '📅 Resumen Diario'!$B$5:$B$504, B724, '📅 Resumen Diario'!$C$5:$C$504, D724), 0))</f>
        <v/>
      </c>
      <c r="M724" s="31" t="str">
        <f t="shared" si="80"/>
        <v/>
      </c>
      <c r="N724" s="31" t="str">
        <f t="shared" si="81"/>
        <v/>
      </c>
      <c r="O724" s="31" t="str">
        <f>IF(OR(B724="",C724=""),"",K724-N724 + IFERROR(E724 / SUMIFS('📅 Resumen Diario'!$D$5:$D$504, '📅 Resumen Diario'!$B$5:$B$504, B724, '📅 Resumen Diario'!$C$5:$C$504, D724) * (SUMIFS('📋 Detalle Diario'!$E$5:$E$489, '📋 Detalle Diario'!$B$5:$B$489, B724, '📋 Detalle Diario'!$C$5:$C$489, D724) * 135 + SUMIFS('📋 Detalle Diario'!$I$5:$I$489, '📋 Detalle Diario'!$B$5:$B$489, B724, '📋 Detalle Diario'!$C$5:$C$489, D724) * 200), 0))</f>
        <v/>
      </c>
      <c r="P724" s="32" t="str">
        <f t="shared" si="82"/>
        <v/>
      </c>
      <c r="Q724" s="33" t="str">
        <f t="shared" si="83"/>
        <v/>
      </c>
    </row>
    <row r="725" spans="2:17" ht="18" customHeight="1" x14ac:dyDescent="0.3">
      <c r="B725" s="26"/>
      <c r="C725" s="28"/>
      <c r="D725" s="27"/>
      <c r="E725" s="29"/>
      <c r="F725" s="29"/>
      <c r="G725" s="29"/>
      <c r="H725" s="30" t="str">
        <f t="shared" si="77"/>
        <v/>
      </c>
      <c r="I725" s="31" t="str">
        <f>IF(OR(B725="",C725=""),"",IFERROR(E725*IF(E725="",0,VLOOKUP(C725,'📦 Precios Proforma'!$B$5:$D$104,IF(D725="DIA",2,3),FALSE)),0))</f>
        <v/>
      </c>
      <c r="J725" s="31" t="str">
        <f t="shared" si="78"/>
        <v/>
      </c>
      <c r="K725" s="31" t="str">
        <f t="shared" si="79"/>
        <v/>
      </c>
      <c r="L725" s="31" t="str">
        <f>IF(OR(B725="",C725=""),"",IFERROR(E725 / SUMIFS('📅 Resumen Diario'!$D$5:$D$504, '📅 Resumen Diario'!$B$5:$B$504, B725, '📅 Resumen Diario'!$C$5:$C$504, D725) * SUMIFS('📅 Resumen Diario'!$K$5:$K$504, '📅 Resumen Diario'!$B$5:$B$504, B725, '📅 Resumen Diario'!$C$5:$C$504, D725), 0))</f>
        <v/>
      </c>
      <c r="M725" s="31" t="str">
        <f t="shared" si="80"/>
        <v/>
      </c>
      <c r="N725" s="31" t="str">
        <f t="shared" si="81"/>
        <v/>
      </c>
      <c r="O725" s="31" t="str">
        <f>IF(OR(B725="",C725=""),"",K725-N725 + IFERROR(E725 / SUMIFS('📅 Resumen Diario'!$D$5:$D$504, '📅 Resumen Diario'!$B$5:$B$504, B725, '📅 Resumen Diario'!$C$5:$C$504, D725) * (SUMIFS('📋 Detalle Diario'!$E$5:$E$489, '📋 Detalle Diario'!$B$5:$B$489, B725, '📋 Detalle Diario'!$C$5:$C$489, D725) * 135 + SUMIFS('📋 Detalle Diario'!$I$5:$I$489, '📋 Detalle Diario'!$B$5:$B$489, B725, '📋 Detalle Diario'!$C$5:$C$489, D725) * 200), 0))</f>
        <v/>
      </c>
      <c r="P725" s="32" t="str">
        <f t="shared" si="82"/>
        <v/>
      </c>
      <c r="Q725" s="33" t="str">
        <f t="shared" si="83"/>
        <v/>
      </c>
    </row>
    <row r="726" spans="2:17" ht="18" customHeight="1" x14ac:dyDescent="0.3">
      <c r="B726" s="26"/>
      <c r="C726" s="17"/>
      <c r="D726" s="27"/>
      <c r="E726" s="18"/>
      <c r="F726" s="18"/>
      <c r="G726" s="18"/>
      <c r="H726" s="30" t="str">
        <f t="shared" si="77"/>
        <v/>
      </c>
      <c r="I726" s="31" t="str">
        <f>IF(OR(B726="",C726=""),"",IFERROR(E726*IF(E726="",0,VLOOKUP(C726,'📦 Precios Proforma'!$B$5:$D$104,IF(D726="DIA",2,3),FALSE)),0))</f>
        <v/>
      </c>
      <c r="J726" s="31" t="str">
        <f t="shared" si="78"/>
        <v/>
      </c>
      <c r="K726" s="31" t="str">
        <f t="shared" si="79"/>
        <v/>
      </c>
      <c r="L726" s="31" t="str">
        <f>IF(OR(B726="",C726=""),"",IFERROR(E726 / SUMIFS('📅 Resumen Diario'!$D$5:$D$504, '📅 Resumen Diario'!$B$5:$B$504, B726, '📅 Resumen Diario'!$C$5:$C$504, D726) * SUMIFS('📅 Resumen Diario'!$K$5:$K$504, '📅 Resumen Diario'!$B$5:$B$504, B726, '📅 Resumen Diario'!$C$5:$C$504, D726), 0))</f>
        <v/>
      </c>
      <c r="M726" s="31" t="str">
        <f t="shared" si="80"/>
        <v/>
      </c>
      <c r="N726" s="31" t="str">
        <f t="shared" si="81"/>
        <v/>
      </c>
      <c r="O726" s="31" t="str">
        <f>IF(OR(B726="",C726=""),"",K726-N726 + IFERROR(E726 / SUMIFS('📅 Resumen Diario'!$D$5:$D$504, '📅 Resumen Diario'!$B$5:$B$504, B726, '📅 Resumen Diario'!$C$5:$C$504, D726) * (SUMIFS('📋 Detalle Diario'!$E$5:$E$489, '📋 Detalle Diario'!$B$5:$B$489, B726, '📋 Detalle Diario'!$C$5:$C$489, D726) * 135 + SUMIFS('📋 Detalle Diario'!$I$5:$I$489, '📋 Detalle Diario'!$B$5:$B$489, B726, '📋 Detalle Diario'!$C$5:$C$489, D726) * 200), 0))</f>
        <v/>
      </c>
      <c r="P726" s="32" t="str">
        <f t="shared" si="82"/>
        <v/>
      </c>
      <c r="Q726" s="33" t="str">
        <f t="shared" si="83"/>
        <v/>
      </c>
    </row>
    <row r="727" spans="2:17" ht="18" customHeight="1" x14ac:dyDescent="0.3">
      <c r="B727" s="26"/>
      <c r="C727" s="28"/>
      <c r="D727" s="27"/>
      <c r="E727" s="29"/>
      <c r="F727" s="29"/>
      <c r="G727" s="29"/>
      <c r="H727" s="30" t="str">
        <f t="shared" si="77"/>
        <v/>
      </c>
      <c r="I727" s="31" t="str">
        <f>IF(OR(B727="",C727=""),"",IFERROR(E727*IF(E727="",0,VLOOKUP(C727,'📦 Precios Proforma'!$B$5:$D$104,IF(D727="DIA",2,3),FALSE)),0))</f>
        <v/>
      </c>
      <c r="J727" s="31" t="str">
        <f t="shared" si="78"/>
        <v/>
      </c>
      <c r="K727" s="31" t="str">
        <f t="shared" si="79"/>
        <v/>
      </c>
      <c r="L727" s="31" t="str">
        <f>IF(OR(B727="",C727=""),"",IFERROR(E727 / SUMIFS('📅 Resumen Diario'!$D$5:$D$504, '📅 Resumen Diario'!$B$5:$B$504, B727, '📅 Resumen Diario'!$C$5:$C$504, D727) * SUMIFS('📅 Resumen Diario'!$K$5:$K$504, '📅 Resumen Diario'!$B$5:$B$504, B727, '📅 Resumen Diario'!$C$5:$C$504, D727), 0))</f>
        <v/>
      </c>
      <c r="M727" s="31" t="str">
        <f t="shared" si="80"/>
        <v/>
      </c>
      <c r="N727" s="31" t="str">
        <f t="shared" si="81"/>
        <v/>
      </c>
      <c r="O727" s="31" t="str">
        <f>IF(OR(B727="",C727=""),"",K727-N727 + IFERROR(E727 / SUMIFS('📅 Resumen Diario'!$D$5:$D$504, '📅 Resumen Diario'!$B$5:$B$504, B727, '📅 Resumen Diario'!$C$5:$C$504, D727) * (SUMIFS('📋 Detalle Diario'!$E$5:$E$489, '📋 Detalle Diario'!$B$5:$B$489, B727, '📋 Detalle Diario'!$C$5:$C$489, D727) * 135 + SUMIFS('📋 Detalle Diario'!$I$5:$I$489, '📋 Detalle Diario'!$B$5:$B$489, B727, '📋 Detalle Diario'!$C$5:$C$489, D727) * 200), 0))</f>
        <v/>
      </c>
      <c r="P727" s="32" t="str">
        <f t="shared" si="82"/>
        <v/>
      </c>
      <c r="Q727" s="33" t="str">
        <f t="shared" si="83"/>
        <v/>
      </c>
    </row>
    <row r="728" spans="2:17" ht="18" customHeight="1" x14ac:dyDescent="0.3">
      <c r="B728" s="26"/>
      <c r="C728" s="17"/>
      <c r="D728" s="27"/>
      <c r="E728" s="18"/>
      <c r="F728" s="18"/>
      <c r="G728" s="18"/>
      <c r="H728" s="30" t="str">
        <f t="shared" si="77"/>
        <v/>
      </c>
      <c r="I728" s="31" t="str">
        <f>IF(OR(B728="",C728=""),"",IFERROR(E728*IF(E728="",0,VLOOKUP(C728,'📦 Precios Proforma'!$B$5:$D$104,IF(D728="DIA",2,3),FALSE)),0))</f>
        <v/>
      </c>
      <c r="J728" s="31" t="str">
        <f t="shared" si="78"/>
        <v/>
      </c>
      <c r="K728" s="31" t="str">
        <f t="shared" si="79"/>
        <v/>
      </c>
      <c r="L728" s="31" t="str">
        <f>IF(OR(B728="",C728=""),"",IFERROR(E728 / SUMIFS('📅 Resumen Diario'!$D$5:$D$504, '📅 Resumen Diario'!$B$5:$B$504, B728, '📅 Resumen Diario'!$C$5:$C$504, D728) * SUMIFS('📅 Resumen Diario'!$K$5:$K$504, '📅 Resumen Diario'!$B$5:$B$504, B728, '📅 Resumen Diario'!$C$5:$C$504, D728), 0))</f>
        <v/>
      </c>
      <c r="M728" s="31" t="str">
        <f t="shared" si="80"/>
        <v/>
      </c>
      <c r="N728" s="31" t="str">
        <f t="shared" si="81"/>
        <v/>
      </c>
      <c r="O728" s="31" t="str">
        <f>IF(OR(B728="",C728=""),"",K728-N728 + IFERROR(E728 / SUMIFS('📅 Resumen Diario'!$D$5:$D$504, '📅 Resumen Diario'!$B$5:$B$504, B728, '📅 Resumen Diario'!$C$5:$C$504, D728) * (SUMIFS('📋 Detalle Diario'!$E$5:$E$489, '📋 Detalle Diario'!$B$5:$B$489, B728, '📋 Detalle Diario'!$C$5:$C$489, D728) * 135 + SUMIFS('📋 Detalle Diario'!$I$5:$I$489, '📋 Detalle Diario'!$B$5:$B$489, B728, '📋 Detalle Diario'!$C$5:$C$489, D728) * 200), 0))</f>
        <v/>
      </c>
      <c r="P728" s="32" t="str">
        <f t="shared" si="82"/>
        <v/>
      </c>
      <c r="Q728" s="33" t="str">
        <f t="shared" si="83"/>
        <v/>
      </c>
    </row>
    <row r="729" spans="2:17" ht="18" customHeight="1" x14ac:dyDescent="0.3">
      <c r="B729" s="26"/>
      <c r="C729" s="28"/>
      <c r="D729" s="27"/>
      <c r="E729" s="29"/>
      <c r="F729" s="29"/>
      <c r="G729" s="29"/>
      <c r="H729" s="30" t="str">
        <f t="shared" si="77"/>
        <v/>
      </c>
      <c r="I729" s="31" t="str">
        <f>IF(OR(B729="",C729=""),"",IFERROR(E729*IF(E729="",0,VLOOKUP(C729,'📦 Precios Proforma'!$B$5:$D$104,IF(D729="DIA",2,3),FALSE)),0))</f>
        <v/>
      </c>
      <c r="J729" s="31" t="str">
        <f t="shared" si="78"/>
        <v/>
      </c>
      <c r="K729" s="31" t="str">
        <f t="shared" si="79"/>
        <v/>
      </c>
      <c r="L729" s="31" t="str">
        <f>IF(OR(B729="",C729=""),"",IFERROR(E729 / SUMIFS('📅 Resumen Diario'!$D$5:$D$504, '📅 Resumen Diario'!$B$5:$B$504, B729, '📅 Resumen Diario'!$C$5:$C$504, D729) * SUMIFS('📅 Resumen Diario'!$K$5:$K$504, '📅 Resumen Diario'!$B$5:$B$504, B729, '📅 Resumen Diario'!$C$5:$C$504, D729), 0))</f>
        <v/>
      </c>
      <c r="M729" s="31" t="str">
        <f t="shared" si="80"/>
        <v/>
      </c>
      <c r="N729" s="31" t="str">
        <f t="shared" si="81"/>
        <v/>
      </c>
      <c r="O729" s="31" t="str">
        <f>IF(OR(B729="",C729=""),"",K729-N729 + IFERROR(E729 / SUMIFS('📅 Resumen Diario'!$D$5:$D$504, '📅 Resumen Diario'!$B$5:$B$504, B729, '📅 Resumen Diario'!$C$5:$C$504, D729) * (SUMIFS('📋 Detalle Diario'!$E$5:$E$489, '📋 Detalle Diario'!$B$5:$B$489, B729, '📋 Detalle Diario'!$C$5:$C$489, D729) * 135 + SUMIFS('📋 Detalle Diario'!$I$5:$I$489, '📋 Detalle Diario'!$B$5:$B$489, B729, '📋 Detalle Diario'!$C$5:$C$489, D729) * 200), 0))</f>
        <v/>
      </c>
      <c r="P729" s="32" t="str">
        <f t="shared" si="82"/>
        <v/>
      </c>
      <c r="Q729" s="33" t="str">
        <f t="shared" si="83"/>
        <v/>
      </c>
    </row>
    <row r="730" spans="2:17" ht="18" customHeight="1" x14ac:dyDescent="0.3">
      <c r="B730" s="26"/>
      <c r="C730" s="17"/>
      <c r="D730" s="27"/>
      <c r="E730" s="18"/>
      <c r="F730" s="18"/>
      <c r="G730" s="18"/>
      <c r="H730" s="30" t="str">
        <f t="shared" si="77"/>
        <v/>
      </c>
      <c r="I730" s="31" t="str">
        <f>IF(OR(B730="",C730=""),"",IFERROR(E730*IF(E730="",0,VLOOKUP(C730,'📦 Precios Proforma'!$B$5:$D$104,IF(D730="DIA",2,3),FALSE)),0))</f>
        <v/>
      </c>
      <c r="J730" s="31" t="str">
        <f t="shared" si="78"/>
        <v/>
      </c>
      <c r="K730" s="31" t="str">
        <f t="shared" si="79"/>
        <v/>
      </c>
      <c r="L730" s="31" t="str">
        <f>IF(OR(B730="",C730=""),"",IFERROR(E730 / SUMIFS('📅 Resumen Diario'!$D$5:$D$504, '📅 Resumen Diario'!$B$5:$B$504, B730, '📅 Resumen Diario'!$C$5:$C$504, D730) * SUMIFS('📅 Resumen Diario'!$K$5:$K$504, '📅 Resumen Diario'!$B$5:$B$504, B730, '📅 Resumen Diario'!$C$5:$C$504, D730), 0))</f>
        <v/>
      </c>
      <c r="M730" s="31" t="str">
        <f t="shared" si="80"/>
        <v/>
      </c>
      <c r="N730" s="31" t="str">
        <f t="shared" si="81"/>
        <v/>
      </c>
      <c r="O730" s="31" t="str">
        <f>IF(OR(B730="",C730=""),"",K730-N730 + IFERROR(E730 / SUMIFS('📅 Resumen Diario'!$D$5:$D$504, '📅 Resumen Diario'!$B$5:$B$504, B730, '📅 Resumen Diario'!$C$5:$C$504, D730) * (SUMIFS('📋 Detalle Diario'!$E$5:$E$489, '📋 Detalle Diario'!$B$5:$B$489, B730, '📋 Detalle Diario'!$C$5:$C$489, D730) * 135 + SUMIFS('📋 Detalle Diario'!$I$5:$I$489, '📋 Detalle Diario'!$B$5:$B$489, B730, '📋 Detalle Diario'!$C$5:$C$489, D730) * 200), 0))</f>
        <v/>
      </c>
      <c r="P730" s="32" t="str">
        <f t="shared" si="82"/>
        <v/>
      </c>
      <c r="Q730" s="33" t="str">
        <f t="shared" si="83"/>
        <v/>
      </c>
    </row>
    <row r="731" spans="2:17" ht="18" customHeight="1" x14ac:dyDescent="0.3">
      <c r="B731" s="26"/>
      <c r="C731" s="28"/>
      <c r="D731" s="27"/>
      <c r="E731" s="29"/>
      <c r="F731" s="29"/>
      <c r="G731" s="29"/>
      <c r="H731" s="30" t="str">
        <f t="shared" si="77"/>
        <v/>
      </c>
      <c r="I731" s="31" t="str">
        <f>IF(OR(B731="",C731=""),"",IFERROR(E731*IF(E731="",0,VLOOKUP(C731,'📦 Precios Proforma'!$B$5:$D$104,IF(D731="DIA",2,3),FALSE)),0))</f>
        <v/>
      </c>
      <c r="J731" s="31" t="str">
        <f t="shared" si="78"/>
        <v/>
      </c>
      <c r="K731" s="31" t="str">
        <f t="shared" si="79"/>
        <v/>
      </c>
      <c r="L731" s="31" t="str">
        <f>IF(OR(B731="",C731=""),"",IFERROR(E731 / SUMIFS('📅 Resumen Diario'!$D$5:$D$504, '📅 Resumen Diario'!$B$5:$B$504, B731, '📅 Resumen Diario'!$C$5:$C$504, D731) * SUMIFS('📅 Resumen Diario'!$K$5:$K$504, '📅 Resumen Diario'!$B$5:$B$504, B731, '📅 Resumen Diario'!$C$5:$C$504, D731), 0))</f>
        <v/>
      </c>
      <c r="M731" s="31" t="str">
        <f t="shared" si="80"/>
        <v/>
      </c>
      <c r="N731" s="31" t="str">
        <f t="shared" si="81"/>
        <v/>
      </c>
      <c r="O731" s="31" t="str">
        <f>IF(OR(B731="",C731=""),"",K731-N731 + IFERROR(E731 / SUMIFS('📅 Resumen Diario'!$D$5:$D$504, '📅 Resumen Diario'!$B$5:$B$504, B731, '📅 Resumen Diario'!$C$5:$C$504, D731) * (SUMIFS('📋 Detalle Diario'!$E$5:$E$489, '📋 Detalle Diario'!$B$5:$B$489, B731, '📋 Detalle Diario'!$C$5:$C$489, D731) * 135 + SUMIFS('📋 Detalle Diario'!$I$5:$I$489, '📋 Detalle Diario'!$B$5:$B$489, B731, '📋 Detalle Diario'!$C$5:$C$489, D731) * 200), 0))</f>
        <v/>
      </c>
      <c r="P731" s="32" t="str">
        <f t="shared" si="82"/>
        <v/>
      </c>
      <c r="Q731" s="33" t="str">
        <f t="shared" si="83"/>
        <v/>
      </c>
    </row>
    <row r="732" spans="2:17" ht="18" customHeight="1" x14ac:dyDescent="0.3">
      <c r="B732" s="26"/>
      <c r="C732" s="17"/>
      <c r="D732" s="27"/>
      <c r="E732" s="18"/>
      <c r="F732" s="18"/>
      <c r="G732" s="18"/>
      <c r="H732" s="30" t="str">
        <f t="shared" si="77"/>
        <v/>
      </c>
      <c r="I732" s="31" t="str">
        <f>IF(OR(B732="",C732=""),"",IFERROR(E732*IF(E732="",0,VLOOKUP(C732,'📦 Precios Proforma'!$B$5:$D$104,IF(D732="DIA",2,3),FALSE)),0))</f>
        <v/>
      </c>
      <c r="J732" s="31" t="str">
        <f t="shared" si="78"/>
        <v/>
      </c>
      <c r="K732" s="31" t="str">
        <f t="shared" si="79"/>
        <v/>
      </c>
      <c r="L732" s="31" t="str">
        <f>IF(OR(B732="",C732=""),"",IFERROR(E732 / SUMIFS('📅 Resumen Diario'!$D$5:$D$504, '📅 Resumen Diario'!$B$5:$B$504, B732, '📅 Resumen Diario'!$C$5:$C$504, D732) * SUMIFS('📅 Resumen Diario'!$K$5:$K$504, '📅 Resumen Diario'!$B$5:$B$504, B732, '📅 Resumen Diario'!$C$5:$C$504, D732), 0))</f>
        <v/>
      </c>
      <c r="M732" s="31" t="str">
        <f t="shared" si="80"/>
        <v/>
      </c>
      <c r="N732" s="31" t="str">
        <f t="shared" si="81"/>
        <v/>
      </c>
      <c r="O732" s="31" t="str">
        <f>IF(OR(B732="",C732=""),"",K732-N732 + IFERROR(E732 / SUMIFS('📅 Resumen Diario'!$D$5:$D$504, '📅 Resumen Diario'!$B$5:$B$504, B732, '📅 Resumen Diario'!$C$5:$C$504, D732) * (SUMIFS('📋 Detalle Diario'!$E$5:$E$489, '📋 Detalle Diario'!$B$5:$B$489, B732, '📋 Detalle Diario'!$C$5:$C$489, D732) * 135 + SUMIFS('📋 Detalle Diario'!$I$5:$I$489, '📋 Detalle Diario'!$B$5:$B$489, B732, '📋 Detalle Diario'!$C$5:$C$489, D732) * 200), 0))</f>
        <v/>
      </c>
      <c r="P732" s="32" t="str">
        <f t="shared" si="82"/>
        <v/>
      </c>
      <c r="Q732" s="33" t="str">
        <f t="shared" si="83"/>
        <v/>
      </c>
    </row>
    <row r="733" spans="2:17" ht="18" customHeight="1" x14ac:dyDescent="0.3">
      <c r="B733" s="26"/>
      <c r="C733" s="28"/>
      <c r="D733" s="27"/>
      <c r="E733" s="29"/>
      <c r="F733" s="29"/>
      <c r="G733" s="29"/>
      <c r="H733" s="30" t="str">
        <f t="shared" si="77"/>
        <v/>
      </c>
      <c r="I733" s="31" t="str">
        <f>IF(OR(B733="",C733=""),"",IFERROR(E733*IF(E733="",0,VLOOKUP(C733,'📦 Precios Proforma'!$B$5:$D$104,IF(D733="DIA",2,3),FALSE)),0))</f>
        <v/>
      </c>
      <c r="J733" s="31" t="str">
        <f t="shared" si="78"/>
        <v/>
      </c>
      <c r="K733" s="31" t="str">
        <f t="shared" si="79"/>
        <v/>
      </c>
      <c r="L733" s="31" t="str">
        <f>IF(OR(B733="",C733=""),"",IFERROR(E733 / SUMIFS('📅 Resumen Diario'!$D$5:$D$504, '📅 Resumen Diario'!$B$5:$B$504, B733, '📅 Resumen Diario'!$C$5:$C$504, D733) * SUMIFS('📅 Resumen Diario'!$K$5:$K$504, '📅 Resumen Diario'!$B$5:$B$504, B733, '📅 Resumen Diario'!$C$5:$C$504, D733), 0))</f>
        <v/>
      </c>
      <c r="M733" s="31" t="str">
        <f t="shared" si="80"/>
        <v/>
      </c>
      <c r="N733" s="31" t="str">
        <f t="shared" si="81"/>
        <v/>
      </c>
      <c r="O733" s="31" t="str">
        <f>IF(OR(B733="",C733=""),"",K733-N733 + IFERROR(E733 / SUMIFS('📅 Resumen Diario'!$D$5:$D$504, '📅 Resumen Diario'!$B$5:$B$504, B733, '📅 Resumen Diario'!$C$5:$C$504, D733) * (SUMIFS('📋 Detalle Diario'!$E$5:$E$489, '📋 Detalle Diario'!$B$5:$B$489, B733, '📋 Detalle Diario'!$C$5:$C$489, D733) * 135 + SUMIFS('📋 Detalle Diario'!$I$5:$I$489, '📋 Detalle Diario'!$B$5:$B$489, B733, '📋 Detalle Diario'!$C$5:$C$489, D733) * 200), 0))</f>
        <v/>
      </c>
      <c r="P733" s="32" t="str">
        <f t="shared" si="82"/>
        <v/>
      </c>
      <c r="Q733" s="33" t="str">
        <f t="shared" si="83"/>
        <v/>
      </c>
    </row>
    <row r="734" spans="2:17" ht="18" customHeight="1" x14ac:dyDescent="0.3">
      <c r="B734" s="26"/>
      <c r="C734" s="17"/>
      <c r="D734" s="27"/>
      <c r="E734" s="18"/>
      <c r="F734" s="18"/>
      <c r="G734" s="18"/>
      <c r="H734" s="30" t="str">
        <f t="shared" si="77"/>
        <v/>
      </c>
      <c r="I734" s="31" t="str">
        <f>IF(OR(B734="",C734=""),"",IFERROR(E734*IF(E734="",0,VLOOKUP(C734,'📦 Precios Proforma'!$B$5:$D$104,IF(D734="DIA",2,3),FALSE)),0))</f>
        <v/>
      </c>
      <c r="J734" s="31" t="str">
        <f t="shared" si="78"/>
        <v/>
      </c>
      <c r="K734" s="31" t="str">
        <f t="shared" si="79"/>
        <v/>
      </c>
      <c r="L734" s="31" t="str">
        <f>IF(OR(B734="",C734=""),"",IFERROR(E734 / SUMIFS('📅 Resumen Diario'!$D$5:$D$504, '📅 Resumen Diario'!$B$5:$B$504, B734, '📅 Resumen Diario'!$C$5:$C$504, D734) * SUMIFS('📅 Resumen Diario'!$K$5:$K$504, '📅 Resumen Diario'!$B$5:$B$504, B734, '📅 Resumen Diario'!$C$5:$C$504, D734), 0))</f>
        <v/>
      </c>
      <c r="M734" s="31" t="str">
        <f t="shared" si="80"/>
        <v/>
      </c>
      <c r="N734" s="31" t="str">
        <f t="shared" si="81"/>
        <v/>
      </c>
      <c r="O734" s="31" t="str">
        <f>IF(OR(B734="",C734=""),"",K734-N734 + IFERROR(E734 / SUMIFS('📅 Resumen Diario'!$D$5:$D$504, '📅 Resumen Diario'!$B$5:$B$504, B734, '📅 Resumen Diario'!$C$5:$C$504, D734) * (SUMIFS('📋 Detalle Diario'!$E$5:$E$489, '📋 Detalle Diario'!$B$5:$B$489, B734, '📋 Detalle Diario'!$C$5:$C$489, D734) * 135 + SUMIFS('📋 Detalle Diario'!$I$5:$I$489, '📋 Detalle Diario'!$B$5:$B$489, B734, '📋 Detalle Diario'!$C$5:$C$489, D734) * 200), 0))</f>
        <v/>
      </c>
      <c r="P734" s="32" t="str">
        <f t="shared" si="82"/>
        <v/>
      </c>
      <c r="Q734" s="33" t="str">
        <f t="shared" si="83"/>
        <v/>
      </c>
    </row>
    <row r="735" spans="2:17" ht="18" customHeight="1" x14ac:dyDescent="0.3">
      <c r="B735" s="26"/>
      <c r="C735" s="28"/>
      <c r="D735" s="27"/>
      <c r="E735" s="29"/>
      <c r="F735" s="29"/>
      <c r="G735" s="29"/>
      <c r="H735" s="30" t="str">
        <f t="shared" si="77"/>
        <v/>
      </c>
      <c r="I735" s="31" t="str">
        <f>IF(OR(B735="",C735=""),"",IFERROR(E735*IF(E735="",0,VLOOKUP(C735,'📦 Precios Proforma'!$B$5:$D$104,IF(D735="DIA",2,3),FALSE)),0))</f>
        <v/>
      </c>
      <c r="J735" s="31" t="str">
        <f t="shared" si="78"/>
        <v/>
      </c>
      <c r="K735" s="31" t="str">
        <f t="shared" si="79"/>
        <v/>
      </c>
      <c r="L735" s="31" t="str">
        <f>IF(OR(B735="",C735=""),"",IFERROR(E735 / SUMIFS('📅 Resumen Diario'!$D$5:$D$504, '📅 Resumen Diario'!$B$5:$B$504, B735, '📅 Resumen Diario'!$C$5:$C$504, D735) * SUMIFS('📅 Resumen Diario'!$K$5:$K$504, '📅 Resumen Diario'!$B$5:$B$504, B735, '📅 Resumen Diario'!$C$5:$C$504, D735), 0))</f>
        <v/>
      </c>
      <c r="M735" s="31" t="str">
        <f t="shared" si="80"/>
        <v/>
      </c>
      <c r="N735" s="31" t="str">
        <f t="shared" si="81"/>
        <v/>
      </c>
      <c r="O735" s="31" t="str">
        <f>IF(OR(B735="",C735=""),"",K735-N735 + IFERROR(E735 / SUMIFS('📅 Resumen Diario'!$D$5:$D$504, '📅 Resumen Diario'!$B$5:$B$504, B735, '📅 Resumen Diario'!$C$5:$C$504, D735) * (SUMIFS('📋 Detalle Diario'!$E$5:$E$489, '📋 Detalle Diario'!$B$5:$B$489, B735, '📋 Detalle Diario'!$C$5:$C$489, D735) * 135 + SUMIFS('📋 Detalle Diario'!$I$5:$I$489, '📋 Detalle Diario'!$B$5:$B$489, B735, '📋 Detalle Diario'!$C$5:$C$489, D735) * 200), 0))</f>
        <v/>
      </c>
      <c r="P735" s="32" t="str">
        <f t="shared" si="82"/>
        <v/>
      </c>
      <c r="Q735" s="33" t="str">
        <f t="shared" si="83"/>
        <v/>
      </c>
    </row>
    <row r="736" spans="2:17" ht="18" customHeight="1" x14ac:dyDescent="0.3">
      <c r="B736" s="26"/>
      <c r="C736" s="17"/>
      <c r="D736" s="27"/>
      <c r="E736" s="18"/>
      <c r="F736" s="18"/>
      <c r="G736" s="18"/>
      <c r="H736" s="30" t="str">
        <f t="shared" si="77"/>
        <v/>
      </c>
      <c r="I736" s="31" t="str">
        <f>IF(OR(B736="",C736=""),"",IFERROR(E736*IF(E736="",0,VLOOKUP(C736,'📦 Precios Proforma'!$B$5:$D$104,IF(D736="DIA",2,3),FALSE)),0))</f>
        <v/>
      </c>
      <c r="J736" s="31" t="str">
        <f t="shared" si="78"/>
        <v/>
      </c>
      <c r="K736" s="31" t="str">
        <f t="shared" si="79"/>
        <v/>
      </c>
      <c r="L736" s="31" t="str">
        <f>IF(OR(B736="",C736=""),"",IFERROR(E736 / SUMIFS('📅 Resumen Diario'!$D$5:$D$504, '📅 Resumen Diario'!$B$5:$B$504, B736, '📅 Resumen Diario'!$C$5:$C$504, D736) * SUMIFS('📅 Resumen Diario'!$K$5:$K$504, '📅 Resumen Diario'!$B$5:$B$504, B736, '📅 Resumen Diario'!$C$5:$C$504, D736), 0))</f>
        <v/>
      </c>
      <c r="M736" s="31" t="str">
        <f t="shared" si="80"/>
        <v/>
      </c>
      <c r="N736" s="31" t="str">
        <f t="shared" si="81"/>
        <v/>
      </c>
      <c r="O736" s="31" t="str">
        <f>IF(OR(B736="",C736=""),"",K736-N736 + IFERROR(E736 / SUMIFS('📅 Resumen Diario'!$D$5:$D$504, '📅 Resumen Diario'!$B$5:$B$504, B736, '📅 Resumen Diario'!$C$5:$C$504, D736) * (SUMIFS('📋 Detalle Diario'!$E$5:$E$489, '📋 Detalle Diario'!$B$5:$B$489, B736, '📋 Detalle Diario'!$C$5:$C$489, D736) * 135 + SUMIFS('📋 Detalle Diario'!$I$5:$I$489, '📋 Detalle Diario'!$B$5:$B$489, B736, '📋 Detalle Diario'!$C$5:$C$489, D736) * 200), 0))</f>
        <v/>
      </c>
      <c r="P736" s="32" t="str">
        <f t="shared" si="82"/>
        <v/>
      </c>
      <c r="Q736" s="33" t="str">
        <f t="shared" si="83"/>
        <v/>
      </c>
    </row>
    <row r="737" spans="2:17" ht="18" customHeight="1" x14ac:dyDescent="0.3">
      <c r="B737" s="26"/>
      <c r="C737" s="28"/>
      <c r="D737" s="27"/>
      <c r="E737" s="29"/>
      <c r="F737" s="29"/>
      <c r="G737" s="29"/>
      <c r="H737" s="30" t="str">
        <f t="shared" si="77"/>
        <v/>
      </c>
      <c r="I737" s="31" t="str">
        <f>IF(OR(B737="",C737=""),"",IFERROR(E737*IF(E737="",0,VLOOKUP(C737,'📦 Precios Proforma'!$B$5:$D$104,IF(D737="DIA",2,3),FALSE)),0))</f>
        <v/>
      </c>
      <c r="J737" s="31" t="str">
        <f t="shared" si="78"/>
        <v/>
      </c>
      <c r="K737" s="31" t="str">
        <f t="shared" si="79"/>
        <v/>
      </c>
      <c r="L737" s="31" t="str">
        <f>IF(OR(B737="",C737=""),"",IFERROR(E737 / SUMIFS('📅 Resumen Diario'!$D$5:$D$504, '📅 Resumen Diario'!$B$5:$B$504, B737, '📅 Resumen Diario'!$C$5:$C$504, D737) * SUMIFS('📅 Resumen Diario'!$K$5:$K$504, '📅 Resumen Diario'!$B$5:$B$504, B737, '📅 Resumen Diario'!$C$5:$C$504, D737), 0))</f>
        <v/>
      </c>
      <c r="M737" s="31" t="str">
        <f t="shared" si="80"/>
        <v/>
      </c>
      <c r="N737" s="31" t="str">
        <f t="shared" si="81"/>
        <v/>
      </c>
      <c r="O737" s="31" t="str">
        <f>IF(OR(B737="",C737=""),"",K737-N737 + IFERROR(E737 / SUMIFS('📅 Resumen Diario'!$D$5:$D$504, '📅 Resumen Diario'!$B$5:$B$504, B737, '📅 Resumen Diario'!$C$5:$C$504, D737) * (SUMIFS('📋 Detalle Diario'!$E$5:$E$489, '📋 Detalle Diario'!$B$5:$B$489, B737, '📋 Detalle Diario'!$C$5:$C$489, D737) * 135 + SUMIFS('📋 Detalle Diario'!$I$5:$I$489, '📋 Detalle Diario'!$B$5:$B$489, B737, '📋 Detalle Diario'!$C$5:$C$489, D737) * 200), 0))</f>
        <v/>
      </c>
      <c r="P737" s="32" t="str">
        <f t="shared" si="82"/>
        <v/>
      </c>
      <c r="Q737" s="33" t="str">
        <f t="shared" si="83"/>
        <v/>
      </c>
    </row>
    <row r="738" spans="2:17" ht="18" customHeight="1" x14ac:dyDescent="0.3">
      <c r="B738" s="26"/>
      <c r="C738" s="17"/>
      <c r="D738" s="27"/>
      <c r="E738" s="18"/>
      <c r="F738" s="18"/>
      <c r="G738" s="18"/>
      <c r="H738" s="30" t="str">
        <f t="shared" si="77"/>
        <v/>
      </c>
      <c r="I738" s="31" t="str">
        <f>IF(OR(B738="",C738=""),"",IFERROR(E738*IF(E738="",0,VLOOKUP(C738,'📦 Precios Proforma'!$B$5:$D$104,IF(D738="DIA",2,3),FALSE)),0))</f>
        <v/>
      </c>
      <c r="J738" s="31" t="str">
        <f t="shared" si="78"/>
        <v/>
      </c>
      <c r="K738" s="31" t="str">
        <f t="shared" si="79"/>
        <v/>
      </c>
      <c r="L738" s="31" t="str">
        <f>IF(OR(B738="",C738=""),"",IFERROR(E738 / SUMIFS('📅 Resumen Diario'!$D$5:$D$504, '📅 Resumen Diario'!$B$5:$B$504, B738, '📅 Resumen Diario'!$C$5:$C$504, D738) * SUMIFS('📅 Resumen Diario'!$K$5:$K$504, '📅 Resumen Diario'!$B$5:$B$504, B738, '📅 Resumen Diario'!$C$5:$C$504, D738), 0))</f>
        <v/>
      </c>
      <c r="M738" s="31" t="str">
        <f t="shared" si="80"/>
        <v/>
      </c>
      <c r="N738" s="31" t="str">
        <f t="shared" si="81"/>
        <v/>
      </c>
      <c r="O738" s="31" t="str">
        <f>IF(OR(B738="",C738=""),"",K738-N738 + IFERROR(E738 / SUMIFS('📅 Resumen Diario'!$D$5:$D$504, '📅 Resumen Diario'!$B$5:$B$504, B738, '📅 Resumen Diario'!$C$5:$C$504, D738) * (SUMIFS('📋 Detalle Diario'!$E$5:$E$489, '📋 Detalle Diario'!$B$5:$B$489, B738, '📋 Detalle Diario'!$C$5:$C$489, D738) * 135 + SUMIFS('📋 Detalle Diario'!$I$5:$I$489, '📋 Detalle Diario'!$B$5:$B$489, B738, '📋 Detalle Diario'!$C$5:$C$489, D738) * 200), 0))</f>
        <v/>
      </c>
      <c r="P738" s="32" t="str">
        <f t="shared" si="82"/>
        <v/>
      </c>
      <c r="Q738" s="33" t="str">
        <f t="shared" si="83"/>
        <v/>
      </c>
    </row>
    <row r="739" spans="2:17" ht="18" customHeight="1" x14ac:dyDescent="0.3">
      <c r="B739" s="26"/>
      <c r="C739" s="28"/>
      <c r="D739" s="27"/>
      <c r="E739" s="29"/>
      <c r="F739" s="29"/>
      <c r="G739" s="29"/>
      <c r="H739" s="30" t="str">
        <f t="shared" si="77"/>
        <v/>
      </c>
      <c r="I739" s="31" t="str">
        <f>IF(OR(B739="",C739=""),"",IFERROR(E739*IF(E739="",0,VLOOKUP(C739,'📦 Precios Proforma'!$B$5:$D$104,IF(D739="DIA",2,3),FALSE)),0))</f>
        <v/>
      </c>
      <c r="J739" s="31" t="str">
        <f t="shared" si="78"/>
        <v/>
      </c>
      <c r="K739" s="31" t="str">
        <f t="shared" si="79"/>
        <v/>
      </c>
      <c r="L739" s="31" t="str">
        <f>IF(OR(B739="",C739=""),"",IFERROR(E739 / SUMIFS('📅 Resumen Diario'!$D$5:$D$504, '📅 Resumen Diario'!$B$5:$B$504, B739, '📅 Resumen Diario'!$C$5:$C$504, D739) * SUMIFS('📅 Resumen Diario'!$K$5:$K$504, '📅 Resumen Diario'!$B$5:$B$504, B739, '📅 Resumen Diario'!$C$5:$C$504, D739), 0))</f>
        <v/>
      </c>
      <c r="M739" s="31" t="str">
        <f t="shared" si="80"/>
        <v/>
      </c>
      <c r="N739" s="31" t="str">
        <f t="shared" si="81"/>
        <v/>
      </c>
      <c r="O739" s="31" t="str">
        <f>IF(OR(B739="",C739=""),"",K739-N739 + IFERROR(E739 / SUMIFS('📅 Resumen Diario'!$D$5:$D$504, '📅 Resumen Diario'!$B$5:$B$504, B739, '📅 Resumen Diario'!$C$5:$C$504, D739) * (SUMIFS('📋 Detalle Diario'!$E$5:$E$489, '📋 Detalle Diario'!$B$5:$B$489, B739, '📋 Detalle Diario'!$C$5:$C$489, D739) * 135 + SUMIFS('📋 Detalle Diario'!$I$5:$I$489, '📋 Detalle Diario'!$B$5:$B$489, B739, '📋 Detalle Diario'!$C$5:$C$489, D739) * 200), 0))</f>
        <v/>
      </c>
      <c r="P739" s="32" t="str">
        <f t="shared" si="82"/>
        <v/>
      </c>
      <c r="Q739" s="33" t="str">
        <f t="shared" si="83"/>
        <v/>
      </c>
    </row>
    <row r="740" spans="2:17" ht="18" customHeight="1" x14ac:dyDescent="0.3">
      <c r="B740" s="26"/>
      <c r="C740" s="17"/>
      <c r="D740" s="27"/>
      <c r="E740" s="18"/>
      <c r="F740" s="18"/>
      <c r="G740" s="18"/>
      <c r="H740" s="30" t="str">
        <f t="shared" si="77"/>
        <v/>
      </c>
      <c r="I740" s="31" t="str">
        <f>IF(OR(B740="",C740=""),"",IFERROR(E740*IF(E740="",0,VLOOKUP(C740,'📦 Precios Proforma'!$B$5:$D$104,IF(D740="DIA",2,3),FALSE)),0))</f>
        <v/>
      </c>
      <c r="J740" s="31" t="str">
        <f t="shared" si="78"/>
        <v/>
      </c>
      <c r="K740" s="31" t="str">
        <f t="shared" si="79"/>
        <v/>
      </c>
      <c r="L740" s="31" t="str">
        <f>IF(OR(B740="",C740=""),"",IFERROR(E740 / SUMIFS('📅 Resumen Diario'!$D$5:$D$504, '📅 Resumen Diario'!$B$5:$B$504, B740, '📅 Resumen Diario'!$C$5:$C$504, D740) * SUMIFS('📅 Resumen Diario'!$K$5:$K$504, '📅 Resumen Diario'!$B$5:$B$504, B740, '📅 Resumen Diario'!$C$5:$C$504, D740), 0))</f>
        <v/>
      </c>
      <c r="M740" s="31" t="str">
        <f t="shared" si="80"/>
        <v/>
      </c>
      <c r="N740" s="31" t="str">
        <f t="shared" si="81"/>
        <v/>
      </c>
      <c r="O740" s="31" t="str">
        <f>IF(OR(B740="",C740=""),"",K740-N740 + IFERROR(E740 / SUMIFS('📅 Resumen Diario'!$D$5:$D$504, '📅 Resumen Diario'!$B$5:$B$504, B740, '📅 Resumen Diario'!$C$5:$C$504, D740) * (SUMIFS('📋 Detalle Diario'!$E$5:$E$489, '📋 Detalle Diario'!$B$5:$B$489, B740, '📋 Detalle Diario'!$C$5:$C$489, D740) * 135 + SUMIFS('📋 Detalle Diario'!$I$5:$I$489, '📋 Detalle Diario'!$B$5:$B$489, B740, '📋 Detalle Diario'!$C$5:$C$489, D740) * 200), 0))</f>
        <v/>
      </c>
      <c r="P740" s="32" t="str">
        <f t="shared" si="82"/>
        <v/>
      </c>
      <c r="Q740" s="33" t="str">
        <f t="shared" si="83"/>
        <v/>
      </c>
    </row>
    <row r="741" spans="2:17" ht="18" customHeight="1" x14ac:dyDescent="0.3">
      <c r="B741" s="26"/>
      <c r="C741" s="28"/>
      <c r="D741" s="27"/>
      <c r="E741" s="29"/>
      <c r="F741" s="29"/>
      <c r="G741" s="29"/>
      <c r="H741" s="30" t="str">
        <f t="shared" si="77"/>
        <v/>
      </c>
      <c r="I741" s="31" t="str">
        <f>IF(OR(B741="",C741=""),"",IFERROR(E741*IF(E741="",0,VLOOKUP(C741,'📦 Precios Proforma'!$B$5:$D$104,IF(D741="DIA",2,3),FALSE)),0))</f>
        <v/>
      </c>
      <c r="J741" s="31" t="str">
        <f t="shared" si="78"/>
        <v/>
      </c>
      <c r="K741" s="31" t="str">
        <f t="shared" si="79"/>
        <v/>
      </c>
      <c r="L741" s="31" t="str">
        <f>IF(OR(B741="",C741=""),"",IFERROR(E741 / SUMIFS('📅 Resumen Diario'!$D$5:$D$504, '📅 Resumen Diario'!$B$5:$B$504, B741, '📅 Resumen Diario'!$C$5:$C$504, D741) * SUMIFS('📅 Resumen Diario'!$K$5:$K$504, '📅 Resumen Diario'!$B$5:$B$504, B741, '📅 Resumen Diario'!$C$5:$C$504, D741), 0))</f>
        <v/>
      </c>
      <c r="M741" s="31" t="str">
        <f t="shared" si="80"/>
        <v/>
      </c>
      <c r="N741" s="31" t="str">
        <f t="shared" si="81"/>
        <v/>
      </c>
      <c r="O741" s="31" t="str">
        <f>IF(OR(B741="",C741=""),"",K741-N741 + IFERROR(E741 / SUMIFS('📅 Resumen Diario'!$D$5:$D$504, '📅 Resumen Diario'!$B$5:$B$504, B741, '📅 Resumen Diario'!$C$5:$C$504, D741) * (SUMIFS('📋 Detalle Diario'!$E$5:$E$489, '📋 Detalle Diario'!$B$5:$B$489, B741, '📋 Detalle Diario'!$C$5:$C$489, D741) * 135 + SUMIFS('📋 Detalle Diario'!$I$5:$I$489, '📋 Detalle Diario'!$B$5:$B$489, B741, '📋 Detalle Diario'!$C$5:$C$489, D741) * 200), 0))</f>
        <v/>
      </c>
      <c r="P741" s="32" t="str">
        <f t="shared" si="82"/>
        <v/>
      </c>
      <c r="Q741" s="33" t="str">
        <f t="shared" si="83"/>
        <v/>
      </c>
    </row>
    <row r="742" spans="2:17" ht="18" customHeight="1" x14ac:dyDescent="0.3">
      <c r="B742" s="26"/>
      <c r="C742" s="17"/>
      <c r="D742" s="27"/>
      <c r="E742" s="18"/>
      <c r="F742" s="18"/>
      <c r="G742" s="18"/>
      <c r="H742" s="30" t="str">
        <f t="shared" si="77"/>
        <v/>
      </c>
      <c r="I742" s="31" t="str">
        <f>IF(OR(B742="",C742=""),"",IFERROR(E742*IF(E742="",0,VLOOKUP(C742,'📦 Precios Proforma'!$B$5:$D$104,IF(D742="DIA",2,3),FALSE)),0))</f>
        <v/>
      </c>
      <c r="J742" s="31" t="str">
        <f t="shared" si="78"/>
        <v/>
      </c>
      <c r="K742" s="31" t="str">
        <f t="shared" si="79"/>
        <v/>
      </c>
      <c r="L742" s="31" t="str">
        <f>IF(OR(B742="",C742=""),"",IFERROR(E742 / SUMIFS('📅 Resumen Diario'!$D$5:$D$504, '📅 Resumen Diario'!$B$5:$B$504, B742, '📅 Resumen Diario'!$C$5:$C$504, D742) * SUMIFS('📅 Resumen Diario'!$K$5:$K$504, '📅 Resumen Diario'!$B$5:$B$504, B742, '📅 Resumen Diario'!$C$5:$C$504, D742), 0))</f>
        <v/>
      </c>
      <c r="M742" s="31" t="str">
        <f t="shared" si="80"/>
        <v/>
      </c>
      <c r="N742" s="31" t="str">
        <f t="shared" si="81"/>
        <v/>
      </c>
      <c r="O742" s="31" t="str">
        <f>IF(OR(B742="",C742=""),"",K742-N742 + IFERROR(E742 / SUMIFS('📅 Resumen Diario'!$D$5:$D$504, '📅 Resumen Diario'!$B$5:$B$504, B742, '📅 Resumen Diario'!$C$5:$C$504, D742) * (SUMIFS('📋 Detalle Diario'!$E$5:$E$489, '📋 Detalle Diario'!$B$5:$B$489, B742, '📋 Detalle Diario'!$C$5:$C$489, D742) * 135 + SUMIFS('📋 Detalle Diario'!$I$5:$I$489, '📋 Detalle Diario'!$B$5:$B$489, B742, '📋 Detalle Diario'!$C$5:$C$489, D742) * 200), 0))</f>
        <v/>
      </c>
      <c r="P742" s="32" t="str">
        <f t="shared" si="82"/>
        <v/>
      </c>
      <c r="Q742" s="33" t="str">
        <f t="shared" si="83"/>
        <v/>
      </c>
    </row>
    <row r="743" spans="2:17" ht="18" customHeight="1" x14ac:dyDescent="0.3">
      <c r="B743" s="26"/>
      <c r="C743" s="28"/>
      <c r="D743" s="27"/>
      <c r="E743" s="29"/>
      <c r="F743" s="29"/>
      <c r="G743" s="29"/>
      <c r="H743" s="30" t="str">
        <f t="shared" si="77"/>
        <v/>
      </c>
      <c r="I743" s="31" t="str">
        <f>IF(OR(B743="",C743=""),"",IFERROR(E743*IF(E743="",0,VLOOKUP(C743,'📦 Precios Proforma'!$B$5:$D$104,IF(D743="DIA",2,3),FALSE)),0))</f>
        <v/>
      </c>
      <c r="J743" s="31" t="str">
        <f t="shared" si="78"/>
        <v/>
      </c>
      <c r="K743" s="31" t="str">
        <f t="shared" si="79"/>
        <v/>
      </c>
      <c r="L743" s="31" t="str">
        <f>IF(OR(B743="",C743=""),"",IFERROR(E743 / SUMIFS('📅 Resumen Diario'!$D$5:$D$504, '📅 Resumen Diario'!$B$5:$B$504, B743, '📅 Resumen Diario'!$C$5:$C$504, D743) * SUMIFS('📅 Resumen Diario'!$K$5:$K$504, '📅 Resumen Diario'!$B$5:$B$504, B743, '📅 Resumen Diario'!$C$5:$C$504, D743), 0))</f>
        <v/>
      </c>
      <c r="M743" s="31" t="str">
        <f t="shared" si="80"/>
        <v/>
      </c>
      <c r="N743" s="31" t="str">
        <f t="shared" si="81"/>
        <v/>
      </c>
      <c r="O743" s="31" t="str">
        <f>IF(OR(B743="",C743=""),"",K743-N743 + IFERROR(E743 / SUMIFS('📅 Resumen Diario'!$D$5:$D$504, '📅 Resumen Diario'!$B$5:$B$504, B743, '📅 Resumen Diario'!$C$5:$C$504, D743) * (SUMIFS('📋 Detalle Diario'!$E$5:$E$489, '📋 Detalle Diario'!$B$5:$B$489, B743, '📋 Detalle Diario'!$C$5:$C$489, D743) * 135 + SUMIFS('📋 Detalle Diario'!$I$5:$I$489, '📋 Detalle Diario'!$B$5:$B$489, B743, '📋 Detalle Diario'!$C$5:$C$489, D743) * 200), 0))</f>
        <v/>
      </c>
      <c r="P743" s="32" t="str">
        <f t="shared" si="82"/>
        <v/>
      </c>
      <c r="Q743" s="33" t="str">
        <f t="shared" si="83"/>
        <v/>
      </c>
    </row>
    <row r="744" spans="2:17" ht="18" customHeight="1" x14ac:dyDescent="0.3">
      <c r="B744" s="26"/>
      <c r="C744" s="17"/>
      <c r="D744" s="27"/>
      <c r="E744" s="18"/>
      <c r="F744" s="18"/>
      <c r="G744" s="18"/>
      <c r="H744" s="30" t="str">
        <f t="shared" si="77"/>
        <v/>
      </c>
      <c r="I744" s="31" t="str">
        <f>IF(OR(B744="",C744=""),"",IFERROR(E744*IF(E744="",0,VLOOKUP(C744,'📦 Precios Proforma'!$B$5:$D$104,IF(D744="DIA",2,3),FALSE)),0))</f>
        <v/>
      </c>
      <c r="J744" s="31" t="str">
        <f t="shared" si="78"/>
        <v/>
      </c>
      <c r="K744" s="31" t="str">
        <f t="shared" si="79"/>
        <v/>
      </c>
      <c r="L744" s="31" t="str">
        <f>IF(OR(B744="",C744=""),"",IFERROR(E744 / SUMIFS('📅 Resumen Diario'!$D$5:$D$504, '📅 Resumen Diario'!$B$5:$B$504, B744, '📅 Resumen Diario'!$C$5:$C$504, D744) * SUMIFS('📅 Resumen Diario'!$K$5:$K$504, '📅 Resumen Diario'!$B$5:$B$504, B744, '📅 Resumen Diario'!$C$5:$C$504, D744), 0))</f>
        <v/>
      </c>
      <c r="M744" s="31" t="str">
        <f t="shared" si="80"/>
        <v/>
      </c>
      <c r="N744" s="31" t="str">
        <f t="shared" si="81"/>
        <v/>
      </c>
      <c r="O744" s="31" t="str">
        <f>IF(OR(B744="",C744=""),"",K744-N744 + IFERROR(E744 / SUMIFS('📅 Resumen Diario'!$D$5:$D$504, '📅 Resumen Diario'!$B$5:$B$504, B744, '📅 Resumen Diario'!$C$5:$C$504, D744) * (SUMIFS('📋 Detalle Diario'!$E$5:$E$489, '📋 Detalle Diario'!$B$5:$B$489, B744, '📋 Detalle Diario'!$C$5:$C$489, D744) * 135 + SUMIFS('📋 Detalle Diario'!$I$5:$I$489, '📋 Detalle Diario'!$B$5:$B$489, B744, '📋 Detalle Diario'!$C$5:$C$489, D744) * 200), 0))</f>
        <v/>
      </c>
      <c r="P744" s="32" t="str">
        <f t="shared" si="82"/>
        <v/>
      </c>
      <c r="Q744" s="33" t="str">
        <f t="shared" si="83"/>
        <v/>
      </c>
    </row>
    <row r="745" spans="2:17" ht="18" customHeight="1" x14ac:dyDescent="0.3">
      <c r="B745" s="26"/>
      <c r="C745" s="28"/>
      <c r="D745" s="27"/>
      <c r="E745" s="29"/>
      <c r="F745" s="29"/>
      <c r="G745" s="29"/>
      <c r="H745" s="30" t="str">
        <f t="shared" si="77"/>
        <v/>
      </c>
      <c r="I745" s="31" t="str">
        <f>IF(OR(B745="",C745=""),"",IFERROR(E745*IF(E745="",0,VLOOKUP(C745,'📦 Precios Proforma'!$B$5:$D$104,IF(D745="DIA",2,3),FALSE)),0))</f>
        <v/>
      </c>
      <c r="J745" s="31" t="str">
        <f t="shared" si="78"/>
        <v/>
      </c>
      <c r="K745" s="31" t="str">
        <f t="shared" si="79"/>
        <v/>
      </c>
      <c r="L745" s="31" t="str">
        <f>IF(OR(B745="",C745=""),"",IFERROR(E745 / SUMIFS('📅 Resumen Diario'!$D$5:$D$504, '📅 Resumen Diario'!$B$5:$B$504, B745, '📅 Resumen Diario'!$C$5:$C$504, D745) * SUMIFS('📅 Resumen Diario'!$K$5:$K$504, '📅 Resumen Diario'!$B$5:$B$504, B745, '📅 Resumen Diario'!$C$5:$C$504, D745), 0))</f>
        <v/>
      </c>
      <c r="M745" s="31" t="str">
        <f t="shared" si="80"/>
        <v/>
      </c>
      <c r="N745" s="31" t="str">
        <f t="shared" si="81"/>
        <v/>
      </c>
      <c r="O745" s="31" t="str">
        <f>IF(OR(B745="",C745=""),"",K745-N745 + IFERROR(E745 / SUMIFS('📅 Resumen Diario'!$D$5:$D$504, '📅 Resumen Diario'!$B$5:$B$504, B745, '📅 Resumen Diario'!$C$5:$C$504, D745) * (SUMIFS('📋 Detalle Diario'!$E$5:$E$489, '📋 Detalle Diario'!$B$5:$B$489, B745, '📋 Detalle Diario'!$C$5:$C$489, D745) * 135 + SUMIFS('📋 Detalle Diario'!$I$5:$I$489, '📋 Detalle Diario'!$B$5:$B$489, B745, '📋 Detalle Diario'!$C$5:$C$489, D745) * 200), 0))</f>
        <v/>
      </c>
      <c r="P745" s="32" t="str">
        <f t="shared" si="82"/>
        <v/>
      </c>
      <c r="Q745" s="33" t="str">
        <f t="shared" si="83"/>
        <v/>
      </c>
    </row>
    <row r="746" spans="2:17" ht="18" customHeight="1" x14ac:dyDescent="0.3">
      <c r="B746" s="26"/>
      <c r="C746" s="17"/>
      <c r="D746" s="27"/>
      <c r="E746" s="18"/>
      <c r="F746" s="18"/>
      <c r="G746" s="18"/>
      <c r="H746" s="30" t="str">
        <f t="shared" si="77"/>
        <v/>
      </c>
      <c r="I746" s="31" t="str">
        <f>IF(OR(B746="",C746=""),"",IFERROR(E746*IF(E746="",0,VLOOKUP(C746,'📦 Precios Proforma'!$B$5:$D$104,IF(D746="DIA",2,3),FALSE)),0))</f>
        <v/>
      </c>
      <c r="J746" s="31" t="str">
        <f t="shared" si="78"/>
        <v/>
      </c>
      <c r="K746" s="31" t="str">
        <f t="shared" si="79"/>
        <v/>
      </c>
      <c r="L746" s="31" t="str">
        <f>IF(OR(B746="",C746=""),"",IFERROR(E746 / SUMIFS('📅 Resumen Diario'!$D$5:$D$504, '📅 Resumen Diario'!$B$5:$B$504, B746, '📅 Resumen Diario'!$C$5:$C$504, D746) * SUMIFS('📅 Resumen Diario'!$K$5:$K$504, '📅 Resumen Diario'!$B$5:$B$504, B746, '📅 Resumen Diario'!$C$5:$C$504, D746), 0))</f>
        <v/>
      </c>
      <c r="M746" s="31" t="str">
        <f t="shared" si="80"/>
        <v/>
      </c>
      <c r="N746" s="31" t="str">
        <f t="shared" si="81"/>
        <v/>
      </c>
      <c r="O746" s="31" t="str">
        <f>IF(OR(B746="",C746=""),"",K746-N746 + IFERROR(E746 / SUMIFS('📅 Resumen Diario'!$D$5:$D$504, '📅 Resumen Diario'!$B$5:$B$504, B746, '📅 Resumen Diario'!$C$5:$C$504, D746) * (SUMIFS('📋 Detalle Diario'!$E$5:$E$489, '📋 Detalle Diario'!$B$5:$B$489, B746, '📋 Detalle Diario'!$C$5:$C$489, D746) * 135 + SUMIFS('📋 Detalle Diario'!$I$5:$I$489, '📋 Detalle Diario'!$B$5:$B$489, B746, '📋 Detalle Diario'!$C$5:$C$489, D746) * 200), 0))</f>
        <v/>
      </c>
      <c r="P746" s="32" t="str">
        <f t="shared" si="82"/>
        <v/>
      </c>
      <c r="Q746" s="33" t="str">
        <f t="shared" si="83"/>
        <v/>
      </c>
    </row>
    <row r="747" spans="2:17" ht="18" customHeight="1" x14ac:dyDescent="0.3">
      <c r="B747" s="26"/>
      <c r="C747" s="28"/>
      <c r="D747" s="27"/>
      <c r="E747" s="29"/>
      <c r="F747" s="29"/>
      <c r="G747" s="29"/>
      <c r="H747" s="30" t="str">
        <f t="shared" si="77"/>
        <v/>
      </c>
      <c r="I747" s="31" t="str">
        <f>IF(OR(B747="",C747=""),"",IFERROR(E747*IF(E747="",0,VLOOKUP(C747,'📦 Precios Proforma'!$B$5:$D$104,IF(D747="DIA",2,3),FALSE)),0))</f>
        <v/>
      </c>
      <c r="J747" s="31" t="str">
        <f t="shared" si="78"/>
        <v/>
      </c>
      <c r="K747" s="31" t="str">
        <f t="shared" si="79"/>
        <v/>
      </c>
      <c r="L747" s="31" t="str">
        <f>IF(OR(B747="",C747=""),"",IFERROR(E747 / SUMIFS('📅 Resumen Diario'!$D$5:$D$504, '📅 Resumen Diario'!$B$5:$B$504, B747, '📅 Resumen Diario'!$C$5:$C$504, D747) * SUMIFS('📅 Resumen Diario'!$K$5:$K$504, '📅 Resumen Diario'!$B$5:$B$504, B747, '📅 Resumen Diario'!$C$5:$C$504, D747), 0))</f>
        <v/>
      </c>
      <c r="M747" s="31" t="str">
        <f t="shared" si="80"/>
        <v/>
      </c>
      <c r="N747" s="31" t="str">
        <f t="shared" si="81"/>
        <v/>
      </c>
      <c r="O747" s="31" t="str">
        <f>IF(OR(B747="",C747=""),"",K747-N747 + IFERROR(E747 / SUMIFS('📅 Resumen Diario'!$D$5:$D$504, '📅 Resumen Diario'!$B$5:$B$504, B747, '📅 Resumen Diario'!$C$5:$C$504, D747) * (SUMIFS('📋 Detalle Diario'!$E$5:$E$489, '📋 Detalle Diario'!$B$5:$B$489, B747, '📋 Detalle Diario'!$C$5:$C$489, D747) * 135 + SUMIFS('📋 Detalle Diario'!$I$5:$I$489, '📋 Detalle Diario'!$B$5:$B$489, B747, '📋 Detalle Diario'!$C$5:$C$489, D747) * 200), 0))</f>
        <v/>
      </c>
      <c r="P747" s="32" t="str">
        <f t="shared" si="82"/>
        <v/>
      </c>
      <c r="Q747" s="33" t="str">
        <f t="shared" si="83"/>
        <v/>
      </c>
    </row>
    <row r="748" spans="2:17" ht="18" customHeight="1" x14ac:dyDescent="0.3">
      <c r="B748" s="26"/>
      <c r="C748" s="17"/>
      <c r="D748" s="27"/>
      <c r="E748" s="18"/>
      <c r="F748" s="18"/>
      <c r="G748" s="18"/>
      <c r="H748" s="30" t="str">
        <f t="shared" si="77"/>
        <v/>
      </c>
      <c r="I748" s="31" t="str">
        <f>IF(OR(B748="",C748=""),"",IFERROR(E748*IF(E748="",0,VLOOKUP(C748,'📦 Precios Proforma'!$B$5:$D$104,IF(D748="DIA",2,3),FALSE)),0))</f>
        <v/>
      </c>
      <c r="J748" s="31" t="str">
        <f t="shared" si="78"/>
        <v/>
      </c>
      <c r="K748" s="31" t="str">
        <f t="shared" si="79"/>
        <v/>
      </c>
      <c r="L748" s="31" t="str">
        <f>IF(OR(B748="",C748=""),"",IFERROR(E748 / SUMIFS('📅 Resumen Diario'!$D$5:$D$504, '📅 Resumen Diario'!$B$5:$B$504, B748, '📅 Resumen Diario'!$C$5:$C$504, D748) * SUMIFS('📅 Resumen Diario'!$K$5:$K$504, '📅 Resumen Diario'!$B$5:$B$504, B748, '📅 Resumen Diario'!$C$5:$C$504, D748), 0))</f>
        <v/>
      </c>
      <c r="M748" s="31" t="str">
        <f t="shared" si="80"/>
        <v/>
      </c>
      <c r="N748" s="31" t="str">
        <f t="shared" si="81"/>
        <v/>
      </c>
      <c r="O748" s="31" t="str">
        <f>IF(OR(B748="",C748=""),"",K748-N748 + IFERROR(E748 / SUMIFS('📅 Resumen Diario'!$D$5:$D$504, '📅 Resumen Diario'!$B$5:$B$504, B748, '📅 Resumen Diario'!$C$5:$C$504, D748) * (SUMIFS('📋 Detalle Diario'!$E$5:$E$489, '📋 Detalle Diario'!$B$5:$B$489, B748, '📋 Detalle Diario'!$C$5:$C$489, D748) * 135 + SUMIFS('📋 Detalle Diario'!$I$5:$I$489, '📋 Detalle Diario'!$B$5:$B$489, B748, '📋 Detalle Diario'!$C$5:$C$489, D748) * 200), 0))</f>
        <v/>
      </c>
      <c r="P748" s="32" t="str">
        <f t="shared" si="82"/>
        <v/>
      </c>
      <c r="Q748" s="33" t="str">
        <f t="shared" si="83"/>
        <v/>
      </c>
    </row>
    <row r="749" spans="2:17" ht="18" customHeight="1" x14ac:dyDescent="0.3">
      <c r="B749" s="26"/>
      <c r="C749" s="28"/>
      <c r="D749" s="27"/>
      <c r="E749" s="29"/>
      <c r="F749" s="29"/>
      <c r="G749" s="29"/>
      <c r="H749" s="30" t="str">
        <f t="shared" si="77"/>
        <v/>
      </c>
      <c r="I749" s="31" t="str">
        <f>IF(OR(B749="",C749=""),"",IFERROR(E749*IF(E749="",0,VLOOKUP(C749,'📦 Precios Proforma'!$B$5:$D$104,IF(D749="DIA",2,3),FALSE)),0))</f>
        <v/>
      </c>
      <c r="J749" s="31" t="str">
        <f t="shared" si="78"/>
        <v/>
      </c>
      <c r="K749" s="31" t="str">
        <f t="shared" si="79"/>
        <v/>
      </c>
      <c r="L749" s="31" t="str">
        <f>IF(OR(B749="",C749=""),"",IFERROR(E749 / SUMIFS('📅 Resumen Diario'!$D$5:$D$504, '📅 Resumen Diario'!$B$5:$B$504, B749, '📅 Resumen Diario'!$C$5:$C$504, D749) * SUMIFS('📅 Resumen Diario'!$K$5:$K$504, '📅 Resumen Diario'!$B$5:$B$504, B749, '📅 Resumen Diario'!$C$5:$C$504, D749), 0))</f>
        <v/>
      </c>
      <c r="M749" s="31" t="str">
        <f t="shared" si="80"/>
        <v/>
      </c>
      <c r="N749" s="31" t="str">
        <f t="shared" si="81"/>
        <v/>
      </c>
      <c r="O749" s="31" t="str">
        <f>IF(OR(B749="",C749=""),"",K749-N749 + IFERROR(E749 / SUMIFS('📅 Resumen Diario'!$D$5:$D$504, '📅 Resumen Diario'!$B$5:$B$504, B749, '📅 Resumen Diario'!$C$5:$C$504, D749) * (SUMIFS('📋 Detalle Diario'!$E$5:$E$489, '📋 Detalle Diario'!$B$5:$B$489, B749, '📋 Detalle Diario'!$C$5:$C$489, D749) * 135 + SUMIFS('📋 Detalle Diario'!$I$5:$I$489, '📋 Detalle Diario'!$B$5:$B$489, B749, '📋 Detalle Diario'!$C$5:$C$489, D749) * 200), 0))</f>
        <v/>
      </c>
      <c r="P749" s="32" t="str">
        <f t="shared" si="82"/>
        <v/>
      </c>
      <c r="Q749" s="33" t="str">
        <f t="shared" si="83"/>
        <v/>
      </c>
    </row>
    <row r="750" spans="2:17" ht="18" customHeight="1" x14ac:dyDescent="0.3">
      <c r="B750" s="26"/>
      <c r="C750" s="17"/>
      <c r="D750" s="27"/>
      <c r="E750" s="18"/>
      <c r="F750" s="18"/>
      <c r="G750" s="18"/>
      <c r="H750" s="30" t="str">
        <f t="shared" si="77"/>
        <v/>
      </c>
      <c r="I750" s="31" t="str">
        <f>IF(OR(B750="",C750=""),"",IFERROR(E750*IF(E750="",0,VLOOKUP(C750,'📦 Precios Proforma'!$B$5:$D$104,IF(D750="DIA",2,3),FALSE)),0))</f>
        <v/>
      </c>
      <c r="J750" s="31" t="str">
        <f t="shared" si="78"/>
        <v/>
      </c>
      <c r="K750" s="31" t="str">
        <f t="shared" si="79"/>
        <v/>
      </c>
      <c r="L750" s="31" t="str">
        <f>IF(OR(B750="",C750=""),"",IFERROR(E750 / SUMIFS('📅 Resumen Diario'!$D$5:$D$504, '📅 Resumen Diario'!$B$5:$B$504, B750, '📅 Resumen Diario'!$C$5:$C$504, D750) * SUMIFS('📅 Resumen Diario'!$K$5:$K$504, '📅 Resumen Diario'!$B$5:$B$504, B750, '📅 Resumen Diario'!$C$5:$C$504, D750), 0))</f>
        <v/>
      </c>
      <c r="M750" s="31" t="str">
        <f t="shared" si="80"/>
        <v/>
      </c>
      <c r="N750" s="31" t="str">
        <f t="shared" si="81"/>
        <v/>
      </c>
      <c r="O750" s="31" t="str">
        <f>IF(OR(B750="",C750=""),"",K750-N750 + IFERROR(E750 / SUMIFS('📅 Resumen Diario'!$D$5:$D$504, '📅 Resumen Diario'!$B$5:$B$504, B750, '📅 Resumen Diario'!$C$5:$C$504, D750) * (SUMIFS('📋 Detalle Diario'!$E$5:$E$489, '📋 Detalle Diario'!$B$5:$B$489, B750, '📋 Detalle Diario'!$C$5:$C$489, D750) * 135 + SUMIFS('📋 Detalle Diario'!$I$5:$I$489, '📋 Detalle Diario'!$B$5:$B$489, B750, '📋 Detalle Diario'!$C$5:$C$489, D750) * 200), 0))</f>
        <v/>
      </c>
      <c r="P750" s="32" t="str">
        <f t="shared" si="82"/>
        <v/>
      </c>
      <c r="Q750" s="33" t="str">
        <f t="shared" si="83"/>
        <v/>
      </c>
    </row>
    <row r="751" spans="2:17" ht="18" customHeight="1" x14ac:dyDescent="0.3">
      <c r="B751" s="26"/>
      <c r="C751" s="28"/>
      <c r="D751" s="27"/>
      <c r="E751" s="29"/>
      <c r="F751" s="29"/>
      <c r="G751" s="29"/>
      <c r="H751" s="30" t="str">
        <f t="shared" si="77"/>
        <v/>
      </c>
      <c r="I751" s="31" t="str">
        <f>IF(OR(B751="",C751=""),"",IFERROR(E751*IF(E751="",0,VLOOKUP(C751,'📦 Precios Proforma'!$B$5:$D$104,IF(D751="DIA",2,3),FALSE)),0))</f>
        <v/>
      </c>
      <c r="J751" s="31" t="str">
        <f t="shared" si="78"/>
        <v/>
      </c>
      <c r="K751" s="31" t="str">
        <f t="shared" si="79"/>
        <v/>
      </c>
      <c r="L751" s="31" t="str">
        <f>IF(OR(B751="",C751=""),"",IFERROR(E751 / SUMIFS('📅 Resumen Diario'!$D$5:$D$504, '📅 Resumen Diario'!$B$5:$B$504, B751, '📅 Resumen Diario'!$C$5:$C$504, D751) * SUMIFS('📅 Resumen Diario'!$K$5:$K$504, '📅 Resumen Diario'!$B$5:$B$504, B751, '📅 Resumen Diario'!$C$5:$C$504, D751), 0))</f>
        <v/>
      </c>
      <c r="M751" s="31" t="str">
        <f t="shared" si="80"/>
        <v/>
      </c>
      <c r="N751" s="31" t="str">
        <f t="shared" si="81"/>
        <v/>
      </c>
      <c r="O751" s="31" t="str">
        <f>IF(OR(B751="",C751=""),"",K751-N751 + IFERROR(E751 / SUMIFS('📅 Resumen Diario'!$D$5:$D$504, '📅 Resumen Diario'!$B$5:$B$504, B751, '📅 Resumen Diario'!$C$5:$C$504, D751) * (SUMIFS('📋 Detalle Diario'!$E$5:$E$489, '📋 Detalle Diario'!$B$5:$B$489, B751, '📋 Detalle Diario'!$C$5:$C$489, D751) * 135 + SUMIFS('📋 Detalle Diario'!$I$5:$I$489, '📋 Detalle Diario'!$B$5:$B$489, B751, '📋 Detalle Diario'!$C$5:$C$489, D751) * 200), 0))</f>
        <v/>
      </c>
      <c r="P751" s="32" t="str">
        <f t="shared" si="82"/>
        <v/>
      </c>
      <c r="Q751" s="33" t="str">
        <f t="shared" si="83"/>
        <v/>
      </c>
    </row>
    <row r="752" spans="2:17" ht="18" customHeight="1" x14ac:dyDescent="0.3">
      <c r="B752" s="26"/>
      <c r="C752" s="17"/>
      <c r="D752" s="27"/>
      <c r="E752" s="18"/>
      <c r="F752" s="18"/>
      <c r="G752" s="18"/>
      <c r="H752" s="30" t="str">
        <f t="shared" si="77"/>
        <v/>
      </c>
      <c r="I752" s="31" t="str">
        <f>IF(OR(B752="",C752=""),"",IFERROR(E752*IF(E752="",0,VLOOKUP(C752,'📦 Precios Proforma'!$B$5:$D$104,IF(D752="DIA",2,3),FALSE)),0))</f>
        <v/>
      </c>
      <c r="J752" s="31" t="str">
        <f t="shared" si="78"/>
        <v/>
      </c>
      <c r="K752" s="31" t="str">
        <f t="shared" si="79"/>
        <v/>
      </c>
      <c r="L752" s="31" t="str">
        <f>IF(OR(B752="",C752=""),"",IFERROR(E752 / SUMIFS('📅 Resumen Diario'!$D$5:$D$504, '📅 Resumen Diario'!$B$5:$B$504, B752, '📅 Resumen Diario'!$C$5:$C$504, D752) * SUMIFS('📅 Resumen Diario'!$K$5:$K$504, '📅 Resumen Diario'!$B$5:$B$504, B752, '📅 Resumen Diario'!$C$5:$C$504, D752), 0))</f>
        <v/>
      </c>
      <c r="M752" s="31" t="str">
        <f t="shared" si="80"/>
        <v/>
      </c>
      <c r="N752" s="31" t="str">
        <f t="shared" si="81"/>
        <v/>
      </c>
      <c r="O752" s="31" t="str">
        <f>IF(OR(B752="",C752=""),"",K752-N752 + IFERROR(E752 / SUMIFS('📅 Resumen Diario'!$D$5:$D$504, '📅 Resumen Diario'!$B$5:$B$504, B752, '📅 Resumen Diario'!$C$5:$C$504, D752) * (SUMIFS('📋 Detalle Diario'!$E$5:$E$489, '📋 Detalle Diario'!$B$5:$B$489, B752, '📋 Detalle Diario'!$C$5:$C$489, D752) * 135 + SUMIFS('📋 Detalle Diario'!$I$5:$I$489, '📋 Detalle Diario'!$B$5:$B$489, B752, '📋 Detalle Diario'!$C$5:$C$489, D752) * 200), 0))</f>
        <v/>
      </c>
      <c r="P752" s="32" t="str">
        <f t="shared" si="82"/>
        <v/>
      </c>
      <c r="Q752" s="33" t="str">
        <f t="shared" si="83"/>
        <v/>
      </c>
    </row>
    <row r="753" spans="2:17" ht="18" customHeight="1" x14ac:dyDescent="0.3">
      <c r="B753" s="26"/>
      <c r="C753" s="28"/>
      <c r="D753" s="27"/>
      <c r="E753" s="29"/>
      <c r="F753" s="29"/>
      <c r="G753" s="29"/>
      <c r="H753" s="30" t="str">
        <f t="shared" si="77"/>
        <v/>
      </c>
      <c r="I753" s="31" t="str">
        <f>IF(OR(B753="",C753=""),"",IFERROR(E753*IF(E753="",0,VLOOKUP(C753,'📦 Precios Proforma'!$B$5:$D$104,IF(D753="DIA",2,3),FALSE)),0))</f>
        <v/>
      </c>
      <c r="J753" s="31" t="str">
        <f t="shared" si="78"/>
        <v/>
      </c>
      <c r="K753" s="31" t="str">
        <f t="shared" si="79"/>
        <v/>
      </c>
      <c r="L753" s="31" t="str">
        <f>IF(OR(B753="",C753=""),"",IFERROR(E753 / SUMIFS('📅 Resumen Diario'!$D$5:$D$504, '📅 Resumen Diario'!$B$5:$B$504, B753, '📅 Resumen Diario'!$C$5:$C$504, D753) * SUMIFS('📅 Resumen Diario'!$K$5:$K$504, '📅 Resumen Diario'!$B$5:$B$504, B753, '📅 Resumen Diario'!$C$5:$C$504, D753), 0))</f>
        <v/>
      </c>
      <c r="M753" s="31" t="str">
        <f t="shared" si="80"/>
        <v/>
      </c>
      <c r="N753" s="31" t="str">
        <f t="shared" si="81"/>
        <v/>
      </c>
      <c r="O753" s="31" t="str">
        <f>IF(OR(B753="",C753=""),"",K753-N753 + IFERROR(E753 / SUMIFS('📅 Resumen Diario'!$D$5:$D$504, '📅 Resumen Diario'!$B$5:$B$504, B753, '📅 Resumen Diario'!$C$5:$C$504, D753) * (SUMIFS('📋 Detalle Diario'!$E$5:$E$489, '📋 Detalle Diario'!$B$5:$B$489, B753, '📋 Detalle Diario'!$C$5:$C$489, D753) * 135 + SUMIFS('📋 Detalle Diario'!$I$5:$I$489, '📋 Detalle Diario'!$B$5:$B$489, B753, '📋 Detalle Diario'!$C$5:$C$489, D753) * 200), 0))</f>
        <v/>
      </c>
      <c r="P753" s="32" t="str">
        <f t="shared" si="82"/>
        <v/>
      </c>
      <c r="Q753" s="33" t="str">
        <f t="shared" si="83"/>
        <v/>
      </c>
    </row>
    <row r="754" spans="2:17" ht="18" customHeight="1" x14ac:dyDescent="0.3">
      <c r="B754" s="26"/>
      <c r="C754" s="17"/>
      <c r="D754" s="27"/>
      <c r="E754" s="18"/>
      <c r="F754" s="18"/>
      <c r="G754" s="18"/>
      <c r="H754" s="30" t="str">
        <f t="shared" si="77"/>
        <v/>
      </c>
      <c r="I754" s="31" t="str">
        <f>IF(OR(B754="",C754=""),"",IFERROR(E754*IF(E754="",0,VLOOKUP(C754,'📦 Precios Proforma'!$B$5:$D$104,IF(D754="DIA",2,3),FALSE)),0))</f>
        <v/>
      </c>
      <c r="J754" s="31" t="str">
        <f t="shared" si="78"/>
        <v/>
      </c>
      <c r="K754" s="31" t="str">
        <f t="shared" si="79"/>
        <v/>
      </c>
      <c r="L754" s="31" t="str">
        <f>IF(OR(B754="",C754=""),"",IFERROR(E754 / SUMIFS('📅 Resumen Diario'!$D$5:$D$504, '📅 Resumen Diario'!$B$5:$B$504, B754, '📅 Resumen Diario'!$C$5:$C$504, D754) * SUMIFS('📅 Resumen Diario'!$K$5:$K$504, '📅 Resumen Diario'!$B$5:$B$504, B754, '📅 Resumen Diario'!$C$5:$C$504, D754), 0))</f>
        <v/>
      </c>
      <c r="M754" s="31" t="str">
        <f t="shared" si="80"/>
        <v/>
      </c>
      <c r="N754" s="31" t="str">
        <f t="shared" si="81"/>
        <v/>
      </c>
      <c r="O754" s="31" t="str">
        <f>IF(OR(B754="",C754=""),"",K754-N754 + IFERROR(E754 / SUMIFS('📅 Resumen Diario'!$D$5:$D$504, '📅 Resumen Diario'!$B$5:$B$504, B754, '📅 Resumen Diario'!$C$5:$C$504, D754) * (SUMIFS('📋 Detalle Diario'!$E$5:$E$489, '📋 Detalle Diario'!$B$5:$B$489, B754, '📋 Detalle Diario'!$C$5:$C$489, D754) * 135 + SUMIFS('📋 Detalle Diario'!$I$5:$I$489, '📋 Detalle Diario'!$B$5:$B$489, B754, '📋 Detalle Diario'!$C$5:$C$489, D754) * 200), 0))</f>
        <v/>
      </c>
      <c r="P754" s="32" t="str">
        <f t="shared" si="82"/>
        <v/>
      </c>
      <c r="Q754" s="33" t="str">
        <f t="shared" si="83"/>
        <v/>
      </c>
    </row>
    <row r="755" spans="2:17" ht="18" customHeight="1" x14ac:dyDescent="0.3">
      <c r="B755" s="26"/>
      <c r="C755" s="28"/>
      <c r="D755" s="27"/>
      <c r="E755" s="29"/>
      <c r="F755" s="29"/>
      <c r="G755" s="29"/>
      <c r="H755" s="30" t="str">
        <f t="shared" si="77"/>
        <v/>
      </c>
      <c r="I755" s="31" t="str">
        <f>IF(OR(B755="",C755=""),"",IFERROR(E755*IF(E755="",0,VLOOKUP(C755,'📦 Precios Proforma'!$B$5:$D$104,IF(D755="DIA",2,3),FALSE)),0))</f>
        <v/>
      </c>
      <c r="J755" s="31" t="str">
        <f t="shared" si="78"/>
        <v/>
      </c>
      <c r="K755" s="31" t="str">
        <f t="shared" si="79"/>
        <v/>
      </c>
      <c r="L755" s="31" t="str">
        <f>IF(OR(B755="",C755=""),"",IFERROR(E755 / SUMIFS('📅 Resumen Diario'!$D$5:$D$504, '📅 Resumen Diario'!$B$5:$B$504, B755, '📅 Resumen Diario'!$C$5:$C$504, D755) * SUMIFS('📅 Resumen Diario'!$K$5:$K$504, '📅 Resumen Diario'!$B$5:$B$504, B755, '📅 Resumen Diario'!$C$5:$C$504, D755), 0))</f>
        <v/>
      </c>
      <c r="M755" s="31" t="str">
        <f t="shared" si="80"/>
        <v/>
      </c>
      <c r="N755" s="31" t="str">
        <f t="shared" si="81"/>
        <v/>
      </c>
      <c r="O755" s="31" t="str">
        <f>IF(OR(B755="",C755=""),"",K755-N755 + IFERROR(E755 / SUMIFS('📅 Resumen Diario'!$D$5:$D$504, '📅 Resumen Diario'!$B$5:$B$504, B755, '📅 Resumen Diario'!$C$5:$C$504, D755) * (SUMIFS('📋 Detalle Diario'!$E$5:$E$489, '📋 Detalle Diario'!$B$5:$B$489, B755, '📋 Detalle Diario'!$C$5:$C$489, D755) * 135 + SUMIFS('📋 Detalle Diario'!$I$5:$I$489, '📋 Detalle Diario'!$B$5:$B$489, B755, '📋 Detalle Diario'!$C$5:$C$489, D755) * 200), 0))</f>
        <v/>
      </c>
      <c r="P755" s="32" t="str">
        <f t="shared" si="82"/>
        <v/>
      </c>
      <c r="Q755" s="33" t="str">
        <f t="shared" si="83"/>
        <v/>
      </c>
    </row>
    <row r="756" spans="2:17" ht="18" customHeight="1" x14ac:dyDescent="0.3">
      <c r="B756" s="26"/>
      <c r="C756" s="17"/>
      <c r="D756" s="27"/>
      <c r="E756" s="18"/>
      <c r="F756" s="18"/>
      <c r="G756" s="18"/>
      <c r="H756" s="30" t="str">
        <f t="shared" si="77"/>
        <v/>
      </c>
      <c r="I756" s="31" t="str">
        <f>IF(OR(B756="",C756=""),"",IFERROR(E756*IF(E756="",0,VLOOKUP(C756,'📦 Precios Proforma'!$B$5:$D$104,IF(D756="DIA",2,3),FALSE)),0))</f>
        <v/>
      </c>
      <c r="J756" s="31" t="str">
        <f t="shared" si="78"/>
        <v/>
      </c>
      <c r="K756" s="31" t="str">
        <f t="shared" si="79"/>
        <v/>
      </c>
      <c r="L756" s="31" t="str">
        <f>IF(OR(B756="",C756=""),"",IFERROR(E756 / SUMIFS('📅 Resumen Diario'!$D$5:$D$504, '📅 Resumen Diario'!$B$5:$B$504, B756, '📅 Resumen Diario'!$C$5:$C$504, D756) * SUMIFS('📅 Resumen Diario'!$K$5:$K$504, '📅 Resumen Diario'!$B$5:$B$504, B756, '📅 Resumen Diario'!$C$5:$C$504, D756), 0))</f>
        <v/>
      </c>
      <c r="M756" s="31" t="str">
        <f t="shared" si="80"/>
        <v/>
      </c>
      <c r="N756" s="31" t="str">
        <f t="shared" si="81"/>
        <v/>
      </c>
      <c r="O756" s="31" t="str">
        <f>IF(OR(B756="",C756=""),"",K756-N756 + IFERROR(E756 / SUMIFS('📅 Resumen Diario'!$D$5:$D$504, '📅 Resumen Diario'!$B$5:$B$504, B756, '📅 Resumen Diario'!$C$5:$C$504, D756) * (SUMIFS('📋 Detalle Diario'!$E$5:$E$489, '📋 Detalle Diario'!$B$5:$B$489, B756, '📋 Detalle Diario'!$C$5:$C$489, D756) * 135 + SUMIFS('📋 Detalle Diario'!$I$5:$I$489, '📋 Detalle Diario'!$B$5:$B$489, B756, '📋 Detalle Diario'!$C$5:$C$489, D756) * 200), 0))</f>
        <v/>
      </c>
      <c r="P756" s="32" t="str">
        <f t="shared" si="82"/>
        <v/>
      </c>
      <c r="Q756" s="33" t="str">
        <f t="shared" si="83"/>
        <v/>
      </c>
    </row>
    <row r="757" spans="2:17" ht="18" customHeight="1" x14ac:dyDescent="0.3">
      <c r="B757" s="26"/>
      <c r="C757" s="28"/>
      <c r="D757" s="27"/>
      <c r="E757" s="29"/>
      <c r="F757" s="29"/>
      <c r="G757" s="29"/>
      <c r="H757" s="30" t="str">
        <f t="shared" si="77"/>
        <v/>
      </c>
      <c r="I757" s="31" t="str">
        <f>IF(OR(B757="",C757=""),"",IFERROR(E757*IF(E757="",0,VLOOKUP(C757,'📦 Precios Proforma'!$B$5:$D$104,IF(D757="DIA",2,3),FALSE)),0))</f>
        <v/>
      </c>
      <c r="J757" s="31" t="str">
        <f t="shared" si="78"/>
        <v/>
      </c>
      <c r="K757" s="31" t="str">
        <f t="shared" si="79"/>
        <v/>
      </c>
      <c r="L757" s="31" t="str">
        <f>IF(OR(B757="",C757=""),"",IFERROR(E757 / SUMIFS('📅 Resumen Diario'!$D$5:$D$504, '📅 Resumen Diario'!$B$5:$B$504, B757, '📅 Resumen Diario'!$C$5:$C$504, D757) * SUMIFS('📅 Resumen Diario'!$K$5:$K$504, '📅 Resumen Diario'!$B$5:$B$504, B757, '📅 Resumen Diario'!$C$5:$C$504, D757), 0))</f>
        <v/>
      </c>
      <c r="M757" s="31" t="str">
        <f t="shared" si="80"/>
        <v/>
      </c>
      <c r="N757" s="31" t="str">
        <f t="shared" si="81"/>
        <v/>
      </c>
      <c r="O757" s="31" t="str">
        <f>IF(OR(B757="",C757=""),"",K757-N757 + IFERROR(E757 / SUMIFS('📅 Resumen Diario'!$D$5:$D$504, '📅 Resumen Diario'!$B$5:$B$504, B757, '📅 Resumen Diario'!$C$5:$C$504, D757) * (SUMIFS('📋 Detalle Diario'!$E$5:$E$489, '📋 Detalle Diario'!$B$5:$B$489, B757, '📋 Detalle Diario'!$C$5:$C$489, D757) * 135 + SUMIFS('📋 Detalle Diario'!$I$5:$I$489, '📋 Detalle Diario'!$B$5:$B$489, B757, '📋 Detalle Diario'!$C$5:$C$489, D757) * 200), 0))</f>
        <v/>
      </c>
      <c r="P757" s="32" t="str">
        <f t="shared" si="82"/>
        <v/>
      </c>
      <c r="Q757" s="33" t="str">
        <f t="shared" si="83"/>
        <v/>
      </c>
    </row>
    <row r="758" spans="2:17" ht="18" customHeight="1" x14ac:dyDescent="0.3">
      <c r="B758" s="26"/>
      <c r="C758" s="17"/>
      <c r="D758" s="27"/>
      <c r="E758" s="18"/>
      <c r="F758" s="18"/>
      <c r="G758" s="18"/>
      <c r="H758" s="30" t="str">
        <f t="shared" si="77"/>
        <v/>
      </c>
      <c r="I758" s="31" t="str">
        <f>IF(OR(B758="",C758=""),"",IFERROR(E758*IF(E758="",0,VLOOKUP(C758,'📦 Precios Proforma'!$B$5:$D$104,IF(D758="DIA",2,3),FALSE)),0))</f>
        <v/>
      </c>
      <c r="J758" s="31" t="str">
        <f t="shared" si="78"/>
        <v/>
      </c>
      <c r="K758" s="31" t="str">
        <f t="shared" si="79"/>
        <v/>
      </c>
      <c r="L758" s="31" t="str">
        <f>IF(OR(B758="",C758=""),"",IFERROR(E758 / SUMIFS('📅 Resumen Diario'!$D$5:$D$504, '📅 Resumen Diario'!$B$5:$B$504, B758, '📅 Resumen Diario'!$C$5:$C$504, D758) * SUMIFS('📅 Resumen Diario'!$K$5:$K$504, '📅 Resumen Diario'!$B$5:$B$504, B758, '📅 Resumen Diario'!$C$5:$C$504, D758), 0))</f>
        <v/>
      </c>
      <c r="M758" s="31" t="str">
        <f t="shared" si="80"/>
        <v/>
      </c>
      <c r="N758" s="31" t="str">
        <f t="shared" si="81"/>
        <v/>
      </c>
      <c r="O758" s="31" t="str">
        <f>IF(OR(B758="",C758=""),"",K758-N758 + IFERROR(E758 / SUMIFS('📅 Resumen Diario'!$D$5:$D$504, '📅 Resumen Diario'!$B$5:$B$504, B758, '📅 Resumen Diario'!$C$5:$C$504, D758) * (SUMIFS('📋 Detalle Diario'!$E$5:$E$489, '📋 Detalle Diario'!$B$5:$B$489, B758, '📋 Detalle Diario'!$C$5:$C$489, D758) * 135 + SUMIFS('📋 Detalle Diario'!$I$5:$I$489, '📋 Detalle Diario'!$B$5:$B$489, B758, '📋 Detalle Diario'!$C$5:$C$489, D758) * 200), 0))</f>
        <v/>
      </c>
      <c r="P758" s="32" t="str">
        <f t="shared" si="82"/>
        <v/>
      </c>
      <c r="Q758" s="33" t="str">
        <f t="shared" si="83"/>
        <v/>
      </c>
    </row>
    <row r="759" spans="2:17" ht="18" customHeight="1" x14ac:dyDescent="0.3">
      <c r="B759" s="26"/>
      <c r="C759" s="28"/>
      <c r="D759" s="27"/>
      <c r="E759" s="29"/>
      <c r="F759" s="29"/>
      <c r="G759" s="29"/>
      <c r="H759" s="30" t="str">
        <f t="shared" si="77"/>
        <v/>
      </c>
      <c r="I759" s="31" t="str">
        <f>IF(OR(B759="",C759=""),"",IFERROR(E759*IF(E759="",0,VLOOKUP(C759,'📦 Precios Proforma'!$B$5:$D$104,IF(D759="DIA",2,3),FALSE)),0))</f>
        <v/>
      </c>
      <c r="J759" s="31" t="str">
        <f t="shared" si="78"/>
        <v/>
      </c>
      <c r="K759" s="31" t="str">
        <f t="shared" si="79"/>
        <v/>
      </c>
      <c r="L759" s="31" t="str">
        <f>IF(OR(B759="",C759=""),"",IFERROR(E759 / SUMIFS('📅 Resumen Diario'!$D$5:$D$504, '📅 Resumen Diario'!$B$5:$B$504, B759, '📅 Resumen Diario'!$C$5:$C$504, D759) * SUMIFS('📅 Resumen Diario'!$K$5:$K$504, '📅 Resumen Diario'!$B$5:$B$504, B759, '📅 Resumen Diario'!$C$5:$C$504, D759), 0))</f>
        <v/>
      </c>
      <c r="M759" s="31" t="str">
        <f t="shared" si="80"/>
        <v/>
      </c>
      <c r="N759" s="31" t="str">
        <f t="shared" si="81"/>
        <v/>
      </c>
      <c r="O759" s="31" t="str">
        <f>IF(OR(B759="",C759=""),"",K759-N759 + IFERROR(E759 / SUMIFS('📅 Resumen Diario'!$D$5:$D$504, '📅 Resumen Diario'!$B$5:$B$504, B759, '📅 Resumen Diario'!$C$5:$C$504, D759) * (SUMIFS('📋 Detalle Diario'!$E$5:$E$489, '📋 Detalle Diario'!$B$5:$B$489, B759, '📋 Detalle Diario'!$C$5:$C$489, D759) * 135 + SUMIFS('📋 Detalle Diario'!$I$5:$I$489, '📋 Detalle Diario'!$B$5:$B$489, B759, '📋 Detalle Diario'!$C$5:$C$489, D759) * 200), 0))</f>
        <v/>
      </c>
      <c r="P759" s="32" t="str">
        <f t="shared" si="82"/>
        <v/>
      </c>
      <c r="Q759" s="33" t="str">
        <f t="shared" si="83"/>
        <v/>
      </c>
    </row>
    <row r="760" spans="2:17" ht="18" customHeight="1" x14ac:dyDescent="0.3">
      <c r="B760" s="26"/>
      <c r="C760" s="17"/>
      <c r="D760" s="27"/>
      <c r="E760" s="18"/>
      <c r="F760" s="18"/>
      <c r="G760" s="18"/>
      <c r="H760" s="30" t="str">
        <f t="shared" si="77"/>
        <v/>
      </c>
      <c r="I760" s="31" t="str">
        <f>IF(OR(B760="",C760=""),"",IFERROR(E760*IF(E760="",0,VLOOKUP(C760,'📦 Precios Proforma'!$B$5:$D$104,IF(D760="DIA",2,3),FALSE)),0))</f>
        <v/>
      </c>
      <c r="J760" s="31" t="str">
        <f t="shared" si="78"/>
        <v/>
      </c>
      <c r="K760" s="31" t="str">
        <f t="shared" si="79"/>
        <v/>
      </c>
      <c r="L760" s="31" t="str">
        <f>IF(OR(B760="",C760=""),"",IFERROR(E760 / SUMIFS('📅 Resumen Diario'!$D$5:$D$504, '📅 Resumen Diario'!$B$5:$B$504, B760, '📅 Resumen Diario'!$C$5:$C$504, D760) * SUMIFS('📅 Resumen Diario'!$K$5:$K$504, '📅 Resumen Diario'!$B$5:$B$504, B760, '📅 Resumen Diario'!$C$5:$C$504, D760), 0))</f>
        <v/>
      </c>
      <c r="M760" s="31" t="str">
        <f t="shared" si="80"/>
        <v/>
      </c>
      <c r="N760" s="31" t="str">
        <f t="shared" si="81"/>
        <v/>
      </c>
      <c r="O760" s="31" t="str">
        <f>IF(OR(B760="",C760=""),"",K760-N760 + IFERROR(E760 / SUMIFS('📅 Resumen Diario'!$D$5:$D$504, '📅 Resumen Diario'!$B$5:$B$504, B760, '📅 Resumen Diario'!$C$5:$C$504, D760) * (SUMIFS('📋 Detalle Diario'!$E$5:$E$489, '📋 Detalle Diario'!$B$5:$B$489, B760, '📋 Detalle Diario'!$C$5:$C$489, D760) * 135 + SUMIFS('📋 Detalle Diario'!$I$5:$I$489, '📋 Detalle Diario'!$B$5:$B$489, B760, '📋 Detalle Diario'!$C$5:$C$489, D760) * 200), 0))</f>
        <v/>
      </c>
      <c r="P760" s="32" t="str">
        <f t="shared" si="82"/>
        <v/>
      </c>
      <c r="Q760" s="33" t="str">
        <f t="shared" si="83"/>
        <v/>
      </c>
    </row>
    <row r="761" spans="2:17" ht="18" customHeight="1" x14ac:dyDescent="0.3">
      <c r="B761" s="26"/>
      <c r="C761" s="28"/>
      <c r="D761" s="27"/>
      <c r="E761" s="29"/>
      <c r="F761" s="29"/>
      <c r="G761" s="29"/>
      <c r="H761" s="30" t="str">
        <f t="shared" si="77"/>
        <v/>
      </c>
      <c r="I761" s="31" t="str">
        <f>IF(OR(B761="",C761=""),"",IFERROR(E761*IF(E761="",0,VLOOKUP(C761,'📦 Precios Proforma'!$B$5:$D$104,IF(D761="DIA",2,3),FALSE)),0))</f>
        <v/>
      </c>
      <c r="J761" s="31" t="str">
        <f t="shared" si="78"/>
        <v/>
      </c>
      <c r="K761" s="31" t="str">
        <f t="shared" si="79"/>
        <v/>
      </c>
      <c r="L761" s="31" t="str">
        <f>IF(OR(B761="",C761=""),"",IFERROR(E761 / SUMIFS('📅 Resumen Diario'!$D$5:$D$504, '📅 Resumen Diario'!$B$5:$B$504, B761, '📅 Resumen Diario'!$C$5:$C$504, D761) * SUMIFS('📅 Resumen Diario'!$K$5:$K$504, '📅 Resumen Diario'!$B$5:$B$504, B761, '📅 Resumen Diario'!$C$5:$C$504, D761), 0))</f>
        <v/>
      </c>
      <c r="M761" s="31" t="str">
        <f t="shared" si="80"/>
        <v/>
      </c>
      <c r="N761" s="31" t="str">
        <f t="shared" si="81"/>
        <v/>
      </c>
      <c r="O761" s="31" t="str">
        <f>IF(OR(B761="",C761=""),"",K761-N761 + IFERROR(E761 / SUMIFS('📅 Resumen Diario'!$D$5:$D$504, '📅 Resumen Diario'!$B$5:$B$504, B761, '📅 Resumen Diario'!$C$5:$C$504, D761) * (SUMIFS('📋 Detalle Diario'!$E$5:$E$489, '📋 Detalle Diario'!$B$5:$B$489, B761, '📋 Detalle Diario'!$C$5:$C$489, D761) * 135 + SUMIFS('📋 Detalle Diario'!$I$5:$I$489, '📋 Detalle Diario'!$B$5:$B$489, B761, '📋 Detalle Diario'!$C$5:$C$489, D761) * 200), 0))</f>
        <v/>
      </c>
      <c r="P761" s="32" t="str">
        <f t="shared" si="82"/>
        <v/>
      </c>
      <c r="Q761" s="33" t="str">
        <f t="shared" si="83"/>
        <v/>
      </c>
    </row>
    <row r="762" spans="2:17" ht="18" customHeight="1" x14ac:dyDescent="0.3">
      <c r="B762" s="26"/>
      <c r="C762" s="17"/>
      <c r="D762" s="27"/>
      <c r="E762" s="18"/>
      <c r="F762" s="18"/>
      <c r="G762" s="18"/>
      <c r="H762" s="30" t="str">
        <f t="shared" si="77"/>
        <v/>
      </c>
      <c r="I762" s="31" t="str">
        <f>IF(OR(B762="",C762=""),"",IFERROR(E762*IF(E762="",0,VLOOKUP(C762,'📦 Precios Proforma'!$B$5:$D$104,IF(D762="DIA",2,3),FALSE)),0))</f>
        <v/>
      </c>
      <c r="J762" s="31" t="str">
        <f t="shared" si="78"/>
        <v/>
      </c>
      <c r="K762" s="31" t="str">
        <f t="shared" si="79"/>
        <v/>
      </c>
      <c r="L762" s="31" t="str">
        <f>IF(OR(B762="",C762=""),"",IFERROR(E762 / SUMIFS('📅 Resumen Diario'!$D$5:$D$504, '📅 Resumen Diario'!$B$5:$B$504, B762, '📅 Resumen Diario'!$C$5:$C$504, D762) * SUMIFS('📅 Resumen Diario'!$K$5:$K$504, '📅 Resumen Diario'!$B$5:$B$504, B762, '📅 Resumen Diario'!$C$5:$C$504, D762), 0))</f>
        <v/>
      </c>
      <c r="M762" s="31" t="str">
        <f t="shared" si="80"/>
        <v/>
      </c>
      <c r="N762" s="31" t="str">
        <f t="shared" si="81"/>
        <v/>
      </c>
      <c r="O762" s="31" t="str">
        <f>IF(OR(B762="",C762=""),"",K762-N762 + IFERROR(E762 / SUMIFS('📅 Resumen Diario'!$D$5:$D$504, '📅 Resumen Diario'!$B$5:$B$504, B762, '📅 Resumen Diario'!$C$5:$C$504, D762) * (SUMIFS('📋 Detalle Diario'!$E$5:$E$489, '📋 Detalle Diario'!$B$5:$B$489, B762, '📋 Detalle Diario'!$C$5:$C$489, D762) * 135 + SUMIFS('📋 Detalle Diario'!$I$5:$I$489, '📋 Detalle Diario'!$B$5:$B$489, B762, '📋 Detalle Diario'!$C$5:$C$489, D762) * 200), 0))</f>
        <v/>
      </c>
      <c r="P762" s="32" t="str">
        <f t="shared" si="82"/>
        <v/>
      </c>
      <c r="Q762" s="33" t="str">
        <f t="shared" si="83"/>
        <v/>
      </c>
    </row>
    <row r="763" spans="2:17" ht="18" customHeight="1" x14ac:dyDescent="0.3">
      <c r="B763" s="26"/>
      <c r="C763" s="28"/>
      <c r="D763" s="27"/>
      <c r="E763" s="29"/>
      <c r="F763" s="29"/>
      <c r="G763" s="29"/>
      <c r="H763" s="30" t="str">
        <f t="shared" si="77"/>
        <v/>
      </c>
      <c r="I763" s="31" t="str">
        <f>IF(OR(B763="",C763=""),"",IFERROR(E763*IF(E763="",0,VLOOKUP(C763,'📦 Precios Proforma'!$B$5:$D$104,IF(D763="DIA",2,3),FALSE)),0))</f>
        <v/>
      </c>
      <c r="J763" s="31" t="str">
        <f t="shared" si="78"/>
        <v/>
      </c>
      <c r="K763" s="31" t="str">
        <f t="shared" si="79"/>
        <v/>
      </c>
      <c r="L763" s="31" t="str">
        <f>IF(OR(B763="",C763=""),"",IFERROR(E763 / SUMIFS('📅 Resumen Diario'!$D$5:$D$504, '📅 Resumen Diario'!$B$5:$B$504, B763, '📅 Resumen Diario'!$C$5:$C$504, D763) * SUMIFS('📅 Resumen Diario'!$K$5:$K$504, '📅 Resumen Diario'!$B$5:$B$504, B763, '📅 Resumen Diario'!$C$5:$C$504, D763), 0))</f>
        <v/>
      </c>
      <c r="M763" s="31" t="str">
        <f t="shared" si="80"/>
        <v/>
      </c>
      <c r="N763" s="31" t="str">
        <f t="shared" si="81"/>
        <v/>
      </c>
      <c r="O763" s="31" t="str">
        <f>IF(OR(B763="",C763=""),"",K763-N763 + IFERROR(E763 / SUMIFS('📅 Resumen Diario'!$D$5:$D$504, '📅 Resumen Diario'!$B$5:$B$504, B763, '📅 Resumen Diario'!$C$5:$C$504, D763) * (SUMIFS('📋 Detalle Diario'!$E$5:$E$489, '📋 Detalle Diario'!$B$5:$B$489, B763, '📋 Detalle Diario'!$C$5:$C$489, D763) * 135 + SUMIFS('📋 Detalle Diario'!$I$5:$I$489, '📋 Detalle Diario'!$B$5:$B$489, B763, '📋 Detalle Diario'!$C$5:$C$489, D763) * 200), 0))</f>
        <v/>
      </c>
      <c r="P763" s="32" t="str">
        <f t="shared" si="82"/>
        <v/>
      </c>
      <c r="Q763" s="33" t="str">
        <f t="shared" si="83"/>
        <v/>
      </c>
    </row>
    <row r="764" spans="2:17" ht="18" customHeight="1" x14ac:dyDescent="0.3">
      <c r="B764" s="26"/>
      <c r="C764" s="17"/>
      <c r="D764" s="27"/>
      <c r="E764" s="18"/>
      <c r="F764" s="18"/>
      <c r="G764" s="18"/>
      <c r="H764" s="30" t="str">
        <f t="shared" si="77"/>
        <v/>
      </c>
      <c r="I764" s="31" t="str">
        <f>IF(OR(B764="",C764=""),"",IFERROR(E764*IF(E764="",0,VLOOKUP(C764,'📦 Precios Proforma'!$B$5:$D$104,IF(D764="DIA",2,3),FALSE)),0))</f>
        <v/>
      </c>
      <c r="J764" s="31" t="str">
        <f t="shared" si="78"/>
        <v/>
      </c>
      <c r="K764" s="31" t="str">
        <f t="shared" si="79"/>
        <v/>
      </c>
      <c r="L764" s="31" t="str">
        <f>IF(OR(B764="",C764=""),"",IFERROR(E764 / SUMIFS('📅 Resumen Diario'!$D$5:$D$504, '📅 Resumen Diario'!$B$5:$B$504, B764, '📅 Resumen Diario'!$C$5:$C$504, D764) * SUMIFS('📅 Resumen Diario'!$K$5:$K$504, '📅 Resumen Diario'!$B$5:$B$504, B764, '📅 Resumen Diario'!$C$5:$C$504, D764), 0))</f>
        <v/>
      </c>
      <c r="M764" s="31" t="str">
        <f t="shared" si="80"/>
        <v/>
      </c>
      <c r="N764" s="31" t="str">
        <f t="shared" si="81"/>
        <v/>
      </c>
      <c r="O764" s="31" t="str">
        <f>IF(OR(B764="",C764=""),"",K764-N764 + IFERROR(E764 / SUMIFS('📅 Resumen Diario'!$D$5:$D$504, '📅 Resumen Diario'!$B$5:$B$504, B764, '📅 Resumen Diario'!$C$5:$C$504, D764) * (SUMIFS('📋 Detalle Diario'!$E$5:$E$489, '📋 Detalle Diario'!$B$5:$B$489, B764, '📋 Detalle Diario'!$C$5:$C$489, D764) * 135 + SUMIFS('📋 Detalle Diario'!$I$5:$I$489, '📋 Detalle Diario'!$B$5:$B$489, B764, '📋 Detalle Diario'!$C$5:$C$489, D764) * 200), 0))</f>
        <v/>
      </c>
      <c r="P764" s="32" t="str">
        <f t="shared" si="82"/>
        <v/>
      </c>
      <c r="Q764" s="33" t="str">
        <f t="shared" si="83"/>
        <v/>
      </c>
    </row>
    <row r="765" spans="2:17" ht="18" customHeight="1" x14ac:dyDescent="0.3">
      <c r="B765" s="26"/>
      <c r="C765" s="28"/>
      <c r="D765" s="27"/>
      <c r="E765" s="29"/>
      <c r="F765" s="29"/>
      <c r="G765" s="29"/>
      <c r="H765" s="30" t="str">
        <f t="shared" si="77"/>
        <v/>
      </c>
      <c r="I765" s="31" t="str">
        <f>IF(OR(B765="",C765=""),"",IFERROR(E765*IF(E765="",0,VLOOKUP(C765,'📦 Precios Proforma'!$B$5:$D$104,IF(D765="DIA",2,3),FALSE)),0))</f>
        <v/>
      </c>
      <c r="J765" s="31" t="str">
        <f t="shared" si="78"/>
        <v/>
      </c>
      <c r="K765" s="31" t="str">
        <f t="shared" si="79"/>
        <v/>
      </c>
      <c r="L765" s="31" t="str">
        <f>IF(OR(B765="",C765=""),"",IFERROR(E765 / SUMIFS('📅 Resumen Diario'!$D$5:$D$504, '📅 Resumen Diario'!$B$5:$B$504, B765, '📅 Resumen Diario'!$C$5:$C$504, D765) * SUMIFS('📅 Resumen Diario'!$K$5:$K$504, '📅 Resumen Diario'!$B$5:$B$504, B765, '📅 Resumen Diario'!$C$5:$C$504, D765), 0))</f>
        <v/>
      </c>
      <c r="M765" s="31" t="str">
        <f t="shared" si="80"/>
        <v/>
      </c>
      <c r="N765" s="31" t="str">
        <f t="shared" si="81"/>
        <v/>
      </c>
      <c r="O765" s="31" t="str">
        <f>IF(OR(B765="",C765=""),"",K765-N765 + IFERROR(E765 / SUMIFS('📅 Resumen Diario'!$D$5:$D$504, '📅 Resumen Diario'!$B$5:$B$504, B765, '📅 Resumen Diario'!$C$5:$C$504, D765) * (SUMIFS('📋 Detalle Diario'!$E$5:$E$489, '📋 Detalle Diario'!$B$5:$B$489, B765, '📋 Detalle Diario'!$C$5:$C$489, D765) * 135 + SUMIFS('📋 Detalle Diario'!$I$5:$I$489, '📋 Detalle Diario'!$B$5:$B$489, B765, '📋 Detalle Diario'!$C$5:$C$489, D765) * 200), 0))</f>
        <v/>
      </c>
      <c r="P765" s="32" t="str">
        <f t="shared" si="82"/>
        <v/>
      </c>
      <c r="Q765" s="33" t="str">
        <f t="shared" si="83"/>
        <v/>
      </c>
    </row>
    <row r="766" spans="2:17" ht="18" customHeight="1" x14ac:dyDescent="0.3">
      <c r="B766" s="26"/>
      <c r="C766" s="17"/>
      <c r="D766" s="27"/>
      <c r="E766" s="18"/>
      <c r="F766" s="18"/>
      <c r="G766" s="18"/>
      <c r="H766" s="30" t="str">
        <f t="shared" si="77"/>
        <v/>
      </c>
      <c r="I766" s="31" t="str">
        <f>IF(OR(B766="",C766=""),"",IFERROR(E766*IF(E766="",0,VLOOKUP(C766,'📦 Precios Proforma'!$B$5:$D$104,IF(D766="DIA",2,3),FALSE)),0))</f>
        <v/>
      </c>
      <c r="J766" s="31" t="str">
        <f t="shared" si="78"/>
        <v/>
      </c>
      <c r="K766" s="31" t="str">
        <f t="shared" si="79"/>
        <v/>
      </c>
      <c r="L766" s="31" t="str">
        <f>IF(OR(B766="",C766=""),"",IFERROR(E766 / SUMIFS('📅 Resumen Diario'!$D$5:$D$504, '📅 Resumen Diario'!$B$5:$B$504, B766, '📅 Resumen Diario'!$C$5:$C$504, D766) * SUMIFS('📅 Resumen Diario'!$K$5:$K$504, '📅 Resumen Diario'!$B$5:$B$504, B766, '📅 Resumen Diario'!$C$5:$C$504, D766), 0))</f>
        <v/>
      </c>
      <c r="M766" s="31" t="str">
        <f t="shared" si="80"/>
        <v/>
      </c>
      <c r="N766" s="31" t="str">
        <f t="shared" si="81"/>
        <v/>
      </c>
      <c r="O766" s="31" t="str">
        <f>IF(OR(B766="",C766=""),"",K766-N766 + IFERROR(E766 / SUMIFS('📅 Resumen Diario'!$D$5:$D$504, '📅 Resumen Diario'!$B$5:$B$504, B766, '📅 Resumen Diario'!$C$5:$C$504, D766) * (SUMIFS('📋 Detalle Diario'!$E$5:$E$489, '📋 Detalle Diario'!$B$5:$B$489, B766, '📋 Detalle Diario'!$C$5:$C$489, D766) * 135 + SUMIFS('📋 Detalle Diario'!$I$5:$I$489, '📋 Detalle Diario'!$B$5:$B$489, B766, '📋 Detalle Diario'!$C$5:$C$489, D766) * 200), 0))</f>
        <v/>
      </c>
      <c r="P766" s="32" t="str">
        <f t="shared" si="82"/>
        <v/>
      </c>
      <c r="Q766" s="33" t="str">
        <f t="shared" si="83"/>
        <v/>
      </c>
    </row>
    <row r="767" spans="2:17" ht="18" customHeight="1" x14ac:dyDescent="0.3">
      <c r="B767" s="26"/>
      <c r="C767" s="28"/>
      <c r="D767" s="27"/>
      <c r="E767" s="29"/>
      <c r="F767" s="29"/>
      <c r="G767" s="29"/>
      <c r="H767" s="30" t="str">
        <f t="shared" si="77"/>
        <v/>
      </c>
      <c r="I767" s="31" t="str">
        <f>IF(OR(B767="",C767=""),"",IFERROR(E767*IF(E767="",0,VLOOKUP(C767,'📦 Precios Proforma'!$B$5:$D$104,IF(D767="DIA",2,3),FALSE)),0))</f>
        <v/>
      </c>
      <c r="J767" s="31" t="str">
        <f t="shared" si="78"/>
        <v/>
      </c>
      <c r="K767" s="31" t="str">
        <f t="shared" si="79"/>
        <v/>
      </c>
      <c r="L767" s="31" t="str">
        <f>IF(OR(B767="",C767=""),"",IFERROR(E767 / SUMIFS('📅 Resumen Diario'!$D$5:$D$504, '📅 Resumen Diario'!$B$5:$B$504, B767, '📅 Resumen Diario'!$C$5:$C$504, D767) * SUMIFS('📅 Resumen Diario'!$K$5:$K$504, '📅 Resumen Diario'!$B$5:$B$504, B767, '📅 Resumen Diario'!$C$5:$C$504, D767), 0))</f>
        <v/>
      </c>
      <c r="M767" s="31" t="str">
        <f t="shared" si="80"/>
        <v/>
      </c>
      <c r="N767" s="31" t="str">
        <f t="shared" si="81"/>
        <v/>
      </c>
      <c r="O767" s="31" t="str">
        <f>IF(OR(B767="",C767=""),"",K767-N767 + IFERROR(E767 / SUMIFS('📅 Resumen Diario'!$D$5:$D$504, '📅 Resumen Diario'!$B$5:$B$504, B767, '📅 Resumen Diario'!$C$5:$C$504, D767) * (SUMIFS('📋 Detalle Diario'!$E$5:$E$489, '📋 Detalle Diario'!$B$5:$B$489, B767, '📋 Detalle Diario'!$C$5:$C$489, D767) * 135 + SUMIFS('📋 Detalle Diario'!$I$5:$I$489, '📋 Detalle Diario'!$B$5:$B$489, B767, '📋 Detalle Diario'!$C$5:$C$489, D767) * 200), 0))</f>
        <v/>
      </c>
      <c r="P767" s="32" t="str">
        <f t="shared" si="82"/>
        <v/>
      </c>
      <c r="Q767" s="33" t="str">
        <f t="shared" si="83"/>
        <v/>
      </c>
    </row>
    <row r="768" spans="2:17" ht="18" customHeight="1" x14ac:dyDescent="0.3">
      <c r="B768" s="26"/>
      <c r="C768" s="17"/>
      <c r="D768" s="27"/>
      <c r="E768" s="18"/>
      <c r="F768" s="18"/>
      <c r="G768" s="18"/>
      <c r="H768" s="30" t="str">
        <f t="shared" si="77"/>
        <v/>
      </c>
      <c r="I768" s="31" t="str">
        <f>IF(OR(B768="",C768=""),"",IFERROR(E768*IF(E768="",0,VLOOKUP(C768,'📦 Precios Proforma'!$B$5:$D$104,IF(D768="DIA",2,3),FALSE)),0))</f>
        <v/>
      </c>
      <c r="J768" s="31" t="str">
        <f t="shared" si="78"/>
        <v/>
      </c>
      <c r="K768" s="31" t="str">
        <f t="shared" si="79"/>
        <v/>
      </c>
      <c r="L768" s="31" t="str">
        <f>IF(OR(B768="",C768=""),"",IFERROR(E768 / SUMIFS('📅 Resumen Diario'!$D$5:$D$504, '📅 Resumen Diario'!$B$5:$B$504, B768, '📅 Resumen Diario'!$C$5:$C$504, D768) * SUMIFS('📅 Resumen Diario'!$K$5:$K$504, '📅 Resumen Diario'!$B$5:$B$504, B768, '📅 Resumen Diario'!$C$5:$C$504, D768), 0))</f>
        <v/>
      </c>
      <c r="M768" s="31" t="str">
        <f t="shared" si="80"/>
        <v/>
      </c>
      <c r="N768" s="31" t="str">
        <f t="shared" si="81"/>
        <v/>
      </c>
      <c r="O768" s="31" t="str">
        <f>IF(OR(B768="",C768=""),"",K768-N768 + IFERROR(E768 / SUMIFS('📅 Resumen Diario'!$D$5:$D$504, '📅 Resumen Diario'!$B$5:$B$504, B768, '📅 Resumen Diario'!$C$5:$C$504, D768) * (SUMIFS('📋 Detalle Diario'!$E$5:$E$489, '📋 Detalle Diario'!$B$5:$B$489, B768, '📋 Detalle Diario'!$C$5:$C$489, D768) * 135 + SUMIFS('📋 Detalle Diario'!$I$5:$I$489, '📋 Detalle Diario'!$B$5:$B$489, B768, '📋 Detalle Diario'!$C$5:$C$489, D768) * 200), 0))</f>
        <v/>
      </c>
      <c r="P768" s="32" t="str">
        <f t="shared" si="82"/>
        <v/>
      </c>
      <c r="Q768" s="33" t="str">
        <f t="shared" si="83"/>
        <v/>
      </c>
    </row>
    <row r="769" spans="2:17" ht="18" customHeight="1" x14ac:dyDescent="0.3">
      <c r="B769" s="26"/>
      <c r="C769" s="28"/>
      <c r="D769" s="27"/>
      <c r="E769" s="29"/>
      <c r="F769" s="29"/>
      <c r="G769" s="29"/>
      <c r="H769" s="30" t="str">
        <f t="shared" si="77"/>
        <v/>
      </c>
      <c r="I769" s="31" t="str">
        <f>IF(OR(B769="",C769=""),"",IFERROR(E769*IF(E769="",0,VLOOKUP(C769,'📦 Precios Proforma'!$B$5:$D$104,IF(D769="DIA",2,3),FALSE)),0))</f>
        <v/>
      </c>
      <c r="J769" s="31" t="str">
        <f t="shared" si="78"/>
        <v/>
      </c>
      <c r="K769" s="31" t="str">
        <f t="shared" si="79"/>
        <v/>
      </c>
      <c r="L769" s="31" t="str">
        <f>IF(OR(B769="",C769=""),"",IFERROR(E769 / SUMIFS('📅 Resumen Diario'!$D$5:$D$504, '📅 Resumen Diario'!$B$5:$B$504, B769, '📅 Resumen Diario'!$C$5:$C$504, D769) * SUMIFS('📅 Resumen Diario'!$K$5:$K$504, '📅 Resumen Diario'!$B$5:$B$504, B769, '📅 Resumen Diario'!$C$5:$C$504, D769), 0))</f>
        <v/>
      </c>
      <c r="M769" s="31" t="str">
        <f t="shared" si="80"/>
        <v/>
      </c>
      <c r="N769" s="31" t="str">
        <f t="shared" si="81"/>
        <v/>
      </c>
      <c r="O769" s="31" t="str">
        <f>IF(OR(B769="",C769=""),"",K769-N769 + IFERROR(E769 / SUMIFS('📅 Resumen Diario'!$D$5:$D$504, '📅 Resumen Diario'!$B$5:$B$504, B769, '📅 Resumen Diario'!$C$5:$C$504, D769) * (SUMIFS('📋 Detalle Diario'!$E$5:$E$489, '📋 Detalle Diario'!$B$5:$B$489, B769, '📋 Detalle Diario'!$C$5:$C$489, D769) * 135 + SUMIFS('📋 Detalle Diario'!$I$5:$I$489, '📋 Detalle Diario'!$B$5:$B$489, B769, '📋 Detalle Diario'!$C$5:$C$489, D769) * 200), 0))</f>
        <v/>
      </c>
      <c r="P769" s="32" t="str">
        <f t="shared" si="82"/>
        <v/>
      </c>
      <c r="Q769" s="33" t="str">
        <f t="shared" si="83"/>
        <v/>
      </c>
    </row>
    <row r="770" spans="2:17" ht="18" customHeight="1" x14ac:dyDescent="0.3">
      <c r="B770" s="26"/>
      <c r="C770" s="17"/>
      <c r="D770" s="27"/>
      <c r="E770" s="18"/>
      <c r="F770" s="18"/>
      <c r="G770" s="18"/>
      <c r="H770" s="30" t="str">
        <f t="shared" si="77"/>
        <v/>
      </c>
      <c r="I770" s="31" t="str">
        <f>IF(OR(B770="",C770=""),"",IFERROR(E770*IF(E770="",0,VLOOKUP(C770,'📦 Precios Proforma'!$B$5:$D$104,IF(D770="DIA",2,3),FALSE)),0))</f>
        <v/>
      </c>
      <c r="J770" s="31" t="str">
        <f t="shared" si="78"/>
        <v/>
      </c>
      <c r="K770" s="31" t="str">
        <f t="shared" si="79"/>
        <v/>
      </c>
      <c r="L770" s="31" t="str">
        <f>IF(OR(B770="",C770=""),"",IFERROR(E770 / SUMIFS('📅 Resumen Diario'!$D$5:$D$504, '📅 Resumen Diario'!$B$5:$B$504, B770, '📅 Resumen Diario'!$C$5:$C$504, D770) * SUMIFS('📅 Resumen Diario'!$K$5:$K$504, '📅 Resumen Diario'!$B$5:$B$504, B770, '📅 Resumen Diario'!$C$5:$C$504, D770), 0))</f>
        <v/>
      </c>
      <c r="M770" s="31" t="str">
        <f t="shared" si="80"/>
        <v/>
      </c>
      <c r="N770" s="31" t="str">
        <f t="shared" si="81"/>
        <v/>
      </c>
      <c r="O770" s="31" t="str">
        <f>IF(OR(B770="",C770=""),"",K770-N770 + IFERROR(E770 / SUMIFS('📅 Resumen Diario'!$D$5:$D$504, '📅 Resumen Diario'!$B$5:$B$504, B770, '📅 Resumen Diario'!$C$5:$C$504, D770) * (SUMIFS('📋 Detalle Diario'!$E$5:$E$489, '📋 Detalle Diario'!$B$5:$B$489, B770, '📋 Detalle Diario'!$C$5:$C$489, D770) * 135 + SUMIFS('📋 Detalle Diario'!$I$5:$I$489, '📋 Detalle Diario'!$B$5:$B$489, B770, '📋 Detalle Diario'!$C$5:$C$489, D770) * 200), 0))</f>
        <v/>
      </c>
      <c r="P770" s="32" t="str">
        <f t="shared" si="82"/>
        <v/>
      </c>
      <c r="Q770" s="33" t="str">
        <f t="shared" si="83"/>
        <v/>
      </c>
    </row>
    <row r="771" spans="2:17" ht="18" customHeight="1" x14ac:dyDescent="0.3">
      <c r="B771" s="26"/>
      <c r="C771" s="28"/>
      <c r="D771" s="27"/>
      <c r="E771" s="29"/>
      <c r="F771" s="29"/>
      <c r="G771" s="29"/>
      <c r="H771" s="30" t="str">
        <f t="shared" si="77"/>
        <v/>
      </c>
      <c r="I771" s="31" t="str">
        <f>IF(OR(B771="",C771=""),"",IFERROR(E771*IF(E771="",0,VLOOKUP(C771,'📦 Precios Proforma'!$B$5:$D$104,IF(D771="DIA",2,3),FALSE)),0))</f>
        <v/>
      </c>
      <c r="J771" s="31" t="str">
        <f t="shared" si="78"/>
        <v/>
      </c>
      <c r="K771" s="31" t="str">
        <f t="shared" si="79"/>
        <v/>
      </c>
      <c r="L771" s="31" t="str">
        <f>IF(OR(B771="",C771=""),"",IFERROR(E771 / SUMIFS('📅 Resumen Diario'!$D$5:$D$504, '📅 Resumen Diario'!$B$5:$B$504, B771, '📅 Resumen Diario'!$C$5:$C$504, D771) * SUMIFS('📅 Resumen Diario'!$K$5:$K$504, '📅 Resumen Diario'!$B$5:$B$504, B771, '📅 Resumen Diario'!$C$5:$C$504, D771), 0))</f>
        <v/>
      </c>
      <c r="M771" s="31" t="str">
        <f t="shared" si="80"/>
        <v/>
      </c>
      <c r="N771" s="31" t="str">
        <f t="shared" si="81"/>
        <v/>
      </c>
      <c r="O771" s="31" t="str">
        <f>IF(OR(B771="",C771=""),"",K771-N771 + IFERROR(E771 / SUMIFS('📅 Resumen Diario'!$D$5:$D$504, '📅 Resumen Diario'!$B$5:$B$504, B771, '📅 Resumen Diario'!$C$5:$C$504, D771) * (SUMIFS('📋 Detalle Diario'!$E$5:$E$489, '📋 Detalle Diario'!$B$5:$B$489, B771, '📋 Detalle Diario'!$C$5:$C$489, D771) * 135 + SUMIFS('📋 Detalle Diario'!$I$5:$I$489, '📋 Detalle Diario'!$B$5:$B$489, B771, '📋 Detalle Diario'!$C$5:$C$489, D771) * 200), 0))</f>
        <v/>
      </c>
      <c r="P771" s="32" t="str">
        <f t="shared" si="82"/>
        <v/>
      </c>
      <c r="Q771" s="33" t="str">
        <f t="shared" si="83"/>
        <v/>
      </c>
    </row>
    <row r="772" spans="2:17" ht="18" customHeight="1" x14ac:dyDescent="0.3">
      <c r="B772" s="26"/>
      <c r="C772" s="17"/>
      <c r="D772" s="27"/>
      <c r="E772" s="18"/>
      <c r="F772" s="18"/>
      <c r="G772" s="18"/>
      <c r="H772" s="30" t="str">
        <f t="shared" si="77"/>
        <v/>
      </c>
      <c r="I772" s="31" t="str">
        <f>IF(OR(B772="",C772=""),"",IFERROR(E772*IF(E772="",0,VLOOKUP(C772,'📦 Precios Proforma'!$B$5:$D$104,IF(D772="DIA",2,3),FALSE)),0))</f>
        <v/>
      </c>
      <c r="J772" s="31" t="str">
        <f t="shared" si="78"/>
        <v/>
      </c>
      <c r="K772" s="31" t="str">
        <f t="shared" si="79"/>
        <v/>
      </c>
      <c r="L772" s="31" t="str">
        <f>IF(OR(B772="",C772=""),"",IFERROR(E772 / SUMIFS('📅 Resumen Diario'!$D$5:$D$504, '📅 Resumen Diario'!$B$5:$B$504, B772, '📅 Resumen Diario'!$C$5:$C$504, D772) * SUMIFS('📅 Resumen Diario'!$K$5:$K$504, '📅 Resumen Diario'!$B$5:$B$504, B772, '📅 Resumen Diario'!$C$5:$C$504, D772), 0))</f>
        <v/>
      </c>
      <c r="M772" s="31" t="str">
        <f t="shared" si="80"/>
        <v/>
      </c>
      <c r="N772" s="31" t="str">
        <f t="shared" si="81"/>
        <v/>
      </c>
      <c r="O772" s="31" t="str">
        <f>IF(OR(B772="",C772=""),"",K772-N772 + IFERROR(E772 / SUMIFS('📅 Resumen Diario'!$D$5:$D$504, '📅 Resumen Diario'!$B$5:$B$504, B772, '📅 Resumen Diario'!$C$5:$C$504, D772) * (SUMIFS('📋 Detalle Diario'!$E$5:$E$489, '📋 Detalle Diario'!$B$5:$B$489, B772, '📋 Detalle Diario'!$C$5:$C$489, D772) * 135 + SUMIFS('📋 Detalle Diario'!$I$5:$I$489, '📋 Detalle Diario'!$B$5:$B$489, B772, '📋 Detalle Diario'!$C$5:$C$489, D772) * 200), 0))</f>
        <v/>
      </c>
      <c r="P772" s="32" t="str">
        <f t="shared" si="82"/>
        <v/>
      </c>
      <c r="Q772" s="33" t="str">
        <f t="shared" si="83"/>
        <v/>
      </c>
    </row>
    <row r="773" spans="2:17" ht="18" customHeight="1" x14ac:dyDescent="0.3">
      <c r="B773" s="26"/>
      <c r="C773" s="28"/>
      <c r="D773" s="27"/>
      <c r="E773" s="29"/>
      <c r="F773" s="29"/>
      <c r="G773" s="29"/>
      <c r="H773" s="30" t="str">
        <f t="shared" si="77"/>
        <v/>
      </c>
      <c r="I773" s="31" t="str">
        <f>IF(OR(B773="",C773=""),"",IFERROR(E773*IF(E773="",0,VLOOKUP(C773,'📦 Precios Proforma'!$B$5:$D$104,IF(D773="DIA",2,3),FALSE)),0))</f>
        <v/>
      </c>
      <c r="J773" s="31" t="str">
        <f t="shared" si="78"/>
        <v/>
      </c>
      <c r="K773" s="31" t="str">
        <f t="shared" si="79"/>
        <v/>
      </c>
      <c r="L773" s="31" t="str">
        <f>IF(OR(B773="",C773=""),"",IFERROR(E773 / SUMIFS('📅 Resumen Diario'!$D$5:$D$504, '📅 Resumen Diario'!$B$5:$B$504, B773, '📅 Resumen Diario'!$C$5:$C$504, D773) * SUMIFS('📅 Resumen Diario'!$K$5:$K$504, '📅 Resumen Diario'!$B$5:$B$504, B773, '📅 Resumen Diario'!$C$5:$C$504, D773), 0))</f>
        <v/>
      </c>
      <c r="M773" s="31" t="str">
        <f t="shared" si="80"/>
        <v/>
      </c>
      <c r="N773" s="31" t="str">
        <f t="shared" si="81"/>
        <v/>
      </c>
      <c r="O773" s="31" t="str">
        <f>IF(OR(B773="",C773=""),"",K773-N773 + IFERROR(E773 / SUMIFS('📅 Resumen Diario'!$D$5:$D$504, '📅 Resumen Diario'!$B$5:$B$504, B773, '📅 Resumen Diario'!$C$5:$C$504, D773) * (SUMIFS('📋 Detalle Diario'!$E$5:$E$489, '📋 Detalle Diario'!$B$5:$B$489, B773, '📋 Detalle Diario'!$C$5:$C$489, D773) * 135 + SUMIFS('📋 Detalle Diario'!$I$5:$I$489, '📋 Detalle Diario'!$B$5:$B$489, B773, '📋 Detalle Diario'!$C$5:$C$489, D773) * 200), 0))</f>
        <v/>
      </c>
      <c r="P773" s="32" t="str">
        <f t="shared" si="82"/>
        <v/>
      </c>
      <c r="Q773" s="33" t="str">
        <f t="shared" si="83"/>
        <v/>
      </c>
    </row>
    <row r="774" spans="2:17" ht="18" customHeight="1" x14ac:dyDescent="0.3">
      <c r="B774" s="26"/>
      <c r="C774" s="17"/>
      <c r="D774" s="27"/>
      <c r="E774" s="18"/>
      <c r="F774" s="18"/>
      <c r="G774" s="18"/>
      <c r="H774" s="30" t="str">
        <f t="shared" si="77"/>
        <v/>
      </c>
      <c r="I774" s="31" t="str">
        <f>IF(OR(B774="",C774=""),"",IFERROR(E774*IF(E774="",0,VLOOKUP(C774,'📦 Precios Proforma'!$B$5:$D$104,IF(D774="DIA",2,3),FALSE)),0))</f>
        <v/>
      </c>
      <c r="J774" s="31" t="str">
        <f t="shared" si="78"/>
        <v/>
      </c>
      <c r="K774" s="31" t="str">
        <f t="shared" si="79"/>
        <v/>
      </c>
      <c r="L774" s="31" t="str">
        <f>IF(OR(B774="",C774=""),"",IFERROR(E774 / SUMIFS('📅 Resumen Diario'!$D$5:$D$504, '📅 Resumen Diario'!$B$5:$B$504, B774, '📅 Resumen Diario'!$C$5:$C$504, D774) * SUMIFS('📅 Resumen Diario'!$K$5:$K$504, '📅 Resumen Diario'!$B$5:$B$504, B774, '📅 Resumen Diario'!$C$5:$C$504, D774), 0))</f>
        <v/>
      </c>
      <c r="M774" s="31" t="str">
        <f t="shared" si="80"/>
        <v/>
      </c>
      <c r="N774" s="31" t="str">
        <f t="shared" si="81"/>
        <v/>
      </c>
      <c r="O774" s="31" t="str">
        <f>IF(OR(B774="",C774=""),"",K774-N774 + IFERROR(E774 / SUMIFS('📅 Resumen Diario'!$D$5:$D$504, '📅 Resumen Diario'!$B$5:$B$504, B774, '📅 Resumen Diario'!$C$5:$C$504, D774) * (SUMIFS('📋 Detalle Diario'!$E$5:$E$489, '📋 Detalle Diario'!$B$5:$B$489, B774, '📋 Detalle Diario'!$C$5:$C$489, D774) * 135 + SUMIFS('📋 Detalle Diario'!$I$5:$I$489, '📋 Detalle Diario'!$B$5:$B$489, B774, '📋 Detalle Diario'!$C$5:$C$489, D774) * 200), 0))</f>
        <v/>
      </c>
      <c r="P774" s="32" t="str">
        <f t="shared" si="82"/>
        <v/>
      </c>
      <c r="Q774" s="33" t="str">
        <f t="shared" si="83"/>
        <v/>
      </c>
    </row>
    <row r="775" spans="2:17" ht="18" customHeight="1" x14ac:dyDescent="0.3">
      <c r="B775" s="26"/>
      <c r="C775" s="28"/>
      <c r="D775" s="27"/>
      <c r="E775" s="29"/>
      <c r="F775" s="29"/>
      <c r="G775" s="29"/>
      <c r="H775" s="30" t="str">
        <f t="shared" ref="H775:H838" si="84">IF(OR(B775="",C775=""),"",F775+G775)</f>
        <v/>
      </c>
      <c r="I775" s="31" t="str">
        <f>IF(OR(B775="",C775=""),"",IFERROR(E775*IF(E775="",0,VLOOKUP(C775,'📦 Precios Proforma'!$B$5:$D$104,IF(D775="DIA",2,3),FALSE)),0))</f>
        <v/>
      </c>
      <c r="J775" s="31" t="str">
        <f t="shared" ref="J775:J838" si="85">IF(OR(B775="",C775=""),"",IF(D775="DIA",H775*1.01,H775*1.35))</f>
        <v/>
      </c>
      <c r="K775" s="31" t="str">
        <f t="shared" ref="K775:K838" si="86">IF(OR(B775="",C775=""),"",I775+J775)</f>
        <v/>
      </c>
      <c r="L775" s="31" t="str">
        <f>IF(OR(B775="",C775=""),"",IFERROR(E775 / SUMIFS('📅 Resumen Diario'!$D$5:$D$504, '📅 Resumen Diario'!$B$5:$B$504, B775, '📅 Resumen Diario'!$C$5:$C$504, D775) * SUMIFS('📅 Resumen Diario'!$K$5:$K$504, '📅 Resumen Diario'!$B$5:$B$504, B775, '📅 Resumen Diario'!$C$5:$C$504, D775), 0))</f>
        <v/>
      </c>
      <c r="M775" s="31" t="str">
        <f t="shared" ref="M775:M838" si="87">IF(OR(B775="",C775=""),"",H775*0.09)</f>
        <v/>
      </c>
      <c r="N775" s="31" t="str">
        <f t="shared" ref="N775:N838" si="88">IF(OR(B775="",C775=""),"",L775+M775)</f>
        <v/>
      </c>
      <c r="O775" s="31" t="str">
        <f>IF(OR(B775="",C775=""),"",K775-N775 + IFERROR(E775 / SUMIFS('📅 Resumen Diario'!$D$5:$D$504, '📅 Resumen Diario'!$B$5:$B$504, B775, '📅 Resumen Diario'!$C$5:$C$504, D775) * (SUMIFS('📋 Detalle Diario'!$E$5:$E$489, '📋 Detalle Diario'!$B$5:$B$489, B775, '📋 Detalle Diario'!$C$5:$C$489, D775) * 135 + SUMIFS('📋 Detalle Diario'!$I$5:$I$489, '📋 Detalle Diario'!$B$5:$B$489, B775, '📋 Detalle Diario'!$C$5:$C$489, D775) * 200), 0))</f>
        <v/>
      </c>
      <c r="P775" s="32" t="str">
        <f t="shared" ref="P775:P838" si="89">IF(OR(B775="",C775=""),"",IF(K775=0, 0, O775/K775))</f>
        <v/>
      </c>
      <c r="Q775" s="33" t="str">
        <f t="shared" ref="Q775:Q838" si="90">IF(B775="","",IF(ISNUMBER(B775),YEAR(B775)&amp;"-"&amp;IF(MONTH(B775)&lt;10,"0","")&amp;MONTH(B775),LEFT(B775,7)))</f>
        <v/>
      </c>
    </row>
    <row r="776" spans="2:17" ht="18" customHeight="1" x14ac:dyDescent="0.3">
      <c r="B776" s="26"/>
      <c r="C776" s="17"/>
      <c r="D776" s="27"/>
      <c r="E776" s="18"/>
      <c r="F776" s="18"/>
      <c r="G776" s="18"/>
      <c r="H776" s="30" t="str">
        <f t="shared" si="84"/>
        <v/>
      </c>
      <c r="I776" s="31" t="str">
        <f>IF(OR(B776="",C776=""),"",IFERROR(E776*IF(E776="",0,VLOOKUP(C776,'📦 Precios Proforma'!$B$5:$D$104,IF(D776="DIA",2,3),FALSE)),0))</f>
        <v/>
      </c>
      <c r="J776" s="31" t="str">
        <f t="shared" si="85"/>
        <v/>
      </c>
      <c r="K776" s="31" t="str">
        <f t="shared" si="86"/>
        <v/>
      </c>
      <c r="L776" s="31" t="str">
        <f>IF(OR(B776="",C776=""),"",IFERROR(E776 / SUMIFS('📅 Resumen Diario'!$D$5:$D$504, '📅 Resumen Diario'!$B$5:$B$504, B776, '📅 Resumen Diario'!$C$5:$C$504, D776) * SUMIFS('📅 Resumen Diario'!$K$5:$K$504, '📅 Resumen Diario'!$B$5:$B$504, B776, '📅 Resumen Diario'!$C$5:$C$504, D776), 0))</f>
        <v/>
      </c>
      <c r="M776" s="31" t="str">
        <f t="shared" si="87"/>
        <v/>
      </c>
      <c r="N776" s="31" t="str">
        <f t="shared" si="88"/>
        <v/>
      </c>
      <c r="O776" s="31" t="str">
        <f>IF(OR(B776="",C776=""),"",K776-N776 + IFERROR(E776 / SUMIFS('📅 Resumen Diario'!$D$5:$D$504, '📅 Resumen Diario'!$B$5:$B$504, B776, '📅 Resumen Diario'!$C$5:$C$504, D776) * (SUMIFS('📋 Detalle Diario'!$E$5:$E$489, '📋 Detalle Diario'!$B$5:$B$489, B776, '📋 Detalle Diario'!$C$5:$C$489, D776) * 135 + SUMIFS('📋 Detalle Diario'!$I$5:$I$489, '📋 Detalle Diario'!$B$5:$B$489, B776, '📋 Detalle Diario'!$C$5:$C$489, D776) * 200), 0))</f>
        <v/>
      </c>
      <c r="P776" s="32" t="str">
        <f t="shared" si="89"/>
        <v/>
      </c>
      <c r="Q776" s="33" t="str">
        <f t="shared" si="90"/>
        <v/>
      </c>
    </row>
    <row r="777" spans="2:17" ht="18" customHeight="1" x14ac:dyDescent="0.3">
      <c r="B777" s="26"/>
      <c r="C777" s="28"/>
      <c r="D777" s="27"/>
      <c r="E777" s="29"/>
      <c r="F777" s="29"/>
      <c r="G777" s="29"/>
      <c r="H777" s="30" t="str">
        <f t="shared" si="84"/>
        <v/>
      </c>
      <c r="I777" s="31" t="str">
        <f>IF(OR(B777="",C777=""),"",IFERROR(E777*IF(E777="",0,VLOOKUP(C777,'📦 Precios Proforma'!$B$5:$D$104,IF(D777="DIA",2,3),FALSE)),0))</f>
        <v/>
      </c>
      <c r="J777" s="31" t="str">
        <f t="shared" si="85"/>
        <v/>
      </c>
      <c r="K777" s="31" t="str">
        <f t="shared" si="86"/>
        <v/>
      </c>
      <c r="L777" s="31" t="str">
        <f>IF(OR(B777="",C777=""),"",IFERROR(E777 / SUMIFS('📅 Resumen Diario'!$D$5:$D$504, '📅 Resumen Diario'!$B$5:$B$504, B777, '📅 Resumen Diario'!$C$5:$C$504, D777) * SUMIFS('📅 Resumen Diario'!$K$5:$K$504, '📅 Resumen Diario'!$B$5:$B$504, B777, '📅 Resumen Diario'!$C$5:$C$504, D777), 0))</f>
        <v/>
      </c>
      <c r="M777" s="31" t="str">
        <f t="shared" si="87"/>
        <v/>
      </c>
      <c r="N777" s="31" t="str">
        <f t="shared" si="88"/>
        <v/>
      </c>
      <c r="O777" s="31" t="str">
        <f>IF(OR(B777="",C777=""),"",K777-N777 + IFERROR(E777 / SUMIFS('📅 Resumen Diario'!$D$5:$D$504, '📅 Resumen Diario'!$B$5:$B$504, B777, '📅 Resumen Diario'!$C$5:$C$504, D777) * (SUMIFS('📋 Detalle Diario'!$E$5:$E$489, '📋 Detalle Diario'!$B$5:$B$489, B777, '📋 Detalle Diario'!$C$5:$C$489, D777) * 135 + SUMIFS('📋 Detalle Diario'!$I$5:$I$489, '📋 Detalle Diario'!$B$5:$B$489, B777, '📋 Detalle Diario'!$C$5:$C$489, D777) * 200), 0))</f>
        <v/>
      </c>
      <c r="P777" s="32" t="str">
        <f t="shared" si="89"/>
        <v/>
      </c>
      <c r="Q777" s="33" t="str">
        <f t="shared" si="90"/>
        <v/>
      </c>
    </row>
    <row r="778" spans="2:17" ht="18" customHeight="1" x14ac:dyDescent="0.3">
      <c r="B778" s="26"/>
      <c r="C778" s="17"/>
      <c r="D778" s="27"/>
      <c r="E778" s="18"/>
      <c r="F778" s="18"/>
      <c r="G778" s="18"/>
      <c r="H778" s="30" t="str">
        <f t="shared" si="84"/>
        <v/>
      </c>
      <c r="I778" s="31" t="str">
        <f>IF(OR(B778="",C778=""),"",IFERROR(E778*IF(E778="",0,VLOOKUP(C778,'📦 Precios Proforma'!$B$5:$D$104,IF(D778="DIA",2,3),FALSE)),0))</f>
        <v/>
      </c>
      <c r="J778" s="31" t="str">
        <f t="shared" si="85"/>
        <v/>
      </c>
      <c r="K778" s="31" t="str">
        <f t="shared" si="86"/>
        <v/>
      </c>
      <c r="L778" s="31" t="str">
        <f>IF(OR(B778="",C778=""),"",IFERROR(E778 / SUMIFS('📅 Resumen Diario'!$D$5:$D$504, '📅 Resumen Diario'!$B$5:$B$504, B778, '📅 Resumen Diario'!$C$5:$C$504, D778) * SUMIFS('📅 Resumen Diario'!$K$5:$K$504, '📅 Resumen Diario'!$B$5:$B$504, B778, '📅 Resumen Diario'!$C$5:$C$504, D778), 0))</f>
        <v/>
      </c>
      <c r="M778" s="31" t="str">
        <f t="shared" si="87"/>
        <v/>
      </c>
      <c r="N778" s="31" t="str">
        <f t="shared" si="88"/>
        <v/>
      </c>
      <c r="O778" s="31" t="str">
        <f>IF(OR(B778="",C778=""),"",K778-N778 + IFERROR(E778 / SUMIFS('📅 Resumen Diario'!$D$5:$D$504, '📅 Resumen Diario'!$B$5:$B$504, B778, '📅 Resumen Diario'!$C$5:$C$504, D778) * (SUMIFS('📋 Detalle Diario'!$E$5:$E$489, '📋 Detalle Diario'!$B$5:$B$489, B778, '📋 Detalle Diario'!$C$5:$C$489, D778) * 135 + SUMIFS('📋 Detalle Diario'!$I$5:$I$489, '📋 Detalle Diario'!$B$5:$B$489, B778, '📋 Detalle Diario'!$C$5:$C$489, D778) * 200), 0))</f>
        <v/>
      </c>
      <c r="P778" s="32" t="str">
        <f t="shared" si="89"/>
        <v/>
      </c>
      <c r="Q778" s="33" t="str">
        <f t="shared" si="90"/>
        <v/>
      </c>
    </row>
    <row r="779" spans="2:17" ht="18" customHeight="1" x14ac:dyDescent="0.3">
      <c r="B779" s="26"/>
      <c r="C779" s="28"/>
      <c r="D779" s="27"/>
      <c r="E779" s="29"/>
      <c r="F779" s="29"/>
      <c r="G779" s="29"/>
      <c r="H779" s="30" t="str">
        <f t="shared" si="84"/>
        <v/>
      </c>
      <c r="I779" s="31" t="str">
        <f>IF(OR(B779="",C779=""),"",IFERROR(E779*IF(E779="",0,VLOOKUP(C779,'📦 Precios Proforma'!$B$5:$D$104,IF(D779="DIA",2,3),FALSE)),0))</f>
        <v/>
      </c>
      <c r="J779" s="31" t="str">
        <f t="shared" si="85"/>
        <v/>
      </c>
      <c r="K779" s="31" t="str">
        <f t="shared" si="86"/>
        <v/>
      </c>
      <c r="L779" s="31" t="str">
        <f>IF(OR(B779="",C779=""),"",IFERROR(E779 / SUMIFS('📅 Resumen Diario'!$D$5:$D$504, '📅 Resumen Diario'!$B$5:$B$504, B779, '📅 Resumen Diario'!$C$5:$C$504, D779) * SUMIFS('📅 Resumen Diario'!$K$5:$K$504, '📅 Resumen Diario'!$B$5:$B$504, B779, '📅 Resumen Diario'!$C$5:$C$504, D779), 0))</f>
        <v/>
      </c>
      <c r="M779" s="31" t="str">
        <f t="shared" si="87"/>
        <v/>
      </c>
      <c r="N779" s="31" t="str">
        <f t="shared" si="88"/>
        <v/>
      </c>
      <c r="O779" s="31" t="str">
        <f>IF(OR(B779="",C779=""),"",K779-N779 + IFERROR(E779 / SUMIFS('📅 Resumen Diario'!$D$5:$D$504, '📅 Resumen Diario'!$B$5:$B$504, B779, '📅 Resumen Diario'!$C$5:$C$504, D779) * (SUMIFS('📋 Detalle Diario'!$E$5:$E$489, '📋 Detalle Diario'!$B$5:$B$489, B779, '📋 Detalle Diario'!$C$5:$C$489, D779) * 135 + SUMIFS('📋 Detalle Diario'!$I$5:$I$489, '📋 Detalle Diario'!$B$5:$B$489, B779, '📋 Detalle Diario'!$C$5:$C$489, D779) * 200), 0))</f>
        <v/>
      </c>
      <c r="P779" s="32" t="str">
        <f t="shared" si="89"/>
        <v/>
      </c>
      <c r="Q779" s="33" t="str">
        <f t="shared" si="90"/>
        <v/>
      </c>
    </row>
    <row r="780" spans="2:17" ht="18" customHeight="1" x14ac:dyDescent="0.3">
      <c r="B780" s="26"/>
      <c r="C780" s="17"/>
      <c r="D780" s="27"/>
      <c r="E780" s="18"/>
      <c r="F780" s="18"/>
      <c r="G780" s="18"/>
      <c r="H780" s="30" t="str">
        <f t="shared" si="84"/>
        <v/>
      </c>
      <c r="I780" s="31" t="str">
        <f>IF(OR(B780="",C780=""),"",IFERROR(E780*IF(E780="",0,VLOOKUP(C780,'📦 Precios Proforma'!$B$5:$D$104,IF(D780="DIA",2,3),FALSE)),0))</f>
        <v/>
      </c>
      <c r="J780" s="31" t="str">
        <f t="shared" si="85"/>
        <v/>
      </c>
      <c r="K780" s="31" t="str">
        <f t="shared" si="86"/>
        <v/>
      </c>
      <c r="L780" s="31" t="str">
        <f>IF(OR(B780="",C780=""),"",IFERROR(E780 / SUMIFS('📅 Resumen Diario'!$D$5:$D$504, '📅 Resumen Diario'!$B$5:$B$504, B780, '📅 Resumen Diario'!$C$5:$C$504, D780) * SUMIFS('📅 Resumen Diario'!$K$5:$K$504, '📅 Resumen Diario'!$B$5:$B$504, B780, '📅 Resumen Diario'!$C$5:$C$504, D780), 0))</f>
        <v/>
      </c>
      <c r="M780" s="31" t="str">
        <f t="shared" si="87"/>
        <v/>
      </c>
      <c r="N780" s="31" t="str">
        <f t="shared" si="88"/>
        <v/>
      </c>
      <c r="O780" s="31" t="str">
        <f>IF(OR(B780="",C780=""),"",K780-N780 + IFERROR(E780 / SUMIFS('📅 Resumen Diario'!$D$5:$D$504, '📅 Resumen Diario'!$B$5:$B$504, B780, '📅 Resumen Diario'!$C$5:$C$504, D780) * (SUMIFS('📋 Detalle Diario'!$E$5:$E$489, '📋 Detalle Diario'!$B$5:$B$489, B780, '📋 Detalle Diario'!$C$5:$C$489, D780) * 135 + SUMIFS('📋 Detalle Diario'!$I$5:$I$489, '📋 Detalle Diario'!$B$5:$B$489, B780, '📋 Detalle Diario'!$C$5:$C$489, D780) * 200), 0))</f>
        <v/>
      </c>
      <c r="P780" s="32" t="str">
        <f t="shared" si="89"/>
        <v/>
      </c>
      <c r="Q780" s="33" t="str">
        <f t="shared" si="90"/>
        <v/>
      </c>
    </row>
    <row r="781" spans="2:17" ht="18" customHeight="1" x14ac:dyDescent="0.3">
      <c r="B781" s="26"/>
      <c r="C781" s="28"/>
      <c r="D781" s="27"/>
      <c r="E781" s="29"/>
      <c r="F781" s="29"/>
      <c r="G781" s="29"/>
      <c r="H781" s="30" t="str">
        <f t="shared" si="84"/>
        <v/>
      </c>
      <c r="I781" s="31" t="str">
        <f>IF(OR(B781="",C781=""),"",IFERROR(E781*IF(E781="",0,VLOOKUP(C781,'📦 Precios Proforma'!$B$5:$D$104,IF(D781="DIA",2,3),FALSE)),0))</f>
        <v/>
      </c>
      <c r="J781" s="31" t="str">
        <f t="shared" si="85"/>
        <v/>
      </c>
      <c r="K781" s="31" t="str">
        <f t="shared" si="86"/>
        <v/>
      </c>
      <c r="L781" s="31" t="str">
        <f>IF(OR(B781="",C781=""),"",IFERROR(E781 / SUMIFS('📅 Resumen Diario'!$D$5:$D$504, '📅 Resumen Diario'!$B$5:$B$504, B781, '📅 Resumen Diario'!$C$5:$C$504, D781) * SUMIFS('📅 Resumen Diario'!$K$5:$K$504, '📅 Resumen Diario'!$B$5:$B$504, B781, '📅 Resumen Diario'!$C$5:$C$504, D781), 0))</f>
        <v/>
      </c>
      <c r="M781" s="31" t="str">
        <f t="shared" si="87"/>
        <v/>
      </c>
      <c r="N781" s="31" t="str">
        <f t="shared" si="88"/>
        <v/>
      </c>
      <c r="O781" s="31" t="str">
        <f>IF(OR(B781="",C781=""),"",K781-N781 + IFERROR(E781 / SUMIFS('📅 Resumen Diario'!$D$5:$D$504, '📅 Resumen Diario'!$B$5:$B$504, B781, '📅 Resumen Diario'!$C$5:$C$504, D781) * (SUMIFS('📋 Detalle Diario'!$E$5:$E$489, '📋 Detalle Diario'!$B$5:$B$489, B781, '📋 Detalle Diario'!$C$5:$C$489, D781) * 135 + SUMIFS('📋 Detalle Diario'!$I$5:$I$489, '📋 Detalle Diario'!$B$5:$B$489, B781, '📋 Detalle Diario'!$C$5:$C$489, D781) * 200), 0))</f>
        <v/>
      </c>
      <c r="P781" s="32" t="str">
        <f t="shared" si="89"/>
        <v/>
      </c>
      <c r="Q781" s="33" t="str">
        <f t="shared" si="90"/>
        <v/>
      </c>
    </row>
    <row r="782" spans="2:17" ht="18" customHeight="1" x14ac:dyDescent="0.3">
      <c r="B782" s="26"/>
      <c r="C782" s="17"/>
      <c r="D782" s="27"/>
      <c r="E782" s="18"/>
      <c r="F782" s="18"/>
      <c r="G782" s="18"/>
      <c r="H782" s="30" t="str">
        <f t="shared" si="84"/>
        <v/>
      </c>
      <c r="I782" s="31" t="str">
        <f>IF(OR(B782="",C782=""),"",IFERROR(E782*IF(E782="",0,VLOOKUP(C782,'📦 Precios Proforma'!$B$5:$D$104,IF(D782="DIA",2,3),FALSE)),0))</f>
        <v/>
      </c>
      <c r="J782" s="31" t="str">
        <f t="shared" si="85"/>
        <v/>
      </c>
      <c r="K782" s="31" t="str">
        <f t="shared" si="86"/>
        <v/>
      </c>
      <c r="L782" s="31" t="str">
        <f>IF(OR(B782="",C782=""),"",IFERROR(E782 / SUMIFS('📅 Resumen Diario'!$D$5:$D$504, '📅 Resumen Diario'!$B$5:$B$504, B782, '📅 Resumen Diario'!$C$5:$C$504, D782) * SUMIFS('📅 Resumen Diario'!$K$5:$K$504, '📅 Resumen Diario'!$B$5:$B$504, B782, '📅 Resumen Diario'!$C$5:$C$504, D782), 0))</f>
        <v/>
      </c>
      <c r="M782" s="31" t="str">
        <f t="shared" si="87"/>
        <v/>
      </c>
      <c r="N782" s="31" t="str">
        <f t="shared" si="88"/>
        <v/>
      </c>
      <c r="O782" s="31" t="str">
        <f>IF(OR(B782="",C782=""),"",K782-N782 + IFERROR(E782 / SUMIFS('📅 Resumen Diario'!$D$5:$D$504, '📅 Resumen Diario'!$B$5:$B$504, B782, '📅 Resumen Diario'!$C$5:$C$504, D782) * (SUMIFS('📋 Detalle Diario'!$E$5:$E$489, '📋 Detalle Diario'!$B$5:$B$489, B782, '📋 Detalle Diario'!$C$5:$C$489, D782) * 135 + SUMIFS('📋 Detalle Diario'!$I$5:$I$489, '📋 Detalle Diario'!$B$5:$B$489, B782, '📋 Detalle Diario'!$C$5:$C$489, D782) * 200), 0))</f>
        <v/>
      </c>
      <c r="P782" s="32" t="str">
        <f t="shared" si="89"/>
        <v/>
      </c>
      <c r="Q782" s="33" t="str">
        <f t="shared" si="90"/>
        <v/>
      </c>
    </row>
    <row r="783" spans="2:17" ht="18" customHeight="1" x14ac:dyDescent="0.3">
      <c r="B783" s="26"/>
      <c r="C783" s="28"/>
      <c r="D783" s="27"/>
      <c r="E783" s="29"/>
      <c r="F783" s="29"/>
      <c r="G783" s="29"/>
      <c r="H783" s="30" t="str">
        <f t="shared" si="84"/>
        <v/>
      </c>
      <c r="I783" s="31" t="str">
        <f>IF(OR(B783="",C783=""),"",IFERROR(E783*IF(E783="",0,VLOOKUP(C783,'📦 Precios Proforma'!$B$5:$D$104,IF(D783="DIA",2,3),FALSE)),0))</f>
        <v/>
      </c>
      <c r="J783" s="31" t="str">
        <f t="shared" si="85"/>
        <v/>
      </c>
      <c r="K783" s="31" t="str">
        <f t="shared" si="86"/>
        <v/>
      </c>
      <c r="L783" s="31" t="str">
        <f>IF(OR(B783="",C783=""),"",IFERROR(E783 / SUMIFS('📅 Resumen Diario'!$D$5:$D$504, '📅 Resumen Diario'!$B$5:$B$504, B783, '📅 Resumen Diario'!$C$5:$C$504, D783) * SUMIFS('📅 Resumen Diario'!$K$5:$K$504, '📅 Resumen Diario'!$B$5:$B$504, B783, '📅 Resumen Diario'!$C$5:$C$504, D783), 0))</f>
        <v/>
      </c>
      <c r="M783" s="31" t="str">
        <f t="shared" si="87"/>
        <v/>
      </c>
      <c r="N783" s="31" t="str">
        <f t="shared" si="88"/>
        <v/>
      </c>
      <c r="O783" s="31" t="str">
        <f>IF(OR(B783="",C783=""),"",K783-N783 + IFERROR(E783 / SUMIFS('📅 Resumen Diario'!$D$5:$D$504, '📅 Resumen Diario'!$B$5:$B$504, B783, '📅 Resumen Diario'!$C$5:$C$504, D783) * (SUMIFS('📋 Detalle Diario'!$E$5:$E$489, '📋 Detalle Diario'!$B$5:$B$489, B783, '📋 Detalle Diario'!$C$5:$C$489, D783) * 135 + SUMIFS('📋 Detalle Diario'!$I$5:$I$489, '📋 Detalle Diario'!$B$5:$B$489, B783, '📋 Detalle Diario'!$C$5:$C$489, D783) * 200), 0))</f>
        <v/>
      </c>
      <c r="P783" s="32" t="str">
        <f t="shared" si="89"/>
        <v/>
      </c>
      <c r="Q783" s="33" t="str">
        <f t="shared" si="90"/>
        <v/>
      </c>
    </row>
    <row r="784" spans="2:17" ht="18" customHeight="1" x14ac:dyDescent="0.3">
      <c r="B784" s="26"/>
      <c r="C784" s="17"/>
      <c r="D784" s="27"/>
      <c r="E784" s="18"/>
      <c r="F784" s="18"/>
      <c r="G784" s="18"/>
      <c r="H784" s="30" t="str">
        <f t="shared" si="84"/>
        <v/>
      </c>
      <c r="I784" s="31" t="str">
        <f>IF(OR(B784="",C784=""),"",IFERROR(E784*IF(E784="",0,VLOOKUP(C784,'📦 Precios Proforma'!$B$5:$D$104,IF(D784="DIA",2,3),FALSE)),0))</f>
        <v/>
      </c>
      <c r="J784" s="31" t="str">
        <f t="shared" si="85"/>
        <v/>
      </c>
      <c r="K784" s="31" t="str">
        <f t="shared" si="86"/>
        <v/>
      </c>
      <c r="L784" s="31" t="str">
        <f>IF(OR(B784="",C784=""),"",IFERROR(E784 / SUMIFS('📅 Resumen Diario'!$D$5:$D$504, '📅 Resumen Diario'!$B$5:$B$504, B784, '📅 Resumen Diario'!$C$5:$C$504, D784) * SUMIFS('📅 Resumen Diario'!$K$5:$K$504, '📅 Resumen Diario'!$B$5:$B$504, B784, '📅 Resumen Diario'!$C$5:$C$504, D784), 0))</f>
        <v/>
      </c>
      <c r="M784" s="31" t="str">
        <f t="shared" si="87"/>
        <v/>
      </c>
      <c r="N784" s="31" t="str">
        <f t="shared" si="88"/>
        <v/>
      </c>
      <c r="O784" s="31" t="str">
        <f>IF(OR(B784="",C784=""),"",K784-N784 + IFERROR(E784 / SUMIFS('📅 Resumen Diario'!$D$5:$D$504, '📅 Resumen Diario'!$B$5:$B$504, B784, '📅 Resumen Diario'!$C$5:$C$504, D784) * (SUMIFS('📋 Detalle Diario'!$E$5:$E$489, '📋 Detalle Diario'!$B$5:$B$489, B784, '📋 Detalle Diario'!$C$5:$C$489, D784) * 135 + SUMIFS('📋 Detalle Diario'!$I$5:$I$489, '📋 Detalle Diario'!$B$5:$B$489, B784, '📋 Detalle Diario'!$C$5:$C$489, D784) * 200), 0))</f>
        <v/>
      </c>
      <c r="P784" s="32" t="str">
        <f t="shared" si="89"/>
        <v/>
      </c>
      <c r="Q784" s="33" t="str">
        <f t="shared" si="90"/>
        <v/>
      </c>
    </row>
    <row r="785" spans="2:17" ht="18" customHeight="1" x14ac:dyDescent="0.3">
      <c r="B785" s="26"/>
      <c r="C785" s="28"/>
      <c r="D785" s="27"/>
      <c r="E785" s="29"/>
      <c r="F785" s="29"/>
      <c r="G785" s="29"/>
      <c r="H785" s="30" t="str">
        <f t="shared" si="84"/>
        <v/>
      </c>
      <c r="I785" s="31" t="str">
        <f>IF(OR(B785="",C785=""),"",IFERROR(E785*IF(E785="",0,VLOOKUP(C785,'📦 Precios Proforma'!$B$5:$D$104,IF(D785="DIA",2,3),FALSE)),0))</f>
        <v/>
      </c>
      <c r="J785" s="31" t="str">
        <f t="shared" si="85"/>
        <v/>
      </c>
      <c r="K785" s="31" t="str">
        <f t="shared" si="86"/>
        <v/>
      </c>
      <c r="L785" s="31" t="str">
        <f>IF(OR(B785="",C785=""),"",IFERROR(E785 / SUMIFS('📅 Resumen Diario'!$D$5:$D$504, '📅 Resumen Diario'!$B$5:$B$504, B785, '📅 Resumen Diario'!$C$5:$C$504, D785) * SUMIFS('📅 Resumen Diario'!$K$5:$K$504, '📅 Resumen Diario'!$B$5:$B$504, B785, '📅 Resumen Diario'!$C$5:$C$504, D785), 0))</f>
        <v/>
      </c>
      <c r="M785" s="31" t="str">
        <f t="shared" si="87"/>
        <v/>
      </c>
      <c r="N785" s="31" t="str">
        <f t="shared" si="88"/>
        <v/>
      </c>
      <c r="O785" s="31" t="str">
        <f>IF(OR(B785="",C785=""),"",K785-N785 + IFERROR(E785 / SUMIFS('📅 Resumen Diario'!$D$5:$D$504, '📅 Resumen Diario'!$B$5:$B$504, B785, '📅 Resumen Diario'!$C$5:$C$504, D785) * (SUMIFS('📋 Detalle Diario'!$E$5:$E$489, '📋 Detalle Diario'!$B$5:$B$489, B785, '📋 Detalle Diario'!$C$5:$C$489, D785) * 135 + SUMIFS('📋 Detalle Diario'!$I$5:$I$489, '📋 Detalle Diario'!$B$5:$B$489, B785, '📋 Detalle Diario'!$C$5:$C$489, D785) * 200), 0))</f>
        <v/>
      </c>
      <c r="P785" s="32" t="str">
        <f t="shared" si="89"/>
        <v/>
      </c>
      <c r="Q785" s="33" t="str">
        <f t="shared" si="90"/>
        <v/>
      </c>
    </row>
    <row r="786" spans="2:17" ht="18" customHeight="1" x14ac:dyDescent="0.3">
      <c r="B786" s="26"/>
      <c r="C786" s="17"/>
      <c r="D786" s="27"/>
      <c r="E786" s="18"/>
      <c r="F786" s="18"/>
      <c r="G786" s="18"/>
      <c r="H786" s="30" t="str">
        <f t="shared" si="84"/>
        <v/>
      </c>
      <c r="I786" s="31" t="str">
        <f>IF(OR(B786="",C786=""),"",IFERROR(E786*IF(E786="",0,VLOOKUP(C786,'📦 Precios Proforma'!$B$5:$D$104,IF(D786="DIA",2,3),FALSE)),0))</f>
        <v/>
      </c>
      <c r="J786" s="31" t="str">
        <f t="shared" si="85"/>
        <v/>
      </c>
      <c r="K786" s="31" t="str">
        <f t="shared" si="86"/>
        <v/>
      </c>
      <c r="L786" s="31" t="str">
        <f>IF(OR(B786="",C786=""),"",IFERROR(E786 / SUMIFS('📅 Resumen Diario'!$D$5:$D$504, '📅 Resumen Diario'!$B$5:$B$504, B786, '📅 Resumen Diario'!$C$5:$C$504, D786) * SUMIFS('📅 Resumen Diario'!$K$5:$K$504, '📅 Resumen Diario'!$B$5:$B$504, B786, '📅 Resumen Diario'!$C$5:$C$504, D786), 0))</f>
        <v/>
      </c>
      <c r="M786" s="31" t="str">
        <f t="shared" si="87"/>
        <v/>
      </c>
      <c r="N786" s="31" t="str">
        <f t="shared" si="88"/>
        <v/>
      </c>
      <c r="O786" s="31" t="str">
        <f>IF(OR(B786="",C786=""),"",K786-N786 + IFERROR(E786 / SUMIFS('📅 Resumen Diario'!$D$5:$D$504, '📅 Resumen Diario'!$B$5:$B$504, B786, '📅 Resumen Diario'!$C$5:$C$504, D786) * (SUMIFS('📋 Detalle Diario'!$E$5:$E$489, '📋 Detalle Diario'!$B$5:$B$489, B786, '📋 Detalle Diario'!$C$5:$C$489, D786) * 135 + SUMIFS('📋 Detalle Diario'!$I$5:$I$489, '📋 Detalle Diario'!$B$5:$B$489, B786, '📋 Detalle Diario'!$C$5:$C$489, D786) * 200), 0))</f>
        <v/>
      </c>
      <c r="P786" s="32" t="str">
        <f t="shared" si="89"/>
        <v/>
      </c>
      <c r="Q786" s="33" t="str">
        <f t="shared" si="90"/>
        <v/>
      </c>
    </row>
    <row r="787" spans="2:17" ht="18" customHeight="1" x14ac:dyDescent="0.3">
      <c r="B787" s="26"/>
      <c r="C787" s="28"/>
      <c r="D787" s="27"/>
      <c r="E787" s="29"/>
      <c r="F787" s="29"/>
      <c r="G787" s="29"/>
      <c r="H787" s="30" t="str">
        <f t="shared" si="84"/>
        <v/>
      </c>
      <c r="I787" s="31" t="str">
        <f>IF(OR(B787="",C787=""),"",IFERROR(E787*IF(E787="",0,VLOOKUP(C787,'📦 Precios Proforma'!$B$5:$D$104,IF(D787="DIA",2,3),FALSE)),0))</f>
        <v/>
      </c>
      <c r="J787" s="31" t="str">
        <f t="shared" si="85"/>
        <v/>
      </c>
      <c r="K787" s="31" t="str">
        <f t="shared" si="86"/>
        <v/>
      </c>
      <c r="L787" s="31" t="str">
        <f>IF(OR(B787="",C787=""),"",IFERROR(E787 / SUMIFS('📅 Resumen Diario'!$D$5:$D$504, '📅 Resumen Diario'!$B$5:$B$504, B787, '📅 Resumen Diario'!$C$5:$C$504, D787) * SUMIFS('📅 Resumen Diario'!$K$5:$K$504, '📅 Resumen Diario'!$B$5:$B$504, B787, '📅 Resumen Diario'!$C$5:$C$504, D787), 0))</f>
        <v/>
      </c>
      <c r="M787" s="31" t="str">
        <f t="shared" si="87"/>
        <v/>
      </c>
      <c r="N787" s="31" t="str">
        <f t="shared" si="88"/>
        <v/>
      </c>
      <c r="O787" s="31" t="str">
        <f>IF(OR(B787="",C787=""),"",K787-N787 + IFERROR(E787 / SUMIFS('📅 Resumen Diario'!$D$5:$D$504, '📅 Resumen Diario'!$B$5:$B$504, B787, '📅 Resumen Diario'!$C$5:$C$504, D787) * (SUMIFS('📋 Detalle Diario'!$E$5:$E$489, '📋 Detalle Diario'!$B$5:$B$489, B787, '📋 Detalle Diario'!$C$5:$C$489, D787) * 135 + SUMIFS('📋 Detalle Diario'!$I$5:$I$489, '📋 Detalle Diario'!$B$5:$B$489, B787, '📋 Detalle Diario'!$C$5:$C$489, D787) * 200), 0))</f>
        <v/>
      </c>
      <c r="P787" s="32" t="str">
        <f t="shared" si="89"/>
        <v/>
      </c>
      <c r="Q787" s="33" t="str">
        <f t="shared" si="90"/>
        <v/>
      </c>
    </row>
    <row r="788" spans="2:17" ht="18" customHeight="1" x14ac:dyDescent="0.3">
      <c r="B788" s="26"/>
      <c r="C788" s="17"/>
      <c r="D788" s="27"/>
      <c r="E788" s="18"/>
      <c r="F788" s="18"/>
      <c r="G788" s="18"/>
      <c r="H788" s="30" t="str">
        <f t="shared" si="84"/>
        <v/>
      </c>
      <c r="I788" s="31" t="str">
        <f>IF(OR(B788="",C788=""),"",IFERROR(E788*IF(E788="",0,VLOOKUP(C788,'📦 Precios Proforma'!$B$5:$D$104,IF(D788="DIA",2,3),FALSE)),0))</f>
        <v/>
      </c>
      <c r="J788" s="31" t="str">
        <f t="shared" si="85"/>
        <v/>
      </c>
      <c r="K788" s="31" t="str">
        <f t="shared" si="86"/>
        <v/>
      </c>
      <c r="L788" s="31" t="str">
        <f>IF(OR(B788="",C788=""),"",IFERROR(E788 / SUMIFS('📅 Resumen Diario'!$D$5:$D$504, '📅 Resumen Diario'!$B$5:$B$504, B788, '📅 Resumen Diario'!$C$5:$C$504, D788) * SUMIFS('📅 Resumen Diario'!$K$5:$K$504, '📅 Resumen Diario'!$B$5:$B$504, B788, '📅 Resumen Diario'!$C$5:$C$504, D788), 0))</f>
        <v/>
      </c>
      <c r="M788" s="31" t="str">
        <f t="shared" si="87"/>
        <v/>
      </c>
      <c r="N788" s="31" t="str">
        <f t="shared" si="88"/>
        <v/>
      </c>
      <c r="O788" s="31" t="str">
        <f>IF(OR(B788="",C788=""),"",K788-N788 + IFERROR(E788 / SUMIFS('📅 Resumen Diario'!$D$5:$D$504, '📅 Resumen Diario'!$B$5:$B$504, B788, '📅 Resumen Diario'!$C$5:$C$504, D788) * (SUMIFS('📋 Detalle Diario'!$E$5:$E$489, '📋 Detalle Diario'!$B$5:$B$489, B788, '📋 Detalle Diario'!$C$5:$C$489, D788) * 135 + SUMIFS('📋 Detalle Diario'!$I$5:$I$489, '📋 Detalle Diario'!$B$5:$B$489, B788, '📋 Detalle Diario'!$C$5:$C$489, D788) * 200), 0))</f>
        <v/>
      </c>
      <c r="P788" s="32" t="str">
        <f t="shared" si="89"/>
        <v/>
      </c>
      <c r="Q788" s="33" t="str">
        <f t="shared" si="90"/>
        <v/>
      </c>
    </row>
    <row r="789" spans="2:17" ht="18" customHeight="1" x14ac:dyDescent="0.3">
      <c r="B789" s="26"/>
      <c r="C789" s="28"/>
      <c r="D789" s="27"/>
      <c r="E789" s="29"/>
      <c r="F789" s="29"/>
      <c r="G789" s="29"/>
      <c r="H789" s="30" t="str">
        <f t="shared" si="84"/>
        <v/>
      </c>
      <c r="I789" s="31" t="str">
        <f>IF(OR(B789="",C789=""),"",IFERROR(E789*IF(E789="",0,VLOOKUP(C789,'📦 Precios Proforma'!$B$5:$D$104,IF(D789="DIA",2,3),FALSE)),0))</f>
        <v/>
      </c>
      <c r="J789" s="31" t="str">
        <f t="shared" si="85"/>
        <v/>
      </c>
      <c r="K789" s="31" t="str">
        <f t="shared" si="86"/>
        <v/>
      </c>
      <c r="L789" s="31" t="str">
        <f>IF(OR(B789="",C789=""),"",IFERROR(E789 / SUMIFS('📅 Resumen Diario'!$D$5:$D$504, '📅 Resumen Diario'!$B$5:$B$504, B789, '📅 Resumen Diario'!$C$5:$C$504, D789) * SUMIFS('📅 Resumen Diario'!$K$5:$K$504, '📅 Resumen Diario'!$B$5:$B$504, B789, '📅 Resumen Diario'!$C$5:$C$504, D789), 0))</f>
        <v/>
      </c>
      <c r="M789" s="31" t="str">
        <f t="shared" si="87"/>
        <v/>
      </c>
      <c r="N789" s="31" t="str">
        <f t="shared" si="88"/>
        <v/>
      </c>
      <c r="O789" s="31" t="str">
        <f>IF(OR(B789="",C789=""),"",K789-N789 + IFERROR(E789 / SUMIFS('📅 Resumen Diario'!$D$5:$D$504, '📅 Resumen Diario'!$B$5:$B$504, B789, '📅 Resumen Diario'!$C$5:$C$504, D789) * (SUMIFS('📋 Detalle Diario'!$E$5:$E$489, '📋 Detalle Diario'!$B$5:$B$489, B789, '📋 Detalle Diario'!$C$5:$C$489, D789) * 135 + SUMIFS('📋 Detalle Diario'!$I$5:$I$489, '📋 Detalle Diario'!$B$5:$B$489, B789, '📋 Detalle Diario'!$C$5:$C$489, D789) * 200), 0))</f>
        <v/>
      </c>
      <c r="P789" s="32" t="str">
        <f t="shared" si="89"/>
        <v/>
      </c>
      <c r="Q789" s="33" t="str">
        <f t="shared" si="90"/>
        <v/>
      </c>
    </row>
    <row r="790" spans="2:17" ht="18" customHeight="1" x14ac:dyDescent="0.3">
      <c r="B790" s="26"/>
      <c r="C790" s="17"/>
      <c r="D790" s="27"/>
      <c r="E790" s="18"/>
      <c r="F790" s="18"/>
      <c r="G790" s="18"/>
      <c r="H790" s="30" t="str">
        <f t="shared" si="84"/>
        <v/>
      </c>
      <c r="I790" s="31" t="str">
        <f>IF(OR(B790="",C790=""),"",IFERROR(E790*IF(E790="",0,VLOOKUP(C790,'📦 Precios Proforma'!$B$5:$D$104,IF(D790="DIA",2,3),FALSE)),0))</f>
        <v/>
      </c>
      <c r="J790" s="31" t="str">
        <f t="shared" si="85"/>
        <v/>
      </c>
      <c r="K790" s="31" t="str">
        <f t="shared" si="86"/>
        <v/>
      </c>
      <c r="L790" s="31" t="str">
        <f>IF(OR(B790="",C790=""),"",IFERROR(E790 / SUMIFS('📅 Resumen Diario'!$D$5:$D$504, '📅 Resumen Diario'!$B$5:$B$504, B790, '📅 Resumen Diario'!$C$5:$C$504, D790) * SUMIFS('📅 Resumen Diario'!$K$5:$K$504, '📅 Resumen Diario'!$B$5:$B$504, B790, '📅 Resumen Diario'!$C$5:$C$504, D790), 0))</f>
        <v/>
      </c>
      <c r="M790" s="31" t="str">
        <f t="shared" si="87"/>
        <v/>
      </c>
      <c r="N790" s="31" t="str">
        <f t="shared" si="88"/>
        <v/>
      </c>
      <c r="O790" s="31" t="str">
        <f>IF(OR(B790="",C790=""),"",K790-N790 + IFERROR(E790 / SUMIFS('📅 Resumen Diario'!$D$5:$D$504, '📅 Resumen Diario'!$B$5:$B$504, B790, '📅 Resumen Diario'!$C$5:$C$504, D790) * (SUMIFS('📋 Detalle Diario'!$E$5:$E$489, '📋 Detalle Diario'!$B$5:$B$489, B790, '📋 Detalle Diario'!$C$5:$C$489, D790) * 135 + SUMIFS('📋 Detalle Diario'!$I$5:$I$489, '📋 Detalle Diario'!$B$5:$B$489, B790, '📋 Detalle Diario'!$C$5:$C$489, D790) * 200), 0))</f>
        <v/>
      </c>
      <c r="P790" s="32" t="str">
        <f t="shared" si="89"/>
        <v/>
      </c>
      <c r="Q790" s="33" t="str">
        <f t="shared" si="90"/>
        <v/>
      </c>
    </row>
    <row r="791" spans="2:17" ht="18" customHeight="1" x14ac:dyDescent="0.3">
      <c r="B791" s="26"/>
      <c r="C791" s="28"/>
      <c r="D791" s="27"/>
      <c r="E791" s="29"/>
      <c r="F791" s="29"/>
      <c r="G791" s="29"/>
      <c r="H791" s="30" t="str">
        <f t="shared" si="84"/>
        <v/>
      </c>
      <c r="I791" s="31" t="str">
        <f>IF(OR(B791="",C791=""),"",IFERROR(E791*IF(E791="",0,VLOOKUP(C791,'📦 Precios Proforma'!$B$5:$D$104,IF(D791="DIA",2,3),FALSE)),0))</f>
        <v/>
      </c>
      <c r="J791" s="31" t="str">
        <f t="shared" si="85"/>
        <v/>
      </c>
      <c r="K791" s="31" t="str">
        <f t="shared" si="86"/>
        <v/>
      </c>
      <c r="L791" s="31" t="str">
        <f>IF(OR(B791="",C791=""),"",IFERROR(E791 / SUMIFS('📅 Resumen Diario'!$D$5:$D$504, '📅 Resumen Diario'!$B$5:$B$504, B791, '📅 Resumen Diario'!$C$5:$C$504, D791) * SUMIFS('📅 Resumen Diario'!$K$5:$K$504, '📅 Resumen Diario'!$B$5:$B$504, B791, '📅 Resumen Diario'!$C$5:$C$504, D791), 0))</f>
        <v/>
      </c>
      <c r="M791" s="31" t="str">
        <f t="shared" si="87"/>
        <v/>
      </c>
      <c r="N791" s="31" t="str">
        <f t="shared" si="88"/>
        <v/>
      </c>
      <c r="O791" s="31" t="str">
        <f>IF(OR(B791="",C791=""),"",K791-N791 + IFERROR(E791 / SUMIFS('📅 Resumen Diario'!$D$5:$D$504, '📅 Resumen Diario'!$B$5:$B$504, B791, '📅 Resumen Diario'!$C$5:$C$504, D791) * (SUMIFS('📋 Detalle Diario'!$E$5:$E$489, '📋 Detalle Diario'!$B$5:$B$489, B791, '📋 Detalle Diario'!$C$5:$C$489, D791) * 135 + SUMIFS('📋 Detalle Diario'!$I$5:$I$489, '📋 Detalle Diario'!$B$5:$B$489, B791, '📋 Detalle Diario'!$C$5:$C$489, D791) * 200), 0))</f>
        <v/>
      </c>
      <c r="P791" s="32" t="str">
        <f t="shared" si="89"/>
        <v/>
      </c>
      <c r="Q791" s="33" t="str">
        <f t="shared" si="90"/>
        <v/>
      </c>
    </row>
    <row r="792" spans="2:17" ht="18" customHeight="1" x14ac:dyDescent="0.3">
      <c r="B792" s="26"/>
      <c r="C792" s="17"/>
      <c r="D792" s="27"/>
      <c r="E792" s="18"/>
      <c r="F792" s="18"/>
      <c r="G792" s="18"/>
      <c r="H792" s="30" t="str">
        <f t="shared" si="84"/>
        <v/>
      </c>
      <c r="I792" s="31" t="str">
        <f>IF(OR(B792="",C792=""),"",IFERROR(E792*IF(E792="",0,VLOOKUP(C792,'📦 Precios Proforma'!$B$5:$D$104,IF(D792="DIA",2,3),FALSE)),0))</f>
        <v/>
      </c>
      <c r="J792" s="31" t="str">
        <f t="shared" si="85"/>
        <v/>
      </c>
      <c r="K792" s="31" t="str">
        <f t="shared" si="86"/>
        <v/>
      </c>
      <c r="L792" s="31" t="str">
        <f>IF(OR(B792="",C792=""),"",IFERROR(E792 / SUMIFS('📅 Resumen Diario'!$D$5:$D$504, '📅 Resumen Diario'!$B$5:$B$504, B792, '📅 Resumen Diario'!$C$5:$C$504, D792) * SUMIFS('📅 Resumen Diario'!$K$5:$K$504, '📅 Resumen Diario'!$B$5:$B$504, B792, '📅 Resumen Diario'!$C$5:$C$504, D792), 0))</f>
        <v/>
      </c>
      <c r="M792" s="31" t="str">
        <f t="shared" si="87"/>
        <v/>
      </c>
      <c r="N792" s="31" t="str">
        <f t="shared" si="88"/>
        <v/>
      </c>
      <c r="O792" s="31" t="str">
        <f>IF(OR(B792="",C792=""),"",K792-N792 + IFERROR(E792 / SUMIFS('📅 Resumen Diario'!$D$5:$D$504, '📅 Resumen Diario'!$B$5:$B$504, B792, '📅 Resumen Diario'!$C$5:$C$504, D792) * (SUMIFS('📋 Detalle Diario'!$E$5:$E$489, '📋 Detalle Diario'!$B$5:$B$489, B792, '📋 Detalle Diario'!$C$5:$C$489, D792) * 135 + SUMIFS('📋 Detalle Diario'!$I$5:$I$489, '📋 Detalle Diario'!$B$5:$B$489, B792, '📋 Detalle Diario'!$C$5:$C$489, D792) * 200), 0))</f>
        <v/>
      </c>
      <c r="P792" s="32" t="str">
        <f t="shared" si="89"/>
        <v/>
      </c>
      <c r="Q792" s="33" t="str">
        <f t="shared" si="90"/>
        <v/>
      </c>
    </row>
    <row r="793" spans="2:17" ht="18" customHeight="1" x14ac:dyDescent="0.3">
      <c r="B793" s="26"/>
      <c r="C793" s="28"/>
      <c r="D793" s="27"/>
      <c r="E793" s="29"/>
      <c r="F793" s="29"/>
      <c r="G793" s="29"/>
      <c r="H793" s="30" t="str">
        <f t="shared" si="84"/>
        <v/>
      </c>
      <c r="I793" s="31" t="str">
        <f>IF(OR(B793="",C793=""),"",IFERROR(E793*IF(E793="",0,VLOOKUP(C793,'📦 Precios Proforma'!$B$5:$D$104,IF(D793="DIA",2,3),FALSE)),0))</f>
        <v/>
      </c>
      <c r="J793" s="31" t="str">
        <f t="shared" si="85"/>
        <v/>
      </c>
      <c r="K793" s="31" t="str">
        <f t="shared" si="86"/>
        <v/>
      </c>
      <c r="L793" s="31" t="str">
        <f>IF(OR(B793="",C793=""),"",IFERROR(E793 / SUMIFS('📅 Resumen Diario'!$D$5:$D$504, '📅 Resumen Diario'!$B$5:$B$504, B793, '📅 Resumen Diario'!$C$5:$C$504, D793) * SUMIFS('📅 Resumen Diario'!$K$5:$K$504, '📅 Resumen Diario'!$B$5:$B$504, B793, '📅 Resumen Diario'!$C$5:$C$504, D793), 0))</f>
        <v/>
      </c>
      <c r="M793" s="31" t="str">
        <f t="shared" si="87"/>
        <v/>
      </c>
      <c r="N793" s="31" t="str">
        <f t="shared" si="88"/>
        <v/>
      </c>
      <c r="O793" s="31" t="str">
        <f>IF(OR(B793="",C793=""),"",K793-N793 + IFERROR(E793 / SUMIFS('📅 Resumen Diario'!$D$5:$D$504, '📅 Resumen Diario'!$B$5:$B$504, B793, '📅 Resumen Diario'!$C$5:$C$504, D793) * (SUMIFS('📋 Detalle Diario'!$E$5:$E$489, '📋 Detalle Diario'!$B$5:$B$489, B793, '📋 Detalle Diario'!$C$5:$C$489, D793) * 135 + SUMIFS('📋 Detalle Diario'!$I$5:$I$489, '📋 Detalle Diario'!$B$5:$B$489, B793, '📋 Detalle Diario'!$C$5:$C$489, D793) * 200), 0))</f>
        <v/>
      </c>
      <c r="P793" s="32" t="str">
        <f t="shared" si="89"/>
        <v/>
      </c>
      <c r="Q793" s="33" t="str">
        <f t="shared" si="90"/>
        <v/>
      </c>
    </row>
    <row r="794" spans="2:17" ht="18" customHeight="1" x14ac:dyDescent="0.3">
      <c r="B794" s="26"/>
      <c r="C794" s="17"/>
      <c r="D794" s="27"/>
      <c r="E794" s="18"/>
      <c r="F794" s="18"/>
      <c r="G794" s="18"/>
      <c r="H794" s="30" t="str">
        <f t="shared" si="84"/>
        <v/>
      </c>
      <c r="I794" s="31" t="str">
        <f>IF(OR(B794="",C794=""),"",IFERROR(E794*IF(E794="",0,VLOOKUP(C794,'📦 Precios Proforma'!$B$5:$D$104,IF(D794="DIA",2,3),FALSE)),0))</f>
        <v/>
      </c>
      <c r="J794" s="31" t="str">
        <f t="shared" si="85"/>
        <v/>
      </c>
      <c r="K794" s="31" t="str">
        <f t="shared" si="86"/>
        <v/>
      </c>
      <c r="L794" s="31" t="str">
        <f>IF(OR(B794="",C794=""),"",IFERROR(E794 / SUMIFS('📅 Resumen Diario'!$D$5:$D$504, '📅 Resumen Diario'!$B$5:$B$504, B794, '📅 Resumen Diario'!$C$5:$C$504, D794) * SUMIFS('📅 Resumen Diario'!$K$5:$K$504, '📅 Resumen Diario'!$B$5:$B$504, B794, '📅 Resumen Diario'!$C$5:$C$504, D794), 0))</f>
        <v/>
      </c>
      <c r="M794" s="31" t="str">
        <f t="shared" si="87"/>
        <v/>
      </c>
      <c r="N794" s="31" t="str">
        <f t="shared" si="88"/>
        <v/>
      </c>
      <c r="O794" s="31" t="str">
        <f>IF(OR(B794="",C794=""),"",K794-N794 + IFERROR(E794 / SUMIFS('📅 Resumen Diario'!$D$5:$D$504, '📅 Resumen Diario'!$B$5:$B$504, B794, '📅 Resumen Diario'!$C$5:$C$504, D794) * (SUMIFS('📋 Detalle Diario'!$E$5:$E$489, '📋 Detalle Diario'!$B$5:$B$489, B794, '📋 Detalle Diario'!$C$5:$C$489, D794) * 135 + SUMIFS('📋 Detalle Diario'!$I$5:$I$489, '📋 Detalle Diario'!$B$5:$B$489, B794, '📋 Detalle Diario'!$C$5:$C$489, D794) * 200), 0))</f>
        <v/>
      </c>
      <c r="P794" s="32" t="str">
        <f t="shared" si="89"/>
        <v/>
      </c>
      <c r="Q794" s="33" t="str">
        <f t="shared" si="90"/>
        <v/>
      </c>
    </row>
    <row r="795" spans="2:17" ht="18" customHeight="1" x14ac:dyDescent="0.3">
      <c r="B795" s="26"/>
      <c r="C795" s="28"/>
      <c r="D795" s="27"/>
      <c r="E795" s="29"/>
      <c r="F795" s="29"/>
      <c r="G795" s="29"/>
      <c r="H795" s="30" t="str">
        <f t="shared" si="84"/>
        <v/>
      </c>
      <c r="I795" s="31" t="str">
        <f>IF(OR(B795="",C795=""),"",IFERROR(E795*IF(E795="",0,VLOOKUP(C795,'📦 Precios Proforma'!$B$5:$D$104,IF(D795="DIA",2,3),FALSE)),0))</f>
        <v/>
      </c>
      <c r="J795" s="31" t="str">
        <f t="shared" si="85"/>
        <v/>
      </c>
      <c r="K795" s="31" t="str">
        <f t="shared" si="86"/>
        <v/>
      </c>
      <c r="L795" s="31" t="str">
        <f>IF(OR(B795="",C795=""),"",IFERROR(E795 / SUMIFS('📅 Resumen Diario'!$D$5:$D$504, '📅 Resumen Diario'!$B$5:$B$504, B795, '📅 Resumen Diario'!$C$5:$C$504, D795) * SUMIFS('📅 Resumen Diario'!$K$5:$K$504, '📅 Resumen Diario'!$B$5:$B$504, B795, '📅 Resumen Diario'!$C$5:$C$504, D795), 0))</f>
        <v/>
      </c>
      <c r="M795" s="31" t="str">
        <f t="shared" si="87"/>
        <v/>
      </c>
      <c r="N795" s="31" t="str">
        <f t="shared" si="88"/>
        <v/>
      </c>
      <c r="O795" s="31" t="str">
        <f>IF(OR(B795="",C795=""),"",K795-N795 + IFERROR(E795 / SUMIFS('📅 Resumen Diario'!$D$5:$D$504, '📅 Resumen Diario'!$B$5:$B$504, B795, '📅 Resumen Diario'!$C$5:$C$504, D795) * (SUMIFS('📋 Detalle Diario'!$E$5:$E$489, '📋 Detalle Diario'!$B$5:$B$489, B795, '📋 Detalle Diario'!$C$5:$C$489, D795) * 135 + SUMIFS('📋 Detalle Diario'!$I$5:$I$489, '📋 Detalle Diario'!$B$5:$B$489, B795, '📋 Detalle Diario'!$C$5:$C$489, D795) * 200), 0))</f>
        <v/>
      </c>
      <c r="P795" s="32" t="str">
        <f t="shared" si="89"/>
        <v/>
      </c>
      <c r="Q795" s="33" t="str">
        <f t="shared" si="90"/>
        <v/>
      </c>
    </row>
    <row r="796" spans="2:17" ht="18" customHeight="1" x14ac:dyDescent="0.3">
      <c r="B796" s="26"/>
      <c r="C796" s="17"/>
      <c r="D796" s="27"/>
      <c r="E796" s="18"/>
      <c r="F796" s="18"/>
      <c r="G796" s="18"/>
      <c r="H796" s="30" t="str">
        <f t="shared" si="84"/>
        <v/>
      </c>
      <c r="I796" s="31" t="str">
        <f>IF(OR(B796="",C796=""),"",IFERROR(E796*IF(E796="",0,VLOOKUP(C796,'📦 Precios Proforma'!$B$5:$D$104,IF(D796="DIA",2,3),FALSE)),0))</f>
        <v/>
      </c>
      <c r="J796" s="31" t="str">
        <f t="shared" si="85"/>
        <v/>
      </c>
      <c r="K796" s="31" t="str">
        <f t="shared" si="86"/>
        <v/>
      </c>
      <c r="L796" s="31" t="str">
        <f>IF(OR(B796="",C796=""),"",IFERROR(E796 / SUMIFS('📅 Resumen Diario'!$D$5:$D$504, '📅 Resumen Diario'!$B$5:$B$504, B796, '📅 Resumen Diario'!$C$5:$C$504, D796) * SUMIFS('📅 Resumen Diario'!$K$5:$K$504, '📅 Resumen Diario'!$B$5:$B$504, B796, '📅 Resumen Diario'!$C$5:$C$504, D796), 0))</f>
        <v/>
      </c>
      <c r="M796" s="31" t="str">
        <f t="shared" si="87"/>
        <v/>
      </c>
      <c r="N796" s="31" t="str">
        <f t="shared" si="88"/>
        <v/>
      </c>
      <c r="O796" s="31" t="str">
        <f>IF(OR(B796="",C796=""),"",K796-N796 + IFERROR(E796 / SUMIFS('📅 Resumen Diario'!$D$5:$D$504, '📅 Resumen Diario'!$B$5:$B$504, B796, '📅 Resumen Diario'!$C$5:$C$504, D796) * (SUMIFS('📋 Detalle Diario'!$E$5:$E$489, '📋 Detalle Diario'!$B$5:$B$489, B796, '📋 Detalle Diario'!$C$5:$C$489, D796) * 135 + SUMIFS('📋 Detalle Diario'!$I$5:$I$489, '📋 Detalle Diario'!$B$5:$B$489, B796, '📋 Detalle Diario'!$C$5:$C$489, D796) * 200), 0))</f>
        <v/>
      </c>
      <c r="P796" s="32" t="str">
        <f t="shared" si="89"/>
        <v/>
      </c>
      <c r="Q796" s="33" t="str">
        <f t="shared" si="90"/>
        <v/>
      </c>
    </row>
    <row r="797" spans="2:17" ht="18" customHeight="1" x14ac:dyDescent="0.3">
      <c r="B797" s="26"/>
      <c r="C797" s="28"/>
      <c r="D797" s="27"/>
      <c r="E797" s="29"/>
      <c r="F797" s="29"/>
      <c r="G797" s="29"/>
      <c r="H797" s="30" t="str">
        <f t="shared" si="84"/>
        <v/>
      </c>
      <c r="I797" s="31" t="str">
        <f>IF(OR(B797="",C797=""),"",IFERROR(E797*IF(E797="",0,VLOOKUP(C797,'📦 Precios Proforma'!$B$5:$D$104,IF(D797="DIA",2,3),FALSE)),0))</f>
        <v/>
      </c>
      <c r="J797" s="31" t="str">
        <f t="shared" si="85"/>
        <v/>
      </c>
      <c r="K797" s="31" t="str">
        <f t="shared" si="86"/>
        <v/>
      </c>
      <c r="L797" s="31" t="str">
        <f>IF(OR(B797="",C797=""),"",IFERROR(E797 / SUMIFS('📅 Resumen Diario'!$D$5:$D$504, '📅 Resumen Diario'!$B$5:$B$504, B797, '📅 Resumen Diario'!$C$5:$C$504, D797) * SUMIFS('📅 Resumen Diario'!$K$5:$K$504, '📅 Resumen Diario'!$B$5:$B$504, B797, '📅 Resumen Diario'!$C$5:$C$504, D797), 0))</f>
        <v/>
      </c>
      <c r="M797" s="31" t="str">
        <f t="shared" si="87"/>
        <v/>
      </c>
      <c r="N797" s="31" t="str">
        <f t="shared" si="88"/>
        <v/>
      </c>
      <c r="O797" s="31" t="str">
        <f>IF(OR(B797="",C797=""),"",K797-N797 + IFERROR(E797 / SUMIFS('📅 Resumen Diario'!$D$5:$D$504, '📅 Resumen Diario'!$B$5:$B$504, B797, '📅 Resumen Diario'!$C$5:$C$504, D797) * (SUMIFS('📋 Detalle Diario'!$E$5:$E$489, '📋 Detalle Diario'!$B$5:$B$489, B797, '📋 Detalle Diario'!$C$5:$C$489, D797) * 135 + SUMIFS('📋 Detalle Diario'!$I$5:$I$489, '📋 Detalle Diario'!$B$5:$B$489, B797, '📋 Detalle Diario'!$C$5:$C$489, D797) * 200), 0))</f>
        <v/>
      </c>
      <c r="P797" s="32" t="str">
        <f t="shared" si="89"/>
        <v/>
      </c>
      <c r="Q797" s="33" t="str">
        <f t="shared" si="90"/>
        <v/>
      </c>
    </row>
    <row r="798" spans="2:17" ht="18" customHeight="1" x14ac:dyDescent="0.3">
      <c r="B798" s="26"/>
      <c r="C798" s="17"/>
      <c r="D798" s="27"/>
      <c r="E798" s="18"/>
      <c r="F798" s="18"/>
      <c r="G798" s="18"/>
      <c r="H798" s="30" t="str">
        <f t="shared" si="84"/>
        <v/>
      </c>
      <c r="I798" s="31" t="str">
        <f>IF(OR(B798="",C798=""),"",IFERROR(E798*IF(E798="",0,VLOOKUP(C798,'📦 Precios Proforma'!$B$5:$D$104,IF(D798="DIA",2,3),FALSE)),0))</f>
        <v/>
      </c>
      <c r="J798" s="31" t="str">
        <f t="shared" si="85"/>
        <v/>
      </c>
      <c r="K798" s="31" t="str">
        <f t="shared" si="86"/>
        <v/>
      </c>
      <c r="L798" s="31" t="str">
        <f>IF(OR(B798="",C798=""),"",IFERROR(E798 / SUMIFS('📅 Resumen Diario'!$D$5:$D$504, '📅 Resumen Diario'!$B$5:$B$504, B798, '📅 Resumen Diario'!$C$5:$C$504, D798) * SUMIFS('📅 Resumen Diario'!$K$5:$K$504, '📅 Resumen Diario'!$B$5:$B$504, B798, '📅 Resumen Diario'!$C$5:$C$504, D798), 0))</f>
        <v/>
      </c>
      <c r="M798" s="31" t="str">
        <f t="shared" si="87"/>
        <v/>
      </c>
      <c r="N798" s="31" t="str">
        <f t="shared" si="88"/>
        <v/>
      </c>
      <c r="O798" s="31" t="str">
        <f>IF(OR(B798="",C798=""),"",K798-N798 + IFERROR(E798 / SUMIFS('📅 Resumen Diario'!$D$5:$D$504, '📅 Resumen Diario'!$B$5:$B$504, B798, '📅 Resumen Diario'!$C$5:$C$504, D798) * (SUMIFS('📋 Detalle Diario'!$E$5:$E$489, '📋 Detalle Diario'!$B$5:$B$489, B798, '📋 Detalle Diario'!$C$5:$C$489, D798) * 135 + SUMIFS('📋 Detalle Diario'!$I$5:$I$489, '📋 Detalle Diario'!$B$5:$B$489, B798, '📋 Detalle Diario'!$C$5:$C$489, D798) * 200), 0))</f>
        <v/>
      </c>
      <c r="P798" s="32" t="str">
        <f t="shared" si="89"/>
        <v/>
      </c>
      <c r="Q798" s="33" t="str">
        <f t="shared" si="90"/>
        <v/>
      </c>
    </row>
    <row r="799" spans="2:17" ht="18" customHeight="1" x14ac:dyDescent="0.3">
      <c r="B799" s="26"/>
      <c r="C799" s="28"/>
      <c r="D799" s="27"/>
      <c r="E799" s="29"/>
      <c r="F799" s="29"/>
      <c r="G799" s="29"/>
      <c r="H799" s="30" t="str">
        <f t="shared" si="84"/>
        <v/>
      </c>
      <c r="I799" s="31" t="str">
        <f>IF(OR(B799="",C799=""),"",IFERROR(E799*IF(E799="",0,VLOOKUP(C799,'📦 Precios Proforma'!$B$5:$D$104,IF(D799="DIA",2,3),FALSE)),0))</f>
        <v/>
      </c>
      <c r="J799" s="31" t="str">
        <f t="shared" si="85"/>
        <v/>
      </c>
      <c r="K799" s="31" t="str">
        <f t="shared" si="86"/>
        <v/>
      </c>
      <c r="L799" s="31" t="str">
        <f>IF(OR(B799="",C799=""),"",IFERROR(E799 / SUMIFS('📅 Resumen Diario'!$D$5:$D$504, '📅 Resumen Diario'!$B$5:$B$504, B799, '📅 Resumen Diario'!$C$5:$C$504, D799) * SUMIFS('📅 Resumen Diario'!$K$5:$K$504, '📅 Resumen Diario'!$B$5:$B$504, B799, '📅 Resumen Diario'!$C$5:$C$504, D799), 0))</f>
        <v/>
      </c>
      <c r="M799" s="31" t="str">
        <f t="shared" si="87"/>
        <v/>
      </c>
      <c r="N799" s="31" t="str">
        <f t="shared" si="88"/>
        <v/>
      </c>
      <c r="O799" s="31" t="str">
        <f>IF(OR(B799="",C799=""),"",K799-N799 + IFERROR(E799 / SUMIFS('📅 Resumen Diario'!$D$5:$D$504, '📅 Resumen Diario'!$B$5:$B$504, B799, '📅 Resumen Diario'!$C$5:$C$504, D799) * (SUMIFS('📋 Detalle Diario'!$E$5:$E$489, '📋 Detalle Diario'!$B$5:$B$489, B799, '📋 Detalle Diario'!$C$5:$C$489, D799) * 135 + SUMIFS('📋 Detalle Diario'!$I$5:$I$489, '📋 Detalle Diario'!$B$5:$B$489, B799, '📋 Detalle Diario'!$C$5:$C$489, D799) * 200), 0))</f>
        <v/>
      </c>
      <c r="P799" s="32" t="str">
        <f t="shared" si="89"/>
        <v/>
      </c>
      <c r="Q799" s="33" t="str">
        <f t="shared" si="90"/>
        <v/>
      </c>
    </row>
    <row r="800" spans="2:17" ht="18" customHeight="1" x14ac:dyDescent="0.3">
      <c r="B800" s="26"/>
      <c r="C800" s="17"/>
      <c r="D800" s="27"/>
      <c r="E800" s="18"/>
      <c r="F800" s="18"/>
      <c r="G800" s="18"/>
      <c r="H800" s="30" t="str">
        <f t="shared" si="84"/>
        <v/>
      </c>
      <c r="I800" s="31" t="str">
        <f>IF(OR(B800="",C800=""),"",IFERROR(E800*IF(E800="",0,VLOOKUP(C800,'📦 Precios Proforma'!$B$5:$D$104,IF(D800="DIA",2,3),FALSE)),0))</f>
        <v/>
      </c>
      <c r="J800" s="31" t="str">
        <f t="shared" si="85"/>
        <v/>
      </c>
      <c r="K800" s="31" t="str">
        <f t="shared" si="86"/>
        <v/>
      </c>
      <c r="L800" s="31" t="str">
        <f>IF(OR(B800="",C800=""),"",IFERROR(E800 / SUMIFS('📅 Resumen Diario'!$D$5:$D$504, '📅 Resumen Diario'!$B$5:$B$504, B800, '📅 Resumen Diario'!$C$5:$C$504, D800) * SUMIFS('📅 Resumen Diario'!$K$5:$K$504, '📅 Resumen Diario'!$B$5:$B$504, B800, '📅 Resumen Diario'!$C$5:$C$504, D800), 0))</f>
        <v/>
      </c>
      <c r="M800" s="31" t="str">
        <f t="shared" si="87"/>
        <v/>
      </c>
      <c r="N800" s="31" t="str">
        <f t="shared" si="88"/>
        <v/>
      </c>
      <c r="O800" s="31" t="str">
        <f>IF(OR(B800="",C800=""),"",K800-N800 + IFERROR(E800 / SUMIFS('📅 Resumen Diario'!$D$5:$D$504, '📅 Resumen Diario'!$B$5:$B$504, B800, '📅 Resumen Diario'!$C$5:$C$504, D800) * (SUMIFS('📋 Detalle Diario'!$E$5:$E$489, '📋 Detalle Diario'!$B$5:$B$489, B800, '📋 Detalle Diario'!$C$5:$C$489, D800) * 135 + SUMIFS('📋 Detalle Diario'!$I$5:$I$489, '📋 Detalle Diario'!$B$5:$B$489, B800, '📋 Detalle Diario'!$C$5:$C$489, D800) * 200), 0))</f>
        <v/>
      </c>
      <c r="P800" s="32" t="str">
        <f t="shared" si="89"/>
        <v/>
      </c>
      <c r="Q800" s="33" t="str">
        <f t="shared" si="90"/>
        <v/>
      </c>
    </row>
    <row r="801" spans="2:17" ht="18" customHeight="1" x14ac:dyDescent="0.3">
      <c r="B801" s="26"/>
      <c r="C801" s="28"/>
      <c r="D801" s="27"/>
      <c r="E801" s="29"/>
      <c r="F801" s="29"/>
      <c r="G801" s="29"/>
      <c r="H801" s="30" t="str">
        <f t="shared" si="84"/>
        <v/>
      </c>
      <c r="I801" s="31" t="str">
        <f>IF(OR(B801="",C801=""),"",IFERROR(E801*IF(E801="",0,VLOOKUP(C801,'📦 Precios Proforma'!$B$5:$D$104,IF(D801="DIA",2,3),FALSE)),0))</f>
        <v/>
      </c>
      <c r="J801" s="31" t="str">
        <f t="shared" si="85"/>
        <v/>
      </c>
      <c r="K801" s="31" t="str">
        <f t="shared" si="86"/>
        <v/>
      </c>
      <c r="L801" s="31" t="str">
        <f>IF(OR(B801="",C801=""),"",IFERROR(E801 / SUMIFS('📅 Resumen Diario'!$D$5:$D$504, '📅 Resumen Diario'!$B$5:$B$504, B801, '📅 Resumen Diario'!$C$5:$C$504, D801) * SUMIFS('📅 Resumen Diario'!$K$5:$K$504, '📅 Resumen Diario'!$B$5:$B$504, B801, '📅 Resumen Diario'!$C$5:$C$504, D801), 0))</f>
        <v/>
      </c>
      <c r="M801" s="31" t="str">
        <f t="shared" si="87"/>
        <v/>
      </c>
      <c r="N801" s="31" t="str">
        <f t="shared" si="88"/>
        <v/>
      </c>
      <c r="O801" s="31" t="str">
        <f>IF(OR(B801="",C801=""),"",K801-N801 + IFERROR(E801 / SUMIFS('📅 Resumen Diario'!$D$5:$D$504, '📅 Resumen Diario'!$B$5:$B$504, B801, '📅 Resumen Diario'!$C$5:$C$504, D801) * (SUMIFS('📋 Detalle Diario'!$E$5:$E$489, '📋 Detalle Diario'!$B$5:$B$489, B801, '📋 Detalle Diario'!$C$5:$C$489, D801) * 135 + SUMIFS('📋 Detalle Diario'!$I$5:$I$489, '📋 Detalle Diario'!$B$5:$B$489, B801, '📋 Detalle Diario'!$C$5:$C$489, D801) * 200), 0))</f>
        <v/>
      </c>
      <c r="P801" s="32" t="str">
        <f t="shared" si="89"/>
        <v/>
      </c>
      <c r="Q801" s="33" t="str">
        <f t="shared" si="90"/>
        <v/>
      </c>
    </row>
    <row r="802" spans="2:17" ht="18" customHeight="1" x14ac:dyDescent="0.3">
      <c r="B802" s="26"/>
      <c r="C802" s="17"/>
      <c r="D802" s="27"/>
      <c r="E802" s="18"/>
      <c r="F802" s="18"/>
      <c r="G802" s="18"/>
      <c r="H802" s="30" t="str">
        <f t="shared" si="84"/>
        <v/>
      </c>
      <c r="I802" s="31" t="str">
        <f>IF(OR(B802="",C802=""),"",IFERROR(E802*IF(E802="",0,VLOOKUP(C802,'📦 Precios Proforma'!$B$5:$D$104,IF(D802="DIA",2,3),FALSE)),0))</f>
        <v/>
      </c>
      <c r="J802" s="31" t="str">
        <f t="shared" si="85"/>
        <v/>
      </c>
      <c r="K802" s="31" t="str">
        <f t="shared" si="86"/>
        <v/>
      </c>
      <c r="L802" s="31" t="str">
        <f>IF(OR(B802="",C802=""),"",IFERROR(E802 / SUMIFS('📅 Resumen Diario'!$D$5:$D$504, '📅 Resumen Diario'!$B$5:$B$504, B802, '📅 Resumen Diario'!$C$5:$C$504, D802) * SUMIFS('📅 Resumen Diario'!$K$5:$K$504, '📅 Resumen Diario'!$B$5:$B$504, B802, '📅 Resumen Diario'!$C$5:$C$504, D802), 0))</f>
        <v/>
      </c>
      <c r="M802" s="31" t="str">
        <f t="shared" si="87"/>
        <v/>
      </c>
      <c r="N802" s="31" t="str">
        <f t="shared" si="88"/>
        <v/>
      </c>
      <c r="O802" s="31" t="str">
        <f>IF(OR(B802="",C802=""),"",K802-N802 + IFERROR(E802 / SUMIFS('📅 Resumen Diario'!$D$5:$D$504, '📅 Resumen Diario'!$B$5:$B$504, B802, '📅 Resumen Diario'!$C$5:$C$504, D802) * (SUMIFS('📋 Detalle Diario'!$E$5:$E$489, '📋 Detalle Diario'!$B$5:$B$489, B802, '📋 Detalle Diario'!$C$5:$C$489, D802) * 135 + SUMIFS('📋 Detalle Diario'!$I$5:$I$489, '📋 Detalle Diario'!$B$5:$B$489, B802, '📋 Detalle Diario'!$C$5:$C$489, D802) * 200), 0))</f>
        <v/>
      </c>
      <c r="P802" s="32" t="str">
        <f t="shared" si="89"/>
        <v/>
      </c>
      <c r="Q802" s="33" t="str">
        <f t="shared" si="90"/>
        <v/>
      </c>
    </row>
    <row r="803" spans="2:17" ht="18" customHeight="1" x14ac:dyDescent="0.3">
      <c r="B803" s="26"/>
      <c r="C803" s="28"/>
      <c r="D803" s="27"/>
      <c r="E803" s="29"/>
      <c r="F803" s="29"/>
      <c r="G803" s="29"/>
      <c r="H803" s="30" t="str">
        <f t="shared" si="84"/>
        <v/>
      </c>
      <c r="I803" s="31" t="str">
        <f>IF(OR(B803="",C803=""),"",IFERROR(E803*IF(E803="",0,VLOOKUP(C803,'📦 Precios Proforma'!$B$5:$D$104,IF(D803="DIA",2,3),FALSE)),0))</f>
        <v/>
      </c>
      <c r="J803" s="31" t="str">
        <f t="shared" si="85"/>
        <v/>
      </c>
      <c r="K803" s="31" t="str">
        <f t="shared" si="86"/>
        <v/>
      </c>
      <c r="L803" s="31" t="str">
        <f>IF(OR(B803="",C803=""),"",IFERROR(E803 / SUMIFS('📅 Resumen Diario'!$D$5:$D$504, '📅 Resumen Diario'!$B$5:$B$504, B803, '📅 Resumen Diario'!$C$5:$C$504, D803) * SUMIFS('📅 Resumen Diario'!$K$5:$K$504, '📅 Resumen Diario'!$B$5:$B$504, B803, '📅 Resumen Diario'!$C$5:$C$504, D803), 0))</f>
        <v/>
      </c>
      <c r="M803" s="31" t="str">
        <f t="shared" si="87"/>
        <v/>
      </c>
      <c r="N803" s="31" t="str">
        <f t="shared" si="88"/>
        <v/>
      </c>
      <c r="O803" s="31" t="str">
        <f>IF(OR(B803="",C803=""),"",K803-N803 + IFERROR(E803 / SUMIFS('📅 Resumen Diario'!$D$5:$D$504, '📅 Resumen Diario'!$B$5:$B$504, B803, '📅 Resumen Diario'!$C$5:$C$504, D803) * (SUMIFS('📋 Detalle Diario'!$E$5:$E$489, '📋 Detalle Diario'!$B$5:$B$489, B803, '📋 Detalle Diario'!$C$5:$C$489, D803) * 135 + SUMIFS('📋 Detalle Diario'!$I$5:$I$489, '📋 Detalle Diario'!$B$5:$B$489, B803, '📋 Detalle Diario'!$C$5:$C$489, D803) * 200), 0))</f>
        <v/>
      </c>
      <c r="P803" s="32" t="str">
        <f t="shared" si="89"/>
        <v/>
      </c>
      <c r="Q803" s="33" t="str">
        <f t="shared" si="90"/>
        <v/>
      </c>
    </row>
    <row r="804" spans="2:17" ht="18" customHeight="1" x14ac:dyDescent="0.3">
      <c r="B804" s="26"/>
      <c r="C804" s="17"/>
      <c r="D804" s="27"/>
      <c r="E804" s="18"/>
      <c r="F804" s="18"/>
      <c r="G804" s="18"/>
      <c r="H804" s="30" t="str">
        <f t="shared" si="84"/>
        <v/>
      </c>
      <c r="I804" s="31" t="str">
        <f>IF(OR(B804="",C804=""),"",IFERROR(E804*IF(E804="",0,VLOOKUP(C804,'📦 Precios Proforma'!$B$5:$D$104,IF(D804="DIA",2,3),FALSE)),0))</f>
        <v/>
      </c>
      <c r="J804" s="31" t="str">
        <f t="shared" si="85"/>
        <v/>
      </c>
      <c r="K804" s="31" t="str">
        <f t="shared" si="86"/>
        <v/>
      </c>
      <c r="L804" s="31" t="str">
        <f>IF(OR(B804="",C804=""),"",IFERROR(E804 / SUMIFS('📅 Resumen Diario'!$D$5:$D$504, '📅 Resumen Diario'!$B$5:$B$504, B804, '📅 Resumen Diario'!$C$5:$C$504, D804) * SUMIFS('📅 Resumen Diario'!$K$5:$K$504, '📅 Resumen Diario'!$B$5:$B$504, B804, '📅 Resumen Diario'!$C$5:$C$504, D804), 0))</f>
        <v/>
      </c>
      <c r="M804" s="31" t="str">
        <f t="shared" si="87"/>
        <v/>
      </c>
      <c r="N804" s="31" t="str">
        <f t="shared" si="88"/>
        <v/>
      </c>
      <c r="O804" s="31" t="str">
        <f>IF(OR(B804="",C804=""),"",K804-N804 + IFERROR(E804 / SUMIFS('📅 Resumen Diario'!$D$5:$D$504, '📅 Resumen Diario'!$B$5:$B$504, B804, '📅 Resumen Diario'!$C$5:$C$504, D804) * (SUMIFS('📋 Detalle Diario'!$E$5:$E$489, '📋 Detalle Diario'!$B$5:$B$489, B804, '📋 Detalle Diario'!$C$5:$C$489, D804) * 135 + SUMIFS('📋 Detalle Diario'!$I$5:$I$489, '📋 Detalle Diario'!$B$5:$B$489, B804, '📋 Detalle Diario'!$C$5:$C$489, D804) * 200), 0))</f>
        <v/>
      </c>
      <c r="P804" s="32" t="str">
        <f t="shared" si="89"/>
        <v/>
      </c>
      <c r="Q804" s="33" t="str">
        <f t="shared" si="90"/>
        <v/>
      </c>
    </row>
    <row r="805" spans="2:17" ht="18" customHeight="1" x14ac:dyDescent="0.3">
      <c r="B805" s="26"/>
      <c r="C805" s="28"/>
      <c r="D805" s="27"/>
      <c r="E805" s="29"/>
      <c r="F805" s="29"/>
      <c r="G805" s="29"/>
      <c r="H805" s="30" t="str">
        <f t="shared" si="84"/>
        <v/>
      </c>
      <c r="I805" s="31" t="str">
        <f>IF(OR(B805="",C805=""),"",IFERROR(E805*IF(E805="",0,VLOOKUP(C805,'📦 Precios Proforma'!$B$5:$D$104,IF(D805="DIA",2,3),FALSE)),0))</f>
        <v/>
      </c>
      <c r="J805" s="31" t="str">
        <f t="shared" si="85"/>
        <v/>
      </c>
      <c r="K805" s="31" t="str">
        <f t="shared" si="86"/>
        <v/>
      </c>
      <c r="L805" s="31" t="str">
        <f>IF(OR(B805="",C805=""),"",IFERROR(E805 / SUMIFS('📅 Resumen Diario'!$D$5:$D$504, '📅 Resumen Diario'!$B$5:$B$504, B805, '📅 Resumen Diario'!$C$5:$C$504, D805) * SUMIFS('📅 Resumen Diario'!$K$5:$K$504, '📅 Resumen Diario'!$B$5:$B$504, B805, '📅 Resumen Diario'!$C$5:$C$504, D805), 0))</f>
        <v/>
      </c>
      <c r="M805" s="31" t="str">
        <f t="shared" si="87"/>
        <v/>
      </c>
      <c r="N805" s="31" t="str">
        <f t="shared" si="88"/>
        <v/>
      </c>
      <c r="O805" s="31" t="str">
        <f>IF(OR(B805="",C805=""),"",K805-N805 + IFERROR(E805 / SUMIFS('📅 Resumen Diario'!$D$5:$D$504, '📅 Resumen Diario'!$B$5:$B$504, B805, '📅 Resumen Diario'!$C$5:$C$504, D805) * (SUMIFS('📋 Detalle Diario'!$E$5:$E$489, '📋 Detalle Diario'!$B$5:$B$489, B805, '📋 Detalle Diario'!$C$5:$C$489, D805) * 135 + SUMIFS('📋 Detalle Diario'!$I$5:$I$489, '📋 Detalle Diario'!$B$5:$B$489, B805, '📋 Detalle Diario'!$C$5:$C$489, D805) * 200), 0))</f>
        <v/>
      </c>
      <c r="P805" s="32" t="str">
        <f t="shared" si="89"/>
        <v/>
      </c>
      <c r="Q805" s="33" t="str">
        <f t="shared" si="90"/>
        <v/>
      </c>
    </row>
    <row r="806" spans="2:17" ht="18" customHeight="1" x14ac:dyDescent="0.3">
      <c r="B806" s="26"/>
      <c r="C806" s="17"/>
      <c r="D806" s="27"/>
      <c r="E806" s="18"/>
      <c r="F806" s="18"/>
      <c r="G806" s="18"/>
      <c r="H806" s="30" t="str">
        <f t="shared" si="84"/>
        <v/>
      </c>
      <c r="I806" s="31" t="str">
        <f>IF(OR(B806="",C806=""),"",IFERROR(E806*IF(E806="",0,VLOOKUP(C806,'📦 Precios Proforma'!$B$5:$D$104,IF(D806="DIA",2,3),FALSE)),0))</f>
        <v/>
      </c>
      <c r="J806" s="31" t="str">
        <f t="shared" si="85"/>
        <v/>
      </c>
      <c r="K806" s="31" t="str">
        <f t="shared" si="86"/>
        <v/>
      </c>
      <c r="L806" s="31" t="str">
        <f>IF(OR(B806="",C806=""),"",IFERROR(E806 / SUMIFS('📅 Resumen Diario'!$D$5:$D$504, '📅 Resumen Diario'!$B$5:$B$504, B806, '📅 Resumen Diario'!$C$5:$C$504, D806) * SUMIFS('📅 Resumen Diario'!$K$5:$K$504, '📅 Resumen Diario'!$B$5:$B$504, B806, '📅 Resumen Diario'!$C$5:$C$504, D806), 0))</f>
        <v/>
      </c>
      <c r="M806" s="31" t="str">
        <f t="shared" si="87"/>
        <v/>
      </c>
      <c r="N806" s="31" t="str">
        <f t="shared" si="88"/>
        <v/>
      </c>
      <c r="O806" s="31" t="str">
        <f>IF(OR(B806="",C806=""),"",K806-N806 + IFERROR(E806 / SUMIFS('📅 Resumen Diario'!$D$5:$D$504, '📅 Resumen Diario'!$B$5:$B$504, B806, '📅 Resumen Diario'!$C$5:$C$504, D806) * (SUMIFS('📋 Detalle Diario'!$E$5:$E$489, '📋 Detalle Diario'!$B$5:$B$489, B806, '📋 Detalle Diario'!$C$5:$C$489, D806) * 135 + SUMIFS('📋 Detalle Diario'!$I$5:$I$489, '📋 Detalle Diario'!$B$5:$B$489, B806, '📋 Detalle Diario'!$C$5:$C$489, D806) * 200), 0))</f>
        <v/>
      </c>
      <c r="P806" s="32" t="str">
        <f t="shared" si="89"/>
        <v/>
      </c>
      <c r="Q806" s="33" t="str">
        <f t="shared" si="90"/>
        <v/>
      </c>
    </row>
    <row r="807" spans="2:17" ht="18" customHeight="1" x14ac:dyDescent="0.3">
      <c r="B807" s="26"/>
      <c r="C807" s="28"/>
      <c r="D807" s="27"/>
      <c r="E807" s="29"/>
      <c r="F807" s="29"/>
      <c r="G807" s="29"/>
      <c r="H807" s="30" t="str">
        <f t="shared" si="84"/>
        <v/>
      </c>
      <c r="I807" s="31" t="str">
        <f>IF(OR(B807="",C807=""),"",IFERROR(E807*IF(E807="",0,VLOOKUP(C807,'📦 Precios Proforma'!$B$5:$D$104,IF(D807="DIA",2,3),FALSE)),0))</f>
        <v/>
      </c>
      <c r="J807" s="31" t="str">
        <f t="shared" si="85"/>
        <v/>
      </c>
      <c r="K807" s="31" t="str">
        <f t="shared" si="86"/>
        <v/>
      </c>
      <c r="L807" s="31" t="str">
        <f>IF(OR(B807="",C807=""),"",IFERROR(E807 / SUMIFS('📅 Resumen Diario'!$D$5:$D$504, '📅 Resumen Diario'!$B$5:$B$504, B807, '📅 Resumen Diario'!$C$5:$C$504, D807) * SUMIFS('📅 Resumen Diario'!$K$5:$K$504, '📅 Resumen Diario'!$B$5:$B$504, B807, '📅 Resumen Diario'!$C$5:$C$504, D807), 0))</f>
        <v/>
      </c>
      <c r="M807" s="31" t="str">
        <f t="shared" si="87"/>
        <v/>
      </c>
      <c r="N807" s="31" t="str">
        <f t="shared" si="88"/>
        <v/>
      </c>
      <c r="O807" s="31" t="str">
        <f>IF(OR(B807="",C807=""),"",K807-N807 + IFERROR(E807 / SUMIFS('📅 Resumen Diario'!$D$5:$D$504, '📅 Resumen Diario'!$B$5:$B$504, B807, '📅 Resumen Diario'!$C$5:$C$504, D807) * (SUMIFS('📋 Detalle Diario'!$E$5:$E$489, '📋 Detalle Diario'!$B$5:$B$489, B807, '📋 Detalle Diario'!$C$5:$C$489, D807) * 135 + SUMIFS('📋 Detalle Diario'!$I$5:$I$489, '📋 Detalle Diario'!$B$5:$B$489, B807, '📋 Detalle Diario'!$C$5:$C$489, D807) * 200), 0))</f>
        <v/>
      </c>
      <c r="P807" s="32" t="str">
        <f t="shared" si="89"/>
        <v/>
      </c>
      <c r="Q807" s="33" t="str">
        <f t="shared" si="90"/>
        <v/>
      </c>
    </row>
    <row r="808" spans="2:17" ht="18" customHeight="1" x14ac:dyDescent="0.3">
      <c r="B808" s="26"/>
      <c r="C808" s="17"/>
      <c r="D808" s="27"/>
      <c r="E808" s="18"/>
      <c r="F808" s="18"/>
      <c r="G808" s="18"/>
      <c r="H808" s="30" t="str">
        <f t="shared" si="84"/>
        <v/>
      </c>
      <c r="I808" s="31" t="str">
        <f>IF(OR(B808="",C808=""),"",IFERROR(E808*IF(E808="",0,VLOOKUP(C808,'📦 Precios Proforma'!$B$5:$D$104,IF(D808="DIA",2,3),FALSE)),0))</f>
        <v/>
      </c>
      <c r="J808" s="31" t="str">
        <f t="shared" si="85"/>
        <v/>
      </c>
      <c r="K808" s="31" t="str">
        <f t="shared" si="86"/>
        <v/>
      </c>
      <c r="L808" s="31" t="str">
        <f>IF(OR(B808="",C808=""),"",IFERROR(E808 / SUMIFS('📅 Resumen Diario'!$D$5:$D$504, '📅 Resumen Diario'!$B$5:$B$504, B808, '📅 Resumen Diario'!$C$5:$C$504, D808) * SUMIFS('📅 Resumen Diario'!$K$5:$K$504, '📅 Resumen Diario'!$B$5:$B$504, B808, '📅 Resumen Diario'!$C$5:$C$504, D808), 0))</f>
        <v/>
      </c>
      <c r="M808" s="31" t="str">
        <f t="shared" si="87"/>
        <v/>
      </c>
      <c r="N808" s="31" t="str">
        <f t="shared" si="88"/>
        <v/>
      </c>
      <c r="O808" s="31" t="str">
        <f>IF(OR(B808="",C808=""),"",K808-N808 + IFERROR(E808 / SUMIFS('📅 Resumen Diario'!$D$5:$D$504, '📅 Resumen Diario'!$B$5:$B$504, B808, '📅 Resumen Diario'!$C$5:$C$504, D808) * (SUMIFS('📋 Detalle Diario'!$E$5:$E$489, '📋 Detalle Diario'!$B$5:$B$489, B808, '📋 Detalle Diario'!$C$5:$C$489, D808) * 135 + SUMIFS('📋 Detalle Diario'!$I$5:$I$489, '📋 Detalle Diario'!$B$5:$B$489, B808, '📋 Detalle Diario'!$C$5:$C$489, D808) * 200), 0))</f>
        <v/>
      </c>
      <c r="P808" s="32" t="str">
        <f t="shared" si="89"/>
        <v/>
      </c>
      <c r="Q808" s="33" t="str">
        <f t="shared" si="90"/>
        <v/>
      </c>
    </row>
    <row r="809" spans="2:17" ht="18" customHeight="1" x14ac:dyDescent="0.3">
      <c r="B809" s="26"/>
      <c r="C809" s="28"/>
      <c r="D809" s="27"/>
      <c r="E809" s="29"/>
      <c r="F809" s="29"/>
      <c r="G809" s="29"/>
      <c r="H809" s="30" t="str">
        <f t="shared" si="84"/>
        <v/>
      </c>
      <c r="I809" s="31" t="str">
        <f>IF(OR(B809="",C809=""),"",IFERROR(E809*IF(E809="",0,VLOOKUP(C809,'📦 Precios Proforma'!$B$5:$D$104,IF(D809="DIA",2,3),FALSE)),0))</f>
        <v/>
      </c>
      <c r="J809" s="31" t="str">
        <f t="shared" si="85"/>
        <v/>
      </c>
      <c r="K809" s="31" t="str">
        <f t="shared" si="86"/>
        <v/>
      </c>
      <c r="L809" s="31" t="str">
        <f>IF(OR(B809="",C809=""),"",IFERROR(E809 / SUMIFS('📅 Resumen Diario'!$D$5:$D$504, '📅 Resumen Diario'!$B$5:$B$504, B809, '📅 Resumen Diario'!$C$5:$C$504, D809) * SUMIFS('📅 Resumen Diario'!$K$5:$K$504, '📅 Resumen Diario'!$B$5:$B$504, B809, '📅 Resumen Diario'!$C$5:$C$504, D809), 0))</f>
        <v/>
      </c>
      <c r="M809" s="31" t="str">
        <f t="shared" si="87"/>
        <v/>
      </c>
      <c r="N809" s="31" t="str">
        <f t="shared" si="88"/>
        <v/>
      </c>
      <c r="O809" s="31" t="str">
        <f>IF(OR(B809="",C809=""),"",K809-N809 + IFERROR(E809 / SUMIFS('📅 Resumen Diario'!$D$5:$D$504, '📅 Resumen Diario'!$B$5:$B$504, B809, '📅 Resumen Diario'!$C$5:$C$504, D809) * (SUMIFS('📋 Detalle Diario'!$E$5:$E$489, '📋 Detalle Diario'!$B$5:$B$489, B809, '📋 Detalle Diario'!$C$5:$C$489, D809) * 135 + SUMIFS('📋 Detalle Diario'!$I$5:$I$489, '📋 Detalle Diario'!$B$5:$B$489, B809, '📋 Detalle Diario'!$C$5:$C$489, D809) * 200), 0))</f>
        <v/>
      </c>
      <c r="P809" s="32" t="str">
        <f t="shared" si="89"/>
        <v/>
      </c>
      <c r="Q809" s="33" t="str">
        <f t="shared" si="90"/>
        <v/>
      </c>
    </row>
    <row r="810" spans="2:17" ht="18" customHeight="1" x14ac:dyDescent="0.3">
      <c r="B810" s="26"/>
      <c r="C810" s="17"/>
      <c r="D810" s="27"/>
      <c r="E810" s="18"/>
      <c r="F810" s="18"/>
      <c r="G810" s="18"/>
      <c r="H810" s="30" t="str">
        <f t="shared" si="84"/>
        <v/>
      </c>
      <c r="I810" s="31" t="str">
        <f>IF(OR(B810="",C810=""),"",IFERROR(E810*IF(E810="",0,VLOOKUP(C810,'📦 Precios Proforma'!$B$5:$D$104,IF(D810="DIA",2,3),FALSE)),0))</f>
        <v/>
      </c>
      <c r="J810" s="31" t="str">
        <f t="shared" si="85"/>
        <v/>
      </c>
      <c r="K810" s="31" t="str">
        <f t="shared" si="86"/>
        <v/>
      </c>
      <c r="L810" s="31" t="str">
        <f>IF(OR(B810="",C810=""),"",IFERROR(E810 / SUMIFS('📅 Resumen Diario'!$D$5:$D$504, '📅 Resumen Diario'!$B$5:$B$504, B810, '📅 Resumen Diario'!$C$5:$C$504, D810) * SUMIFS('📅 Resumen Diario'!$K$5:$K$504, '📅 Resumen Diario'!$B$5:$B$504, B810, '📅 Resumen Diario'!$C$5:$C$504, D810), 0))</f>
        <v/>
      </c>
      <c r="M810" s="31" t="str">
        <f t="shared" si="87"/>
        <v/>
      </c>
      <c r="N810" s="31" t="str">
        <f t="shared" si="88"/>
        <v/>
      </c>
      <c r="O810" s="31" t="str">
        <f>IF(OR(B810="",C810=""),"",K810-N810 + IFERROR(E810 / SUMIFS('📅 Resumen Diario'!$D$5:$D$504, '📅 Resumen Diario'!$B$5:$B$504, B810, '📅 Resumen Diario'!$C$5:$C$504, D810) * (SUMIFS('📋 Detalle Diario'!$E$5:$E$489, '📋 Detalle Diario'!$B$5:$B$489, B810, '📋 Detalle Diario'!$C$5:$C$489, D810) * 135 + SUMIFS('📋 Detalle Diario'!$I$5:$I$489, '📋 Detalle Diario'!$B$5:$B$489, B810, '📋 Detalle Diario'!$C$5:$C$489, D810) * 200), 0))</f>
        <v/>
      </c>
      <c r="P810" s="32" t="str">
        <f t="shared" si="89"/>
        <v/>
      </c>
      <c r="Q810" s="33" t="str">
        <f t="shared" si="90"/>
        <v/>
      </c>
    </row>
    <row r="811" spans="2:17" ht="18" customHeight="1" x14ac:dyDescent="0.3">
      <c r="B811" s="26"/>
      <c r="C811" s="28"/>
      <c r="D811" s="27"/>
      <c r="E811" s="29"/>
      <c r="F811" s="29"/>
      <c r="G811" s="29"/>
      <c r="H811" s="30" t="str">
        <f t="shared" si="84"/>
        <v/>
      </c>
      <c r="I811" s="31" t="str">
        <f>IF(OR(B811="",C811=""),"",IFERROR(E811*IF(E811="",0,VLOOKUP(C811,'📦 Precios Proforma'!$B$5:$D$104,IF(D811="DIA",2,3),FALSE)),0))</f>
        <v/>
      </c>
      <c r="J811" s="31" t="str">
        <f t="shared" si="85"/>
        <v/>
      </c>
      <c r="K811" s="31" t="str">
        <f t="shared" si="86"/>
        <v/>
      </c>
      <c r="L811" s="31" t="str">
        <f>IF(OR(B811="",C811=""),"",IFERROR(E811 / SUMIFS('📅 Resumen Diario'!$D$5:$D$504, '📅 Resumen Diario'!$B$5:$B$504, B811, '📅 Resumen Diario'!$C$5:$C$504, D811) * SUMIFS('📅 Resumen Diario'!$K$5:$K$504, '📅 Resumen Diario'!$B$5:$B$504, B811, '📅 Resumen Diario'!$C$5:$C$504, D811), 0))</f>
        <v/>
      </c>
      <c r="M811" s="31" t="str">
        <f t="shared" si="87"/>
        <v/>
      </c>
      <c r="N811" s="31" t="str">
        <f t="shared" si="88"/>
        <v/>
      </c>
      <c r="O811" s="31" t="str">
        <f>IF(OR(B811="",C811=""),"",K811-N811 + IFERROR(E811 / SUMIFS('📅 Resumen Diario'!$D$5:$D$504, '📅 Resumen Diario'!$B$5:$B$504, B811, '📅 Resumen Diario'!$C$5:$C$504, D811) * (SUMIFS('📋 Detalle Diario'!$E$5:$E$489, '📋 Detalle Diario'!$B$5:$B$489, B811, '📋 Detalle Diario'!$C$5:$C$489, D811) * 135 + SUMIFS('📋 Detalle Diario'!$I$5:$I$489, '📋 Detalle Diario'!$B$5:$B$489, B811, '📋 Detalle Diario'!$C$5:$C$489, D811) * 200), 0))</f>
        <v/>
      </c>
      <c r="P811" s="32" t="str">
        <f t="shared" si="89"/>
        <v/>
      </c>
      <c r="Q811" s="33" t="str">
        <f t="shared" si="90"/>
        <v/>
      </c>
    </row>
    <row r="812" spans="2:17" ht="18" customHeight="1" x14ac:dyDescent="0.3">
      <c r="B812" s="26"/>
      <c r="C812" s="17"/>
      <c r="D812" s="27"/>
      <c r="E812" s="18"/>
      <c r="F812" s="18"/>
      <c r="G812" s="18"/>
      <c r="H812" s="30" t="str">
        <f t="shared" si="84"/>
        <v/>
      </c>
      <c r="I812" s="31" t="str">
        <f>IF(OR(B812="",C812=""),"",IFERROR(E812*IF(E812="",0,VLOOKUP(C812,'📦 Precios Proforma'!$B$5:$D$104,IF(D812="DIA",2,3),FALSE)),0))</f>
        <v/>
      </c>
      <c r="J812" s="31" t="str">
        <f t="shared" si="85"/>
        <v/>
      </c>
      <c r="K812" s="31" t="str">
        <f t="shared" si="86"/>
        <v/>
      </c>
      <c r="L812" s="31" t="str">
        <f>IF(OR(B812="",C812=""),"",IFERROR(E812 / SUMIFS('📅 Resumen Diario'!$D$5:$D$504, '📅 Resumen Diario'!$B$5:$B$504, B812, '📅 Resumen Diario'!$C$5:$C$504, D812) * SUMIFS('📅 Resumen Diario'!$K$5:$K$504, '📅 Resumen Diario'!$B$5:$B$504, B812, '📅 Resumen Diario'!$C$5:$C$504, D812), 0))</f>
        <v/>
      </c>
      <c r="M812" s="31" t="str">
        <f t="shared" si="87"/>
        <v/>
      </c>
      <c r="N812" s="31" t="str">
        <f t="shared" si="88"/>
        <v/>
      </c>
      <c r="O812" s="31" t="str">
        <f>IF(OR(B812="",C812=""),"",K812-N812 + IFERROR(E812 / SUMIFS('📅 Resumen Diario'!$D$5:$D$504, '📅 Resumen Diario'!$B$5:$B$504, B812, '📅 Resumen Diario'!$C$5:$C$504, D812) * (SUMIFS('📋 Detalle Diario'!$E$5:$E$489, '📋 Detalle Diario'!$B$5:$B$489, B812, '📋 Detalle Diario'!$C$5:$C$489, D812) * 135 + SUMIFS('📋 Detalle Diario'!$I$5:$I$489, '📋 Detalle Diario'!$B$5:$B$489, B812, '📋 Detalle Diario'!$C$5:$C$489, D812) * 200), 0))</f>
        <v/>
      </c>
      <c r="P812" s="32" t="str">
        <f t="shared" si="89"/>
        <v/>
      </c>
      <c r="Q812" s="33" t="str">
        <f t="shared" si="90"/>
        <v/>
      </c>
    </row>
    <row r="813" spans="2:17" ht="18" customHeight="1" x14ac:dyDescent="0.3">
      <c r="B813" s="26"/>
      <c r="C813" s="28"/>
      <c r="D813" s="27"/>
      <c r="E813" s="29"/>
      <c r="F813" s="29"/>
      <c r="G813" s="29"/>
      <c r="H813" s="30" t="str">
        <f t="shared" si="84"/>
        <v/>
      </c>
      <c r="I813" s="31" t="str">
        <f>IF(OR(B813="",C813=""),"",IFERROR(E813*IF(E813="",0,VLOOKUP(C813,'📦 Precios Proforma'!$B$5:$D$104,IF(D813="DIA",2,3),FALSE)),0))</f>
        <v/>
      </c>
      <c r="J813" s="31" t="str">
        <f t="shared" si="85"/>
        <v/>
      </c>
      <c r="K813" s="31" t="str">
        <f t="shared" si="86"/>
        <v/>
      </c>
      <c r="L813" s="31" t="str">
        <f>IF(OR(B813="",C813=""),"",IFERROR(E813 / SUMIFS('📅 Resumen Diario'!$D$5:$D$504, '📅 Resumen Diario'!$B$5:$B$504, B813, '📅 Resumen Diario'!$C$5:$C$504, D813) * SUMIFS('📅 Resumen Diario'!$K$5:$K$504, '📅 Resumen Diario'!$B$5:$B$504, B813, '📅 Resumen Diario'!$C$5:$C$504, D813), 0))</f>
        <v/>
      </c>
      <c r="M813" s="31" t="str">
        <f t="shared" si="87"/>
        <v/>
      </c>
      <c r="N813" s="31" t="str">
        <f t="shared" si="88"/>
        <v/>
      </c>
      <c r="O813" s="31" t="str">
        <f>IF(OR(B813="",C813=""),"",K813-N813 + IFERROR(E813 / SUMIFS('📅 Resumen Diario'!$D$5:$D$504, '📅 Resumen Diario'!$B$5:$B$504, B813, '📅 Resumen Diario'!$C$5:$C$504, D813) * (SUMIFS('📋 Detalle Diario'!$E$5:$E$489, '📋 Detalle Diario'!$B$5:$B$489, B813, '📋 Detalle Diario'!$C$5:$C$489, D813) * 135 + SUMIFS('📋 Detalle Diario'!$I$5:$I$489, '📋 Detalle Diario'!$B$5:$B$489, B813, '📋 Detalle Diario'!$C$5:$C$489, D813) * 200), 0))</f>
        <v/>
      </c>
      <c r="P813" s="32" t="str">
        <f t="shared" si="89"/>
        <v/>
      </c>
      <c r="Q813" s="33" t="str">
        <f t="shared" si="90"/>
        <v/>
      </c>
    </row>
    <row r="814" spans="2:17" ht="18" customHeight="1" x14ac:dyDescent="0.3">
      <c r="B814" s="26"/>
      <c r="C814" s="17"/>
      <c r="D814" s="27"/>
      <c r="E814" s="18"/>
      <c r="F814" s="18"/>
      <c r="G814" s="18"/>
      <c r="H814" s="30" t="str">
        <f t="shared" si="84"/>
        <v/>
      </c>
      <c r="I814" s="31" t="str">
        <f>IF(OR(B814="",C814=""),"",IFERROR(E814*IF(E814="",0,VLOOKUP(C814,'📦 Precios Proforma'!$B$5:$D$104,IF(D814="DIA",2,3),FALSE)),0))</f>
        <v/>
      </c>
      <c r="J814" s="31" t="str">
        <f t="shared" si="85"/>
        <v/>
      </c>
      <c r="K814" s="31" t="str">
        <f t="shared" si="86"/>
        <v/>
      </c>
      <c r="L814" s="31" t="str">
        <f>IF(OR(B814="",C814=""),"",IFERROR(E814 / SUMIFS('📅 Resumen Diario'!$D$5:$D$504, '📅 Resumen Diario'!$B$5:$B$504, B814, '📅 Resumen Diario'!$C$5:$C$504, D814) * SUMIFS('📅 Resumen Diario'!$K$5:$K$504, '📅 Resumen Diario'!$B$5:$B$504, B814, '📅 Resumen Diario'!$C$5:$C$504, D814), 0))</f>
        <v/>
      </c>
      <c r="M814" s="31" t="str">
        <f t="shared" si="87"/>
        <v/>
      </c>
      <c r="N814" s="31" t="str">
        <f t="shared" si="88"/>
        <v/>
      </c>
      <c r="O814" s="31" t="str">
        <f>IF(OR(B814="",C814=""),"",K814-N814 + IFERROR(E814 / SUMIFS('📅 Resumen Diario'!$D$5:$D$504, '📅 Resumen Diario'!$B$5:$B$504, B814, '📅 Resumen Diario'!$C$5:$C$504, D814) * (SUMIFS('📋 Detalle Diario'!$E$5:$E$489, '📋 Detalle Diario'!$B$5:$B$489, B814, '📋 Detalle Diario'!$C$5:$C$489, D814) * 135 + SUMIFS('📋 Detalle Diario'!$I$5:$I$489, '📋 Detalle Diario'!$B$5:$B$489, B814, '📋 Detalle Diario'!$C$5:$C$489, D814) * 200), 0))</f>
        <v/>
      </c>
      <c r="P814" s="32" t="str">
        <f t="shared" si="89"/>
        <v/>
      </c>
      <c r="Q814" s="33" t="str">
        <f t="shared" si="90"/>
        <v/>
      </c>
    </row>
    <row r="815" spans="2:17" ht="18" customHeight="1" x14ac:dyDescent="0.3">
      <c r="B815" s="26"/>
      <c r="C815" s="28"/>
      <c r="D815" s="27"/>
      <c r="E815" s="29"/>
      <c r="F815" s="29"/>
      <c r="G815" s="29"/>
      <c r="H815" s="30" t="str">
        <f t="shared" si="84"/>
        <v/>
      </c>
      <c r="I815" s="31" t="str">
        <f>IF(OR(B815="",C815=""),"",IFERROR(E815*IF(E815="",0,VLOOKUP(C815,'📦 Precios Proforma'!$B$5:$D$104,IF(D815="DIA",2,3),FALSE)),0))</f>
        <v/>
      </c>
      <c r="J815" s="31" t="str">
        <f t="shared" si="85"/>
        <v/>
      </c>
      <c r="K815" s="31" t="str">
        <f t="shared" si="86"/>
        <v/>
      </c>
      <c r="L815" s="31" t="str">
        <f>IF(OR(B815="",C815=""),"",IFERROR(E815 / SUMIFS('📅 Resumen Diario'!$D$5:$D$504, '📅 Resumen Diario'!$B$5:$B$504, B815, '📅 Resumen Diario'!$C$5:$C$504, D815) * SUMIFS('📅 Resumen Diario'!$K$5:$K$504, '📅 Resumen Diario'!$B$5:$B$504, B815, '📅 Resumen Diario'!$C$5:$C$504, D815), 0))</f>
        <v/>
      </c>
      <c r="M815" s="31" t="str">
        <f t="shared" si="87"/>
        <v/>
      </c>
      <c r="N815" s="31" t="str">
        <f t="shared" si="88"/>
        <v/>
      </c>
      <c r="O815" s="31" t="str">
        <f>IF(OR(B815="",C815=""),"",K815-N815 + IFERROR(E815 / SUMIFS('📅 Resumen Diario'!$D$5:$D$504, '📅 Resumen Diario'!$B$5:$B$504, B815, '📅 Resumen Diario'!$C$5:$C$504, D815) * (SUMIFS('📋 Detalle Diario'!$E$5:$E$489, '📋 Detalle Diario'!$B$5:$B$489, B815, '📋 Detalle Diario'!$C$5:$C$489, D815) * 135 + SUMIFS('📋 Detalle Diario'!$I$5:$I$489, '📋 Detalle Diario'!$B$5:$B$489, B815, '📋 Detalle Diario'!$C$5:$C$489, D815) * 200), 0))</f>
        <v/>
      </c>
      <c r="P815" s="32" t="str">
        <f t="shared" si="89"/>
        <v/>
      </c>
      <c r="Q815" s="33" t="str">
        <f t="shared" si="90"/>
        <v/>
      </c>
    </row>
    <row r="816" spans="2:17" ht="18" customHeight="1" x14ac:dyDescent="0.3">
      <c r="B816" s="26"/>
      <c r="C816" s="17"/>
      <c r="D816" s="27"/>
      <c r="E816" s="18"/>
      <c r="F816" s="18"/>
      <c r="G816" s="18"/>
      <c r="H816" s="30" t="str">
        <f t="shared" si="84"/>
        <v/>
      </c>
      <c r="I816" s="31" t="str">
        <f>IF(OR(B816="",C816=""),"",IFERROR(E816*IF(E816="",0,VLOOKUP(C816,'📦 Precios Proforma'!$B$5:$D$104,IF(D816="DIA",2,3),FALSE)),0))</f>
        <v/>
      </c>
      <c r="J816" s="31" t="str">
        <f t="shared" si="85"/>
        <v/>
      </c>
      <c r="K816" s="31" t="str">
        <f t="shared" si="86"/>
        <v/>
      </c>
      <c r="L816" s="31" t="str">
        <f>IF(OR(B816="",C816=""),"",IFERROR(E816 / SUMIFS('📅 Resumen Diario'!$D$5:$D$504, '📅 Resumen Diario'!$B$5:$B$504, B816, '📅 Resumen Diario'!$C$5:$C$504, D816) * SUMIFS('📅 Resumen Diario'!$K$5:$K$504, '📅 Resumen Diario'!$B$5:$B$504, B816, '📅 Resumen Diario'!$C$5:$C$504, D816), 0))</f>
        <v/>
      </c>
      <c r="M816" s="31" t="str">
        <f t="shared" si="87"/>
        <v/>
      </c>
      <c r="N816" s="31" t="str">
        <f t="shared" si="88"/>
        <v/>
      </c>
      <c r="O816" s="31" t="str">
        <f>IF(OR(B816="",C816=""),"",K816-N816 + IFERROR(E816 / SUMIFS('📅 Resumen Diario'!$D$5:$D$504, '📅 Resumen Diario'!$B$5:$B$504, B816, '📅 Resumen Diario'!$C$5:$C$504, D816) * (SUMIFS('📋 Detalle Diario'!$E$5:$E$489, '📋 Detalle Diario'!$B$5:$B$489, B816, '📋 Detalle Diario'!$C$5:$C$489, D816) * 135 + SUMIFS('📋 Detalle Diario'!$I$5:$I$489, '📋 Detalle Diario'!$B$5:$B$489, B816, '📋 Detalle Diario'!$C$5:$C$489, D816) * 200), 0))</f>
        <v/>
      </c>
      <c r="P816" s="32" t="str">
        <f t="shared" si="89"/>
        <v/>
      </c>
      <c r="Q816" s="33" t="str">
        <f t="shared" si="90"/>
        <v/>
      </c>
    </row>
    <row r="817" spans="2:17" ht="18" customHeight="1" x14ac:dyDescent="0.3">
      <c r="B817" s="26"/>
      <c r="C817" s="28"/>
      <c r="D817" s="27"/>
      <c r="E817" s="29"/>
      <c r="F817" s="29"/>
      <c r="G817" s="29"/>
      <c r="H817" s="30" t="str">
        <f t="shared" si="84"/>
        <v/>
      </c>
      <c r="I817" s="31" t="str">
        <f>IF(OR(B817="",C817=""),"",IFERROR(E817*IF(E817="",0,VLOOKUP(C817,'📦 Precios Proforma'!$B$5:$D$104,IF(D817="DIA",2,3),FALSE)),0))</f>
        <v/>
      </c>
      <c r="J817" s="31" t="str">
        <f t="shared" si="85"/>
        <v/>
      </c>
      <c r="K817" s="31" t="str">
        <f t="shared" si="86"/>
        <v/>
      </c>
      <c r="L817" s="31" t="str">
        <f>IF(OR(B817="",C817=""),"",IFERROR(E817 / SUMIFS('📅 Resumen Diario'!$D$5:$D$504, '📅 Resumen Diario'!$B$5:$B$504, B817, '📅 Resumen Diario'!$C$5:$C$504, D817) * SUMIFS('📅 Resumen Diario'!$K$5:$K$504, '📅 Resumen Diario'!$B$5:$B$504, B817, '📅 Resumen Diario'!$C$5:$C$504, D817), 0))</f>
        <v/>
      </c>
      <c r="M817" s="31" t="str">
        <f t="shared" si="87"/>
        <v/>
      </c>
      <c r="N817" s="31" t="str">
        <f t="shared" si="88"/>
        <v/>
      </c>
      <c r="O817" s="31" t="str">
        <f>IF(OR(B817="",C817=""),"",K817-N817 + IFERROR(E817 / SUMIFS('📅 Resumen Diario'!$D$5:$D$504, '📅 Resumen Diario'!$B$5:$B$504, B817, '📅 Resumen Diario'!$C$5:$C$504, D817) * (SUMIFS('📋 Detalle Diario'!$E$5:$E$489, '📋 Detalle Diario'!$B$5:$B$489, B817, '📋 Detalle Diario'!$C$5:$C$489, D817) * 135 + SUMIFS('📋 Detalle Diario'!$I$5:$I$489, '📋 Detalle Diario'!$B$5:$B$489, B817, '📋 Detalle Diario'!$C$5:$C$489, D817) * 200), 0))</f>
        <v/>
      </c>
      <c r="P817" s="32" t="str">
        <f t="shared" si="89"/>
        <v/>
      </c>
      <c r="Q817" s="33" t="str">
        <f t="shared" si="90"/>
        <v/>
      </c>
    </row>
    <row r="818" spans="2:17" ht="18" customHeight="1" x14ac:dyDescent="0.3">
      <c r="B818" s="26"/>
      <c r="C818" s="17"/>
      <c r="D818" s="27"/>
      <c r="E818" s="18"/>
      <c r="F818" s="18"/>
      <c r="G818" s="18"/>
      <c r="H818" s="30" t="str">
        <f t="shared" si="84"/>
        <v/>
      </c>
      <c r="I818" s="31" t="str">
        <f>IF(OR(B818="",C818=""),"",IFERROR(E818*IF(E818="",0,VLOOKUP(C818,'📦 Precios Proforma'!$B$5:$D$104,IF(D818="DIA",2,3),FALSE)),0))</f>
        <v/>
      </c>
      <c r="J818" s="31" t="str">
        <f t="shared" si="85"/>
        <v/>
      </c>
      <c r="K818" s="31" t="str">
        <f t="shared" si="86"/>
        <v/>
      </c>
      <c r="L818" s="31" t="str">
        <f>IF(OR(B818="",C818=""),"",IFERROR(E818 / SUMIFS('📅 Resumen Diario'!$D$5:$D$504, '📅 Resumen Diario'!$B$5:$B$504, B818, '📅 Resumen Diario'!$C$5:$C$504, D818) * SUMIFS('📅 Resumen Diario'!$K$5:$K$504, '📅 Resumen Diario'!$B$5:$B$504, B818, '📅 Resumen Diario'!$C$5:$C$504, D818), 0))</f>
        <v/>
      </c>
      <c r="M818" s="31" t="str">
        <f t="shared" si="87"/>
        <v/>
      </c>
      <c r="N818" s="31" t="str">
        <f t="shared" si="88"/>
        <v/>
      </c>
      <c r="O818" s="31" t="str">
        <f>IF(OR(B818="",C818=""),"",K818-N818 + IFERROR(E818 / SUMIFS('📅 Resumen Diario'!$D$5:$D$504, '📅 Resumen Diario'!$B$5:$B$504, B818, '📅 Resumen Diario'!$C$5:$C$504, D818) * (SUMIFS('📋 Detalle Diario'!$E$5:$E$489, '📋 Detalle Diario'!$B$5:$B$489, B818, '📋 Detalle Diario'!$C$5:$C$489, D818) * 135 + SUMIFS('📋 Detalle Diario'!$I$5:$I$489, '📋 Detalle Diario'!$B$5:$B$489, B818, '📋 Detalle Diario'!$C$5:$C$489, D818) * 200), 0))</f>
        <v/>
      </c>
      <c r="P818" s="32" t="str">
        <f t="shared" si="89"/>
        <v/>
      </c>
      <c r="Q818" s="33" t="str">
        <f t="shared" si="90"/>
        <v/>
      </c>
    </row>
    <row r="819" spans="2:17" ht="18" customHeight="1" x14ac:dyDescent="0.3">
      <c r="B819" s="26"/>
      <c r="C819" s="28"/>
      <c r="D819" s="27"/>
      <c r="E819" s="29"/>
      <c r="F819" s="29"/>
      <c r="G819" s="29"/>
      <c r="H819" s="30" t="str">
        <f t="shared" si="84"/>
        <v/>
      </c>
      <c r="I819" s="31" t="str">
        <f>IF(OR(B819="",C819=""),"",IFERROR(E819*IF(E819="",0,VLOOKUP(C819,'📦 Precios Proforma'!$B$5:$D$104,IF(D819="DIA",2,3),FALSE)),0))</f>
        <v/>
      </c>
      <c r="J819" s="31" t="str">
        <f t="shared" si="85"/>
        <v/>
      </c>
      <c r="K819" s="31" t="str">
        <f t="shared" si="86"/>
        <v/>
      </c>
      <c r="L819" s="31" t="str">
        <f>IF(OR(B819="",C819=""),"",IFERROR(E819 / SUMIFS('📅 Resumen Diario'!$D$5:$D$504, '📅 Resumen Diario'!$B$5:$B$504, B819, '📅 Resumen Diario'!$C$5:$C$504, D819) * SUMIFS('📅 Resumen Diario'!$K$5:$K$504, '📅 Resumen Diario'!$B$5:$B$504, B819, '📅 Resumen Diario'!$C$5:$C$504, D819), 0))</f>
        <v/>
      </c>
      <c r="M819" s="31" t="str">
        <f t="shared" si="87"/>
        <v/>
      </c>
      <c r="N819" s="31" t="str">
        <f t="shared" si="88"/>
        <v/>
      </c>
      <c r="O819" s="31" t="str">
        <f>IF(OR(B819="",C819=""),"",K819-N819 + IFERROR(E819 / SUMIFS('[2]�� Resumen Diario'!$D$5:$D$504, '📅 Resumen Diario'!$B$5:$B$504, B819, '📅 Resumen Diario'!$C$5:$C$504, D819) * (SUMIFS('📋 Detalle Diario'!$E$5:$E$489, '📋 Detalle Diario'!$B$5:$B$489, B819, '📋 Detalle Diario'!$C$5:$C$489, D819) * 135 + SUMIFS('📋 Detalle Diario'!$I$5:$I$489, '📋 Detalle Diario'!$B$5:$B$489, B819, '📋 Detalle Diario'!$C$5:$C$489, D819) * 200), 0))</f>
        <v/>
      </c>
      <c r="P819" s="32" t="str">
        <f t="shared" si="89"/>
        <v/>
      </c>
      <c r="Q819" s="33" t="str">
        <f t="shared" si="90"/>
        <v/>
      </c>
    </row>
    <row r="820" spans="2:17" ht="18" customHeight="1" x14ac:dyDescent="0.3">
      <c r="B820" s="26"/>
      <c r="C820" s="17"/>
      <c r="D820" s="27"/>
      <c r="E820" s="18"/>
      <c r="F820" s="18"/>
      <c r="G820" s="18"/>
      <c r="H820" s="30" t="str">
        <f t="shared" si="84"/>
        <v/>
      </c>
      <c r="I820" s="31" t="str">
        <f>IF(OR(B820="",C820=""),"",IFERROR(E820*IF(E820="",0,VLOOKUP(C820,'📦 Precios Proforma'!$B$5:$D$104,IF(D820="DIA",2,3),FALSE)),0))</f>
        <v/>
      </c>
      <c r="J820" s="31" t="str">
        <f t="shared" si="85"/>
        <v/>
      </c>
      <c r="K820" s="31" t="str">
        <f t="shared" si="86"/>
        <v/>
      </c>
      <c r="L820" s="31" t="str">
        <f>IF(OR(B820="",C820=""),"",IFERROR(E820 / SUMIFS('📅 Resumen Diario'!$D$5:$D$504, '📅 Resumen Diario'!$B$5:$B$504, B820, '📅 Resumen Diario'!$C$5:$C$504, D820) * SUMIFS('📅 Resumen Diario'!$K$5:$K$504, '📅 Resumen Diario'!$B$5:$B$504, B820, '📅 Resumen Diario'!$C$5:$C$504, D820), 0))</f>
        <v/>
      </c>
      <c r="M820" s="31" t="str">
        <f t="shared" si="87"/>
        <v/>
      </c>
      <c r="N820" s="31" t="str">
        <f t="shared" si="88"/>
        <v/>
      </c>
      <c r="O820" s="31" t="str">
        <f>IF(OR(B820="",C820=""),"",K820-N820 + IFERROR(E820 / SUMIFS('📅 Resumen Diario'!$D$5:$D$504, '📅 Resumen Diario'!$B$5:$B$504, B820, '📅 Resumen Diario'!$C$5:$C$504, D820) * (SUMIFS('📋 Detalle Diario'!$E$5:$E$489, '📋 Detalle Diario'!$B$5:$B$489, B820, '📋 Detalle Diario'!$C$5:$C$489, D820) * 135 + SUMIFS('📋 Detalle Diario'!$I$5:$I$489, '📋 Detalle Diario'!$B$5:$B$489, B820, '📋 Detalle Diario'!$C$5:$C$489, D820) * 200), 0))</f>
        <v/>
      </c>
      <c r="P820" s="32" t="str">
        <f t="shared" si="89"/>
        <v/>
      </c>
      <c r="Q820" s="33" t="str">
        <f t="shared" si="90"/>
        <v/>
      </c>
    </row>
    <row r="821" spans="2:17" ht="18" customHeight="1" x14ac:dyDescent="0.3">
      <c r="B821" s="26"/>
      <c r="C821" s="28"/>
      <c r="D821" s="27"/>
      <c r="E821" s="29"/>
      <c r="F821" s="29"/>
      <c r="G821" s="29"/>
      <c r="H821" s="30" t="str">
        <f t="shared" si="84"/>
        <v/>
      </c>
      <c r="I821" s="31" t="str">
        <f>IF(OR(B821="",C821=""),"",IFERROR(E821*IF(E821="",0,VLOOKUP(C821,'📦 Precios Proforma'!$B$5:$D$104,IF(D821="DIA",2,3),FALSE)),0))</f>
        <v/>
      </c>
      <c r="J821" s="31" t="str">
        <f t="shared" si="85"/>
        <v/>
      </c>
      <c r="K821" s="31" t="str">
        <f t="shared" si="86"/>
        <v/>
      </c>
      <c r="L821" s="31" t="str">
        <f>IF(OR(B821="",C821=""),"",IFERROR(E821 / SUMIFS('📅 Resumen Diario'!$D$5:$D$504, '📅 Resumen Diario'!$B$5:$B$504, B821, '📅 Resumen Diario'!$C$5:$C$504, D821) * SUMIFS('📅 Resumen Diario'!$K$5:$K$504, '📅 Resumen Diario'!$B$5:$B$504, B821, '📅 Resumen Diario'!$C$5:$C$504, D821), 0))</f>
        <v/>
      </c>
      <c r="M821" s="31" t="str">
        <f t="shared" si="87"/>
        <v/>
      </c>
      <c r="N821" s="31" t="str">
        <f t="shared" si="88"/>
        <v/>
      </c>
      <c r="O821" s="31" t="str">
        <f>IF(OR(B821="",C821=""),"",K821-N821 + IFERROR(E821 / SUMIFS('📅 Resumen Diario'!$D$5:$D$504, '📅 Resumen Diario'!$B$5:$B$504, B821, '📅 Resumen Diario'!$C$5:$C$504, D821) * (SUMIFS('📋 Detalle Diario'!$E$5:$E$489, '📋 Detalle Diario'!$B$5:$B$489, B821, '📋 Detalle Diario'!$C$5:$C$489, D821) * 135 + SUMIFS('📋 Detalle Diario'!$I$5:$I$489, '📋 Detalle Diario'!$B$5:$B$489, B821, '📋 Detalle Diario'!$C$5:$C$489, D821) * 200), 0))</f>
        <v/>
      </c>
      <c r="P821" s="32" t="str">
        <f t="shared" si="89"/>
        <v/>
      </c>
      <c r="Q821" s="33" t="str">
        <f t="shared" si="90"/>
        <v/>
      </c>
    </row>
    <row r="822" spans="2:17" ht="18" customHeight="1" x14ac:dyDescent="0.3">
      <c r="B822" s="26"/>
      <c r="C822" s="17"/>
      <c r="D822" s="27"/>
      <c r="E822" s="18"/>
      <c r="F822" s="18"/>
      <c r="G822" s="18"/>
      <c r="H822" s="30" t="str">
        <f t="shared" si="84"/>
        <v/>
      </c>
      <c r="I822" s="31" t="str">
        <f>IF(OR(B822="",C822=""),"",IFERROR(E822*IF(E822="",0,VLOOKUP(C822,'📦 Precios Proforma'!$B$5:$D$104,IF(D822="DIA",2,3),FALSE)),0))</f>
        <v/>
      </c>
      <c r="J822" s="31" t="str">
        <f t="shared" si="85"/>
        <v/>
      </c>
      <c r="K822" s="31" t="str">
        <f t="shared" si="86"/>
        <v/>
      </c>
      <c r="L822" s="31" t="str">
        <f>IF(OR(B822="",C822=""),"",IFERROR(E822 / SUMIFS('📅 Resumen Diario'!$D$5:$D$504, '📅 Resumen Diario'!$B$5:$B$504, B822, '📅 Resumen Diario'!$C$5:$C$504, D822) * SUMIFS('📅 Resumen Diario'!$K$5:$K$504, '📅 Resumen Diario'!$B$5:$B$504, B822, '📅 Resumen Diario'!$C$5:$C$504, D822), 0))</f>
        <v/>
      </c>
      <c r="M822" s="31" t="str">
        <f t="shared" si="87"/>
        <v/>
      </c>
      <c r="N822" s="31" t="str">
        <f t="shared" si="88"/>
        <v/>
      </c>
      <c r="O822" s="31" t="str">
        <f>IF(OR(B822="",C822=""),"",K822-N822 + IFERROR(E822 / SUMIFS('📅 Resumen Diario'!$D$5:$D$504, '📅 Resumen Diario'!$B$5:$B$504, B822, '📅 Resumen Diario'!$C$5:$C$504, D822) * (SUMIFS('📋 Detalle Diario'!$E$5:$E$489, '📋 Detalle Diario'!$B$5:$B$489, B822, '📋 Detalle Diario'!$C$5:$C$489, D822) * 135 + SUMIFS('📋 Detalle Diario'!$I$5:$I$489, '📋 Detalle Diario'!$B$5:$B$489, B822, '📋 Detalle Diario'!$C$5:$C$489, D822) * 200), 0))</f>
        <v/>
      </c>
      <c r="P822" s="32" t="str">
        <f t="shared" si="89"/>
        <v/>
      </c>
      <c r="Q822" s="33" t="str">
        <f t="shared" si="90"/>
        <v/>
      </c>
    </row>
    <row r="823" spans="2:17" ht="18" customHeight="1" x14ac:dyDescent="0.3">
      <c r="B823" s="26"/>
      <c r="C823" s="28"/>
      <c r="D823" s="27"/>
      <c r="E823" s="29"/>
      <c r="F823" s="29"/>
      <c r="G823" s="29"/>
      <c r="H823" s="30" t="str">
        <f t="shared" si="84"/>
        <v/>
      </c>
      <c r="I823" s="31" t="str">
        <f>IF(OR(B823="",C823=""),"",IFERROR(E823*IF(E823="",0,VLOOKUP(C823,'📦 Precios Proforma'!$B$5:$D$104,IF(D823="DIA",2,3),FALSE)),0))</f>
        <v/>
      </c>
      <c r="J823" s="31" t="str">
        <f t="shared" si="85"/>
        <v/>
      </c>
      <c r="K823" s="31" t="str">
        <f t="shared" si="86"/>
        <v/>
      </c>
      <c r="L823" s="31" t="str">
        <f>IF(OR(B823="",C823=""),"",IFERROR(E823 / SUMIFS('📅 Resumen Diario'!$D$5:$D$504, '📅 Resumen Diario'!$B$5:$B$504, B823, '📅 Resumen Diario'!$C$5:$C$504, D823) * SUMIFS('📅 Resumen Diario'!$K$5:$K$504, '📅 Resumen Diario'!$B$5:$B$504, B823, '📅 Resumen Diario'!$C$5:$C$504, D823), 0))</f>
        <v/>
      </c>
      <c r="M823" s="31" t="str">
        <f t="shared" si="87"/>
        <v/>
      </c>
      <c r="N823" s="31" t="str">
        <f t="shared" si="88"/>
        <v/>
      </c>
      <c r="O823" s="31" t="str">
        <f>IF(OR(B823="",C823=""),"",K823-N823 + IFERROR(E823 / SUMIFS('📅 Resumen Diario'!$D$5:$D$504, '📅 Resumen Diario'!$B$5:$B$504, B823, '📅 Resumen Diario'!$C$5:$C$504, D823) * (SUMIFS('📋 Detalle Diario'!$E$5:$E$489, '📋 Detalle Diario'!$B$5:$B$489, B823, '📋 Detalle Diario'!$C$5:$C$489, D823) * 135 + SUMIFS('📋 Detalle Diario'!$I$5:$I$489, '📋 Detalle Diario'!$B$5:$B$489, B823, '📋 Detalle Diario'!$C$5:$C$489, D823) * 200), 0))</f>
        <v/>
      </c>
      <c r="P823" s="32" t="str">
        <f t="shared" si="89"/>
        <v/>
      </c>
      <c r="Q823" s="33" t="str">
        <f t="shared" si="90"/>
        <v/>
      </c>
    </row>
    <row r="824" spans="2:17" ht="18" customHeight="1" x14ac:dyDescent="0.3">
      <c r="B824" s="26"/>
      <c r="C824" s="17"/>
      <c r="D824" s="27"/>
      <c r="E824" s="18"/>
      <c r="F824" s="18"/>
      <c r="G824" s="18"/>
      <c r="H824" s="30" t="str">
        <f t="shared" si="84"/>
        <v/>
      </c>
      <c r="I824" s="31" t="str">
        <f>IF(OR(B824="",C824=""),"",IFERROR(E824*IF(E824="",0,VLOOKUP(C824,'📦 Precios Proforma'!$B$5:$D$104,IF(D824="DIA",2,3),FALSE)),0))</f>
        <v/>
      </c>
      <c r="J824" s="31" t="str">
        <f t="shared" si="85"/>
        <v/>
      </c>
      <c r="K824" s="31" t="str">
        <f t="shared" si="86"/>
        <v/>
      </c>
      <c r="L824" s="31" t="str">
        <f>IF(OR(B824="",C824=""),"",IFERROR(E824 / SUMIFS('📅 Resumen Diario'!$D$5:$D$504, '📅 Resumen Diario'!$B$5:$B$504, B824, '📅 Resumen Diario'!$C$5:$C$504, D824) * SUMIFS('📅 Resumen Diario'!$K$5:$K$504, '📅 Resumen Diario'!$B$5:$B$504, B824, '📅 Resumen Diario'!$C$5:$C$504, D824), 0))</f>
        <v/>
      </c>
      <c r="M824" s="31" t="str">
        <f t="shared" si="87"/>
        <v/>
      </c>
      <c r="N824" s="31" t="str">
        <f t="shared" si="88"/>
        <v/>
      </c>
      <c r="O824" s="31" t="str">
        <f>IF(OR(B824="",C824=""),"",K824-N824 + IFERROR(E824 / SUMIFS('📅 Resumen Diario'!$D$5:$D$504, '📅 Resumen Diario'!$B$5:$B$504, B824, '📅 Resumen Diario'!$C$5:$C$504, D824) * (SUMIFS('📋 Detalle Diario'!$E$5:$E$489, '📋 Detalle Diario'!$B$5:$B$489, B824, '📋 Detalle Diario'!$C$5:$C$489, D824) * 135 + SUMIFS('📋 Detalle Diario'!$I$5:$I$489, '📋 Detalle Diario'!$B$5:$B$489, B824, '📋 Detalle Diario'!$C$5:$C$489, D824) * 200), 0))</f>
        <v/>
      </c>
      <c r="P824" s="32" t="str">
        <f t="shared" si="89"/>
        <v/>
      </c>
      <c r="Q824" s="33" t="str">
        <f t="shared" si="90"/>
        <v/>
      </c>
    </row>
    <row r="825" spans="2:17" ht="18" customHeight="1" x14ac:dyDescent="0.3">
      <c r="B825" s="26"/>
      <c r="C825" s="28"/>
      <c r="D825" s="27"/>
      <c r="E825" s="29"/>
      <c r="F825" s="29"/>
      <c r="G825" s="29"/>
      <c r="H825" s="30" t="str">
        <f t="shared" si="84"/>
        <v/>
      </c>
      <c r="I825" s="31" t="str">
        <f>IF(OR(B825="",C825=""),"",IFERROR(E825*IF(E825="",0,VLOOKUP(C825,'📦 Precios Proforma'!$B$5:$D$104,IF(D825="DIA",2,3),FALSE)),0))</f>
        <v/>
      </c>
      <c r="J825" s="31" t="str">
        <f t="shared" si="85"/>
        <v/>
      </c>
      <c r="K825" s="31" t="str">
        <f t="shared" si="86"/>
        <v/>
      </c>
      <c r="L825" s="31" t="str">
        <f>IF(OR(B825="",C825=""),"",IFERROR(E825 / SUMIFS('📅 Resumen Diario'!$D$5:$D$504, '📅 Resumen Diario'!$B$5:$B$504, B825, '📅 Resumen Diario'!$C$5:$C$504, D825) * SUMIFS('📅 Resumen Diario'!$K$5:$K$504, '📅 Resumen Diario'!$B$5:$B$504, B825, '📅 Resumen Diario'!$C$5:$C$504, D825), 0))</f>
        <v/>
      </c>
      <c r="M825" s="31" t="str">
        <f t="shared" si="87"/>
        <v/>
      </c>
      <c r="N825" s="31" t="str">
        <f t="shared" si="88"/>
        <v/>
      </c>
      <c r="O825" s="31" t="str">
        <f>IF(OR(B825="",C825=""),"",K825-N825 + IFERROR(E825 / SUMIFS('📅 Resumen Diario'!$D$5:$D$504, '📅 Resumen Diario'!$B$5:$B$504, B825, '📅 Resumen Diario'!$C$5:$C$504, D825) * (SUMIFS('📋 Detalle Diario'!$E$5:$E$489, '📋 Detalle Diario'!$B$5:$B$489, B825, '📋 Detalle Diario'!$C$5:$C$489, D825) * 135 + SUMIFS('📋 Detalle Diario'!$I$5:$I$489, '📋 Detalle Diario'!$B$5:$B$489, B825, '📋 Detalle Diario'!$C$5:$C$489, D825) * 200), 0))</f>
        <v/>
      </c>
      <c r="P825" s="32" t="str">
        <f t="shared" si="89"/>
        <v/>
      </c>
      <c r="Q825" s="33" t="str">
        <f t="shared" si="90"/>
        <v/>
      </c>
    </row>
    <row r="826" spans="2:17" ht="18" customHeight="1" x14ac:dyDescent="0.3">
      <c r="B826" s="26"/>
      <c r="C826" s="17"/>
      <c r="D826" s="27"/>
      <c r="E826" s="18"/>
      <c r="F826" s="18"/>
      <c r="G826" s="18"/>
      <c r="H826" s="30" t="str">
        <f t="shared" si="84"/>
        <v/>
      </c>
      <c r="I826" s="31" t="str">
        <f>IF(OR(B826="",C826=""),"",IFERROR(E826*IF(E826="",0,VLOOKUP(C826,'📦 Precios Proforma'!$B$5:$D$104,IF(D826="DIA",2,3),FALSE)),0))</f>
        <v/>
      </c>
      <c r="J826" s="31" t="str">
        <f t="shared" si="85"/>
        <v/>
      </c>
      <c r="K826" s="31" t="str">
        <f t="shared" si="86"/>
        <v/>
      </c>
      <c r="L826" s="31" t="str">
        <f>IF(OR(B826="",C826=""),"",IFERROR(E826 / SUMIFS('📅 Resumen Diario'!$D$5:$D$504, '📅 Resumen Diario'!$B$5:$B$504, B826, '📅 Resumen Diario'!$C$5:$C$504, D826) * SUMIFS('📅 Resumen Diario'!$K$5:$K$504, '📅 Resumen Diario'!$B$5:$B$504, B826, '📅 Resumen Diario'!$C$5:$C$504, D826), 0))</f>
        <v/>
      </c>
      <c r="M826" s="31" t="str">
        <f t="shared" si="87"/>
        <v/>
      </c>
      <c r="N826" s="31" t="str">
        <f t="shared" si="88"/>
        <v/>
      </c>
      <c r="O826" s="31" t="str">
        <f>IF(OR(B826="",C826=""),"",K826-N826 + IFERROR(E826 / SUMIFS('📅 Resumen Diario'!$D$5:$D$504, '📅 Resumen Diario'!$B$5:$B$504, B826, '📅 Resumen Diario'!$C$5:$C$504, D826) * (SUMIFS('📋 Detalle Diario'!$E$5:$E$489, '📋 Detalle Diario'!$B$5:$B$489, B826, '📋 Detalle Diario'!$C$5:$C$489, D826) * 135 + SUMIFS('📋 Detalle Diario'!$I$5:$I$489, '📋 Detalle Diario'!$B$5:$B$489, B826, '📋 Detalle Diario'!$C$5:$C$489, D826) * 200), 0))</f>
        <v/>
      </c>
      <c r="P826" s="32" t="str">
        <f t="shared" si="89"/>
        <v/>
      </c>
      <c r="Q826" s="33" t="str">
        <f t="shared" si="90"/>
        <v/>
      </c>
    </row>
    <row r="827" spans="2:17" ht="18" customHeight="1" x14ac:dyDescent="0.3">
      <c r="B827" s="26"/>
      <c r="C827" s="28"/>
      <c r="D827" s="27"/>
      <c r="E827" s="29"/>
      <c r="F827" s="29"/>
      <c r="G827" s="29"/>
      <c r="H827" s="30" t="str">
        <f t="shared" si="84"/>
        <v/>
      </c>
      <c r="I827" s="31" t="str">
        <f>IF(OR(B827="",C827=""),"",IFERROR(E827*IF(E827="",0,VLOOKUP(C827,'📦 Precios Proforma'!$B$5:$D$104,IF(D827="DIA",2,3),FALSE)),0))</f>
        <v/>
      </c>
      <c r="J827" s="31" t="str">
        <f t="shared" si="85"/>
        <v/>
      </c>
      <c r="K827" s="31" t="str">
        <f t="shared" si="86"/>
        <v/>
      </c>
      <c r="L827" s="31" t="str">
        <f>IF(OR(B827="",C827=""),"",IFERROR(E827 / SUMIFS('📅 Resumen Diario'!$D$5:$D$504, '📅 Resumen Diario'!$B$5:$B$504, B827, '📅 Resumen Diario'!$C$5:$C$504, D827) * SUMIFS('📅 Resumen Diario'!$K$5:$K$504, '📅 Resumen Diario'!$B$5:$B$504, B827, '📅 Resumen Diario'!$C$5:$C$504, D827), 0))</f>
        <v/>
      </c>
      <c r="M827" s="31" t="str">
        <f t="shared" si="87"/>
        <v/>
      </c>
      <c r="N827" s="31" t="str">
        <f t="shared" si="88"/>
        <v/>
      </c>
      <c r="O827" s="31" t="str">
        <f>IF(OR(B827="",C827=""),"",K827-N827 + IFERROR(E827 / SUMIFS('📅 Resumen Diario'!$D$5:$D$504, '📅 Resumen Diario'!$B$5:$B$504, B827, '📅 Resumen Diario'!$C$5:$C$504, D827) * (SUMIFS('📋 Detalle Diario'!$E$5:$E$489, '📋 Detalle Diario'!$B$5:$B$489, B827, '📋 Detalle Diario'!$C$5:$C$489, D827) * 135 + SUMIFS('📋 Detalle Diario'!$I$5:$I$489, '📋 Detalle Diario'!$B$5:$B$489, B827, '📋 Detalle Diario'!$C$5:$C$489, D827) * 200), 0))</f>
        <v/>
      </c>
      <c r="P827" s="32" t="str">
        <f t="shared" si="89"/>
        <v/>
      </c>
      <c r="Q827" s="33" t="str">
        <f t="shared" si="90"/>
        <v/>
      </c>
    </row>
    <row r="828" spans="2:17" ht="18" customHeight="1" x14ac:dyDescent="0.3">
      <c r="B828" s="26"/>
      <c r="C828" s="17"/>
      <c r="D828" s="27"/>
      <c r="E828" s="18"/>
      <c r="F828" s="18"/>
      <c r="G828" s="18"/>
      <c r="H828" s="30" t="str">
        <f t="shared" si="84"/>
        <v/>
      </c>
      <c r="I828" s="31" t="str">
        <f>IF(OR(B828="",C828=""),"",IFERROR(E828*IF(E828="",0,VLOOKUP(C828,'📦 Precios Proforma'!$B$5:$D$104,IF(D828="DIA",2,3),FALSE)),0))</f>
        <v/>
      </c>
      <c r="J828" s="31" t="str">
        <f t="shared" si="85"/>
        <v/>
      </c>
      <c r="K828" s="31" t="str">
        <f t="shared" si="86"/>
        <v/>
      </c>
      <c r="L828" s="31" t="str">
        <f>IF(OR(B828="",C828=""),"",IFERROR(E828 / SUMIFS('📅 Resumen Diario'!$D$5:$D$504, '📅 Resumen Diario'!$B$5:$B$504, B828, '📅 Resumen Diario'!$C$5:$C$504, D828) * SUMIFS('📅 Resumen Diario'!$K$5:$K$504, '📅 Resumen Diario'!$B$5:$B$504, B828, '📅 Resumen Diario'!$C$5:$C$504, D828), 0))</f>
        <v/>
      </c>
      <c r="M828" s="31" t="str">
        <f t="shared" si="87"/>
        <v/>
      </c>
      <c r="N828" s="31" t="str">
        <f t="shared" si="88"/>
        <v/>
      </c>
      <c r="O828" s="31" t="str">
        <f>IF(OR(B828="",C828=""),"",K828-N828 + IFERROR(E828 / SUMIFS('📅 Resumen Diario'!$D$5:$D$504, '📅 Resumen Diario'!$B$5:$B$504, B828, '📅 Resumen Diario'!$C$5:$C$504, D828) * (SUMIFS('📋 Detalle Diario'!$E$5:$E$489, '📋 Detalle Diario'!$B$5:$B$489, B828, '📋 Detalle Diario'!$C$5:$C$489, D828) * 135 + SUMIFS('📋 Detalle Diario'!$I$5:$I$489, '📋 Detalle Diario'!$B$5:$B$489, B828, '📋 Detalle Diario'!$C$5:$C$489, D828) * 200), 0))</f>
        <v/>
      </c>
      <c r="P828" s="32" t="str">
        <f t="shared" si="89"/>
        <v/>
      </c>
      <c r="Q828" s="33" t="str">
        <f t="shared" si="90"/>
        <v/>
      </c>
    </row>
    <row r="829" spans="2:17" ht="18" customHeight="1" x14ac:dyDescent="0.3">
      <c r="B829" s="26"/>
      <c r="C829" s="28"/>
      <c r="D829" s="27"/>
      <c r="E829" s="29"/>
      <c r="F829" s="29"/>
      <c r="G829" s="29"/>
      <c r="H829" s="30" t="str">
        <f t="shared" si="84"/>
        <v/>
      </c>
      <c r="I829" s="31" t="str">
        <f>IF(OR(B829="",C829=""),"",IFERROR(E829*IF(E829="",0,VLOOKUP(C829,'📦 Precios Proforma'!$B$5:$D$104,IF(D829="DIA",2,3),FALSE)),0))</f>
        <v/>
      </c>
      <c r="J829" s="31" t="str">
        <f t="shared" si="85"/>
        <v/>
      </c>
      <c r="K829" s="31" t="str">
        <f t="shared" si="86"/>
        <v/>
      </c>
      <c r="L829" s="31" t="str">
        <f>IF(OR(B829="",C829=""),"",IFERROR(E829 / SUMIFS('📅 Resumen Diario'!$D$5:$D$504, '📅 Resumen Diario'!$B$5:$B$504, B829, '📅 Resumen Diario'!$C$5:$C$504, D829) * SUMIFS('📅 Resumen Diario'!$K$5:$K$504, '📅 Resumen Diario'!$B$5:$B$504, B829, '📅 Resumen Diario'!$C$5:$C$504, D829), 0))</f>
        <v/>
      </c>
      <c r="M829" s="31" t="str">
        <f t="shared" si="87"/>
        <v/>
      </c>
      <c r="N829" s="31" t="str">
        <f t="shared" si="88"/>
        <v/>
      </c>
      <c r="O829" s="31" t="str">
        <f>IF(OR(B829="",C829=""),"",K829-N829 + IFERROR(E829 / SUMIFS('📅 Resumen Diario'!$D$5:$D$504, '📅 Resumen Diario'!$B$5:$B$504, B829, '📅 Resumen Diario'!$C$5:$C$504, D829) * (SUMIFS('📋 Detalle Diario'!$E$5:$E$489, '📋 Detalle Diario'!$B$5:$B$489, B829, '📋 Detalle Diario'!$C$5:$C$489, D829) * 135 + SUMIFS('📋 Detalle Diario'!$I$5:$I$489, '📋 Detalle Diario'!$B$5:$B$489, B829, '📋 Detalle Diario'!$C$5:$C$489, D829) * 200), 0))</f>
        <v/>
      </c>
      <c r="P829" s="32" t="str">
        <f t="shared" si="89"/>
        <v/>
      </c>
      <c r="Q829" s="33" t="str">
        <f t="shared" si="90"/>
        <v/>
      </c>
    </row>
    <row r="830" spans="2:17" ht="18" customHeight="1" x14ac:dyDescent="0.3">
      <c r="B830" s="26"/>
      <c r="C830" s="17"/>
      <c r="D830" s="27"/>
      <c r="E830" s="18"/>
      <c r="F830" s="18"/>
      <c r="G830" s="18"/>
      <c r="H830" s="30" t="str">
        <f t="shared" si="84"/>
        <v/>
      </c>
      <c r="I830" s="31" t="str">
        <f>IF(OR(B830="",C830=""),"",IFERROR(E830*IF(E830="",0,VLOOKUP(C830,'📦 Precios Proforma'!$B$5:$D$104,IF(D830="DIA",2,3),FALSE)),0))</f>
        <v/>
      </c>
      <c r="J830" s="31" t="str">
        <f t="shared" si="85"/>
        <v/>
      </c>
      <c r="K830" s="31" t="str">
        <f t="shared" si="86"/>
        <v/>
      </c>
      <c r="L830" s="31" t="str">
        <f>IF(OR(B830="",C830=""),"",IFERROR(E830 / SUMIFS('📅 Resumen Diario'!$D$5:$D$504, '📅 Resumen Diario'!$B$5:$B$504, B830, '📅 Resumen Diario'!$C$5:$C$504, D830) * SUMIFS('📅 Resumen Diario'!$K$5:$K$504, '📅 Resumen Diario'!$B$5:$B$504, B830, '📅 Resumen Diario'!$C$5:$C$504, D830), 0))</f>
        <v/>
      </c>
      <c r="M830" s="31" t="str">
        <f t="shared" si="87"/>
        <v/>
      </c>
      <c r="N830" s="31" t="str">
        <f t="shared" si="88"/>
        <v/>
      </c>
      <c r="O830" s="31" t="str">
        <f>IF(OR(B830="",C830=""),"",K830-N830 + IFERROR(E830 / SUMIFS('📅 Resumen Diario'!$D$5:$D$504, '📅 Resumen Diario'!$B$5:$B$504, B830, '📅 Resumen Diario'!$C$5:$C$504, D830) * (SUMIFS('📋 Detalle Diario'!$E$5:$E$489, '📋 Detalle Diario'!$B$5:$B$489, B830, '📋 Detalle Diario'!$C$5:$C$489, D830) * 135 + SUMIFS('📋 Detalle Diario'!$I$5:$I$489, '📋 Detalle Diario'!$B$5:$B$489, B830, '📋 Detalle Diario'!$C$5:$C$489, D830) * 200), 0))</f>
        <v/>
      </c>
      <c r="P830" s="32" t="str">
        <f t="shared" si="89"/>
        <v/>
      </c>
      <c r="Q830" s="33" t="str">
        <f t="shared" si="90"/>
        <v/>
      </c>
    </row>
    <row r="831" spans="2:17" ht="18" customHeight="1" x14ac:dyDescent="0.3">
      <c r="B831" s="26"/>
      <c r="C831" s="28"/>
      <c r="D831" s="27"/>
      <c r="E831" s="29"/>
      <c r="F831" s="29"/>
      <c r="G831" s="29"/>
      <c r="H831" s="30" t="str">
        <f t="shared" si="84"/>
        <v/>
      </c>
      <c r="I831" s="31" t="str">
        <f>IF(OR(B831="",C831=""),"",IFERROR(E831*IF(E831="",0,VLOOKUP(C831,'📦 Precios Proforma'!$B$5:$D$104,IF(D831="DIA",2,3),FALSE)),0))</f>
        <v/>
      </c>
      <c r="J831" s="31" t="str">
        <f t="shared" si="85"/>
        <v/>
      </c>
      <c r="K831" s="31" t="str">
        <f t="shared" si="86"/>
        <v/>
      </c>
      <c r="L831" s="31" t="str">
        <f>IF(OR(B831="",C831=""),"",IFERROR(E831 / SUMIFS('📅 Resumen Diario'!$D$5:$D$504, '📅 Resumen Diario'!$B$5:$B$504, B831, '📅 Resumen Diario'!$C$5:$C$504, D831) * SUMIFS('📅 Resumen Diario'!$K$5:$K$504, '📅 Resumen Diario'!$B$5:$B$504, B831, '📅 Resumen Diario'!$C$5:$C$504, D831), 0))</f>
        <v/>
      </c>
      <c r="M831" s="31" t="str">
        <f t="shared" si="87"/>
        <v/>
      </c>
      <c r="N831" s="31" t="str">
        <f t="shared" si="88"/>
        <v/>
      </c>
      <c r="O831" s="31" t="str">
        <f>IF(OR(B831="",C831=""),"",K831-N831 + IFERROR(E831 / SUMIFS('📅 Resumen Diario'!$D$5:$D$504, '📅 Resumen Diario'!$B$5:$B$504, B831, '📅 Resumen Diario'!$C$5:$C$504, D831) * (SUMIFS('📋 Detalle Diario'!$E$5:$E$489, '📋 Detalle Diario'!$B$5:$B$489, B831, '📋 Detalle Diario'!$C$5:$C$489, D831) * 135 + SUMIFS('📋 Detalle Diario'!$I$5:$I$489, '📋 Detalle Diario'!$B$5:$B$489, B831, '📋 Detalle Diario'!$C$5:$C$489, D831) * 200), 0))</f>
        <v/>
      </c>
      <c r="P831" s="32" t="str">
        <f t="shared" si="89"/>
        <v/>
      </c>
      <c r="Q831" s="33" t="str">
        <f t="shared" si="90"/>
        <v/>
      </c>
    </row>
    <row r="832" spans="2:17" ht="18" customHeight="1" x14ac:dyDescent="0.3">
      <c r="B832" s="26"/>
      <c r="C832" s="17"/>
      <c r="D832" s="27"/>
      <c r="E832" s="18"/>
      <c r="F832" s="18"/>
      <c r="G832" s="18"/>
      <c r="H832" s="30" t="str">
        <f t="shared" si="84"/>
        <v/>
      </c>
      <c r="I832" s="31" t="str">
        <f>IF(OR(B832="",C832=""),"",IFERROR(E832*IF(E832="",0,VLOOKUP(C832,'📦 Precios Proforma'!$B$5:$D$104,IF(D832="DIA",2,3),FALSE)),0))</f>
        <v/>
      </c>
      <c r="J832" s="31" t="str">
        <f t="shared" si="85"/>
        <v/>
      </c>
      <c r="K832" s="31" t="str">
        <f t="shared" si="86"/>
        <v/>
      </c>
      <c r="L832" s="31" t="str">
        <f>IF(OR(B832="",C832=""),"",IFERROR(E832 / SUMIFS('📅 Resumen Diario'!$D$5:$D$504, '📅 Resumen Diario'!$B$5:$B$504, B832, '📅 Resumen Diario'!$C$5:$C$504, D832) * SUMIFS('📅 Resumen Diario'!$K$5:$K$504, '📅 Resumen Diario'!$B$5:$B$504, B832, '📅 Resumen Diario'!$C$5:$C$504, D832), 0))</f>
        <v/>
      </c>
      <c r="M832" s="31" t="str">
        <f t="shared" si="87"/>
        <v/>
      </c>
      <c r="N832" s="31" t="str">
        <f t="shared" si="88"/>
        <v/>
      </c>
      <c r="O832" s="31" t="str">
        <f>IF(OR(B832="",C832=""),"",K832-N832 + IFERROR(E832 / SUMIFS('📅 Resumen Diario'!$D$5:$D$504, '📅 Resumen Diario'!$B$5:$B$504, B832, '📅 Resumen Diario'!$C$5:$C$504, D832) * (SUMIFS('📋 Detalle Diario'!$E$5:$E$489, '📋 Detalle Diario'!$B$5:$B$489, B832, '📋 Detalle Diario'!$C$5:$C$489, D832) * 135 + SUMIFS('📋 Detalle Diario'!$I$5:$I$489, '📋 Detalle Diario'!$B$5:$B$489, B832, '📋 Detalle Diario'!$C$5:$C$489, D832) * 200), 0))</f>
        <v/>
      </c>
      <c r="P832" s="32" t="str">
        <f t="shared" si="89"/>
        <v/>
      </c>
      <c r="Q832" s="33" t="str">
        <f t="shared" si="90"/>
        <v/>
      </c>
    </row>
    <row r="833" spans="2:17" ht="18" customHeight="1" x14ac:dyDescent="0.3">
      <c r="B833" s="26"/>
      <c r="C833" s="28"/>
      <c r="D833" s="27"/>
      <c r="E833" s="29"/>
      <c r="F833" s="29"/>
      <c r="G833" s="29"/>
      <c r="H833" s="30" t="str">
        <f t="shared" si="84"/>
        <v/>
      </c>
      <c r="I833" s="31" t="str">
        <f>IF(OR(B833="",C833=""),"",IFERROR(E833*IF(E833="",0,VLOOKUP(C833,'📦 Precios Proforma'!$B$5:$D$104,IF(D833="DIA",2,3),FALSE)),0))</f>
        <v/>
      </c>
      <c r="J833" s="31" t="str">
        <f t="shared" si="85"/>
        <v/>
      </c>
      <c r="K833" s="31" t="str">
        <f t="shared" si="86"/>
        <v/>
      </c>
      <c r="L833" s="31" t="str">
        <f>IF(OR(B833="",C833=""),"",IFERROR(E833 / SUMIFS('📅 Resumen Diario'!$D$5:$D$504, '📅 Resumen Diario'!$B$5:$B$504, B833, '📅 Resumen Diario'!$C$5:$C$504, D833) * SUMIFS('📅 Resumen Diario'!$K$5:$K$504, '📅 Resumen Diario'!$B$5:$B$504, B833, '📅 Resumen Diario'!$C$5:$C$504, D833), 0))</f>
        <v/>
      </c>
      <c r="M833" s="31" t="str">
        <f t="shared" si="87"/>
        <v/>
      </c>
      <c r="N833" s="31" t="str">
        <f t="shared" si="88"/>
        <v/>
      </c>
      <c r="O833" s="31" t="str">
        <f>IF(OR(B833="",C833=""),"",K833-N833 + IFERROR(E833 / SUMIFS('📅 Resumen Diario'!$D$5:$D$504, '📅 Resumen Diario'!$B$5:$B$504, B833, '📅 Resumen Diario'!$C$5:$C$504, D833) * (SUMIFS('📋 Detalle Diario'!$E$5:$E$489, '📋 Detalle Diario'!$B$5:$B$489, B833, '📋 Detalle Diario'!$C$5:$C$489, D833) * 135 + SUMIFS('📋 Detalle Diario'!$I$5:$I$489, '📋 Detalle Diario'!$B$5:$B$489, B833, '📋 Detalle Diario'!$C$5:$C$489, D833) * 200), 0))</f>
        <v/>
      </c>
      <c r="P833" s="32" t="str">
        <f t="shared" si="89"/>
        <v/>
      </c>
      <c r="Q833" s="33" t="str">
        <f t="shared" si="90"/>
        <v/>
      </c>
    </row>
    <row r="834" spans="2:17" ht="18" customHeight="1" x14ac:dyDescent="0.3">
      <c r="B834" s="26"/>
      <c r="C834" s="17"/>
      <c r="D834" s="27"/>
      <c r="E834" s="18"/>
      <c r="F834" s="18"/>
      <c r="G834" s="18"/>
      <c r="H834" s="30" t="str">
        <f t="shared" si="84"/>
        <v/>
      </c>
      <c r="I834" s="31" t="str">
        <f>IF(OR(B834="",C834=""),"",IFERROR(E834*IF(E834="",0,VLOOKUP(C834,'📦 Precios Proforma'!$B$5:$D$104,IF(D834="DIA",2,3),FALSE)),0))</f>
        <v/>
      </c>
      <c r="J834" s="31" t="str">
        <f t="shared" si="85"/>
        <v/>
      </c>
      <c r="K834" s="31" t="str">
        <f t="shared" si="86"/>
        <v/>
      </c>
      <c r="L834" s="31" t="str">
        <f>IF(OR(B834="",C834=""),"",IFERROR(E834 / SUMIFS('📅 Resumen Diario'!$D$5:$D$504, '📅 Resumen Diario'!$B$5:$B$504, B834, '📅 Resumen Diario'!$C$5:$C$504, D834) * SUMIFS('📅 Resumen Diario'!$K$5:$K$504, '📅 Resumen Diario'!$B$5:$B$504, B834, '📅 Resumen Diario'!$C$5:$C$504, D834), 0))</f>
        <v/>
      </c>
      <c r="M834" s="31" t="str">
        <f t="shared" si="87"/>
        <v/>
      </c>
      <c r="N834" s="31" t="str">
        <f t="shared" si="88"/>
        <v/>
      </c>
      <c r="O834" s="31" t="str">
        <f>IF(OR(B834="",C834=""),"",K834-N834 + IFERROR(E834 / SUMIFS('📅 Resumen Diario'!$D$5:$D$504, '📅 Resumen Diario'!$B$5:$B$504, B834, '📅 Resumen Diario'!$C$5:$C$504, D834) * (SUMIFS('📋 Detalle Diario'!$E$5:$E$489, '📋 Detalle Diario'!$B$5:$B$489, B834, '📋 Detalle Diario'!$C$5:$C$489, D834) * 135 + SUMIFS('📋 Detalle Diario'!$I$5:$I$489, '📋 Detalle Diario'!$B$5:$B$489, B834, '📋 Detalle Diario'!$C$5:$C$489, D834) * 200), 0))</f>
        <v/>
      </c>
      <c r="P834" s="32" t="str">
        <f t="shared" si="89"/>
        <v/>
      </c>
      <c r="Q834" s="33" t="str">
        <f t="shared" si="90"/>
        <v/>
      </c>
    </row>
    <row r="835" spans="2:17" ht="18" customHeight="1" x14ac:dyDescent="0.3">
      <c r="B835" s="26"/>
      <c r="C835" s="28"/>
      <c r="D835" s="27"/>
      <c r="E835" s="29"/>
      <c r="F835" s="29"/>
      <c r="G835" s="29"/>
      <c r="H835" s="30" t="str">
        <f t="shared" si="84"/>
        <v/>
      </c>
      <c r="I835" s="31" t="str">
        <f>IF(OR(B835="",C835=""),"",IFERROR(E835*IF(E835="",0,VLOOKUP(C835,'📦 Precios Proforma'!$B$5:$D$104,IF(D835="DIA",2,3),FALSE)),0))</f>
        <v/>
      </c>
      <c r="J835" s="31" t="str">
        <f t="shared" si="85"/>
        <v/>
      </c>
      <c r="K835" s="31" t="str">
        <f t="shared" si="86"/>
        <v/>
      </c>
      <c r="L835" s="31" t="str">
        <f>IF(OR(B835="",C835=""),"",IFERROR(E835 / SUMIFS('📅 Resumen Diario'!$D$5:$D$504, '📅 Resumen Diario'!$B$5:$B$504, B835, '📅 Resumen Diario'!$C$5:$C$504, D835) * SUMIFS('📅 Resumen Diario'!$K$5:$K$504, '📅 Resumen Diario'!$B$5:$B$504, B835, '📅 Resumen Diario'!$C$5:$C$504, D835), 0))</f>
        <v/>
      </c>
      <c r="M835" s="31" t="str">
        <f t="shared" si="87"/>
        <v/>
      </c>
      <c r="N835" s="31" t="str">
        <f t="shared" si="88"/>
        <v/>
      </c>
      <c r="O835" s="31" t="str">
        <f>IF(OR(B835="",C835=""),"",K835-N835 + IFERROR(E835 / SUMIFS('📅 Resumen Diario'!$D$5:$D$504, '📅 Resumen Diario'!$B$5:$B$504, B835, '📅 Resumen Diario'!$C$5:$C$504, D835) * (SUMIFS('📋 Detalle Diario'!$E$5:$E$489, '📋 Detalle Diario'!$B$5:$B$489, B835, '📋 Detalle Diario'!$C$5:$C$489, D835) * 135 + SUMIFS('📋 Detalle Diario'!$I$5:$I$489, '📋 Detalle Diario'!$B$5:$B$489, B835, '📋 Detalle Diario'!$C$5:$C$489, D835) * 200), 0))</f>
        <v/>
      </c>
      <c r="P835" s="32" t="str">
        <f t="shared" si="89"/>
        <v/>
      </c>
      <c r="Q835" s="33" t="str">
        <f t="shared" si="90"/>
        <v/>
      </c>
    </row>
    <row r="836" spans="2:17" ht="18" customHeight="1" x14ac:dyDescent="0.3">
      <c r="B836" s="26"/>
      <c r="C836" s="17"/>
      <c r="D836" s="27"/>
      <c r="E836" s="18"/>
      <c r="F836" s="18"/>
      <c r="G836" s="18"/>
      <c r="H836" s="30" t="str">
        <f t="shared" si="84"/>
        <v/>
      </c>
      <c r="I836" s="31" t="str">
        <f>IF(OR(B836="",C836=""),"",IFERROR(E836*IF(E836="",0,VLOOKUP(C836,'📦 Precios Proforma'!$B$5:$D$104,IF(D836="DIA",2,3),FALSE)),0))</f>
        <v/>
      </c>
      <c r="J836" s="31" t="str">
        <f t="shared" si="85"/>
        <v/>
      </c>
      <c r="K836" s="31" t="str">
        <f t="shared" si="86"/>
        <v/>
      </c>
      <c r="L836" s="31" t="str">
        <f>IF(OR(B836="",C836=""),"",IFERROR(E836 / SUMIFS('📅 Resumen Diario'!$D$5:$D$504, '📅 Resumen Diario'!$B$5:$B$504, B836, '📅 Resumen Diario'!$C$5:$C$504, D836) * SUMIFS('📅 Resumen Diario'!$K$5:$K$504, '📅 Resumen Diario'!$B$5:$B$504, B836, '📅 Resumen Diario'!$C$5:$C$504, D836), 0))</f>
        <v/>
      </c>
      <c r="M836" s="31" t="str">
        <f t="shared" si="87"/>
        <v/>
      </c>
      <c r="N836" s="31" t="str">
        <f t="shared" si="88"/>
        <v/>
      </c>
      <c r="O836" s="31" t="str">
        <f>IF(OR(B836="",C836=""),"",K836-N836 + IFERROR(E836 / SUMIFS('📅 Resumen Diario'!$D$5:$D$504, '📅 Resumen Diario'!$B$5:$B$504, B836, '📅 Resumen Diario'!$C$5:$C$504, D836) * (SUMIFS('📋 Detalle Diario'!$E$5:$E$489, '📋 Detalle Diario'!$B$5:$B$489, B836, '📋 Detalle Diario'!$C$5:$C$489, D836) * 135 + SUMIFS('📋 Detalle Diario'!$I$5:$I$489, '📋 Detalle Diario'!$B$5:$B$489, B836, '📋 Detalle Diario'!$C$5:$C$489, D836) * 200), 0))</f>
        <v/>
      </c>
      <c r="P836" s="32" t="str">
        <f t="shared" si="89"/>
        <v/>
      </c>
      <c r="Q836" s="33" t="str">
        <f t="shared" si="90"/>
        <v/>
      </c>
    </row>
    <row r="837" spans="2:17" ht="18" customHeight="1" x14ac:dyDescent="0.3">
      <c r="B837" s="26"/>
      <c r="C837" s="28"/>
      <c r="D837" s="27"/>
      <c r="E837" s="29"/>
      <c r="F837" s="29"/>
      <c r="G837" s="29"/>
      <c r="H837" s="30" t="str">
        <f t="shared" si="84"/>
        <v/>
      </c>
      <c r="I837" s="31" t="str">
        <f>IF(OR(B837="",C837=""),"",IFERROR(E837*IF(E837="",0,VLOOKUP(C837,'📦 Precios Proforma'!$B$5:$D$104,IF(D837="DIA",2,3),FALSE)),0))</f>
        <v/>
      </c>
      <c r="J837" s="31" t="str">
        <f t="shared" si="85"/>
        <v/>
      </c>
      <c r="K837" s="31" t="str">
        <f t="shared" si="86"/>
        <v/>
      </c>
      <c r="L837" s="31" t="str">
        <f>IF(OR(B837="",C837=""),"",IFERROR(E837 / SUMIFS('📅 Resumen Diario'!$D$5:$D$504, '📅 Resumen Diario'!$B$5:$B$504, B837, '📅 Resumen Diario'!$C$5:$C$504, D837) * SUMIFS('📅 Resumen Diario'!$K$5:$K$504, '📅 Resumen Diario'!$B$5:$B$504, B837, '📅 Resumen Diario'!$C$5:$C$504, D837), 0))</f>
        <v/>
      </c>
      <c r="M837" s="31" t="str">
        <f t="shared" si="87"/>
        <v/>
      </c>
      <c r="N837" s="31" t="str">
        <f t="shared" si="88"/>
        <v/>
      </c>
      <c r="O837" s="31" t="str">
        <f>IF(OR(B837="",C837=""),"",K837-N837 + IFERROR(E837 / SUMIFS('📅 Resumen Diario'!$D$5:$D$504, '📅 Resumen Diario'!$B$5:$B$504, B837, '📅 Resumen Diario'!$C$5:$C$504, D837) * (SUMIFS('📋 Detalle Diario'!$E$5:$E$489, '📋 Detalle Diario'!$B$5:$B$489, B837, '📋 Detalle Diario'!$C$5:$C$489, D837) * 135 + SUMIFS('📋 Detalle Diario'!$I$5:$I$489, '📋 Detalle Diario'!$B$5:$B$489, B837, '📋 Detalle Diario'!$C$5:$C$489, D837) * 200), 0))</f>
        <v/>
      </c>
      <c r="P837" s="32" t="str">
        <f t="shared" si="89"/>
        <v/>
      </c>
      <c r="Q837" s="33" t="str">
        <f t="shared" si="90"/>
        <v/>
      </c>
    </row>
    <row r="838" spans="2:17" ht="18" customHeight="1" x14ac:dyDescent="0.3">
      <c r="B838" s="26"/>
      <c r="C838" s="17"/>
      <c r="D838" s="27"/>
      <c r="E838" s="18"/>
      <c r="F838" s="18"/>
      <c r="G838" s="18"/>
      <c r="H838" s="30" t="str">
        <f t="shared" si="84"/>
        <v/>
      </c>
      <c r="I838" s="31" t="str">
        <f>IF(OR(B838="",C838=""),"",IFERROR(E838*IF(E838="",0,VLOOKUP(C838,'📦 Precios Proforma'!$B$5:$D$104,IF(D838="DIA",2,3),FALSE)),0))</f>
        <v/>
      </c>
      <c r="J838" s="31" t="str">
        <f t="shared" si="85"/>
        <v/>
      </c>
      <c r="K838" s="31" t="str">
        <f t="shared" si="86"/>
        <v/>
      </c>
      <c r="L838" s="31" t="str">
        <f>IF(OR(B838="",C838=""),"",IFERROR(E838 / SUMIFS('📅 Resumen Diario'!$D$5:$D$504, '📅 Resumen Diario'!$B$5:$B$504, B838, '📅 Resumen Diario'!$C$5:$C$504, D838) * SUMIFS('📅 Resumen Diario'!$K$5:$K$504, '📅 Resumen Diario'!$B$5:$B$504, B838, '📅 Resumen Diario'!$C$5:$C$504, D838), 0))</f>
        <v/>
      </c>
      <c r="M838" s="31" t="str">
        <f t="shared" si="87"/>
        <v/>
      </c>
      <c r="N838" s="31" t="str">
        <f t="shared" si="88"/>
        <v/>
      </c>
      <c r="O838" s="31" t="str">
        <f>IF(OR(B838="",C838=""),"",K838-N838 + IFERROR(E838 / SUMIFS('📅 Resumen Diario'!$D$5:$D$504, '📅 Resumen Diario'!$B$5:$B$504, B838, '📅 Resumen Diario'!$C$5:$C$504, D838) * (SUMIFS('📋 Detalle Diario'!$E$5:$E$489, '📋 Detalle Diario'!$B$5:$B$489, B838, '📋 Detalle Diario'!$C$5:$C$489, D838) * 135 + SUMIFS('📋 Detalle Diario'!$I$5:$I$489, '📋 Detalle Diario'!$B$5:$B$489, B838, '📋 Detalle Diario'!$C$5:$C$489, D838) * 200), 0))</f>
        <v/>
      </c>
      <c r="P838" s="32" t="str">
        <f t="shared" si="89"/>
        <v/>
      </c>
      <c r="Q838" s="33" t="str">
        <f t="shared" si="90"/>
        <v/>
      </c>
    </row>
    <row r="839" spans="2:17" ht="18" customHeight="1" x14ac:dyDescent="0.3">
      <c r="B839" s="26"/>
      <c r="C839" s="28"/>
      <c r="D839" s="27"/>
      <c r="E839" s="29"/>
      <c r="F839" s="29"/>
      <c r="G839" s="29"/>
      <c r="H839" s="30" t="str">
        <f t="shared" ref="H839:H902" si="91">IF(OR(B839="",C839=""),"",F839+G839)</f>
        <v/>
      </c>
      <c r="I839" s="31" t="str">
        <f>IF(OR(B839="",C839=""),"",IFERROR(E839*IF(E839="",0,VLOOKUP(C839,'📦 Precios Proforma'!$B$5:$D$104,IF(D839="DIA",2,3),FALSE)),0))</f>
        <v/>
      </c>
      <c r="J839" s="31" t="str">
        <f t="shared" ref="J839:J902" si="92">IF(OR(B839="",C839=""),"",IF(D839="DIA",H839*1.01,H839*1.35))</f>
        <v/>
      </c>
      <c r="K839" s="31" t="str">
        <f t="shared" ref="K839:K902" si="93">IF(OR(B839="",C839=""),"",I839+J839)</f>
        <v/>
      </c>
      <c r="L839" s="31" t="str">
        <f>IF(OR(B839="",C839=""),"",IFERROR(E839 / SUMIFS('📅 Resumen Diario'!$D$5:$D$504, '📅 Resumen Diario'!$B$5:$B$504, B839, '📅 Resumen Diario'!$C$5:$C$504, D839) * SUMIFS('📅 Resumen Diario'!$K$5:$K$504, '📅 Resumen Diario'!$B$5:$B$504, B839, '📅 Resumen Diario'!$C$5:$C$504, D839), 0))</f>
        <v/>
      </c>
      <c r="M839" s="31" t="str">
        <f t="shared" ref="M839:M902" si="94">IF(OR(B839="",C839=""),"",H839*0.09)</f>
        <v/>
      </c>
      <c r="N839" s="31" t="str">
        <f t="shared" ref="N839:N902" si="95">IF(OR(B839="",C839=""),"",L839+M839)</f>
        <v/>
      </c>
      <c r="O839" s="31" t="str">
        <f>IF(OR(B839="",C839=""),"",K839-N839 + IFERROR(E839 / SUMIFS('📅 Resumen Diario'!$D$5:$D$504, '📅 Resumen Diario'!$B$5:$B$504, B839, '📅 Resumen Diario'!$C$5:$C$504, D839) * (SUMIFS('📋 Detalle Diario'!$E$5:$E$489, '📋 Detalle Diario'!$B$5:$B$489, B839, '📋 Detalle Diario'!$C$5:$C$489, D839) * 135 + SUMIFS('📋 Detalle Diario'!$I$5:$I$489, '📋 Detalle Diario'!$B$5:$B$489, B839, '📋 Detalle Diario'!$C$5:$C$489, D839) * 200), 0))</f>
        <v/>
      </c>
      <c r="P839" s="32" t="str">
        <f t="shared" ref="P839:P902" si="96">IF(OR(B839="",C839=""),"",IF(K839=0, 0, O839/K839))</f>
        <v/>
      </c>
      <c r="Q839" s="33" t="str">
        <f t="shared" ref="Q839:Q902" si="97">IF(B839="","",IF(ISNUMBER(B839),YEAR(B839)&amp;"-"&amp;IF(MONTH(B839)&lt;10,"0","")&amp;MONTH(B839),LEFT(B839,7)))</f>
        <v/>
      </c>
    </row>
    <row r="840" spans="2:17" ht="18" customHeight="1" x14ac:dyDescent="0.3">
      <c r="B840" s="26"/>
      <c r="C840" s="17"/>
      <c r="D840" s="27"/>
      <c r="E840" s="18"/>
      <c r="F840" s="18"/>
      <c r="G840" s="18"/>
      <c r="H840" s="30" t="str">
        <f t="shared" si="91"/>
        <v/>
      </c>
      <c r="I840" s="31" t="str">
        <f>IF(OR(B840="",C840=""),"",IFERROR(E840*IF(E840="",0,VLOOKUP(C840,'📦 Precios Proforma'!$B$5:$D$104,IF(D840="DIA",2,3),FALSE)),0))</f>
        <v/>
      </c>
      <c r="J840" s="31" t="str">
        <f t="shared" si="92"/>
        <v/>
      </c>
      <c r="K840" s="31" t="str">
        <f t="shared" si="93"/>
        <v/>
      </c>
      <c r="L840" s="31" t="str">
        <f>IF(OR(B840="",C840=""),"",IFERROR(E840 / SUMIFS('📅 Resumen Diario'!$D$5:$D$504, '📅 Resumen Diario'!$B$5:$B$504, B840, '📅 Resumen Diario'!$C$5:$C$504, D840) * SUMIFS('📅 Resumen Diario'!$K$5:$K$504, '📅 Resumen Diario'!$B$5:$B$504, B840, '📅 Resumen Diario'!$C$5:$C$504, D840), 0))</f>
        <v/>
      </c>
      <c r="M840" s="31" t="str">
        <f t="shared" si="94"/>
        <v/>
      </c>
      <c r="N840" s="31" t="str">
        <f t="shared" si="95"/>
        <v/>
      </c>
      <c r="O840" s="31" t="str">
        <f>IF(OR(B840="",C840=""),"",K840-N840 + IFERROR(E840 / SUMIFS('📅 Resumen Diario'!$D$5:$D$504, '📅 Resumen Diario'!$B$5:$B$504, B840, '📅 Resumen Diario'!$C$5:$C$504, D840) * (SUMIFS('📋 Detalle Diario'!$E$5:$E$489, '📋 Detalle Diario'!$B$5:$B$489, B840, '📋 Detalle Diario'!$C$5:$C$489, D840) * 135 + SUMIFS('📋 Detalle Diario'!$I$5:$I$489, '📋 Detalle Diario'!$B$5:$B$489, B840, '📋 Detalle Diario'!$C$5:$C$489, D840) * 200), 0))</f>
        <v/>
      </c>
      <c r="P840" s="32" t="str">
        <f t="shared" si="96"/>
        <v/>
      </c>
      <c r="Q840" s="33" t="str">
        <f t="shared" si="97"/>
        <v/>
      </c>
    </row>
    <row r="841" spans="2:17" ht="18" customHeight="1" x14ac:dyDescent="0.3">
      <c r="B841" s="26"/>
      <c r="C841" s="28"/>
      <c r="D841" s="27"/>
      <c r="E841" s="29"/>
      <c r="F841" s="29"/>
      <c r="G841" s="29"/>
      <c r="H841" s="30" t="str">
        <f t="shared" si="91"/>
        <v/>
      </c>
      <c r="I841" s="31" t="str">
        <f>IF(OR(B841="",C841=""),"",IFERROR(E841*IF(E841="",0,VLOOKUP(C841,'📦 Precios Proforma'!$B$5:$D$104,IF(D841="DIA",2,3),FALSE)),0))</f>
        <v/>
      </c>
      <c r="J841" s="31" t="str">
        <f t="shared" si="92"/>
        <v/>
      </c>
      <c r="K841" s="31" t="str">
        <f t="shared" si="93"/>
        <v/>
      </c>
      <c r="L841" s="31" t="str">
        <f>IF(OR(B841="",C841=""),"",IFERROR(E841 / SUMIFS('📅 Resumen Diario'!$D$5:$D$504, '📅 Resumen Diario'!$B$5:$B$504, B841, '📅 Resumen Diario'!$C$5:$C$504, D841) * SUMIFS('📅 Resumen Diario'!$K$5:$K$504, '📅 Resumen Diario'!$B$5:$B$504, B841, '📅 Resumen Diario'!$C$5:$C$504, D841), 0))</f>
        <v/>
      </c>
      <c r="M841" s="31" t="str">
        <f t="shared" si="94"/>
        <v/>
      </c>
      <c r="N841" s="31" t="str">
        <f t="shared" si="95"/>
        <v/>
      </c>
      <c r="O841" s="31" t="str">
        <f>IF(OR(B841="",C841=""),"",K841-N841 + IFERROR(E841 / SUMIFS('📅 Resumen Diario'!$D$5:$D$504, '📅 Resumen Diario'!$B$5:$B$504, B841, '📅 Resumen Diario'!$C$5:$C$504, D841) * (SUMIFS('📋 Detalle Diario'!$E$5:$E$489, '📋 Detalle Diario'!$B$5:$B$489, B841, '📋 Detalle Diario'!$C$5:$C$489, D841) * 135 + SUMIFS('📋 Detalle Diario'!$I$5:$I$489, '📋 Detalle Diario'!$B$5:$B$489, B841, '📋 Detalle Diario'!$C$5:$C$489, D841) * 200), 0))</f>
        <v/>
      </c>
      <c r="P841" s="32" t="str">
        <f t="shared" si="96"/>
        <v/>
      </c>
      <c r="Q841" s="33" t="str">
        <f t="shared" si="97"/>
        <v/>
      </c>
    </row>
    <row r="842" spans="2:17" ht="18" customHeight="1" x14ac:dyDescent="0.3">
      <c r="B842" s="26"/>
      <c r="C842" s="17"/>
      <c r="D842" s="27"/>
      <c r="E842" s="18"/>
      <c r="F842" s="18"/>
      <c r="G842" s="18"/>
      <c r="H842" s="30" t="str">
        <f t="shared" si="91"/>
        <v/>
      </c>
      <c r="I842" s="31" t="str">
        <f>IF(OR(B842="",C842=""),"",IFERROR(E842*IF(E842="",0,VLOOKUP(C842,'📦 Precios Proforma'!$B$5:$D$104,IF(D842="DIA",2,3),FALSE)),0))</f>
        <v/>
      </c>
      <c r="J842" s="31" t="str">
        <f t="shared" si="92"/>
        <v/>
      </c>
      <c r="K842" s="31" t="str">
        <f t="shared" si="93"/>
        <v/>
      </c>
      <c r="L842" s="31" t="str">
        <f>IF(OR(B842="",C842=""),"",IFERROR(E842 / SUMIFS('📅 Resumen Diario'!$D$5:$D$504, '📅 Resumen Diario'!$B$5:$B$504, B842, '📅 Resumen Diario'!$C$5:$C$504, D842) * SUMIFS('📅 Resumen Diario'!$K$5:$K$504, '📅 Resumen Diario'!$B$5:$B$504, B842, '📅 Resumen Diario'!$C$5:$C$504, D842), 0))</f>
        <v/>
      </c>
      <c r="M842" s="31" t="str">
        <f t="shared" si="94"/>
        <v/>
      </c>
      <c r="N842" s="31" t="str">
        <f t="shared" si="95"/>
        <v/>
      </c>
      <c r="O842" s="31" t="str">
        <f>IF(OR(B842="",C842=""),"",K842-N842 + IFERROR(E842 / SUMIFS('📅 Resumen Diario'!$D$5:$D$504, '📅 Resumen Diario'!$B$5:$B$504, B842, '📅 Resumen Diario'!$C$5:$C$504, D842) * (SUMIFS('📋 Detalle Diario'!$E$5:$E$489, '📋 Detalle Diario'!$B$5:$B$489, B842, '📋 Detalle Diario'!$C$5:$C$489, D842) * 135 + SUMIFS('📋 Detalle Diario'!$I$5:$I$489, '📋 Detalle Diario'!$B$5:$B$489, B842, '📋 Detalle Diario'!$C$5:$C$489, D842) * 200), 0))</f>
        <v/>
      </c>
      <c r="P842" s="32" t="str">
        <f t="shared" si="96"/>
        <v/>
      </c>
      <c r="Q842" s="33" t="str">
        <f t="shared" si="97"/>
        <v/>
      </c>
    </row>
    <row r="843" spans="2:17" ht="18" customHeight="1" x14ac:dyDescent="0.3">
      <c r="B843" s="26"/>
      <c r="C843" s="28"/>
      <c r="D843" s="27"/>
      <c r="E843" s="29"/>
      <c r="F843" s="29"/>
      <c r="G843" s="29"/>
      <c r="H843" s="30" t="str">
        <f t="shared" si="91"/>
        <v/>
      </c>
      <c r="I843" s="31" t="str">
        <f>IF(OR(B843="",C843=""),"",IFERROR(E843*IF(E843="",0,VLOOKUP(C843,'📦 Precios Proforma'!$B$5:$D$104,IF(D843="DIA",2,3),FALSE)),0))</f>
        <v/>
      </c>
      <c r="J843" s="31" t="str">
        <f t="shared" si="92"/>
        <v/>
      </c>
      <c r="K843" s="31" t="str">
        <f t="shared" si="93"/>
        <v/>
      </c>
      <c r="L843" s="31" t="str">
        <f>IF(OR(B843="",C843=""),"",IFERROR(E843 / SUMIFS('📅 Resumen Diario'!$D$5:$D$504, '📅 Resumen Diario'!$B$5:$B$504, B843, '📅 Resumen Diario'!$C$5:$C$504, D843) * SUMIFS('📅 Resumen Diario'!$K$5:$K$504, '📅 Resumen Diario'!$B$5:$B$504, B843, '📅 Resumen Diario'!$C$5:$C$504, D843), 0))</f>
        <v/>
      </c>
      <c r="M843" s="31" t="str">
        <f t="shared" si="94"/>
        <v/>
      </c>
      <c r="N843" s="31" t="str">
        <f t="shared" si="95"/>
        <v/>
      </c>
      <c r="O843" s="31" t="str">
        <f>IF(OR(B843="",C843=""),"",K843-N843 + IFERROR(E843 / SUMIFS('📅 Resumen Diario'!$D$5:$D$504, '📅 Resumen Diario'!$B$5:$B$504, B843, '📅 Resumen Diario'!$C$5:$C$504, D843) * (SUMIFS('📋 Detalle Diario'!$E$5:$E$489, '📋 Detalle Diario'!$B$5:$B$489, B843, '📋 Detalle Diario'!$C$5:$C$489, D843) * 135 + SUMIFS('📋 Detalle Diario'!$I$5:$I$489, '📋 Detalle Diario'!$B$5:$B$489, B843, '📋 Detalle Diario'!$C$5:$C$489, D843) * 200), 0))</f>
        <v/>
      </c>
      <c r="P843" s="32" t="str">
        <f t="shared" si="96"/>
        <v/>
      </c>
      <c r="Q843" s="33" t="str">
        <f t="shared" si="97"/>
        <v/>
      </c>
    </row>
    <row r="844" spans="2:17" ht="18" customHeight="1" x14ac:dyDescent="0.3">
      <c r="B844" s="26"/>
      <c r="C844" s="17"/>
      <c r="D844" s="27"/>
      <c r="E844" s="18"/>
      <c r="F844" s="18"/>
      <c r="G844" s="18"/>
      <c r="H844" s="30" t="str">
        <f t="shared" si="91"/>
        <v/>
      </c>
      <c r="I844" s="31" t="str">
        <f>IF(OR(B844="",C844=""),"",IFERROR(E844*IF(E844="",0,VLOOKUP(C844,'📦 Precios Proforma'!$B$5:$D$104,IF(D844="DIA",2,3),FALSE)),0))</f>
        <v/>
      </c>
      <c r="J844" s="31" t="str">
        <f t="shared" si="92"/>
        <v/>
      </c>
      <c r="K844" s="31" t="str">
        <f t="shared" si="93"/>
        <v/>
      </c>
      <c r="L844" s="31" t="str">
        <f>IF(OR(B844="",C844=""),"",IFERROR(E844 / SUMIFS('📅 Resumen Diario'!$D$5:$D$504, '📅 Resumen Diario'!$B$5:$B$504, B844, '📅 Resumen Diario'!$C$5:$C$504, D844) * SUMIFS('📅 Resumen Diario'!$K$5:$K$504, '📅 Resumen Diario'!$B$5:$B$504, B844, '📅 Resumen Diario'!$C$5:$C$504, D844), 0))</f>
        <v/>
      </c>
      <c r="M844" s="31" t="str">
        <f t="shared" si="94"/>
        <v/>
      </c>
      <c r="N844" s="31" t="str">
        <f t="shared" si="95"/>
        <v/>
      </c>
      <c r="O844" s="31" t="str">
        <f>IF(OR(B844="",C844=""),"",K844-N844 + IFERROR(E844 / SUMIFS('📅 Resumen Diario'!$D$5:$D$504, '📅 Resumen Diario'!$B$5:$B$504, B844, '📅 Resumen Diario'!$C$5:$C$504, D844) * (SUMIFS('📋 Detalle Diario'!$E$5:$E$489, '📋 Detalle Diario'!$B$5:$B$489, B844, '📋 Detalle Diario'!$C$5:$C$489, D844) * 135 + SUMIFS('📋 Detalle Diario'!$I$5:$I$489, '📋 Detalle Diario'!$B$5:$B$489, B844, '📋 Detalle Diario'!$C$5:$C$489, D844) * 200), 0))</f>
        <v/>
      </c>
      <c r="P844" s="32" t="str">
        <f t="shared" si="96"/>
        <v/>
      </c>
      <c r="Q844" s="33" t="str">
        <f t="shared" si="97"/>
        <v/>
      </c>
    </row>
    <row r="845" spans="2:17" ht="18" customHeight="1" x14ac:dyDescent="0.3">
      <c r="B845" s="26"/>
      <c r="C845" s="28"/>
      <c r="D845" s="27"/>
      <c r="E845" s="29"/>
      <c r="F845" s="29"/>
      <c r="G845" s="29"/>
      <c r="H845" s="30" t="str">
        <f t="shared" si="91"/>
        <v/>
      </c>
      <c r="I845" s="31" t="str">
        <f>IF(OR(B845="",C845=""),"",IFERROR(E845*IF(E845="",0,VLOOKUP(C845,'📦 Precios Proforma'!$B$5:$D$104,IF(D845="DIA",2,3),FALSE)),0))</f>
        <v/>
      </c>
      <c r="J845" s="31" t="str">
        <f t="shared" si="92"/>
        <v/>
      </c>
      <c r="K845" s="31" t="str">
        <f t="shared" si="93"/>
        <v/>
      </c>
      <c r="L845" s="31" t="str">
        <f>IF(OR(B845="",C845=""),"",IFERROR(E845 / SUMIFS('📅 Resumen Diario'!$D$5:$D$504, '📅 Resumen Diario'!$B$5:$B$504, B845, '📅 Resumen Diario'!$C$5:$C$504, D845) * SUMIFS('📅 Resumen Diario'!$K$5:$K$504, '📅 Resumen Diario'!$B$5:$B$504, B845, '📅 Resumen Diario'!$C$5:$C$504, D845), 0))</f>
        <v/>
      </c>
      <c r="M845" s="31" t="str">
        <f t="shared" si="94"/>
        <v/>
      </c>
      <c r="N845" s="31" t="str">
        <f t="shared" si="95"/>
        <v/>
      </c>
      <c r="O845" s="31" t="str">
        <f>IF(OR(B845="",C845=""),"",K845-N845 + IFERROR(E845 / SUMIFS('📅 Resumen Diario'!$D$5:$D$504, '📅 Resumen Diario'!$B$5:$B$504, B845, '📅 Resumen Diario'!$C$5:$C$504, D845) * (SUMIFS('📋 Detalle Diario'!$E$5:$E$489, '📋 Detalle Diario'!$B$5:$B$489, B845, '📋 Detalle Diario'!$C$5:$C$489, D845) * 135 + SUMIFS('📋 Detalle Diario'!$I$5:$I$489, '📋 Detalle Diario'!$B$5:$B$489, B845, '📋 Detalle Diario'!$C$5:$C$489, D845) * 200), 0))</f>
        <v/>
      </c>
      <c r="P845" s="32" t="str">
        <f t="shared" si="96"/>
        <v/>
      </c>
      <c r="Q845" s="33" t="str">
        <f t="shared" si="97"/>
        <v/>
      </c>
    </row>
    <row r="846" spans="2:17" ht="18" customHeight="1" x14ac:dyDescent="0.3">
      <c r="B846" s="26"/>
      <c r="C846" s="17"/>
      <c r="D846" s="27"/>
      <c r="E846" s="18"/>
      <c r="F846" s="18"/>
      <c r="G846" s="18"/>
      <c r="H846" s="30" t="str">
        <f t="shared" si="91"/>
        <v/>
      </c>
      <c r="I846" s="31" t="str">
        <f>IF(OR(B846="",C846=""),"",IFERROR(E846*IF(E846="",0,VLOOKUP(C846,'📦 Precios Proforma'!$B$5:$D$104,IF(D846="DIA",2,3),FALSE)),0))</f>
        <v/>
      </c>
      <c r="J846" s="31" t="str">
        <f t="shared" si="92"/>
        <v/>
      </c>
      <c r="K846" s="31" t="str">
        <f t="shared" si="93"/>
        <v/>
      </c>
      <c r="L846" s="31" t="str">
        <f>IF(OR(B846="",C846=""),"",IFERROR(E846 / SUMIFS('📅 Resumen Diario'!$D$5:$D$504, '📅 Resumen Diario'!$B$5:$B$504, B846, '📅 Resumen Diario'!$C$5:$C$504, D846) * SUMIFS('📅 Resumen Diario'!$K$5:$K$504, '📅 Resumen Diario'!$B$5:$B$504, B846, '📅 Resumen Diario'!$C$5:$C$504, D846), 0))</f>
        <v/>
      </c>
      <c r="M846" s="31" t="str">
        <f t="shared" si="94"/>
        <v/>
      </c>
      <c r="N846" s="31" t="str">
        <f t="shared" si="95"/>
        <v/>
      </c>
      <c r="O846" s="31" t="str">
        <f>IF(OR(B846="",C846=""),"",K846-N846 + IFERROR(E846 / SUMIFS('📅 Resumen Diario'!$D$5:$D$504, '📅 Resumen Diario'!$B$5:$B$504, B846, '📅 Resumen Diario'!$C$5:$C$504, D846) * (SUMIFS('📋 Detalle Diario'!$E$5:$E$489, '📋 Detalle Diario'!$B$5:$B$489, B846, '📋 Detalle Diario'!$C$5:$C$489, D846) * 135 + SUMIFS('📋 Detalle Diario'!$I$5:$I$489, '📋 Detalle Diario'!$B$5:$B$489, B846, '📋 Detalle Diario'!$C$5:$C$489, D846) * 200), 0))</f>
        <v/>
      </c>
      <c r="P846" s="32" t="str">
        <f t="shared" si="96"/>
        <v/>
      </c>
      <c r="Q846" s="33" t="str">
        <f t="shared" si="97"/>
        <v/>
      </c>
    </row>
    <row r="847" spans="2:17" ht="18" customHeight="1" x14ac:dyDescent="0.3">
      <c r="B847" s="26"/>
      <c r="C847" s="28"/>
      <c r="D847" s="27"/>
      <c r="E847" s="29"/>
      <c r="F847" s="29"/>
      <c r="G847" s="29"/>
      <c r="H847" s="30" t="str">
        <f t="shared" si="91"/>
        <v/>
      </c>
      <c r="I847" s="31" t="str">
        <f>IF(OR(B847="",C847=""),"",IFERROR(E847*IF(E847="",0,VLOOKUP(C847,'📦 Precios Proforma'!$B$5:$D$104,IF(D847="DIA",2,3),FALSE)),0))</f>
        <v/>
      </c>
      <c r="J847" s="31" t="str">
        <f t="shared" si="92"/>
        <v/>
      </c>
      <c r="K847" s="31" t="str">
        <f t="shared" si="93"/>
        <v/>
      </c>
      <c r="L847" s="31" t="str">
        <f>IF(OR(B847="",C847=""),"",IFERROR(E847 / SUMIFS('📅 Resumen Diario'!$D$5:$D$504, '📅 Resumen Diario'!$B$5:$B$504, B847, '📅 Resumen Diario'!$C$5:$C$504, D847) * SUMIFS('📅 Resumen Diario'!$K$5:$K$504, '📅 Resumen Diario'!$B$5:$B$504, B847, '📅 Resumen Diario'!$C$5:$C$504, D847), 0))</f>
        <v/>
      </c>
      <c r="M847" s="31" t="str">
        <f t="shared" si="94"/>
        <v/>
      </c>
      <c r="N847" s="31" t="str">
        <f t="shared" si="95"/>
        <v/>
      </c>
      <c r="O847" s="31" t="str">
        <f>IF(OR(B847="",C847=""),"",K847-N847 + IFERROR(E847 / SUMIFS('📅 Resumen Diario'!$D$5:$D$504, '📅 Resumen Diario'!$B$5:$B$504, B847, '📅 Resumen Diario'!$C$5:$C$504, D847) * (SUMIFS('📋 Detalle Diario'!$E$5:$E$489, '📋 Detalle Diario'!$B$5:$B$489, B847, '📋 Detalle Diario'!$C$5:$C$489, D847) * 135 + SUMIFS('📋 Detalle Diario'!$I$5:$I$489, '📋 Detalle Diario'!$B$5:$B$489, B847, '📋 Detalle Diario'!$C$5:$C$489, D847) * 200), 0))</f>
        <v/>
      </c>
      <c r="P847" s="32" t="str">
        <f t="shared" si="96"/>
        <v/>
      </c>
      <c r="Q847" s="33" t="str">
        <f t="shared" si="97"/>
        <v/>
      </c>
    </row>
    <row r="848" spans="2:17" ht="18" customHeight="1" x14ac:dyDescent="0.3">
      <c r="B848" s="26"/>
      <c r="C848" s="17"/>
      <c r="D848" s="27"/>
      <c r="E848" s="18"/>
      <c r="F848" s="18"/>
      <c r="G848" s="18"/>
      <c r="H848" s="30" t="str">
        <f t="shared" si="91"/>
        <v/>
      </c>
      <c r="I848" s="31" t="str">
        <f>IF(OR(B848="",C848=""),"",IFERROR(E848*IF(E848="",0,VLOOKUP(C848,'📦 Precios Proforma'!$B$5:$D$104,IF(D848="DIA",2,3),FALSE)),0))</f>
        <v/>
      </c>
      <c r="J848" s="31" t="str">
        <f t="shared" si="92"/>
        <v/>
      </c>
      <c r="K848" s="31" t="str">
        <f t="shared" si="93"/>
        <v/>
      </c>
      <c r="L848" s="31" t="str">
        <f>IF(OR(B848="",C848=""),"",IFERROR(E848 / SUMIFS('📅 Resumen Diario'!$D$5:$D$504, '📅 Resumen Diario'!$B$5:$B$504, B848, '📅 Resumen Diario'!$C$5:$C$504, D848) * SUMIFS('📅 Resumen Diario'!$K$5:$K$504, '📅 Resumen Diario'!$B$5:$B$504, B848, '📅 Resumen Diario'!$C$5:$C$504, D848), 0))</f>
        <v/>
      </c>
      <c r="M848" s="31" t="str">
        <f t="shared" si="94"/>
        <v/>
      </c>
      <c r="N848" s="31" t="str">
        <f t="shared" si="95"/>
        <v/>
      </c>
      <c r="O848" s="31" t="str">
        <f>IF(OR(B848="",C848=""),"",K848-N848 + IFERROR(E848 / SUMIFS('📅 Resumen Diario'!$D$5:$D$504, '📅 Resumen Diario'!$B$5:$B$504, B848, '📅 Resumen Diario'!$C$5:$C$504, D848) * (SUMIFS('📋 Detalle Diario'!$E$5:$E$489, '📋 Detalle Diario'!$B$5:$B$489, B848, '📋 Detalle Diario'!$C$5:$C$489, D848) * 135 + SUMIFS('📋 Detalle Diario'!$I$5:$I$489, '📋 Detalle Diario'!$B$5:$B$489, B848, '📋 Detalle Diario'!$C$5:$C$489, D848) * 200), 0))</f>
        <v/>
      </c>
      <c r="P848" s="32" t="str">
        <f t="shared" si="96"/>
        <v/>
      </c>
      <c r="Q848" s="33" t="str">
        <f t="shared" si="97"/>
        <v/>
      </c>
    </row>
    <row r="849" spans="2:17" ht="18" customHeight="1" x14ac:dyDescent="0.3">
      <c r="B849" s="26"/>
      <c r="C849" s="28"/>
      <c r="D849" s="27"/>
      <c r="E849" s="29"/>
      <c r="F849" s="29"/>
      <c r="G849" s="29"/>
      <c r="H849" s="30" t="str">
        <f t="shared" si="91"/>
        <v/>
      </c>
      <c r="I849" s="31" t="str">
        <f>IF(OR(B849="",C849=""),"",IFERROR(E849*IF(E849="",0,VLOOKUP(C849,'📦 Precios Proforma'!$B$5:$D$104,IF(D849="DIA",2,3),FALSE)),0))</f>
        <v/>
      </c>
      <c r="J849" s="31" t="str">
        <f t="shared" si="92"/>
        <v/>
      </c>
      <c r="K849" s="31" t="str">
        <f t="shared" si="93"/>
        <v/>
      </c>
      <c r="L849" s="31" t="str">
        <f>IF(OR(B849="",C849=""),"",IFERROR(E849 / SUMIFS('📅 Resumen Diario'!$D$5:$D$504, '📅 Resumen Diario'!$B$5:$B$504, B849, '📅 Resumen Diario'!$C$5:$C$504, D849) * SUMIFS('📅 Resumen Diario'!$K$5:$K$504, '📅 Resumen Diario'!$B$5:$B$504, B849, '📅 Resumen Diario'!$C$5:$C$504, D849), 0))</f>
        <v/>
      </c>
      <c r="M849" s="31" t="str">
        <f t="shared" si="94"/>
        <v/>
      </c>
      <c r="N849" s="31" t="str">
        <f t="shared" si="95"/>
        <v/>
      </c>
      <c r="O849" s="31" t="str">
        <f>IF(OR(B849="",C849=""),"",K849-N849 + IFERROR(E849 / SUMIFS('📅 Resumen Diario'!$D$5:$D$504, '📅 Resumen Diario'!$B$5:$B$504, B849, '📅 Resumen Diario'!$C$5:$C$504, D849) * (SUMIFS('📋 Detalle Diario'!$E$5:$E$489, '📋 Detalle Diario'!$B$5:$B$489, B849, '📋 Detalle Diario'!$C$5:$C$489, D849) * 135 + SUMIFS('📋 Detalle Diario'!$I$5:$I$489, '📋 Detalle Diario'!$B$5:$B$489, B849, '📋 Detalle Diario'!$C$5:$C$489, D849) * 200), 0))</f>
        <v/>
      </c>
      <c r="P849" s="32" t="str">
        <f t="shared" si="96"/>
        <v/>
      </c>
      <c r="Q849" s="33" t="str">
        <f t="shared" si="97"/>
        <v/>
      </c>
    </row>
    <row r="850" spans="2:17" ht="18" customHeight="1" x14ac:dyDescent="0.3">
      <c r="B850" s="26"/>
      <c r="C850" s="17"/>
      <c r="D850" s="27"/>
      <c r="E850" s="18"/>
      <c r="F850" s="18"/>
      <c r="G850" s="18"/>
      <c r="H850" s="30" t="str">
        <f t="shared" si="91"/>
        <v/>
      </c>
      <c r="I850" s="31" t="str">
        <f>IF(OR(B850="",C850=""),"",IFERROR(E850*IF(E850="",0,VLOOKUP(C850,'📦 Precios Proforma'!$B$5:$D$104,IF(D850="DIA",2,3),FALSE)),0))</f>
        <v/>
      </c>
      <c r="J850" s="31" t="str">
        <f t="shared" si="92"/>
        <v/>
      </c>
      <c r="K850" s="31" t="str">
        <f t="shared" si="93"/>
        <v/>
      </c>
      <c r="L850" s="31" t="str">
        <f>IF(OR(B850="",C850=""),"",IFERROR(E850 / SUMIFS('📅 Resumen Diario'!$D$5:$D$504, '📅 Resumen Diario'!$B$5:$B$504, B850, '📅 Resumen Diario'!$C$5:$C$504, D850) * SUMIFS('📅 Resumen Diario'!$K$5:$K$504, '📅 Resumen Diario'!$B$5:$B$504, B850, '📅 Resumen Diario'!$C$5:$C$504, D850), 0))</f>
        <v/>
      </c>
      <c r="M850" s="31" t="str">
        <f t="shared" si="94"/>
        <v/>
      </c>
      <c r="N850" s="31" t="str">
        <f t="shared" si="95"/>
        <v/>
      </c>
      <c r="O850" s="31" t="str">
        <f>IF(OR(B850="",C850=""),"",K850-N850 + IFERROR(E850 / SUMIFS('📅 Resumen Diario'!$D$5:$D$504, '📅 Resumen Diario'!$B$5:$B$504, B850, '📅 Resumen Diario'!$C$5:$C$504, D850) * (SUMIFS('📋 Detalle Diario'!$E$5:$E$489, '📋 Detalle Diario'!$B$5:$B$489, B850, '📋 Detalle Diario'!$C$5:$C$489, D850) * 135 + SUMIFS('📋 Detalle Diario'!$I$5:$I$489, '📋 Detalle Diario'!$B$5:$B$489, B850, '📋 Detalle Diario'!$C$5:$C$489, D850) * 200), 0))</f>
        <v/>
      </c>
      <c r="P850" s="32" t="str">
        <f t="shared" si="96"/>
        <v/>
      </c>
      <c r="Q850" s="33" t="str">
        <f t="shared" si="97"/>
        <v/>
      </c>
    </row>
    <row r="851" spans="2:17" ht="18" customHeight="1" x14ac:dyDescent="0.3">
      <c r="B851" s="26"/>
      <c r="C851" s="28"/>
      <c r="D851" s="27"/>
      <c r="E851" s="29"/>
      <c r="F851" s="29"/>
      <c r="G851" s="29"/>
      <c r="H851" s="30" t="str">
        <f t="shared" si="91"/>
        <v/>
      </c>
      <c r="I851" s="31" t="str">
        <f>IF(OR(B851="",C851=""),"",IFERROR(E851*IF(E851="",0,VLOOKUP(C851,'📦 Precios Proforma'!$B$5:$D$104,IF(D851="DIA",2,3),FALSE)),0))</f>
        <v/>
      </c>
      <c r="J851" s="31" t="str">
        <f t="shared" si="92"/>
        <v/>
      </c>
      <c r="K851" s="31" t="str">
        <f t="shared" si="93"/>
        <v/>
      </c>
      <c r="L851" s="31" t="str">
        <f>IF(OR(B851="",C851=""),"",IFERROR(E851 / SUMIFS('📅 Resumen Diario'!$D$5:$D$504, '📅 Resumen Diario'!$B$5:$B$504, B851, '📅 Resumen Diario'!$C$5:$C$504, D851) * SUMIFS('📅 Resumen Diario'!$K$5:$K$504, '📅 Resumen Diario'!$B$5:$B$504, B851, '📅 Resumen Diario'!$C$5:$C$504, D851), 0))</f>
        <v/>
      </c>
      <c r="M851" s="31" t="str">
        <f t="shared" si="94"/>
        <v/>
      </c>
      <c r="N851" s="31" t="str">
        <f t="shared" si="95"/>
        <v/>
      </c>
      <c r="O851" s="31" t="str">
        <f>IF(OR(B851="",C851=""),"",K851-N851 + IFERROR(E851 / SUMIFS('📅 Resumen Diario'!$D$5:$D$504, '📅 Resumen Diario'!$B$5:$B$504, B851, '📅 Resumen Diario'!$C$5:$C$504, D851) * (SUMIFS('📋 Detalle Diario'!$E$5:$E$489, '📋 Detalle Diario'!$B$5:$B$489, B851, '📋 Detalle Diario'!$C$5:$C$489, D851) * 135 + SUMIFS('📋 Detalle Diario'!$I$5:$I$489, '📋 Detalle Diario'!$B$5:$B$489, B851, '📋 Detalle Diario'!$C$5:$C$489, D851) * 200), 0))</f>
        <v/>
      </c>
      <c r="P851" s="32" t="str">
        <f t="shared" si="96"/>
        <v/>
      </c>
      <c r="Q851" s="33" t="str">
        <f t="shared" si="97"/>
        <v/>
      </c>
    </row>
    <row r="852" spans="2:17" ht="18" customHeight="1" x14ac:dyDescent="0.3">
      <c r="B852" s="26"/>
      <c r="C852" s="17"/>
      <c r="D852" s="27"/>
      <c r="E852" s="18"/>
      <c r="F852" s="18"/>
      <c r="G852" s="18"/>
      <c r="H852" s="30" t="str">
        <f t="shared" si="91"/>
        <v/>
      </c>
      <c r="I852" s="31" t="str">
        <f>IF(OR(B852="",C852=""),"",IFERROR(E852*IF(E852="",0,VLOOKUP(C852,'📦 Precios Proforma'!$B$5:$D$104,IF(D852="DIA",2,3),FALSE)),0))</f>
        <v/>
      </c>
      <c r="J852" s="31" t="str">
        <f t="shared" si="92"/>
        <v/>
      </c>
      <c r="K852" s="31" t="str">
        <f t="shared" si="93"/>
        <v/>
      </c>
      <c r="L852" s="31" t="str">
        <f>IF(OR(B852="",C852=""),"",IFERROR(E852 / SUMIFS('📅 Resumen Diario'!$D$5:$D$504, '📅 Resumen Diario'!$B$5:$B$504, B852, '📅 Resumen Diario'!$C$5:$C$504, D852) * SUMIFS('📅 Resumen Diario'!$K$5:$K$504, '📅 Resumen Diario'!$B$5:$B$504, B852, '📅 Resumen Diario'!$C$5:$C$504, D852), 0))</f>
        <v/>
      </c>
      <c r="M852" s="31" t="str">
        <f t="shared" si="94"/>
        <v/>
      </c>
      <c r="N852" s="31" t="str">
        <f t="shared" si="95"/>
        <v/>
      </c>
      <c r="O852" s="31" t="str">
        <f>IF(OR(B852="",C852=""),"",K852-N852 + IFERROR(E852 / SUMIFS('📅 Resumen Diario'!$D$5:$D$504, '📅 Resumen Diario'!$B$5:$B$504, B852, '📅 Resumen Diario'!$C$5:$C$504, D852) * (SUMIFS('📋 Detalle Diario'!$E$5:$E$489, '📋 Detalle Diario'!$B$5:$B$489, B852, '📋 Detalle Diario'!$C$5:$C$489, D852) * 135 + SUMIFS('📋 Detalle Diario'!$I$5:$I$489, '📋 Detalle Diario'!$B$5:$B$489, B852, '📋 Detalle Diario'!$C$5:$C$489, D852) * 200), 0))</f>
        <v/>
      </c>
      <c r="P852" s="32" t="str">
        <f t="shared" si="96"/>
        <v/>
      </c>
      <c r="Q852" s="33" t="str">
        <f t="shared" si="97"/>
        <v/>
      </c>
    </row>
    <row r="853" spans="2:17" ht="18" customHeight="1" x14ac:dyDescent="0.3">
      <c r="B853" s="26"/>
      <c r="C853" s="28"/>
      <c r="D853" s="27"/>
      <c r="E853" s="29"/>
      <c r="F853" s="29"/>
      <c r="G853" s="29"/>
      <c r="H853" s="30" t="str">
        <f t="shared" si="91"/>
        <v/>
      </c>
      <c r="I853" s="31" t="str">
        <f>IF(OR(B853="",C853=""),"",IFERROR(E853*IF(E853="",0,VLOOKUP(C853,'📦 Precios Proforma'!$B$5:$D$104,IF(D853="DIA",2,3),FALSE)),0))</f>
        <v/>
      </c>
      <c r="J853" s="31" t="str">
        <f t="shared" si="92"/>
        <v/>
      </c>
      <c r="K853" s="31" t="str">
        <f t="shared" si="93"/>
        <v/>
      </c>
      <c r="L853" s="31" t="str">
        <f>IF(OR(B853="",C853=""),"",IFERROR(E853 / SUMIFS('📅 Resumen Diario'!$D$5:$D$504, '📅 Resumen Diario'!$B$5:$B$504, B853, '📅 Resumen Diario'!$C$5:$C$504, D853) * SUMIFS('📅 Resumen Diario'!$K$5:$K$504, '📅 Resumen Diario'!$B$5:$B$504, B853, '📅 Resumen Diario'!$C$5:$C$504, D853), 0))</f>
        <v/>
      </c>
      <c r="M853" s="31" t="str">
        <f t="shared" si="94"/>
        <v/>
      </c>
      <c r="N853" s="31" t="str">
        <f t="shared" si="95"/>
        <v/>
      </c>
      <c r="O853" s="31" t="str">
        <f>IF(OR(B853="",C853=""),"",K853-N853 + IFERROR(E853 / SUMIFS('📅 Resumen Diario'!$D$5:$D$504, '📅 Resumen Diario'!$B$5:$B$504, B853, '📅 Resumen Diario'!$C$5:$C$504, D853) * (SUMIFS('📋 Detalle Diario'!$E$5:$E$489, '📋 Detalle Diario'!$B$5:$B$489, B853, '📋 Detalle Diario'!$C$5:$C$489, D853) * 135 + SUMIFS('📋 Detalle Diario'!$I$5:$I$489, '📋 Detalle Diario'!$B$5:$B$489, B853, '📋 Detalle Diario'!$C$5:$C$489, D853) * 200), 0))</f>
        <v/>
      </c>
      <c r="P853" s="32" t="str">
        <f t="shared" si="96"/>
        <v/>
      </c>
      <c r="Q853" s="33" t="str">
        <f t="shared" si="97"/>
        <v/>
      </c>
    </row>
    <row r="854" spans="2:17" ht="18" customHeight="1" x14ac:dyDescent="0.3">
      <c r="B854" s="26"/>
      <c r="C854" s="17"/>
      <c r="D854" s="27"/>
      <c r="E854" s="18"/>
      <c r="F854" s="18"/>
      <c r="G854" s="18"/>
      <c r="H854" s="30" t="str">
        <f t="shared" si="91"/>
        <v/>
      </c>
      <c r="I854" s="31" t="str">
        <f>IF(OR(B854="",C854=""),"",IFERROR(E854*IF(E854="",0,VLOOKUP(C854,'📦 Precios Proforma'!$B$5:$D$104,IF(D854="DIA",2,3),FALSE)),0))</f>
        <v/>
      </c>
      <c r="J854" s="31" t="str">
        <f t="shared" si="92"/>
        <v/>
      </c>
      <c r="K854" s="31" t="str">
        <f t="shared" si="93"/>
        <v/>
      </c>
      <c r="L854" s="31" t="str">
        <f>IF(OR(B854="",C854=""),"",IFERROR(E854 / SUMIFS('📅 Resumen Diario'!$D$5:$D$504, '📅 Resumen Diario'!$B$5:$B$504, B854, '📅 Resumen Diario'!$C$5:$C$504, D854) * SUMIFS('📅 Resumen Diario'!$K$5:$K$504, '📅 Resumen Diario'!$B$5:$B$504, B854, '📅 Resumen Diario'!$C$5:$C$504, D854), 0))</f>
        <v/>
      </c>
      <c r="M854" s="31" t="str">
        <f t="shared" si="94"/>
        <v/>
      </c>
      <c r="N854" s="31" t="str">
        <f t="shared" si="95"/>
        <v/>
      </c>
      <c r="O854" s="31" t="str">
        <f>IF(OR(B854="",C854=""),"",K854-N854 + IFERROR(E854 / SUMIFS('📅 Resumen Diario'!$D$5:$D$504, '📅 Resumen Diario'!$B$5:$B$504, B854, '📅 Resumen Diario'!$C$5:$C$504, D854) * (SUMIFS('📋 Detalle Diario'!$E$5:$E$489, '📋 Detalle Diario'!$B$5:$B$489, B854, '📋 Detalle Diario'!$C$5:$C$489, D854) * 135 + SUMIFS('📋 Detalle Diario'!$I$5:$I$489, '📋 Detalle Diario'!$B$5:$B$489, B854, '📋 Detalle Diario'!$C$5:$C$489, D854) * 200), 0))</f>
        <v/>
      </c>
      <c r="P854" s="32" t="str">
        <f t="shared" si="96"/>
        <v/>
      </c>
      <c r="Q854" s="33" t="str">
        <f t="shared" si="97"/>
        <v/>
      </c>
    </row>
    <row r="855" spans="2:17" ht="18" customHeight="1" x14ac:dyDescent="0.3">
      <c r="B855" s="26"/>
      <c r="C855" s="28"/>
      <c r="D855" s="27"/>
      <c r="E855" s="29"/>
      <c r="F855" s="29"/>
      <c r="G855" s="29"/>
      <c r="H855" s="30" t="str">
        <f t="shared" si="91"/>
        <v/>
      </c>
      <c r="I855" s="31" t="str">
        <f>IF(OR(B855="",C855=""),"",IFERROR(E855*IF(E855="",0,VLOOKUP(C855,'📦 Precios Proforma'!$B$5:$D$104,IF(D855="DIA",2,3),FALSE)),0))</f>
        <v/>
      </c>
      <c r="J855" s="31" t="str">
        <f t="shared" si="92"/>
        <v/>
      </c>
      <c r="K855" s="31" t="str">
        <f t="shared" si="93"/>
        <v/>
      </c>
      <c r="L855" s="31" t="str">
        <f>IF(OR(B855="",C855=""),"",IFERROR(E855 / SUMIFS('📅 Resumen Diario'!$D$5:$D$504, '📅 Resumen Diario'!$B$5:$B$504, B855, '📅 Resumen Diario'!$C$5:$C$504, D855) * SUMIFS('📅 Resumen Diario'!$K$5:$K$504, '📅 Resumen Diario'!$B$5:$B$504, B855, '📅 Resumen Diario'!$C$5:$C$504, D855), 0))</f>
        <v/>
      </c>
      <c r="M855" s="31" t="str">
        <f t="shared" si="94"/>
        <v/>
      </c>
      <c r="N855" s="31" t="str">
        <f t="shared" si="95"/>
        <v/>
      </c>
      <c r="O855" s="31" t="str">
        <f>IF(OR(B855="",C855=""),"",K855-N855 + IFERROR(E855 / SUMIFS('📅 Resumen Diario'!$D$5:$D$504, '📅 Resumen Diario'!$B$5:$B$504, B855, '📅 Resumen Diario'!$C$5:$C$504, D855) * (SUMIFS('📋 Detalle Diario'!$E$5:$E$489, '📋 Detalle Diario'!$B$5:$B$489, B855, '📋 Detalle Diario'!$C$5:$C$489, D855) * 135 + SUMIFS('📋 Detalle Diario'!$I$5:$I$489, '📋 Detalle Diario'!$B$5:$B$489, B855, '📋 Detalle Diario'!$C$5:$C$489, D855) * 200), 0))</f>
        <v/>
      </c>
      <c r="P855" s="32" t="str">
        <f t="shared" si="96"/>
        <v/>
      </c>
      <c r="Q855" s="33" t="str">
        <f t="shared" si="97"/>
        <v/>
      </c>
    </row>
    <row r="856" spans="2:17" ht="18" customHeight="1" x14ac:dyDescent="0.3">
      <c r="B856" s="26"/>
      <c r="C856" s="17"/>
      <c r="D856" s="27"/>
      <c r="E856" s="18"/>
      <c r="F856" s="18"/>
      <c r="G856" s="18"/>
      <c r="H856" s="30" t="str">
        <f t="shared" si="91"/>
        <v/>
      </c>
      <c r="I856" s="31" t="str">
        <f>IF(OR(B856="",C856=""),"",IFERROR(E856*IF(E856="",0,VLOOKUP(C856,'📦 Precios Proforma'!$B$5:$D$104,IF(D856="DIA",2,3),FALSE)),0))</f>
        <v/>
      </c>
      <c r="J856" s="31" t="str">
        <f t="shared" si="92"/>
        <v/>
      </c>
      <c r="K856" s="31" t="str">
        <f t="shared" si="93"/>
        <v/>
      </c>
      <c r="L856" s="31" t="str">
        <f>IF(OR(B856="",C856=""),"",IFERROR(E856 / SUMIFS('📅 Resumen Diario'!$D$5:$D$504, '📅 Resumen Diario'!$B$5:$B$504, B856, '📅 Resumen Diario'!$C$5:$C$504, D856) * SUMIFS('📅 Resumen Diario'!$K$5:$K$504, '📅 Resumen Diario'!$B$5:$B$504, B856, '📅 Resumen Diario'!$C$5:$C$504, D856), 0))</f>
        <v/>
      </c>
      <c r="M856" s="31" t="str">
        <f t="shared" si="94"/>
        <v/>
      </c>
      <c r="N856" s="31" t="str">
        <f t="shared" si="95"/>
        <v/>
      </c>
      <c r="O856" s="31" t="str">
        <f>IF(OR(B856="",C856=""),"",K856-N856 + IFERROR(E856 / SUMIFS('📅 Resumen Diario'!$D$5:$D$504, '📅 Resumen Diario'!$B$5:$B$504, B856, '📅 Resumen Diario'!$C$5:$C$504, D856) * (SUMIFS('📋 Detalle Diario'!$E$5:$E$489, '📋 Detalle Diario'!$B$5:$B$489, B856, '📋 Detalle Diario'!$C$5:$C$489, D856) * 135 + SUMIFS('📋 Detalle Diario'!$I$5:$I$489, '📋 Detalle Diario'!$B$5:$B$489, B856, '📋 Detalle Diario'!$C$5:$C$489, D856) * 200), 0))</f>
        <v/>
      </c>
      <c r="P856" s="32" t="str">
        <f t="shared" si="96"/>
        <v/>
      </c>
      <c r="Q856" s="33" t="str">
        <f t="shared" si="97"/>
        <v/>
      </c>
    </row>
    <row r="857" spans="2:17" ht="18" customHeight="1" x14ac:dyDescent="0.3">
      <c r="B857" s="26"/>
      <c r="C857" s="28"/>
      <c r="D857" s="27"/>
      <c r="E857" s="29"/>
      <c r="F857" s="29"/>
      <c r="G857" s="29"/>
      <c r="H857" s="30" t="str">
        <f t="shared" si="91"/>
        <v/>
      </c>
      <c r="I857" s="31" t="str">
        <f>IF(OR(B857="",C857=""),"",IFERROR(E857*IF(E857="",0,VLOOKUP(C857,'📦 Precios Proforma'!$B$5:$D$104,IF(D857="DIA",2,3),FALSE)),0))</f>
        <v/>
      </c>
      <c r="J857" s="31" t="str">
        <f t="shared" si="92"/>
        <v/>
      </c>
      <c r="K857" s="31" t="str">
        <f t="shared" si="93"/>
        <v/>
      </c>
      <c r="L857" s="31" t="str">
        <f>IF(OR(B857="",C857=""),"",IFERROR(E857 / SUMIFS('📅 Resumen Diario'!$D$5:$D$504, '📅 Resumen Diario'!$B$5:$B$504, B857, '📅 Resumen Diario'!$C$5:$C$504, D857) * SUMIFS('📅 Resumen Diario'!$K$5:$K$504, '📅 Resumen Diario'!$B$5:$B$504, B857, '📅 Resumen Diario'!$C$5:$C$504, D857), 0))</f>
        <v/>
      </c>
      <c r="M857" s="31" t="str">
        <f t="shared" si="94"/>
        <v/>
      </c>
      <c r="N857" s="31" t="str">
        <f t="shared" si="95"/>
        <v/>
      </c>
      <c r="O857" s="31" t="str">
        <f>IF(OR(B857="",C857=""),"",K857-N857 + IFERROR(E857 / SUMIFS('📅 Resumen Diario'!$D$5:$D$504, '📅 Resumen Diario'!$B$5:$B$504, B857, '📅 Resumen Diario'!$C$5:$C$504, D857) * (SUMIFS('📋 Detalle Diario'!$E$5:$E$489, '📋 Detalle Diario'!$B$5:$B$489, B857, '📋 Detalle Diario'!$C$5:$C$489, D857) * 135 + SUMIFS('📋 Detalle Diario'!$I$5:$I$489, '📋 Detalle Diario'!$B$5:$B$489, B857, '📋 Detalle Diario'!$C$5:$C$489, D857) * 200), 0))</f>
        <v/>
      </c>
      <c r="P857" s="32" t="str">
        <f t="shared" si="96"/>
        <v/>
      </c>
      <c r="Q857" s="33" t="str">
        <f t="shared" si="97"/>
        <v/>
      </c>
    </row>
    <row r="858" spans="2:17" ht="18" customHeight="1" x14ac:dyDescent="0.3">
      <c r="B858" s="26"/>
      <c r="C858" s="17"/>
      <c r="D858" s="27"/>
      <c r="E858" s="18"/>
      <c r="F858" s="18"/>
      <c r="G858" s="18"/>
      <c r="H858" s="30" t="str">
        <f t="shared" si="91"/>
        <v/>
      </c>
      <c r="I858" s="31" t="str">
        <f>IF(OR(B858="",C858=""),"",IFERROR(E858*IF(E858="",0,VLOOKUP(C858,'📦 Precios Proforma'!$B$5:$D$104,IF(D858="DIA",2,3),FALSE)),0))</f>
        <v/>
      </c>
      <c r="J858" s="31" t="str">
        <f t="shared" si="92"/>
        <v/>
      </c>
      <c r="K858" s="31" t="str">
        <f t="shared" si="93"/>
        <v/>
      </c>
      <c r="L858" s="31" t="str">
        <f>IF(OR(B858="",C858=""),"",IFERROR(E858 / SUMIFS('📅 Resumen Diario'!$D$5:$D$504, '📅 Resumen Diario'!$B$5:$B$504, B858, '📅 Resumen Diario'!$C$5:$C$504, D858) * SUMIFS('📅 Resumen Diario'!$K$5:$K$504, '📅 Resumen Diario'!$B$5:$B$504, B858, '📅 Resumen Diario'!$C$5:$C$504, D858), 0))</f>
        <v/>
      </c>
      <c r="M858" s="31" t="str">
        <f t="shared" si="94"/>
        <v/>
      </c>
      <c r="N858" s="31" t="str">
        <f t="shared" si="95"/>
        <v/>
      </c>
      <c r="O858" s="31" t="str">
        <f>IF(OR(B858="",C858=""),"",K858-N858 + IFERROR(E858 / SUMIFS('📅 Resumen Diario'!$D$5:$D$504, '📅 Resumen Diario'!$B$5:$B$504, B858, '📅 Resumen Diario'!$C$5:$C$504, D858) * (SUMIFS('📋 Detalle Diario'!$E$5:$E$489, '📋 Detalle Diario'!$B$5:$B$489, B858, '📋 Detalle Diario'!$C$5:$C$489, D858) * 135 + SUMIFS('📋 Detalle Diario'!$I$5:$I$489, '📋 Detalle Diario'!$B$5:$B$489, B858, '📋 Detalle Diario'!$C$5:$C$489, D858) * 200), 0))</f>
        <v/>
      </c>
      <c r="P858" s="32" t="str">
        <f t="shared" si="96"/>
        <v/>
      </c>
      <c r="Q858" s="33" t="str">
        <f t="shared" si="97"/>
        <v/>
      </c>
    </row>
    <row r="859" spans="2:17" ht="18" customHeight="1" x14ac:dyDescent="0.3">
      <c r="B859" s="26"/>
      <c r="C859" s="28"/>
      <c r="D859" s="27"/>
      <c r="E859" s="29"/>
      <c r="F859" s="29"/>
      <c r="G859" s="29"/>
      <c r="H859" s="30" t="str">
        <f t="shared" si="91"/>
        <v/>
      </c>
      <c r="I859" s="31" t="str">
        <f>IF(OR(B859="",C859=""),"",IFERROR(E859*IF(E859="",0,VLOOKUP(C859,'📦 Precios Proforma'!$B$5:$D$104,IF(D859="DIA",2,3),FALSE)),0))</f>
        <v/>
      </c>
      <c r="J859" s="31" t="str">
        <f t="shared" si="92"/>
        <v/>
      </c>
      <c r="K859" s="31" t="str">
        <f t="shared" si="93"/>
        <v/>
      </c>
      <c r="L859" s="31" t="str">
        <f>IF(OR(B859="",C859=""),"",IFERROR(E859 / SUMIFS('📅 Resumen Diario'!$D$5:$D$504, '📅 Resumen Diario'!$B$5:$B$504, B859, '📅 Resumen Diario'!$C$5:$C$504, D859) * SUMIFS('📅 Resumen Diario'!$K$5:$K$504, '📅 Resumen Diario'!$B$5:$B$504, B859, '📅 Resumen Diario'!$C$5:$C$504, D859), 0))</f>
        <v/>
      </c>
      <c r="M859" s="31" t="str">
        <f t="shared" si="94"/>
        <v/>
      </c>
      <c r="N859" s="31" t="str">
        <f t="shared" si="95"/>
        <v/>
      </c>
      <c r="O859" s="31" t="str">
        <f>IF(OR(B859="",C859=""),"",K859-N859 + IFERROR(E859 / SUMIFS('📅 Resumen Diario'!$D$5:$D$504, '📅 Resumen Diario'!$B$5:$B$504, B859, '📅 Resumen Diario'!$C$5:$C$504, D859) * (SUMIFS('📋 Detalle Diario'!$E$5:$E$489, '📋 Detalle Diario'!$B$5:$B$489, B859, '📋 Detalle Diario'!$C$5:$C$489, D859) * 135 + SUMIFS('📋 Detalle Diario'!$I$5:$I$489, '📋 Detalle Diario'!$B$5:$B$489, B859, '📋 Detalle Diario'!$C$5:$C$489, D859) * 200), 0))</f>
        <v/>
      </c>
      <c r="P859" s="32" t="str">
        <f t="shared" si="96"/>
        <v/>
      </c>
      <c r="Q859" s="33" t="str">
        <f t="shared" si="97"/>
        <v/>
      </c>
    </row>
    <row r="860" spans="2:17" ht="18" customHeight="1" x14ac:dyDescent="0.3">
      <c r="B860" s="26"/>
      <c r="C860" s="17"/>
      <c r="D860" s="27"/>
      <c r="E860" s="18"/>
      <c r="F860" s="18"/>
      <c r="G860" s="18"/>
      <c r="H860" s="30" t="str">
        <f t="shared" si="91"/>
        <v/>
      </c>
      <c r="I860" s="31" t="str">
        <f>IF(OR(B860="",C860=""),"",IFERROR(E860*IF(E860="",0,VLOOKUP(C860,'📦 Precios Proforma'!$B$5:$D$104,IF(D860="DIA",2,3),FALSE)),0))</f>
        <v/>
      </c>
      <c r="J860" s="31" t="str">
        <f t="shared" si="92"/>
        <v/>
      </c>
      <c r="K860" s="31" t="str">
        <f t="shared" si="93"/>
        <v/>
      </c>
      <c r="L860" s="31" t="str">
        <f>IF(OR(B860="",C860=""),"",IFERROR(E860 / SUMIFS('📅 Resumen Diario'!$D$5:$D$504, '📅 Resumen Diario'!$B$5:$B$504, B860, '📅 Resumen Diario'!$C$5:$C$504, D860) * SUMIFS('📅 Resumen Diario'!$K$5:$K$504, '📅 Resumen Diario'!$B$5:$B$504, B860, '📅 Resumen Diario'!$C$5:$C$504, D860), 0))</f>
        <v/>
      </c>
      <c r="M860" s="31" t="str">
        <f t="shared" si="94"/>
        <v/>
      </c>
      <c r="N860" s="31" t="str">
        <f t="shared" si="95"/>
        <v/>
      </c>
      <c r="O860" s="31" t="str">
        <f>IF(OR(B860="",C860=""),"",K860-N860 + IFERROR(E860 / SUMIFS('📅 Resumen Diario'!$D$5:$D$504, '📅 Resumen Diario'!$B$5:$B$504, B860, '📅 Resumen Diario'!$C$5:$C$504, D860) * (SUMIFS('📋 Detalle Diario'!$E$5:$E$489, '📋 Detalle Diario'!$B$5:$B$489, B860, '📋 Detalle Diario'!$C$5:$C$489, D860) * 135 + SUMIFS('📋 Detalle Diario'!$I$5:$I$489, '📋 Detalle Diario'!$B$5:$B$489, B860, '📋 Detalle Diario'!$C$5:$C$489, D860) * 200), 0))</f>
        <v/>
      </c>
      <c r="P860" s="32" t="str">
        <f t="shared" si="96"/>
        <v/>
      </c>
      <c r="Q860" s="33" t="str">
        <f t="shared" si="97"/>
        <v/>
      </c>
    </row>
    <row r="861" spans="2:17" ht="18" customHeight="1" x14ac:dyDescent="0.3">
      <c r="B861" s="26"/>
      <c r="C861" s="28"/>
      <c r="D861" s="27"/>
      <c r="E861" s="29"/>
      <c r="F861" s="29"/>
      <c r="G861" s="29"/>
      <c r="H861" s="30" t="str">
        <f t="shared" si="91"/>
        <v/>
      </c>
      <c r="I861" s="31" t="str">
        <f>IF(OR(B861="",C861=""),"",IFERROR(E861*IF(E861="",0,VLOOKUP(C861,'📦 Precios Proforma'!$B$5:$D$104,IF(D861="DIA",2,3),FALSE)),0))</f>
        <v/>
      </c>
      <c r="J861" s="31" t="str">
        <f t="shared" si="92"/>
        <v/>
      </c>
      <c r="K861" s="31" t="str">
        <f t="shared" si="93"/>
        <v/>
      </c>
      <c r="L861" s="31" t="str">
        <f>IF(OR(B861="",C861=""),"",IFERROR(E861 / SUMIFS('📅 Resumen Diario'!$D$5:$D$504, '📅 Resumen Diario'!$B$5:$B$504, B861, '📅 Resumen Diario'!$C$5:$C$504, D861) * SUMIFS('📅 Resumen Diario'!$K$5:$K$504, '📅 Resumen Diario'!$B$5:$B$504, B861, '📅 Resumen Diario'!$C$5:$C$504, D861), 0))</f>
        <v/>
      </c>
      <c r="M861" s="31" t="str">
        <f t="shared" si="94"/>
        <v/>
      </c>
      <c r="N861" s="31" t="str">
        <f t="shared" si="95"/>
        <v/>
      </c>
      <c r="O861" s="31" t="str">
        <f>IF(OR(B861="",C861=""),"",K861-N861 + IFERROR(E861 / SUMIFS('📅 Resumen Diario'!$D$5:$D$504, '📅 Resumen Diario'!$B$5:$B$504, B861, '📅 Resumen Diario'!$C$5:$C$504, D861) * (SUMIFS('📋 Detalle Diario'!$E$5:$E$489, '📋 Detalle Diario'!$B$5:$B$489, B861, '📋 Detalle Diario'!$C$5:$C$489, D861) * 135 + SUMIFS('📋 Detalle Diario'!$I$5:$I$489, '📋 Detalle Diario'!$B$5:$B$489, B861, '📋 Detalle Diario'!$C$5:$C$489, D861) * 200), 0))</f>
        <v/>
      </c>
      <c r="P861" s="32" t="str">
        <f t="shared" si="96"/>
        <v/>
      </c>
      <c r="Q861" s="33" t="str">
        <f t="shared" si="97"/>
        <v/>
      </c>
    </row>
    <row r="862" spans="2:17" ht="18" customHeight="1" x14ac:dyDescent="0.3">
      <c r="B862" s="26"/>
      <c r="C862" s="17"/>
      <c r="D862" s="27"/>
      <c r="E862" s="18"/>
      <c r="F862" s="18"/>
      <c r="G862" s="18"/>
      <c r="H862" s="30" t="str">
        <f t="shared" si="91"/>
        <v/>
      </c>
      <c r="I862" s="31" t="str">
        <f>IF(OR(B862="",C862=""),"",IFERROR(E862*IF(E862="",0,VLOOKUP(C862,'📦 Precios Proforma'!$B$5:$D$104,IF(D862="DIA",2,3),FALSE)),0))</f>
        <v/>
      </c>
      <c r="J862" s="31" t="str">
        <f t="shared" si="92"/>
        <v/>
      </c>
      <c r="K862" s="31" t="str">
        <f t="shared" si="93"/>
        <v/>
      </c>
      <c r="L862" s="31" t="str">
        <f>IF(OR(B862="",C862=""),"",IFERROR(E862 / SUMIFS('📅 Resumen Diario'!$D$5:$D$504, '📅 Resumen Diario'!$B$5:$B$504, B862, '📅 Resumen Diario'!$C$5:$C$504, D862) * SUMIFS('📅 Resumen Diario'!$K$5:$K$504, '📅 Resumen Diario'!$B$5:$B$504, B862, '📅 Resumen Diario'!$C$5:$C$504, D862), 0))</f>
        <v/>
      </c>
      <c r="M862" s="31" t="str">
        <f t="shared" si="94"/>
        <v/>
      </c>
      <c r="N862" s="31" t="str">
        <f t="shared" si="95"/>
        <v/>
      </c>
      <c r="O862" s="31" t="str">
        <f>IF(OR(B862="",C862=""),"",K862-N862 + IFERROR(E862 / SUMIFS('📅 Resumen Diario'!$D$5:$D$504, '📅 Resumen Diario'!$B$5:$B$504, B862, '📅 Resumen Diario'!$C$5:$C$504, D862) * (SUMIFS('📋 Detalle Diario'!$E$5:$E$489, '📋 Detalle Diario'!$B$5:$B$489, B862, '📋 Detalle Diario'!$C$5:$C$489, D862) * 135 + SUMIFS('📋 Detalle Diario'!$I$5:$I$489, '📋 Detalle Diario'!$B$5:$B$489, B862, '📋 Detalle Diario'!$C$5:$C$489, D862) * 200), 0))</f>
        <v/>
      </c>
      <c r="P862" s="32" t="str">
        <f t="shared" si="96"/>
        <v/>
      </c>
      <c r="Q862" s="33" t="str">
        <f t="shared" si="97"/>
        <v/>
      </c>
    </row>
    <row r="863" spans="2:17" ht="18" customHeight="1" x14ac:dyDescent="0.3">
      <c r="B863" s="26"/>
      <c r="C863" s="28"/>
      <c r="D863" s="27"/>
      <c r="E863" s="29"/>
      <c r="F863" s="29"/>
      <c r="G863" s="29"/>
      <c r="H863" s="30" t="str">
        <f t="shared" si="91"/>
        <v/>
      </c>
      <c r="I863" s="31" t="str">
        <f>IF(OR(B863="",C863=""),"",IFERROR(E863*IF(E863="",0,VLOOKUP(C863,'📦 Precios Proforma'!$B$5:$D$104,IF(D863="DIA",2,3),FALSE)),0))</f>
        <v/>
      </c>
      <c r="J863" s="31" t="str">
        <f t="shared" si="92"/>
        <v/>
      </c>
      <c r="K863" s="31" t="str">
        <f t="shared" si="93"/>
        <v/>
      </c>
      <c r="L863" s="31" t="str">
        <f>IF(OR(B863="",C863=""),"",IFERROR(E863 / SUMIFS('📅 Resumen Diario'!$D$5:$D$504, '📅 Resumen Diario'!$B$5:$B$504, B863, '📅 Resumen Diario'!$C$5:$C$504, D863) * SUMIFS('📅 Resumen Diario'!$K$5:$K$504, '📅 Resumen Diario'!$B$5:$B$504, B863, '📅 Resumen Diario'!$C$5:$C$504, D863), 0))</f>
        <v/>
      </c>
      <c r="M863" s="31" t="str">
        <f t="shared" si="94"/>
        <v/>
      </c>
      <c r="N863" s="31" t="str">
        <f t="shared" si="95"/>
        <v/>
      </c>
      <c r="O863" s="31" t="str">
        <f>IF(OR(B863="",C863=""),"",K863-N863 + IFERROR(E863 / SUMIFS('📅 Resumen Diario'!$D$5:$D$504, '📅 Resumen Diario'!$B$5:$B$504, B863, '📅 Resumen Diario'!$C$5:$C$504, D863) * (SUMIFS('📋 Detalle Diario'!$E$5:$E$489, '📋 Detalle Diario'!$B$5:$B$489, B863, '📋 Detalle Diario'!$C$5:$C$489, D863) * 135 + SUMIFS('📋 Detalle Diario'!$I$5:$I$489, '📋 Detalle Diario'!$B$5:$B$489, B863, '📋 Detalle Diario'!$C$5:$C$489, D863) * 200), 0))</f>
        <v/>
      </c>
      <c r="P863" s="32" t="str">
        <f t="shared" si="96"/>
        <v/>
      </c>
      <c r="Q863" s="33" t="str">
        <f t="shared" si="97"/>
        <v/>
      </c>
    </row>
    <row r="864" spans="2:17" ht="18" customHeight="1" x14ac:dyDescent="0.3">
      <c r="B864" s="26"/>
      <c r="C864" s="17"/>
      <c r="D864" s="27"/>
      <c r="E864" s="18"/>
      <c r="F864" s="18"/>
      <c r="G864" s="18"/>
      <c r="H864" s="30" t="str">
        <f t="shared" si="91"/>
        <v/>
      </c>
      <c r="I864" s="31" t="str">
        <f>IF(OR(B864="",C864=""),"",IFERROR(E864*IF(E864="",0,VLOOKUP(C864,'📦 Precios Proforma'!$B$5:$D$104,IF(D864="DIA",2,3),FALSE)),0))</f>
        <v/>
      </c>
      <c r="J864" s="31" t="str">
        <f t="shared" si="92"/>
        <v/>
      </c>
      <c r="K864" s="31" t="str">
        <f t="shared" si="93"/>
        <v/>
      </c>
      <c r="L864" s="31" t="str">
        <f>IF(OR(B864="",C864=""),"",IFERROR(E864 / SUMIFS('📅 Resumen Diario'!$D$5:$D$504, '📅 Resumen Diario'!$B$5:$B$504, B864, '📅 Resumen Diario'!$C$5:$C$504, D864) * SUMIFS('📅 Resumen Diario'!$K$5:$K$504, '📅 Resumen Diario'!$B$5:$B$504, B864, '📅 Resumen Diario'!$C$5:$C$504, D864), 0))</f>
        <v/>
      </c>
      <c r="M864" s="31" t="str">
        <f t="shared" si="94"/>
        <v/>
      </c>
      <c r="N864" s="31" t="str">
        <f t="shared" si="95"/>
        <v/>
      </c>
      <c r="O864" s="31" t="str">
        <f>IF(OR(B864="",C864=""),"",K864-N864 + IFERROR(E864 / SUMIFS('📅 Resumen Diario'!$D$5:$D$504, '📅 Resumen Diario'!$B$5:$B$504, B864, '📅 Resumen Diario'!$C$5:$C$504, D864) * (SUMIFS('📋 Detalle Diario'!$E$5:$E$489, '📋 Detalle Diario'!$B$5:$B$489, B864, '📋 Detalle Diario'!$C$5:$C$489, D864) * 135 + SUMIFS('📋 Detalle Diario'!$I$5:$I$489, '📋 Detalle Diario'!$B$5:$B$489, B864, '📋 Detalle Diario'!$C$5:$C$489, D864) * 200), 0))</f>
        <v/>
      </c>
      <c r="P864" s="32" t="str">
        <f t="shared" si="96"/>
        <v/>
      </c>
      <c r="Q864" s="33" t="str">
        <f t="shared" si="97"/>
        <v/>
      </c>
    </row>
    <row r="865" spans="2:17" ht="18" customHeight="1" x14ac:dyDescent="0.3">
      <c r="B865" s="26"/>
      <c r="C865" s="28"/>
      <c r="D865" s="27"/>
      <c r="E865" s="29"/>
      <c r="F865" s="29"/>
      <c r="G865" s="29"/>
      <c r="H865" s="30" t="str">
        <f t="shared" si="91"/>
        <v/>
      </c>
      <c r="I865" s="31" t="str">
        <f>IF(OR(B865="",C865=""),"",IFERROR(E865*IF(E865="",0,VLOOKUP(C865,'📦 Precios Proforma'!$B$5:$D$104,IF(D865="DIA",2,3),FALSE)),0))</f>
        <v/>
      </c>
      <c r="J865" s="31" t="str">
        <f t="shared" si="92"/>
        <v/>
      </c>
      <c r="K865" s="31" t="str">
        <f t="shared" si="93"/>
        <v/>
      </c>
      <c r="L865" s="31" t="str">
        <f>IF(OR(B865="",C865=""),"",IFERROR(E865 / SUMIFS('📅 Resumen Diario'!$D$5:$D$504, '📅 Resumen Diario'!$B$5:$B$504, B865, '📅 Resumen Diario'!$C$5:$C$504, D865) * SUMIFS('📅 Resumen Diario'!$K$5:$K$504, '📅 Resumen Diario'!$B$5:$B$504, B865, '📅 Resumen Diario'!$C$5:$C$504, D865), 0))</f>
        <v/>
      </c>
      <c r="M865" s="31" t="str">
        <f t="shared" si="94"/>
        <v/>
      </c>
      <c r="N865" s="31" t="str">
        <f t="shared" si="95"/>
        <v/>
      </c>
      <c r="O865" s="31" t="str">
        <f>IF(OR(B865="",C865=""),"",K865-N865 + IFERROR(E865 / SUMIFS('📅 Resumen Diario'!$D$5:$D$504, '📅 Resumen Diario'!$B$5:$B$504, B865, '📅 Resumen Diario'!$C$5:$C$504, D865) * (SUMIFS('📋 Detalle Diario'!$E$5:$E$489, '📋 Detalle Diario'!$B$5:$B$489, B865, '📋 Detalle Diario'!$C$5:$C$489, D865) * 135 + SUMIFS('📋 Detalle Diario'!$I$5:$I$489, '📋 Detalle Diario'!$B$5:$B$489, B865, '📋 Detalle Diario'!$C$5:$C$489, D865) * 200), 0))</f>
        <v/>
      </c>
      <c r="P865" s="32" t="str">
        <f t="shared" si="96"/>
        <v/>
      </c>
      <c r="Q865" s="33" t="str">
        <f t="shared" si="97"/>
        <v/>
      </c>
    </row>
    <row r="866" spans="2:17" ht="18" customHeight="1" x14ac:dyDescent="0.3">
      <c r="B866" s="26"/>
      <c r="C866" s="17"/>
      <c r="D866" s="27"/>
      <c r="E866" s="18"/>
      <c r="F866" s="18"/>
      <c r="G866" s="18"/>
      <c r="H866" s="30" t="str">
        <f t="shared" si="91"/>
        <v/>
      </c>
      <c r="I866" s="31" t="str">
        <f>IF(OR(B866="",C866=""),"",IFERROR(E866*IF(E866="",0,VLOOKUP(C866,'📦 Precios Proforma'!$B$5:$D$104,IF(D866="DIA",2,3),FALSE)),0))</f>
        <v/>
      </c>
      <c r="J866" s="31" t="str">
        <f t="shared" si="92"/>
        <v/>
      </c>
      <c r="K866" s="31" t="str">
        <f t="shared" si="93"/>
        <v/>
      </c>
      <c r="L866" s="31" t="str">
        <f>IF(OR(B866="",C866=""),"",IFERROR(E866 / SUMIFS('📅 Resumen Diario'!$D$5:$D$504, '📅 Resumen Diario'!$B$5:$B$504, B866, '📅 Resumen Diario'!$C$5:$C$504, D866) * SUMIFS('📅 Resumen Diario'!$K$5:$K$504, '📅 Resumen Diario'!$B$5:$B$504, B866, '📅 Resumen Diario'!$C$5:$C$504, D866), 0))</f>
        <v/>
      </c>
      <c r="M866" s="31" t="str">
        <f t="shared" si="94"/>
        <v/>
      </c>
      <c r="N866" s="31" t="str">
        <f t="shared" si="95"/>
        <v/>
      </c>
      <c r="O866" s="31" t="str">
        <f>IF(OR(B866="",C866=""),"",K866-N866 + IFERROR(E866 / SUMIFS('📅 Resumen Diario'!$D$5:$D$504, '📅 Resumen Diario'!$B$5:$B$504, B866, '📅 Resumen Diario'!$C$5:$C$504, D866) * (SUMIFS('📋 Detalle Diario'!$E$5:$E$489, '📋 Detalle Diario'!$B$5:$B$489, B866, '📋 Detalle Diario'!$C$5:$C$489, D866) * 135 + SUMIFS('📋 Detalle Diario'!$I$5:$I$489, '📋 Detalle Diario'!$B$5:$B$489, B866, '📋 Detalle Diario'!$C$5:$C$489, D866) * 200), 0))</f>
        <v/>
      </c>
      <c r="P866" s="32" t="str">
        <f t="shared" si="96"/>
        <v/>
      </c>
      <c r="Q866" s="33" t="str">
        <f t="shared" si="97"/>
        <v/>
      </c>
    </row>
    <row r="867" spans="2:17" ht="18" customHeight="1" x14ac:dyDescent="0.3">
      <c r="B867" s="26"/>
      <c r="C867" s="28"/>
      <c r="D867" s="27"/>
      <c r="E867" s="29"/>
      <c r="F867" s="29"/>
      <c r="G867" s="29"/>
      <c r="H867" s="30" t="str">
        <f t="shared" si="91"/>
        <v/>
      </c>
      <c r="I867" s="31" t="str">
        <f>IF(OR(B867="",C867=""),"",IFERROR(E867*IF(E867="",0,VLOOKUP(C867,'📦 Precios Proforma'!$B$5:$D$104,IF(D867="DIA",2,3),FALSE)),0))</f>
        <v/>
      </c>
      <c r="J867" s="31" t="str">
        <f t="shared" si="92"/>
        <v/>
      </c>
      <c r="K867" s="31" t="str">
        <f t="shared" si="93"/>
        <v/>
      </c>
      <c r="L867" s="31" t="str">
        <f>IF(OR(B867="",C867=""),"",IFERROR(E867 / SUMIFS('📅 Resumen Diario'!$D$5:$D$504, '📅 Resumen Diario'!$B$5:$B$504, B867, '📅 Resumen Diario'!$C$5:$C$504, D867) * SUMIFS('📅 Resumen Diario'!$K$5:$K$504, '📅 Resumen Diario'!$B$5:$B$504, B867, '📅 Resumen Diario'!$C$5:$C$504, D867), 0))</f>
        <v/>
      </c>
      <c r="M867" s="31" t="str">
        <f t="shared" si="94"/>
        <v/>
      </c>
      <c r="N867" s="31" t="str">
        <f t="shared" si="95"/>
        <v/>
      </c>
      <c r="O867" s="31" t="str">
        <f>IF(OR(B867="",C867=""),"",K867-N867 + IFERROR(E867 / SUMIFS('📅 Resumen Diario'!$D$5:$D$504, '📅 Resumen Diario'!$B$5:$B$504, B867, '📅 Resumen Diario'!$C$5:$C$504, D867) * (SUMIFS('📋 Detalle Diario'!$E$5:$E$489, '📋 Detalle Diario'!$B$5:$B$489, B867, '📋 Detalle Diario'!$C$5:$C$489, D867) * 135 + SUMIFS('📋 Detalle Diario'!$I$5:$I$489, '📋 Detalle Diario'!$B$5:$B$489, B867, '📋 Detalle Diario'!$C$5:$C$489, D867) * 200), 0))</f>
        <v/>
      </c>
      <c r="P867" s="32" t="str">
        <f t="shared" si="96"/>
        <v/>
      </c>
      <c r="Q867" s="33" t="str">
        <f t="shared" si="97"/>
        <v/>
      </c>
    </row>
    <row r="868" spans="2:17" ht="18" customHeight="1" x14ac:dyDescent="0.3">
      <c r="B868" s="26"/>
      <c r="C868" s="17"/>
      <c r="D868" s="27"/>
      <c r="E868" s="18"/>
      <c r="F868" s="18"/>
      <c r="G868" s="18"/>
      <c r="H868" s="30" t="str">
        <f t="shared" si="91"/>
        <v/>
      </c>
      <c r="I868" s="31" t="str">
        <f>IF(OR(B868="",C868=""),"",IFERROR(E868*IF(E868="",0,VLOOKUP(C868,'📦 Precios Proforma'!$B$5:$D$104,IF(D868="DIA",2,3),FALSE)),0))</f>
        <v/>
      </c>
      <c r="J868" s="31" t="str">
        <f t="shared" si="92"/>
        <v/>
      </c>
      <c r="K868" s="31" t="str">
        <f t="shared" si="93"/>
        <v/>
      </c>
      <c r="L868" s="31" t="str">
        <f>IF(OR(B868="",C868=""),"",IFERROR(E868 / SUMIFS('📅 Resumen Diario'!$D$5:$D$504, '📅 Resumen Diario'!$B$5:$B$504, B868, '📅 Resumen Diario'!$C$5:$C$504, D868) * SUMIFS('📅 Resumen Diario'!$K$5:$K$504, '📅 Resumen Diario'!$B$5:$B$504, B868, '📅 Resumen Diario'!$C$5:$C$504, D868), 0))</f>
        <v/>
      </c>
      <c r="M868" s="31" t="str">
        <f t="shared" si="94"/>
        <v/>
      </c>
      <c r="N868" s="31" t="str">
        <f t="shared" si="95"/>
        <v/>
      </c>
      <c r="O868" s="31" t="str">
        <f>IF(OR(B868="",C868=""),"",K868-N868 + IFERROR(E868 / SUMIFS('📅 Resumen Diario'!$D$5:$D$504, '📅 Resumen Diario'!$B$5:$B$504, B868, '📅 Resumen Diario'!$C$5:$C$504, D868) * (SUMIFS('📋 Detalle Diario'!$E$5:$E$489, '📋 Detalle Diario'!$B$5:$B$489, B868, '📋 Detalle Diario'!$C$5:$C$489, D868) * 135 + SUMIFS('📋 Detalle Diario'!$I$5:$I$489, '📋 Detalle Diario'!$B$5:$B$489, B868, '📋 Detalle Diario'!$C$5:$C$489, D868) * 200), 0))</f>
        <v/>
      </c>
      <c r="P868" s="32" t="str">
        <f t="shared" si="96"/>
        <v/>
      </c>
      <c r="Q868" s="33" t="str">
        <f t="shared" si="97"/>
        <v/>
      </c>
    </row>
    <row r="869" spans="2:17" ht="18" customHeight="1" x14ac:dyDescent="0.3">
      <c r="B869" s="26"/>
      <c r="C869" s="28"/>
      <c r="D869" s="27"/>
      <c r="E869" s="29"/>
      <c r="F869" s="29"/>
      <c r="G869" s="29"/>
      <c r="H869" s="30" t="str">
        <f t="shared" si="91"/>
        <v/>
      </c>
      <c r="I869" s="31" t="str">
        <f>IF(OR(B869="",C869=""),"",IFERROR(E869*IF(E869="",0,VLOOKUP(C869,'📦 Precios Proforma'!$B$5:$D$104,IF(D869="DIA",2,3),FALSE)),0))</f>
        <v/>
      </c>
      <c r="J869" s="31" t="str">
        <f t="shared" si="92"/>
        <v/>
      </c>
      <c r="K869" s="31" t="str">
        <f t="shared" si="93"/>
        <v/>
      </c>
      <c r="L869" s="31" t="str">
        <f>IF(OR(B869="",C869=""),"",IFERROR(E869 / SUMIFS('📅 Resumen Diario'!$D$5:$D$504, '📅 Resumen Diario'!$B$5:$B$504, B869, '📅 Resumen Diario'!$C$5:$C$504, D869) * SUMIFS('📅 Resumen Diario'!$K$5:$K$504, '📅 Resumen Diario'!$B$5:$B$504, B869, '📅 Resumen Diario'!$C$5:$C$504, D869), 0))</f>
        <v/>
      </c>
      <c r="M869" s="31" t="str">
        <f t="shared" si="94"/>
        <v/>
      </c>
      <c r="N869" s="31" t="str">
        <f t="shared" si="95"/>
        <v/>
      </c>
      <c r="O869" s="31" t="str">
        <f>IF(OR(B869="",C869=""),"",K869-N869 + IFERROR(E869 / SUMIFS('📅 Resumen Diario'!$D$5:$D$504, '📅 Resumen Diario'!$B$5:$B$504, B869, '📅 Resumen Diario'!$C$5:$C$504, D869) * (SUMIFS('📋 Detalle Diario'!$E$5:$E$489, '📋 Detalle Diario'!$B$5:$B$489, B869, '📋 Detalle Diario'!$C$5:$C$489, D869) * 135 + SUMIFS('📋 Detalle Diario'!$I$5:$I$489, '📋 Detalle Diario'!$B$5:$B$489, B869, '📋 Detalle Diario'!$C$5:$C$489, D869) * 200), 0))</f>
        <v/>
      </c>
      <c r="P869" s="32" t="str">
        <f t="shared" si="96"/>
        <v/>
      </c>
      <c r="Q869" s="33" t="str">
        <f t="shared" si="97"/>
        <v/>
      </c>
    </row>
    <row r="870" spans="2:17" ht="18" customHeight="1" x14ac:dyDescent="0.3">
      <c r="B870" s="26"/>
      <c r="C870" s="17"/>
      <c r="D870" s="27"/>
      <c r="E870" s="18"/>
      <c r="F870" s="18"/>
      <c r="G870" s="18"/>
      <c r="H870" s="30" t="str">
        <f t="shared" si="91"/>
        <v/>
      </c>
      <c r="I870" s="31" t="str">
        <f>IF(OR(B870="",C870=""),"",IFERROR(E870*IF(E870="",0,VLOOKUP(C870,'📦 Precios Proforma'!$B$5:$D$104,IF(D870="DIA",2,3),FALSE)),0))</f>
        <v/>
      </c>
      <c r="J870" s="31" t="str">
        <f t="shared" si="92"/>
        <v/>
      </c>
      <c r="K870" s="31" t="str">
        <f t="shared" si="93"/>
        <v/>
      </c>
      <c r="L870" s="31" t="str">
        <f>IF(OR(B870="",C870=""),"",IFERROR(E870 / SUMIFS('📅 Resumen Diario'!$D$5:$D$504, '📅 Resumen Diario'!$B$5:$B$504, B870, '📅 Resumen Diario'!$C$5:$C$504, D870) * SUMIFS('📅 Resumen Diario'!$K$5:$K$504, '📅 Resumen Diario'!$B$5:$B$504, B870, '📅 Resumen Diario'!$C$5:$C$504, D870), 0))</f>
        <v/>
      </c>
      <c r="M870" s="31" t="str">
        <f t="shared" si="94"/>
        <v/>
      </c>
      <c r="N870" s="31" t="str">
        <f t="shared" si="95"/>
        <v/>
      </c>
      <c r="O870" s="31" t="str">
        <f>IF(OR(B870="",C870=""),"",K870-N870 + IFERROR(E870 / SUMIFS('📅 Resumen Diario'!$D$5:$D$504, '📅 Resumen Diario'!$B$5:$B$504, B870, '📅 Resumen Diario'!$C$5:$C$504, D870) * (SUMIFS('📋 Detalle Diario'!$E$5:$E$489, '📋 Detalle Diario'!$B$5:$B$489, B870, '📋 Detalle Diario'!$C$5:$C$489, D870) * 135 + SUMIFS('📋 Detalle Diario'!$I$5:$I$489, '📋 Detalle Diario'!$B$5:$B$489, B870, '📋 Detalle Diario'!$C$5:$C$489, D870) * 200), 0))</f>
        <v/>
      </c>
      <c r="P870" s="32" t="str">
        <f t="shared" si="96"/>
        <v/>
      </c>
      <c r="Q870" s="33" t="str">
        <f t="shared" si="97"/>
        <v/>
      </c>
    </row>
    <row r="871" spans="2:17" ht="18" customHeight="1" x14ac:dyDescent="0.3">
      <c r="B871" s="26"/>
      <c r="C871" s="28"/>
      <c r="D871" s="27"/>
      <c r="E871" s="29"/>
      <c r="F871" s="29"/>
      <c r="G871" s="29"/>
      <c r="H871" s="30" t="str">
        <f t="shared" si="91"/>
        <v/>
      </c>
      <c r="I871" s="31" t="str">
        <f>IF(OR(B871="",C871=""),"",IFERROR(E871*IF(E871="",0,VLOOKUP(C871,'📦 Precios Proforma'!$B$5:$D$104,IF(D871="DIA",2,3),FALSE)),0))</f>
        <v/>
      </c>
      <c r="J871" s="31" t="str">
        <f t="shared" si="92"/>
        <v/>
      </c>
      <c r="K871" s="31" t="str">
        <f t="shared" si="93"/>
        <v/>
      </c>
      <c r="L871" s="31" t="str">
        <f>IF(OR(B871="",C871=""),"",IFERROR(E871 / SUMIFS('📅 Resumen Diario'!$D$5:$D$504, '📅 Resumen Diario'!$B$5:$B$504, B871, '📅 Resumen Diario'!$C$5:$C$504, D871) * SUMIFS('📅 Resumen Diario'!$K$5:$K$504, '📅 Resumen Diario'!$B$5:$B$504, B871, '📅 Resumen Diario'!$C$5:$C$504, D871), 0))</f>
        <v/>
      </c>
      <c r="M871" s="31" t="str">
        <f t="shared" si="94"/>
        <v/>
      </c>
      <c r="N871" s="31" t="str">
        <f t="shared" si="95"/>
        <v/>
      </c>
      <c r="O871" s="31" t="str">
        <f>IF(OR(B871="",C871=""),"",K871-N871 + IFERROR(E871 / SUMIFS('📅 Resumen Diario'!$D$5:$D$504, '📅 Resumen Diario'!$B$5:$B$504, B871, '📅 Resumen Diario'!$C$5:$C$504, D871) * (SUMIFS('📋 Detalle Diario'!$E$5:$E$489, '📋 Detalle Diario'!$B$5:$B$489, B871, '📋 Detalle Diario'!$C$5:$C$489, D871) * 135 + SUMIFS('📋 Detalle Diario'!$I$5:$I$489, '📋 Detalle Diario'!$B$5:$B$489, B871, '📋 Detalle Diario'!$C$5:$C$489, D871) * 200), 0))</f>
        <v/>
      </c>
      <c r="P871" s="32" t="str">
        <f t="shared" si="96"/>
        <v/>
      </c>
      <c r="Q871" s="33" t="str">
        <f t="shared" si="97"/>
        <v/>
      </c>
    </row>
    <row r="872" spans="2:17" ht="18" customHeight="1" x14ac:dyDescent="0.3">
      <c r="B872" s="26"/>
      <c r="C872" s="17"/>
      <c r="D872" s="27"/>
      <c r="E872" s="18"/>
      <c r="F872" s="18"/>
      <c r="G872" s="18"/>
      <c r="H872" s="30" t="str">
        <f t="shared" si="91"/>
        <v/>
      </c>
      <c r="I872" s="31" t="str">
        <f>IF(OR(B872="",C872=""),"",IFERROR(E872*IF(E872="",0,VLOOKUP(C872,'📦 Precios Proforma'!$B$5:$D$104,IF(D872="DIA",2,3),FALSE)),0))</f>
        <v/>
      </c>
      <c r="J872" s="31" t="str">
        <f t="shared" si="92"/>
        <v/>
      </c>
      <c r="K872" s="31" t="str">
        <f t="shared" si="93"/>
        <v/>
      </c>
      <c r="L872" s="31" t="str">
        <f>IF(OR(B872="",C872=""),"",IFERROR(E872 / SUMIFS('📅 Resumen Diario'!$D$5:$D$504, '📅 Resumen Diario'!$B$5:$B$504, B872, '📅 Resumen Diario'!$C$5:$C$504, D872) * SUMIFS('📅 Resumen Diario'!$K$5:$K$504, '📅 Resumen Diario'!$B$5:$B$504, B872, '📅 Resumen Diario'!$C$5:$C$504, D872), 0))</f>
        <v/>
      </c>
      <c r="M872" s="31" t="str">
        <f t="shared" si="94"/>
        <v/>
      </c>
      <c r="N872" s="31" t="str">
        <f t="shared" si="95"/>
        <v/>
      </c>
      <c r="O872" s="31" t="str">
        <f>IF(OR(B872="",C872=""),"",K872-N872 + IFERROR(E872 / SUMIFS('📅 Resumen Diario'!$D$5:$D$504, '📅 Resumen Diario'!$B$5:$B$504, B872, '📅 Resumen Diario'!$C$5:$C$504, D872) * (SUMIFS('📋 Detalle Diario'!$E$5:$E$489, '📋 Detalle Diario'!$B$5:$B$489, B872, '📋 Detalle Diario'!$C$5:$C$489, D872) * 135 + SUMIFS('📋 Detalle Diario'!$I$5:$I$489, '📋 Detalle Diario'!$B$5:$B$489, B872, '📋 Detalle Diario'!$C$5:$C$489, D872) * 200), 0))</f>
        <v/>
      </c>
      <c r="P872" s="32" t="str">
        <f t="shared" si="96"/>
        <v/>
      </c>
      <c r="Q872" s="33" t="str">
        <f t="shared" si="97"/>
        <v/>
      </c>
    </row>
    <row r="873" spans="2:17" ht="18" customHeight="1" x14ac:dyDescent="0.3">
      <c r="B873" s="26"/>
      <c r="C873" s="28"/>
      <c r="D873" s="27"/>
      <c r="E873" s="29"/>
      <c r="F873" s="29"/>
      <c r="G873" s="29"/>
      <c r="H873" s="30" t="str">
        <f t="shared" si="91"/>
        <v/>
      </c>
      <c r="I873" s="31" t="str">
        <f>IF(OR(B873="",C873=""),"",IFERROR(E873*IF(E873="",0,VLOOKUP(C873,'📦 Precios Proforma'!$B$5:$D$104,IF(D873="DIA",2,3),FALSE)),0))</f>
        <v/>
      </c>
      <c r="J873" s="31" t="str">
        <f t="shared" si="92"/>
        <v/>
      </c>
      <c r="K873" s="31" t="str">
        <f t="shared" si="93"/>
        <v/>
      </c>
      <c r="L873" s="31" t="str">
        <f>IF(OR(B873="",C873=""),"",IFERROR(E873 / SUMIFS('📅 Resumen Diario'!$D$5:$D$504, '📅 Resumen Diario'!$B$5:$B$504, B873, '📅 Resumen Diario'!$C$5:$C$504, D873) * SUMIFS('📅 Resumen Diario'!$K$5:$K$504, '📅 Resumen Diario'!$B$5:$B$504, B873, '📅 Resumen Diario'!$C$5:$C$504, D873), 0))</f>
        <v/>
      </c>
      <c r="M873" s="31" t="str">
        <f t="shared" si="94"/>
        <v/>
      </c>
      <c r="N873" s="31" t="str">
        <f t="shared" si="95"/>
        <v/>
      </c>
      <c r="O873" s="31" t="str">
        <f>IF(OR(B873="",C873=""),"",K873-N873 + IFERROR(E873 / SUMIFS('📅 Resumen Diario'!$D$5:$D$504, '📅 Resumen Diario'!$B$5:$B$504, B873, '📅 Resumen Diario'!$C$5:$C$504, D873) * (SUMIFS('📋 Detalle Diario'!$E$5:$E$489, '📋 Detalle Diario'!$B$5:$B$489, B873, '📋 Detalle Diario'!$C$5:$C$489, D873) * 135 + SUMIFS('📋 Detalle Diario'!$I$5:$I$489, '📋 Detalle Diario'!$B$5:$B$489, B873, '📋 Detalle Diario'!$C$5:$C$489, D873) * 200), 0))</f>
        <v/>
      </c>
      <c r="P873" s="32" t="str">
        <f t="shared" si="96"/>
        <v/>
      </c>
      <c r="Q873" s="33" t="str">
        <f t="shared" si="97"/>
        <v/>
      </c>
    </row>
    <row r="874" spans="2:17" ht="18" customHeight="1" x14ac:dyDescent="0.3">
      <c r="B874" s="26"/>
      <c r="C874" s="17"/>
      <c r="D874" s="27"/>
      <c r="E874" s="18"/>
      <c r="F874" s="18"/>
      <c r="G874" s="18"/>
      <c r="H874" s="30" t="str">
        <f t="shared" si="91"/>
        <v/>
      </c>
      <c r="I874" s="31" t="str">
        <f>IF(OR(B874="",C874=""),"",IFERROR(E874*IF(E874="",0,VLOOKUP(C874,'📦 Precios Proforma'!$B$5:$D$104,IF(D874="DIA",2,3),FALSE)),0))</f>
        <v/>
      </c>
      <c r="J874" s="31" t="str">
        <f t="shared" si="92"/>
        <v/>
      </c>
      <c r="K874" s="31" t="str">
        <f t="shared" si="93"/>
        <v/>
      </c>
      <c r="L874" s="31" t="str">
        <f>IF(OR(B874="",C874=""),"",IFERROR(E874 / SUMIFS('📅 Resumen Diario'!$D$5:$D$504, '📅 Resumen Diario'!$B$5:$B$504, B874, '📅 Resumen Diario'!$C$5:$C$504, D874) * SUMIFS('📅 Resumen Diario'!$K$5:$K$504, '📅 Resumen Diario'!$B$5:$B$504, B874, '📅 Resumen Diario'!$C$5:$C$504, D874), 0))</f>
        <v/>
      </c>
      <c r="M874" s="31" t="str">
        <f t="shared" si="94"/>
        <v/>
      </c>
      <c r="N874" s="31" t="str">
        <f t="shared" si="95"/>
        <v/>
      </c>
      <c r="O874" s="31" t="str">
        <f>IF(OR(B874="",C874=""),"",K874-N874 + IFERROR(E874 / SUMIFS('📅 Resumen Diario'!$D$5:$D$504, '📅 Resumen Diario'!$B$5:$B$504, B874, '📅 Resumen Diario'!$C$5:$C$504, D874) * (SUMIFS('📋 Detalle Diario'!$E$5:$E$489, '📋 Detalle Diario'!$B$5:$B$489, B874, '📋 Detalle Diario'!$C$5:$C$489, D874) * 135 + SUMIFS('📋 Detalle Diario'!$I$5:$I$489, '📋 Detalle Diario'!$B$5:$B$489, B874, '📋 Detalle Diario'!$C$5:$C$489, D874) * 200), 0))</f>
        <v/>
      </c>
      <c r="P874" s="32" t="str">
        <f t="shared" si="96"/>
        <v/>
      </c>
      <c r="Q874" s="33" t="str">
        <f t="shared" si="97"/>
        <v/>
      </c>
    </row>
    <row r="875" spans="2:17" ht="18" customHeight="1" x14ac:dyDescent="0.3">
      <c r="B875" s="26"/>
      <c r="C875" s="28"/>
      <c r="D875" s="27"/>
      <c r="E875" s="29"/>
      <c r="F875" s="29"/>
      <c r="G875" s="29"/>
      <c r="H875" s="30" t="str">
        <f t="shared" si="91"/>
        <v/>
      </c>
      <c r="I875" s="31" t="str">
        <f>IF(OR(B875="",C875=""),"",IFERROR(E875*IF(E875="",0,VLOOKUP(C875,'📦 Precios Proforma'!$B$5:$D$104,IF(D875="DIA",2,3),FALSE)),0))</f>
        <v/>
      </c>
      <c r="J875" s="31" t="str">
        <f t="shared" si="92"/>
        <v/>
      </c>
      <c r="K875" s="31" t="str">
        <f t="shared" si="93"/>
        <v/>
      </c>
      <c r="L875" s="31" t="str">
        <f>IF(OR(B875="",C875=""),"",IFERROR(E875 / SUMIFS('📅 Resumen Diario'!$D$5:$D$504, '📅 Resumen Diario'!$B$5:$B$504, B875, '📅 Resumen Diario'!$C$5:$C$504, D875) * SUMIFS('📅 Resumen Diario'!$K$5:$K$504, '📅 Resumen Diario'!$B$5:$B$504, B875, '📅 Resumen Diario'!$C$5:$C$504, D875), 0))</f>
        <v/>
      </c>
      <c r="M875" s="31" t="str">
        <f t="shared" si="94"/>
        <v/>
      </c>
      <c r="N875" s="31" t="str">
        <f t="shared" si="95"/>
        <v/>
      </c>
      <c r="O875" s="31" t="str">
        <f>IF(OR(B875="",C875=""),"",K875-N875 + IFERROR(E875 / SUMIFS('📅 Resumen Diario'!$D$5:$D$504, '📅 Resumen Diario'!$B$5:$B$504, B875, '📅 Resumen Diario'!$C$5:$C$504, D875) * (SUMIFS('📋 Detalle Diario'!$E$5:$E$489, '📋 Detalle Diario'!$B$5:$B$489, B875, '📋 Detalle Diario'!$C$5:$C$489, D875) * 135 + SUMIFS('📋 Detalle Diario'!$I$5:$I$489, '📋 Detalle Diario'!$B$5:$B$489, B875, '📋 Detalle Diario'!$C$5:$C$489, D875) * 200), 0))</f>
        <v/>
      </c>
      <c r="P875" s="32" t="str">
        <f t="shared" si="96"/>
        <v/>
      </c>
      <c r="Q875" s="33" t="str">
        <f t="shared" si="97"/>
        <v/>
      </c>
    </row>
    <row r="876" spans="2:17" ht="18" customHeight="1" x14ac:dyDescent="0.3">
      <c r="B876" s="26"/>
      <c r="C876" s="17"/>
      <c r="D876" s="27"/>
      <c r="E876" s="18"/>
      <c r="F876" s="18"/>
      <c r="G876" s="18"/>
      <c r="H876" s="30" t="str">
        <f t="shared" si="91"/>
        <v/>
      </c>
      <c r="I876" s="31" t="str">
        <f>IF(OR(B876="",C876=""),"",IFERROR(E876*IF(E876="",0,VLOOKUP(C876,'📦 Precios Proforma'!$B$5:$D$104,IF(D876="DIA",2,3),FALSE)),0))</f>
        <v/>
      </c>
      <c r="J876" s="31" t="str">
        <f t="shared" si="92"/>
        <v/>
      </c>
      <c r="K876" s="31" t="str">
        <f t="shared" si="93"/>
        <v/>
      </c>
      <c r="L876" s="31" t="str">
        <f>IF(OR(B876="",C876=""),"",IFERROR(E876 / SUMIFS('📅 Resumen Diario'!$D$5:$D$504, '📅 Resumen Diario'!$B$5:$B$504, B876, '📅 Resumen Diario'!$C$5:$C$504, D876) * SUMIFS('📅 Resumen Diario'!$K$5:$K$504, '📅 Resumen Diario'!$B$5:$B$504, B876, '📅 Resumen Diario'!$C$5:$C$504, D876), 0))</f>
        <v/>
      </c>
      <c r="M876" s="31" t="str">
        <f t="shared" si="94"/>
        <v/>
      </c>
      <c r="N876" s="31" t="str">
        <f t="shared" si="95"/>
        <v/>
      </c>
      <c r="O876" s="31" t="str">
        <f>IF(OR(B876="",C876=""),"",K876-N876 + IFERROR(E876 / SUMIFS('📅 Resumen Diario'!$D$5:$D$504, '📅 Resumen Diario'!$B$5:$B$504, B876, '📅 Resumen Diario'!$C$5:$C$504, D876) * (SUMIFS('📋 Detalle Diario'!$E$5:$E$489, '📋 Detalle Diario'!$B$5:$B$489, B876, '📋 Detalle Diario'!$C$5:$C$489, D876) * 135 + SUMIFS('📋 Detalle Diario'!$I$5:$I$489, '📋 Detalle Diario'!$B$5:$B$489, B876, '📋 Detalle Diario'!$C$5:$C$489, D876) * 200), 0))</f>
        <v/>
      </c>
      <c r="P876" s="32" t="str">
        <f t="shared" si="96"/>
        <v/>
      </c>
      <c r="Q876" s="33" t="str">
        <f t="shared" si="97"/>
        <v/>
      </c>
    </row>
    <row r="877" spans="2:17" ht="18" customHeight="1" x14ac:dyDescent="0.3">
      <c r="B877" s="26"/>
      <c r="C877" s="28"/>
      <c r="D877" s="27"/>
      <c r="E877" s="29"/>
      <c r="F877" s="29"/>
      <c r="G877" s="29"/>
      <c r="H877" s="30" t="str">
        <f t="shared" si="91"/>
        <v/>
      </c>
      <c r="I877" s="31" t="str">
        <f>IF(OR(B877="",C877=""),"",IFERROR(E877*IF(E877="",0,VLOOKUP(C877,'📦 Precios Proforma'!$B$5:$D$104,IF(D877="DIA",2,3),FALSE)),0))</f>
        <v/>
      </c>
      <c r="J877" s="31" t="str">
        <f t="shared" si="92"/>
        <v/>
      </c>
      <c r="K877" s="31" t="str">
        <f t="shared" si="93"/>
        <v/>
      </c>
      <c r="L877" s="31" t="str">
        <f>IF(OR(B877="",C877=""),"",IFERROR(E877 / SUMIFS('📅 Resumen Diario'!$D$5:$D$504, '📅 Resumen Diario'!$B$5:$B$504, B877, '📅 Resumen Diario'!$C$5:$C$504, D877) * SUMIFS('📅 Resumen Diario'!$K$5:$K$504, '📅 Resumen Diario'!$B$5:$B$504, B877, '📅 Resumen Diario'!$C$5:$C$504, D877), 0))</f>
        <v/>
      </c>
      <c r="M877" s="31" t="str">
        <f t="shared" si="94"/>
        <v/>
      </c>
      <c r="N877" s="31" t="str">
        <f t="shared" si="95"/>
        <v/>
      </c>
      <c r="O877" s="31" t="str">
        <f>IF(OR(B877="",C877=""),"",K877-N877 + IFERROR(E877 / SUMIFS('📅 Resumen Diario'!$D$5:$D$504, '📅 Resumen Diario'!$B$5:$B$504, B877, '📅 Resumen Diario'!$C$5:$C$504, D877) * (SUMIFS('📋 Detalle Diario'!$E$5:$E$489, '📋 Detalle Diario'!$B$5:$B$489, B877, '📋 Detalle Diario'!$C$5:$C$489, D877) * 135 + SUMIFS('📋 Detalle Diario'!$I$5:$I$489, '📋 Detalle Diario'!$B$5:$B$489, B877, '📋 Detalle Diario'!$C$5:$C$489, D877) * 200), 0))</f>
        <v/>
      </c>
      <c r="P877" s="32" t="str">
        <f t="shared" si="96"/>
        <v/>
      </c>
      <c r="Q877" s="33" t="str">
        <f t="shared" si="97"/>
        <v/>
      </c>
    </row>
    <row r="878" spans="2:17" ht="18" customHeight="1" x14ac:dyDescent="0.3">
      <c r="B878" s="26"/>
      <c r="C878" s="17"/>
      <c r="D878" s="27"/>
      <c r="E878" s="18"/>
      <c r="F878" s="18"/>
      <c r="G878" s="18"/>
      <c r="H878" s="30" t="str">
        <f t="shared" si="91"/>
        <v/>
      </c>
      <c r="I878" s="31" t="str">
        <f>IF(OR(B878="",C878=""),"",IFERROR(E878*IF(E878="",0,VLOOKUP(C878,'📦 Precios Proforma'!$B$5:$D$104,IF(D878="DIA",2,3),FALSE)),0))</f>
        <v/>
      </c>
      <c r="J878" s="31" t="str">
        <f t="shared" si="92"/>
        <v/>
      </c>
      <c r="K878" s="31" t="str">
        <f t="shared" si="93"/>
        <v/>
      </c>
      <c r="L878" s="31" t="str">
        <f>IF(OR(B878="",C878=""),"",IFERROR(E878 / SUMIFS('📅 Resumen Diario'!$D$5:$D$504, '📅 Resumen Diario'!$B$5:$B$504, B878, '📅 Resumen Diario'!$C$5:$C$504, D878) * SUMIFS('📅 Resumen Diario'!$K$5:$K$504, '📅 Resumen Diario'!$B$5:$B$504, B878, '📅 Resumen Diario'!$C$5:$C$504, D878), 0))</f>
        <v/>
      </c>
      <c r="M878" s="31" t="str">
        <f t="shared" si="94"/>
        <v/>
      </c>
      <c r="N878" s="31" t="str">
        <f t="shared" si="95"/>
        <v/>
      </c>
      <c r="O878" s="31" t="str">
        <f>IF(OR(B878="",C878=""),"",K878-N878 + IFERROR(E878 / SUMIFS('📅 Resumen Diario'!$D$5:$D$504, '📅 Resumen Diario'!$B$5:$B$504, B878, '📅 Resumen Diario'!$C$5:$C$504, D878) * (SUMIFS('📋 Detalle Diario'!$E$5:$E$489, '📋 Detalle Diario'!$B$5:$B$489, B878, '📋 Detalle Diario'!$C$5:$C$489, D878) * 135 + SUMIFS('📋 Detalle Diario'!$I$5:$I$489, '📋 Detalle Diario'!$B$5:$B$489, B878, '📋 Detalle Diario'!$C$5:$C$489, D878) * 200), 0))</f>
        <v/>
      </c>
      <c r="P878" s="32" t="str">
        <f t="shared" si="96"/>
        <v/>
      </c>
      <c r="Q878" s="33" t="str">
        <f t="shared" si="97"/>
        <v/>
      </c>
    </row>
    <row r="879" spans="2:17" ht="18" customHeight="1" x14ac:dyDescent="0.3">
      <c r="B879" s="26"/>
      <c r="C879" s="28"/>
      <c r="D879" s="27"/>
      <c r="E879" s="29"/>
      <c r="F879" s="29"/>
      <c r="G879" s="29"/>
      <c r="H879" s="30" t="str">
        <f t="shared" si="91"/>
        <v/>
      </c>
      <c r="I879" s="31" t="str">
        <f>IF(OR(B879="",C879=""),"",IFERROR(E879*IF(E879="",0,VLOOKUP(C879,'📦 Precios Proforma'!$B$5:$D$104,IF(D879="DIA",2,3),FALSE)),0))</f>
        <v/>
      </c>
      <c r="J879" s="31" t="str">
        <f t="shared" si="92"/>
        <v/>
      </c>
      <c r="K879" s="31" t="str">
        <f t="shared" si="93"/>
        <v/>
      </c>
      <c r="L879" s="31" t="str">
        <f>IF(OR(B879="",C879=""),"",IFERROR(E879 / SUMIFS('📅 Resumen Diario'!$D$5:$D$504, '📅 Resumen Diario'!$B$5:$B$504, B879, '📅 Resumen Diario'!$C$5:$C$504, D879) * SUMIFS('📅 Resumen Diario'!$K$5:$K$504, '📅 Resumen Diario'!$B$5:$B$504, B879, '📅 Resumen Diario'!$C$5:$C$504, D879), 0))</f>
        <v/>
      </c>
      <c r="M879" s="31" t="str">
        <f t="shared" si="94"/>
        <v/>
      </c>
      <c r="N879" s="31" t="str">
        <f t="shared" si="95"/>
        <v/>
      </c>
      <c r="O879" s="31" t="str">
        <f>IF(OR(B879="",C879=""),"",K879-N879 + IFERROR(E879 / SUMIFS('📅 Resumen Diario'!$D$5:$D$504, '📅 Resumen Diario'!$B$5:$B$504, B879, '📅 Resumen Diario'!$C$5:$C$504, D879) * (SUMIFS('📋 Detalle Diario'!$E$5:$E$489, '📋 Detalle Diario'!$B$5:$B$489, B879, '📋 Detalle Diario'!$C$5:$C$489, D879) * 135 + SUMIFS('📋 Detalle Diario'!$I$5:$I$489, '📋 Detalle Diario'!$B$5:$B$489, B879, '📋 Detalle Diario'!$C$5:$C$489, D879) * 200), 0))</f>
        <v/>
      </c>
      <c r="P879" s="32" t="str">
        <f t="shared" si="96"/>
        <v/>
      </c>
      <c r="Q879" s="33" t="str">
        <f t="shared" si="97"/>
        <v/>
      </c>
    </row>
    <row r="880" spans="2:17" ht="18" customHeight="1" x14ac:dyDescent="0.3">
      <c r="B880" s="26"/>
      <c r="C880" s="17"/>
      <c r="D880" s="27"/>
      <c r="E880" s="18"/>
      <c r="F880" s="18"/>
      <c r="G880" s="18"/>
      <c r="H880" s="30" t="str">
        <f t="shared" si="91"/>
        <v/>
      </c>
      <c r="I880" s="31" t="str">
        <f>IF(OR(B880="",C880=""),"",IFERROR(E880*IF(E880="",0,VLOOKUP(C880,'📦 Precios Proforma'!$B$5:$D$104,IF(D880="DIA",2,3),FALSE)),0))</f>
        <v/>
      </c>
      <c r="J880" s="31" t="str">
        <f t="shared" si="92"/>
        <v/>
      </c>
      <c r="K880" s="31" t="str">
        <f t="shared" si="93"/>
        <v/>
      </c>
      <c r="L880" s="31" t="str">
        <f>IF(OR(B880="",C880=""),"",IFERROR(E880 / SUMIFS('📅 Resumen Diario'!$D$5:$D$504, '📅 Resumen Diario'!$B$5:$B$504, B880, '📅 Resumen Diario'!$C$5:$C$504, D880) * SUMIFS('📅 Resumen Diario'!$K$5:$K$504, '📅 Resumen Diario'!$B$5:$B$504, B880, '📅 Resumen Diario'!$C$5:$C$504, D880), 0))</f>
        <v/>
      </c>
      <c r="M880" s="31" t="str">
        <f t="shared" si="94"/>
        <v/>
      </c>
      <c r="N880" s="31" t="str">
        <f t="shared" si="95"/>
        <v/>
      </c>
      <c r="O880" s="31" t="str">
        <f>IF(OR(B880="",C880=""),"",K880-N880 + IFERROR(E880 / SUMIFS('📅 Resumen Diario'!$D$5:$D$504, '📅 Resumen Diario'!$B$5:$B$504, B880, '📅 Resumen Diario'!$C$5:$C$504, D880) * (SUMIFS('📋 Detalle Diario'!$E$5:$E$489, '📋 Detalle Diario'!$B$5:$B$489, B880, '📋 Detalle Diario'!$C$5:$C$489, D880) * 135 + SUMIFS('📋 Detalle Diario'!$I$5:$I$489, '📋 Detalle Diario'!$B$5:$B$489, B880, '📋 Detalle Diario'!$C$5:$C$489, D880) * 200), 0))</f>
        <v/>
      </c>
      <c r="P880" s="32" t="str">
        <f t="shared" si="96"/>
        <v/>
      </c>
      <c r="Q880" s="33" t="str">
        <f t="shared" si="97"/>
        <v/>
      </c>
    </row>
    <row r="881" spans="2:17" ht="18" customHeight="1" x14ac:dyDescent="0.3">
      <c r="B881" s="26"/>
      <c r="C881" s="28"/>
      <c r="D881" s="27"/>
      <c r="E881" s="29"/>
      <c r="F881" s="29"/>
      <c r="G881" s="29"/>
      <c r="H881" s="30" t="str">
        <f t="shared" si="91"/>
        <v/>
      </c>
      <c r="I881" s="31" t="str">
        <f>IF(OR(B881="",C881=""),"",IFERROR(E881*IF(E881="",0,VLOOKUP(C881,'📦 Precios Proforma'!$B$5:$D$104,IF(D881="DIA",2,3),FALSE)),0))</f>
        <v/>
      </c>
      <c r="J881" s="31" t="str">
        <f t="shared" si="92"/>
        <v/>
      </c>
      <c r="K881" s="31" t="str">
        <f t="shared" si="93"/>
        <v/>
      </c>
      <c r="L881" s="31" t="str">
        <f>IF(OR(B881="",C881=""),"",IFERROR(E881 / SUMIFS('📅 Resumen Diario'!$D$5:$D$504, '📅 Resumen Diario'!$B$5:$B$504, B881, '📅 Resumen Diario'!$C$5:$C$504, D881) * SUMIFS('📅 Resumen Diario'!$K$5:$K$504, '📅 Resumen Diario'!$B$5:$B$504, B881, '📅 Resumen Diario'!$C$5:$C$504, D881), 0))</f>
        <v/>
      </c>
      <c r="M881" s="31" t="str">
        <f t="shared" si="94"/>
        <v/>
      </c>
      <c r="N881" s="31" t="str">
        <f t="shared" si="95"/>
        <v/>
      </c>
      <c r="O881" s="31" t="str">
        <f>IF(OR(B881="",C881=""),"",K881-N881 + IFERROR(E881 / SUMIFS('📅 Resumen Diario'!$D$5:$D$504, '📅 Resumen Diario'!$B$5:$B$504, B881, '📅 Resumen Diario'!$C$5:$C$504, D881) * (SUMIFS('📋 Detalle Diario'!$E$5:$E$489, '📋 Detalle Diario'!$B$5:$B$489, B881, '📋 Detalle Diario'!$C$5:$C$489, D881) * 135 + SUMIFS('📋 Detalle Diario'!$I$5:$I$489, '📋 Detalle Diario'!$B$5:$B$489, B881, '📋 Detalle Diario'!$C$5:$C$489, D881) * 200), 0))</f>
        <v/>
      </c>
      <c r="P881" s="32" t="str">
        <f t="shared" si="96"/>
        <v/>
      </c>
      <c r="Q881" s="33" t="str">
        <f t="shared" si="97"/>
        <v/>
      </c>
    </row>
    <row r="882" spans="2:17" ht="18" customHeight="1" x14ac:dyDescent="0.3">
      <c r="B882" s="26"/>
      <c r="C882" s="17"/>
      <c r="D882" s="27"/>
      <c r="E882" s="18"/>
      <c r="F882" s="18"/>
      <c r="G882" s="18"/>
      <c r="H882" s="30" t="str">
        <f t="shared" si="91"/>
        <v/>
      </c>
      <c r="I882" s="31" t="str">
        <f>IF(OR(B882="",C882=""),"",IFERROR(E882*IF(E882="",0,VLOOKUP(C882,'📦 Precios Proforma'!$B$5:$D$104,IF(D882="DIA",2,3),FALSE)),0))</f>
        <v/>
      </c>
      <c r="J882" s="31" t="str">
        <f t="shared" si="92"/>
        <v/>
      </c>
      <c r="K882" s="31" t="str">
        <f t="shared" si="93"/>
        <v/>
      </c>
      <c r="L882" s="31" t="str">
        <f>IF(OR(B882="",C882=""),"",IFERROR(E882 / SUMIFS('📅 Resumen Diario'!$D$5:$D$504, '📅 Resumen Diario'!$B$5:$B$504, B882, '📅 Resumen Diario'!$C$5:$C$504, D882) * SUMIFS('📅 Resumen Diario'!$K$5:$K$504, '📅 Resumen Diario'!$B$5:$B$504, B882, '📅 Resumen Diario'!$C$5:$C$504, D882), 0))</f>
        <v/>
      </c>
      <c r="M882" s="31" t="str">
        <f t="shared" si="94"/>
        <v/>
      </c>
      <c r="N882" s="31" t="str">
        <f t="shared" si="95"/>
        <v/>
      </c>
      <c r="O882" s="31" t="str">
        <f>IF(OR(B882="",C882=""),"",K882-N882 + IFERROR(E882 / SUMIFS('📅 Resumen Diario'!$D$5:$D$504, '📅 Resumen Diario'!$B$5:$B$504, B882, '📅 Resumen Diario'!$C$5:$C$504, D882) * (SUMIFS('📋 Detalle Diario'!$E$5:$E$489, '📋 Detalle Diario'!$B$5:$B$489, B882, '📋 Detalle Diario'!$C$5:$C$489, D882) * 135 + SUMIFS('📋 Detalle Diario'!$I$5:$I$489, '📋 Detalle Diario'!$B$5:$B$489, B882, '📋 Detalle Diario'!$C$5:$C$489, D882) * 200), 0))</f>
        <v/>
      </c>
      <c r="P882" s="32" t="str">
        <f t="shared" si="96"/>
        <v/>
      </c>
      <c r="Q882" s="33" t="str">
        <f t="shared" si="97"/>
        <v/>
      </c>
    </row>
    <row r="883" spans="2:17" ht="18" customHeight="1" x14ac:dyDescent="0.3">
      <c r="B883" s="26"/>
      <c r="C883" s="28"/>
      <c r="D883" s="27"/>
      <c r="E883" s="29"/>
      <c r="F883" s="29"/>
      <c r="G883" s="29"/>
      <c r="H883" s="30" t="str">
        <f t="shared" si="91"/>
        <v/>
      </c>
      <c r="I883" s="31" t="str">
        <f>IF(OR(B883="",C883=""),"",IFERROR(E883*IF(E883="",0,VLOOKUP(C883,'📦 Precios Proforma'!$B$5:$D$104,IF(D883="DIA",2,3),FALSE)),0))</f>
        <v/>
      </c>
      <c r="J883" s="31" t="str">
        <f t="shared" si="92"/>
        <v/>
      </c>
      <c r="K883" s="31" t="str">
        <f t="shared" si="93"/>
        <v/>
      </c>
      <c r="L883" s="31" t="str">
        <f>IF(OR(B883="",C883=""),"",IFERROR(E883 / SUMIFS('📅 Resumen Diario'!$D$5:$D$504, '📅 Resumen Diario'!$B$5:$B$504, B883, '📅 Resumen Diario'!$C$5:$C$504, D883) * SUMIFS('📅 Resumen Diario'!$K$5:$K$504, '📅 Resumen Diario'!$B$5:$B$504, B883, '📅 Resumen Diario'!$C$5:$C$504, D883), 0))</f>
        <v/>
      </c>
      <c r="M883" s="31" t="str">
        <f t="shared" si="94"/>
        <v/>
      </c>
      <c r="N883" s="31" t="str">
        <f t="shared" si="95"/>
        <v/>
      </c>
      <c r="O883" s="31" t="str">
        <f>IF(OR(B883="",C883=""),"",K883-N883 + IFERROR(E883 / SUMIFS('📅 Resumen Diario'!$D$5:$D$504, '📅 Resumen Diario'!$B$5:$B$504, B883, '📅 Resumen Diario'!$C$5:$C$504, D883) * (SUMIFS('📋 Detalle Diario'!$E$5:$E$489, '📋 Detalle Diario'!$B$5:$B$489, B883, '📋 Detalle Diario'!$C$5:$C$489, D883) * 135 + SUMIFS('📋 Detalle Diario'!$I$5:$I$489, '📋 Detalle Diario'!$B$5:$B$489, B883, '📋 Detalle Diario'!$C$5:$C$489, D883) * 200), 0))</f>
        <v/>
      </c>
      <c r="P883" s="32" t="str">
        <f t="shared" si="96"/>
        <v/>
      </c>
      <c r="Q883" s="33" t="str">
        <f t="shared" si="97"/>
        <v/>
      </c>
    </row>
    <row r="884" spans="2:17" ht="18" customHeight="1" x14ac:dyDescent="0.3">
      <c r="B884" s="26"/>
      <c r="C884" s="17"/>
      <c r="D884" s="27"/>
      <c r="E884" s="18"/>
      <c r="F884" s="18"/>
      <c r="G884" s="18"/>
      <c r="H884" s="30" t="str">
        <f t="shared" si="91"/>
        <v/>
      </c>
      <c r="I884" s="31" t="str">
        <f>IF(OR(B884="",C884=""),"",IFERROR(E884*IF(E884="",0,VLOOKUP(C884,'📦 Precios Proforma'!$B$5:$D$104,IF(D884="DIA",2,3),FALSE)),0))</f>
        <v/>
      </c>
      <c r="J884" s="31" t="str">
        <f t="shared" si="92"/>
        <v/>
      </c>
      <c r="K884" s="31" t="str">
        <f t="shared" si="93"/>
        <v/>
      </c>
      <c r="L884" s="31" t="str">
        <f>IF(OR(B884="",C884=""),"",IFERROR(E884 / SUMIFS('📅 Resumen Diario'!$D$5:$D$504, '📅 Resumen Diario'!$B$5:$B$504, B884, '📅 Resumen Diario'!$C$5:$C$504, D884) * SUMIFS('📅 Resumen Diario'!$K$5:$K$504, '📅 Resumen Diario'!$B$5:$B$504, B884, '📅 Resumen Diario'!$C$5:$C$504, D884), 0))</f>
        <v/>
      </c>
      <c r="M884" s="31" t="str">
        <f t="shared" si="94"/>
        <v/>
      </c>
      <c r="N884" s="31" t="str">
        <f t="shared" si="95"/>
        <v/>
      </c>
      <c r="O884" s="31" t="str">
        <f>IF(OR(B884="",C884=""),"",K884-N884 + IFERROR(E884 / SUMIFS('📅 Resumen Diario'!$D$5:$D$504, '📅 Resumen Diario'!$B$5:$B$504, B884, '📅 Resumen Diario'!$C$5:$C$504, D884) * (SUMIFS('📋 Detalle Diario'!$E$5:$E$489, '📋 Detalle Diario'!$B$5:$B$489, B884, '📋 Detalle Diario'!$C$5:$C$489, D884) * 135 + SUMIFS('📋 Detalle Diario'!$I$5:$I$489, '📋 Detalle Diario'!$B$5:$B$489, B884, '📋 Detalle Diario'!$C$5:$C$489, D884) * 200), 0))</f>
        <v/>
      </c>
      <c r="P884" s="32" t="str">
        <f t="shared" si="96"/>
        <v/>
      </c>
      <c r="Q884" s="33" t="str">
        <f t="shared" si="97"/>
        <v/>
      </c>
    </row>
    <row r="885" spans="2:17" ht="18" customHeight="1" x14ac:dyDescent="0.3">
      <c r="B885" s="26"/>
      <c r="C885" s="28"/>
      <c r="D885" s="27"/>
      <c r="E885" s="29"/>
      <c r="F885" s="29"/>
      <c r="G885" s="29"/>
      <c r="H885" s="30" t="str">
        <f t="shared" si="91"/>
        <v/>
      </c>
      <c r="I885" s="31" t="str">
        <f>IF(OR(B885="",C885=""),"",IFERROR(E885*IF(E885="",0,VLOOKUP(C885,'📦 Precios Proforma'!$B$5:$D$104,IF(D885="DIA",2,3),FALSE)),0))</f>
        <v/>
      </c>
      <c r="J885" s="31" t="str">
        <f t="shared" si="92"/>
        <v/>
      </c>
      <c r="K885" s="31" t="str">
        <f t="shared" si="93"/>
        <v/>
      </c>
      <c r="L885" s="31" t="str">
        <f>IF(OR(B885="",C885=""),"",IFERROR(E885 / SUMIFS('📅 Resumen Diario'!$D$5:$D$504, '📅 Resumen Diario'!$B$5:$B$504, B885, '📅 Resumen Diario'!$C$5:$C$504, D885) * SUMIFS('📅 Resumen Diario'!$K$5:$K$504, '📅 Resumen Diario'!$B$5:$B$504, B885, '📅 Resumen Diario'!$C$5:$C$504, D885), 0))</f>
        <v/>
      </c>
      <c r="M885" s="31" t="str">
        <f t="shared" si="94"/>
        <v/>
      </c>
      <c r="N885" s="31" t="str">
        <f t="shared" si="95"/>
        <v/>
      </c>
      <c r="O885" s="31" t="str">
        <f>IF(OR(B885="",C885=""),"",K885-N885 + IFERROR(E885 / SUMIFS('📅 Resumen Diario'!$D$5:$D$504, '📅 Resumen Diario'!$B$5:$B$504, B885, '📅 Resumen Diario'!$C$5:$C$504, D885) * (SUMIFS('📋 Detalle Diario'!$E$5:$E$489, '📋 Detalle Diario'!$B$5:$B$489, B885, '📋 Detalle Diario'!$C$5:$C$489, D885) * 135 + SUMIFS('📋 Detalle Diario'!$I$5:$I$489, '📋 Detalle Diario'!$B$5:$B$489, B885, '📋 Detalle Diario'!$C$5:$C$489, D885) * 200), 0))</f>
        <v/>
      </c>
      <c r="P885" s="32" t="str">
        <f t="shared" si="96"/>
        <v/>
      </c>
      <c r="Q885" s="33" t="str">
        <f t="shared" si="97"/>
        <v/>
      </c>
    </row>
    <row r="886" spans="2:17" ht="18" customHeight="1" x14ac:dyDescent="0.3">
      <c r="B886" s="26"/>
      <c r="C886" s="17"/>
      <c r="D886" s="27"/>
      <c r="E886" s="18"/>
      <c r="F886" s="18"/>
      <c r="G886" s="18"/>
      <c r="H886" s="30" t="str">
        <f t="shared" si="91"/>
        <v/>
      </c>
      <c r="I886" s="31" t="str">
        <f>IF(OR(B886="",C886=""),"",IFERROR(E886*IF(E886="",0,VLOOKUP(C886,'📦 Precios Proforma'!$B$5:$D$104,IF(D886="DIA",2,3),FALSE)),0))</f>
        <v/>
      </c>
      <c r="J886" s="31" t="str">
        <f t="shared" si="92"/>
        <v/>
      </c>
      <c r="K886" s="31" t="str">
        <f t="shared" si="93"/>
        <v/>
      </c>
      <c r="L886" s="31" t="str">
        <f>IF(OR(B886="",C886=""),"",IFERROR(E886 / SUMIFS('📅 Resumen Diario'!$D$5:$D$504, '📅 Resumen Diario'!$B$5:$B$504, B886, '📅 Resumen Diario'!$C$5:$C$504, D886) * SUMIFS('📅 Resumen Diario'!$K$5:$K$504, '📅 Resumen Diario'!$B$5:$B$504, B886, '📅 Resumen Diario'!$C$5:$C$504, D886), 0))</f>
        <v/>
      </c>
      <c r="M886" s="31" t="str">
        <f t="shared" si="94"/>
        <v/>
      </c>
      <c r="N886" s="31" t="str">
        <f t="shared" si="95"/>
        <v/>
      </c>
      <c r="O886" s="31" t="str">
        <f>IF(OR(B886="",C886=""),"",K886-N886 + IFERROR(E886 / SUMIFS('📅 Resumen Diario'!$D$5:$D$504, '📅 Resumen Diario'!$B$5:$B$504, B886, '📅 Resumen Diario'!$C$5:$C$504, D886) * (SUMIFS('📋 Detalle Diario'!$E$5:$E$489, '📋 Detalle Diario'!$B$5:$B$489, B886, '📋 Detalle Diario'!$C$5:$C$489, D886) * 135 + SUMIFS('📋 Detalle Diario'!$I$5:$I$489, '📋 Detalle Diario'!$B$5:$B$489, B886, '📋 Detalle Diario'!$C$5:$C$489, D886) * 200), 0))</f>
        <v/>
      </c>
      <c r="P886" s="32" t="str">
        <f t="shared" si="96"/>
        <v/>
      </c>
      <c r="Q886" s="33" t="str">
        <f t="shared" si="97"/>
        <v/>
      </c>
    </row>
    <row r="887" spans="2:17" ht="18" customHeight="1" x14ac:dyDescent="0.3">
      <c r="B887" s="26"/>
      <c r="C887" s="28"/>
      <c r="D887" s="27"/>
      <c r="E887" s="29"/>
      <c r="F887" s="29"/>
      <c r="G887" s="29"/>
      <c r="H887" s="30" t="str">
        <f t="shared" si="91"/>
        <v/>
      </c>
      <c r="I887" s="31" t="str">
        <f>IF(OR(B887="",C887=""),"",IFERROR(E887*IF(E887="",0,VLOOKUP(C887,'📦 Precios Proforma'!$B$5:$D$104,IF(D887="DIA",2,3),FALSE)),0))</f>
        <v/>
      </c>
      <c r="J887" s="31" t="str">
        <f t="shared" si="92"/>
        <v/>
      </c>
      <c r="K887" s="31" t="str">
        <f t="shared" si="93"/>
        <v/>
      </c>
      <c r="L887" s="31" t="str">
        <f>IF(OR(B887="",C887=""),"",IFERROR(E887 / SUMIFS('📅 Resumen Diario'!$D$5:$D$504, '📅 Resumen Diario'!$B$5:$B$504, B887, '📅 Resumen Diario'!$C$5:$C$504, D887) * SUMIFS('📅 Resumen Diario'!$K$5:$K$504, '📅 Resumen Diario'!$B$5:$B$504, B887, '📅 Resumen Diario'!$C$5:$C$504, D887), 0))</f>
        <v/>
      </c>
      <c r="M887" s="31" t="str">
        <f t="shared" si="94"/>
        <v/>
      </c>
      <c r="N887" s="31" t="str">
        <f t="shared" si="95"/>
        <v/>
      </c>
      <c r="O887" s="31" t="str">
        <f>IF(OR(B887="",C887=""),"",K887-N887 + IFERROR(E887 / SUMIFS('📅 Resumen Diario'!$D$5:$D$504, '📅 Resumen Diario'!$B$5:$B$504, B887, '📅 Resumen Diario'!$C$5:$C$504, D887) * (SUMIFS('📋 Detalle Diario'!$E$5:$E$489, '📋 Detalle Diario'!$B$5:$B$489, B887, '📋 Detalle Diario'!$C$5:$C$489, D887) * 135 + SUMIFS('📋 Detalle Diario'!$I$5:$I$489, '📋 Detalle Diario'!$B$5:$B$489, B887, '📋 Detalle Diario'!$C$5:$C$489, D887) * 200), 0))</f>
        <v/>
      </c>
      <c r="P887" s="32" t="str">
        <f t="shared" si="96"/>
        <v/>
      </c>
      <c r="Q887" s="33" t="str">
        <f t="shared" si="97"/>
        <v/>
      </c>
    </row>
    <row r="888" spans="2:17" ht="18" customHeight="1" x14ac:dyDescent="0.3">
      <c r="B888" s="26"/>
      <c r="C888" s="17"/>
      <c r="D888" s="27"/>
      <c r="E888" s="18"/>
      <c r="F888" s="18"/>
      <c r="G888" s="18"/>
      <c r="H888" s="30" t="str">
        <f t="shared" si="91"/>
        <v/>
      </c>
      <c r="I888" s="31" t="str">
        <f>IF(OR(B888="",C888=""),"",IFERROR(E888*IF(E888="",0,VLOOKUP(C888,'📦 Precios Proforma'!$B$5:$D$104,IF(D888="DIA",2,3),FALSE)),0))</f>
        <v/>
      </c>
      <c r="J888" s="31" t="str">
        <f t="shared" si="92"/>
        <v/>
      </c>
      <c r="K888" s="31" t="str">
        <f t="shared" si="93"/>
        <v/>
      </c>
      <c r="L888" s="31" t="str">
        <f>IF(OR(B888="",C888=""),"",IFERROR(E888 / SUMIFS('📅 Resumen Diario'!$D$5:$D$504, '📅 Resumen Diario'!$B$5:$B$504, B888, '📅 Resumen Diario'!$C$5:$C$504, D888) * SUMIFS('📅 Resumen Diario'!$K$5:$K$504, '📅 Resumen Diario'!$B$5:$B$504, B888, '📅 Resumen Diario'!$C$5:$C$504, D888), 0))</f>
        <v/>
      </c>
      <c r="M888" s="31" t="str">
        <f t="shared" si="94"/>
        <v/>
      </c>
      <c r="N888" s="31" t="str">
        <f t="shared" si="95"/>
        <v/>
      </c>
      <c r="O888" s="31" t="str">
        <f>IF(OR(B888="",C888=""),"",K888-N888 + IFERROR(E888 / SUMIFS('📅 Resumen Diario'!$D$5:$D$504, '📅 Resumen Diario'!$B$5:$B$504, B888, '📅 Resumen Diario'!$C$5:$C$504, D888) * (SUMIFS('📋 Detalle Diario'!$E$5:$E$489, '📋 Detalle Diario'!$B$5:$B$489, B888, '📋 Detalle Diario'!$C$5:$C$489, D888) * 135 + SUMIFS('📋 Detalle Diario'!$I$5:$I$489, '📋 Detalle Diario'!$B$5:$B$489, B888, '📋 Detalle Diario'!$C$5:$C$489, D888) * 200), 0))</f>
        <v/>
      </c>
      <c r="P888" s="32" t="str">
        <f t="shared" si="96"/>
        <v/>
      </c>
      <c r="Q888" s="33" t="str">
        <f t="shared" si="97"/>
        <v/>
      </c>
    </row>
    <row r="889" spans="2:17" ht="18" customHeight="1" x14ac:dyDescent="0.3">
      <c r="B889" s="26"/>
      <c r="C889" s="28"/>
      <c r="D889" s="27"/>
      <c r="E889" s="29"/>
      <c r="F889" s="29"/>
      <c r="G889" s="29"/>
      <c r="H889" s="30" t="str">
        <f t="shared" si="91"/>
        <v/>
      </c>
      <c r="I889" s="31" t="str">
        <f>IF(OR(B889="",C889=""),"",IFERROR(E889*IF(E889="",0,VLOOKUP(C889,'📦 Precios Proforma'!$B$5:$D$104,IF(D889="DIA",2,3),FALSE)),0))</f>
        <v/>
      </c>
      <c r="J889" s="31" t="str">
        <f t="shared" si="92"/>
        <v/>
      </c>
      <c r="K889" s="31" t="str">
        <f t="shared" si="93"/>
        <v/>
      </c>
      <c r="L889" s="31" t="str">
        <f>IF(OR(B889="",C889=""),"",IFERROR(E889 / SUMIFS('📅 Resumen Diario'!$D$5:$D$504, '📅 Resumen Diario'!$B$5:$B$504, B889, '📅 Resumen Diario'!$C$5:$C$504, D889) * SUMIFS('📅 Resumen Diario'!$K$5:$K$504, '📅 Resumen Diario'!$B$5:$B$504, B889, '📅 Resumen Diario'!$C$5:$C$504, D889), 0))</f>
        <v/>
      </c>
      <c r="M889" s="31" t="str">
        <f t="shared" si="94"/>
        <v/>
      </c>
      <c r="N889" s="31" t="str">
        <f t="shared" si="95"/>
        <v/>
      </c>
      <c r="O889" s="31" t="str">
        <f>IF(OR(B889="",C889=""),"",K889-N889 + IFERROR(E889 / SUMIFS('📅 Resumen Diario'!$D$5:$D$504, '📅 Resumen Diario'!$B$5:$B$504, B889, '📅 Resumen Diario'!$C$5:$C$504, D889) * (SUMIFS('📋 Detalle Diario'!$E$5:$E$489, '📋 Detalle Diario'!$B$5:$B$489, B889, '📋 Detalle Diario'!$C$5:$C$489, D889) * 135 + SUMIFS('📋 Detalle Diario'!$I$5:$I$489, '📋 Detalle Diario'!$B$5:$B$489, B889, '📋 Detalle Diario'!$C$5:$C$489, D889) * 200), 0))</f>
        <v/>
      </c>
      <c r="P889" s="32" t="str">
        <f t="shared" si="96"/>
        <v/>
      </c>
      <c r="Q889" s="33" t="str">
        <f t="shared" si="97"/>
        <v/>
      </c>
    </row>
    <row r="890" spans="2:17" ht="18" customHeight="1" x14ac:dyDescent="0.3">
      <c r="B890" s="26"/>
      <c r="C890" s="17"/>
      <c r="D890" s="27"/>
      <c r="E890" s="18"/>
      <c r="F890" s="18"/>
      <c r="G890" s="18"/>
      <c r="H890" s="30" t="str">
        <f t="shared" si="91"/>
        <v/>
      </c>
      <c r="I890" s="31" t="str">
        <f>IF(OR(B890="",C890=""),"",IFERROR(E890*IF(E890="",0,VLOOKUP(C890,'📦 Precios Proforma'!$B$5:$D$104,IF(D890="DIA",2,3),FALSE)),0))</f>
        <v/>
      </c>
      <c r="J890" s="31" t="str">
        <f t="shared" si="92"/>
        <v/>
      </c>
      <c r="K890" s="31" t="str">
        <f t="shared" si="93"/>
        <v/>
      </c>
      <c r="L890" s="31" t="str">
        <f>IF(OR(B890="",C890=""),"",IFERROR(E890 / SUMIFS('📅 Resumen Diario'!$D$5:$D$504, '📅 Resumen Diario'!$B$5:$B$504, B890, '📅 Resumen Diario'!$C$5:$C$504, D890) * SUMIFS('📅 Resumen Diario'!$K$5:$K$504, '📅 Resumen Diario'!$B$5:$B$504, B890, '📅 Resumen Diario'!$C$5:$C$504, D890), 0))</f>
        <v/>
      </c>
      <c r="M890" s="31" t="str">
        <f t="shared" si="94"/>
        <v/>
      </c>
      <c r="N890" s="31" t="str">
        <f t="shared" si="95"/>
        <v/>
      </c>
      <c r="O890" s="31" t="str">
        <f>IF(OR(B890="",C890=""),"",K890-N890 + IFERROR(E890 / SUMIFS('📅 Resumen Diario'!$D$5:$D$504, '📅 Resumen Diario'!$B$5:$B$504, B890, '📅 Resumen Diario'!$C$5:$C$504, D890) * (SUMIFS('📋 Detalle Diario'!$E$5:$E$489, '📋 Detalle Diario'!$B$5:$B$489, B890, '📋 Detalle Diario'!$C$5:$C$489, D890) * 135 + SUMIFS('📋 Detalle Diario'!$I$5:$I$489, '📋 Detalle Diario'!$B$5:$B$489, B890, '📋 Detalle Diario'!$C$5:$C$489, D890) * 200), 0))</f>
        <v/>
      </c>
      <c r="P890" s="32" t="str">
        <f t="shared" si="96"/>
        <v/>
      </c>
      <c r="Q890" s="33" t="str">
        <f t="shared" si="97"/>
        <v/>
      </c>
    </row>
    <row r="891" spans="2:17" ht="18" customHeight="1" x14ac:dyDescent="0.3">
      <c r="B891" s="26"/>
      <c r="C891" s="28"/>
      <c r="D891" s="27"/>
      <c r="E891" s="29"/>
      <c r="F891" s="29"/>
      <c r="G891" s="29"/>
      <c r="H891" s="30" t="str">
        <f t="shared" si="91"/>
        <v/>
      </c>
      <c r="I891" s="31" t="str">
        <f>IF(OR(B891="",C891=""),"",IFERROR(E891*IF(E891="",0,VLOOKUP(C891,'📦 Precios Proforma'!$B$5:$D$104,IF(D891="DIA",2,3),FALSE)),0))</f>
        <v/>
      </c>
      <c r="J891" s="31" t="str">
        <f t="shared" si="92"/>
        <v/>
      </c>
      <c r="K891" s="31" t="str">
        <f t="shared" si="93"/>
        <v/>
      </c>
      <c r="L891" s="31" t="str">
        <f>IF(OR(B891="",C891=""),"",IFERROR(E891 / SUMIFS('📅 Resumen Diario'!$D$5:$D$504, '📅 Resumen Diario'!$B$5:$B$504, B891, '📅 Resumen Diario'!$C$5:$C$504, D891) * SUMIFS('📅 Resumen Diario'!$K$5:$K$504, '📅 Resumen Diario'!$B$5:$B$504, B891, '📅 Resumen Diario'!$C$5:$C$504, D891), 0))</f>
        <v/>
      </c>
      <c r="M891" s="31" t="str">
        <f t="shared" si="94"/>
        <v/>
      </c>
      <c r="N891" s="31" t="str">
        <f t="shared" si="95"/>
        <v/>
      </c>
      <c r="O891" s="31" t="str">
        <f>IF(OR(B891="",C891=""),"",K891-N891 + IFERROR(E891 / SUMIFS('📅 Resumen Diario'!$D$5:$D$504, '📅 Resumen Diario'!$B$5:$B$504, B891, '📅 Resumen Diario'!$C$5:$C$504, D891) * (SUMIFS('📋 Detalle Diario'!$E$5:$E$489, '📋 Detalle Diario'!$B$5:$B$489, B891, '📋 Detalle Diario'!$C$5:$C$489, D891) * 135 + SUMIFS('📋 Detalle Diario'!$I$5:$I$489, '📋 Detalle Diario'!$B$5:$B$489, B891, '📋 Detalle Diario'!$C$5:$C$489, D891) * 200), 0))</f>
        <v/>
      </c>
      <c r="P891" s="32" t="str">
        <f t="shared" si="96"/>
        <v/>
      </c>
      <c r="Q891" s="33" t="str">
        <f t="shared" si="97"/>
        <v/>
      </c>
    </row>
    <row r="892" spans="2:17" ht="18" customHeight="1" x14ac:dyDescent="0.3">
      <c r="B892" s="26"/>
      <c r="C892" s="17"/>
      <c r="D892" s="27"/>
      <c r="E892" s="18"/>
      <c r="F892" s="18"/>
      <c r="G892" s="18"/>
      <c r="H892" s="30" t="str">
        <f t="shared" si="91"/>
        <v/>
      </c>
      <c r="I892" s="31" t="str">
        <f>IF(OR(B892="",C892=""),"",IFERROR(E892*IF(E892="",0,VLOOKUP(C892,'📦 Precios Proforma'!$B$5:$D$104,IF(D892="DIA",2,3),FALSE)),0))</f>
        <v/>
      </c>
      <c r="J892" s="31" t="str">
        <f t="shared" si="92"/>
        <v/>
      </c>
      <c r="K892" s="31" t="str">
        <f t="shared" si="93"/>
        <v/>
      </c>
      <c r="L892" s="31" t="str">
        <f>IF(OR(B892="",C892=""),"",IFERROR(E892 / SUMIFS('📅 Resumen Diario'!$D$5:$D$504, '📅 Resumen Diario'!$B$5:$B$504, B892, '📅 Resumen Diario'!$C$5:$C$504, D892) * SUMIFS('📅 Resumen Diario'!$K$5:$K$504, '📅 Resumen Diario'!$B$5:$B$504, B892, '📅 Resumen Diario'!$C$5:$C$504, D892), 0))</f>
        <v/>
      </c>
      <c r="M892" s="31" t="str">
        <f t="shared" si="94"/>
        <v/>
      </c>
      <c r="N892" s="31" t="str">
        <f t="shared" si="95"/>
        <v/>
      </c>
      <c r="O892" s="31" t="str">
        <f>IF(OR(B892="",C892=""),"",K892-N892 + IFERROR(E892 / SUMIFS('📅 Resumen Diario'!$D$5:$D$504, '📅 Resumen Diario'!$B$5:$B$504, B892, '📅 Resumen Diario'!$C$5:$C$504, D892) * (SUMIFS('📋 Detalle Diario'!$E$5:$E$489, '📋 Detalle Diario'!$B$5:$B$489, B892, '📋 Detalle Diario'!$C$5:$C$489, D892) * 135 + SUMIFS('📋 Detalle Diario'!$I$5:$I$489, '📋 Detalle Diario'!$B$5:$B$489, B892, '📋 Detalle Diario'!$C$5:$C$489, D892) * 200), 0))</f>
        <v/>
      </c>
      <c r="P892" s="32" t="str">
        <f t="shared" si="96"/>
        <v/>
      </c>
      <c r="Q892" s="33" t="str">
        <f t="shared" si="97"/>
        <v/>
      </c>
    </row>
    <row r="893" spans="2:17" ht="18" customHeight="1" x14ac:dyDescent="0.3">
      <c r="B893" s="26"/>
      <c r="C893" s="28"/>
      <c r="D893" s="27"/>
      <c r="E893" s="29"/>
      <c r="F893" s="29"/>
      <c r="G893" s="29"/>
      <c r="H893" s="30" t="str">
        <f t="shared" si="91"/>
        <v/>
      </c>
      <c r="I893" s="31" t="str">
        <f>IF(OR(B893="",C893=""),"",IFERROR(E893*IF(E893="",0,VLOOKUP(C893,'📦 Precios Proforma'!$B$5:$D$104,IF(D893="DIA",2,3),FALSE)),0))</f>
        <v/>
      </c>
      <c r="J893" s="31" t="str">
        <f t="shared" si="92"/>
        <v/>
      </c>
      <c r="K893" s="31" t="str">
        <f t="shared" si="93"/>
        <v/>
      </c>
      <c r="L893" s="31" t="str">
        <f>IF(OR(B893="",C893=""),"",IFERROR(E893 / SUMIFS('📅 Resumen Diario'!$D$5:$D$504, '📅 Resumen Diario'!$B$5:$B$504, B893, '📅 Resumen Diario'!$C$5:$C$504, D893) * SUMIFS('📅 Resumen Diario'!$K$5:$K$504, '📅 Resumen Diario'!$B$5:$B$504, B893, '📅 Resumen Diario'!$C$5:$C$504, D893), 0))</f>
        <v/>
      </c>
      <c r="M893" s="31" t="str">
        <f t="shared" si="94"/>
        <v/>
      </c>
      <c r="N893" s="31" t="str">
        <f t="shared" si="95"/>
        <v/>
      </c>
      <c r="O893" s="31" t="str">
        <f>IF(OR(B893="",C893=""),"",K893-N893 + IFERROR(E893 / SUMIFS('📅 Resumen Diario'!$D$5:$D$504, '📅 Resumen Diario'!$B$5:$B$504, B893, '📅 Resumen Diario'!$C$5:$C$504, D893) * (SUMIFS('📋 Detalle Diario'!$E$5:$E$489, '📋 Detalle Diario'!$B$5:$B$489, B893, '📋 Detalle Diario'!$C$5:$C$489, D893) * 135 + SUMIFS('📋 Detalle Diario'!$I$5:$I$489, '📋 Detalle Diario'!$B$5:$B$489, B893, '📋 Detalle Diario'!$C$5:$C$489, D893) * 200), 0))</f>
        <v/>
      </c>
      <c r="P893" s="32" t="str">
        <f t="shared" si="96"/>
        <v/>
      </c>
      <c r="Q893" s="33" t="str">
        <f t="shared" si="97"/>
        <v/>
      </c>
    </row>
    <row r="894" spans="2:17" ht="18" customHeight="1" x14ac:dyDescent="0.3">
      <c r="B894" s="26"/>
      <c r="C894" s="17"/>
      <c r="D894" s="27"/>
      <c r="E894" s="18"/>
      <c r="F894" s="18"/>
      <c r="G894" s="18"/>
      <c r="H894" s="30" t="str">
        <f t="shared" si="91"/>
        <v/>
      </c>
      <c r="I894" s="31" t="str">
        <f>IF(OR(B894="",C894=""),"",IFERROR(E894*IF(E894="",0,VLOOKUP(C894,'📦 Precios Proforma'!$B$5:$D$104,IF(D894="DIA",2,3),FALSE)),0))</f>
        <v/>
      </c>
      <c r="J894" s="31" t="str">
        <f t="shared" si="92"/>
        <v/>
      </c>
      <c r="K894" s="31" t="str">
        <f t="shared" si="93"/>
        <v/>
      </c>
      <c r="L894" s="31" t="str">
        <f>IF(OR(B894="",C894=""),"",IFERROR(E894 / SUMIFS('📅 Resumen Diario'!$D$5:$D$504, '📅 Resumen Diario'!$B$5:$B$504, B894, '📅 Resumen Diario'!$C$5:$C$504, D894) * SUMIFS('📅 Resumen Diario'!$K$5:$K$504, '📅 Resumen Diario'!$B$5:$B$504, B894, '📅 Resumen Diario'!$C$5:$C$504, D894), 0))</f>
        <v/>
      </c>
      <c r="M894" s="31" t="str">
        <f t="shared" si="94"/>
        <v/>
      </c>
      <c r="N894" s="31" t="str">
        <f t="shared" si="95"/>
        <v/>
      </c>
      <c r="O894" s="31" t="str">
        <f>IF(OR(B894="",C894=""),"",K894-N894 + IFERROR(E894 / SUMIFS('📅 Resumen Diario'!$D$5:$D$504, '📅 Resumen Diario'!$B$5:$B$504, B894, '📅 Resumen Diario'!$C$5:$C$504, D894) * (SUMIFS('📋 Detalle Diario'!$E$5:$E$489, '📋 Detalle Diario'!$B$5:$B$489, B894, '📋 Detalle Diario'!$C$5:$C$489, D894) * 135 + SUMIFS('📋 Detalle Diario'!$I$5:$I$489, '📋 Detalle Diario'!$B$5:$B$489, B894, '📋 Detalle Diario'!$C$5:$C$489, D894) * 200), 0))</f>
        <v/>
      </c>
      <c r="P894" s="32" t="str">
        <f t="shared" si="96"/>
        <v/>
      </c>
      <c r="Q894" s="33" t="str">
        <f t="shared" si="97"/>
        <v/>
      </c>
    </row>
    <row r="895" spans="2:17" ht="18" customHeight="1" x14ac:dyDescent="0.3">
      <c r="B895" s="26"/>
      <c r="C895" s="28"/>
      <c r="D895" s="27"/>
      <c r="E895" s="29"/>
      <c r="F895" s="29"/>
      <c r="G895" s="29"/>
      <c r="H895" s="30" t="str">
        <f t="shared" si="91"/>
        <v/>
      </c>
      <c r="I895" s="31" t="str">
        <f>IF(OR(B895="",C895=""),"",IFERROR(E895*IF(E895="",0,VLOOKUP(C895,'📦 Precios Proforma'!$B$5:$D$104,IF(D895="DIA",2,3),FALSE)),0))</f>
        <v/>
      </c>
      <c r="J895" s="31" t="str">
        <f t="shared" si="92"/>
        <v/>
      </c>
      <c r="K895" s="31" t="str">
        <f t="shared" si="93"/>
        <v/>
      </c>
      <c r="L895" s="31" t="str">
        <f>IF(OR(B895="",C895=""),"",IFERROR(E895 / SUMIFS('📅 Resumen Diario'!$D$5:$D$504, '📅 Resumen Diario'!$B$5:$B$504, B895, '📅 Resumen Diario'!$C$5:$C$504, D895) * SUMIFS('📅 Resumen Diario'!$K$5:$K$504, '📅 Resumen Diario'!$B$5:$B$504, B895, '📅 Resumen Diario'!$C$5:$C$504, D895), 0))</f>
        <v/>
      </c>
      <c r="M895" s="31" t="str">
        <f t="shared" si="94"/>
        <v/>
      </c>
      <c r="N895" s="31" t="str">
        <f t="shared" si="95"/>
        <v/>
      </c>
      <c r="O895" s="31" t="str">
        <f>IF(OR(B895="",C895=""),"",K895-N895 + IFERROR(E895 / SUMIFS('📅 Resumen Diario'!$D$5:$D$504, '📅 Resumen Diario'!$B$5:$B$504, B895, '📅 Resumen Diario'!$C$5:$C$504, D895) * (SUMIFS('📋 Detalle Diario'!$E$5:$E$489, '📋 Detalle Diario'!$B$5:$B$489, B895, '📋 Detalle Diario'!$C$5:$C$489, D895) * 135 + SUMIFS('📋 Detalle Diario'!$I$5:$I$489, '📋 Detalle Diario'!$B$5:$B$489, B895, '📋 Detalle Diario'!$C$5:$C$489, D895) * 200), 0))</f>
        <v/>
      </c>
      <c r="P895" s="32" t="str">
        <f t="shared" si="96"/>
        <v/>
      </c>
      <c r="Q895" s="33" t="str">
        <f t="shared" si="97"/>
        <v/>
      </c>
    </row>
    <row r="896" spans="2:17" ht="18" customHeight="1" x14ac:dyDescent="0.3">
      <c r="B896" s="26"/>
      <c r="C896" s="17"/>
      <c r="D896" s="27"/>
      <c r="E896" s="18"/>
      <c r="F896" s="18"/>
      <c r="G896" s="18"/>
      <c r="H896" s="30" t="str">
        <f t="shared" si="91"/>
        <v/>
      </c>
      <c r="I896" s="31" t="str">
        <f>IF(OR(B896="",C896=""),"",IFERROR(E896*IF(E896="",0,VLOOKUP(C896,'📦 Precios Proforma'!$B$5:$D$104,IF(D896="DIA",2,3),FALSE)),0))</f>
        <v/>
      </c>
      <c r="J896" s="31" t="str">
        <f t="shared" si="92"/>
        <v/>
      </c>
      <c r="K896" s="31" t="str">
        <f t="shared" si="93"/>
        <v/>
      </c>
      <c r="L896" s="31" t="str">
        <f>IF(OR(B896="",C896=""),"",IFERROR(E896 / SUMIFS('📅 Resumen Diario'!$D$5:$D$504, '📅 Resumen Diario'!$B$5:$B$504, B896, '📅 Resumen Diario'!$C$5:$C$504, D896) * SUMIFS('📅 Resumen Diario'!$K$5:$K$504, '📅 Resumen Diario'!$B$5:$B$504, B896, '📅 Resumen Diario'!$C$5:$C$504, D896), 0))</f>
        <v/>
      </c>
      <c r="M896" s="31" t="str">
        <f t="shared" si="94"/>
        <v/>
      </c>
      <c r="N896" s="31" t="str">
        <f t="shared" si="95"/>
        <v/>
      </c>
      <c r="O896" s="31" t="str">
        <f>IF(OR(B896="",C896=""),"",K896-N896 + IFERROR(E896 / SUMIFS('📅 Resumen Diario'!$D$5:$D$504, '📅 Resumen Diario'!$B$5:$B$504, B896, '📅 Resumen Diario'!$C$5:$C$504, D896) * (SUMIFS('📋 Detalle Diario'!$E$5:$E$489, '📋 Detalle Diario'!$B$5:$B$489, B896, '📋 Detalle Diario'!$C$5:$C$489, D896) * 135 + SUMIFS('📋 Detalle Diario'!$I$5:$I$489, '📋 Detalle Diario'!$B$5:$B$489, B896, '📋 Detalle Diario'!$C$5:$C$489, D896) * 200), 0))</f>
        <v/>
      </c>
      <c r="P896" s="32" t="str">
        <f t="shared" si="96"/>
        <v/>
      </c>
      <c r="Q896" s="33" t="str">
        <f t="shared" si="97"/>
        <v/>
      </c>
    </row>
    <row r="897" spans="2:17" ht="18" customHeight="1" x14ac:dyDescent="0.3">
      <c r="B897" s="26"/>
      <c r="C897" s="28"/>
      <c r="D897" s="27"/>
      <c r="E897" s="29"/>
      <c r="F897" s="29"/>
      <c r="G897" s="29"/>
      <c r="H897" s="30" t="str">
        <f t="shared" si="91"/>
        <v/>
      </c>
      <c r="I897" s="31" t="str">
        <f>IF(OR(B897="",C897=""),"",IFERROR(E897*IF(E897="",0,VLOOKUP(C897,'📦 Precios Proforma'!$B$5:$D$104,IF(D897="DIA",2,3),FALSE)),0))</f>
        <v/>
      </c>
      <c r="J897" s="31" t="str">
        <f t="shared" si="92"/>
        <v/>
      </c>
      <c r="K897" s="31" t="str">
        <f t="shared" si="93"/>
        <v/>
      </c>
      <c r="L897" s="31" t="str">
        <f>IF(OR(B897="",C897=""),"",IFERROR(E897 / SUMIFS('📅 Resumen Diario'!$D$5:$D$504, '📅 Resumen Diario'!$B$5:$B$504, B897, '📅 Resumen Diario'!$C$5:$C$504, D897) * SUMIFS('📅 Resumen Diario'!$K$5:$K$504, '📅 Resumen Diario'!$B$5:$B$504, B897, '📅 Resumen Diario'!$C$5:$C$504, D897), 0))</f>
        <v/>
      </c>
      <c r="M897" s="31" t="str">
        <f t="shared" si="94"/>
        <v/>
      </c>
      <c r="N897" s="31" t="str">
        <f t="shared" si="95"/>
        <v/>
      </c>
      <c r="O897" s="31" t="str">
        <f>IF(OR(B897="",C897=""),"",K897-N897 + IFERROR(E897 / SUMIFS('📅 Resumen Diario'!$D$5:$D$504, '📅 Resumen Diario'!$B$5:$B$504, B897, '📅 Resumen Diario'!$C$5:$C$504, D897) * (SUMIFS('📋 Detalle Diario'!$E$5:$E$489, '📋 Detalle Diario'!$B$5:$B$489, B897, '📋 Detalle Diario'!$C$5:$C$489, D897) * 135 + SUMIFS('📋 Detalle Diario'!$I$5:$I$489, '📋 Detalle Diario'!$B$5:$B$489, B897, '📋 Detalle Diario'!$C$5:$C$489, D897) * 200), 0))</f>
        <v/>
      </c>
      <c r="P897" s="32" t="str">
        <f t="shared" si="96"/>
        <v/>
      </c>
      <c r="Q897" s="33" t="str">
        <f t="shared" si="97"/>
        <v/>
      </c>
    </row>
    <row r="898" spans="2:17" ht="18" customHeight="1" x14ac:dyDescent="0.3">
      <c r="B898" s="26"/>
      <c r="C898" s="17"/>
      <c r="D898" s="27"/>
      <c r="E898" s="18"/>
      <c r="F898" s="18"/>
      <c r="G898" s="18"/>
      <c r="H898" s="30" t="str">
        <f t="shared" si="91"/>
        <v/>
      </c>
      <c r="I898" s="31" t="str">
        <f>IF(OR(B898="",C898=""),"",IFERROR(E898*IF(E898="",0,VLOOKUP(C898,'📦 Precios Proforma'!$B$5:$D$104,IF(D898="DIA",2,3),FALSE)),0))</f>
        <v/>
      </c>
      <c r="J898" s="31" t="str">
        <f t="shared" si="92"/>
        <v/>
      </c>
      <c r="K898" s="31" t="str">
        <f t="shared" si="93"/>
        <v/>
      </c>
      <c r="L898" s="31" t="str">
        <f>IF(OR(B898="",C898=""),"",IFERROR(E898 / SUMIFS('📅 Resumen Diario'!$D$5:$D$504, '📅 Resumen Diario'!$B$5:$B$504, B898, '📅 Resumen Diario'!$C$5:$C$504, D898) * SUMIFS('📅 Resumen Diario'!$K$5:$K$504, '📅 Resumen Diario'!$B$5:$B$504, B898, '📅 Resumen Diario'!$C$5:$C$504, D898), 0))</f>
        <v/>
      </c>
      <c r="M898" s="31" t="str">
        <f t="shared" si="94"/>
        <v/>
      </c>
      <c r="N898" s="31" t="str">
        <f t="shared" si="95"/>
        <v/>
      </c>
      <c r="O898" s="31" t="str">
        <f>IF(OR(B898="",C898=""),"",K898-N898 + IFERROR(E898 / SUMIFS('📅 Resumen Diario'!$D$5:$D$504, '📅 Resumen Diario'!$B$5:$B$504, B898, '📅 Resumen Diario'!$C$5:$C$504, D898) * (SUMIFS('📋 Detalle Diario'!$E$5:$E$489, '📋 Detalle Diario'!$B$5:$B$489, B898, '📋 Detalle Diario'!$C$5:$C$489, D898) * 135 + SUMIFS('📋 Detalle Diario'!$I$5:$I$489, '📋 Detalle Diario'!$B$5:$B$489, B898, '📋 Detalle Diario'!$C$5:$C$489, D898) * 200), 0))</f>
        <v/>
      </c>
      <c r="P898" s="32" t="str">
        <f t="shared" si="96"/>
        <v/>
      </c>
      <c r="Q898" s="33" t="str">
        <f t="shared" si="97"/>
        <v/>
      </c>
    </row>
    <row r="899" spans="2:17" ht="18" customHeight="1" x14ac:dyDescent="0.3">
      <c r="B899" s="26"/>
      <c r="C899" s="28"/>
      <c r="D899" s="27"/>
      <c r="E899" s="29"/>
      <c r="F899" s="29"/>
      <c r="G899" s="29"/>
      <c r="H899" s="30" t="str">
        <f t="shared" si="91"/>
        <v/>
      </c>
      <c r="I899" s="31" t="str">
        <f>IF(OR(B899="",C899=""),"",IFERROR(E899*IF(E899="",0,VLOOKUP(C899,'📦 Precios Proforma'!$B$5:$D$104,IF(D899="DIA",2,3),FALSE)),0))</f>
        <v/>
      </c>
      <c r="J899" s="31" t="str">
        <f t="shared" si="92"/>
        <v/>
      </c>
      <c r="K899" s="31" t="str">
        <f t="shared" si="93"/>
        <v/>
      </c>
      <c r="L899" s="31" t="str">
        <f>IF(OR(B899="",C899=""),"",IFERROR(E899 / SUMIFS('📅 Resumen Diario'!$D$5:$D$504, '📅 Resumen Diario'!$B$5:$B$504, B899, '📅 Resumen Diario'!$C$5:$C$504, D899) * SUMIFS('📅 Resumen Diario'!$K$5:$K$504, '📅 Resumen Diario'!$B$5:$B$504, B899, '📅 Resumen Diario'!$C$5:$C$504, D899), 0))</f>
        <v/>
      </c>
      <c r="M899" s="31" t="str">
        <f t="shared" si="94"/>
        <v/>
      </c>
      <c r="N899" s="31" t="str">
        <f t="shared" si="95"/>
        <v/>
      </c>
      <c r="O899" s="31" t="str">
        <f>IF(OR(B899="",C899=""),"",K899-N899 + IFERROR(E899 / SUMIFS('📅 Resumen Diario'!$D$5:$D$504, '📅 Resumen Diario'!$B$5:$B$504, B899, '📅 Resumen Diario'!$C$5:$C$504, D899) * (SUMIFS('📋 Detalle Diario'!$E$5:$E$489, '📋 Detalle Diario'!$B$5:$B$489, B899, '📋 Detalle Diario'!$C$5:$C$489, D899) * 135 + SUMIFS('📋 Detalle Diario'!$I$5:$I$489, '📋 Detalle Diario'!$B$5:$B$489, B899, '📋 Detalle Diario'!$C$5:$C$489, D899) * 200), 0))</f>
        <v/>
      </c>
      <c r="P899" s="32" t="str">
        <f t="shared" si="96"/>
        <v/>
      </c>
      <c r="Q899" s="33" t="str">
        <f t="shared" si="97"/>
        <v/>
      </c>
    </row>
    <row r="900" spans="2:17" ht="18" customHeight="1" x14ac:dyDescent="0.3">
      <c r="B900" s="26"/>
      <c r="C900" s="17"/>
      <c r="D900" s="27"/>
      <c r="E900" s="18"/>
      <c r="F900" s="18"/>
      <c r="G900" s="18"/>
      <c r="H900" s="30" t="str">
        <f t="shared" si="91"/>
        <v/>
      </c>
      <c r="I900" s="31" t="str">
        <f>IF(OR(B900="",C900=""),"",IFERROR(E900*IF(E900="",0,VLOOKUP(C900,'📦 Precios Proforma'!$B$5:$D$104,IF(D900="DIA",2,3),FALSE)),0))</f>
        <v/>
      </c>
      <c r="J900" s="31" t="str">
        <f t="shared" si="92"/>
        <v/>
      </c>
      <c r="K900" s="31" t="str">
        <f t="shared" si="93"/>
        <v/>
      </c>
      <c r="L900" s="31" t="str">
        <f>IF(OR(B900="",C900=""),"",IFERROR(E900 / SUMIFS('📅 Resumen Diario'!$D$5:$D$504, '📅 Resumen Diario'!$B$5:$B$504, B900, '📅 Resumen Diario'!$C$5:$C$504, D900) * SUMIFS('📅 Resumen Diario'!$K$5:$K$504, '📅 Resumen Diario'!$B$5:$B$504, B900, '📅 Resumen Diario'!$C$5:$C$504, D900), 0))</f>
        <v/>
      </c>
      <c r="M900" s="31" t="str">
        <f t="shared" si="94"/>
        <v/>
      </c>
      <c r="N900" s="31" t="str">
        <f t="shared" si="95"/>
        <v/>
      </c>
      <c r="O900" s="31" t="str">
        <f>IF(OR(B900="",C900=""),"",K900-N900 + IFERROR(E900 / SUMIFS('📅 Resumen Diario'!$D$5:$D$504, '📅 Resumen Diario'!$B$5:$B$504, B900, '📅 Resumen Diario'!$C$5:$C$504, D900) * (SUMIFS('📋 Detalle Diario'!$E$5:$E$489, '📋 Detalle Diario'!$B$5:$B$489, B900, '📋 Detalle Diario'!$C$5:$C$489, D900) * 135 + SUMIFS('📋 Detalle Diario'!$I$5:$I$489, '📋 Detalle Diario'!$B$5:$B$489, B900, '📋 Detalle Diario'!$C$5:$C$489, D900) * 200), 0))</f>
        <v/>
      </c>
      <c r="P900" s="32" t="str">
        <f t="shared" si="96"/>
        <v/>
      </c>
      <c r="Q900" s="33" t="str">
        <f t="shared" si="97"/>
        <v/>
      </c>
    </row>
    <row r="901" spans="2:17" ht="18" customHeight="1" x14ac:dyDescent="0.3">
      <c r="B901" s="26"/>
      <c r="C901" s="28"/>
      <c r="D901" s="27"/>
      <c r="E901" s="29"/>
      <c r="F901" s="29"/>
      <c r="G901" s="29"/>
      <c r="H901" s="30" t="str">
        <f t="shared" si="91"/>
        <v/>
      </c>
      <c r="I901" s="31" t="str">
        <f>IF(OR(B901="",C901=""),"",IFERROR(E901*IF(E901="",0,VLOOKUP(C901,'📦 Precios Proforma'!$B$5:$D$104,IF(D901="DIA",2,3),FALSE)),0))</f>
        <v/>
      </c>
      <c r="J901" s="31" t="str">
        <f t="shared" si="92"/>
        <v/>
      </c>
      <c r="K901" s="31" t="str">
        <f t="shared" si="93"/>
        <v/>
      </c>
      <c r="L901" s="31" t="str">
        <f>IF(OR(B901="",C901=""),"",IFERROR(E901 / SUMIFS('📅 Resumen Diario'!$D$5:$D$504, '📅 Resumen Diario'!$B$5:$B$504, B901, '📅 Resumen Diario'!$C$5:$C$504, D901) * SUMIFS('📅 Resumen Diario'!$K$5:$K$504, '📅 Resumen Diario'!$B$5:$B$504, B901, '📅 Resumen Diario'!$C$5:$C$504, D901), 0))</f>
        <v/>
      </c>
      <c r="M901" s="31" t="str">
        <f t="shared" si="94"/>
        <v/>
      </c>
      <c r="N901" s="31" t="str">
        <f t="shared" si="95"/>
        <v/>
      </c>
      <c r="O901" s="31" t="str">
        <f>IF(OR(B901="",C901=""),"",K901-N901 + IFERROR(E901 / SUMIFS('📅 Resumen Diario'!$D$5:$D$504, '📅 Resumen Diario'!$B$5:$B$504, B901, '📅 Resumen Diario'!$C$5:$C$504, D901) * (SUMIFS('📋 Detalle Diario'!$E$5:$E$489, '📋 Detalle Diario'!$B$5:$B$489, B901, '📋 Detalle Diario'!$C$5:$C$489, D901) * 135 + SUMIFS('📋 Detalle Diario'!$I$5:$I$489, '📋 Detalle Diario'!$B$5:$B$489, B901, '📋 Detalle Diario'!$C$5:$C$489, D901) * 200), 0))</f>
        <v/>
      </c>
      <c r="P901" s="32" t="str">
        <f t="shared" si="96"/>
        <v/>
      </c>
      <c r="Q901" s="33" t="str">
        <f t="shared" si="97"/>
        <v/>
      </c>
    </row>
    <row r="902" spans="2:17" ht="18" customHeight="1" x14ac:dyDescent="0.3">
      <c r="B902" s="26"/>
      <c r="C902" s="17"/>
      <c r="D902" s="27"/>
      <c r="E902" s="18"/>
      <c r="F902" s="18"/>
      <c r="G902" s="18"/>
      <c r="H902" s="30" t="str">
        <f t="shared" si="91"/>
        <v/>
      </c>
      <c r="I902" s="31" t="str">
        <f>IF(OR(B902="",C902=""),"",IFERROR(E902*IF(E902="",0,VLOOKUP(C902,'📦 Precios Proforma'!$B$5:$D$104,IF(D902="DIA",2,3),FALSE)),0))</f>
        <v/>
      </c>
      <c r="J902" s="31" t="str">
        <f t="shared" si="92"/>
        <v/>
      </c>
      <c r="K902" s="31" t="str">
        <f t="shared" si="93"/>
        <v/>
      </c>
      <c r="L902" s="31" t="str">
        <f>IF(OR(B902="",C902=""),"",IFERROR(E902 / SUMIFS('📅 Resumen Diario'!$D$5:$D$504, '📅 Resumen Diario'!$B$5:$B$504, B902, '📅 Resumen Diario'!$C$5:$C$504, D902) * SUMIFS('📅 Resumen Diario'!$K$5:$K$504, '📅 Resumen Diario'!$B$5:$B$504, B902, '📅 Resumen Diario'!$C$5:$C$504, D902), 0))</f>
        <v/>
      </c>
      <c r="M902" s="31" t="str">
        <f t="shared" si="94"/>
        <v/>
      </c>
      <c r="N902" s="31" t="str">
        <f t="shared" si="95"/>
        <v/>
      </c>
      <c r="O902" s="31" t="str">
        <f>IF(OR(B902="",C902=""),"",K902-N902 + IFERROR(E902 / SUMIFS('📅 Resumen Diario'!$D$5:$D$504, '📅 Resumen Diario'!$B$5:$B$504, B902, '📅 Resumen Diario'!$C$5:$C$504, D902) * (SUMIFS('📋 Detalle Diario'!$E$5:$E$489, '📋 Detalle Diario'!$B$5:$B$489, B902, '📋 Detalle Diario'!$C$5:$C$489, D902) * 135 + SUMIFS('📋 Detalle Diario'!$I$5:$I$489, '📋 Detalle Diario'!$B$5:$B$489, B902, '📋 Detalle Diario'!$C$5:$C$489, D902) * 200), 0))</f>
        <v/>
      </c>
      <c r="P902" s="32" t="str">
        <f t="shared" si="96"/>
        <v/>
      </c>
      <c r="Q902" s="33" t="str">
        <f t="shared" si="97"/>
        <v/>
      </c>
    </row>
    <row r="903" spans="2:17" ht="18" customHeight="1" x14ac:dyDescent="0.3">
      <c r="B903" s="26"/>
      <c r="C903" s="28"/>
      <c r="D903" s="27"/>
      <c r="E903" s="29"/>
      <c r="F903" s="29"/>
      <c r="G903" s="29"/>
      <c r="H903" s="30" t="str">
        <f t="shared" ref="H903:H966" si="98">IF(OR(B903="",C903=""),"",F903+G903)</f>
        <v/>
      </c>
      <c r="I903" s="31" t="str">
        <f>IF(OR(B903="",C903=""),"",IFERROR(E903*IF(E903="",0,VLOOKUP(C903,'📦 Precios Proforma'!$B$5:$D$104,IF(D903="DIA",2,3),FALSE)),0))</f>
        <v/>
      </c>
      <c r="J903" s="31" t="str">
        <f t="shared" ref="J903:J966" si="99">IF(OR(B903="",C903=""),"",IF(D903="DIA",H903*1.01,H903*1.35))</f>
        <v/>
      </c>
      <c r="K903" s="31" t="str">
        <f t="shared" ref="K903:K966" si="100">IF(OR(B903="",C903=""),"",I903+J903)</f>
        <v/>
      </c>
      <c r="L903" s="31" t="str">
        <f>IF(OR(B903="",C903=""),"",IFERROR(E903 / SUMIFS('📅 Resumen Diario'!$D$5:$D$504, '📅 Resumen Diario'!$B$5:$B$504, B903, '📅 Resumen Diario'!$C$5:$C$504, D903) * SUMIFS('📅 Resumen Diario'!$K$5:$K$504, '📅 Resumen Diario'!$B$5:$B$504, B903, '📅 Resumen Diario'!$C$5:$C$504, D903), 0))</f>
        <v/>
      </c>
      <c r="M903" s="31" t="str">
        <f t="shared" ref="M903:M966" si="101">IF(OR(B903="",C903=""),"",H903*0.09)</f>
        <v/>
      </c>
      <c r="N903" s="31" t="str">
        <f t="shared" ref="N903:N966" si="102">IF(OR(B903="",C903=""),"",L903+M903)</f>
        <v/>
      </c>
      <c r="O903" s="31" t="str">
        <f>IF(OR(B903="",C903=""),"",K903-N903 + IFERROR(E903 / SUMIFS('📅 Resumen Diario'!$D$5:$D$504, '📅 Resumen Diario'!$B$5:$B$504, B903, '📅 Resumen Diario'!$C$5:$C$504, D903) * (SUMIFS('📋 Detalle Diario'!$E$5:$E$489, '📋 Detalle Diario'!$B$5:$B$489, B903, '📋 Detalle Diario'!$C$5:$C$489, D903) * 135 + SUMIFS('📋 Detalle Diario'!$I$5:$I$489, '📋 Detalle Diario'!$B$5:$B$489, B903, '📋 Detalle Diario'!$C$5:$C$489, D903) * 200), 0))</f>
        <v/>
      </c>
      <c r="P903" s="32" t="str">
        <f t="shared" ref="P903:P966" si="103">IF(OR(B903="",C903=""),"",IF(K903=0, 0, O903/K903))</f>
        <v/>
      </c>
      <c r="Q903" s="33" t="str">
        <f t="shared" ref="Q903:Q966" si="104">IF(B903="","",IF(ISNUMBER(B903),YEAR(B903)&amp;"-"&amp;IF(MONTH(B903)&lt;10,"0","")&amp;MONTH(B903),LEFT(B903,7)))</f>
        <v/>
      </c>
    </row>
    <row r="904" spans="2:17" ht="18" customHeight="1" x14ac:dyDescent="0.3">
      <c r="B904" s="26"/>
      <c r="C904" s="17"/>
      <c r="D904" s="27"/>
      <c r="E904" s="18"/>
      <c r="F904" s="18"/>
      <c r="G904" s="18"/>
      <c r="H904" s="30" t="str">
        <f t="shared" si="98"/>
        <v/>
      </c>
      <c r="I904" s="31" t="str">
        <f>IF(OR(B904="",C904=""),"",IFERROR(E904*IF(E904="",0,VLOOKUP(C904,'📦 Precios Proforma'!$B$5:$D$104,IF(D904="DIA",2,3),FALSE)),0))</f>
        <v/>
      </c>
      <c r="J904" s="31" t="str">
        <f t="shared" si="99"/>
        <v/>
      </c>
      <c r="K904" s="31" t="str">
        <f t="shared" si="100"/>
        <v/>
      </c>
      <c r="L904" s="31" t="str">
        <f>IF(OR(B904="",C904=""),"",IFERROR(E904 / SUMIFS('📅 Resumen Diario'!$D$5:$D$504, '📅 Resumen Diario'!$B$5:$B$504, B904, '📅 Resumen Diario'!$C$5:$C$504, D904) * SUMIFS('📅 Resumen Diario'!$K$5:$K$504, '📅 Resumen Diario'!$B$5:$B$504, B904, '📅 Resumen Diario'!$C$5:$C$504, D904), 0))</f>
        <v/>
      </c>
      <c r="M904" s="31" t="str">
        <f t="shared" si="101"/>
        <v/>
      </c>
      <c r="N904" s="31" t="str">
        <f t="shared" si="102"/>
        <v/>
      </c>
      <c r="O904" s="31" t="str">
        <f>IF(OR(B904="",C904=""),"",K904-N904 + IFERROR(E904 / SUMIFS('📅 Resumen Diario'!$D$5:$D$504, '📅 Resumen Diario'!$B$5:$B$504, B904, '📅 Resumen Diario'!$C$5:$C$504, D904) * (SUMIFS('📋 Detalle Diario'!$E$5:$E$489, '📋 Detalle Diario'!$B$5:$B$489, B904, '📋 Detalle Diario'!$C$5:$C$489, D904) * 135 + SUMIFS('📋 Detalle Diario'!$I$5:$I$489, '📋 Detalle Diario'!$B$5:$B$489, B904, '📋 Detalle Diario'!$C$5:$C$489, D904) * 200), 0))</f>
        <v/>
      </c>
      <c r="P904" s="32" t="str">
        <f t="shared" si="103"/>
        <v/>
      </c>
      <c r="Q904" s="33" t="str">
        <f t="shared" si="104"/>
        <v/>
      </c>
    </row>
    <row r="905" spans="2:17" ht="18" customHeight="1" x14ac:dyDescent="0.3">
      <c r="B905" s="26"/>
      <c r="C905" s="28"/>
      <c r="D905" s="27"/>
      <c r="E905" s="29"/>
      <c r="F905" s="29"/>
      <c r="G905" s="29"/>
      <c r="H905" s="30" t="str">
        <f t="shared" si="98"/>
        <v/>
      </c>
      <c r="I905" s="31" t="str">
        <f>IF(OR(B905="",C905=""),"",IFERROR(E905*IF(E905="",0,VLOOKUP(C905,'📦 Precios Proforma'!$B$5:$D$104,IF(D905="DIA",2,3),FALSE)),0))</f>
        <v/>
      </c>
      <c r="J905" s="31" t="str">
        <f t="shared" si="99"/>
        <v/>
      </c>
      <c r="K905" s="31" t="str">
        <f t="shared" si="100"/>
        <v/>
      </c>
      <c r="L905" s="31" t="str">
        <f>IF(OR(B905="",C905=""),"",IFERROR(E905 / SUMIFS('📅 Resumen Diario'!$D$5:$D$504, '📅 Resumen Diario'!$B$5:$B$504, B905, '📅 Resumen Diario'!$C$5:$C$504, D905) * SUMIFS('📅 Resumen Diario'!$K$5:$K$504, '📅 Resumen Diario'!$B$5:$B$504, B905, '📅 Resumen Diario'!$C$5:$C$504, D905), 0))</f>
        <v/>
      </c>
      <c r="M905" s="31" t="str">
        <f t="shared" si="101"/>
        <v/>
      </c>
      <c r="N905" s="31" t="str">
        <f t="shared" si="102"/>
        <v/>
      </c>
      <c r="O905" s="31" t="str">
        <f>IF(OR(B905="",C905=""),"",K905-N905 + IFERROR(E905 / SUMIFS('📅 Resumen Diario'!$D$5:$D$504, '📅 Resumen Diario'!$B$5:$B$504, B905, '📅 Resumen Diario'!$C$5:$C$504, D905) * (SUMIFS('📋 Detalle Diario'!$E$5:$E$489, '📋 Detalle Diario'!$B$5:$B$489, B905, '📋 Detalle Diario'!$C$5:$C$489, D905) * 135 + SUMIFS('📋 Detalle Diario'!$I$5:$I$489, '📋 Detalle Diario'!$B$5:$B$489, B905, '📋 Detalle Diario'!$C$5:$C$489, D905) * 200), 0))</f>
        <v/>
      </c>
      <c r="P905" s="32" t="str">
        <f t="shared" si="103"/>
        <v/>
      </c>
      <c r="Q905" s="33" t="str">
        <f t="shared" si="104"/>
        <v/>
      </c>
    </row>
    <row r="906" spans="2:17" ht="18" customHeight="1" x14ac:dyDescent="0.3">
      <c r="B906" s="26"/>
      <c r="C906" s="17"/>
      <c r="D906" s="27"/>
      <c r="E906" s="18"/>
      <c r="F906" s="18"/>
      <c r="G906" s="18"/>
      <c r="H906" s="30" t="str">
        <f t="shared" si="98"/>
        <v/>
      </c>
      <c r="I906" s="31" t="str">
        <f>IF(OR(B906="",C906=""),"",IFERROR(E906*IF(E906="",0,VLOOKUP(C906,'📦 Precios Proforma'!$B$5:$D$104,IF(D906="DIA",2,3),FALSE)),0))</f>
        <v/>
      </c>
      <c r="J906" s="31" t="str">
        <f t="shared" si="99"/>
        <v/>
      </c>
      <c r="K906" s="31" t="str">
        <f t="shared" si="100"/>
        <v/>
      </c>
      <c r="L906" s="31" t="str">
        <f>IF(OR(B906="",C906=""),"",IFERROR(E906 / SUMIFS('📅 Resumen Diario'!$D$5:$D$504, '📅 Resumen Diario'!$B$5:$B$504, B906, '📅 Resumen Diario'!$C$5:$C$504, D906) * SUMIFS('📅 Resumen Diario'!$K$5:$K$504, '📅 Resumen Diario'!$B$5:$B$504, B906, '📅 Resumen Diario'!$C$5:$C$504, D906), 0))</f>
        <v/>
      </c>
      <c r="M906" s="31" t="str">
        <f t="shared" si="101"/>
        <v/>
      </c>
      <c r="N906" s="31" t="str">
        <f t="shared" si="102"/>
        <v/>
      </c>
      <c r="O906" s="31" t="str">
        <f>IF(OR(B906="",C906=""),"",K906-N906 + IFERROR(E906 / SUMIFS('📅 Resumen Diario'!$D$5:$D$504, '📅 Resumen Diario'!$B$5:$B$504, B906, '📅 Resumen Diario'!$C$5:$C$504, D906) * (SUMIFS('📋 Detalle Diario'!$E$5:$E$489, '📋 Detalle Diario'!$B$5:$B$489, B906, '📋 Detalle Diario'!$C$5:$C$489, D906) * 135 + SUMIFS('📋 Detalle Diario'!$I$5:$I$489, '📋 Detalle Diario'!$B$5:$B$489, B906, '📋 Detalle Diario'!$C$5:$C$489, D906) * 200), 0))</f>
        <v/>
      </c>
      <c r="P906" s="32" t="str">
        <f t="shared" si="103"/>
        <v/>
      </c>
      <c r="Q906" s="33" t="str">
        <f t="shared" si="104"/>
        <v/>
      </c>
    </row>
    <row r="907" spans="2:17" ht="18" customHeight="1" x14ac:dyDescent="0.3">
      <c r="B907" s="26"/>
      <c r="C907" s="28"/>
      <c r="D907" s="27"/>
      <c r="E907" s="29"/>
      <c r="F907" s="29"/>
      <c r="G907" s="29"/>
      <c r="H907" s="30" t="str">
        <f t="shared" si="98"/>
        <v/>
      </c>
      <c r="I907" s="31" t="str">
        <f>IF(OR(B907="",C907=""),"",IFERROR(E907*IF(E907="",0,VLOOKUP(C907,'📦 Precios Proforma'!$B$5:$D$104,IF(D907="DIA",2,3),FALSE)),0))</f>
        <v/>
      </c>
      <c r="J907" s="31" t="str">
        <f t="shared" si="99"/>
        <v/>
      </c>
      <c r="K907" s="31" t="str">
        <f t="shared" si="100"/>
        <v/>
      </c>
      <c r="L907" s="31" t="str">
        <f>IF(OR(B907="",C907=""),"",IFERROR(E907 / SUMIFS('📅 Resumen Diario'!$D$5:$D$504, '📅 Resumen Diario'!$B$5:$B$504, B907, '📅 Resumen Diario'!$C$5:$C$504, D907) * SUMIFS('📅 Resumen Diario'!$K$5:$K$504, '📅 Resumen Diario'!$B$5:$B$504, B907, '📅 Resumen Diario'!$C$5:$C$504, D907), 0))</f>
        <v/>
      </c>
      <c r="M907" s="31" t="str">
        <f t="shared" si="101"/>
        <v/>
      </c>
      <c r="N907" s="31" t="str">
        <f t="shared" si="102"/>
        <v/>
      </c>
      <c r="O907" s="31" t="str">
        <f>IF(OR(B907="",C907=""),"",K907-N907 + IFERROR(E907 / SUMIFS('📅 Resumen Diario'!$D$5:$D$504, '📅 Resumen Diario'!$B$5:$B$504, B907, '📅 Resumen Diario'!$C$5:$C$504, D907) * (SUMIFS('📋 Detalle Diario'!$E$5:$E$489, '📋 Detalle Diario'!$B$5:$B$489, B907, '📋 Detalle Diario'!$C$5:$C$489, D907) * 135 + SUMIFS('📋 Detalle Diario'!$I$5:$I$489, '📋 Detalle Diario'!$B$5:$B$489, B907, '📋 Detalle Diario'!$C$5:$C$489, D907) * 200), 0))</f>
        <v/>
      </c>
      <c r="P907" s="32" t="str">
        <f t="shared" si="103"/>
        <v/>
      </c>
      <c r="Q907" s="33" t="str">
        <f t="shared" si="104"/>
        <v/>
      </c>
    </row>
    <row r="908" spans="2:17" ht="18" customHeight="1" x14ac:dyDescent="0.3">
      <c r="B908" s="26"/>
      <c r="C908" s="17"/>
      <c r="D908" s="27"/>
      <c r="E908" s="18"/>
      <c r="F908" s="18"/>
      <c r="G908" s="18"/>
      <c r="H908" s="30" t="str">
        <f t="shared" si="98"/>
        <v/>
      </c>
      <c r="I908" s="31" t="str">
        <f>IF(OR(B908="",C908=""),"",IFERROR(E908*IF(E908="",0,VLOOKUP(C908,'📦 Precios Proforma'!$B$5:$D$104,IF(D908="DIA",2,3),FALSE)),0))</f>
        <v/>
      </c>
      <c r="J908" s="31" t="str">
        <f t="shared" si="99"/>
        <v/>
      </c>
      <c r="K908" s="31" t="str">
        <f t="shared" si="100"/>
        <v/>
      </c>
      <c r="L908" s="31" t="str">
        <f>IF(OR(B908="",C908=""),"",IFERROR(E908 / SUMIFS('📅 Resumen Diario'!$D$5:$D$504, '📅 Resumen Diario'!$B$5:$B$504, B908, '📅 Resumen Diario'!$C$5:$C$504, D908) * SUMIFS('📅 Resumen Diario'!$K$5:$K$504, '📅 Resumen Diario'!$B$5:$B$504, B908, '📅 Resumen Diario'!$C$5:$C$504, D908), 0))</f>
        <v/>
      </c>
      <c r="M908" s="31" t="str">
        <f t="shared" si="101"/>
        <v/>
      </c>
      <c r="N908" s="31" t="str">
        <f t="shared" si="102"/>
        <v/>
      </c>
      <c r="O908" s="31" t="str">
        <f>IF(OR(B908="",C908=""),"",K908-N908 + IFERROR(E908 / SUMIFS('📅 Resumen Diario'!$D$5:$D$504, '📅 Resumen Diario'!$B$5:$B$504, B908, '📅 Resumen Diario'!$C$5:$C$504, D908) * (SUMIFS('📋 Detalle Diario'!$E$5:$E$489, '📋 Detalle Diario'!$B$5:$B$489, B908, '📋 Detalle Diario'!$C$5:$C$489, D908) * 135 + SUMIFS('📋 Detalle Diario'!$I$5:$I$489, '📋 Detalle Diario'!$B$5:$B$489, B908, '📋 Detalle Diario'!$C$5:$C$489, D908) * 200), 0))</f>
        <v/>
      </c>
      <c r="P908" s="32" t="str">
        <f t="shared" si="103"/>
        <v/>
      </c>
      <c r="Q908" s="33" t="str">
        <f t="shared" si="104"/>
        <v/>
      </c>
    </row>
    <row r="909" spans="2:17" ht="18" customHeight="1" x14ac:dyDescent="0.3">
      <c r="B909" s="26"/>
      <c r="C909" s="28"/>
      <c r="D909" s="27"/>
      <c r="E909" s="29"/>
      <c r="F909" s="29"/>
      <c r="G909" s="29"/>
      <c r="H909" s="30" t="str">
        <f t="shared" si="98"/>
        <v/>
      </c>
      <c r="I909" s="31" t="str">
        <f>IF(OR(B909="",C909=""),"",IFERROR(E909*IF(E909="",0,VLOOKUP(C909,'📦 Precios Proforma'!$B$5:$D$104,IF(D909="DIA",2,3),FALSE)),0))</f>
        <v/>
      </c>
      <c r="J909" s="31" t="str">
        <f t="shared" si="99"/>
        <v/>
      </c>
      <c r="K909" s="31" t="str">
        <f t="shared" si="100"/>
        <v/>
      </c>
      <c r="L909" s="31" t="str">
        <f>IF(OR(B909="",C909=""),"",IFERROR(E909 / SUMIFS('📅 Resumen Diario'!$D$5:$D$504, '📅 Resumen Diario'!$B$5:$B$504, B909, '📅 Resumen Diario'!$C$5:$C$504, D909) * SUMIFS('📅 Resumen Diario'!$K$5:$K$504, '📅 Resumen Diario'!$B$5:$B$504, B909, '📅 Resumen Diario'!$C$5:$C$504, D909), 0))</f>
        <v/>
      </c>
      <c r="M909" s="31" t="str">
        <f t="shared" si="101"/>
        <v/>
      </c>
      <c r="N909" s="31" t="str">
        <f t="shared" si="102"/>
        <v/>
      </c>
      <c r="O909" s="31" t="str">
        <f>IF(OR(B909="",C909=""),"",K909-N909 + IFERROR(E909 / SUMIFS('📅 Resumen Diario'!$D$5:$D$504, '📅 Resumen Diario'!$B$5:$B$504, B909, '📅 Resumen Diario'!$C$5:$C$504, D909) * (SUMIFS('📋 Detalle Diario'!$E$5:$E$489, '📋 Detalle Diario'!$B$5:$B$489, B909, '📋 Detalle Diario'!$C$5:$C$489, D909) * 135 + SUMIFS('📋 Detalle Diario'!$I$5:$I$489, '📋 Detalle Diario'!$B$5:$B$489, B909, '📋 Detalle Diario'!$C$5:$C$489, D909) * 200), 0))</f>
        <v/>
      </c>
      <c r="P909" s="32" t="str">
        <f t="shared" si="103"/>
        <v/>
      </c>
      <c r="Q909" s="33" t="str">
        <f t="shared" si="104"/>
        <v/>
      </c>
    </row>
    <row r="910" spans="2:17" ht="18" customHeight="1" x14ac:dyDescent="0.3">
      <c r="B910" s="26"/>
      <c r="C910" s="17"/>
      <c r="D910" s="27"/>
      <c r="E910" s="18"/>
      <c r="F910" s="18"/>
      <c r="G910" s="18"/>
      <c r="H910" s="30" t="str">
        <f t="shared" si="98"/>
        <v/>
      </c>
      <c r="I910" s="31" t="str">
        <f>IF(OR(B910="",C910=""),"",IFERROR(E910*IF(E910="",0,VLOOKUP(C910,'📦 Precios Proforma'!$B$5:$D$104,IF(D910="DIA",2,3),FALSE)),0))</f>
        <v/>
      </c>
      <c r="J910" s="31" t="str">
        <f t="shared" si="99"/>
        <v/>
      </c>
      <c r="K910" s="31" t="str">
        <f t="shared" si="100"/>
        <v/>
      </c>
      <c r="L910" s="31" t="str">
        <f>IF(OR(B910="",C910=""),"",IFERROR(E910 / SUMIFS('📅 Resumen Diario'!$D$5:$D$504, '📅 Resumen Diario'!$B$5:$B$504, B910, '📅 Resumen Diario'!$C$5:$C$504, D910) * SUMIFS('📅 Resumen Diario'!$K$5:$K$504, '📅 Resumen Diario'!$B$5:$B$504, B910, '📅 Resumen Diario'!$C$5:$C$504, D910), 0))</f>
        <v/>
      </c>
      <c r="M910" s="31" t="str">
        <f t="shared" si="101"/>
        <v/>
      </c>
      <c r="N910" s="31" t="str">
        <f t="shared" si="102"/>
        <v/>
      </c>
      <c r="O910" s="31" t="str">
        <f>IF(OR(B910="",C910=""),"",K910-N910 + IFERROR(E910 / SUMIFS('📅 Resumen Diario'!$D$5:$D$504, '📅 Resumen Diario'!$B$5:$B$504, B910, '📅 Resumen Diario'!$C$5:$C$504, D910) * (SUMIFS('📋 Detalle Diario'!$E$5:$E$489, '📋 Detalle Diario'!$B$5:$B$489, B910, '📋 Detalle Diario'!$C$5:$C$489, D910) * 135 + SUMIFS('📋 Detalle Diario'!$I$5:$I$489, '📋 Detalle Diario'!$B$5:$B$489, B910, '📋 Detalle Diario'!$C$5:$C$489, D910) * 200), 0))</f>
        <v/>
      </c>
      <c r="P910" s="32" t="str">
        <f t="shared" si="103"/>
        <v/>
      </c>
      <c r="Q910" s="33" t="str">
        <f t="shared" si="104"/>
        <v/>
      </c>
    </row>
    <row r="911" spans="2:17" ht="18" customHeight="1" x14ac:dyDescent="0.3">
      <c r="B911" s="26"/>
      <c r="C911" s="28"/>
      <c r="D911" s="27"/>
      <c r="E911" s="29"/>
      <c r="F911" s="29"/>
      <c r="G911" s="29"/>
      <c r="H911" s="30" t="str">
        <f t="shared" si="98"/>
        <v/>
      </c>
      <c r="I911" s="31" t="str">
        <f>IF(OR(B911="",C911=""),"",IFERROR(E911*IF(E911="",0,VLOOKUP(C911,'📦 Precios Proforma'!$B$5:$D$104,IF(D911="DIA",2,3),FALSE)),0))</f>
        <v/>
      </c>
      <c r="J911" s="31" t="str">
        <f t="shared" si="99"/>
        <v/>
      </c>
      <c r="K911" s="31" t="str">
        <f t="shared" si="100"/>
        <v/>
      </c>
      <c r="L911" s="31" t="str">
        <f>IF(OR(B911="",C911=""),"",IFERROR(E911 / SUMIFS('📅 Resumen Diario'!$D$5:$D$504, '📅 Resumen Diario'!$B$5:$B$504, B911, '📅 Resumen Diario'!$C$5:$C$504, D911) * SUMIFS('📅 Resumen Diario'!$K$5:$K$504, '📅 Resumen Diario'!$B$5:$B$504, B911, '📅 Resumen Diario'!$C$5:$C$504, D911), 0))</f>
        <v/>
      </c>
      <c r="M911" s="31" t="str">
        <f t="shared" si="101"/>
        <v/>
      </c>
      <c r="N911" s="31" t="str">
        <f t="shared" si="102"/>
        <v/>
      </c>
      <c r="O911" s="31" t="str">
        <f>IF(OR(B911="",C911=""),"",K911-N911 + IFERROR(E911 / SUMIFS('📅 Resumen Diario'!$D$5:$D$504, '📅 Resumen Diario'!$B$5:$B$504, B911, '📅 Resumen Diario'!$C$5:$C$504, D911) * (SUMIFS('📋 Detalle Diario'!$E$5:$E$489, '📋 Detalle Diario'!$B$5:$B$489, B911, '📋 Detalle Diario'!$C$5:$C$489, D911) * 135 + SUMIFS('📋 Detalle Diario'!$I$5:$I$489, '📋 Detalle Diario'!$B$5:$B$489, B911, '📋 Detalle Diario'!$C$5:$C$489, D911) * 200), 0))</f>
        <v/>
      </c>
      <c r="P911" s="32" t="str">
        <f t="shared" si="103"/>
        <v/>
      </c>
      <c r="Q911" s="33" t="str">
        <f t="shared" si="104"/>
        <v/>
      </c>
    </row>
    <row r="912" spans="2:17" ht="18" customHeight="1" x14ac:dyDescent="0.3">
      <c r="B912" s="26"/>
      <c r="C912" s="17"/>
      <c r="D912" s="27"/>
      <c r="E912" s="18"/>
      <c r="F912" s="18"/>
      <c r="G912" s="18"/>
      <c r="H912" s="30" t="str">
        <f t="shared" si="98"/>
        <v/>
      </c>
      <c r="I912" s="31" t="str">
        <f>IF(OR(B912="",C912=""),"",IFERROR(E912*IF(E912="",0,VLOOKUP(C912,'📦 Precios Proforma'!$B$5:$D$104,IF(D912="DIA",2,3),FALSE)),0))</f>
        <v/>
      </c>
      <c r="J912" s="31" t="str">
        <f t="shared" si="99"/>
        <v/>
      </c>
      <c r="K912" s="31" t="str">
        <f t="shared" si="100"/>
        <v/>
      </c>
      <c r="L912" s="31" t="str">
        <f>IF(OR(B912="",C912=""),"",IFERROR(E912 / SUMIFS('📅 Resumen Diario'!$D$5:$D$504, '📅 Resumen Diario'!$B$5:$B$504, B912, '📅 Resumen Diario'!$C$5:$C$504, D912) * SUMIFS('📅 Resumen Diario'!$K$5:$K$504, '📅 Resumen Diario'!$B$5:$B$504, B912, '📅 Resumen Diario'!$C$5:$C$504, D912), 0))</f>
        <v/>
      </c>
      <c r="M912" s="31" t="str">
        <f t="shared" si="101"/>
        <v/>
      </c>
      <c r="N912" s="31" t="str">
        <f t="shared" si="102"/>
        <v/>
      </c>
      <c r="O912" s="31" t="str">
        <f>IF(OR(B912="",C912=""),"",K912-N912 + IFERROR(E912 / SUMIFS('📅 Resumen Diario'!$D$5:$D$504, '📅 Resumen Diario'!$B$5:$B$504, B912, '📅 Resumen Diario'!$C$5:$C$504, D912) * (SUMIFS('📋 Detalle Diario'!$E$5:$E$489, '📋 Detalle Diario'!$B$5:$B$489, B912, '📋 Detalle Diario'!$C$5:$C$489, D912) * 135 + SUMIFS('📋 Detalle Diario'!$I$5:$I$489, '📋 Detalle Diario'!$B$5:$B$489, B912, '📋 Detalle Diario'!$C$5:$C$489, D912) * 200), 0))</f>
        <v/>
      </c>
      <c r="P912" s="32" t="str">
        <f t="shared" si="103"/>
        <v/>
      </c>
      <c r="Q912" s="33" t="str">
        <f t="shared" si="104"/>
        <v/>
      </c>
    </row>
    <row r="913" spans="2:17" ht="18" customHeight="1" x14ac:dyDescent="0.3">
      <c r="B913" s="26"/>
      <c r="C913" s="28"/>
      <c r="D913" s="27"/>
      <c r="E913" s="29"/>
      <c r="F913" s="29"/>
      <c r="G913" s="29"/>
      <c r="H913" s="30" t="str">
        <f t="shared" si="98"/>
        <v/>
      </c>
      <c r="I913" s="31" t="str">
        <f>IF(OR(B913="",C913=""),"",IFERROR(E913*IF(E913="",0,VLOOKUP(C913,'📦 Precios Proforma'!$B$5:$D$104,IF(D913="DIA",2,3),FALSE)),0))</f>
        <v/>
      </c>
      <c r="J913" s="31" t="str">
        <f t="shared" si="99"/>
        <v/>
      </c>
      <c r="K913" s="31" t="str">
        <f t="shared" si="100"/>
        <v/>
      </c>
      <c r="L913" s="31" t="str">
        <f>IF(OR(B913="",C913=""),"",IFERROR(E913 / SUMIFS('📅 Resumen Diario'!$D$5:$D$504, '📅 Resumen Diario'!$B$5:$B$504, B913, '📅 Resumen Diario'!$C$5:$C$504, D913) * SUMIFS('📅 Resumen Diario'!$K$5:$K$504, '📅 Resumen Diario'!$B$5:$B$504, B913, '📅 Resumen Diario'!$C$5:$C$504, D913), 0))</f>
        <v/>
      </c>
      <c r="M913" s="31" t="str">
        <f t="shared" si="101"/>
        <v/>
      </c>
      <c r="N913" s="31" t="str">
        <f t="shared" si="102"/>
        <v/>
      </c>
      <c r="O913" s="31" t="str">
        <f>IF(OR(B913="",C913=""),"",K913-N913 + IFERROR(E913 / SUMIFS('📅 Resumen Diario'!$D$5:$D$504, '📅 Resumen Diario'!$B$5:$B$504, B913, '📅 Resumen Diario'!$C$5:$C$504, D913) * (SUMIFS('📋 Detalle Diario'!$E$5:$E$489, '📋 Detalle Diario'!$B$5:$B$489, B913, '📋 Detalle Diario'!$C$5:$C$489, D913) * 135 + SUMIFS('📋 Detalle Diario'!$I$5:$I$489, '📋 Detalle Diario'!$B$5:$B$489, B913, '📋 Detalle Diario'!$C$5:$C$489, D913) * 200), 0))</f>
        <v/>
      </c>
      <c r="P913" s="32" t="str">
        <f t="shared" si="103"/>
        <v/>
      </c>
      <c r="Q913" s="33" t="str">
        <f t="shared" si="104"/>
        <v/>
      </c>
    </row>
    <row r="914" spans="2:17" ht="18" customHeight="1" x14ac:dyDescent="0.3">
      <c r="B914" s="26"/>
      <c r="C914" s="17"/>
      <c r="D914" s="27"/>
      <c r="E914" s="18"/>
      <c r="F914" s="18"/>
      <c r="G914" s="18"/>
      <c r="H914" s="30" t="str">
        <f t="shared" si="98"/>
        <v/>
      </c>
      <c r="I914" s="31" t="str">
        <f>IF(OR(B914="",C914=""),"",IFERROR(E914*IF(E914="",0,VLOOKUP(C914,'📦 Precios Proforma'!$B$5:$D$104,IF(D914="DIA",2,3),FALSE)),0))</f>
        <v/>
      </c>
      <c r="J914" s="31" t="str">
        <f t="shared" si="99"/>
        <v/>
      </c>
      <c r="K914" s="31" t="str">
        <f t="shared" si="100"/>
        <v/>
      </c>
      <c r="L914" s="31" t="str">
        <f>IF(OR(B914="",C914=""),"",IFERROR(E914 / SUMIFS('📅 Resumen Diario'!$D$5:$D$504, '📅 Resumen Diario'!$B$5:$B$504, B914, '📅 Resumen Diario'!$C$5:$C$504, D914) * SUMIFS('📅 Resumen Diario'!$K$5:$K$504, '📅 Resumen Diario'!$B$5:$B$504, B914, '📅 Resumen Diario'!$C$5:$C$504, D914), 0))</f>
        <v/>
      </c>
      <c r="M914" s="31" t="str">
        <f t="shared" si="101"/>
        <v/>
      </c>
      <c r="N914" s="31" t="str">
        <f t="shared" si="102"/>
        <v/>
      </c>
      <c r="O914" s="31" t="str">
        <f>IF(OR(B914="",C914=""),"",K914-N914 + IFERROR(E914 / SUMIFS('📅 Resumen Diario'!$D$5:$D$504, '📅 Resumen Diario'!$B$5:$B$504, B914, '📅 Resumen Diario'!$C$5:$C$504, D914) * (SUMIFS('📋 Detalle Diario'!$E$5:$E$489, '📋 Detalle Diario'!$B$5:$B$489, B914, '📋 Detalle Diario'!$C$5:$C$489, D914) * 135 + SUMIFS('📋 Detalle Diario'!$I$5:$I$489, '📋 Detalle Diario'!$B$5:$B$489, B914, '📋 Detalle Diario'!$C$5:$C$489, D914) * 200), 0))</f>
        <v/>
      </c>
      <c r="P914" s="32" t="str">
        <f t="shared" si="103"/>
        <v/>
      </c>
      <c r="Q914" s="33" t="str">
        <f t="shared" si="104"/>
        <v/>
      </c>
    </row>
    <row r="915" spans="2:17" ht="18" customHeight="1" x14ac:dyDescent="0.3">
      <c r="B915" s="26"/>
      <c r="C915" s="28"/>
      <c r="D915" s="27"/>
      <c r="E915" s="29"/>
      <c r="F915" s="29"/>
      <c r="G915" s="29"/>
      <c r="H915" s="30" t="str">
        <f t="shared" si="98"/>
        <v/>
      </c>
      <c r="I915" s="31" t="str">
        <f>IF(OR(B915="",C915=""),"",IFERROR(E915*IF(E915="",0,VLOOKUP(C915,'📦 Precios Proforma'!$B$5:$D$104,IF(D915="DIA",2,3),FALSE)),0))</f>
        <v/>
      </c>
      <c r="J915" s="31" t="str">
        <f t="shared" si="99"/>
        <v/>
      </c>
      <c r="K915" s="31" t="str">
        <f t="shared" si="100"/>
        <v/>
      </c>
      <c r="L915" s="31" t="str">
        <f>IF(OR(B915="",C915=""),"",IFERROR(E915 / SUMIFS('📅 Resumen Diario'!$D$5:$D$504, '📅 Resumen Diario'!$B$5:$B$504, B915, '📅 Resumen Diario'!$C$5:$C$504, D915) * SUMIFS('📅 Resumen Diario'!$K$5:$K$504, '📅 Resumen Diario'!$B$5:$B$504, B915, '📅 Resumen Diario'!$C$5:$C$504, D915), 0))</f>
        <v/>
      </c>
      <c r="M915" s="31" t="str">
        <f t="shared" si="101"/>
        <v/>
      </c>
      <c r="N915" s="31" t="str">
        <f t="shared" si="102"/>
        <v/>
      </c>
      <c r="O915" s="31" t="str">
        <f>IF(OR(B915="",C915=""),"",K915-N915 + IFERROR(E915 / SUMIFS('📅 Resumen Diario'!$D$5:$D$504, '📅 Resumen Diario'!$B$5:$B$504, B915, '📅 Resumen Diario'!$C$5:$C$504, D915) * (SUMIFS('📋 Detalle Diario'!$E$5:$E$489, '📋 Detalle Diario'!$B$5:$B$489, B915, '📋 Detalle Diario'!$C$5:$C$489, D915) * 135 + SUMIFS('📋 Detalle Diario'!$I$5:$I$489, '📋 Detalle Diario'!$B$5:$B$489, B915, '📋 Detalle Diario'!$C$5:$C$489, D915) * 200), 0))</f>
        <v/>
      </c>
      <c r="P915" s="32" t="str">
        <f t="shared" si="103"/>
        <v/>
      </c>
      <c r="Q915" s="33" t="str">
        <f t="shared" si="104"/>
        <v/>
      </c>
    </row>
    <row r="916" spans="2:17" ht="18" customHeight="1" x14ac:dyDescent="0.3">
      <c r="B916" s="26"/>
      <c r="C916" s="17"/>
      <c r="D916" s="27"/>
      <c r="E916" s="18"/>
      <c r="F916" s="18"/>
      <c r="G916" s="18"/>
      <c r="H916" s="30" t="str">
        <f t="shared" si="98"/>
        <v/>
      </c>
      <c r="I916" s="31" t="str">
        <f>IF(OR(B916="",C916=""),"",IFERROR(E916*IF(E916="",0,VLOOKUP(C916,'📦 Precios Proforma'!$B$5:$D$104,IF(D916="DIA",2,3),FALSE)),0))</f>
        <v/>
      </c>
      <c r="J916" s="31" t="str">
        <f t="shared" si="99"/>
        <v/>
      </c>
      <c r="K916" s="31" t="str">
        <f t="shared" si="100"/>
        <v/>
      </c>
      <c r="L916" s="31" t="str">
        <f>IF(OR(B916="",C916=""),"",IFERROR(E916 / SUMIFS('📅 Resumen Diario'!$D$5:$D$504, '📅 Resumen Diario'!$B$5:$B$504, B916, '📅 Resumen Diario'!$C$5:$C$504, D916) * SUMIFS('📅 Resumen Diario'!$K$5:$K$504, '📅 Resumen Diario'!$B$5:$B$504, B916, '📅 Resumen Diario'!$C$5:$C$504, D916), 0))</f>
        <v/>
      </c>
      <c r="M916" s="31" t="str">
        <f t="shared" si="101"/>
        <v/>
      </c>
      <c r="N916" s="31" t="str">
        <f t="shared" si="102"/>
        <v/>
      </c>
      <c r="O916" s="31" t="str">
        <f>IF(OR(B916="",C916=""),"",K916-N916 + IFERROR(E916 / SUMIFS('📅 Resumen Diario'!$D$5:$D$504, '📅 Resumen Diario'!$B$5:$B$504, B916, '📅 Resumen Diario'!$C$5:$C$504, D916) * (SUMIFS('📋 Detalle Diario'!$E$5:$E$489, '📋 Detalle Diario'!$B$5:$B$489, B916, '📋 Detalle Diario'!$C$5:$C$489, D916) * 135 + SUMIFS('📋 Detalle Diario'!$I$5:$I$489, '📋 Detalle Diario'!$B$5:$B$489, B916, '📋 Detalle Diario'!$C$5:$C$489, D916) * 200), 0))</f>
        <v/>
      </c>
      <c r="P916" s="32" t="str">
        <f t="shared" si="103"/>
        <v/>
      </c>
      <c r="Q916" s="33" t="str">
        <f t="shared" si="104"/>
        <v/>
      </c>
    </row>
    <row r="917" spans="2:17" ht="18" customHeight="1" x14ac:dyDescent="0.3">
      <c r="B917" s="26"/>
      <c r="C917" s="28"/>
      <c r="D917" s="27"/>
      <c r="E917" s="29"/>
      <c r="F917" s="29"/>
      <c r="G917" s="29"/>
      <c r="H917" s="30" t="str">
        <f t="shared" si="98"/>
        <v/>
      </c>
      <c r="I917" s="31" t="str">
        <f>IF(OR(B917="",C917=""),"",IFERROR(E917*IF(E917="",0,VLOOKUP(C917,'📦 Precios Proforma'!$B$5:$D$104,IF(D917="DIA",2,3),FALSE)),0))</f>
        <v/>
      </c>
      <c r="J917" s="31" t="str">
        <f t="shared" si="99"/>
        <v/>
      </c>
      <c r="K917" s="31" t="str">
        <f t="shared" si="100"/>
        <v/>
      </c>
      <c r="L917" s="31" t="str">
        <f>IF(OR(B917="",C917=""),"",IFERROR(E917 / SUMIFS('📅 Resumen Diario'!$D$5:$D$504, '📅 Resumen Diario'!$B$5:$B$504, B917, '📅 Resumen Diario'!$C$5:$C$504, D917) * SUMIFS('📅 Resumen Diario'!$K$5:$K$504, '📅 Resumen Diario'!$B$5:$B$504, B917, '📅 Resumen Diario'!$C$5:$C$504, D917), 0))</f>
        <v/>
      </c>
      <c r="M917" s="31" t="str">
        <f t="shared" si="101"/>
        <v/>
      </c>
      <c r="N917" s="31" t="str">
        <f t="shared" si="102"/>
        <v/>
      </c>
      <c r="O917" s="31" t="str">
        <f>IF(OR(B917="",C917=""),"",K917-N917 + IFERROR(E917 / SUMIFS('📅 Resumen Diario'!$D$5:$D$504, '📅 Resumen Diario'!$B$5:$B$504, B917, '📅 Resumen Diario'!$C$5:$C$504, D917) * (SUMIFS('📋 Detalle Diario'!$E$5:$E$489, '📋 Detalle Diario'!$B$5:$B$489, B917, '📋 Detalle Diario'!$C$5:$C$489, D917) * 135 + SUMIFS('📋 Detalle Diario'!$I$5:$I$489, '📋 Detalle Diario'!$B$5:$B$489, B917, '📋 Detalle Diario'!$C$5:$C$489, D917) * 200), 0))</f>
        <v/>
      </c>
      <c r="P917" s="32" t="str">
        <f t="shared" si="103"/>
        <v/>
      </c>
      <c r="Q917" s="33" t="str">
        <f t="shared" si="104"/>
        <v/>
      </c>
    </row>
    <row r="918" spans="2:17" ht="18" customHeight="1" x14ac:dyDescent="0.3">
      <c r="B918" s="26"/>
      <c r="C918" s="17"/>
      <c r="D918" s="27"/>
      <c r="E918" s="18"/>
      <c r="F918" s="18"/>
      <c r="G918" s="18"/>
      <c r="H918" s="30" t="str">
        <f t="shared" si="98"/>
        <v/>
      </c>
      <c r="I918" s="31" t="str">
        <f>IF(OR(B918="",C918=""),"",IFERROR(E918*IF(E918="",0,VLOOKUP(C918,'📦 Precios Proforma'!$B$5:$D$104,IF(D918="DIA",2,3),FALSE)),0))</f>
        <v/>
      </c>
      <c r="J918" s="31" t="str">
        <f t="shared" si="99"/>
        <v/>
      </c>
      <c r="K918" s="31" t="str">
        <f t="shared" si="100"/>
        <v/>
      </c>
      <c r="L918" s="31" t="str">
        <f>IF(OR(B918="",C918=""),"",IFERROR(E918 / SUMIFS('📅 Resumen Diario'!$D$5:$D$504, '📅 Resumen Diario'!$B$5:$B$504, B918, '📅 Resumen Diario'!$C$5:$C$504, D918) * SUMIFS('📅 Resumen Diario'!$K$5:$K$504, '📅 Resumen Diario'!$B$5:$B$504, B918, '📅 Resumen Diario'!$C$5:$C$504, D918), 0))</f>
        <v/>
      </c>
      <c r="M918" s="31" t="str">
        <f t="shared" si="101"/>
        <v/>
      </c>
      <c r="N918" s="31" t="str">
        <f t="shared" si="102"/>
        <v/>
      </c>
      <c r="O918" s="31" t="str">
        <f>IF(OR(B918="",C918=""),"",K918-N918 + IFERROR(E918 / SUMIFS('📅 Resumen Diario'!$D$5:$D$504, '📅 Resumen Diario'!$B$5:$B$504, B918, '📅 Resumen Diario'!$C$5:$C$504, D918) * (SUMIFS('📋 Detalle Diario'!$E$5:$E$489, '📋 Detalle Diario'!$B$5:$B$489, B918, '📋 Detalle Diario'!$C$5:$C$489, D918) * 135 + SUMIFS('📋 Detalle Diario'!$I$5:$I$489, '📋 Detalle Diario'!$B$5:$B$489, B918, '📋 Detalle Diario'!$C$5:$C$489, D918) * 200), 0))</f>
        <v/>
      </c>
      <c r="P918" s="32" t="str">
        <f t="shared" si="103"/>
        <v/>
      </c>
      <c r="Q918" s="33" t="str">
        <f t="shared" si="104"/>
        <v/>
      </c>
    </row>
    <row r="919" spans="2:17" ht="18" customHeight="1" x14ac:dyDescent="0.3">
      <c r="B919" s="26"/>
      <c r="C919" s="28"/>
      <c r="D919" s="27"/>
      <c r="E919" s="29"/>
      <c r="F919" s="29"/>
      <c r="G919" s="29"/>
      <c r="H919" s="30" t="str">
        <f t="shared" si="98"/>
        <v/>
      </c>
      <c r="I919" s="31" t="str">
        <f>IF(OR(B919="",C919=""),"",IFERROR(E919*IF(E919="",0,VLOOKUP(C919,'📦 Precios Proforma'!$B$5:$D$104,IF(D919="DIA",2,3),FALSE)),0))</f>
        <v/>
      </c>
      <c r="J919" s="31" t="str">
        <f t="shared" si="99"/>
        <v/>
      </c>
      <c r="K919" s="31" t="str">
        <f t="shared" si="100"/>
        <v/>
      </c>
      <c r="L919" s="31" t="str">
        <f>IF(OR(B919="",C919=""),"",IFERROR(E919 / SUMIFS('📅 Resumen Diario'!$D$5:$D$504, '📅 Resumen Diario'!$B$5:$B$504, B919, '📅 Resumen Diario'!$C$5:$C$504, D919) * SUMIFS('📅 Resumen Diario'!$K$5:$K$504, '📅 Resumen Diario'!$B$5:$B$504, B919, '📅 Resumen Diario'!$C$5:$C$504, D919), 0))</f>
        <v/>
      </c>
      <c r="M919" s="31" t="str">
        <f t="shared" si="101"/>
        <v/>
      </c>
      <c r="N919" s="31" t="str">
        <f t="shared" si="102"/>
        <v/>
      </c>
      <c r="O919" s="31" t="str">
        <f>IF(OR(B919="",C919=""),"",K919-N919 + IFERROR(E919 / SUMIFS('📅 Resumen Diario'!$D$5:$D$504, '📅 Resumen Diario'!$B$5:$B$504, B919, '📅 Resumen Diario'!$C$5:$C$504, D919) * (SUMIFS('📋 Detalle Diario'!$E$5:$E$489, '📋 Detalle Diario'!$B$5:$B$489, B919, '📋 Detalle Diario'!$C$5:$C$489, D919) * 135 + SUMIFS('📋 Detalle Diario'!$I$5:$I$489, '📋 Detalle Diario'!$B$5:$B$489, B919, '📋 Detalle Diario'!$C$5:$C$489, D919) * 200), 0))</f>
        <v/>
      </c>
      <c r="P919" s="32" t="str">
        <f t="shared" si="103"/>
        <v/>
      </c>
      <c r="Q919" s="33" t="str">
        <f t="shared" si="104"/>
        <v/>
      </c>
    </row>
    <row r="920" spans="2:17" ht="18" customHeight="1" x14ac:dyDescent="0.3">
      <c r="B920" s="26"/>
      <c r="C920" s="17"/>
      <c r="D920" s="27"/>
      <c r="E920" s="18"/>
      <c r="F920" s="18"/>
      <c r="G920" s="18"/>
      <c r="H920" s="30" t="str">
        <f t="shared" si="98"/>
        <v/>
      </c>
      <c r="I920" s="31" t="str">
        <f>IF(OR(B920="",C920=""),"",IFERROR(E920*IF(E920="",0,VLOOKUP(C920,'📦 Precios Proforma'!$B$5:$D$104,IF(D920="DIA",2,3),FALSE)),0))</f>
        <v/>
      </c>
      <c r="J920" s="31" t="str">
        <f t="shared" si="99"/>
        <v/>
      </c>
      <c r="K920" s="31" t="str">
        <f t="shared" si="100"/>
        <v/>
      </c>
      <c r="L920" s="31" t="str">
        <f>IF(OR(B920="",C920=""),"",IFERROR(E920 / SUMIFS('📅 Resumen Diario'!$D$5:$D$504, '📅 Resumen Diario'!$B$5:$B$504, B920, '📅 Resumen Diario'!$C$5:$C$504, D920) * SUMIFS('📅 Resumen Diario'!$K$5:$K$504, '📅 Resumen Diario'!$B$5:$B$504, B920, '📅 Resumen Diario'!$C$5:$C$504, D920), 0))</f>
        <v/>
      </c>
      <c r="M920" s="31" t="str">
        <f t="shared" si="101"/>
        <v/>
      </c>
      <c r="N920" s="31" t="str">
        <f t="shared" si="102"/>
        <v/>
      </c>
      <c r="O920" s="31" t="str">
        <f>IF(OR(B920="",C920=""),"",K920-N920 + IFERROR(E920 / SUMIFS('📅 Resumen Diario'!$D$5:$D$504, '📅 Resumen Diario'!$B$5:$B$504, B920, '📅 Resumen Diario'!$C$5:$C$504, D920) * (SUMIFS('📋 Detalle Diario'!$E$5:$E$489, '📋 Detalle Diario'!$B$5:$B$489, B920, '📋 Detalle Diario'!$C$5:$C$489, D920) * 135 + SUMIFS('📋 Detalle Diario'!$I$5:$I$489, '📋 Detalle Diario'!$B$5:$B$489, B920, '📋 Detalle Diario'!$C$5:$C$489, D920) * 200), 0))</f>
        <v/>
      </c>
      <c r="P920" s="32" t="str">
        <f t="shared" si="103"/>
        <v/>
      </c>
      <c r="Q920" s="33" t="str">
        <f t="shared" si="104"/>
        <v/>
      </c>
    </row>
    <row r="921" spans="2:17" ht="18" customHeight="1" x14ac:dyDescent="0.3">
      <c r="B921" s="26"/>
      <c r="C921" s="28"/>
      <c r="D921" s="27"/>
      <c r="E921" s="29"/>
      <c r="F921" s="29"/>
      <c r="G921" s="29"/>
      <c r="H921" s="30" t="str">
        <f t="shared" si="98"/>
        <v/>
      </c>
      <c r="I921" s="31" t="str">
        <f>IF(OR(B921="",C921=""),"",IFERROR(E921*IF(E921="",0,VLOOKUP(C921,'📦 Precios Proforma'!$B$5:$D$104,IF(D921="DIA",2,3),FALSE)),0))</f>
        <v/>
      </c>
      <c r="J921" s="31" t="str">
        <f t="shared" si="99"/>
        <v/>
      </c>
      <c r="K921" s="31" t="str">
        <f t="shared" si="100"/>
        <v/>
      </c>
      <c r="L921" s="31" t="str">
        <f>IF(OR(B921="",C921=""),"",IFERROR(E921 / SUMIFS('📅 Resumen Diario'!$D$5:$D$504, '📅 Resumen Diario'!$B$5:$B$504, B921, '📅 Resumen Diario'!$C$5:$C$504, D921) * SUMIFS('📅 Resumen Diario'!$K$5:$K$504, '📅 Resumen Diario'!$B$5:$B$504, B921, '📅 Resumen Diario'!$C$5:$C$504, D921), 0))</f>
        <v/>
      </c>
      <c r="M921" s="31" t="str">
        <f t="shared" si="101"/>
        <v/>
      </c>
      <c r="N921" s="31" t="str">
        <f t="shared" si="102"/>
        <v/>
      </c>
      <c r="O921" s="31" t="str">
        <f>IF(OR(B921="",C921=""),"",K921-N921 + IFERROR(E921 / SUMIFS('📅 Resumen Diario'!$D$5:$D$504, '📅 Resumen Diario'!$B$5:$B$504, B921, '📅 Resumen Diario'!$C$5:$C$504, D921) * (SUMIFS('📋 Detalle Diario'!$E$5:$E$489, '📋 Detalle Diario'!$B$5:$B$489, B921, '📋 Detalle Diario'!$C$5:$C$489, D921) * 135 + SUMIFS('📋 Detalle Diario'!$I$5:$I$489, '📋 Detalle Diario'!$B$5:$B$489, B921, '📋 Detalle Diario'!$C$5:$C$489, D921) * 200), 0))</f>
        <v/>
      </c>
      <c r="P921" s="32" t="str">
        <f t="shared" si="103"/>
        <v/>
      </c>
      <c r="Q921" s="33" t="str">
        <f t="shared" si="104"/>
        <v/>
      </c>
    </row>
    <row r="922" spans="2:17" ht="18" customHeight="1" x14ac:dyDescent="0.3">
      <c r="B922" s="26"/>
      <c r="C922" s="17"/>
      <c r="D922" s="27"/>
      <c r="E922" s="18"/>
      <c r="F922" s="18"/>
      <c r="G922" s="18"/>
      <c r="H922" s="30" t="str">
        <f t="shared" si="98"/>
        <v/>
      </c>
      <c r="I922" s="31" t="str">
        <f>IF(OR(B922="",C922=""),"",IFERROR(E922*IF(E922="",0,VLOOKUP(C922,'📦 Precios Proforma'!$B$5:$D$104,IF(D922="DIA",2,3),FALSE)),0))</f>
        <v/>
      </c>
      <c r="J922" s="31" t="str">
        <f t="shared" si="99"/>
        <v/>
      </c>
      <c r="K922" s="31" t="str">
        <f t="shared" si="100"/>
        <v/>
      </c>
      <c r="L922" s="31" t="str">
        <f>IF(OR(B922="",C922=""),"",IFERROR(E922 / SUMIFS('📅 Resumen Diario'!$D$5:$D$504, '📅 Resumen Diario'!$B$5:$B$504, B922, '📅 Resumen Diario'!$C$5:$C$504, D922) * SUMIFS('📅 Resumen Diario'!$K$5:$K$504, '[2]�� Resumen Diario'!$B$5:$B$504, B922, '📅 Resumen Diario'!$C$5:$C$504, D922), 0))</f>
        <v/>
      </c>
      <c r="M922" s="31" t="str">
        <f t="shared" si="101"/>
        <v/>
      </c>
      <c r="N922" s="31" t="str">
        <f t="shared" si="102"/>
        <v/>
      </c>
      <c r="O922" s="31" t="str">
        <f>IF(OR(B922="",C922=""),"",K922-N922 + IFERROR(E922 / SUMIFS('📅 Resumen Diario'!$D$5:$D$504, '📅 Resumen Diario'!$B$5:$B$504, B922, '📅 Resumen Diario'!$C$5:$C$504, D922) * (SUMIFS('📋 Detalle Diario'!$E$5:$E$489, '📋 Detalle Diario'!$B$5:$B$489, B922, '📋 Detalle Diario'!$C$5:$C$489, D922) * 135 + SUMIFS('📋 Detalle Diario'!$I$5:$I$489, '📋 Detalle Diario'!$B$5:$B$489, B922, '📋 Detalle Diario'!$C$5:$C$489, D922) * 200), 0))</f>
        <v/>
      </c>
      <c r="P922" s="32" t="str">
        <f t="shared" si="103"/>
        <v/>
      </c>
      <c r="Q922" s="33" t="str">
        <f t="shared" si="104"/>
        <v/>
      </c>
    </row>
    <row r="923" spans="2:17" ht="18" customHeight="1" x14ac:dyDescent="0.3">
      <c r="B923" s="26"/>
      <c r="C923" s="28"/>
      <c r="D923" s="27"/>
      <c r="E923" s="29"/>
      <c r="F923" s="29"/>
      <c r="G923" s="29"/>
      <c r="H923" s="30" t="str">
        <f t="shared" si="98"/>
        <v/>
      </c>
      <c r="I923" s="31" t="str">
        <f>IF(OR(B923="",C923=""),"",IFERROR(E923*IF(E923="",0,VLOOKUP(C923,'📦 Precios Proforma'!$B$5:$D$104,IF(D923="DIA",2,3),FALSE)),0))</f>
        <v/>
      </c>
      <c r="J923" s="31" t="str">
        <f t="shared" si="99"/>
        <v/>
      </c>
      <c r="K923" s="31" t="str">
        <f t="shared" si="100"/>
        <v/>
      </c>
      <c r="L923" s="31" t="str">
        <f>IF(OR(B923="",C923=""),"",IFERROR(E923 / SUMIFS('📅 Resumen Diario'!$D$5:$D$504, '📅 Resumen Diario'!$B$5:$B$504, B923, '📅 Resumen Diario'!$C$5:$C$504, D923) * SUMIFS('📅 Resumen Diario'!$K$5:$K$504, '📅 Resumen Diario'!$B$5:$B$504, B923, '📅 Resumen Diario'!$C$5:$C$504, D923), 0))</f>
        <v/>
      </c>
      <c r="M923" s="31" t="str">
        <f t="shared" si="101"/>
        <v/>
      </c>
      <c r="N923" s="31" t="str">
        <f t="shared" si="102"/>
        <v/>
      </c>
      <c r="O923" s="31" t="str">
        <f>IF(OR(B923="",C923=""),"",K923-N923 + IFERROR(E923 / SUMIFS('📅 Resumen Diario'!$D$5:$D$504, '📅 Resumen Diario'!$B$5:$B$504, B923, '📅 Resumen Diario'!$C$5:$C$504, D923) * (SUMIFS('📋 Detalle Diario'!$E$5:$E$489, '📋 Detalle Diario'!$B$5:$B$489, B923, '📋 Detalle Diario'!$C$5:$C$489, D923) * 135 + SUMIFS('📋 Detalle Diario'!$I$5:$I$489, '📋 Detalle Diario'!$B$5:$B$489, B923, '📋 Detalle Diario'!$C$5:$C$489, D923) * 200), 0))</f>
        <v/>
      </c>
      <c r="P923" s="32" t="str">
        <f t="shared" si="103"/>
        <v/>
      </c>
      <c r="Q923" s="33" t="str">
        <f t="shared" si="104"/>
        <v/>
      </c>
    </row>
    <row r="924" spans="2:17" ht="18" customHeight="1" x14ac:dyDescent="0.3">
      <c r="B924" s="26"/>
      <c r="C924" s="17"/>
      <c r="D924" s="27"/>
      <c r="E924" s="18"/>
      <c r="F924" s="18"/>
      <c r="G924" s="18"/>
      <c r="H924" s="30" t="str">
        <f t="shared" si="98"/>
        <v/>
      </c>
      <c r="I924" s="31" t="str">
        <f>IF(OR(B924="",C924=""),"",IFERROR(E924*IF(E924="",0,VLOOKUP(C924,'📦 Precios Proforma'!$B$5:$D$104,IF(D924="DIA",2,3),FALSE)),0))</f>
        <v/>
      </c>
      <c r="J924" s="31" t="str">
        <f t="shared" si="99"/>
        <v/>
      </c>
      <c r="K924" s="31" t="str">
        <f t="shared" si="100"/>
        <v/>
      </c>
      <c r="L924" s="31" t="str">
        <f>IF(OR(B924="",C924=""),"",IFERROR(E924 / SUMIFS('📅 Resumen Diario'!$D$5:$D$504, '📅 Resumen Diario'!$B$5:$B$504, B924, '📅 Resumen Diario'!$C$5:$C$504, D924) * SUMIFS('📅 Resumen Diario'!$K$5:$K$504, '📅 Resumen Diario'!$B$5:$B$504, B924, '📅 Resumen Diario'!$C$5:$C$504, D924), 0))</f>
        <v/>
      </c>
      <c r="M924" s="31" t="str">
        <f t="shared" si="101"/>
        <v/>
      </c>
      <c r="N924" s="31" t="str">
        <f t="shared" si="102"/>
        <v/>
      </c>
      <c r="O924" s="31" t="str">
        <f>IF(OR(B924="",C924=""),"",K924-N924 + IFERROR(E924 / SUMIFS('📅 Resumen Diario'!$D$5:$D$504, '📅 Resumen Diario'!$B$5:$B$504, B924, '📅 Resumen Diario'!$C$5:$C$504, D924) * (SUMIFS('📋 Detalle Diario'!$E$5:$E$489, '📋 Detalle Diario'!$B$5:$B$489, B924, '📋 Detalle Diario'!$C$5:$C$489, D924) * 135 + SUMIFS('📋 Detalle Diario'!$I$5:$I$489, '📋 Detalle Diario'!$B$5:$B$489, B924, '📋 Detalle Diario'!$C$5:$C$489, D924) * 200), 0))</f>
        <v/>
      </c>
      <c r="P924" s="32" t="str">
        <f t="shared" si="103"/>
        <v/>
      </c>
      <c r="Q924" s="33" t="str">
        <f t="shared" si="104"/>
        <v/>
      </c>
    </row>
    <row r="925" spans="2:17" ht="18" customHeight="1" x14ac:dyDescent="0.3">
      <c r="B925" s="26"/>
      <c r="C925" s="28"/>
      <c r="D925" s="27"/>
      <c r="E925" s="29"/>
      <c r="F925" s="29"/>
      <c r="G925" s="29"/>
      <c r="H925" s="30" t="str">
        <f t="shared" si="98"/>
        <v/>
      </c>
      <c r="I925" s="31" t="str">
        <f>IF(OR(B925="",C925=""),"",IFERROR(E925*IF(E925="",0,VLOOKUP(C925,'📦 Precios Proforma'!$B$5:$D$104,IF(D925="DIA",2,3),FALSE)),0))</f>
        <v/>
      </c>
      <c r="J925" s="31" t="str">
        <f t="shared" si="99"/>
        <v/>
      </c>
      <c r="K925" s="31" t="str">
        <f t="shared" si="100"/>
        <v/>
      </c>
      <c r="L925" s="31" t="str">
        <f>IF(OR(B925="",C925=""),"",IFERROR(E925 / SUMIFS('📅 Resumen Diario'!$D$5:$D$504, '📅 Resumen Diario'!$B$5:$B$504, B925, '📅 Resumen Diario'!$C$5:$C$504, D925) * SUMIFS('📅 Resumen Diario'!$K$5:$K$504, '📅 Resumen Diario'!$B$5:$B$504, B925, '📅 Resumen Diario'!$C$5:$C$504, D925), 0))</f>
        <v/>
      </c>
      <c r="M925" s="31" t="str">
        <f t="shared" si="101"/>
        <v/>
      </c>
      <c r="N925" s="31" t="str">
        <f t="shared" si="102"/>
        <v/>
      </c>
      <c r="O925" s="31" t="str">
        <f>IF(OR(B925="",C925=""),"",K925-N925 + IFERROR(E925 / SUMIFS('📅 Resumen Diario'!$D$5:$D$504, '📅 Resumen Diario'!$B$5:$B$504, B925, '📅 Resumen Diario'!$C$5:$C$504, D925) * (SUMIFS('📋 Detalle Diario'!$E$5:$E$489, '📋 Detalle Diario'!$B$5:$B$489, B925, '📋 Detalle Diario'!$C$5:$C$489, D925) * 135 + SUMIFS('📋 Detalle Diario'!$I$5:$I$489, '📋 Detalle Diario'!$B$5:$B$489, B925, '📋 Detalle Diario'!$C$5:$C$489, D925) * 200), 0))</f>
        <v/>
      </c>
      <c r="P925" s="32" t="str">
        <f t="shared" si="103"/>
        <v/>
      </c>
      <c r="Q925" s="33" t="str">
        <f t="shared" si="104"/>
        <v/>
      </c>
    </row>
    <row r="926" spans="2:17" ht="18" customHeight="1" x14ac:dyDescent="0.3">
      <c r="B926" s="26"/>
      <c r="C926" s="17"/>
      <c r="D926" s="27"/>
      <c r="E926" s="18"/>
      <c r="F926" s="18"/>
      <c r="G926" s="18"/>
      <c r="H926" s="30" t="str">
        <f t="shared" si="98"/>
        <v/>
      </c>
      <c r="I926" s="31" t="str">
        <f>IF(OR(B926="",C926=""),"",IFERROR(E926*IF(E926="",0,VLOOKUP(C926,'📦 Precios Proforma'!$B$5:$D$104,IF(D926="DIA",2,3),FALSE)),0))</f>
        <v/>
      </c>
      <c r="J926" s="31" t="str">
        <f t="shared" si="99"/>
        <v/>
      </c>
      <c r="K926" s="31" t="str">
        <f t="shared" si="100"/>
        <v/>
      </c>
      <c r="L926" s="31" t="str">
        <f>IF(OR(B926="",C926=""),"",IFERROR(E926 / SUMIFS('📅 Resumen Diario'!$D$5:$D$504, '📅 Resumen Diario'!$B$5:$B$504, B926, '📅 Resumen Diario'!$C$5:$C$504, D926) * SUMIFS('📅 Resumen Diario'!$K$5:$K$504, '📅 Resumen Diario'!$B$5:$B$504, B926, '📅 Resumen Diario'!$C$5:$C$504, D926), 0))</f>
        <v/>
      </c>
      <c r="M926" s="31" t="str">
        <f t="shared" si="101"/>
        <v/>
      </c>
      <c r="N926" s="31" t="str">
        <f t="shared" si="102"/>
        <v/>
      </c>
      <c r="O926" s="31" t="str">
        <f>IF(OR(B926="",C926=""),"",K926-N926 + IFERROR(E926 / SUMIFS('📅 Resumen Diario'!$D$5:$D$504, '📅 Resumen Diario'!$B$5:$B$504, B926, '📅 Resumen Diario'!$C$5:$C$504, D926) * (SUMIFS('📋 Detalle Diario'!$E$5:$E$489, '📋 Detalle Diario'!$B$5:$B$489, B926, '📋 Detalle Diario'!$C$5:$C$489, D926) * 135 + SUMIFS('📋 Detalle Diario'!$I$5:$I$489, '📋 Detalle Diario'!$B$5:$B$489, B926, '📋 Detalle Diario'!$C$5:$C$489, D926) * 200), 0))</f>
        <v/>
      </c>
      <c r="P926" s="32" t="str">
        <f t="shared" si="103"/>
        <v/>
      </c>
      <c r="Q926" s="33" t="str">
        <f t="shared" si="104"/>
        <v/>
      </c>
    </row>
    <row r="927" spans="2:17" ht="18" customHeight="1" x14ac:dyDescent="0.3">
      <c r="B927" s="26"/>
      <c r="C927" s="28"/>
      <c r="D927" s="27"/>
      <c r="E927" s="29"/>
      <c r="F927" s="29"/>
      <c r="G927" s="29"/>
      <c r="H927" s="30" t="str">
        <f t="shared" si="98"/>
        <v/>
      </c>
      <c r="I927" s="31" t="str">
        <f>IF(OR(B927="",C927=""),"",IFERROR(E927*IF(E927="",0,VLOOKUP(C927,'📦 Precios Proforma'!$B$5:$D$104,IF(D927="DIA",2,3),FALSE)),0))</f>
        <v/>
      </c>
      <c r="J927" s="31" t="str">
        <f t="shared" si="99"/>
        <v/>
      </c>
      <c r="K927" s="31" t="str">
        <f t="shared" si="100"/>
        <v/>
      </c>
      <c r="L927" s="31" t="str">
        <f>IF(OR(B927="",C927=""),"",IFERROR(E927 / SUMIFS('📅 Resumen Diario'!$D$5:$D$504, '📅 Resumen Diario'!$B$5:$B$504, B927, '📅 Resumen Diario'!$C$5:$C$504, D927) * SUMIFS('📅 Resumen Diario'!$K$5:$K$504, '📅 Resumen Diario'!$B$5:$B$504, B927, '📅 Resumen Diario'!$C$5:$C$504, D927), 0))</f>
        <v/>
      </c>
      <c r="M927" s="31" t="str">
        <f t="shared" si="101"/>
        <v/>
      </c>
      <c r="N927" s="31" t="str">
        <f t="shared" si="102"/>
        <v/>
      </c>
      <c r="O927" s="31" t="str">
        <f>IF(OR(B927="",C927=""),"",K927-N927 + IFERROR(E927 / SUMIFS('📅 Resumen Diario'!$D$5:$D$504, '📅 Resumen Diario'!$B$5:$B$504, B927, '📅 Resumen Diario'!$C$5:$C$504, D927) * (SUMIFS('📋 Detalle Diario'!$E$5:$E$489, '📋 Detalle Diario'!$B$5:$B$489, B927, '📋 Detalle Diario'!$C$5:$C$489, D927) * 135 + SUMIFS('📋 Detalle Diario'!$I$5:$I$489, '📋 Detalle Diario'!$B$5:$B$489, B927, '📋 Detalle Diario'!$C$5:$C$489, D927) * 200), 0))</f>
        <v/>
      </c>
      <c r="P927" s="32" t="str">
        <f t="shared" si="103"/>
        <v/>
      </c>
      <c r="Q927" s="33" t="str">
        <f t="shared" si="104"/>
        <v/>
      </c>
    </row>
    <row r="928" spans="2:17" ht="18" customHeight="1" x14ac:dyDescent="0.3">
      <c r="B928" s="26"/>
      <c r="C928" s="17"/>
      <c r="D928" s="27"/>
      <c r="E928" s="18"/>
      <c r="F928" s="18"/>
      <c r="G928" s="18"/>
      <c r="H928" s="30" t="str">
        <f t="shared" si="98"/>
        <v/>
      </c>
      <c r="I928" s="31" t="str">
        <f>IF(OR(B928="",C928=""),"",IFERROR(E928*IF(E928="",0,VLOOKUP(C928,'📦 Precios Proforma'!$B$5:$D$104,IF(D928="DIA",2,3),FALSE)),0))</f>
        <v/>
      </c>
      <c r="J928" s="31" t="str">
        <f t="shared" si="99"/>
        <v/>
      </c>
      <c r="K928" s="31" t="str">
        <f t="shared" si="100"/>
        <v/>
      </c>
      <c r="L928" s="31" t="str">
        <f>IF(OR(B928="",C928=""),"",IFERROR(E928 / SUMIFS('📅 Resumen Diario'!$D$5:$D$504, '📅 Resumen Diario'!$B$5:$B$504, B928, '📅 Resumen Diario'!$C$5:$C$504, D928) * SUMIFS('📅 Resumen Diario'!$K$5:$K$504, '📅 Resumen Diario'!$B$5:$B$504, B928, '📅 Resumen Diario'!$C$5:$C$504, D928), 0))</f>
        <v/>
      </c>
      <c r="M928" s="31" t="str">
        <f t="shared" si="101"/>
        <v/>
      </c>
      <c r="N928" s="31" t="str">
        <f t="shared" si="102"/>
        <v/>
      </c>
      <c r="O928" s="31" t="str">
        <f>IF(OR(B928="",C928=""),"",K928-N928 + IFERROR(E928 / SUMIFS('📅 Resumen Diario'!$D$5:$D$504, '📅 Resumen Diario'!$B$5:$B$504, B928, '📅 Resumen Diario'!$C$5:$C$504, D928) * (SUMIFS('📋 Detalle Diario'!$E$5:$E$489, '📋 Detalle Diario'!$B$5:$B$489, B928, '📋 Detalle Diario'!$C$5:$C$489, D928) * 135 + SUMIFS('📋 Detalle Diario'!$I$5:$I$489, '📋 Detalle Diario'!$B$5:$B$489, B928, '📋 Detalle Diario'!$C$5:$C$489, D928) * 200), 0))</f>
        <v/>
      </c>
      <c r="P928" s="32" t="str">
        <f t="shared" si="103"/>
        <v/>
      </c>
      <c r="Q928" s="33" t="str">
        <f t="shared" si="104"/>
        <v/>
      </c>
    </row>
    <row r="929" spans="2:17" ht="18" customHeight="1" x14ac:dyDescent="0.3">
      <c r="B929" s="26"/>
      <c r="C929" s="28"/>
      <c r="D929" s="27"/>
      <c r="E929" s="29"/>
      <c r="F929" s="29"/>
      <c r="G929" s="29"/>
      <c r="H929" s="30" t="str">
        <f t="shared" si="98"/>
        <v/>
      </c>
      <c r="I929" s="31" t="str">
        <f>IF(OR(B929="",C929=""),"",IFERROR(E929*IF(E929="",0,VLOOKUP(C929,'📦 Precios Proforma'!$B$5:$D$104,IF(D929="DIA",2,3),FALSE)),0))</f>
        <v/>
      </c>
      <c r="J929" s="31" t="str">
        <f t="shared" si="99"/>
        <v/>
      </c>
      <c r="K929" s="31" t="str">
        <f t="shared" si="100"/>
        <v/>
      </c>
      <c r="L929" s="31" t="str">
        <f>IF(OR(B929="",C929=""),"",IFERROR(E929 / SUMIFS('📅 Resumen Diario'!$D$5:$D$504, '📅 Resumen Diario'!$B$5:$B$504, B929, '📅 Resumen Diario'!$C$5:$C$504, D929) * SUMIFS('📅 Resumen Diario'!$K$5:$K$504, '📅 Resumen Diario'!$B$5:$B$504, B929, '📅 Resumen Diario'!$C$5:$C$504, D929), 0))</f>
        <v/>
      </c>
      <c r="M929" s="31" t="str">
        <f t="shared" si="101"/>
        <v/>
      </c>
      <c r="N929" s="31" t="str">
        <f t="shared" si="102"/>
        <v/>
      </c>
      <c r="O929" s="31" t="str">
        <f>IF(OR(B929="",C929=""),"",K929-N929 + IFERROR(E929 / SUMIFS('📅 Resumen Diario'!$D$5:$D$504, '📅 Resumen Diario'!$B$5:$B$504, B929, '📅 Resumen Diario'!$C$5:$C$504, D929) * (SUMIFS('📋 Detalle Diario'!$E$5:$E$489, '📋 Detalle Diario'!$B$5:$B$489, B929, '📋 Detalle Diario'!$C$5:$C$489, D929) * 135 + SUMIFS('📋 Detalle Diario'!$I$5:$I$489, '[1]�� Detalle Diario'!$B$5:$B$489, B929, '📋 Detalle Diario'!$C$5:$C$489, D929) * 200), 0))</f>
        <v/>
      </c>
      <c r="P929" s="32" t="str">
        <f t="shared" si="103"/>
        <v/>
      </c>
      <c r="Q929" s="33" t="str">
        <f t="shared" si="104"/>
        <v/>
      </c>
    </row>
    <row r="930" spans="2:17" ht="18" customHeight="1" x14ac:dyDescent="0.3">
      <c r="B930" s="26"/>
      <c r="C930" s="17"/>
      <c r="D930" s="27"/>
      <c r="E930" s="18"/>
      <c r="F930" s="18"/>
      <c r="G930" s="18"/>
      <c r="H930" s="30" t="str">
        <f t="shared" si="98"/>
        <v/>
      </c>
      <c r="I930" s="31" t="str">
        <f>IF(OR(B930="",C930=""),"",IFERROR(E930*IF(E930="",0,VLOOKUP(C930,'📦 Precios Proforma'!$B$5:$D$104,IF(D930="DIA",2,3),FALSE)),0))</f>
        <v/>
      </c>
      <c r="J930" s="31" t="str">
        <f t="shared" si="99"/>
        <v/>
      </c>
      <c r="K930" s="31" t="str">
        <f t="shared" si="100"/>
        <v/>
      </c>
      <c r="L930" s="31" t="str">
        <f>IF(OR(B930="",C930=""),"",IFERROR(E930 / SUMIFS('📅 Resumen Diario'!$D$5:$D$504, '📅 Resumen Diario'!$B$5:$B$504, B930, '📅 Resumen Diario'!$C$5:$C$504, D930) * SUMIFS('📅 Resumen Diario'!$K$5:$K$504, '📅 Resumen Diario'!$B$5:$B$504, B930, '📅 Resumen Diario'!$C$5:$C$504, D930), 0))</f>
        <v/>
      </c>
      <c r="M930" s="31" t="str">
        <f t="shared" si="101"/>
        <v/>
      </c>
      <c r="N930" s="31" t="str">
        <f t="shared" si="102"/>
        <v/>
      </c>
      <c r="O930" s="31" t="str">
        <f>IF(OR(B930="",C930=""),"",K930-N930 + IFERROR(E930 / SUMIFS('📅 Resumen Diario'!$D$5:$D$504, '📅 Resumen Diario'!$B$5:$B$504, B930, '📅 Resumen Diario'!$C$5:$C$504, D930) * (SUMIFS('📋 Detalle Diario'!$E$5:$E$489, '📋 Detalle Diario'!$B$5:$B$489, B930, '📋 Detalle Diario'!$C$5:$C$489, D930) * 135 + SUMIFS('📋 Detalle Diario'!$I$5:$I$489, '📋 Detalle Diario'!$B$5:$B$489, B930, '📋 Detalle Diario'!$C$5:$C$489, D930) * 200), 0))</f>
        <v/>
      </c>
      <c r="P930" s="32" t="str">
        <f t="shared" si="103"/>
        <v/>
      </c>
      <c r="Q930" s="33" t="str">
        <f t="shared" si="104"/>
        <v/>
      </c>
    </row>
    <row r="931" spans="2:17" ht="18" customHeight="1" x14ac:dyDescent="0.3">
      <c r="B931" s="26"/>
      <c r="C931" s="28"/>
      <c r="D931" s="27"/>
      <c r="E931" s="29"/>
      <c r="F931" s="29"/>
      <c r="G931" s="29"/>
      <c r="H931" s="30" t="str">
        <f t="shared" si="98"/>
        <v/>
      </c>
      <c r="I931" s="31" t="str">
        <f>IF(OR(B931="",C931=""),"",IFERROR(E931*IF(E931="",0,VLOOKUP(C931,'📦 Precios Proforma'!$B$5:$D$104,IF(D931="DIA",2,3),FALSE)),0))</f>
        <v/>
      </c>
      <c r="J931" s="31" t="str">
        <f t="shared" si="99"/>
        <v/>
      </c>
      <c r="K931" s="31" t="str">
        <f t="shared" si="100"/>
        <v/>
      </c>
      <c r="L931" s="31" t="str">
        <f>IF(OR(B931="",C931=""),"",IFERROR(E931 / SUMIFS('📅 Resumen Diario'!$D$5:$D$504, '📅 Resumen Diario'!$B$5:$B$504, B931, '📅 Resumen Diario'!$C$5:$C$504, D931) * SUMIFS('📅 Resumen Diario'!$K$5:$K$504, '📅 Resumen Diario'!$B$5:$B$504, B931, '📅 Resumen Diario'!$C$5:$C$504, D931), 0))</f>
        <v/>
      </c>
      <c r="M931" s="31" t="str">
        <f t="shared" si="101"/>
        <v/>
      </c>
      <c r="N931" s="31" t="str">
        <f t="shared" si="102"/>
        <v/>
      </c>
      <c r="O931" s="31" t="str">
        <f>IF(OR(B931="",C931=""),"",K931-N931 + IFERROR(E931 / SUMIFS('📅 Resumen Diario'!$D$5:$D$504, '📅 Resumen Diario'!$B$5:$B$504, B931, '📅 Resumen Diario'!$C$5:$C$504, D931) * (SUMIFS('📋 Detalle Diario'!$E$5:$E$489, '📋 Detalle Diario'!$B$5:$B$489, B931, '📋 Detalle Diario'!$C$5:$C$489, D931) * 135 + SUMIFS('📋 Detalle Diario'!$I$5:$I$489, '📋 Detalle Diario'!$B$5:$B$489, B931, '📋 Detalle Diario'!$C$5:$C$489, D931) * 200), 0))</f>
        <v/>
      </c>
      <c r="P931" s="32" t="str">
        <f t="shared" si="103"/>
        <v/>
      </c>
      <c r="Q931" s="33" t="str">
        <f t="shared" si="104"/>
        <v/>
      </c>
    </row>
    <row r="932" spans="2:17" ht="18" customHeight="1" x14ac:dyDescent="0.3">
      <c r="B932" s="26"/>
      <c r="C932" s="17"/>
      <c r="D932" s="27"/>
      <c r="E932" s="18"/>
      <c r="F932" s="18"/>
      <c r="G932" s="18"/>
      <c r="H932" s="30" t="str">
        <f t="shared" si="98"/>
        <v/>
      </c>
      <c r="I932" s="31" t="str">
        <f>IF(OR(B932="",C932=""),"",IFERROR(E932*IF(E932="",0,VLOOKUP(C932,'📦 Precios Proforma'!$B$5:$D$104,IF(D932="DIA",2,3),FALSE)),0))</f>
        <v/>
      </c>
      <c r="J932" s="31" t="str">
        <f t="shared" si="99"/>
        <v/>
      </c>
      <c r="K932" s="31" t="str">
        <f t="shared" si="100"/>
        <v/>
      </c>
      <c r="L932" s="31" t="str">
        <f>IF(OR(B932="",C932=""),"",IFERROR(E932 / SUMIFS('📅 Resumen Diario'!$D$5:$D$504, '📅 Resumen Diario'!$B$5:$B$504, B932, '📅 Resumen Diario'!$C$5:$C$504, D932) * SUMIFS('📅 Resumen Diario'!$K$5:$K$504, '📅 Resumen Diario'!$B$5:$B$504, B932, '📅 Resumen Diario'!$C$5:$C$504, D932), 0))</f>
        <v/>
      </c>
      <c r="M932" s="31" t="str">
        <f t="shared" si="101"/>
        <v/>
      </c>
      <c r="N932" s="31" t="str">
        <f t="shared" si="102"/>
        <v/>
      </c>
      <c r="O932" s="31" t="str">
        <f>IF(OR(B932="",C932=""),"",K932-N932 + IFERROR(E932 / SUMIFS('📅 Resumen Diario'!$D$5:$D$504, '📅 Resumen Diario'!$B$5:$B$504, B932, '📅 Resumen Diario'!$C$5:$C$504, D932) * (SUMIFS('📋 Detalle Diario'!$E$5:$E$489, '📋 Detalle Diario'!$B$5:$B$489, B932, '📋 Detalle Diario'!$C$5:$C$489, D932) * 135 + SUMIFS('📋 Detalle Diario'!$I$5:$I$489, '📋 Detalle Diario'!$B$5:$B$489, B932, '📋 Detalle Diario'!$C$5:$C$489, D932) * 200), 0))</f>
        <v/>
      </c>
      <c r="P932" s="32" t="str">
        <f t="shared" si="103"/>
        <v/>
      </c>
      <c r="Q932" s="33" t="str">
        <f t="shared" si="104"/>
        <v/>
      </c>
    </row>
    <row r="933" spans="2:17" ht="18" customHeight="1" x14ac:dyDescent="0.3">
      <c r="B933" s="26"/>
      <c r="C933" s="28"/>
      <c r="D933" s="27"/>
      <c r="E933" s="29"/>
      <c r="F933" s="29"/>
      <c r="G933" s="29"/>
      <c r="H933" s="30" t="str">
        <f t="shared" si="98"/>
        <v/>
      </c>
      <c r="I933" s="31" t="str">
        <f>IF(OR(B933="",C933=""),"",IFERROR(E933*IF(E933="",0,VLOOKUP(C933,'📦 Precios Proforma'!$B$5:$D$104,IF(D933="DIA",2,3),FALSE)),0))</f>
        <v/>
      </c>
      <c r="J933" s="31" t="str">
        <f t="shared" si="99"/>
        <v/>
      </c>
      <c r="K933" s="31" t="str">
        <f t="shared" si="100"/>
        <v/>
      </c>
      <c r="L933" s="31" t="str">
        <f>IF(OR(B933="",C933=""),"",IFERROR(E933 / SUMIFS('📅 Resumen Diario'!$D$5:$D$504, '📅 Resumen Diario'!$B$5:$B$504, B933, '📅 Resumen Diario'!$C$5:$C$504, D933) * SUMIFS('📅 Resumen Diario'!$K$5:$K$504, '📅 Resumen Diario'!$B$5:$B$504, B933, '📅 Resumen Diario'!$C$5:$C$504, D933), 0))</f>
        <v/>
      </c>
      <c r="M933" s="31" t="str">
        <f t="shared" si="101"/>
        <v/>
      </c>
      <c r="N933" s="31" t="str">
        <f t="shared" si="102"/>
        <v/>
      </c>
      <c r="O933" s="31" t="str">
        <f>IF(OR(B933="",C933=""),"",K933-N933 + IFERROR(E933 / SUMIFS('📅 Resumen Diario'!$D$5:$D$504, '📅 Resumen Diario'!$B$5:$B$504, B933, '📅 Resumen Diario'!$C$5:$C$504, D933) * (SUMIFS('📋 Detalle Diario'!$E$5:$E$489, '📋 Detalle Diario'!$B$5:$B$489, B933, '📋 Detalle Diario'!$C$5:$C$489, D933) * 135 + SUMIFS('📋 Detalle Diario'!$I$5:$I$489, '📋 Detalle Diario'!$B$5:$B$489, B933, '📋 Detalle Diario'!$C$5:$C$489, D933) * 200), 0))</f>
        <v/>
      </c>
      <c r="P933" s="32" t="str">
        <f t="shared" si="103"/>
        <v/>
      </c>
      <c r="Q933" s="33" t="str">
        <f t="shared" si="104"/>
        <v/>
      </c>
    </row>
    <row r="934" spans="2:17" ht="18" customHeight="1" x14ac:dyDescent="0.3">
      <c r="B934" s="26"/>
      <c r="C934" s="17"/>
      <c r="D934" s="27"/>
      <c r="E934" s="18"/>
      <c r="F934" s="18"/>
      <c r="G934" s="18"/>
      <c r="H934" s="30" t="str">
        <f t="shared" si="98"/>
        <v/>
      </c>
      <c r="I934" s="31" t="str">
        <f>IF(OR(B934="",C934=""),"",IFERROR(E934*IF(E934="",0,VLOOKUP(C934,'📦 Precios Proforma'!$B$5:$D$104,IF(D934="DIA",2,3),FALSE)),0))</f>
        <v/>
      </c>
      <c r="J934" s="31" t="str">
        <f t="shared" si="99"/>
        <v/>
      </c>
      <c r="K934" s="31" t="str">
        <f t="shared" si="100"/>
        <v/>
      </c>
      <c r="L934" s="31" t="str">
        <f>IF(OR(B934="",C934=""),"",IFERROR(E934 / SUMIFS('📅 Resumen Diario'!$D$5:$D$504, '📅 Resumen Diario'!$B$5:$B$504, B934, '📅 Resumen Diario'!$C$5:$C$504, D934) * SUMIFS('📅 Resumen Diario'!$K$5:$K$504, '📅 Resumen Diario'!$B$5:$B$504, B934, '📅 Resumen Diario'!$C$5:$C$504, D934), 0))</f>
        <v/>
      </c>
      <c r="M934" s="31" t="str">
        <f t="shared" si="101"/>
        <v/>
      </c>
      <c r="N934" s="31" t="str">
        <f t="shared" si="102"/>
        <v/>
      </c>
      <c r="O934" s="31" t="str">
        <f>IF(OR(B934="",C934=""),"",K934-N934 + IFERROR(E934 / SUMIFS('📅 Resumen Diario'!$D$5:$D$504, '📅 Resumen Diario'!$B$5:$B$504, B934, '📅 Resumen Diario'!$C$5:$C$504, D934) * (SUMIFS('📋 Detalle Diario'!$E$5:$E$489, '📋 Detalle Diario'!$B$5:$B$489, B934, '📋 Detalle Diario'!$C$5:$C$489, D934) * 135 + SUMIFS('📋 Detalle Diario'!$I$5:$I$489, '📋 Detalle Diario'!$B$5:$B$489, B934, '📋 Detalle Diario'!$C$5:$C$489, D934) * 200), 0))</f>
        <v/>
      </c>
      <c r="P934" s="32" t="str">
        <f t="shared" si="103"/>
        <v/>
      </c>
      <c r="Q934" s="33" t="str">
        <f t="shared" si="104"/>
        <v/>
      </c>
    </row>
    <row r="935" spans="2:17" ht="18" customHeight="1" x14ac:dyDescent="0.3">
      <c r="B935" s="26"/>
      <c r="C935" s="28"/>
      <c r="D935" s="27"/>
      <c r="E935" s="29"/>
      <c r="F935" s="29"/>
      <c r="G935" s="29"/>
      <c r="H935" s="30" t="str">
        <f t="shared" si="98"/>
        <v/>
      </c>
      <c r="I935" s="31" t="str">
        <f>IF(OR(B935="",C935=""),"",IFERROR(E935*IF(E935="",0,VLOOKUP(C935,'📦 Precios Proforma'!$B$5:$D$104,IF(D935="DIA",2,3),FALSE)),0))</f>
        <v/>
      </c>
      <c r="J935" s="31" t="str">
        <f t="shared" si="99"/>
        <v/>
      </c>
      <c r="K935" s="31" t="str">
        <f t="shared" si="100"/>
        <v/>
      </c>
      <c r="L935" s="31" t="str">
        <f>IF(OR(B935="",C935=""),"",IFERROR(E935 / SUMIFS('📅 Resumen Diario'!$D$5:$D$504, '📅 Resumen Diario'!$B$5:$B$504, B935, '📅 Resumen Diario'!$C$5:$C$504, D935) * SUMIFS('📅 Resumen Diario'!$K$5:$K$504, '📅 Resumen Diario'!$B$5:$B$504, B935, '📅 Resumen Diario'!$C$5:$C$504, D935), 0))</f>
        <v/>
      </c>
      <c r="M935" s="31" t="str">
        <f t="shared" si="101"/>
        <v/>
      </c>
      <c r="N935" s="31" t="str">
        <f t="shared" si="102"/>
        <v/>
      </c>
      <c r="O935" s="31" t="str">
        <f>IF(OR(B935="",C935=""),"",K935-N935 + IFERROR(E935 / SUMIFS('📅 Resumen Diario'!$D$5:$D$504, '📅 Resumen Diario'!$B$5:$B$504, B935, '📅 Resumen Diario'!$C$5:$C$504, D935) * (SUMIFS('📋 Detalle Diario'!$E$5:$E$489, '📋 Detalle Diario'!$B$5:$B$489, B935, '📋 Detalle Diario'!$C$5:$C$489, D935) * 135 + SUMIFS('📋 Detalle Diario'!$I$5:$I$489, '📋 Detalle Diario'!$B$5:$B$489, B935, '📋 Detalle Diario'!$C$5:$C$489, D935) * 200), 0))</f>
        <v/>
      </c>
      <c r="P935" s="32" t="str">
        <f t="shared" si="103"/>
        <v/>
      </c>
      <c r="Q935" s="33" t="str">
        <f t="shared" si="104"/>
        <v/>
      </c>
    </row>
    <row r="936" spans="2:17" ht="18" customHeight="1" x14ac:dyDescent="0.3">
      <c r="B936" s="26"/>
      <c r="C936" s="17"/>
      <c r="D936" s="27"/>
      <c r="E936" s="18"/>
      <c r="F936" s="18"/>
      <c r="G936" s="18"/>
      <c r="H936" s="30" t="str">
        <f t="shared" si="98"/>
        <v/>
      </c>
      <c r="I936" s="31" t="str">
        <f>IF(OR(B936="",C936=""),"",IFERROR(E936*IF(E936="",0,VLOOKUP(C936,'📦 Precios Proforma'!$B$5:$D$104,IF(D936="DIA",2,3),FALSE)),0))</f>
        <v/>
      </c>
      <c r="J936" s="31" t="str">
        <f t="shared" si="99"/>
        <v/>
      </c>
      <c r="K936" s="31" t="str">
        <f t="shared" si="100"/>
        <v/>
      </c>
      <c r="L936" s="31" t="str">
        <f>IF(OR(B936="",C936=""),"",IFERROR(E936 / SUMIFS('📅 Resumen Diario'!$D$5:$D$504, '📅 Resumen Diario'!$B$5:$B$504, B936, '📅 Resumen Diario'!$C$5:$C$504, D936) * SUMIFS('📅 Resumen Diario'!$K$5:$K$504, '📅 Resumen Diario'!$B$5:$B$504, B936, '📅 Resumen Diario'!$C$5:$C$504, D936), 0))</f>
        <v/>
      </c>
      <c r="M936" s="31" t="str">
        <f t="shared" si="101"/>
        <v/>
      </c>
      <c r="N936" s="31" t="str">
        <f t="shared" si="102"/>
        <v/>
      </c>
      <c r="O936" s="31" t="str">
        <f>IF(OR(B936="",C936=""),"",K936-N936 + IFERROR(E936 / SUMIFS('📅 Resumen Diario'!$D$5:$D$504, '📅 Resumen Diario'!$B$5:$B$504, B936, '📅 Resumen Diario'!$C$5:$C$504, D936) * (SUMIFS('📋 Detalle Diario'!$E$5:$E$489, '📋 Detalle Diario'!$B$5:$B$489, B936, '📋 Detalle Diario'!$C$5:$C$489, D936) * 135 + SUMIFS('📋 Detalle Diario'!$I$5:$I$489, '📋 Detalle Diario'!$B$5:$B$489, B936, '📋 Detalle Diario'!$C$5:$C$489, D936) * 200), 0))</f>
        <v/>
      </c>
      <c r="P936" s="32" t="str">
        <f t="shared" si="103"/>
        <v/>
      </c>
      <c r="Q936" s="33" t="str">
        <f t="shared" si="104"/>
        <v/>
      </c>
    </row>
    <row r="937" spans="2:17" ht="18" customHeight="1" x14ac:dyDescent="0.3">
      <c r="B937" s="26"/>
      <c r="C937" s="28"/>
      <c r="D937" s="27"/>
      <c r="E937" s="29"/>
      <c r="F937" s="29"/>
      <c r="G937" s="29"/>
      <c r="H937" s="30" t="str">
        <f t="shared" si="98"/>
        <v/>
      </c>
      <c r="I937" s="31" t="str">
        <f>IF(OR(B937="",C937=""),"",IFERROR(E937*IF(E937="",0,VLOOKUP(C937,'📦 Precios Proforma'!$B$5:$D$104,IF(D937="DIA",2,3),FALSE)),0))</f>
        <v/>
      </c>
      <c r="J937" s="31" t="str">
        <f t="shared" si="99"/>
        <v/>
      </c>
      <c r="K937" s="31" t="str">
        <f t="shared" si="100"/>
        <v/>
      </c>
      <c r="L937" s="31" t="str">
        <f>IF(OR(B937="",C937=""),"",IFERROR(E937 / SUMIFS('📅 Resumen Diario'!$D$5:$D$504, '📅 Resumen Diario'!$B$5:$B$504, B937, '📅 Resumen Diario'!$C$5:$C$504, D937) * SUMIFS('📅 Resumen Diario'!$K$5:$K$504, '📅 Resumen Diario'!$B$5:$B$504, B937, '📅 Resumen Diario'!$C$5:$C$504, D937), 0))</f>
        <v/>
      </c>
      <c r="M937" s="31" t="str">
        <f t="shared" si="101"/>
        <v/>
      </c>
      <c r="N937" s="31" t="str">
        <f t="shared" si="102"/>
        <v/>
      </c>
      <c r="O937" s="31" t="str">
        <f>IF(OR(B937="",C937=""),"",K937-N937 + IFERROR(E937 / SUMIFS('📅 Resumen Diario'!$D$5:$D$504, '📅 Resumen Diario'!$B$5:$B$504, B937, '📅 Resumen Diario'!$C$5:$C$504, D937) * (SUMIFS('📋 Detalle Diario'!$E$5:$E$489, '📋 Detalle Diario'!$B$5:$B$489, B937, '📋 Detalle Diario'!$C$5:$C$489, D937) * 135 + SUMIFS('📋 Detalle Diario'!$I$5:$I$489, '📋 Detalle Diario'!$B$5:$B$489, B937, '📋 Detalle Diario'!$C$5:$C$489, D937) * 200), 0))</f>
        <v/>
      </c>
      <c r="P937" s="32" t="str">
        <f t="shared" si="103"/>
        <v/>
      </c>
      <c r="Q937" s="33" t="str">
        <f t="shared" si="104"/>
        <v/>
      </c>
    </row>
    <row r="938" spans="2:17" ht="18" customHeight="1" x14ac:dyDescent="0.3">
      <c r="B938" s="26"/>
      <c r="C938" s="17"/>
      <c r="D938" s="27"/>
      <c r="E938" s="18"/>
      <c r="F938" s="18"/>
      <c r="G938" s="18"/>
      <c r="H938" s="30" t="str">
        <f t="shared" si="98"/>
        <v/>
      </c>
      <c r="I938" s="31" t="str">
        <f>IF(OR(B938="",C938=""),"",IFERROR(E938*IF(E938="",0,VLOOKUP(C938,'📦 Precios Proforma'!$B$5:$D$104,IF(D938="DIA",2,3),FALSE)),0))</f>
        <v/>
      </c>
      <c r="J938" s="31" t="str">
        <f t="shared" si="99"/>
        <v/>
      </c>
      <c r="K938" s="31" t="str">
        <f t="shared" si="100"/>
        <v/>
      </c>
      <c r="L938" s="31" t="str">
        <f>IF(OR(B938="",C938=""),"",IFERROR(E938 / SUMIFS('📅 Resumen Diario'!$D$5:$D$504, '📅 Resumen Diario'!$B$5:$B$504, B938, '📅 Resumen Diario'!$C$5:$C$504, D938) * SUMIFS('📅 Resumen Diario'!$K$5:$K$504, '📅 Resumen Diario'!$B$5:$B$504, B938, '📅 Resumen Diario'!$C$5:$C$504, D938), 0))</f>
        <v/>
      </c>
      <c r="M938" s="31" t="str">
        <f t="shared" si="101"/>
        <v/>
      </c>
      <c r="N938" s="31" t="str">
        <f t="shared" si="102"/>
        <v/>
      </c>
      <c r="O938" s="31" t="str">
        <f>IF(OR(B938="",C938=""),"",K938-N938 + IFERROR(E938 / SUMIFS('📅 Resumen Diario'!$D$5:$D$504, '📅 Resumen Diario'!$B$5:$B$504, B938, '📅 Resumen Diario'!$C$5:$C$504, D938) * (SUMIFS('📋 Detalle Diario'!$E$5:$E$489, '📋 Detalle Diario'!$B$5:$B$489, B938, '📋 Detalle Diario'!$C$5:$C$489, D938) * 135 + SUMIFS('📋 Detalle Diario'!$I$5:$I$489, '📋 Detalle Diario'!$B$5:$B$489, B938, '📋 Detalle Diario'!$C$5:$C$489, D938) * 200), 0))</f>
        <v/>
      </c>
      <c r="P938" s="32" t="str">
        <f t="shared" si="103"/>
        <v/>
      </c>
      <c r="Q938" s="33" t="str">
        <f t="shared" si="104"/>
        <v/>
      </c>
    </row>
    <row r="939" spans="2:17" ht="18" customHeight="1" x14ac:dyDescent="0.3">
      <c r="B939" s="26"/>
      <c r="C939" s="28"/>
      <c r="D939" s="27"/>
      <c r="E939" s="29"/>
      <c r="F939" s="29"/>
      <c r="G939" s="29"/>
      <c r="H939" s="30" t="str">
        <f t="shared" si="98"/>
        <v/>
      </c>
      <c r="I939" s="31" t="str">
        <f>IF(OR(B939="",C939=""),"",IFERROR(E939*IF(E939="",0,VLOOKUP(C939,'📦 Precios Proforma'!$B$5:$D$104,IF(D939="DIA",2,3),FALSE)),0))</f>
        <v/>
      </c>
      <c r="J939" s="31" t="str">
        <f t="shared" si="99"/>
        <v/>
      </c>
      <c r="K939" s="31" t="str">
        <f t="shared" si="100"/>
        <v/>
      </c>
      <c r="L939" s="31" t="str">
        <f>IF(OR(B939="",C939=""),"",IFERROR(E939 / SUMIFS('📅 Resumen Diario'!$D$5:$D$504, '📅 Resumen Diario'!$B$5:$B$504, B939, '📅 Resumen Diario'!$C$5:$C$504, D939) * SUMIFS('📅 Resumen Diario'!$K$5:$K$504, '📅 Resumen Diario'!$B$5:$B$504, B939, '📅 Resumen Diario'!$C$5:$C$504, D939), 0))</f>
        <v/>
      </c>
      <c r="M939" s="31" t="str">
        <f t="shared" si="101"/>
        <v/>
      </c>
      <c r="N939" s="31" t="str">
        <f t="shared" si="102"/>
        <v/>
      </c>
      <c r="O939" s="31" t="str">
        <f>IF(OR(B939="",C939=""),"",K939-N939 + IFERROR(E939 / SUMIFS('📅 Resumen Diario'!$D$5:$D$504, '📅 Resumen Diario'!$B$5:$B$504, B939, '📅 Resumen Diario'!$C$5:$C$504, D939) * (SUMIFS('📋 Detalle Diario'!$E$5:$E$489, '📋 Detalle Diario'!$B$5:$B$489, B939, '📋 Detalle Diario'!$C$5:$C$489, D939) * 135 + SUMIFS('📋 Detalle Diario'!$I$5:$I$489, '📋 Detalle Diario'!$B$5:$B$489, B939, '📋 Detalle Diario'!$C$5:$C$489, D939) * 200), 0))</f>
        <v/>
      </c>
      <c r="P939" s="32" t="str">
        <f t="shared" si="103"/>
        <v/>
      </c>
      <c r="Q939" s="33" t="str">
        <f t="shared" si="104"/>
        <v/>
      </c>
    </row>
    <row r="940" spans="2:17" ht="18" customHeight="1" x14ac:dyDescent="0.3">
      <c r="B940" s="26"/>
      <c r="C940" s="17"/>
      <c r="D940" s="27"/>
      <c r="E940" s="18"/>
      <c r="F940" s="18"/>
      <c r="G940" s="18"/>
      <c r="H940" s="30" t="str">
        <f t="shared" si="98"/>
        <v/>
      </c>
      <c r="I940" s="31" t="str">
        <f>IF(OR(B940="",C940=""),"",IFERROR(E940*IF(E940="",0,VLOOKUP(C940,'📦 Precios Proforma'!$B$5:$D$104,IF(D940="DIA",2,3),FALSE)),0))</f>
        <v/>
      </c>
      <c r="J940" s="31" t="str">
        <f t="shared" si="99"/>
        <v/>
      </c>
      <c r="K940" s="31" t="str">
        <f t="shared" si="100"/>
        <v/>
      </c>
      <c r="L940" s="31" t="str">
        <f>IF(OR(B940="",C940=""),"",IFERROR(E940 / SUMIFS('📅 Resumen Diario'!$D$5:$D$504, '📅 Resumen Diario'!$B$5:$B$504, B940, '📅 Resumen Diario'!$C$5:$C$504, D940) * SUMIFS('📅 Resumen Diario'!$K$5:$K$504, '📅 Resumen Diario'!$B$5:$B$504, B940, '📅 Resumen Diario'!$C$5:$C$504, D940), 0))</f>
        <v/>
      </c>
      <c r="M940" s="31" t="str">
        <f t="shared" si="101"/>
        <v/>
      </c>
      <c r="N940" s="31" t="str">
        <f t="shared" si="102"/>
        <v/>
      </c>
      <c r="O940" s="31" t="str">
        <f>IF(OR(B940="",C940=""),"",K940-N940 + IFERROR(E940 / SUMIFS('📅 Resumen Diario'!$D$5:$D$504, '📅 Resumen Diario'!$B$5:$B$504, B940, '📅 Resumen Diario'!$C$5:$C$504, D940) * (SUMIFS('📋 Detalle Diario'!$E$5:$E$489, '📋 Detalle Diario'!$B$5:$B$489, B940, '📋 Detalle Diario'!$C$5:$C$489, D940) * 135 + SUMIFS('📋 Detalle Diario'!$I$5:$I$489, '📋 Detalle Diario'!$B$5:$B$489, B940, '📋 Detalle Diario'!$C$5:$C$489, D940) * 200), 0))</f>
        <v/>
      </c>
      <c r="P940" s="32" t="str">
        <f t="shared" si="103"/>
        <v/>
      </c>
      <c r="Q940" s="33" t="str">
        <f t="shared" si="104"/>
        <v/>
      </c>
    </row>
    <row r="941" spans="2:17" ht="18" customHeight="1" x14ac:dyDescent="0.3">
      <c r="B941" s="26"/>
      <c r="C941" s="28"/>
      <c r="D941" s="27"/>
      <c r="E941" s="29"/>
      <c r="F941" s="29"/>
      <c r="G941" s="29"/>
      <c r="H941" s="30" t="str">
        <f t="shared" si="98"/>
        <v/>
      </c>
      <c r="I941" s="31" t="str">
        <f>IF(OR(B941="",C941=""),"",IFERROR(E941*IF(E941="",0,VLOOKUP(C941,'📦 Precios Proforma'!$B$5:$D$104,IF(D941="DIA",2,3),FALSE)),0))</f>
        <v/>
      </c>
      <c r="J941" s="31" t="str">
        <f t="shared" si="99"/>
        <v/>
      </c>
      <c r="K941" s="31" t="str">
        <f t="shared" si="100"/>
        <v/>
      </c>
      <c r="L941" s="31" t="str">
        <f>IF(OR(B941="",C941=""),"",IFERROR(E941 / SUMIFS('📅 Resumen Diario'!$D$5:$D$504, '📅 Resumen Diario'!$B$5:$B$504, B941, '📅 Resumen Diario'!$C$5:$C$504, D941) * SUMIFS('📅 Resumen Diario'!$K$5:$K$504, '📅 Resumen Diario'!$B$5:$B$504, B941, '📅 Resumen Diario'!$C$5:$C$504, D941), 0))</f>
        <v/>
      </c>
      <c r="M941" s="31" t="str">
        <f t="shared" si="101"/>
        <v/>
      </c>
      <c r="N941" s="31" t="str">
        <f t="shared" si="102"/>
        <v/>
      </c>
      <c r="O941" s="31" t="str">
        <f>IF(OR(B941="",C941=""),"",K941-N941 + IFERROR(E941 / SUMIFS('📅 Resumen Diario'!$D$5:$D$504, '📅 Resumen Diario'!$B$5:$B$504, B941, '📅 Resumen Diario'!$C$5:$C$504, D941) * (SUMIFS('📋 Detalle Diario'!$E$5:$E$489, '📋 Detalle Diario'!$B$5:$B$489, B941, '📋 Detalle Diario'!$C$5:$C$489, D941) * 135 + SUMIFS('📋 Detalle Diario'!$I$5:$I$489, '📋 Detalle Diario'!$B$5:$B$489, B941, '📋 Detalle Diario'!$C$5:$C$489, D941) * 200), 0))</f>
        <v/>
      </c>
      <c r="P941" s="32" t="str">
        <f t="shared" si="103"/>
        <v/>
      </c>
      <c r="Q941" s="33" t="str">
        <f t="shared" si="104"/>
        <v/>
      </c>
    </row>
    <row r="942" spans="2:17" ht="18" customHeight="1" x14ac:dyDescent="0.3">
      <c r="B942" s="26"/>
      <c r="C942" s="17"/>
      <c r="D942" s="27"/>
      <c r="E942" s="18"/>
      <c r="F942" s="18"/>
      <c r="G942" s="18"/>
      <c r="H942" s="30" t="str">
        <f t="shared" si="98"/>
        <v/>
      </c>
      <c r="I942" s="31" t="str">
        <f>IF(OR(B942="",C942=""),"",IFERROR(E942*IF(E942="",0,VLOOKUP(C942,'📦 Precios Proforma'!$B$5:$D$104,IF(D942="DIA",2,3),FALSE)),0))</f>
        <v/>
      </c>
      <c r="J942" s="31" t="str">
        <f t="shared" si="99"/>
        <v/>
      </c>
      <c r="K942" s="31" t="str">
        <f t="shared" si="100"/>
        <v/>
      </c>
      <c r="L942" s="31" t="str">
        <f>IF(OR(B942="",C942=""),"",IFERROR(E942 / SUMIFS('📅 Resumen Diario'!$D$5:$D$504, '📅 Resumen Diario'!$B$5:$B$504, B942, '📅 Resumen Diario'!$C$5:$C$504, D942) * SUMIFS('📅 Resumen Diario'!$K$5:$K$504, '📅 Resumen Diario'!$B$5:$B$504, B942, '📅 Resumen Diario'!$C$5:$C$504, D942), 0))</f>
        <v/>
      </c>
      <c r="M942" s="31" t="str">
        <f t="shared" si="101"/>
        <v/>
      </c>
      <c r="N942" s="31" t="str">
        <f t="shared" si="102"/>
        <v/>
      </c>
      <c r="O942" s="31" t="str">
        <f>IF(OR(B942="",C942=""),"",K942-N942 + IFERROR(E942 / SUMIFS('📅 Resumen Diario'!$D$5:$D$504, '📅 Resumen Diario'!$B$5:$B$504, B942, '📅 Resumen Diario'!$C$5:$C$504, D942) * (SUMIFS('📋 Detalle Diario'!$E$5:$E$489, '📋 Detalle Diario'!$B$5:$B$489, B942, '📋 Detalle Diario'!$C$5:$C$489, D942) * 135 + SUMIFS('📋 Detalle Diario'!$I$5:$I$489, '📋 Detalle Diario'!$B$5:$B$489, B942, '📋 Detalle Diario'!$C$5:$C$489, D942) * 200), 0))</f>
        <v/>
      </c>
      <c r="P942" s="32" t="str">
        <f t="shared" si="103"/>
        <v/>
      </c>
      <c r="Q942" s="33" t="str">
        <f t="shared" si="104"/>
        <v/>
      </c>
    </row>
    <row r="943" spans="2:17" ht="18" customHeight="1" x14ac:dyDescent="0.3">
      <c r="B943" s="26"/>
      <c r="C943" s="28"/>
      <c r="D943" s="27"/>
      <c r="E943" s="29"/>
      <c r="F943" s="29"/>
      <c r="G943" s="29"/>
      <c r="H943" s="30" t="str">
        <f t="shared" si="98"/>
        <v/>
      </c>
      <c r="I943" s="31" t="str">
        <f>IF(OR(B943="",C943=""),"",IFERROR(E943*IF(E943="",0,VLOOKUP(C943,'📦 Precios Proforma'!$B$5:$D$104,IF(D943="DIA",2,3),FALSE)),0))</f>
        <v/>
      </c>
      <c r="J943" s="31" t="str">
        <f t="shared" si="99"/>
        <v/>
      </c>
      <c r="K943" s="31" t="str">
        <f t="shared" si="100"/>
        <v/>
      </c>
      <c r="L943" s="31" t="str">
        <f>IF(OR(B943="",C943=""),"",IFERROR(E943 / SUMIFS('📅 Resumen Diario'!$D$5:$D$504, '📅 Resumen Diario'!$B$5:$B$504, B943, '📅 Resumen Diario'!$C$5:$C$504, D943) * SUMIFS('📅 Resumen Diario'!$K$5:$K$504, '📅 Resumen Diario'!$B$5:$B$504, B943, '📅 Resumen Diario'!$C$5:$C$504, D943), 0))</f>
        <v/>
      </c>
      <c r="M943" s="31" t="str">
        <f t="shared" si="101"/>
        <v/>
      </c>
      <c r="N943" s="31" t="str">
        <f t="shared" si="102"/>
        <v/>
      </c>
      <c r="O943" s="31" t="str">
        <f>IF(OR(B943="",C943=""),"",K943-N943 + IFERROR(E943 / SUMIFS('📅 Resumen Diario'!$D$5:$D$504, '📅 Resumen Diario'!$B$5:$B$504, B943, '📅 Resumen Diario'!$C$5:$C$504, D943) * (SUMIFS('📋 Detalle Diario'!$E$5:$E$489, '📋 Detalle Diario'!$B$5:$B$489, B943, '📋 Detalle Diario'!$C$5:$C$489, D943) * 135 + SUMIFS('📋 Detalle Diario'!$I$5:$I$489, '📋 Detalle Diario'!$B$5:$B$489, B943, '📋 Detalle Diario'!$C$5:$C$489, D943) * 200), 0))</f>
        <v/>
      </c>
      <c r="P943" s="32" t="str">
        <f t="shared" si="103"/>
        <v/>
      </c>
      <c r="Q943" s="33" t="str">
        <f t="shared" si="104"/>
        <v/>
      </c>
    </row>
    <row r="944" spans="2:17" ht="18" customHeight="1" x14ac:dyDescent="0.3">
      <c r="B944" s="26"/>
      <c r="C944" s="17"/>
      <c r="D944" s="27"/>
      <c r="E944" s="18"/>
      <c r="F944" s="18"/>
      <c r="G944" s="18"/>
      <c r="H944" s="30" t="str">
        <f t="shared" si="98"/>
        <v/>
      </c>
      <c r="I944" s="31" t="str">
        <f>IF(OR(B944="",C944=""),"",IFERROR(E944*IF(E944="",0,VLOOKUP(C944,'📦 Precios Proforma'!$B$5:$D$104,IF(D944="DIA",2,3),FALSE)),0))</f>
        <v/>
      </c>
      <c r="J944" s="31" t="str">
        <f t="shared" si="99"/>
        <v/>
      </c>
      <c r="K944" s="31" t="str">
        <f t="shared" si="100"/>
        <v/>
      </c>
      <c r="L944" s="31" t="str">
        <f>IF(OR(B944="",C944=""),"",IFERROR(E944 / SUMIFS('📅 Resumen Diario'!$D$5:$D$504, '📅 Resumen Diario'!$B$5:$B$504, B944, '📅 Resumen Diario'!$C$5:$C$504, D944) * SUMIFS('📅 Resumen Diario'!$K$5:$K$504, '📅 Resumen Diario'!$B$5:$B$504, B944, '📅 Resumen Diario'!$C$5:$C$504, D944), 0))</f>
        <v/>
      </c>
      <c r="M944" s="31" t="str">
        <f t="shared" si="101"/>
        <v/>
      </c>
      <c r="N944" s="31" t="str">
        <f t="shared" si="102"/>
        <v/>
      </c>
      <c r="O944" s="31" t="str">
        <f>IF(OR(B944="",C944=""),"",K944-N944 + IFERROR(E944 / SUMIFS('📅 Resumen Diario'!$D$5:$D$504, '📅 Resumen Diario'!$B$5:$B$504, B944, '📅 Resumen Diario'!$C$5:$C$504, D944) * (SUMIFS('📋 Detalle Diario'!$E$5:$E$489, '📋 Detalle Diario'!$B$5:$B$489, B944, '📋 Detalle Diario'!$C$5:$C$489, D944) * 135 + SUMIFS('📋 Detalle Diario'!$I$5:$I$489, '📋 Detalle Diario'!$B$5:$B$489, B944, '📋 Detalle Diario'!$C$5:$C$489, D944) * 200), 0))</f>
        <v/>
      </c>
      <c r="P944" s="32" t="str">
        <f t="shared" si="103"/>
        <v/>
      </c>
      <c r="Q944" s="33" t="str">
        <f t="shared" si="104"/>
        <v/>
      </c>
    </row>
    <row r="945" spans="2:17" ht="18" customHeight="1" x14ac:dyDescent="0.3">
      <c r="B945" s="26"/>
      <c r="C945" s="28"/>
      <c r="D945" s="27"/>
      <c r="E945" s="29"/>
      <c r="F945" s="29"/>
      <c r="G945" s="29"/>
      <c r="H945" s="30" t="str">
        <f t="shared" si="98"/>
        <v/>
      </c>
      <c r="I945" s="31" t="str">
        <f>IF(OR(B945="",C945=""),"",IFERROR(E945*IF(E945="",0,VLOOKUP(C945,'📦 Precios Proforma'!$B$5:$D$104,IF(D945="DIA",2,3),FALSE)),0))</f>
        <v/>
      </c>
      <c r="J945" s="31" t="str">
        <f t="shared" si="99"/>
        <v/>
      </c>
      <c r="K945" s="31" t="str">
        <f t="shared" si="100"/>
        <v/>
      </c>
      <c r="L945" s="31" t="str">
        <f>IF(OR(B945="",C945=""),"",IFERROR(E945 / SUMIFS('📅 Resumen Diario'!$D$5:$D$504, '📅 Resumen Diario'!$B$5:$B$504, B945, '📅 Resumen Diario'!$C$5:$C$504, D945) * SUMIFS('📅 Resumen Diario'!$K$5:$K$504, '📅 Resumen Diario'!$B$5:$B$504, B945, '📅 Resumen Diario'!$C$5:$C$504, D945), 0))</f>
        <v/>
      </c>
      <c r="M945" s="31" t="str">
        <f t="shared" si="101"/>
        <v/>
      </c>
      <c r="N945" s="31" t="str">
        <f t="shared" si="102"/>
        <v/>
      </c>
      <c r="O945" s="31" t="str">
        <f>IF(OR(B945="",C945=""),"",K945-N945 + IFERROR(E945 / SUMIFS('📅 Resumen Diario'!$D$5:$D$504, '📅 Resumen Diario'!$B$5:$B$504, B945, '📅 Resumen Diario'!$C$5:$C$504, D945) * (SUMIFS('📋 Detalle Diario'!$E$5:$E$489, '📋 Detalle Diario'!$B$5:$B$489, B945, '📋 Detalle Diario'!$C$5:$C$489, D945) * 135 + SUMIFS('📋 Detalle Diario'!$I$5:$I$489, '📋 Detalle Diario'!$B$5:$B$489, B945, '📋 Detalle Diario'!$C$5:$C$489, D945) * 200), 0))</f>
        <v/>
      </c>
      <c r="P945" s="32" t="str">
        <f t="shared" si="103"/>
        <v/>
      </c>
      <c r="Q945" s="33" t="str">
        <f t="shared" si="104"/>
        <v/>
      </c>
    </row>
    <row r="946" spans="2:17" ht="18" customHeight="1" x14ac:dyDescent="0.3">
      <c r="B946" s="26"/>
      <c r="C946" s="17"/>
      <c r="D946" s="27"/>
      <c r="E946" s="18"/>
      <c r="F946" s="18"/>
      <c r="G946" s="18"/>
      <c r="H946" s="30" t="str">
        <f t="shared" si="98"/>
        <v/>
      </c>
      <c r="I946" s="31" t="str">
        <f>IF(OR(B946="",C946=""),"",IFERROR(E946*IF(E946="",0,VLOOKUP(C946,'📦 Precios Proforma'!$B$5:$D$104,IF(D946="DIA",2,3),FALSE)),0))</f>
        <v/>
      </c>
      <c r="J946" s="31" t="str">
        <f t="shared" si="99"/>
        <v/>
      </c>
      <c r="K946" s="31" t="str">
        <f t="shared" si="100"/>
        <v/>
      </c>
      <c r="L946" s="31" t="str">
        <f>IF(OR(B946="",C946=""),"",IFERROR(E946 / SUMIFS('📅 Resumen Diario'!$D$5:$D$504, '📅 Resumen Diario'!$B$5:$B$504, B946, '📅 Resumen Diario'!$C$5:$C$504, D946) * SUMIFS('📅 Resumen Diario'!$K$5:$K$504, '📅 Resumen Diario'!$B$5:$B$504, B946, '📅 Resumen Diario'!$C$5:$C$504, D946), 0))</f>
        <v/>
      </c>
      <c r="M946" s="31" t="str">
        <f t="shared" si="101"/>
        <v/>
      </c>
      <c r="N946" s="31" t="str">
        <f t="shared" si="102"/>
        <v/>
      </c>
      <c r="O946" s="31" t="str">
        <f>IF(OR(B946="",C946=""),"",K946-N946 + IFERROR(E946 / SUMIFS('📅 Resumen Diario'!$D$5:$D$504, '📅 Resumen Diario'!$B$5:$B$504, B946, '📅 Resumen Diario'!$C$5:$C$504, D946) * (SUMIFS('📋 Detalle Diario'!$E$5:$E$489, '📋 Detalle Diario'!$B$5:$B$489, B946, '📋 Detalle Diario'!$C$5:$C$489, D946) * 135 + SUMIFS('📋 Detalle Diario'!$I$5:$I$489, '📋 Detalle Diario'!$B$5:$B$489, B946, '📋 Detalle Diario'!$C$5:$C$489, D946) * 200), 0))</f>
        <v/>
      </c>
      <c r="P946" s="32" t="str">
        <f t="shared" si="103"/>
        <v/>
      </c>
      <c r="Q946" s="33" t="str">
        <f t="shared" si="104"/>
        <v/>
      </c>
    </row>
    <row r="947" spans="2:17" ht="18" customHeight="1" x14ac:dyDescent="0.3">
      <c r="B947" s="26"/>
      <c r="C947" s="28"/>
      <c r="D947" s="27"/>
      <c r="E947" s="29"/>
      <c r="F947" s="29"/>
      <c r="G947" s="29"/>
      <c r="H947" s="30" t="str">
        <f t="shared" si="98"/>
        <v/>
      </c>
      <c r="I947" s="31" t="str">
        <f>IF(OR(B947="",C947=""),"",IFERROR(E947*IF(E947="",0,VLOOKUP(C947,'📦 Precios Proforma'!$B$5:$D$104,IF(D947="DIA",2,3),FALSE)),0))</f>
        <v/>
      </c>
      <c r="J947" s="31" t="str">
        <f t="shared" si="99"/>
        <v/>
      </c>
      <c r="K947" s="31" t="str">
        <f t="shared" si="100"/>
        <v/>
      </c>
      <c r="L947" s="31" t="str">
        <f>IF(OR(B947="",C947=""),"",IFERROR(E947 / SUMIFS('📅 Resumen Diario'!$D$5:$D$504, '📅 Resumen Diario'!$B$5:$B$504, B947, '📅 Resumen Diario'!$C$5:$C$504, D947) * SUMIFS('📅 Resumen Diario'!$K$5:$K$504, '📅 Resumen Diario'!$B$5:$B$504, B947, '📅 Resumen Diario'!$C$5:$C$504, D947), 0))</f>
        <v/>
      </c>
      <c r="M947" s="31" t="str">
        <f t="shared" si="101"/>
        <v/>
      </c>
      <c r="N947" s="31" t="str">
        <f t="shared" si="102"/>
        <v/>
      </c>
      <c r="O947" s="31" t="str">
        <f>IF(OR(B947="",C947=""),"",K947-N947 + IFERROR(E947 / SUMIFS('📅 Resumen Diario'!$D$5:$D$504, '📅 Resumen Diario'!$B$5:$B$504, B947, '📅 Resumen Diario'!$C$5:$C$504, D947) * (SUMIFS('📋 Detalle Diario'!$E$5:$E$489, '📋 Detalle Diario'!$B$5:$B$489, B947, '📋 Detalle Diario'!$C$5:$C$489, D947) * 135 + SUMIFS('📋 Detalle Diario'!$I$5:$I$489, '📋 Detalle Diario'!$B$5:$B$489, B947, '📋 Detalle Diario'!$C$5:$C$489, D947) * 200), 0))</f>
        <v/>
      </c>
      <c r="P947" s="32" t="str">
        <f t="shared" si="103"/>
        <v/>
      </c>
      <c r="Q947" s="33" t="str">
        <f t="shared" si="104"/>
        <v/>
      </c>
    </row>
    <row r="948" spans="2:17" ht="18" customHeight="1" x14ac:dyDescent="0.3">
      <c r="B948" s="26"/>
      <c r="C948" s="17"/>
      <c r="D948" s="27"/>
      <c r="E948" s="18"/>
      <c r="F948" s="18"/>
      <c r="G948" s="18"/>
      <c r="H948" s="30" t="str">
        <f t="shared" si="98"/>
        <v/>
      </c>
      <c r="I948" s="31" t="str">
        <f>IF(OR(B948="",C948=""),"",IFERROR(E948*IF(E948="",0,VLOOKUP(C948,'📦 Precios Proforma'!$B$5:$D$104,IF(D948="DIA",2,3),FALSE)),0))</f>
        <v/>
      </c>
      <c r="J948" s="31" t="str">
        <f t="shared" si="99"/>
        <v/>
      </c>
      <c r="K948" s="31" t="str">
        <f t="shared" si="100"/>
        <v/>
      </c>
      <c r="L948" s="31" t="str">
        <f>IF(OR(B948="",C948=""),"",IFERROR(E948 / SUMIFS('📅 Resumen Diario'!$D$5:$D$504, '📅 Resumen Diario'!$B$5:$B$504, B948, '📅 Resumen Diario'!$C$5:$C$504, D948) * SUMIFS('📅 Resumen Diario'!$K$5:$K$504, '📅 Resumen Diario'!$B$5:$B$504, B948, '📅 Resumen Diario'!$C$5:$C$504, D948), 0))</f>
        <v/>
      </c>
      <c r="M948" s="31" t="str">
        <f t="shared" si="101"/>
        <v/>
      </c>
      <c r="N948" s="31" t="str">
        <f t="shared" si="102"/>
        <v/>
      </c>
      <c r="O948" s="31" t="str">
        <f>IF(OR(B948="",C948=""),"",K948-N948 + IFERROR(E948 / SUMIFS('📅 Resumen Diario'!$D$5:$D$504, '📅 Resumen Diario'!$B$5:$B$504, B948, '📅 Resumen Diario'!$C$5:$C$504, D948) * (SUMIFS('📋 Detalle Diario'!$E$5:$E$489, '📋 Detalle Diario'!$B$5:$B$489, B948, '📋 Detalle Diario'!$C$5:$C$489, D948) * 135 + SUMIFS('📋 Detalle Diario'!$I$5:$I$489, '📋 Detalle Diario'!$B$5:$B$489, B948, '📋 Detalle Diario'!$C$5:$C$489, D948) * 200), 0))</f>
        <v/>
      </c>
      <c r="P948" s="32" t="str">
        <f t="shared" si="103"/>
        <v/>
      </c>
      <c r="Q948" s="33" t="str">
        <f t="shared" si="104"/>
        <v/>
      </c>
    </row>
    <row r="949" spans="2:17" ht="18" customHeight="1" x14ac:dyDescent="0.3">
      <c r="B949" s="26"/>
      <c r="C949" s="28"/>
      <c r="D949" s="27"/>
      <c r="E949" s="29"/>
      <c r="F949" s="29"/>
      <c r="G949" s="29"/>
      <c r="H949" s="30" t="str">
        <f t="shared" si="98"/>
        <v/>
      </c>
      <c r="I949" s="31" t="str">
        <f>IF(OR(B949="",C949=""),"",IFERROR(E949*IF(E949="",0,VLOOKUP(C949,'📦 Precios Proforma'!$B$5:$D$104,IF(D949="DIA",2,3),FALSE)),0))</f>
        <v/>
      </c>
      <c r="J949" s="31" t="str">
        <f t="shared" si="99"/>
        <v/>
      </c>
      <c r="K949" s="31" t="str">
        <f t="shared" si="100"/>
        <v/>
      </c>
      <c r="L949" s="31" t="str">
        <f>IF(OR(B949="",C949=""),"",IFERROR(E949 / SUMIFS('📅 Resumen Diario'!$D$5:$D$504, '📅 Resumen Diario'!$B$5:$B$504, B949, '📅 Resumen Diario'!$C$5:$C$504, D949) * SUMIFS('📅 Resumen Diario'!$K$5:$K$504, '📅 Resumen Diario'!$B$5:$B$504, B949, '📅 Resumen Diario'!$C$5:$C$504, D949), 0))</f>
        <v/>
      </c>
      <c r="M949" s="31" t="str">
        <f t="shared" si="101"/>
        <v/>
      </c>
      <c r="N949" s="31" t="str">
        <f t="shared" si="102"/>
        <v/>
      </c>
      <c r="O949" s="31" t="str">
        <f>IF(OR(B949="",C949=""),"",K949-N949 + IFERROR(E949 / SUMIFS('📅 Resumen Diario'!$D$5:$D$504, '📅 Resumen Diario'!$B$5:$B$504, B949, '📅 Resumen Diario'!$C$5:$C$504, D949) * (SUMIFS('📋 Detalle Diario'!$E$5:$E$489, '📋 Detalle Diario'!$B$5:$B$489, B949, '📋 Detalle Diario'!$C$5:$C$489, D949) * 135 + SUMIFS('📋 Detalle Diario'!$I$5:$I$489, '📋 Detalle Diario'!$B$5:$B$489, B949, '📋 Detalle Diario'!$C$5:$C$489, D949) * 200), 0))</f>
        <v/>
      </c>
      <c r="P949" s="32" t="str">
        <f t="shared" si="103"/>
        <v/>
      </c>
      <c r="Q949" s="33" t="str">
        <f t="shared" si="104"/>
        <v/>
      </c>
    </row>
    <row r="950" spans="2:17" ht="18" customHeight="1" x14ac:dyDescent="0.3">
      <c r="B950" s="26"/>
      <c r="C950" s="17"/>
      <c r="D950" s="27"/>
      <c r="E950" s="18"/>
      <c r="F950" s="18"/>
      <c r="G950" s="18"/>
      <c r="H950" s="30" t="str">
        <f t="shared" si="98"/>
        <v/>
      </c>
      <c r="I950" s="31" t="str">
        <f>IF(OR(B950="",C950=""),"",IFERROR(E950*IF(E950="",0,VLOOKUP(C950,'📦 Precios Proforma'!$B$5:$D$104,IF(D950="DIA",2,3),FALSE)),0))</f>
        <v/>
      </c>
      <c r="J950" s="31" t="str">
        <f t="shared" si="99"/>
        <v/>
      </c>
      <c r="K950" s="31" t="str">
        <f t="shared" si="100"/>
        <v/>
      </c>
      <c r="L950" s="31" t="str">
        <f>IF(OR(B950="",C950=""),"",IFERROR(E950 / SUMIFS('📅 Resumen Diario'!$D$5:$D$504, '📅 Resumen Diario'!$B$5:$B$504, B950, '📅 Resumen Diario'!$C$5:$C$504, D950) * SUMIFS('📅 Resumen Diario'!$K$5:$K$504, '📅 Resumen Diario'!$B$5:$B$504, B950, '📅 Resumen Diario'!$C$5:$C$504, D950), 0))</f>
        <v/>
      </c>
      <c r="M950" s="31" t="str">
        <f t="shared" si="101"/>
        <v/>
      </c>
      <c r="N950" s="31" t="str">
        <f t="shared" si="102"/>
        <v/>
      </c>
      <c r="O950" s="31" t="str">
        <f>IF(OR(B950="",C950=""),"",K950-N950 + IFERROR(E950 / SUMIFS('📅 Resumen Diario'!$D$5:$D$504, '📅 Resumen Diario'!$B$5:$B$504, B950, '📅 Resumen Diario'!$C$5:$C$504, D950) * (SUMIFS('📋 Detalle Diario'!$E$5:$E$489, '📋 Detalle Diario'!$B$5:$B$489, B950, '📋 Detalle Diario'!$C$5:$C$489, D950) * 135 + SUMIFS('📋 Detalle Diario'!$I$5:$I$489, '📋 Detalle Diario'!$B$5:$B$489, B950, '📋 Detalle Diario'!$C$5:$C$489, D950) * 200), 0))</f>
        <v/>
      </c>
      <c r="P950" s="32" t="str">
        <f t="shared" si="103"/>
        <v/>
      </c>
      <c r="Q950" s="33" t="str">
        <f t="shared" si="104"/>
        <v/>
      </c>
    </row>
    <row r="951" spans="2:17" ht="18" customHeight="1" x14ac:dyDescent="0.3">
      <c r="B951" s="26"/>
      <c r="C951" s="28"/>
      <c r="D951" s="27"/>
      <c r="E951" s="29"/>
      <c r="F951" s="29"/>
      <c r="G951" s="29"/>
      <c r="H951" s="30" t="str">
        <f t="shared" si="98"/>
        <v/>
      </c>
      <c r="I951" s="31" t="str">
        <f>IF(OR(B951="",C951=""),"",IFERROR(E951*IF(E951="",0,VLOOKUP(C951,'📦 Precios Proforma'!$B$5:$D$104,IF(D951="DIA",2,3),FALSE)),0))</f>
        <v/>
      </c>
      <c r="J951" s="31" t="str">
        <f t="shared" si="99"/>
        <v/>
      </c>
      <c r="K951" s="31" t="str">
        <f t="shared" si="100"/>
        <v/>
      </c>
      <c r="L951" s="31" t="str">
        <f>IF(OR(B951="",C951=""),"",IFERROR(E951 / SUMIFS('📅 Resumen Diario'!$D$5:$D$504, '📅 Resumen Diario'!$B$5:$B$504, B951, '📅 Resumen Diario'!$C$5:$C$504, D951) * SUMIFS('📅 Resumen Diario'!$K$5:$K$504, '📅 Resumen Diario'!$B$5:$B$504, B951, '📅 Resumen Diario'!$C$5:$C$504, D951), 0))</f>
        <v/>
      </c>
      <c r="M951" s="31" t="str">
        <f t="shared" si="101"/>
        <v/>
      </c>
      <c r="N951" s="31" t="str">
        <f t="shared" si="102"/>
        <v/>
      </c>
      <c r="O951" s="31" t="str">
        <f>IF(OR(B951="",C951=""),"",K951-N951 + IFERROR(E951 / SUMIFS('📅 Resumen Diario'!$D$5:$D$504, '📅 Resumen Diario'!$B$5:$B$504, B951, '📅 Resumen Diario'!$C$5:$C$504, D951) * (SUMIFS('📋 Detalle Diario'!$E$5:$E$489, '📋 Detalle Diario'!$B$5:$B$489, B951, '📋 Detalle Diario'!$C$5:$C$489, D951) * 135 + SUMIFS('📋 Detalle Diario'!$I$5:$I$489, '📋 Detalle Diario'!$B$5:$B$489, B951, '📋 Detalle Diario'!$C$5:$C$489, D951) * 200), 0))</f>
        <v/>
      </c>
      <c r="P951" s="32" t="str">
        <f t="shared" si="103"/>
        <v/>
      </c>
      <c r="Q951" s="33" t="str">
        <f t="shared" si="104"/>
        <v/>
      </c>
    </row>
    <row r="952" spans="2:17" ht="18" customHeight="1" x14ac:dyDescent="0.3">
      <c r="B952" s="26"/>
      <c r="C952" s="17"/>
      <c r="D952" s="27"/>
      <c r="E952" s="18"/>
      <c r="F952" s="18"/>
      <c r="G952" s="18"/>
      <c r="H952" s="30" t="str">
        <f t="shared" si="98"/>
        <v/>
      </c>
      <c r="I952" s="31" t="str">
        <f>IF(OR(B952="",C952=""),"",IFERROR(E952*IF(E952="",0,VLOOKUP(C952,'📦 Precios Proforma'!$B$5:$D$104,IF(D952="DIA",2,3),FALSE)),0))</f>
        <v/>
      </c>
      <c r="J952" s="31" t="str">
        <f t="shared" si="99"/>
        <v/>
      </c>
      <c r="K952" s="31" t="str">
        <f t="shared" si="100"/>
        <v/>
      </c>
      <c r="L952" s="31" t="str">
        <f>IF(OR(B952="",C952=""),"",IFERROR(E952 / SUMIFS('📅 Resumen Diario'!$D$5:$D$504, '📅 Resumen Diario'!$B$5:$B$504, B952, '📅 Resumen Diario'!$C$5:$C$504, D952) * SUMIFS('📅 Resumen Diario'!$K$5:$K$504, '📅 Resumen Diario'!$B$5:$B$504, B952, '📅 Resumen Diario'!$C$5:$C$504, D952), 0))</f>
        <v/>
      </c>
      <c r="M952" s="31" t="str">
        <f t="shared" si="101"/>
        <v/>
      </c>
      <c r="N952" s="31" t="str">
        <f t="shared" si="102"/>
        <v/>
      </c>
      <c r="O952" s="31" t="str">
        <f>IF(OR(B952="",C952=""),"",K952-N952 + IFERROR(E952 / SUMIFS('📅 Resumen Diario'!$D$5:$D$504, '📅 Resumen Diario'!$B$5:$B$504, B952, '📅 Resumen Diario'!$C$5:$C$504, D952) * (SUMIFS('📋 Detalle Diario'!$E$5:$E$489, '📋 Detalle Diario'!$B$5:$B$489, B952, '📋 Detalle Diario'!$C$5:$C$489, D952) * 135 + SUMIFS('📋 Detalle Diario'!$I$5:$I$489, '📋 Detalle Diario'!$B$5:$B$489, B952, '📋 Detalle Diario'!$C$5:$C$489, D952) * 200), 0))</f>
        <v/>
      </c>
      <c r="P952" s="32" t="str">
        <f t="shared" si="103"/>
        <v/>
      </c>
      <c r="Q952" s="33" t="str">
        <f t="shared" si="104"/>
        <v/>
      </c>
    </row>
    <row r="953" spans="2:17" ht="18" customHeight="1" x14ac:dyDescent="0.3">
      <c r="B953" s="26"/>
      <c r="C953" s="28"/>
      <c r="D953" s="27"/>
      <c r="E953" s="29"/>
      <c r="F953" s="29"/>
      <c r="G953" s="29"/>
      <c r="H953" s="30" t="str">
        <f t="shared" si="98"/>
        <v/>
      </c>
      <c r="I953" s="31" t="str">
        <f>IF(OR(B953="",C953=""),"",IFERROR(E953*IF(E953="",0,VLOOKUP(C953,'📦 Precios Proforma'!$B$5:$D$104,IF(D953="DIA",2,3),FALSE)),0))</f>
        <v/>
      </c>
      <c r="J953" s="31" t="str">
        <f t="shared" si="99"/>
        <v/>
      </c>
      <c r="K953" s="31" t="str">
        <f t="shared" si="100"/>
        <v/>
      </c>
      <c r="L953" s="31" t="str">
        <f>IF(OR(B953="",C953=""),"",IFERROR(E953 / SUMIFS('📅 Resumen Diario'!$D$5:$D$504, '📅 Resumen Diario'!$B$5:$B$504, B953, '📅 Resumen Diario'!$C$5:$C$504, D953) * SUMIFS('📅 Resumen Diario'!$K$5:$K$504, '📅 Resumen Diario'!$B$5:$B$504, B953, '📅 Resumen Diario'!$C$5:$C$504, D953), 0))</f>
        <v/>
      </c>
      <c r="M953" s="31" t="str">
        <f t="shared" si="101"/>
        <v/>
      </c>
      <c r="N953" s="31" t="str">
        <f t="shared" si="102"/>
        <v/>
      </c>
      <c r="O953" s="31" t="str">
        <f>IF(OR(B953="",C953=""),"",K953-N953 + IFERROR(E953 / SUMIFS('📅 Resumen Diario'!$D$5:$D$504, '📅 Resumen Diario'!$B$5:$B$504, B953, '📅 Resumen Diario'!$C$5:$C$504, D953) * (SUMIFS('📋 Detalle Diario'!$E$5:$E$489, '📋 Detalle Diario'!$B$5:$B$489, B953, '📋 Detalle Diario'!$C$5:$C$489, D953) * 135 + SUMIFS('📋 Detalle Diario'!$I$5:$I$489, '📋 Detalle Diario'!$B$5:$B$489, B953, '📋 Detalle Diario'!$C$5:$C$489, D953) * 200), 0))</f>
        <v/>
      </c>
      <c r="P953" s="32" t="str">
        <f t="shared" si="103"/>
        <v/>
      </c>
      <c r="Q953" s="33" t="str">
        <f t="shared" si="104"/>
        <v/>
      </c>
    </row>
    <row r="954" spans="2:17" ht="18" customHeight="1" x14ac:dyDescent="0.3">
      <c r="B954" s="26"/>
      <c r="C954" s="17"/>
      <c r="D954" s="27"/>
      <c r="E954" s="18"/>
      <c r="F954" s="18"/>
      <c r="G954" s="18"/>
      <c r="H954" s="30" t="str">
        <f t="shared" si="98"/>
        <v/>
      </c>
      <c r="I954" s="31" t="str">
        <f>IF(OR(B954="",C954=""),"",IFERROR(E954*IF(E954="",0,VLOOKUP(C954,'📦 Precios Proforma'!$B$5:$D$104,IF(D954="DIA",2,3),FALSE)),0))</f>
        <v/>
      </c>
      <c r="J954" s="31" t="str">
        <f t="shared" si="99"/>
        <v/>
      </c>
      <c r="K954" s="31" t="str">
        <f t="shared" si="100"/>
        <v/>
      </c>
      <c r="L954" s="31" t="str">
        <f>IF(OR(B954="",C954=""),"",IFERROR(E954 / SUMIFS('📅 Resumen Diario'!$D$5:$D$504, '📅 Resumen Diario'!$B$5:$B$504, B954, '📅 Resumen Diario'!$C$5:$C$504, D954) * SUMIFS('📅 Resumen Diario'!$K$5:$K$504, '📅 Resumen Diario'!$B$5:$B$504, B954, '📅 Resumen Diario'!$C$5:$C$504, D954), 0))</f>
        <v/>
      </c>
      <c r="M954" s="31" t="str">
        <f t="shared" si="101"/>
        <v/>
      </c>
      <c r="N954" s="31" t="str">
        <f t="shared" si="102"/>
        <v/>
      </c>
      <c r="O954" s="31" t="str">
        <f>IF(OR(B954="",C954=""),"",K954-N954 + IFERROR(E954 / SUMIFS('📅 Resumen Diario'!$D$5:$D$504, '📅 Resumen Diario'!$B$5:$B$504, B954, '📅 Resumen Diario'!$C$5:$C$504, D954) * (SUMIFS('📋 Detalle Diario'!$E$5:$E$489, '📋 Detalle Diario'!$B$5:$B$489, B954, '📋 Detalle Diario'!$C$5:$C$489, D954) * 135 + SUMIFS('📋 Detalle Diario'!$I$5:$I$489, '📋 Detalle Diario'!$B$5:$B$489, B954, '📋 Detalle Diario'!$C$5:$C$489, D954) * 200), 0))</f>
        <v/>
      </c>
      <c r="P954" s="32" t="str">
        <f t="shared" si="103"/>
        <v/>
      </c>
      <c r="Q954" s="33" t="str">
        <f t="shared" si="104"/>
        <v/>
      </c>
    </row>
    <row r="955" spans="2:17" ht="18" customHeight="1" x14ac:dyDescent="0.3">
      <c r="B955" s="26"/>
      <c r="C955" s="28"/>
      <c r="D955" s="27"/>
      <c r="E955" s="29"/>
      <c r="F955" s="29"/>
      <c r="G955" s="29"/>
      <c r="H955" s="30" t="str">
        <f t="shared" si="98"/>
        <v/>
      </c>
      <c r="I955" s="31" t="str">
        <f>IF(OR(B955="",C955=""),"",IFERROR(E955*IF(E955="",0,VLOOKUP(C955,'📦 Precios Proforma'!$B$5:$D$104,IF(D955="DIA",2,3),FALSE)),0))</f>
        <v/>
      </c>
      <c r="J955" s="31" t="str">
        <f t="shared" si="99"/>
        <v/>
      </c>
      <c r="K955" s="31" t="str">
        <f t="shared" si="100"/>
        <v/>
      </c>
      <c r="L955" s="31" t="str">
        <f>IF(OR(B955="",C955=""),"",IFERROR(E955 / SUMIFS('📅 Resumen Diario'!$D$5:$D$504, '📅 Resumen Diario'!$B$5:$B$504, B955, '📅 Resumen Diario'!$C$5:$C$504, D955) * SUMIFS('📅 Resumen Diario'!$K$5:$K$504, '📅 Resumen Diario'!$B$5:$B$504, B955, '📅 Resumen Diario'!$C$5:$C$504, D955), 0))</f>
        <v/>
      </c>
      <c r="M955" s="31" t="str">
        <f t="shared" si="101"/>
        <v/>
      </c>
      <c r="N955" s="31" t="str">
        <f t="shared" si="102"/>
        <v/>
      </c>
      <c r="O955" s="31" t="str">
        <f>IF(OR(B955="",C955=""),"",K955-N955 + IFERROR(E955 / SUMIFS('📅 Resumen Diario'!$D$5:$D$504, '📅 Resumen Diario'!$B$5:$B$504, B955, '📅 Resumen Diario'!$C$5:$C$504, D955) * (SUMIFS('📋 Detalle Diario'!$E$5:$E$489, '📋 Detalle Diario'!$B$5:$B$489, B955, '📋 Detalle Diario'!$C$5:$C$489, D955) * 135 + SUMIFS('📋 Detalle Diario'!$I$5:$I$489, '📋 Detalle Diario'!$B$5:$B$489, B955, '📋 Detalle Diario'!$C$5:$C$489, D955) * 200), 0))</f>
        <v/>
      </c>
      <c r="P955" s="32" t="str">
        <f t="shared" si="103"/>
        <v/>
      </c>
      <c r="Q955" s="33" t="str">
        <f t="shared" si="104"/>
        <v/>
      </c>
    </row>
    <row r="956" spans="2:17" ht="18" customHeight="1" x14ac:dyDescent="0.3">
      <c r="B956" s="26"/>
      <c r="C956" s="17"/>
      <c r="D956" s="27"/>
      <c r="E956" s="18"/>
      <c r="F956" s="18"/>
      <c r="G956" s="18"/>
      <c r="H956" s="30" t="str">
        <f t="shared" si="98"/>
        <v/>
      </c>
      <c r="I956" s="31" t="str">
        <f>IF(OR(B956="",C956=""),"",IFERROR(E956*IF(E956="",0,VLOOKUP(C956,'📦 Precios Proforma'!$B$5:$D$104,IF(D956="DIA",2,3),FALSE)),0))</f>
        <v/>
      </c>
      <c r="J956" s="31" t="str">
        <f t="shared" si="99"/>
        <v/>
      </c>
      <c r="K956" s="31" t="str">
        <f t="shared" si="100"/>
        <v/>
      </c>
      <c r="L956" s="31" t="str">
        <f>IF(OR(B956="",C956=""),"",IFERROR(E956 / SUMIFS('📅 Resumen Diario'!$D$5:$D$504, '📅 Resumen Diario'!$B$5:$B$504, B956, '📅 Resumen Diario'!$C$5:$C$504, D956) * SUMIFS('📅 Resumen Diario'!$K$5:$K$504, '📅 Resumen Diario'!$B$5:$B$504, B956, '📅 Resumen Diario'!$C$5:$C$504, D956), 0))</f>
        <v/>
      </c>
      <c r="M956" s="31" t="str">
        <f t="shared" si="101"/>
        <v/>
      </c>
      <c r="N956" s="31" t="str">
        <f t="shared" si="102"/>
        <v/>
      </c>
      <c r="O956" s="31" t="str">
        <f>IF(OR(B956="",C956=""),"",K956-N956 + IFERROR(E956 / SUMIFS('📅 Resumen Diario'!$D$5:$D$504, '📅 Resumen Diario'!$B$5:$B$504, B956, '📅 Resumen Diario'!$C$5:$C$504, D956) * (SUMIFS('📋 Detalle Diario'!$E$5:$E$489, '📋 Detalle Diario'!$B$5:$B$489, B956, '📋 Detalle Diario'!$C$5:$C$489, D956) * 135 + SUMIFS('📋 Detalle Diario'!$I$5:$I$489, '📋 Detalle Diario'!$B$5:$B$489, B956, '📋 Detalle Diario'!$C$5:$C$489, D956) * 200), 0))</f>
        <v/>
      </c>
      <c r="P956" s="32" t="str">
        <f t="shared" si="103"/>
        <v/>
      </c>
      <c r="Q956" s="33" t="str">
        <f t="shared" si="104"/>
        <v/>
      </c>
    </row>
    <row r="957" spans="2:17" ht="18" customHeight="1" x14ac:dyDescent="0.3">
      <c r="B957" s="26"/>
      <c r="C957" s="28"/>
      <c r="D957" s="27"/>
      <c r="E957" s="29"/>
      <c r="F957" s="29"/>
      <c r="G957" s="29"/>
      <c r="H957" s="30" t="str">
        <f t="shared" si="98"/>
        <v/>
      </c>
      <c r="I957" s="31" t="str">
        <f>IF(OR(B957="",C957=""),"",IFERROR(E957*IF(E957="",0,VLOOKUP(C957,'📦 Precios Proforma'!$B$5:$D$104,IF(D957="DIA",2,3),FALSE)),0))</f>
        <v/>
      </c>
      <c r="J957" s="31" t="str">
        <f t="shared" si="99"/>
        <v/>
      </c>
      <c r="K957" s="31" t="str">
        <f t="shared" si="100"/>
        <v/>
      </c>
      <c r="L957" s="31" t="str">
        <f>IF(OR(B957="",C957=""),"",IFERROR(E957 / SUMIFS('📅 Resumen Diario'!$D$5:$D$504, '📅 Resumen Diario'!$B$5:$B$504, B957, '📅 Resumen Diario'!$C$5:$C$504, D957) * SUMIFS('📅 Resumen Diario'!$K$5:$K$504, '📅 Resumen Diario'!$B$5:$B$504, B957, '📅 Resumen Diario'!$C$5:$C$504, D957), 0))</f>
        <v/>
      </c>
      <c r="M957" s="31" t="str">
        <f t="shared" si="101"/>
        <v/>
      </c>
      <c r="N957" s="31" t="str">
        <f t="shared" si="102"/>
        <v/>
      </c>
      <c r="O957" s="31" t="str">
        <f>IF(OR(B957="",C957=""),"",K957-N957 + IFERROR(E957 / SUMIFS('📅 Resumen Diario'!$D$5:$D$504, '📅 Resumen Diario'!$B$5:$B$504, B957, '📅 Resumen Diario'!$C$5:$C$504, D957) * (SUMIFS('📋 Detalle Diario'!$E$5:$E$489, '📋 Detalle Diario'!$B$5:$B$489, B957, '📋 Detalle Diario'!$C$5:$C$489, D957) * 135 + SUMIFS('📋 Detalle Diario'!$I$5:$I$489, '📋 Detalle Diario'!$B$5:$B$489, B957, '📋 Detalle Diario'!$C$5:$C$489, D957) * 200), 0))</f>
        <v/>
      </c>
      <c r="P957" s="32" t="str">
        <f t="shared" si="103"/>
        <v/>
      </c>
      <c r="Q957" s="33" t="str">
        <f t="shared" si="104"/>
        <v/>
      </c>
    </row>
    <row r="958" spans="2:17" ht="18" customHeight="1" x14ac:dyDescent="0.3">
      <c r="B958" s="26"/>
      <c r="C958" s="17"/>
      <c r="D958" s="27"/>
      <c r="E958" s="18"/>
      <c r="F958" s="18"/>
      <c r="G958" s="18"/>
      <c r="H958" s="30" t="str">
        <f t="shared" si="98"/>
        <v/>
      </c>
      <c r="I958" s="31" t="str">
        <f>IF(OR(B958="",C958=""),"",IFERROR(E958*IF(E958="",0,VLOOKUP(C958,'📦 Precios Proforma'!$B$5:$D$104,IF(D958="DIA",2,3),FALSE)),0))</f>
        <v/>
      </c>
      <c r="J958" s="31" t="str">
        <f t="shared" si="99"/>
        <v/>
      </c>
      <c r="K958" s="31" t="str">
        <f t="shared" si="100"/>
        <v/>
      </c>
      <c r="L958" s="31" t="str">
        <f>IF(OR(B958="",C958=""),"",IFERROR(E958 / SUMIFS('📅 Resumen Diario'!$D$5:$D$504, '📅 Resumen Diario'!$B$5:$B$504, B958, '📅 Resumen Diario'!$C$5:$C$504, D958) * SUMIFS('📅 Resumen Diario'!$K$5:$K$504, '📅 Resumen Diario'!$B$5:$B$504, B958, '📅 Resumen Diario'!$C$5:$C$504, D958), 0))</f>
        <v/>
      </c>
      <c r="M958" s="31" t="str">
        <f t="shared" si="101"/>
        <v/>
      </c>
      <c r="N958" s="31" t="str">
        <f t="shared" si="102"/>
        <v/>
      </c>
      <c r="O958" s="31" t="str">
        <f>IF(OR(B958="",C958=""),"",K958-N958 + IFERROR(E958 / SUMIFS('📅 Resumen Diario'!$D$5:$D$504, '📅 Resumen Diario'!$B$5:$B$504, B958, '📅 Resumen Diario'!$C$5:$C$504, D958) * (SUMIFS('📋 Detalle Diario'!$E$5:$E$489, '📋 Detalle Diario'!$B$5:$B$489, B958, '📋 Detalle Diario'!$C$5:$C$489, D958) * 135 + SUMIFS('📋 Detalle Diario'!$I$5:$I$489, '📋 Detalle Diario'!$B$5:$B$489, B958, '📋 Detalle Diario'!$C$5:$C$489, D958) * 200), 0))</f>
        <v/>
      </c>
      <c r="P958" s="32" t="str">
        <f t="shared" si="103"/>
        <v/>
      </c>
      <c r="Q958" s="33" t="str">
        <f t="shared" si="104"/>
        <v/>
      </c>
    </row>
    <row r="959" spans="2:17" ht="18" customHeight="1" x14ac:dyDescent="0.3">
      <c r="B959" s="26"/>
      <c r="C959" s="28"/>
      <c r="D959" s="27"/>
      <c r="E959" s="29"/>
      <c r="F959" s="29"/>
      <c r="G959" s="29"/>
      <c r="H959" s="30" t="str">
        <f t="shared" si="98"/>
        <v/>
      </c>
      <c r="I959" s="31" t="str">
        <f>IF(OR(B959="",C959=""),"",IFERROR(E959*IF(E959="",0,VLOOKUP(C959,'📦 Precios Proforma'!$B$5:$D$104,IF(D959="DIA",2,3),FALSE)),0))</f>
        <v/>
      </c>
      <c r="J959" s="31" t="str">
        <f t="shared" si="99"/>
        <v/>
      </c>
      <c r="K959" s="31" t="str">
        <f t="shared" si="100"/>
        <v/>
      </c>
      <c r="L959" s="31" t="str">
        <f>IF(OR(B959="",C959=""),"",IFERROR(E959 / SUMIFS('📅 Resumen Diario'!$D$5:$D$504, '📅 Resumen Diario'!$B$5:$B$504, B959, '📅 Resumen Diario'!$C$5:$C$504, D959) * SUMIFS('📅 Resumen Diario'!$K$5:$K$504, '📅 Resumen Diario'!$B$5:$B$504, B959, '📅 Resumen Diario'!$C$5:$C$504, D959), 0))</f>
        <v/>
      </c>
      <c r="M959" s="31" t="str">
        <f t="shared" si="101"/>
        <v/>
      </c>
      <c r="N959" s="31" t="str">
        <f t="shared" si="102"/>
        <v/>
      </c>
      <c r="O959" s="31" t="str">
        <f>IF(OR(B959="",C959=""),"",K959-N959 + IFERROR(E959 / SUMIFS('📅 Resumen Diario'!$D$5:$D$504, '📅 Resumen Diario'!$B$5:$B$504, B959, '📅 Resumen Diario'!$C$5:$C$504, D959) * (SUMIFS('📋 Detalle Diario'!$E$5:$E$489, '📋 Detalle Diario'!$B$5:$B$489, B959, '📋 Detalle Diario'!$C$5:$C$489, D959) * 135 + SUMIFS('📋 Detalle Diario'!$I$5:$I$489, '📋 Detalle Diario'!$B$5:$B$489, B959, '📋 Detalle Diario'!$C$5:$C$489, D959) * 200), 0))</f>
        <v/>
      </c>
      <c r="P959" s="32" t="str">
        <f t="shared" si="103"/>
        <v/>
      </c>
      <c r="Q959" s="33" t="str">
        <f t="shared" si="104"/>
        <v/>
      </c>
    </row>
    <row r="960" spans="2:17" ht="18" customHeight="1" x14ac:dyDescent="0.3">
      <c r="B960" s="26"/>
      <c r="C960" s="17"/>
      <c r="D960" s="27"/>
      <c r="E960" s="18"/>
      <c r="F960" s="18"/>
      <c r="G960" s="18"/>
      <c r="H960" s="30" t="str">
        <f t="shared" si="98"/>
        <v/>
      </c>
      <c r="I960" s="31" t="str">
        <f>IF(OR(B960="",C960=""),"",IFERROR(E960*IF(E960="",0,VLOOKUP(C960,'📦 Precios Proforma'!$B$5:$D$104,IF(D960="DIA",2,3),FALSE)),0))</f>
        <v/>
      </c>
      <c r="J960" s="31" t="str">
        <f t="shared" si="99"/>
        <v/>
      </c>
      <c r="K960" s="31" t="str">
        <f t="shared" si="100"/>
        <v/>
      </c>
      <c r="L960" s="31" t="str">
        <f>IF(OR(B960="",C960=""),"",IFERROR(E960 / SUMIFS('📅 Resumen Diario'!$D$5:$D$504, '📅 Resumen Diario'!$B$5:$B$504, B960, '📅 Resumen Diario'!$C$5:$C$504, D960) * SUMIFS('📅 Resumen Diario'!$K$5:$K$504, '📅 Resumen Diario'!$B$5:$B$504, B960, '📅 Resumen Diario'!$C$5:$C$504, D960), 0))</f>
        <v/>
      </c>
      <c r="M960" s="31" t="str">
        <f t="shared" si="101"/>
        <v/>
      </c>
      <c r="N960" s="31" t="str">
        <f t="shared" si="102"/>
        <v/>
      </c>
      <c r="O960" s="31" t="str">
        <f>IF(OR(B960="",C960=""),"",K960-N960 + IFERROR(E960 / SUMIFS('📅 Resumen Diario'!$D$5:$D$504, '📅 Resumen Diario'!$B$5:$B$504, B960, '📅 Resumen Diario'!$C$5:$C$504, D960) * (SUMIFS('📋 Detalle Diario'!$E$5:$E$489, '📋 Detalle Diario'!$B$5:$B$489, B960, '📋 Detalle Diario'!$C$5:$C$489, D960) * 135 + SUMIFS('📋 Detalle Diario'!$I$5:$I$489, '📋 Detalle Diario'!$B$5:$B$489, B960, '📋 Detalle Diario'!$C$5:$C$489, D960) * 200), 0))</f>
        <v/>
      </c>
      <c r="P960" s="32" t="str">
        <f t="shared" si="103"/>
        <v/>
      </c>
      <c r="Q960" s="33" t="str">
        <f t="shared" si="104"/>
        <v/>
      </c>
    </row>
    <row r="961" spans="2:17" ht="18" customHeight="1" x14ac:dyDescent="0.3">
      <c r="B961" s="26"/>
      <c r="C961" s="28"/>
      <c r="D961" s="27"/>
      <c r="E961" s="29"/>
      <c r="F961" s="29"/>
      <c r="G961" s="29"/>
      <c r="H961" s="30" t="str">
        <f t="shared" si="98"/>
        <v/>
      </c>
      <c r="I961" s="31" t="str">
        <f>IF(OR(B961="",C961=""),"",IFERROR(E961*IF(E961="",0,VLOOKUP(C961,'📦 Precios Proforma'!$B$5:$D$104,IF(D961="DIA",2,3),FALSE)),0))</f>
        <v/>
      </c>
      <c r="J961" s="31" t="str">
        <f t="shared" si="99"/>
        <v/>
      </c>
      <c r="K961" s="31" t="str">
        <f t="shared" si="100"/>
        <v/>
      </c>
      <c r="L961" s="31" t="str">
        <f>IF(OR(B961="",C961=""),"",IFERROR(E961 / SUMIFS('📅 Resumen Diario'!$D$5:$D$504, '📅 Resumen Diario'!$B$5:$B$504, B961, '📅 Resumen Diario'!$C$5:$C$504, D961) * SUMIFS('📅 Resumen Diario'!$K$5:$K$504, '📅 Resumen Diario'!$B$5:$B$504, B961, '📅 Resumen Diario'!$C$5:$C$504, D961), 0))</f>
        <v/>
      </c>
      <c r="M961" s="31" t="str">
        <f t="shared" si="101"/>
        <v/>
      </c>
      <c r="N961" s="31" t="str">
        <f t="shared" si="102"/>
        <v/>
      </c>
      <c r="O961" s="31" t="str">
        <f>IF(OR(B961="",C961=""),"",K961-N961 + IFERROR(E961 / SUMIFS('📅 Resumen Diario'!$D$5:$D$504, '📅 Resumen Diario'!$B$5:$B$504, B961, '📅 Resumen Diario'!$C$5:$C$504, D961) * (SUMIFS('📋 Detalle Diario'!$E$5:$E$489, '📋 Detalle Diario'!$B$5:$B$489, B961, '📋 Detalle Diario'!$C$5:$C$489, D961) * 135 + SUMIFS('📋 Detalle Diario'!$I$5:$I$489, '📋 Detalle Diario'!$B$5:$B$489, B961, '📋 Detalle Diario'!$C$5:$C$489, D961) * 200), 0))</f>
        <v/>
      </c>
      <c r="P961" s="32" t="str">
        <f t="shared" si="103"/>
        <v/>
      </c>
      <c r="Q961" s="33" t="str">
        <f t="shared" si="104"/>
        <v/>
      </c>
    </row>
    <row r="962" spans="2:17" ht="18" customHeight="1" x14ac:dyDescent="0.3">
      <c r="B962" s="26"/>
      <c r="C962" s="17"/>
      <c r="D962" s="27"/>
      <c r="E962" s="18"/>
      <c r="F962" s="18"/>
      <c r="G962" s="18"/>
      <c r="H962" s="30" t="str">
        <f t="shared" si="98"/>
        <v/>
      </c>
      <c r="I962" s="31" t="str">
        <f>IF(OR(B962="",C962=""),"",IFERROR(E962*IF(E962="",0,VLOOKUP(C962,'📦 Precios Proforma'!$B$5:$D$104,IF(D962="DIA",2,3),FALSE)),0))</f>
        <v/>
      </c>
      <c r="J962" s="31" t="str">
        <f t="shared" si="99"/>
        <v/>
      </c>
      <c r="K962" s="31" t="str">
        <f t="shared" si="100"/>
        <v/>
      </c>
      <c r="L962" s="31" t="str">
        <f>IF(OR(B962="",C962=""),"",IFERROR(E962 / SUMIFS('📅 Resumen Diario'!$D$5:$D$504, '📅 Resumen Diario'!$B$5:$B$504, B962, '📅 Resumen Diario'!$C$5:$C$504, D962) * SUMIFS('📅 Resumen Diario'!$K$5:$K$504, '📅 Resumen Diario'!$B$5:$B$504, B962, '📅 Resumen Diario'!$C$5:$C$504, D962), 0))</f>
        <v/>
      </c>
      <c r="M962" s="31" t="str">
        <f t="shared" si="101"/>
        <v/>
      </c>
      <c r="N962" s="31" t="str">
        <f t="shared" si="102"/>
        <v/>
      </c>
      <c r="O962" s="31" t="str">
        <f>IF(OR(B962="",C962=""),"",K962-N962 + IFERROR(E962 / SUMIFS('📅 Resumen Diario'!$D$5:$D$504, '📅 Resumen Diario'!$B$5:$B$504, B962, '📅 Resumen Diario'!$C$5:$C$504, D962) * (SUMIFS('📋 Detalle Diario'!$E$5:$E$489, '📋 Detalle Diario'!$B$5:$B$489, B962, '📋 Detalle Diario'!$C$5:$C$489, D962) * 135 + SUMIFS('📋 Detalle Diario'!$I$5:$I$489, '📋 Detalle Diario'!$B$5:$B$489, B962, '📋 Detalle Diario'!$C$5:$C$489, D962) * 200), 0))</f>
        <v/>
      </c>
      <c r="P962" s="32" t="str">
        <f t="shared" si="103"/>
        <v/>
      </c>
      <c r="Q962" s="33" t="str">
        <f t="shared" si="104"/>
        <v/>
      </c>
    </row>
    <row r="963" spans="2:17" ht="18" customHeight="1" x14ac:dyDescent="0.3">
      <c r="B963" s="26"/>
      <c r="C963" s="28"/>
      <c r="D963" s="27"/>
      <c r="E963" s="29"/>
      <c r="F963" s="29"/>
      <c r="G963" s="29"/>
      <c r="H963" s="30" t="str">
        <f t="shared" si="98"/>
        <v/>
      </c>
      <c r="I963" s="31" t="str">
        <f>IF(OR(B963="",C963=""),"",IFERROR(E963*IF(E963="",0,VLOOKUP(C963,'📦 Precios Proforma'!$B$5:$D$104,IF(D963="DIA",2,3),FALSE)),0))</f>
        <v/>
      </c>
      <c r="J963" s="31" t="str">
        <f t="shared" si="99"/>
        <v/>
      </c>
      <c r="K963" s="31" t="str">
        <f t="shared" si="100"/>
        <v/>
      </c>
      <c r="L963" s="31" t="str">
        <f>IF(OR(B963="",C963=""),"",IFERROR(E963 / SUMIFS('📅 Resumen Diario'!$D$5:$D$504, '📅 Resumen Diario'!$B$5:$B$504, B963, '📅 Resumen Diario'!$C$5:$C$504, D963) * SUMIFS('📅 Resumen Diario'!$K$5:$K$504, '📅 Resumen Diario'!$B$5:$B$504, B963, '📅 Resumen Diario'!$C$5:$C$504, D963), 0))</f>
        <v/>
      </c>
      <c r="M963" s="31" t="str">
        <f t="shared" si="101"/>
        <v/>
      </c>
      <c r="N963" s="31" t="str">
        <f t="shared" si="102"/>
        <v/>
      </c>
      <c r="O963" s="31" t="str">
        <f>IF(OR(B963="",C963=""),"",K963-N963 + IFERROR(E963 / SUMIFS('📅 Resumen Diario'!$D$5:$D$504, '📅 Resumen Diario'!$B$5:$B$504, B963, '📅 Resumen Diario'!$C$5:$C$504, D963) * (SUMIFS('📋 Detalle Diario'!$E$5:$E$489, '📋 Detalle Diario'!$B$5:$B$489, B963, '📋 Detalle Diario'!$C$5:$C$489, D963) * 135 + SUMIFS('📋 Detalle Diario'!$I$5:$I$489, '📋 Detalle Diario'!$B$5:$B$489, B963, '📋 Detalle Diario'!$C$5:$C$489, D963) * 200), 0))</f>
        <v/>
      </c>
      <c r="P963" s="32" t="str">
        <f t="shared" si="103"/>
        <v/>
      </c>
      <c r="Q963" s="33" t="str">
        <f t="shared" si="104"/>
        <v/>
      </c>
    </row>
    <row r="964" spans="2:17" ht="18" customHeight="1" x14ac:dyDescent="0.3">
      <c r="B964" s="26"/>
      <c r="C964" s="17"/>
      <c r="D964" s="27"/>
      <c r="E964" s="18"/>
      <c r="F964" s="18"/>
      <c r="G964" s="18"/>
      <c r="H964" s="30" t="str">
        <f t="shared" si="98"/>
        <v/>
      </c>
      <c r="I964" s="31" t="str">
        <f>IF(OR(B964="",C964=""),"",IFERROR(E964*IF(E964="",0,VLOOKUP(C964,'📦 Precios Proforma'!$B$5:$D$104,IF(D964="DIA",2,3),FALSE)),0))</f>
        <v/>
      </c>
      <c r="J964" s="31" t="str">
        <f t="shared" si="99"/>
        <v/>
      </c>
      <c r="K964" s="31" t="str">
        <f t="shared" si="100"/>
        <v/>
      </c>
      <c r="L964" s="31" t="str">
        <f>IF(OR(B964="",C964=""),"",IFERROR(E964 / SUMIFS('📅 Resumen Diario'!$D$5:$D$504, '📅 Resumen Diario'!$B$5:$B$504, B964, '📅 Resumen Diario'!$C$5:$C$504, D964) * SUMIFS('📅 Resumen Diario'!$K$5:$K$504, '📅 Resumen Diario'!$B$5:$B$504, B964, '📅 Resumen Diario'!$C$5:$C$504, D964), 0))</f>
        <v/>
      </c>
      <c r="M964" s="31" t="str">
        <f t="shared" si="101"/>
        <v/>
      </c>
      <c r="N964" s="31" t="str">
        <f t="shared" si="102"/>
        <v/>
      </c>
      <c r="O964" s="31" t="str">
        <f>IF(OR(B964="",C964=""),"",K964-N964 + IFERROR(E964 / SUMIFS('📅 Resumen Diario'!$D$5:$D$504, '📅 Resumen Diario'!$B$5:$B$504, B964, '📅 Resumen Diario'!$C$5:$C$504, D964) * (SUMIFS('📋 Detalle Diario'!$E$5:$E$489, '📋 Detalle Diario'!$B$5:$B$489, B964, '📋 Detalle Diario'!$C$5:$C$489, D964) * 135 + SUMIFS('📋 Detalle Diario'!$I$5:$I$489, '📋 Detalle Diario'!$B$5:$B$489, B964, '📋 Detalle Diario'!$C$5:$C$489, D964) * 200), 0))</f>
        <v/>
      </c>
      <c r="P964" s="32" t="str">
        <f t="shared" si="103"/>
        <v/>
      </c>
      <c r="Q964" s="33" t="str">
        <f t="shared" si="104"/>
        <v/>
      </c>
    </row>
    <row r="965" spans="2:17" ht="18" customHeight="1" x14ac:dyDescent="0.3">
      <c r="B965" s="26"/>
      <c r="C965" s="28"/>
      <c r="D965" s="27"/>
      <c r="E965" s="29"/>
      <c r="F965" s="29"/>
      <c r="G965" s="29"/>
      <c r="H965" s="30" t="str">
        <f t="shared" si="98"/>
        <v/>
      </c>
      <c r="I965" s="31" t="str">
        <f>IF(OR(B965="",C965=""),"",IFERROR(E965*IF(E965="",0,VLOOKUP(C965,'📦 Precios Proforma'!$B$5:$D$104,IF(D965="DIA",2,3),FALSE)),0))</f>
        <v/>
      </c>
      <c r="J965" s="31" t="str">
        <f t="shared" si="99"/>
        <v/>
      </c>
      <c r="K965" s="31" t="str">
        <f t="shared" si="100"/>
        <v/>
      </c>
      <c r="L965" s="31" t="str">
        <f>IF(OR(B965="",C965=""),"",IFERROR(E965 / SUMIFS('📅 Resumen Diario'!$D$5:$D$504, '📅 Resumen Diario'!$B$5:$B$504, B965, '📅 Resumen Diario'!$C$5:$C$504, D965) * SUMIFS('📅 Resumen Diario'!$K$5:$K$504, '📅 Resumen Diario'!$B$5:$B$504, B965, '📅 Resumen Diario'!$C$5:$C$504, D965), 0))</f>
        <v/>
      </c>
      <c r="M965" s="31" t="str">
        <f t="shared" si="101"/>
        <v/>
      </c>
      <c r="N965" s="31" t="str">
        <f t="shared" si="102"/>
        <v/>
      </c>
      <c r="O965" s="31" t="str">
        <f>IF(OR(B965="",C965=""),"",K965-N965 + IFERROR(E965 / SUMIFS('📅 Resumen Diario'!$D$5:$D$504, '📅 Resumen Diario'!$B$5:$B$504, B965, '📅 Resumen Diario'!$C$5:$C$504, D965) * (SUMIFS('📋 Detalle Diario'!$E$5:$E$489, '📋 Detalle Diario'!$B$5:$B$489, B965, '📋 Detalle Diario'!$C$5:$C$489, D965) * 135 + SUMIFS('📋 Detalle Diario'!$I$5:$I$489, '📋 Detalle Diario'!$B$5:$B$489, B965, '📋 Detalle Diario'!$C$5:$C$489, D965) * 200), 0))</f>
        <v/>
      </c>
      <c r="P965" s="32" t="str">
        <f t="shared" si="103"/>
        <v/>
      </c>
      <c r="Q965" s="33" t="str">
        <f t="shared" si="104"/>
        <v/>
      </c>
    </row>
    <row r="966" spans="2:17" ht="18" customHeight="1" x14ac:dyDescent="0.3">
      <c r="B966" s="26"/>
      <c r="C966" s="17"/>
      <c r="D966" s="27"/>
      <c r="E966" s="18"/>
      <c r="F966" s="18"/>
      <c r="G966" s="18"/>
      <c r="H966" s="30" t="str">
        <f t="shared" si="98"/>
        <v/>
      </c>
      <c r="I966" s="31" t="str">
        <f>IF(OR(B966="",C966=""),"",IFERROR(E966*IF(E966="",0,VLOOKUP(C966,'📦 Precios Proforma'!$B$5:$D$104,IF(D966="DIA",2,3),FALSE)),0))</f>
        <v/>
      </c>
      <c r="J966" s="31" t="str">
        <f t="shared" si="99"/>
        <v/>
      </c>
      <c r="K966" s="31" t="str">
        <f t="shared" si="100"/>
        <v/>
      </c>
      <c r="L966" s="31" t="str">
        <f>IF(OR(B966="",C966=""),"",IFERROR(E966 / SUMIFS('📅 Resumen Diario'!$D$5:$D$504, '📅 Resumen Diario'!$B$5:$B$504, B966, '📅 Resumen Diario'!$C$5:$C$504, D966) * SUMIFS('📅 Resumen Diario'!$K$5:$K$504, '📅 Resumen Diario'!$B$5:$B$504, B966, '📅 Resumen Diario'!$C$5:$C$504, D966), 0))</f>
        <v/>
      </c>
      <c r="M966" s="31" t="str">
        <f t="shared" si="101"/>
        <v/>
      </c>
      <c r="N966" s="31" t="str">
        <f t="shared" si="102"/>
        <v/>
      </c>
      <c r="O966" s="31" t="str">
        <f>IF(OR(B966="",C966=""),"",K966-N966 + IFERROR(E966 / SUMIFS('📅 Resumen Diario'!$D$5:$D$504, '📅 Resumen Diario'!$B$5:$B$504, B966, '📅 Resumen Diario'!$C$5:$C$504, D966) * (SUMIFS('📋 Detalle Diario'!$E$5:$E$489, '📋 Detalle Diario'!$B$5:$B$489, B966, '📋 Detalle Diario'!$C$5:$C$489, D966) * 135 + SUMIFS('📋 Detalle Diario'!$I$5:$I$489, '📋 Detalle Diario'!$B$5:$B$489, B966, '📋 Detalle Diario'!$C$5:$C$489, D966) * 200), 0))</f>
        <v/>
      </c>
      <c r="P966" s="32" t="str">
        <f t="shared" si="103"/>
        <v/>
      </c>
      <c r="Q966" s="33" t="str">
        <f t="shared" si="104"/>
        <v/>
      </c>
    </row>
    <row r="967" spans="2:17" ht="18" customHeight="1" x14ac:dyDescent="0.3">
      <c r="B967" s="26"/>
      <c r="C967" s="28"/>
      <c r="D967" s="27"/>
      <c r="E967" s="29"/>
      <c r="F967" s="29"/>
      <c r="G967" s="29"/>
      <c r="H967" s="30" t="str">
        <f t="shared" ref="H967:H1030" si="105">IF(OR(B967="",C967=""),"",F967+G967)</f>
        <v/>
      </c>
      <c r="I967" s="31" t="str">
        <f>IF(OR(B967="",C967=""),"",IFERROR(E967*IF(E967="",0,VLOOKUP(C967,'📦 Precios Proforma'!$B$5:$D$104,IF(D967="DIA",2,3),FALSE)),0))</f>
        <v/>
      </c>
      <c r="J967" s="31" t="str">
        <f t="shared" ref="J967:J1030" si="106">IF(OR(B967="",C967=""),"",IF(D967="DIA",H967*1.01,H967*1.35))</f>
        <v/>
      </c>
      <c r="K967" s="31" t="str">
        <f t="shared" ref="K967:K1030" si="107">IF(OR(B967="",C967=""),"",I967+J967)</f>
        <v/>
      </c>
      <c r="L967" s="31" t="str">
        <f>IF(OR(B967="",C967=""),"",IFERROR(E967 / SUMIFS('📅 Resumen Diario'!$D$5:$D$504, '📅 Resumen Diario'!$B$5:$B$504, B967, '📅 Resumen Diario'!$C$5:$C$504, D967) * SUMIFS('📅 Resumen Diario'!$K$5:$K$504, '📅 Resumen Diario'!$B$5:$B$504, B967, '📅 Resumen Diario'!$C$5:$C$504, D967), 0))</f>
        <v/>
      </c>
      <c r="M967" s="31" t="str">
        <f t="shared" ref="M967:M1030" si="108">IF(OR(B967="",C967=""),"",H967*0.09)</f>
        <v/>
      </c>
      <c r="N967" s="31" t="str">
        <f t="shared" ref="N967:N1030" si="109">IF(OR(B967="",C967=""),"",L967+M967)</f>
        <v/>
      </c>
      <c r="O967" s="31" t="str">
        <f>IF(OR(B967="",C967=""),"",K967-N967 + IFERROR(E967 / SUMIFS('📅 Resumen Diario'!$D$5:$D$504, '📅 Resumen Diario'!$B$5:$B$504, B967, '📅 Resumen Diario'!$C$5:$C$504, D967) * (SUMIFS('📋 Detalle Diario'!$E$5:$E$489, '📋 Detalle Diario'!$B$5:$B$489, B967, '📋 Detalle Diario'!$C$5:$C$489, D967) * 135 + SUMIFS('📋 Detalle Diario'!$I$5:$I$489, '📋 Detalle Diario'!$B$5:$B$489, B967, '📋 Detalle Diario'!$C$5:$C$489, D967) * 200), 0))</f>
        <v/>
      </c>
      <c r="P967" s="32" t="str">
        <f t="shared" ref="P967:P1030" si="110">IF(OR(B967="",C967=""),"",IF(K967=0, 0, O967/K967))</f>
        <v/>
      </c>
      <c r="Q967" s="33" t="str">
        <f t="shared" ref="Q967:Q1030" si="111">IF(B967="","",IF(ISNUMBER(B967),YEAR(B967)&amp;"-"&amp;IF(MONTH(B967)&lt;10,"0","")&amp;MONTH(B967),LEFT(B967,7)))</f>
        <v/>
      </c>
    </row>
    <row r="968" spans="2:17" ht="18" customHeight="1" x14ac:dyDescent="0.3">
      <c r="B968" s="26"/>
      <c r="C968" s="17"/>
      <c r="D968" s="27"/>
      <c r="E968" s="18"/>
      <c r="F968" s="18"/>
      <c r="G968" s="18"/>
      <c r="H968" s="30" t="str">
        <f t="shared" si="105"/>
        <v/>
      </c>
      <c r="I968" s="31" t="str">
        <f>IF(OR(B968="",C968=""),"",IFERROR(E968*IF(E968="",0,VLOOKUP(C968,'📦 Precios Proforma'!$B$5:$D$104,IF(D968="DIA",2,3),FALSE)),0))</f>
        <v/>
      </c>
      <c r="J968" s="31" t="str">
        <f t="shared" si="106"/>
        <v/>
      </c>
      <c r="K968" s="31" t="str">
        <f t="shared" si="107"/>
        <v/>
      </c>
      <c r="L968" s="31" t="str">
        <f>IF(OR(B968="",C968=""),"",IFERROR(E968 / SUMIFS('📅 Resumen Diario'!$D$5:$D$504, '📅 Resumen Diario'!$B$5:$B$504, B968, '📅 Resumen Diario'!$C$5:$C$504, D968) * SUMIFS('📅 Resumen Diario'!$K$5:$K$504, '📅 Resumen Diario'!$B$5:$B$504, B968, '📅 Resumen Diario'!$C$5:$C$504, D968), 0))</f>
        <v/>
      </c>
      <c r="M968" s="31" t="str">
        <f t="shared" si="108"/>
        <v/>
      </c>
      <c r="N968" s="31" t="str">
        <f t="shared" si="109"/>
        <v/>
      </c>
      <c r="O968" s="31" t="str">
        <f>IF(OR(B968="",C968=""),"",K968-N968 + IFERROR(E968 / SUMIFS('📅 Resumen Diario'!$D$5:$D$504, '📅 Resumen Diario'!$B$5:$B$504, B968, '📅 Resumen Diario'!$C$5:$C$504, D968) * (SUMIFS('📋 Detalle Diario'!$E$5:$E$489, '📋 Detalle Diario'!$B$5:$B$489, B968, '📋 Detalle Diario'!$C$5:$C$489, D968) * 135 + SUMIFS('📋 Detalle Diario'!$I$5:$I$489, '📋 Detalle Diario'!$B$5:$B$489, B968, '📋 Detalle Diario'!$C$5:$C$489, D968) * 200), 0))</f>
        <v/>
      </c>
      <c r="P968" s="32" t="str">
        <f t="shared" si="110"/>
        <v/>
      </c>
      <c r="Q968" s="33" t="str">
        <f t="shared" si="111"/>
        <v/>
      </c>
    </row>
    <row r="969" spans="2:17" ht="18" customHeight="1" x14ac:dyDescent="0.3">
      <c r="B969" s="26"/>
      <c r="C969" s="28"/>
      <c r="D969" s="27"/>
      <c r="E969" s="29"/>
      <c r="F969" s="29"/>
      <c r="G969" s="29"/>
      <c r="H969" s="30" t="str">
        <f t="shared" si="105"/>
        <v/>
      </c>
      <c r="I969" s="31" t="str">
        <f>IF(OR(B969="",C969=""),"",IFERROR(E969*IF(E969="",0,VLOOKUP(C969,'📦 Precios Proforma'!$B$5:$D$104,IF(D969="DIA",2,3),FALSE)),0))</f>
        <v/>
      </c>
      <c r="J969" s="31" t="str">
        <f t="shared" si="106"/>
        <v/>
      </c>
      <c r="K969" s="31" t="str">
        <f t="shared" si="107"/>
        <v/>
      </c>
      <c r="L969" s="31" t="str">
        <f>IF(OR(B969="",C969=""),"",IFERROR(E969 / SUMIFS('📅 Resumen Diario'!$D$5:$D$504, '📅 Resumen Diario'!$B$5:$B$504, B969, '📅 Resumen Diario'!$C$5:$C$504, D969) * SUMIFS('📅 Resumen Diario'!$K$5:$K$504, '📅 Resumen Diario'!$B$5:$B$504, B969, '📅 Resumen Diario'!$C$5:$C$504, D969), 0))</f>
        <v/>
      </c>
      <c r="M969" s="31" t="str">
        <f t="shared" si="108"/>
        <v/>
      </c>
      <c r="N969" s="31" t="str">
        <f t="shared" si="109"/>
        <v/>
      </c>
      <c r="O969" s="31" t="str">
        <f>IF(OR(B969="",C969=""),"",K969-N969 + IFERROR(E969 / SUMIFS('📅 Resumen Diario'!$D$5:$D$504, '📅 Resumen Diario'!$B$5:$B$504, B969, '📅 Resumen Diario'!$C$5:$C$504, D969) * (SUMIFS('📋 Detalle Diario'!$E$5:$E$489, '📋 Detalle Diario'!$B$5:$B$489, B969, '📋 Detalle Diario'!$C$5:$C$489, D969) * 135 + SUMIFS('📋 Detalle Diario'!$I$5:$I$489, '📋 Detalle Diario'!$B$5:$B$489, B969, '📋 Detalle Diario'!$C$5:$C$489, D969) * 200), 0))</f>
        <v/>
      </c>
      <c r="P969" s="32" t="str">
        <f t="shared" si="110"/>
        <v/>
      </c>
      <c r="Q969" s="33" t="str">
        <f t="shared" si="111"/>
        <v/>
      </c>
    </row>
    <row r="970" spans="2:17" ht="18" customHeight="1" x14ac:dyDescent="0.3">
      <c r="B970" s="26"/>
      <c r="C970" s="17"/>
      <c r="D970" s="27"/>
      <c r="E970" s="18"/>
      <c r="F970" s="18"/>
      <c r="G970" s="18"/>
      <c r="H970" s="30" t="str">
        <f t="shared" si="105"/>
        <v/>
      </c>
      <c r="I970" s="31" t="str">
        <f>IF(OR(B970="",C970=""),"",IFERROR(E970*IF(E970="",0,VLOOKUP(C970,'📦 Precios Proforma'!$B$5:$D$104,IF(D970="DIA",2,3),FALSE)),0))</f>
        <v/>
      </c>
      <c r="J970" s="31" t="str">
        <f t="shared" si="106"/>
        <v/>
      </c>
      <c r="K970" s="31" t="str">
        <f t="shared" si="107"/>
        <v/>
      </c>
      <c r="L970" s="31" t="str">
        <f>IF(OR(B970="",C970=""),"",IFERROR(E970 / SUMIFS('📅 Resumen Diario'!$D$5:$D$504, '📅 Resumen Diario'!$B$5:$B$504, B970, '📅 Resumen Diario'!$C$5:$C$504, D970) * SUMIFS('📅 Resumen Diario'!$K$5:$K$504, '📅 Resumen Diario'!$B$5:$B$504, B970, '📅 Resumen Diario'!$C$5:$C$504, D970), 0))</f>
        <v/>
      </c>
      <c r="M970" s="31" t="str">
        <f t="shared" si="108"/>
        <v/>
      </c>
      <c r="N970" s="31" t="str">
        <f t="shared" si="109"/>
        <v/>
      </c>
      <c r="O970" s="31" t="str">
        <f>IF(OR(B970="",C970=""),"",K970-N970 + IFERROR(E970 / SUMIFS('📅 Resumen Diario'!$D$5:$D$504, '📅 Resumen Diario'!$B$5:$B$504, B970, '📅 Resumen Diario'!$C$5:$C$504, D970) * (SUMIFS('📋 Detalle Diario'!$E$5:$E$489, '📋 Detalle Diario'!$B$5:$B$489, B970, '📋 Detalle Diario'!$C$5:$C$489, D970) * 135 + SUMIFS('📋 Detalle Diario'!$I$5:$I$489, '📋 Detalle Diario'!$B$5:$B$489, B970, '📋 Detalle Diario'!$C$5:$C$489, D970) * 200), 0))</f>
        <v/>
      </c>
      <c r="P970" s="32" t="str">
        <f t="shared" si="110"/>
        <v/>
      </c>
      <c r="Q970" s="33" t="str">
        <f t="shared" si="111"/>
        <v/>
      </c>
    </row>
    <row r="971" spans="2:17" ht="18" customHeight="1" x14ac:dyDescent="0.3">
      <c r="B971" s="26"/>
      <c r="C971" s="28"/>
      <c r="D971" s="27"/>
      <c r="E971" s="29"/>
      <c r="F971" s="29"/>
      <c r="G971" s="29"/>
      <c r="H971" s="30" t="str">
        <f t="shared" si="105"/>
        <v/>
      </c>
      <c r="I971" s="31" t="str">
        <f>IF(OR(B971="",C971=""),"",IFERROR(E971*IF(E971="",0,VLOOKUP(C971,'📦 Precios Proforma'!$B$5:$D$104,IF(D971="DIA",2,3),FALSE)),0))</f>
        <v/>
      </c>
      <c r="J971" s="31" t="str">
        <f t="shared" si="106"/>
        <v/>
      </c>
      <c r="K971" s="31" t="str">
        <f t="shared" si="107"/>
        <v/>
      </c>
      <c r="L971" s="31" t="str">
        <f>IF(OR(B971="",C971=""),"",IFERROR(E971 / SUMIFS('📅 Resumen Diario'!$D$5:$D$504, '📅 Resumen Diario'!$B$5:$B$504, B971, '📅 Resumen Diario'!$C$5:$C$504, D971) * SUMIFS('📅 Resumen Diario'!$K$5:$K$504, '📅 Resumen Diario'!$B$5:$B$504, B971, '📅 Resumen Diario'!$C$5:$C$504, D971), 0))</f>
        <v/>
      </c>
      <c r="M971" s="31" t="str">
        <f t="shared" si="108"/>
        <v/>
      </c>
      <c r="N971" s="31" t="str">
        <f t="shared" si="109"/>
        <v/>
      </c>
      <c r="O971" s="31" t="str">
        <f>IF(OR(B971="",C971=""),"",K971-N971 + IFERROR(E971 / SUMIFS('📅 Resumen Diario'!$D$5:$D$504, '📅 Resumen Diario'!$B$5:$B$504, B971, '📅 Resumen Diario'!$C$5:$C$504, D971) * (SUMIFS('📋 Detalle Diario'!$E$5:$E$489, '📋 Detalle Diario'!$B$5:$B$489, B971, '📋 Detalle Diario'!$C$5:$C$489, D971) * 135 + SUMIFS('📋 Detalle Diario'!$I$5:$I$489, '📋 Detalle Diario'!$B$5:$B$489, B971, '📋 Detalle Diario'!$C$5:$C$489, D971) * 200), 0))</f>
        <v/>
      </c>
      <c r="P971" s="32" t="str">
        <f t="shared" si="110"/>
        <v/>
      </c>
      <c r="Q971" s="33" t="str">
        <f t="shared" si="111"/>
        <v/>
      </c>
    </row>
    <row r="972" spans="2:17" ht="18" customHeight="1" x14ac:dyDescent="0.3">
      <c r="B972" s="26"/>
      <c r="C972" s="17"/>
      <c r="D972" s="27"/>
      <c r="E972" s="18"/>
      <c r="F972" s="18"/>
      <c r="G972" s="18"/>
      <c r="H972" s="30" t="str">
        <f t="shared" si="105"/>
        <v/>
      </c>
      <c r="I972" s="31" t="str">
        <f>IF(OR(B972="",C972=""),"",IFERROR(E972*IF(E972="",0,VLOOKUP(C972,'📦 Precios Proforma'!$B$5:$D$104,IF(D972="DIA",2,3),FALSE)),0))</f>
        <v/>
      </c>
      <c r="J972" s="31" t="str">
        <f t="shared" si="106"/>
        <v/>
      </c>
      <c r="K972" s="31" t="str">
        <f t="shared" si="107"/>
        <v/>
      </c>
      <c r="L972" s="31" t="str">
        <f>IF(OR(B972="",C972=""),"",IFERROR(E972 / SUMIFS('📅 Resumen Diario'!$D$5:$D$504, '📅 Resumen Diario'!$B$5:$B$504, B972, '📅 Resumen Diario'!$C$5:$C$504, D972) * SUMIFS('📅 Resumen Diario'!$K$5:$K$504, '📅 Resumen Diario'!$B$5:$B$504, B972, '📅 Resumen Diario'!$C$5:$C$504, D972), 0))</f>
        <v/>
      </c>
      <c r="M972" s="31" t="str">
        <f t="shared" si="108"/>
        <v/>
      </c>
      <c r="N972" s="31" t="str">
        <f t="shared" si="109"/>
        <v/>
      </c>
      <c r="O972" s="31" t="str">
        <f>IF(OR(B972="",C972=""),"",K972-N972 + IFERROR(E972 / SUMIFS('📅 Resumen Diario'!$D$5:$D$504, '📅 Resumen Diario'!$B$5:$B$504, B972, '📅 Resumen Diario'!$C$5:$C$504, D972) * (SUMIFS('📋 Detalle Diario'!$E$5:$E$489, '📋 Detalle Diario'!$B$5:$B$489, B972, '📋 Detalle Diario'!$C$5:$C$489, D972) * 135 + SUMIFS('📋 Detalle Diario'!$I$5:$I$489, '📋 Detalle Diario'!$B$5:$B$489, B972, '📋 Detalle Diario'!$C$5:$C$489, D972) * 200), 0))</f>
        <v/>
      </c>
      <c r="P972" s="32" t="str">
        <f t="shared" si="110"/>
        <v/>
      </c>
      <c r="Q972" s="33" t="str">
        <f t="shared" si="111"/>
        <v/>
      </c>
    </row>
    <row r="973" spans="2:17" ht="18" customHeight="1" x14ac:dyDescent="0.3">
      <c r="B973" s="26"/>
      <c r="C973" s="28"/>
      <c r="D973" s="27"/>
      <c r="E973" s="29"/>
      <c r="F973" s="29"/>
      <c r="G973" s="29"/>
      <c r="H973" s="30" t="str">
        <f t="shared" si="105"/>
        <v/>
      </c>
      <c r="I973" s="31" t="str">
        <f>IF(OR(B973="",C973=""),"",IFERROR(E973*IF(E973="",0,VLOOKUP(C973,'📦 Precios Proforma'!$B$5:$D$104,IF(D973="DIA",2,3),FALSE)),0))</f>
        <v/>
      </c>
      <c r="J973" s="31" t="str">
        <f t="shared" si="106"/>
        <v/>
      </c>
      <c r="K973" s="31" t="str">
        <f t="shared" si="107"/>
        <v/>
      </c>
      <c r="L973" s="31" t="str">
        <f>IF(OR(B973="",C973=""),"",IFERROR(E973 / SUMIFS('📅 Resumen Diario'!$D$5:$D$504, '📅 Resumen Diario'!$B$5:$B$504, B973, '📅 Resumen Diario'!$C$5:$C$504, D973) * SUMIFS('📅 Resumen Diario'!$K$5:$K$504, '📅 Resumen Diario'!$B$5:$B$504, B973, '📅 Resumen Diario'!$C$5:$C$504, D973), 0))</f>
        <v/>
      </c>
      <c r="M973" s="31" t="str">
        <f t="shared" si="108"/>
        <v/>
      </c>
      <c r="N973" s="31" t="str">
        <f t="shared" si="109"/>
        <v/>
      </c>
      <c r="O973" s="31" t="str">
        <f>IF(OR(B973="",C973=""),"",K973-N973 + IFERROR(E973 / SUMIFS('📅 Resumen Diario'!$D$5:$D$504, '📅 Resumen Diario'!$B$5:$B$504, B973, '📅 Resumen Diario'!$C$5:$C$504, D973) * (SUMIFS('📋 Detalle Diario'!$E$5:$E$489, '📋 Detalle Diario'!$B$5:$B$489, B973, '📋 Detalle Diario'!$C$5:$C$489, D973) * 135 + SUMIFS('📋 Detalle Diario'!$I$5:$I$489, '📋 Detalle Diario'!$B$5:$B$489, B973, '📋 Detalle Diario'!$C$5:$C$489, D973) * 200), 0))</f>
        <v/>
      </c>
      <c r="P973" s="32" t="str">
        <f t="shared" si="110"/>
        <v/>
      </c>
      <c r="Q973" s="33" t="str">
        <f t="shared" si="111"/>
        <v/>
      </c>
    </row>
    <row r="974" spans="2:17" ht="18" customHeight="1" x14ac:dyDescent="0.3">
      <c r="B974" s="26"/>
      <c r="C974" s="17"/>
      <c r="D974" s="27"/>
      <c r="E974" s="18"/>
      <c r="F974" s="18"/>
      <c r="G974" s="18"/>
      <c r="H974" s="30" t="str">
        <f t="shared" si="105"/>
        <v/>
      </c>
      <c r="I974" s="31" t="str">
        <f>IF(OR(B974="",C974=""),"",IFERROR(E974*IF(E974="",0,VLOOKUP(C974,'📦 Precios Proforma'!$B$5:$D$104,IF(D974="DIA",2,3),FALSE)),0))</f>
        <v/>
      </c>
      <c r="J974" s="31" t="str">
        <f t="shared" si="106"/>
        <v/>
      </c>
      <c r="K974" s="31" t="str">
        <f t="shared" si="107"/>
        <v/>
      </c>
      <c r="L974" s="31" t="str">
        <f>IF(OR(B974="",C974=""),"",IFERROR(E974 / SUMIFS('📅 Resumen Diario'!$D$5:$D$504, '📅 Resumen Diario'!$B$5:$B$504, B974, '📅 Resumen Diario'!$C$5:$C$504, D974) * SUMIFS('📅 Resumen Diario'!$K$5:$K$504, '📅 Resumen Diario'!$B$5:$B$504, B974, '📅 Resumen Diario'!$C$5:$C$504, D974), 0))</f>
        <v/>
      </c>
      <c r="M974" s="31" t="str">
        <f t="shared" si="108"/>
        <v/>
      </c>
      <c r="N974" s="31" t="str">
        <f t="shared" si="109"/>
        <v/>
      </c>
      <c r="O974" s="31" t="str">
        <f>IF(OR(B974="",C974=""),"",K974-N974 + IFERROR(E974 / SUMIFS('📅 Resumen Diario'!$D$5:$D$504, '📅 Resumen Diario'!$B$5:$B$504, B974, '📅 Resumen Diario'!$C$5:$C$504, D974) * (SUMIFS('📋 Detalle Diario'!$E$5:$E$489, '📋 Detalle Diario'!$B$5:$B$489, B974, '📋 Detalle Diario'!$C$5:$C$489, D974) * 135 + SUMIFS('📋 Detalle Diario'!$I$5:$I$489, '📋 Detalle Diario'!$B$5:$B$489, B974, '📋 Detalle Diario'!$C$5:$C$489, D974) * 200), 0))</f>
        <v/>
      </c>
      <c r="P974" s="32" t="str">
        <f t="shared" si="110"/>
        <v/>
      </c>
      <c r="Q974" s="33" t="str">
        <f t="shared" si="111"/>
        <v/>
      </c>
    </row>
    <row r="975" spans="2:17" ht="18" customHeight="1" x14ac:dyDescent="0.3">
      <c r="B975" s="26"/>
      <c r="C975" s="28"/>
      <c r="D975" s="27"/>
      <c r="E975" s="29"/>
      <c r="F975" s="29"/>
      <c r="G975" s="29"/>
      <c r="H975" s="30" t="str">
        <f t="shared" si="105"/>
        <v/>
      </c>
      <c r="I975" s="31" t="str">
        <f>IF(OR(B975="",C975=""),"",IFERROR(E975*IF(E975="",0,VLOOKUP(C975,'📦 Precios Proforma'!$B$5:$D$104,IF(D975="DIA",2,3),FALSE)),0))</f>
        <v/>
      </c>
      <c r="J975" s="31" t="str">
        <f t="shared" si="106"/>
        <v/>
      </c>
      <c r="K975" s="31" t="str">
        <f t="shared" si="107"/>
        <v/>
      </c>
      <c r="L975" s="31" t="str">
        <f>IF(OR(B975="",C975=""),"",IFERROR(E975 / SUMIFS('📅 Resumen Diario'!$D$5:$D$504, '📅 Resumen Diario'!$B$5:$B$504, B975, '📅 Resumen Diario'!$C$5:$C$504, D975) * SUMIFS('📅 Resumen Diario'!$K$5:$K$504, '📅 Resumen Diario'!$B$5:$B$504, B975, '📅 Resumen Diario'!$C$5:$C$504, D975), 0))</f>
        <v/>
      </c>
      <c r="M975" s="31" t="str">
        <f t="shared" si="108"/>
        <v/>
      </c>
      <c r="N975" s="31" t="str">
        <f t="shared" si="109"/>
        <v/>
      </c>
      <c r="O975" s="31" t="str">
        <f>IF(OR(B975="",C975=""),"",K975-N975 + IFERROR(E975 / SUMIFS('📅 Resumen Diario'!$D$5:$D$504, '📅 Resumen Diario'!$B$5:$B$504, B975, '📅 Resumen Diario'!$C$5:$C$504, D975) * (SUMIFS('📋 Detalle Diario'!$E$5:$E$489, '📋 Detalle Diario'!$B$5:$B$489, B975, '📋 Detalle Diario'!$C$5:$C$489, D975) * 135 + SUMIFS('📋 Detalle Diario'!$I$5:$I$489, '📋 Detalle Diario'!$B$5:$B$489, B975, '📋 Detalle Diario'!$C$5:$C$489, D975) * 200), 0))</f>
        <v/>
      </c>
      <c r="P975" s="32" t="str">
        <f t="shared" si="110"/>
        <v/>
      </c>
      <c r="Q975" s="33" t="str">
        <f t="shared" si="111"/>
        <v/>
      </c>
    </row>
    <row r="976" spans="2:17" ht="18" customHeight="1" x14ac:dyDescent="0.3">
      <c r="B976" s="26"/>
      <c r="C976" s="17"/>
      <c r="D976" s="27"/>
      <c r="E976" s="18"/>
      <c r="F976" s="18"/>
      <c r="G976" s="18"/>
      <c r="H976" s="30" t="str">
        <f t="shared" si="105"/>
        <v/>
      </c>
      <c r="I976" s="31" t="str">
        <f>IF(OR(B976="",C976=""),"",IFERROR(E976*IF(E976="",0,VLOOKUP(C976,'📦 Precios Proforma'!$B$5:$D$104,IF(D976="DIA",2,3),FALSE)),0))</f>
        <v/>
      </c>
      <c r="J976" s="31" t="str">
        <f t="shared" si="106"/>
        <v/>
      </c>
      <c r="K976" s="31" t="str">
        <f t="shared" si="107"/>
        <v/>
      </c>
      <c r="L976" s="31" t="str">
        <f>IF(OR(B976="",C976=""),"",IFERROR(E976 / SUMIFS('📅 Resumen Diario'!$D$5:$D$504, '📅 Resumen Diario'!$B$5:$B$504, B976, '📅 Resumen Diario'!$C$5:$C$504, D976) * SUMIFS('📅 Resumen Diario'!$K$5:$K$504, '📅 Resumen Diario'!$B$5:$B$504, B976, '📅 Resumen Diario'!$C$5:$C$504, D976), 0))</f>
        <v/>
      </c>
      <c r="M976" s="31" t="str">
        <f t="shared" si="108"/>
        <v/>
      </c>
      <c r="N976" s="31" t="str">
        <f t="shared" si="109"/>
        <v/>
      </c>
      <c r="O976" s="31" t="str">
        <f>IF(OR(B976="",C976=""),"",K976-N976 + IFERROR(E976 / SUMIFS('📅 Resumen Diario'!$D$5:$D$504, '📅 Resumen Diario'!$B$5:$B$504, B976, '📅 Resumen Diario'!$C$5:$C$504, D976) * (SUMIFS('📋 Detalle Diario'!$E$5:$E$489, '📋 Detalle Diario'!$B$5:$B$489, B976, '📋 Detalle Diario'!$C$5:$C$489, D976) * 135 + SUMIFS('📋 Detalle Diario'!$I$5:$I$489, '📋 Detalle Diario'!$B$5:$B$489, B976, '📋 Detalle Diario'!$C$5:$C$489, D976) * 200), 0))</f>
        <v/>
      </c>
      <c r="P976" s="32" t="str">
        <f t="shared" si="110"/>
        <v/>
      </c>
      <c r="Q976" s="33" t="str">
        <f t="shared" si="111"/>
        <v/>
      </c>
    </row>
    <row r="977" spans="2:17" ht="18" customHeight="1" x14ac:dyDescent="0.3">
      <c r="B977" s="26"/>
      <c r="C977" s="28"/>
      <c r="D977" s="27"/>
      <c r="E977" s="29"/>
      <c r="F977" s="29"/>
      <c r="G977" s="29"/>
      <c r="H977" s="30" t="str">
        <f t="shared" si="105"/>
        <v/>
      </c>
      <c r="I977" s="31" t="str">
        <f>IF(OR(B977="",C977=""),"",IFERROR(E977*IF(E977="",0,VLOOKUP(C977,'📦 Precios Proforma'!$B$5:$D$104,IF(D977="DIA",2,3),FALSE)),0))</f>
        <v/>
      </c>
      <c r="J977" s="31" t="str">
        <f t="shared" si="106"/>
        <v/>
      </c>
      <c r="K977" s="31" t="str">
        <f t="shared" si="107"/>
        <v/>
      </c>
      <c r="L977" s="31" t="str">
        <f>IF(OR(B977="",C977=""),"",IFERROR(E977 / SUMIFS('📅 Resumen Diario'!$D$5:$D$504, '📅 Resumen Diario'!$B$5:$B$504, B977, '📅 Resumen Diario'!$C$5:$C$504, D977) * SUMIFS('📅 Resumen Diario'!$K$5:$K$504, '📅 Resumen Diario'!$B$5:$B$504, B977, '📅 Resumen Diario'!$C$5:$C$504, D977), 0))</f>
        <v/>
      </c>
      <c r="M977" s="31" t="str">
        <f t="shared" si="108"/>
        <v/>
      </c>
      <c r="N977" s="31" t="str">
        <f t="shared" si="109"/>
        <v/>
      </c>
      <c r="O977" s="31" t="str">
        <f>IF(OR(B977="",C977=""),"",K977-N977 + IFERROR(E977 / SUMIFS('📅 Resumen Diario'!$D$5:$D$504, '📅 Resumen Diario'!$B$5:$B$504, B977, '📅 Resumen Diario'!$C$5:$C$504, D977) * (SUMIFS('📋 Detalle Diario'!$E$5:$E$489, '📋 Detalle Diario'!$B$5:$B$489, B977, '📋 Detalle Diario'!$C$5:$C$489, D977) * 135 + SUMIFS('📋 Detalle Diario'!$I$5:$I$489, '📋 Detalle Diario'!$B$5:$B$489, B977, '📋 Detalle Diario'!$C$5:$C$489, D977) * 200), 0))</f>
        <v/>
      </c>
      <c r="P977" s="32" t="str">
        <f t="shared" si="110"/>
        <v/>
      </c>
      <c r="Q977" s="33" t="str">
        <f t="shared" si="111"/>
        <v/>
      </c>
    </row>
    <row r="978" spans="2:17" ht="18" customHeight="1" x14ac:dyDescent="0.3">
      <c r="B978" s="26"/>
      <c r="C978" s="17"/>
      <c r="D978" s="27"/>
      <c r="E978" s="18"/>
      <c r="F978" s="18"/>
      <c r="G978" s="18"/>
      <c r="H978" s="30" t="str">
        <f t="shared" si="105"/>
        <v/>
      </c>
      <c r="I978" s="31" t="str">
        <f>IF(OR(B978="",C978=""),"",IFERROR(E978*IF(E978="",0,VLOOKUP(C978,'📦 Precios Proforma'!$B$5:$D$104,IF(D978="DIA",2,3),FALSE)),0))</f>
        <v/>
      </c>
      <c r="J978" s="31" t="str">
        <f t="shared" si="106"/>
        <v/>
      </c>
      <c r="K978" s="31" t="str">
        <f t="shared" si="107"/>
        <v/>
      </c>
      <c r="L978" s="31" t="str">
        <f>IF(OR(B978="",C978=""),"",IFERROR(E978 / SUMIFS('📅 Resumen Diario'!$D$5:$D$504, '📅 Resumen Diario'!$B$5:$B$504, B978, '📅 Resumen Diario'!$C$5:$C$504, D978) * SUMIFS('📅 Resumen Diario'!$K$5:$K$504, '📅 Resumen Diario'!$B$5:$B$504, B978, '📅 Resumen Diario'!$C$5:$C$504, D978), 0))</f>
        <v/>
      </c>
      <c r="M978" s="31" t="str">
        <f t="shared" si="108"/>
        <v/>
      </c>
      <c r="N978" s="31" t="str">
        <f t="shared" si="109"/>
        <v/>
      </c>
      <c r="O978" s="31" t="str">
        <f>IF(OR(B978="",C978=""),"",K978-N978 + IFERROR(E978 / SUMIFS('📅 Resumen Diario'!$D$5:$D$504, '📅 Resumen Diario'!$B$5:$B$504, B978, '📅 Resumen Diario'!$C$5:$C$504, D978) * (SUMIFS('📋 Detalle Diario'!$E$5:$E$489, '📋 Detalle Diario'!$B$5:$B$489, B978, '📋 Detalle Diario'!$C$5:$C$489, D978) * 135 + SUMIFS('📋 Detalle Diario'!$I$5:$I$489, '📋 Detalle Diario'!$B$5:$B$489, B978, '📋 Detalle Diario'!$C$5:$C$489, D978) * 200), 0))</f>
        <v/>
      </c>
      <c r="P978" s="32" t="str">
        <f t="shared" si="110"/>
        <v/>
      </c>
      <c r="Q978" s="33" t="str">
        <f t="shared" si="111"/>
        <v/>
      </c>
    </row>
    <row r="979" spans="2:17" ht="18" customHeight="1" x14ac:dyDescent="0.3">
      <c r="B979" s="26"/>
      <c r="C979" s="28"/>
      <c r="D979" s="27"/>
      <c r="E979" s="29"/>
      <c r="F979" s="29"/>
      <c r="G979" s="29"/>
      <c r="H979" s="30" t="str">
        <f t="shared" si="105"/>
        <v/>
      </c>
      <c r="I979" s="31" t="str">
        <f>IF(OR(B979="",C979=""),"",IFERROR(E979*IF(E979="",0,VLOOKUP(C979,'📦 Precios Proforma'!$B$5:$D$104,IF(D979="DIA",2,3),FALSE)),0))</f>
        <v/>
      </c>
      <c r="J979" s="31" t="str">
        <f t="shared" si="106"/>
        <v/>
      </c>
      <c r="K979" s="31" t="str">
        <f t="shared" si="107"/>
        <v/>
      </c>
      <c r="L979" s="31" t="str">
        <f>IF(OR(B979="",C979=""),"",IFERROR(E979 / SUMIFS('📅 Resumen Diario'!$D$5:$D$504, '📅 Resumen Diario'!$B$5:$B$504, B979, '📅 Resumen Diario'!$C$5:$C$504, D979) * SUMIFS('📅 Resumen Diario'!$K$5:$K$504, '📅 Resumen Diario'!$B$5:$B$504, B979, '📅 Resumen Diario'!$C$5:$C$504, D979), 0))</f>
        <v/>
      </c>
      <c r="M979" s="31" t="str">
        <f t="shared" si="108"/>
        <v/>
      </c>
      <c r="N979" s="31" t="str">
        <f t="shared" si="109"/>
        <v/>
      </c>
      <c r="O979" s="31" t="str">
        <f>IF(OR(B979="",C979=""),"",K979-N979 + IFERROR(E979 / SUMIFS('📅 Resumen Diario'!$D$5:$D$504, '📅 Resumen Diario'!$B$5:$B$504, B979, '📅 Resumen Diario'!$C$5:$C$504, D979) * (SUMIFS('📋 Detalle Diario'!$E$5:$E$489, '📋 Detalle Diario'!$B$5:$B$489, B979, '📋 Detalle Diario'!$C$5:$C$489, D979) * 135 + SUMIFS('📋 Detalle Diario'!$I$5:$I$489, '📋 Detalle Diario'!$B$5:$B$489, B979, '📋 Detalle Diario'!$C$5:$C$489, D979) * 200), 0))</f>
        <v/>
      </c>
      <c r="P979" s="32" t="str">
        <f t="shared" si="110"/>
        <v/>
      </c>
      <c r="Q979" s="33" t="str">
        <f t="shared" si="111"/>
        <v/>
      </c>
    </row>
    <row r="980" spans="2:17" ht="18" customHeight="1" x14ac:dyDescent="0.3">
      <c r="B980" s="26"/>
      <c r="C980" s="17"/>
      <c r="D980" s="27"/>
      <c r="E980" s="18"/>
      <c r="F980" s="18"/>
      <c r="G980" s="18"/>
      <c r="H980" s="30" t="str">
        <f t="shared" si="105"/>
        <v/>
      </c>
      <c r="I980" s="31" t="str">
        <f>IF(OR(B980="",C980=""),"",IFERROR(E980*IF(E980="",0,VLOOKUP(C980,'📦 Precios Proforma'!$B$5:$D$104,IF(D980="DIA",2,3),FALSE)),0))</f>
        <v/>
      </c>
      <c r="J980" s="31" t="str">
        <f t="shared" si="106"/>
        <v/>
      </c>
      <c r="K980" s="31" t="str">
        <f t="shared" si="107"/>
        <v/>
      </c>
      <c r="L980" s="31" t="str">
        <f>IF(OR(B980="",C980=""),"",IFERROR(E980 / SUMIFS('📅 Resumen Diario'!$D$5:$D$504, '📅 Resumen Diario'!$B$5:$B$504, B980, '📅 Resumen Diario'!$C$5:$C$504, D980) * SUMIFS('📅 Resumen Diario'!$K$5:$K$504, '📅 Resumen Diario'!$B$5:$B$504, B980, '📅 Resumen Diario'!$C$5:$C$504, D980), 0))</f>
        <v/>
      </c>
      <c r="M980" s="31" t="str">
        <f t="shared" si="108"/>
        <v/>
      </c>
      <c r="N980" s="31" t="str">
        <f t="shared" si="109"/>
        <v/>
      </c>
      <c r="O980" s="31" t="str">
        <f>IF(OR(B980="",C980=""),"",K980-N980 + IFERROR(E980 / SUMIFS('📅 Resumen Diario'!$D$5:$D$504, '📅 Resumen Diario'!$B$5:$B$504, B980, '📅 Resumen Diario'!$C$5:$C$504, D980) * (SUMIFS('📋 Detalle Diario'!$E$5:$E$489, '📋 Detalle Diario'!$B$5:$B$489, B980, '📋 Detalle Diario'!$C$5:$C$489, D980) * 135 + SUMIFS('📋 Detalle Diario'!$I$5:$I$489, '📋 Detalle Diario'!$B$5:$B$489, B980, '📋 Detalle Diario'!$C$5:$C$489, D980) * 200), 0))</f>
        <v/>
      </c>
      <c r="P980" s="32" t="str">
        <f t="shared" si="110"/>
        <v/>
      </c>
      <c r="Q980" s="33" t="str">
        <f t="shared" si="111"/>
        <v/>
      </c>
    </row>
    <row r="981" spans="2:17" ht="18" customHeight="1" x14ac:dyDescent="0.3">
      <c r="B981" s="26"/>
      <c r="C981" s="28"/>
      <c r="D981" s="27"/>
      <c r="E981" s="29"/>
      <c r="F981" s="29"/>
      <c r="G981" s="29"/>
      <c r="H981" s="30" t="str">
        <f t="shared" si="105"/>
        <v/>
      </c>
      <c r="I981" s="31" t="str">
        <f>IF(OR(B981="",C981=""),"",IFERROR(E981*IF(E981="",0,VLOOKUP(C981,'📦 Precios Proforma'!$B$5:$D$104,IF(D981="DIA",2,3),FALSE)),0))</f>
        <v/>
      </c>
      <c r="J981" s="31" t="str">
        <f t="shared" si="106"/>
        <v/>
      </c>
      <c r="K981" s="31" t="str">
        <f t="shared" si="107"/>
        <v/>
      </c>
      <c r="L981" s="31" t="str">
        <f>IF(OR(B981="",C981=""),"",IFERROR(E981 / SUMIFS('📅 Resumen Diario'!$D$5:$D$504, '📅 Resumen Diario'!$B$5:$B$504, B981, '📅 Resumen Diario'!$C$5:$C$504, D981) * SUMIFS('📅 Resumen Diario'!$K$5:$K$504, '📅 Resumen Diario'!$B$5:$B$504, B981, '📅 Resumen Diario'!$C$5:$C$504, D981), 0))</f>
        <v/>
      </c>
      <c r="M981" s="31" t="str">
        <f t="shared" si="108"/>
        <v/>
      </c>
      <c r="N981" s="31" t="str">
        <f t="shared" si="109"/>
        <v/>
      </c>
      <c r="O981" s="31" t="str">
        <f>IF(OR(B981="",C981=""),"",K981-N981 + IFERROR(E981 / SUMIFS('📅 Resumen Diario'!$D$5:$D$504, '📅 Resumen Diario'!$B$5:$B$504, B981, '📅 Resumen Diario'!$C$5:$C$504, D981) * (SUMIFS('📋 Detalle Diario'!$E$5:$E$489, '📋 Detalle Diario'!$B$5:$B$489, B981, '📋 Detalle Diario'!$C$5:$C$489, D981) * 135 + SUMIFS('📋 Detalle Diario'!$I$5:$I$489, '📋 Detalle Diario'!$B$5:$B$489, B981, '📋 Detalle Diario'!$C$5:$C$489, D981) * 200), 0))</f>
        <v/>
      </c>
      <c r="P981" s="32" t="str">
        <f t="shared" si="110"/>
        <v/>
      </c>
      <c r="Q981" s="33" t="str">
        <f t="shared" si="111"/>
        <v/>
      </c>
    </row>
    <row r="982" spans="2:17" ht="18" customHeight="1" x14ac:dyDescent="0.3">
      <c r="B982" s="26"/>
      <c r="C982" s="17"/>
      <c r="D982" s="27"/>
      <c r="E982" s="18"/>
      <c r="F982" s="18"/>
      <c r="G982" s="18"/>
      <c r="H982" s="30" t="str">
        <f t="shared" si="105"/>
        <v/>
      </c>
      <c r="I982" s="31" t="str">
        <f>IF(OR(B982="",C982=""),"",IFERROR(E982*IF(E982="",0,VLOOKUP(C982,'📦 Precios Proforma'!$B$5:$D$104,IF(D982="DIA",2,3),FALSE)),0))</f>
        <v/>
      </c>
      <c r="J982" s="31" t="str">
        <f t="shared" si="106"/>
        <v/>
      </c>
      <c r="K982" s="31" t="str">
        <f t="shared" si="107"/>
        <v/>
      </c>
      <c r="L982" s="31" t="str">
        <f>IF(OR(B982="",C982=""),"",IFERROR(E982 / SUMIFS('📅 Resumen Diario'!$D$5:$D$504, '📅 Resumen Diario'!$B$5:$B$504, B982, '📅 Resumen Diario'!$C$5:$C$504, D982) * SUMIFS('📅 Resumen Diario'!$K$5:$K$504, '📅 Resumen Diario'!$B$5:$B$504, B982, '📅 Resumen Diario'!$C$5:$C$504, D982), 0))</f>
        <v/>
      </c>
      <c r="M982" s="31" t="str">
        <f t="shared" si="108"/>
        <v/>
      </c>
      <c r="N982" s="31" t="str">
        <f t="shared" si="109"/>
        <v/>
      </c>
      <c r="O982" s="31" t="str">
        <f>IF(OR(B982="",C982=""),"",K982-N982 + IFERROR(E982 / SUMIFS('📅 Resumen Diario'!$D$5:$D$504, '📅 Resumen Diario'!$B$5:$B$504, B982, '📅 Resumen Diario'!$C$5:$C$504, D982) * (SUMIFS('📋 Detalle Diario'!$E$5:$E$489, '📋 Detalle Diario'!$B$5:$B$489, B982, '📋 Detalle Diario'!$C$5:$C$489, D982) * 135 + SUMIFS('📋 Detalle Diario'!$I$5:$I$489, '📋 Detalle Diario'!$B$5:$B$489, B982, '📋 Detalle Diario'!$C$5:$C$489, D982) * 200), 0))</f>
        <v/>
      </c>
      <c r="P982" s="32" t="str">
        <f t="shared" si="110"/>
        <v/>
      </c>
      <c r="Q982" s="33" t="str">
        <f t="shared" si="111"/>
        <v/>
      </c>
    </row>
    <row r="983" spans="2:17" ht="18" customHeight="1" x14ac:dyDescent="0.3">
      <c r="B983" s="26"/>
      <c r="C983" s="28"/>
      <c r="D983" s="27"/>
      <c r="E983" s="29"/>
      <c r="F983" s="29"/>
      <c r="G983" s="29"/>
      <c r="H983" s="30" t="str">
        <f t="shared" si="105"/>
        <v/>
      </c>
      <c r="I983" s="31" t="str">
        <f>IF(OR(B983="",C983=""),"",IFERROR(E983*IF(E983="",0,VLOOKUP(C983,'📦 Precios Proforma'!$B$5:$D$104,IF(D983="DIA",2,3),FALSE)),0))</f>
        <v/>
      </c>
      <c r="J983" s="31" t="str">
        <f t="shared" si="106"/>
        <v/>
      </c>
      <c r="K983" s="31" t="str">
        <f t="shared" si="107"/>
        <v/>
      </c>
      <c r="L983" s="31" t="str">
        <f>IF(OR(B983="",C983=""),"",IFERROR(E983 / SUMIFS('📅 Resumen Diario'!$D$5:$D$504, '📅 Resumen Diario'!$B$5:$B$504, B983, '📅 Resumen Diario'!$C$5:$C$504, D983) * SUMIFS('📅 Resumen Diario'!$K$5:$K$504, '📅 Resumen Diario'!$B$5:$B$504, B983, '📅 Resumen Diario'!$C$5:$C$504, D983), 0))</f>
        <v/>
      </c>
      <c r="M983" s="31" t="str">
        <f t="shared" si="108"/>
        <v/>
      </c>
      <c r="N983" s="31" t="str">
        <f t="shared" si="109"/>
        <v/>
      </c>
      <c r="O983" s="31" t="str">
        <f>IF(OR(B983="",C983=""),"",K983-N983 + IFERROR(E983 / SUMIFS('📅 Resumen Diario'!$D$5:$D$504, '📅 Resumen Diario'!$B$5:$B$504, B983, '📅 Resumen Diario'!$C$5:$C$504, D983) * (SUMIFS('📋 Detalle Diario'!$E$5:$E$489, '📋 Detalle Diario'!$B$5:$B$489, B983, '📋 Detalle Diario'!$C$5:$C$489, D983) * 135 + SUMIFS('📋 Detalle Diario'!$I$5:$I$489, '📋 Detalle Diario'!$B$5:$B$489, B983, '📋 Detalle Diario'!$C$5:$C$489, D983) * 200), 0))</f>
        <v/>
      </c>
      <c r="P983" s="32" t="str">
        <f t="shared" si="110"/>
        <v/>
      </c>
      <c r="Q983" s="33" t="str">
        <f t="shared" si="111"/>
        <v/>
      </c>
    </row>
    <row r="984" spans="2:17" ht="18" customHeight="1" x14ac:dyDescent="0.3">
      <c r="B984" s="26"/>
      <c r="C984" s="17"/>
      <c r="D984" s="27"/>
      <c r="E984" s="18"/>
      <c r="F984" s="18"/>
      <c r="G984" s="18"/>
      <c r="H984" s="30" t="str">
        <f t="shared" si="105"/>
        <v/>
      </c>
      <c r="I984" s="31" t="str">
        <f>IF(OR(B984="",C984=""),"",IFERROR(E984*IF(E984="",0,VLOOKUP(C984,'📦 Precios Proforma'!$B$5:$D$104,IF(D984="DIA",2,3),FALSE)),0))</f>
        <v/>
      </c>
      <c r="J984" s="31" t="str">
        <f t="shared" si="106"/>
        <v/>
      </c>
      <c r="K984" s="31" t="str">
        <f t="shared" si="107"/>
        <v/>
      </c>
      <c r="L984" s="31" t="str">
        <f>IF(OR(B984="",C984=""),"",IFERROR(E984 / SUMIFS('📅 Resumen Diario'!$D$5:$D$504, '📅 Resumen Diario'!$B$5:$B$504, B984, '📅 Resumen Diario'!$C$5:$C$504, D984) * SUMIFS('📅 Resumen Diario'!$K$5:$K$504, '📅 Resumen Diario'!$B$5:$B$504, B984, '📅 Resumen Diario'!$C$5:$C$504, D984), 0))</f>
        <v/>
      </c>
      <c r="M984" s="31" t="str">
        <f t="shared" si="108"/>
        <v/>
      </c>
      <c r="N984" s="31" t="str">
        <f t="shared" si="109"/>
        <v/>
      </c>
      <c r="O984" s="31" t="str">
        <f>IF(OR(B984="",C984=""),"",K984-N984 + IFERROR(E984 / SUMIFS('📅 Resumen Diario'!$D$5:$D$504, '📅 Resumen Diario'!$B$5:$B$504, B984, '📅 Resumen Diario'!$C$5:$C$504, D984) * (SUMIFS('📋 Detalle Diario'!$E$5:$E$489, '📋 Detalle Diario'!$B$5:$B$489, B984, '📋 Detalle Diario'!$C$5:$C$489, D984) * 135 + SUMIFS('📋 Detalle Diario'!$I$5:$I$489, '📋 Detalle Diario'!$B$5:$B$489, B984, '📋 Detalle Diario'!$C$5:$C$489, D984) * 200), 0))</f>
        <v/>
      </c>
      <c r="P984" s="32" t="str">
        <f t="shared" si="110"/>
        <v/>
      </c>
      <c r="Q984" s="33" t="str">
        <f t="shared" si="111"/>
        <v/>
      </c>
    </row>
    <row r="985" spans="2:17" ht="18" customHeight="1" x14ac:dyDescent="0.3">
      <c r="B985" s="26"/>
      <c r="C985" s="28"/>
      <c r="D985" s="27"/>
      <c r="E985" s="29"/>
      <c r="F985" s="29"/>
      <c r="G985" s="29"/>
      <c r="H985" s="30" t="str">
        <f t="shared" si="105"/>
        <v/>
      </c>
      <c r="I985" s="31" t="str">
        <f>IF(OR(B985="",C985=""),"",IFERROR(E985*IF(E985="",0,VLOOKUP(C985,'📦 Precios Proforma'!$B$5:$D$104,IF(D985="DIA",2,3),FALSE)),0))</f>
        <v/>
      </c>
      <c r="J985" s="31" t="str">
        <f t="shared" si="106"/>
        <v/>
      </c>
      <c r="K985" s="31" t="str">
        <f t="shared" si="107"/>
        <v/>
      </c>
      <c r="L985" s="31" t="str">
        <f>IF(OR(B985="",C985=""),"",IFERROR(E985 / SUMIFS('📅 Resumen Diario'!$D$5:$D$504, '📅 Resumen Diario'!$B$5:$B$504, B985, '📅 Resumen Diario'!$C$5:$C$504, D985) * SUMIFS('📅 Resumen Diario'!$K$5:$K$504, '📅 Resumen Diario'!$B$5:$B$504, B985, '📅 Resumen Diario'!$C$5:$C$504, D985), 0))</f>
        <v/>
      </c>
      <c r="M985" s="31" t="str">
        <f t="shared" si="108"/>
        <v/>
      </c>
      <c r="N985" s="31" t="str">
        <f t="shared" si="109"/>
        <v/>
      </c>
      <c r="O985" s="31" t="str">
        <f>IF(OR(B985="",C985=""),"",K985-N985 + IFERROR(E985 / SUMIFS('📅 Resumen Diario'!$D$5:$D$504, '📅 Resumen Diario'!$B$5:$B$504, B985, '📅 Resumen Diario'!$C$5:$C$504, D985) * (SUMIFS('📋 Detalle Diario'!$E$5:$E$489, '📋 Detalle Diario'!$B$5:$B$489, B985, '📋 Detalle Diario'!$C$5:$C$489, D985) * 135 + SUMIFS('📋 Detalle Diario'!$I$5:$I$489, '📋 Detalle Diario'!$B$5:$B$489, B985, '📋 Detalle Diario'!$C$5:$C$489, D985) * 200), 0))</f>
        <v/>
      </c>
      <c r="P985" s="32" t="str">
        <f t="shared" si="110"/>
        <v/>
      </c>
      <c r="Q985" s="33" t="str">
        <f t="shared" si="111"/>
        <v/>
      </c>
    </row>
    <row r="986" spans="2:17" ht="18" customHeight="1" x14ac:dyDescent="0.3">
      <c r="B986" s="26"/>
      <c r="C986" s="17"/>
      <c r="D986" s="27"/>
      <c r="E986" s="18"/>
      <c r="F986" s="18"/>
      <c r="G986" s="18"/>
      <c r="H986" s="30" t="str">
        <f t="shared" si="105"/>
        <v/>
      </c>
      <c r="I986" s="31" t="str">
        <f>IF(OR(B986="",C986=""),"",IFERROR(E986*IF(E986="",0,VLOOKUP(C986,'📦 Precios Proforma'!$B$5:$D$104,IF(D986="DIA",2,3),FALSE)),0))</f>
        <v/>
      </c>
      <c r="J986" s="31" t="str">
        <f t="shared" si="106"/>
        <v/>
      </c>
      <c r="K986" s="31" t="str">
        <f t="shared" si="107"/>
        <v/>
      </c>
      <c r="L986" s="31" t="str">
        <f>IF(OR(B986="",C986=""),"",IFERROR(E986 / SUMIFS('📅 Resumen Diario'!$D$5:$D$504, '📅 Resumen Diario'!$B$5:$B$504, B986, '📅 Resumen Diario'!$C$5:$C$504, D986) * SUMIFS('📅 Resumen Diario'!$K$5:$K$504, '📅 Resumen Diario'!$B$5:$B$504, B986, '📅 Resumen Diario'!$C$5:$C$504, D986), 0))</f>
        <v/>
      </c>
      <c r="M986" s="31" t="str">
        <f t="shared" si="108"/>
        <v/>
      </c>
      <c r="N986" s="31" t="str">
        <f t="shared" si="109"/>
        <v/>
      </c>
      <c r="O986" s="31" t="str">
        <f>IF(OR(B986="",C986=""),"",K986-N986 + IFERROR(E986 / SUMIFS('📅 Resumen Diario'!$D$5:$D$504, '📅 Resumen Diario'!$B$5:$B$504, B986, '📅 Resumen Diario'!$C$5:$C$504, D986) * (SUMIFS('📋 Detalle Diario'!$E$5:$E$489, '📋 Detalle Diario'!$B$5:$B$489, B986, '📋 Detalle Diario'!$C$5:$C$489, D986) * 135 + SUMIFS('📋 Detalle Diario'!$I$5:$I$489, '📋 Detalle Diario'!$B$5:$B$489, B986, '📋 Detalle Diario'!$C$5:$C$489, D986) * 200), 0))</f>
        <v/>
      </c>
      <c r="P986" s="32" t="str">
        <f t="shared" si="110"/>
        <v/>
      </c>
      <c r="Q986" s="33" t="str">
        <f t="shared" si="111"/>
        <v/>
      </c>
    </row>
    <row r="987" spans="2:17" ht="18" customHeight="1" x14ac:dyDescent="0.3">
      <c r="B987" s="26"/>
      <c r="C987" s="28"/>
      <c r="D987" s="27"/>
      <c r="E987" s="29"/>
      <c r="F987" s="29"/>
      <c r="G987" s="29"/>
      <c r="H987" s="30" t="str">
        <f t="shared" si="105"/>
        <v/>
      </c>
      <c r="I987" s="31" t="str">
        <f>IF(OR(B987="",C987=""),"",IFERROR(E987*IF(E987="",0,VLOOKUP(C987,'📦 Precios Proforma'!$B$5:$D$104,IF(D987="DIA",2,3),FALSE)),0))</f>
        <v/>
      </c>
      <c r="J987" s="31" t="str">
        <f t="shared" si="106"/>
        <v/>
      </c>
      <c r="K987" s="31" t="str">
        <f t="shared" si="107"/>
        <v/>
      </c>
      <c r="L987" s="31" t="str">
        <f>IF(OR(B987="",C987=""),"",IFERROR(E987 / SUMIFS('📅 Resumen Diario'!$D$5:$D$504, '📅 Resumen Diario'!$B$5:$B$504, B987, '📅 Resumen Diario'!$C$5:$C$504, D987) * SUMIFS('📅 Resumen Diario'!$K$5:$K$504, '📅 Resumen Diario'!$B$5:$B$504, B987, '📅 Resumen Diario'!$C$5:$C$504, D987), 0))</f>
        <v/>
      </c>
      <c r="M987" s="31" t="str">
        <f t="shared" si="108"/>
        <v/>
      </c>
      <c r="N987" s="31" t="str">
        <f t="shared" si="109"/>
        <v/>
      </c>
      <c r="O987" s="31" t="str">
        <f>IF(OR(B987="",C987=""),"",K987-N987 + IFERROR(E987 / SUMIFS('📅 Resumen Diario'!$D$5:$D$504, '📅 Resumen Diario'!$B$5:$B$504, B987, '📅 Resumen Diario'!$C$5:$C$504, D987) * (SUMIFS('📋 Detalle Diario'!$E$5:$E$489, '📋 Detalle Diario'!$B$5:$B$489, B987, '📋 Detalle Diario'!$C$5:$C$489, D987) * 135 + SUMIFS('📋 Detalle Diario'!$I$5:$I$489, '📋 Detalle Diario'!$B$5:$B$489, B987, '📋 Detalle Diario'!$C$5:$C$489, D987) * 200), 0))</f>
        <v/>
      </c>
      <c r="P987" s="32" t="str">
        <f t="shared" si="110"/>
        <v/>
      </c>
      <c r="Q987" s="33" t="str">
        <f t="shared" si="111"/>
        <v/>
      </c>
    </row>
    <row r="988" spans="2:17" ht="18" customHeight="1" x14ac:dyDescent="0.3">
      <c r="B988" s="26"/>
      <c r="C988" s="17"/>
      <c r="D988" s="27"/>
      <c r="E988" s="18"/>
      <c r="F988" s="18"/>
      <c r="G988" s="18"/>
      <c r="H988" s="30" t="str">
        <f t="shared" si="105"/>
        <v/>
      </c>
      <c r="I988" s="31" t="str">
        <f>IF(OR(B988="",C988=""),"",IFERROR(E988*IF(E988="",0,VLOOKUP(C988,'📦 Precios Proforma'!$B$5:$D$104,IF(D988="DIA",2,3),FALSE)),0))</f>
        <v/>
      </c>
      <c r="J988" s="31" t="str">
        <f t="shared" si="106"/>
        <v/>
      </c>
      <c r="K988" s="31" t="str">
        <f t="shared" si="107"/>
        <v/>
      </c>
      <c r="L988" s="31" t="str">
        <f>IF(OR(B988="",C988=""),"",IFERROR(E988 / SUMIFS('📅 Resumen Diario'!$D$5:$D$504, '📅 Resumen Diario'!$B$5:$B$504, B988, '📅 Resumen Diario'!$C$5:$C$504, D988) * SUMIFS('📅 Resumen Diario'!$K$5:$K$504, '📅 Resumen Diario'!$B$5:$B$504, B988, '📅 Resumen Diario'!$C$5:$C$504, D988), 0))</f>
        <v/>
      </c>
      <c r="M988" s="31" t="str">
        <f t="shared" si="108"/>
        <v/>
      </c>
      <c r="N988" s="31" t="str">
        <f t="shared" si="109"/>
        <v/>
      </c>
      <c r="O988" s="31" t="str">
        <f>IF(OR(B988="",C988=""),"",K988-N988 + IFERROR(E988 / SUMIFS('📅 Resumen Diario'!$D$5:$D$504, '📅 Resumen Diario'!$B$5:$B$504, B988, '📅 Resumen Diario'!$C$5:$C$504, D988) * (SUMIFS('📋 Detalle Diario'!$E$5:$E$489, '📋 Detalle Diario'!$B$5:$B$489, B988, '📋 Detalle Diario'!$C$5:$C$489, D988) * 135 + SUMIFS('📋 Detalle Diario'!$I$5:$I$489, '📋 Detalle Diario'!$B$5:$B$489, B988, '📋 Detalle Diario'!$C$5:$C$489, D988) * 200), 0))</f>
        <v/>
      </c>
      <c r="P988" s="32" t="str">
        <f t="shared" si="110"/>
        <v/>
      </c>
      <c r="Q988" s="33" t="str">
        <f t="shared" si="111"/>
        <v/>
      </c>
    </row>
    <row r="989" spans="2:17" ht="18" customHeight="1" x14ac:dyDescent="0.3">
      <c r="B989" s="26"/>
      <c r="C989" s="28"/>
      <c r="D989" s="27"/>
      <c r="E989" s="29"/>
      <c r="F989" s="29"/>
      <c r="G989" s="29"/>
      <c r="H989" s="30" t="str">
        <f t="shared" si="105"/>
        <v/>
      </c>
      <c r="I989" s="31" t="str">
        <f>IF(OR(B989="",C989=""),"",IFERROR(E989*IF(E989="",0,VLOOKUP(C989,'📦 Precios Proforma'!$B$5:$D$104,IF(D989="DIA",2,3),FALSE)),0))</f>
        <v/>
      </c>
      <c r="J989" s="31" t="str">
        <f t="shared" si="106"/>
        <v/>
      </c>
      <c r="K989" s="31" t="str">
        <f t="shared" si="107"/>
        <v/>
      </c>
      <c r="L989" s="31" t="str">
        <f>IF(OR(B989="",C989=""),"",IFERROR(E989 / SUMIFS('📅 Resumen Diario'!$D$5:$D$504, '📅 Resumen Diario'!$B$5:$B$504, B989, '📅 Resumen Diario'!$C$5:$C$504, D989) * SUMIFS('📅 Resumen Diario'!$K$5:$K$504, '📅 Resumen Diario'!$B$5:$B$504, B989, '📅 Resumen Diario'!$C$5:$C$504, D989), 0))</f>
        <v/>
      </c>
      <c r="M989" s="31" t="str">
        <f t="shared" si="108"/>
        <v/>
      </c>
      <c r="N989" s="31" t="str">
        <f t="shared" si="109"/>
        <v/>
      </c>
      <c r="O989" s="31" t="str">
        <f>IF(OR(B989="",C989=""),"",K989-N989 + IFERROR(E989 / SUMIFS('📅 Resumen Diario'!$D$5:$D$504, '📅 Resumen Diario'!$B$5:$B$504, B989, '📅 Resumen Diario'!$C$5:$C$504, D989) * (SUMIFS('📋 Detalle Diario'!$E$5:$E$489, '📋 Detalle Diario'!$B$5:$B$489, B989, '📋 Detalle Diario'!$C$5:$C$489, D989) * 135 + SUMIFS('📋 Detalle Diario'!$I$5:$I$489, '📋 Detalle Diario'!$B$5:$B$489, B989, '📋 Detalle Diario'!$C$5:$C$489, D989) * 200), 0))</f>
        <v/>
      </c>
      <c r="P989" s="32" t="str">
        <f t="shared" si="110"/>
        <v/>
      </c>
      <c r="Q989" s="33" t="str">
        <f t="shared" si="111"/>
        <v/>
      </c>
    </row>
    <row r="990" spans="2:17" ht="18" customHeight="1" x14ac:dyDescent="0.3">
      <c r="B990" s="26"/>
      <c r="C990" s="17"/>
      <c r="D990" s="27"/>
      <c r="E990" s="18"/>
      <c r="F990" s="18"/>
      <c r="G990" s="18"/>
      <c r="H990" s="30" t="str">
        <f t="shared" si="105"/>
        <v/>
      </c>
      <c r="I990" s="31" t="str">
        <f>IF(OR(B990="",C990=""),"",IFERROR(E990*IF(E990="",0,VLOOKUP(C990,'📦 Precios Proforma'!$B$5:$D$104,IF(D990="DIA",2,3),FALSE)),0))</f>
        <v/>
      </c>
      <c r="J990" s="31" t="str">
        <f t="shared" si="106"/>
        <v/>
      </c>
      <c r="K990" s="31" t="str">
        <f t="shared" si="107"/>
        <v/>
      </c>
      <c r="L990" s="31" t="str">
        <f>IF(OR(B990="",C990=""),"",IFERROR(E990 / SUMIFS('📅 Resumen Diario'!$D$5:$D$504, '📅 Resumen Diario'!$B$5:$B$504, B990, '📅 Resumen Diario'!$C$5:$C$504, D990) * SUMIFS('📅 Resumen Diario'!$K$5:$K$504, '📅 Resumen Diario'!$B$5:$B$504, B990, '📅 Resumen Diario'!$C$5:$C$504, D990), 0))</f>
        <v/>
      </c>
      <c r="M990" s="31" t="str">
        <f t="shared" si="108"/>
        <v/>
      </c>
      <c r="N990" s="31" t="str">
        <f t="shared" si="109"/>
        <v/>
      </c>
      <c r="O990" s="31" t="str">
        <f>IF(OR(B990="",C990=""),"",K990-N990 + IFERROR(E990 / SUMIFS('📅 Resumen Diario'!$D$5:$D$504, '📅 Resumen Diario'!$B$5:$B$504, B990, '📅 Resumen Diario'!$C$5:$C$504, D990) * (SUMIFS('📋 Detalle Diario'!$E$5:$E$489, '📋 Detalle Diario'!$B$5:$B$489, B990, '📋 Detalle Diario'!$C$5:$C$489, D990) * 135 + SUMIFS('📋 Detalle Diario'!$I$5:$I$489, '📋 Detalle Diario'!$B$5:$B$489, B990, '📋 Detalle Diario'!$C$5:$C$489, D990) * 200), 0))</f>
        <v/>
      </c>
      <c r="P990" s="32" t="str">
        <f t="shared" si="110"/>
        <v/>
      </c>
      <c r="Q990" s="33" t="str">
        <f t="shared" si="111"/>
        <v/>
      </c>
    </row>
    <row r="991" spans="2:17" ht="18" customHeight="1" x14ac:dyDescent="0.3">
      <c r="B991" s="26"/>
      <c r="C991" s="28"/>
      <c r="D991" s="27"/>
      <c r="E991" s="29"/>
      <c r="F991" s="29"/>
      <c r="G991" s="29"/>
      <c r="H991" s="30" t="str">
        <f t="shared" si="105"/>
        <v/>
      </c>
      <c r="I991" s="31" t="str">
        <f>IF(OR(B991="",C991=""),"",IFERROR(E991*IF(E991="",0,VLOOKUP(C991,'📦 Precios Proforma'!$B$5:$D$104,IF(D991="DIA",2,3),FALSE)),0))</f>
        <v/>
      </c>
      <c r="J991" s="31" t="str">
        <f t="shared" si="106"/>
        <v/>
      </c>
      <c r="K991" s="31" t="str">
        <f t="shared" si="107"/>
        <v/>
      </c>
      <c r="L991" s="31" t="str">
        <f>IF(OR(B991="",C991=""),"",IFERROR(E991 / SUMIFS('📅 Resumen Diario'!$D$5:$D$504, '📅 Resumen Diario'!$B$5:$B$504, B991, '📅 Resumen Diario'!$C$5:$C$504, D991) * SUMIFS('📅 Resumen Diario'!$K$5:$K$504, '📅 Resumen Diario'!$B$5:$B$504, B991, '📅 Resumen Diario'!$C$5:$C$504, D991), 0))</f>
        <v/>
      </c>
      <c r="M991" s="31" t="str">
        <f t="shared" si="108"/>
        <v/>
      </c>
      <c r="N991" s="31" t="str">
        <f t="shared" si="109"/>
        <v/>
      </c>
      <c r="O991" s="31" t="str">
        <f>IF(OR(B991="",C991=""),"",K991-N991 + IFERROR(E991 / SUMIFS('📅 Resumen Diario'!$D$5:$D$504, '📅 Resumen Diario'!$B$5:$B$504, B991, '📅 Resumen Diario'!$C$5:$C$504, D991) * (SUMIFS('📋 Detalle Diario'!$E$5:$E$489, '📋 Detalle Diario'!$B$5:$B$489, B991, '📋 Detalle Diario'!$C$5:$C$489, D991) * 135 + SUMIFS('📋 Detalle Diario'!$I$5:$I$489, '📋 Detalle Diario'!$B$5:$B$489, B991, '📋 Detalle Diario'!$C$5:$C$489, D991) * 200), 0))</f>
        <v/>
      </c>
      <c r="P991" s="32" t="str">
        <f t="shared" si="110"/>
        <v/>
      </c>
      <c r="Q991" s="33" t="str">
        <f t="shared" si="111"/>
        <v/>
      </c>
    </row>
    <row r="992" spans="2:17" ht="18" customHeight="1" x14ac:dyDescent="0.3">
      <c r="B992" s="26"/>
      <c r="C992" s="17"/>
      <c r="D992" s="27"/>
      <c r="E992" s="18"/>
      <c r="F992" s="18"/>
      <c r="G992" s="18"/>
      <c r="H992" s="30" t="str">
        <f t="shared" si="105"/>
        <v/>
      </c>
      <c r="I992" s="31" t="str">
        <f>IF(OR(B992="",C992=""),"",IFERROR(E992*IF(E992="",0,VLOOKUP(C992,'📦 Precios Proforma'!$B$5:$D$104,IF(D992="DIA",2,3),FALSE)),0))</f>
        <v/>
      </c>
      <c r="J992" s="31" t="str">
        <f t="shared" si="106"/>
        <v/>
      </c>
      <c r="K992" s="31" t="str">
        <f t="shared" si="107"/>
        <v/>
      </c>
      <c r="L992" s="31" t="str">
        <f>IF(OR(B992="",C992=""),"",IFERROR(E992 / SUMIFS('📅 Resumen Diario'!$D$5:$D$504, '📅 Resumen Diario'!$B$5:$B$504, B992, '📅 Resumen Diario'!$C$5:$C$504, D992) * SUMIFS('📅 Resumen Diario'!$K$5:$K$504, '📅 Resumen Diario'!$B$5:$B$504, B992, '📅 Resumen Diario'!$C$5:$C$504, D992), 0))</f>
        <v/>
      </c>
      <c r="M992" s="31" t="str">
        <f t="shared" si="108"/>
        <v/>
      </c>
      <c r="N992" s="31" t="str">
        <f t="shared" si="109"/>
        <v/>
      </c>
      <c r="O992" s="31" t="str">
        <f>IF(OR(B992="",C992=""),"",K992-N992 + IFERROR(E992 / SUMIFS('📅 Resumen Diario'!$D$5:$D$504, '📅 Resumen Diario'!$B$5:$B$504, B992, '📅 Resumen Diario'!$C$5:$C$504, D992) * (SUMIFS('📋 Detalle Diario'!$E$5:$E$489, '📋 Detalle Diario'!$B$5:$B$489, B992, '📋 Detalle Diario'!$C$5:$C$489, D992) * 135 + SUMIFS('📋 Detalle Diario'!$I$5:$I$489, '📋 Detalle Diario'!$B$5:$B$489, B992, '📋 Detalle Diario'!$C$5:$C$489, D992) * 200), 0))</f>
        <v/>
      </c>
      <c r="P992" s="32" t="str">
        <f t="shared" si="110"/>
        <v/>
      </c>
      <c r="Q992" s="33" t="str">
        <f t="shared" si="111"/>
        <v/>
      </c>
    </row>
    <row r="993" spans="2:17" ht="18" customHeight="1" x14ac:dyDescent="0.3">
      <c r="B993" s="26"/>
      <c r="C993" s="28"/>
      <c r="D993" s="27"/>
      <c r="E993" s="29"/>
      <c r="F993" s="29"/>
      <c r="G993" s="29"/>
      <c r="H993" s="30" t="str">
        <f t="shared" si="105"/>
        <v/>
      </c>
      <c r="I993" s="31" t="str">
        <f>IF(OR(B993="",C993=""),"",IFERROR(E993*IF(E993="",0,VLOOKUP(C993,'📦 Precios Proforma'!$B$5:$D$104,IF(D993="DIA",2,3),FALSE)),0))</f>
        <v/>
      </c>
      <c r="J993" s="31" t="str">
        <f t="shared" si="106"/>
        <v/>
      </c>
      <c r="K993" s="31" t="str">
        <f t="shared" si="107"/>
        <v/>
      </c>
      <c r="L993" s="31" t="str">
        <f>IF(OR(B993="",C993=""),"",IFERROR(E993 / SUMIFS('📅 Resumen Diario'!$D$5:$D$504, '📅 Resumen Diario'!$B$5:$B$504, B993, '📅 Resumen Diario'!$C$5:$C$504, D993) * SUMIFS('📅 Resumen Diario'!$K$5:$K$504, '📅 Resumen Diario'!$B$5:$B$504, B993, '📅 Resumen Diario'!$C$5:$C$504, D993), 0))</f>
        <v/>
      </c>
      <c r="M993" s="31" t="str">
        <f t="shared" si="108"/>
        <v/>
      </c>
      <c r="N993" s="31" t="str">
        <f t="shared" si="109"/>
        <v/>
      </c>
      <c r="O993" s="31" t="str">
        <f>IF(OR(B993="",C993=""),"",K993-N993 + IFERROR(E993 / SUMIFS('📅 Resumen Diario'!$D$5:$D$504, '📅 Resumen Diario'!$B$5:$B$504, B993, '📅 Resumen Diario'!$C$5:$C$504, D993) * (SUMIFS('📋 Detalle Diario'!$E$5:$E$489, '📋 Detalle Diario'!$B$5:$B$489, B993, '📋 Detalle Diario'!$C$5:$C$489, D993) * 135 + SUMIFS('📋 Detalle Diario'!$I$5:$I$489, '📋 Detalle Diario'!$B$5:$B$489, B993, '📋 Detalle Diario'!$C$5:$C$489, D993) * 200), 0))</f>
        <v/>
      </c>
      <c r="P993" s="32" t="str">
        <f t="shared" si="110"/>
        <v/>
      </c>
      <c r="Q993" s="33" t="str">
        <f t="shared" si="111"/>
        <v/>
      </c>
    </row>
    <row r="994" spans="2:17" ht="18" customHeight="1" x14ac:dyDescent="0.3">
      <c r="B994" s="26"/>
      <c r="C994" s="17"/>
      <c r="D994" s="27"/>
      <c r="E994" s="18"/>
      <c r="F994" s="18"/>
      <c r="G994" s="18"/>
      <c r="H994" s="30" t="str">
        <f t="shared" si="105"/>
        <v/>
      </c>
      <c r="I994" s="31" t="str">
        <f>IF(OR(B994="",C994=""),"",IFERROR(E994*IF(E994="",0,VLOOKUP(C994,'📦 Precios Proforma'!$B$5:$D$104,IF(D994="DIA",2,3),FALSE)),0))</f>
        <v/>
      </c>
      <c r="J994" s="31" t="str">
        <f t="shared" si="106"/>
        <v/>
      </c>
      <c r="K994" s="31" t="str">
        <f t="shared" si="107"/>
        <v/>
      </c>
      <c r="L994" s="31" t="str">
        <f>IF(OR(B994="",C994=""),"",IFERROR(E994 / SUMIFS('📅 Resumen Diario'!$D$5:$D$504, '📅 Resumen Diario'!$B$5:$B$504, B994, '📅 Resumen Diario'!$C$5:$C$504, D994) * SUMIFS('📅 Resumen Diario'!$K$5:$K$504, '📅 Resumen Diario'!$B$5:$B$504, B994, '📅 Resumen Diario'!$C$5:$C$504, D994), 0))</f>
        <v/>
      </c>
      <c r="M994" s="31" t="str">
        <f t="shared" si="108"/>
        <v/>
      </c>
      <c r="N994" s="31" t="str">
        <f t="shared" si="109"/>
        <v/>
      </c>
      <c r="O994" s="31" t="str">
        <f>IF(OR(B994="",C994=""),"",K994-N994 + IFERROR(E994 / SUMIFS('📅 Resumen Diario'!$D$5:$D$504, '📅 Resumen Diario'!$B$5:$B$504, B994, '📅 Resumen Diario'!$C$5:$C$504, D994) * (SUMIFS('📋 Detalle Diario'!$E$5:$E$489, '📋 Detalle Diario'!$B$5:$B$489, B994, '📋 Detalle Diario'!$C$5:$C$489, D994) * 135 + SUMIFS('📋 Detalle Diario'!$I$5:$I$489, '📋 Detalle Diario'!$B$5:$B$489, B994, '📋 Detalle Diario'!$C$5:$C$489, D994) * 200), 0))</f>
        <v/>
      </c>
      <c r="P994" s="32" t="str">
        <f t="shared" si="110"/>
        <v/>
      </c>
      <c r="Q994" s="33" t="str">
        <f t="shared" si="111"/>
        <v/>
      </c>
    </row>
    <row r="995" spans="2:17" ht="18" customHeight="1" x14ac:dyDescent="0.3">
      <c r="B995" s="26"/>
      <c r="C995" s="28"/>
      <c r="D995" s="27"/>
      <c r="E995" s="29"/>
      <c r="F995" s="29"/>
      <c r="G995" s="29"/>
      <c r="H995" s="30" t="str">
        <f t="shared" si="105"/>
        <v/>
      </c>
      <c r="I995" s="31" t="str">
        <f>IF(OR(B995="",C995=""),"",IFERROR(E995*IF(E995="",0,VLOOKUP(C995,'📦 Precios Proforma'!$B$5:$D$104,IF(D995="DIA",2,3),FALSE)),0))</f>
        <v/>
      </c>
      <c r="J995" s="31" t="str">
        <f t="shared" si="106"/>
        <v/>
      </c>
      <c r="K995" s="31" t="str">
        <f t="shared" si="107"/>
        <v/>
      </c>
      <c r="L995" s="31" t="str">
        <f>IF(OR(B995="",C995=""),"",IFERROR(E995 / SUMIFS('📅 Resumen Diario'!$D$5:$D$504, '📅 Resumen Diario'!$B$5:$B$504, B995, '📅 Resumen Diario'!$C$5:$C$504, D995) * SUMIFS('📅 Resumen Diario'!$K$5:$K$504, '📅 Resumen Diario'!$B$5:$B$504, B995, '📅 Resumen Diario'!$C$5:$C$504, D995), 0))</f>
        <v/>
      </c>
      <c r="M995" s="31" t="str">
        <f t="shared" si="108"/>
        <v/>
      </c>
      <c r="N995" s="31" t="str">
        <f t="shared" si="109"/>
        <v/>
      </c>
      <c r="O995" s="31" t="str">
        <f>IF(OR(B995="",C995=""),"",K995-N995 + IFERROR(E995 / SUMIFS('📅 Resumen Diario'!$D$5:$D$504, '📅 Resumen Diario'!$B$5:$B$504, B995, '📅 Resumen Diario'!$C$5:$C$504, D995) * (SUMIFS('📋 Detalle Diario'!$E$5:$E$489, '📋 Detalle Diario'!$B$5:$B$489, B995, '📋 Detalle Diario'!$C$5:$C$489, D995) * 135 + SUMIFS('📋 Detalle Diario'!$I$5:$I$489, '📋 Detalle Diario'!$B$5:$B$489, B995, '📋 Detalle Diario'!$C$5:$C$489, D995) * 200), 0))</f>
        <v/>
      </c>
      <c r="P995" s="32" t="str">
        <f t="shared" si="110"/>
        <v/>
      </c>
      <c r="Q995" s="33" t="str">
        <f t="shared" si="111"/>
        <v/>
      </c>
    </row>
    <row r="996" spans="2:17" ht="18" customHeight="1" x14ac:dyDescent="0.3">
      <c r="B996" s="26"/>
      <c r="C996" s="17"/>
      <c r="D996" s="27"/>
      <c r="E996" s="18"/>
      <c r="F996" s="18"/>
      <c r="G996" s="18"/>
      <c r="H996" s="30" t="str">
        <f t="shared" si="105"/>
        <v/>
      </c>
      <c r="I996" s="31" t="str">
        <f>IF(OR(B996="",C996=""),"",IFERROR(E996*IF(E996="",0,VLOOKUP(C996,'📦 Precios Proforma'!$B$5:$D$104,IF(D996="DIA",2,3),FALSE)),0))</f>
        <v/>
      </c>
      <c r="J996" s="31" t="str">
        <f t="shared" si="106"/>
        <v/>
      </c>
      <c r="K996" s="31" t="str">
        <f t="shared" si="107"/>
        <v/>
      </c>
      <c r="L996" s="31" t="str">
        <f>IF(OR(B996="",C996=""),"",IFERROR(E996 / SUMIFS('📅 Resumen Diario'!$D$5:$D$504, '📅 Resumen Diario'!$B$5:$B$504, B996, '📅 Resumen Diario'!$C$5:$C$504, D996) * SUMIFS('📅 Resumen Diario'!$K$5:$K$504, '📅 Resumen Diario'!$B$5:$B$504, B996, '📅 Resumen Diario'!$C$5:$C$504, D996), 0))</f>
        <v/>
      </c>
      <c r="M996" s="31" t="str">
        <f t="shared" si="108"/>
        <v/>
      </c>
      <c r="N996" s="31" t="str">
        <f t="shared" si="109"/>
        <v/>
      </c>
      <c r="O996" s="31" t="str">
        <f>IF(OR(B996="",C996=""),"",K996-N996 + IFERROR(E996 / SUMIFS('📅 Resumen Diario'!$D$5:$D$504, '📅 Resumen Diario'!$B$5:$B$504, B996, '📅 Resumen Diario'!$C$5:$C$504, D996) * (SUMIFS('📋 Detalle Diario'!$E$5:$E$489, '📋 Detalle Diario'!$B$5:$B$489, B996, '📋 Detalle Diario'!$C$5:$C$489, D996) * 135 + SUMIFS('📋 Detalle Diario'!$I$5:$I$489, '📋 Detalle Diario'!$B$5:$B$489, B996, '📋 Detalle Diario'!$C$5:$C$489, D996) * 200), 0))</f>
        <v/>
      </c>
      <c r="P996" s="32" t="str">
        <f t="shared" si="110"/>
        <v/>
      </c>
      <c r="Q996" s="33" t="str">
        <f t="shared" si="111"/>
        <v/>
      </c>
    </row>
    <row r="997" spans="2:17" ht="18" customHeight="1" x14ac:dyDescent="0.3">
      <c r="B997" s="26"/>
      <c r="C997" s="28"/>
      <c r="D997" s="27"/>
      <c r="E997" s="29"/>
      <c r="F997" s="29"/>
      <c r="G997" s="29"/>
      <c r="H997" s="30" t="str">
        <f t="shared" si="105"/>
        <v/>
      </c>
      <c r="I997" s="31" t="str">
        <f>IF(OR(B997="",C997=""),"",IFERROR(E997*IF(E997="",0,VLOOKUP(C997,'📦 Precios Proforma'!$B$5:$D$104,IF(D997="DIA",2,3),FALSE)),0))</f>
        <v/>
      </c>
      <c r="J997" s="31" t="str">
        <f t="shared" si="106"/>
        <v/>
      </c>
      <c r="K997" s="31" t="str">
        <f t="shared" si="107"/>
        <v/>
      </c>
      <c r="L997" s="31" t="str">
        <f>IF(OR(B997="",C997=""),"",IFERROR(E997 / SUMIFS('📅 Resumen Diario'!$D$5:$D$504, '📅 Resumen Diario'!$B$5:$B$504, B997, '📅 Resumen Diario'!$C$5:$C$504, D997) * SUMIFS('📅 Resumen Diario'!$K$5:$K$504, '📅 Resumen Diario'!$B$5:$B$504, B997, '📅 Resumen Diario'!$C$5:$C$504, D997), 0))</f>
        <v/>
      </c>
      <c r="M997" s="31" t="str">
        <f t="shared" si="108"/>
        <v/>
      </c>
      <c r="N997" s="31" t="str">
        <f t="shared" si="109"/>
        <v/>
      </c>
      <c r="O997" s="31" t="str">
        <f>IF(OR(B997="",C997=""),"",K997-N997 + IFERROR(E997 / SUMIFS('📅 Resumen Diario'!$D$5:$D$504, '📅 Resumen Diario'!$B$5:$B$504, B997, '📅 Resumen Diario'!$C$5:$C$504, D997) * (SUMIFS('📋 Detalle Diario'!$E$5:$E$489, '📋 Detalle Diario'!$B$5:$B$489, B997, '📋 Detalle Diario'!$C$5:$C$489, D997) * 135 + SUMIFS('📋 Detalle Diario'!$I$5:$I$489, '📋 Detalle Diario'!$B$5:$B$489, B997, '📋 Detalle Diario'!$C$5:$C$489, D997) * 200), 0))</f>
        <v/>
      </c>
      <c r="P997" s="32" t="str">
        <f t="shared" si="110"/>
        <v/>
      </c>
      <c r="Q997" s="33" t="str">
        <f t="shared" si="111"/>
        <v/>
      </c>
    </row>
    <row r="998" spans="2:17" ht="18" customHeight="1" x14ac:dyDescent="0.3">
      <c r="B998" s="26"/>
      <c r="C998" s="17"/>
      <c r="D998" s="27"/>
      <c r="E998" s="18"/>
      <c r="F998" s="18"/>
      <c r="G998" s="18"/>
      <c r="H998" s="30" t="str">
        <f t="shared" si="105"/>
        <v/>
      </c>
      <c r="I998" s="31" t="str">
        <f>IF(OR(B998="",C998=""),"",IFERROR(E998*IF(E998="",0,VLOOKUP(C998,'📦 Precios Proforma'!$B$5:$D$104,IF(D998="DIA",2,3),FALSE)),0))</f>
        <v/>
      </c>
      <c r="J998" s="31" t="str">
        <f t="shared" si="106"/>
        <v/>
      </c>
      <c r="K998" s="31" t="str">
        <f t="shared" si="107"/>
        <v/>
      </c>
      <c r="L998" s="31" t="str">
        <f>IF(OR(B998="",C998=""),"",IFERROR(E998 / SUMIFS('📅 Resumen Diario'!$D$5:$D$504, '📅 Resumen Diario'!$B$5:$B$504, B998, '📅 Resumen Diario'!$C$5:$C$504, D998) * SUMIFS('📅 Resumen Diario'!$K$5:$K$504, '📅 Resumen Diario'!$B$5:$B$504, B998, '📅 Resumen Diario'!$C$5:$C$504, D998), 0))</f>
        <v/>
      </c>
      <c r="M998" s="31" t="str">
        <f t="shared" si="108"/>
        <v/>
      </c>
      <c r="N998" s="31" t="str">
        <f t="shared" si="109"/>
        <v/>
      </c>
      <c r="O998" s="31" t="str">
        <f>IF(OR(B998="",C998=""),"",K998-N998 + IFERROR(E998 / SUMIFS('📅 Resumen Diario'!$D$5:$D$504, '📅 Resumen Diario'!$B$5:$B$504, B998, '📅 Resumen Diario'!$C$5:$C$504, D998) * (SUMIFS('📋 Detalle Diario'!$E$5:$E$489, '📋 Detalle Diario'!$B$5:$B$489, B998, '📋 Detalle Diario'!$C$5:$C$489, D998) * 135 + SUMIFS('📋 Detalle Diario'!$I$5:$I$489, '📋 Detalle Diario'!$B$5:$B$489, B998, '📋 Detalle Diario'!$C$5:$C$489, D998) * 200), 0))</f>
        <v/>
      </c>
      <c r="P998" s="32" t="str">
        <f t="shared" si="110"/>
        <v/>
      </c>
      <c r="Q998" s="33" t="str">
        <f t="shared" si="111"/>
        <v/>
      </c>
    </row>
    <row r="999" spans="2:17" ht="18" customHeight="1" x14ac:dyDescent="0.3">
      <c r="B999" s="26"/>
      <c r="C999" s="28"/>
      <c r="D999" s="27"/>
      <c r="E999" s="29"/>
      <c r="F999" s="29"/>
      <c r="G999" s="29"/>
      <c r="H999" s="30" t="str">
        <f t="shared" si="105"/>
        <v/>
      </c>
      <c r="I999" s="31" t="str">
        <f>IF(OR(B999="",C999=""),"",IFERROR(E999*IF(E999="",0,VLOOKUP(C999,'📦 Precios Proforma'!$B$5:$D$104,IF(D999="DIA",2,3),FALSE)),0))</f>
        <v/>
      </c>
      <c r="J999" s="31" t="str">
        <f t="shared" si="106"/>
        <v/>
      </c>
      <c r="K999" s="31" t="str">
        <f t="shared" si="107"/>
        <v/>
      </c>
      <c r="L999" s="31" t="str">
        <f>IF(OR(B999="",C999=""),"",IFERROR(E999 / SUMIFS('📅 Resumen Diario'!$D$5:$D$504, '📅 Resumen Diario'!$B$5:$B$504, B999, '📅 Resumen Diario'!$C$5:$C$504, D999) * SUMIFS('📅 Resumen Diario'!$K$5:$K$504, '📅 Resumen Diario'!$B$5:$B$504, B999, '📅 Resumen Diario'!$C$5:$C$504, D999), 0))</f>
        <v/>
      </c>
      <c r="M999" s="31" t="str">
        <f t="shared" si="108"/>
        <v/>
      </c>
      <c r="N999" s="31" t="str">
        <f t="shared" si="109"/>
        <v/>
      </c>
      <c r="O999" s="31" t="str">
        <f>IF(OR(B999="",C999=""),"",K999-N999 + IFERROR(E999 / SUMIFS('📅 Resumen Diario'!$D$5:$D$504, '📅 Resumen Diario'!$B$5:$B$504, B999, '📅 Resumen Diario'!$C$5:$C$504, D999) * (SUMIFS('📋 Detalle Diario'!$E$5:$E$489, '📋 Detalle Diario'!$B$5:$B$489, B999, '📋 Detalle Diario'!$C$5:$C$489, D999) * 135 + SUMIFS('📋 Detalle Diario'!$I$5:$I$489, '📋 Detalle Diario'!$B$5:$B$489, B999, '📋 Detalle Diario'!$C$5:$C$489, D999) * 200), 0))</f>
        <v/>
      </c>
      <c r="P999" s="32" t="str">
        <f t="shared" si="110"/>
        <v/>
      </c>
      <c r="Q999" s="33" t="str">
        <f t="shared" si="111"/>
        <v/>
      </c>
    </row>
    <row r="1000" spans="2:17" ht="18" customHeight="1" x14ac:dyDescent="0.3">
      <c r="B1000" s="26"/>
      <c r="C1000" s="17"/>
      <c r="D1000" s="27"/>
      <c r="E1000" s="18"/>
      <c r="F1000" s="18"/>
      <c r="G1000" s="18"/>
      <c r="H1000" s="30" t="str">
        <f t="shared" si="105"/>
        <v/>
      </c>
      <c r="I1000" s="31" t="str">
        <f>IF(OR(B1000="",C1000=""),"",IFERROR(E1000*IF(E1000="",0,VLOOKUP(C1000,'📦 Precios Proforma'!$B$5:$D$104,IF(D1000="DIA",2,3),FALSE)),0))</f>
        <v/>
      </c>
      <c r="J1000" s="31" t="str">
        <f t="shared" si="106"/>
        <v/>
      </c>
      <c r="K1000" s="31" t="str">
        <f t="shared" si="107"/>
        <v/>
      </c>
      <c r="L1000" s="31" t="str">
        <f>IF(OR(B1000="",C1000=""),"",IFERROR(E1000 / SUMIFS('📅 Resumen Diario'!$D$5:$D$504, '📅 Resumen Diario'!$B$5:$B$504, B1000, '📅 Resumen Diario'!$C$5:$C$504, D1000) * SUMIFS('📅 Resumen Diario'!$K$5:$K$504, '📅 Resumen Diario'!$B$5:$B$504, B1000, '📅 Resumen Diario'!$C$5:$C$504, D1000), 0))</f>
        <v/>
      </c>
      <c r="M1000" s="31" t="str">
        <f t="shared" si="108"/>
        <v/>
      </c>
      <c r="N1000" s="31" t="str">
        <f t="shared" si="109"/>
        <v/>
      </c>
      <c r="O1000" s="31" t="str">
        <f>IF(OR(B1000="",C1000=""),"",K1000-N1000 + IFERROR(E1000 / SUMIFS('📅 Resumen Diario'!$D$5:$D$504, '📅 Resumen Diario'!$B$5:$B$504, B1000, '📅 Resumen Diario'!$C$5:$C$504, D1000) * (SUMIFS('📋 Detalle Diario'!$E$5:$E$489, '📋 Detalle Diario'!$B$5:$B$489, B1000, '📋 Detalle Diario'!$C$5:$C$489, D1000) * 135 + SUMIFS('📋 Detalle Diario'!$I$5:$I$489, '📋 Detalle Diario'!$B$5:$B$489, B1000, '📋 Detalle Diario'!$C$5:$C$489, D1000) * 200), 0))</f>
        <v/>
      </c>
      <c r="P1000" s="32" t="str">
        <f t="shared" si="110"/>
        <v/>
      </c>
      <c r="Q1000" s="33" t="str">
        <f t="shared" si="111"/>
        <v/>
      </c>
    </row>
    <row r="1001" spans="2:17" ht="18" customHeight="1" x14ac:dyDescent="0.3">
      <c r="B1001" s="26"/>
      <c r="C1001" s="28"/>
      <c r="D1001" s="27"/>
      <c r="E1001" s="29"/>
      <c r="F1001" s="29"/>
      <c r="G1001" s="29"/>
      <c r="H1001" s="30" t="str">
        <f t="shared" si="105"/>
        <v/>
      </c>
      <c r="I1001" s="31" t="str">
        <f>IF(OR(B1001="",C1001=""),"",IFERROR(E1001*IF(E1001="",0,VLOOKUP(C1001,'📦 Precios Proforma'!$B$5:$D$104,IF(D1001="DIA",2,3),FALSE)),0))</f>
        <v/>
      </c>
      <c r="J1001" s="31" t="str">
        <f t="shared" si="106"/>
        <v/>
      </c>
      <c r="K1001" s="31" t="str">
        <f t="shared" si="107"/>
        <v/>
      </c>
      <c r="L1001" s="31" t="str">
        <f>IF(OR(B1001="",C1001=""),"",IFERROR(E1001 / SUMIFS('📅 Resumen Diario'!$D$5:$D$504, '📅 Resumen Diario'!$B$5:$B$504, B1001, '📅 Resumen Diario'!$C$5:$C$504, D1001) * SUMIFS('📅 Resumen Diario'!$K$5:$K$504, '📅 Resumen Diario'!$B$5:$B$504, B1001, '📅 Resumen Diario'!$C$5:$C$504, D1001), 0))</f>
        <v/>
      </c>
      <c r="M1001" s="31" t="str">
        <f t="shared" si="108"/>
        <v/>
      </c>
      <c r="N1001" s="31" t="str">
        <f t="shared" si="109"/>
        <v/>
      </c>
      <c r="O1001" s="31" t="str">
        <f>IF(OR(B1001="",C1001=""),"",K1001-N1001 + IFERROR(E1001 / SUMIFS('📅 Resumen Diario'!$D$5:$D$504, '📅 Resumen Diario'!$B$5:$B$504, B1001, '📅 Resumen Diario'!$C$5:$C$504, D1001) * (SUMIFS('📋 Detalle Diario'!$E$5:$E$489, '📋 Detalle Diario'!$B$5:$B$489, B1001, '📋 Detalle Diario'!$C$5:$C$489, D1001) * 135 + SUMIFS('📋 Detalle Diario'!$I$5:$I$489, '📋 Detalle Diario'!$B$5:$B$489, B1001, '📋 Detalle Diario'!$C$5:$C$489, D1001) * 200), 0))</f>
        <v/>
      </c>
      <c r="P1001" s="32" t="str">
        <f t="shared" si="110"/>
        <v/>
      </c>
      <c r="Q1001" s="33" t="str">
        <f t="shared" si="111"/>
        <v/>
      </c>
    </row>
    <row r="1002" spans="2:17" ht="18" customHeight="1" x14ac:dyDescent="0.3">
      <c r="B1002" s="26"/>
      <c r="C1002" s="17"/>
      <c r="D1002" s="27"/>
      <c r="E1002" s="18"/>
      <c r="F1002" s="18"/>
      <c r="G1002" s="18"/>
      <c r="H1002" s="30" t="str">
        <f t="shared" si="105"/>
        <v/>
      </c>
      <c r="I1002" s="31" t="str">
        <f>IF(OR(B1002="",C1002=""),"",IFERROR(E1002*IF(E1002="",0,VLOOKUP(C1002,'📦 Precios Proforma'!$B$5:$D$104,IF(D1002="DIA",2,3),FALSE)),0))</f>
        <v/>
      </c>
      <c r="J1002" s="31" t="str">
        <f t="shared" si="106"/>
        <v/>
      </c>
      <c r="K1002" s="31" t="str">
        <f t="shared" si="107"/>
        <v/>
      </c>
      <c r="L1002" s="31" t="str">
        <f>IF(OR(B1002="",C1002=""),"",IFERROR(E1002 / SUMIFS('📅 Resumen Diario'!$D$5:$D$504, '📅 Resumen Diario'!$B$5:$B$504, B1002, '📅 Resumen Diario'!$C$5:$C$504, D1002) * SUMIFS('📅 Resumen Diario'!$K$5:$K$504, '📅 Resumen Diario'!$B$5:$B$504, B1002, '📅 Resumen Diario'!$C$5:$C$504, D1002), 0))</f>
        <v/>
      </c>
      <c r="M1002" s="31" t="str">
        <f t="shared" si="108"/>
        <v/>
      </c>
      <c r="N1002" s="31" t="str">
        <f t="shared" si="109"/>
        <v/>
      </c>
      <c r="O1002" s="31" t="str">
        <f>IF(OR(B1002="",C1002=""),"",K1002-N1002 + IFERROR(E1002 / SUMIFS('📅 Resumen Diario'!$D$5:$D$504, '📅 Resumen Diario'!$B$5:$B$504, B1002, '📅 Resumen Diario'!$C$5:$C$504, D1002) * (SUMIFS('📋 Detalle Diario'!$E$5:$E$489, '📋 Detalle Diario'!$B$5:$B$489, B1002, '📋 Detalle Diario'!$C$5:$C$489, D1002) * 135 + SUMIFS('📋 Detalle Diario'!$I$5:$I$489, '📋 Detalle Diario'!$B$5:$B$489, B1002, '📋 Detalle Diario'!$C$5:$C$489, D1002) * 200), 0))</f>
        <v/>
      </c>
      <c r="P1002" s="32" t="str">
        <f t="shared" si="110"/>
        <v/>
      </c>
      <c r="Q1002" s="33" t="str">
        <f t="shared" si="111"/>
        <v/>
      </c>
    </row>
    <row r="1003" spans="2:17" ht="18" customHeight="1" x14ac:dyDescent="0.3">
      <c r="B1003" s="26"/>
      <c r="C1003" s="28"/>
      <c r="D1003" s="27"/>
      <c r="E1003" s="29"/>
      <c r="F1003" s="29"/>
      <c r="G1003" s="29"/>
      <c r="H1003" s="30" t="str">
        <f t="shared" si="105"/>
        <v/>
      </c>
      <c r="I1003" s="31" t="str">
        <f>IF(OR(B1003="",C1003=""),"",IFERROR(E1003*IF(E1003="",0,VLOOKUP(C1003,'📦 Precios Proforma'!$B$5:$D$104,IF(D1003="DIA",2,3),FALSE)),0))</f>
        <v/>
      </c>
      <c r="J1003" s="31" t="str">
        <f t="shared" si="106"/>
        <v/>
      </c>
      <c r="K1003" s="31" t="str">
        <f t="shared" si="107"/>
        <v/>
      </c>
      <c r="L1003" s="31" t="str">
        <f>IF(OR(B1003="",C1003=""),"",IFERROR(E1003 / SUMIFS('📅 Resumen Diario'!$D$5:$D$504, '📅 Resumen Diario'!$B$5:$B$504, B1003, '📅 Resumen Diario'!$C$5:$C$504, D1003) * SUMIFS('📅 Resumen Diario'!$K$5:$K$504, '📅 Resumen Diario'!$B$5:$B$504, B1003, '📅 Resumen Diario'!$C$5:$C$504, D1003), 0))</f>
        <v/>
      </c>
      <c r="M1003" s="31" t="str">
        <f t="shared" si="108"/>
        <v/>
      </c>
      <c r="N1003" s="31" t="str">
        <f t="shared" si="109"/>
        <v/>
      </c>
      <c r="O1003" s="31" t="str">
        <f>IF(OR(B1003="",C1003=""),"",K1003-N1003 + IFERROR(E1003 / SUMIFS('📅 Resumen Diario'!$D$5:$D$504, '📅 Resumen Diario'!$B$5:$B$504, B1003, '📅 Resumen Diario'!$C$5:$C$504, D1003) * (SUMIFS('📋 Detalle Diario'!$E$5:$E$489, '📋 Detalle Diario'!$B$5:$B$489, B1003, '📋 Detalle Diario'!$C$5:$C$489, D1003) * 135 + SUMIFS('📋 Detalle Diario'!$I$5:$I$489, '📋 Detalle Diario'!$B$5:$B$489, B1003, '📋 Detalle Diario'!$C$5:$C$489, D1003) * 200), 0))</f>
        <v/>
      </c>
      <c r="P1003" s="32" t="str">
        <f t="shared" si="110"/>
        <v/>
      </c>
      <c r="Q1003" s="33" t="str">
        <f t="shared" si="111"/>
        <v/>
      </c>
    </row>
    <row r="1004" spans="2:17" ht="18" customHeight="1" x14ac:dyDescent="0.3">
      <c r="B1004" s="26"/>
      <c r="C1004" s="17"/>
      <c r="D1004" s="27"/>
      <c r="E1004" s="18"/>
      <c r="F1004" s="18"/>
      <c r="G1004" s="18"/>
      <c r="H1004" s="30" t="str">
        <f t="shared" si="105"/>
        <v/>
      </c>
      <c r="I1004" s="31" t="str">
        <f>IF(OR(B1004="",C1004=""),"",IFERROR(E1004*IF(E1004="",0,VLOOKUP(C1004,'📦 Precios Proforma'!$B$5:$D$104,IF(D1004="DIA",2,3),FALSE)),0))</f>
        <v/>
      </c>
      <c r="J1004" s="31" t="str">
        <f t="shared" si="106"/>
        <v/>
      </c>
      <c r="K1004" s="31" t="str">
        <f t="shared" si="107"/>
        <v/>
      </c>
      <c r="L1004" s="31" t="str">
        <f>IF(OR(B1004="",C1004=""),"",IFERROR(E1004 / SUMIFS('📅 Resumen Diario'!$D$5:$D$504, '📅 Resumen Diario'!$B$5:$B$504, B1004, '📅 Resumen Diario'!$C$5:$C$504, D1004) * SUMIFS('📅 Resumen Diario'!$K$5:$K$504, '📅 Resumen Diario'!$B$5:$B$504, B1004, '📅 Resumen Diario'!$C$5:$C$504, D1004), 0))</f>
        <v/>
      </c>
      <c r="M1004" s="31" t="str">
        <f t="shared" si="108"/>
        <v/>
      </c>
      <c r="N1004" s="31" t="str">
        <f t="shared" si="109"/>
        <v/>
      </c>
      <c r="O1004" s="31" t="str">
        <f>IF(OR(B1004="",C1004=""),"",K1004-N1004 + IFERROR(E1004 / SUMIFS('📅 Resumen Diario'!$D$5:$D$504, '📅 Resumen Diario'!$B$5:$B$504, B1004, '📅 Resumen Diario'!$C$5:$C$504, D1004) * (SUMIFS('📋 Detalle Diario'!$E$5:$E$489, '📋 Detalle Diario'!$B$5:$B$489, B1004, '📋 Detalle Diario'!$C$5:$C$489, D1004) * 135 + SUMIFS('📋 Detalle Diario'!$I$5:$I$489, '📋 Detalle Diario'!$B$5:$B$489, B1004, '📋 Detalle Diario'!$C$5:$C$489, D1004) * 200), 0))</f>
        <v/>
      </c>
      <c r="P1004" s="32" t="str">
        <f t="shared" si="110"/>
        <v/>
      </c>
      <c r="Q1004" s="33" t="str">
        <f t="shared" si="111"/>
        <v/>
      </c>
    </row>
    <row r="1005" spans="2:17" ht="18" customHeight="1" x14ac:dyDescent="0.3">
      <c r="B1005" s="26"/>
      <c r="C1005" s="28"/>
      <c r="D1005" s="27"/>
      <c r="E1005" s="29"/>
      <c r="F1005" s="29"/>
      <c r="G1005" s="29"/>
      <c r="H1005" s="30" t="str">
        <f t="shared" si="105"/>
        <v/>
      </c>
      <c r="I1005" s="31" t="str">
        <f>IF(OR(B1005="",C1005=""),"",IFERROR(E1005*IF(E1005="",0,VLOOKUP(C1005,'📦 Precios Proforma'!$B$5:$D$104,IF(D1005="DIA",2,3),FALSE)),0))</f>
        <v/>
      </c>
      <c r="J1005" s="31" t="str">
        <f t="shared" si="106"/>
        <v/>
      </c>
      <c r="K1005" s="31" t="str">
        <f t="shared" si="107"/>
        <v/>
      </c>
      <c r="L1005" s="31" t="str">
        <f>IF(OR(B1005="",C1005=""),"",IFERROR(E1005 / SUMIFS('📅 Resumen Diario'!$D$5:$D$504, '📅 Resumen Diario'!$B$5:$B$504, B1005, '📅 Resumen Diario'!$C$5:$C$504, D1005) * SUMIFS('📅 Resumen Diario'!$K$5:$K$504, '📅 Resumen Diario'!$B$5:$B$504, B1005, '📅 Resumen Diario'!$C$5:$C$504, D1005), 0))</f>
        <v/>
      </c>
      <c r="M1005" s="31" t="str">
        <f t="shared" si="108"/>
        <v/>
      </c>
      <c r="N1005" s="31" t="str">
        <f t="shared" si="109"/>
        <v/>
      </c>
      <c r="O1005" s="31" t="str">
        <f>IF(OR(B1005="",C1005=""),"",K1005-N1005 + IFERROR(E1005 / SUMIFS('📅 Resumen Diario'!$D$5:$D$504, '📅 Resumen Diario'!$B$5:$B$504, B1005, '📅 Resumen Diario'!$C$5:$C$504, D1005) * (SUMIFS('📋 Detalle Diario'!$E$5:$E$489, '📋 Detalle Diario'!$B$5:$B$489, B1005, '📋 Detalle Diario'!$C$5:$C$489, D1005) * 135 + SUMIFS('📋 Detalle Diario'!$I$5:$I$489, '📋 Detalle Diario'!$B$5:$B$489, B1005, '📋 Detalle Diario'!$C$5:$C$489, D1005) * 200), 0))</f>
        <v/>
      </c>
      <c r="P1005" s="32" t="str">
        <f t="shared" si="110"/>
        <v/>
      </c>
      <c r="Q1005" s="33" t="str">
        <f t="shared" si="111"/>
        <v/>
      </c>
    </row>
    <row r="1006" spans="2:17" ht="18" customHeight="1" x14ac:dyDescent="0.3">
      <c r="B1006" s="26"/>
      <c r="C1006" s="17"/>
      <c r="D1006" s="27"/>
      <c r="E1006" s="18"/>
      <c r="F1006" s="18"/>
      <c r="G1006" s="18"/>
      <c r="H1006" s="30" t="str">
        <f t="shared" si="105"/>
        <v/>
      </c>
      <c r="I1006" s="31" t="str">
        <f>IF(OR(B1006="",C1006=""),"",IFERROR(E1006*IF(E1006="",0,VLOOKUP(C1006,'📦 Precios Proforma'!$B$5:$D$104,IF(D1006="DIA",2,3),FALSE)),0))</f>
        <v/>
      </c>
      <c r="J1006" s="31" t="str">
        <f t="shared" si="106"/>
        <v/>
      </c>
      <c r="K1006" s="31" t="str">
        <f t="shared" si="107"/>
        <v/>
      </c>
      <c r="L1006" s="31" t="str">
        <f>IF(OR(B1006="",C1006=""),"",IFERROR(E1006 / SUMIFS('📅 Resumen Diario'!$D$5:$D$504, '📅 Resumen Diario'!$B$5:$B$504, B1006, '📅 Resumen Diario'!$C$5:$C$504, D1006) * SUMIFS('📅 Resumen Diario'!$K$5:$K$504, '📅 Resumen Diario'!$B$5:$B$504, B1006, '📅 Resumen Diario'!$C$5:$C$504, D1006), 0))</f>
        <v/>
      </c>
      <c r="M1006" s="31" t="str">
        <f t="shared" si="108"/>
        <v/>
      </c>
      <c r="N1006" s="31" t="str">
        <f t="shared" si="109"/>
        <v/>
      </c>
      <c r="O1006" s="31" t="str">
        <f>IF(OR(B1006="",C1006=""),"",K1006-N1006 + IFERROR(E1006 / SUMIFS('📅 Resumen Diario'!$D$5:$D$504, '📅 Resumen Diario'!$B$5:$B$504, B1006, '📅 Resumen Diario'!$C$5:$C$504, D1006) * (SUMIFS('📋 Detalle Diario'!$E$5:$E$489, '📋 Detalle Diario'!$B$5:$B$489, B1006, '📋 Detalle Diario'!$C$5:$C$489, D1006) * 135 + SUMIFS('📋 Detalle Diario'!$I$5:$I$489, '📋 Detalle Diario'!$B$5:$B$489, B1006, '📋 Detalle Diario'!$C$5:$C$489, D1006) * 200), 0))</f>
        <v/>
      </c>
      <c r="P1006" s="32" t="str">
        <f t="shared" si="110"/>
        <v/>
      </c>
      <c r="Q1006" s="33" t="str">
        <f t="shared" si="111"/>
        <v/>
      </c>
    </row>
    <row r="1007" spans="2:17" ht="18" customHeight="1" x14ac:dyDescent="0.3">
      <c r="B1007" s="26"/>
      <c r="C1007" s="28"/>
      <c r="D1007" s="27"/>
      <c r="E1007" s="29"/>
      <c r="F1007" s="29"/>
      <c r="G1007" s="29"/>
      <c r="H1007" s="30" t="str">
        <f t="shared" si="105"/>
        <v/>
      </c>
      <c r="I1007" s="31" t="str">
        <f>IF(OR(B1007="",C1007=""),"",IFERROR(E1007*IF(E1007="",0,VLOOKUP(C1007,'📦 Precios Proforma'!$B$5:$D$104,IF(D1007="DIA",2,3),FALSE)),0))</f>
        <v/>
      </c>
      <c r="J1007" s="31" t="str">
        <f t="shared" si="106"/>
        <v/>
      </c>
      <c r="K1007" s="31" t="str">
        <f t="shared" si="107"/>
        <v/>
      </c>
      <c r="L1007" s="31" t="str">
        <f>IF(OR(B1007="",C1007=""),"",IFERROR(E1007 / SUMIFS('📅 Resumen Diario'!$D$5:$D$504, '📅 Resumen Diario'!$B$5:$B$504, B1007, '📅 Resumen Diario'!$C$5:$C$504, D1007) * SUMIFS('📅 Resumen Diario'!$K$5:$K$504, '📅 Resumen Diario'!$B$5:$B$504, B1007, '📅 Resumen Diario'!$C$5:$C$504, D1007), 0))</f>
        <v/>
      </c>
      <c r="M1007" s="31" t="str">
        <f t="shared" si="108"/>
        <v/>
      </c>
      <c r="N1007" s="31" t="str">
        <f t="shared" si="109"/>
        <v/>
      </c>
      <c r="O1007" s="31" t="str">
        <f>IF(OR(B1007="",C1007=""),"",K1007-N1007 + IFERROR(E1007 / SUMIFS('📅 Resumen Diario'!$D$5:$D$504, '📅 Resumen Diario'!$B$5:$B$504, B1007, '📅 Resumen Diario'!$C$5:$C$504, D1007) * (SUMIFS('📋 Detalle Diario'!$E$5:$E$489, '📋 Detalle Diario'!$B$5:$B$489, B1007, '📋 Detalle Diario'!$C$5:$C$489, D1007) * 135 + SUMIFS('📋 Detalle Diario'!$I$5:$I$489, '📋 Detalle Diario'!$B$5:$B$489, B1007, '📋 Detalle Diario'!$C$5:$C$489, D1007) * 200), 0))</f>
        <v/>
      </c>
      <c r="P1007" s="32" t="str">
        <f t="shared" si="110"/>
        <v/>
      </c>
      <c r="Q1007" s="33" t="str">
        <f t="shared" si="111"/>
        <v/>
      </c>
    </row>
    <row r="1008" spans="2:17" ht="18" customHeight="1" x14ac:dyDescent="0.3">
      <c r="B1008" s="26"/>
      <c r="C1008" s="17"/>
      <c r="D1008" s="27"/>
      <c r="E1008" s="18"/>
      <c r="F1008" s="18"/>
      <c r="G1008" s="18"/>
      <c r="H1008" s="30" t="str">
        <f t="shared" si="105"/>
        <v/>
      </c>
      <c r="I1008" s="31" t="str">
        <f>IF(OR(B1008="",C1008=""),"",IFERROR(E1008*IF(E1008="",0,VLOOKUP(C1008,'📦 Precios Proforma'!$B$5:$D$104,IF(D1008="DIA",2,3),FALSE)),0))</f>
        <v/>
      </c>
      <c r="J1008" s="31" t="str">
        <f t="shared" si="106"/>
        <v/>
      </c>
      <c r="K1008" s="31" t="str">
        <f t="shared" si="107"/>
        <v/>
      </c>
      <c r="L1008" s="31" t="str">
        <f>IF(OR(B1008="",C1008=""),"",IFERROR(E1008 / SUMIFS('📅 Resumen Diario'!$D$5:$D$504, '📅 Resumen Diario'!$B$5:$B$504, B1008, '📅 Resumen Diario'!$C$5:$C$504, D1008) * SUMIFS('📅 Resumen Diario'!$K$5:$K$504, '📅 Resumen Diario'!$B$5:$B$504, B1008, '📅 Resumen Diario'!$C$5:$C$504, D1008), 0))</f>
        <v/>
      </c>
      <c r="M1008" s="31" t="str">
        <f t="shared" si="108"/>
        <v/>
      </c>
      <c r="N1008" s="31" t="str">
        <f t="shared" si="109"/>
        <v/>
      </c>
      <c r="O1008" s="31" t="str">
        <f>IF(OR(B1008="",C1008=""),"",K1008-N1008 + IFERROR(E1008 / SUMIFS('📅 Resumen Diario'!$D$5:$D$504, '📅 Resumen Diario'!$B$5:$B$504, B1008, '📅 Resumen Diario'!$C$5:$C$504, D1008) * (SUMIFS('📋 Detalle Diario'!$E$5:$E$489, '📋 Detalle Diario'!$B$5:$B$489, B1008, '📋 Detalle Diario'!$C$5:$C$489, D1008) * 135 + SUMIFS('📋 Detalle Diario'!$I$5:$I$489, '📋 Detalle Diario'!$B$5:$B$489, B1008, '📋 Detalle Diario'!$C$5:$C$489, D1008) * 200), 0))</f>
        <v/>
      </c>
      <c r="P1008" s="32" t="str">
        <f t="shared" si="110"/>
        <v/>
      </c>
      <c r="Q1008" s="33" t="str">
        <f t="shared" si="111"/>
        <v/>
      </c>
    </row>
    <row r="1009" spans="2:17" ht="18" customHeight="1" x14ac:dyDescent="0.3">
      <c r="B1009" s="26"/>
      <c r="C1009" s="28"/>
      <c r="D1009" s="27"/>
      <c r="E1009" s="29"/>
      <c r="F1009" s="29"/>
      <c r="G1009" s="29"/>
      <c r="H1009" s="30" t="str">
        <f t="shared" si="105"/>
        <v/>
      </c>
      <c r="I1009" s="31" t="str">
        <f>IF(OR(B1009="",C1009=""),"",IFERROR(E1009*IF(E1009="",0,VLOOKUP(C1009,'📦 Precios Proforma'!$B$5:$D$104,IF(D1009="DIA",2,3),FALSE)),0))</f>
        <v/>
      </c>
      <c r="J1009" s="31" t="str">
        <f t="shared" si="106"/>
        <v/>
      </c>
      <c r="K1009" s="31" t="str">
        <f t="shared" si="107"/>
        <v/>
      </c>
      <c r="L1009" s="31" t="str">
        <f>IF(OR(B1009="",C1009=""),"",IFERROR(E1009 / SUMIFS('📅 Resumen Diario'!$D$5:$D$504, '📅 Resumen Diario'!$B$5:$B$504, B1009, '📅 Resumen Diario'!$C$5:$C$504, D1009) * SUMIFS('📅 Resumen Diario'!$K$5:$K$504, '📅 Resumen Diario'!$B$5:$B$504, B1009, '📅 Resumen Diario'!$C$5:$C$504, D1009), 0))</f>
        <v/>
      </c>
      <c r="M1009" s="31" t="str">
        <f t="shared" si="108"/>
        <v/>
      </c>
      <c r="N1009" s="31" t="str">
        <f t="shared" si="109"/>
        <v/>
      </c>
      <c r="O1009" s="31" t="str">
        <f>IF(OR(B1009="",C1009=""),"",K1009-N1009 + IFERROR(E1009 / SUMIFS('📅 Resumen Diario'!$D$5:$D$504, '📅 Resumen Diario'!$B$5:$B$504, B1009, '📅 Resumen Diario'!$C$5:$C$504, D1009) * (SUMIFS('📋 Detalle Diario'!$E$5:$E$489, '📋 Detalle Diario'!$B$5:$B$489, B1009, '📋 Detalle Diario'!$C$5:$C$489, D1009) * 135 + SUMIFS('📋 Detalle Diario'!$I$5:$I$489, '📋 Detalle Diario'!$B$5:$B$489, B1009, '📋 Detalle Diario'!$C$5:$C$489, D1009) * 200), 0))</f>
        <v/>
      </c>
      <c r="P1009" s="32" t="str">
        <f t="shared" si="110"/>
        <v/>
      </c>
      <c r="Q1009" s="33" t="str">
        <f t="shared" si="111"/>
        <v/>
      </c>
    </row>
    <row r="1010" spans="2:17" ht="18" customHeight="1" x14ac:dyDescent="0.3">
      <c r="B1010" s="26"/>
      <c r="C1010" s="17"/>
      <c r="D1010" s="27"/>
      <c r="E1010" s="18"/>
      <c r="F1010" s="18"/>
      <c r="G1010" s="18"/>
      <c r="H1010" s="30" t="str">
        <f t="shared" si="105"/>
        <v/>
      </c>
      <c r="I1010" s="31" t="str">
        <f>IF(OR(B1010="",C1010=""),"",IFERROR(E1010*IF(E1010="",0,VLOOKUP(C1010,'📦 Precios Proforma'!$B$5:$D$104,IF(D1010="DIA",2,3),FALSE)),0))</f>
        <v/>
      </c>
      <c r="J1010" s="31" t="str">
        <f t="shared" si="106"/>
        <v/>
      </c>
      <c r="K1010" s="31" t="str">
        <f t="shared" si="107"/>
        <v/>
      </c>
      <c r="L1010" s="31" t="str">
        <f>IF(OR(B1010="",C1010=""),"",IFERROR(E1010 / SUMIFS('📅 Resumen Diario'!$D$5:$D$504, '📅 Resumen Diario'!$B$5:$B$504, B1010, '📅 Resumen Diario'!$C$5:$C$504, D1010) * SUMIFS('📅 Resumen Diario'!$K$5:$K$504, '📅 Resumen Diario'!$B$5:$B$504, B1010, '📅 Resumen Diario'!$C$5:$C$504, D1010), 0))</f>
        <v/>
      </c>
      <c r="M1010" s="31" t="str">
        <f t="shared" si="108"/>
        <v/>
      </c>
      <c r="N1010" s="31" t="str">
        <f t="shared" si="109"/>
        <v/>
      </c>
      <c r="O1010" s="31" t="str">
        <f>IF(OR(B1010="",C1010=""),"",K1010-N1010 + IFERROR(E1010 / SUMIFS('📅 Resumen Diario'!$D$5:$D$504, '📅 Resumen Diario'!$B$5:$B$504, B1010, '📅 Resumen Diario'!$C$5:$C$504, D1010) * (SUMIFS('📋 Detalle Diario'!$E$5:$E$489, '📋 Detalle Diario'!$B$5:$B$489, B1010, '📋 Detalle Diario'!$C$5:$C$489, D1010) * 135 + SUMIFS('📋 Detalle Diario'!$I$5:$I$489, '📋 Detalle Diario'!$B$5:$B$489, B1010, '📋 Detalle Diario'!$C$5:$C$489, D1010) * 200), 0))</f>
        <v/>
      </c>
      <c r="P1010" s="32" t="str">
        <f t="shared" si="110"/>
        <v/>
      </c>
      <c r="Q1010" s="33" t="str">
        <f t="shared" si="111"/>
        <v/>
      </c>
    </row>
    <row r="1011" spans="2:17" ht="18" customHeight="1" x14ac:dyDescent="0.3">
      <c r="B1011" s="26"/>
      <c r="C1011" s="28"/>
      <c r="D1011" s="27"/>
      <c r="E1011" s="29"/>
      <c r="F1011" s="29"/>
      <c r="G1011" s="29"/>
      <c r="H1011" s="30" t="str">
        <f t="shared" si="105"/>
        <v/>
      </c>
      <c r="I1011" s="31" t="str">
        <f>IF(OR(B1011="",C1011=""),"",IFERROR(E1011*IF(E1011="",0,VLOOKUP(C1011,'📦 Precios Proforma'!$B$5:$D$104,IF(D1011="DIA",2,3),FALSE)),0))</f>
        <v/>
      </c>
      <c r="J1011" s="31" t="str">
        <f t="shared" si="106"/>
        <v/>
      </c>
      <c r="K1011" s="31" t="str">
        <f t="shared" si="107"/>
        <v/>
      </c>
      <c r="L1011" s="31" t="str">
        <f>IF(OR(B1011="",C1011=""),"",IFERROR(E1011 / SUMIFS('📅 Resumen Diario'!$D$5:$D$504, '📅 Resumen Diario'!$B$5:$B$504, B1011, '📅 Resumen Diario'!$C$5:$C$504, D1011) * SUMIFS('📅 Resumen Diario'!$K$5:$K$504, '📅 Resumen Diario'!$B$5:$B$504, B1011, '📅 Resumen Diario'!$C$5:$C$504, D1011), 0))</f>
        <v/>
      </c>
      <c r="M1011" s="31" t="str">
        <f t="shared" si="108"/>
        <v/>
      </c>
      <c r="N1011" s="31" t="str">
        <f t="shared" si="109"/>
        <v/>
      </c>
      <c r="O1011" s="31" t="str">
        <f>IF(OR(B1011="",C1011=""),"",K1011-N1011 + IFERROR(E1011 / SUMIFS('📅 Resumen Diario'!$D$5:$D$504, '📅 Resumen Diario'!$B$5:$B$504, B1011, '📅 Resumen Diario'!$C$5:$C$504, D1011) * (SUMIFS('📋 Detalle Diario'!$E$5:$E$489, '📋 Detalle Diario'!$B$5:$B$489, B1011, '📋 Detalle Diario'!$C$5:$C$489, D1011) * 135 + SUMIFS('📋 Detalle Diario'!$I$5:$I$489, '📋 Detalle Diario'!$B$5:$B$489, B1011, '📋 Detalle Diario'!$C$5:$C$489, D1011) * 200), 0))</f>
        <v/>
      </c>
      <c r="P1011" s="32" t="str">
        <f t="shared" si="110"/>
        <v/>
      </c>
      <c r="Q1011" s="33" t="str">
        <f t="shared" si="111"/>
        <v/>
      </c>
    </row>
    <row r="1012" spans="2:17" ht="18" customHeight="1" x14ac:dyDescent="0.3">
      <c r="B1012" s="26"/>
      <c r="C1012" s="17"/>
      <c r="D1012" s="27"/>
      <c r="E1012" s="18"/>
      <c r="F1012" s="18"/>
      <c r="G1012" s="18"/>
      <c r="H1012" s="30" t="str">
        <f t="shared" si="105"/>
        <v/>
      </c>
      <c r="I1012" s="31" t="str">
        <f>IF(OR(B1012="",C1012=""),"",IFERROR(E1012*IF(E1012="",0,VLOOKUP(C1012,'📦 Precios Proforma'!$B$5:$D$104,IF(D1012="DIA",2,3),FALSE)),0))</f>
        <v/>
      </c>
      <c r="J1012" s="31" t="str">
        <f t="shared" si="106"/>
        <v/>
      </c>
      <c r="K1012" s="31" t="str">
        <f t="shared" si="107"/>
        <v/>
      </c>
      <c r="L1012" s="31" t="str">
        <f>IF(OR(B1012="",C1012=""),"",IFERROR(E1012 / SUMIFS('📅 Resumen Diario'!$D$5:$D$504, '📅 Resumen Diario'!$B$5:$B$504, B1012, '📅 Resumen Diario'!$C$5:$C$504, D1012) * SUMIFS('📅 Resumen Diario'!$K$5:$K$504, '📅 Resumen Diario'!$B$5:$B$504, B1012, '📅 Resumen Diario'!$C$5:$C$504, D1012), 0))</f>
        <v/>
      </c>
      <c r="M1012" s="31" t="str">
        <f t="shared" si="108"/>
        <v/>
      </c>
      <c r="N1012" s="31" t="str">
        <f t="shared" si="109"/>
        <v/>
      </c>
      <c r="O1012" s="31" t="str">
        <f>IF(OR(B1012="",C1012=""),"",K1012-N1012 + IFERROR(E1012 / SUMIFS('📅 Resumen Diario'!$D$5:$D$504, '📅 Resumen Diario'!$B$5:$B$504, B1012, '📅 Resumen Diario'!$C$5:$C$504, D1012) * (SUMIFS('📋 Detalle Diario'!$E$5:$E$489, '📋 Detalle Diario'!$B$5:$B$489, B1012, '📋 Detalle Diario'!$C$5:$C$489, D1012) * 135 + SUMIFS('📋 Detalle Diario'!$I$5:$I$489, '📋 Detalle Diario'!$B$5:$B$489, B1012, '📋 Detalle Diario'!$C$5:$C$489, D1012) * 200), 0))</f>
        <v/>
      </c>
      <c r="P1012" s="32" t="str">
        <f t="shared" si="110"/>
        <v/>
      </c>
      <c r="Q1012" s="33" t="str">
        <f t="shared" si="111"/>
        <v/>
      </c>
    </row>
    <row r="1013" spans="2:17" ht="18" customHeight="1" x14ac:dyDescent="0.3">
      <c r="B1013" s="26"/>
      <c r="C1013" s="28"/>
      <c r="D1013" s="27"/>
      <c r="E1013" s="29"/>
      <c r="F1013" s="29"/>
      <c r="G1013" s="29"/>
      <c r="H1013" s="30" t="str">
        <f t="shared" si="105"/>
        <v/>
      </c>
      <c r="I1013" s="31" t="str">
        <f>IF(OR(B1013="",C1013=""),"",IFERROR(E1013*IF(E1013="",0,VLOOKUP(C1013,'📦 Precios Proforma'!$B$5:$D$104,IF(D1013="DIA",2,3),FALSE)),0))</f>
        <v/>
      </c>
      <c r="J1013" s="31" t="str">
        <f t="shared" si="106"/>
        <v/>
      </c>
      <c r="K1013" s="31" t="str">
        <f t="shared" si="107"/>
        <v/>
      </c>
      <c r="L1013" s="31" t="str">
        <f>IF(OR(B1013="",C1013=""),"",IFERROR(E1013 / SUMIFS('📅 Resumen Diario'!$D$5:$D$504, '📅 Resumen Diario'!$B$5:$B$504, B1013, '📅 Resumen Diario'!$C$5:$C$504, D1013) * SUMIFS('📅 Resumen Diario'!$K$5:$K$504, '📅 Resumen Diario'!$B$5:$B$504, B1013, '📅 Resumen Diario'!$C$5:$C$504, D1013), 0))</f>
        <v/>
      </c>
      <c r="M1013" s="31" t="str">
        <f t="shared" si="108"/>
        <v/>
      </c>
      <c r="N1013" s="31" t="str">
        <f t="shared" si="109"/>
        <v/>
      </c>
      <c r="O1013" s="31" t="str">
        <f>IF(OR(B1013="",C1013=""),"",K1013-N1013 + IFERROR(E1013 / SUMIFS('📅 Resumen Diario'!$D$5:$D$504, '📅 Resumen Diario'!$B$5:$B$504, B1013, '📅 Resumen Diario'!$C$5:$C$504, D1013) * (SUMIFS('📋 Detalle Diario'!$E$5:$E$489, '📋 Detalle Diario'!$B$5:$B$489, B1013, '📋 Detalle Diario'!$C$5:$C$489, D1013) * 135 + SUMIFS('📋 Detalle Diario'!$I$5:$I$489, '📋 Detalle Diario'!$B$5:$B$489, B1013, '📋 Detalle Diario'!$C$5:$C$489, D1013) * 200), 0))</f>
        <v/>
      </c>
      <c r="P1013" s="32" t="str">
        <f t="shared" si="110"/>
        <v/>
      </c>
      <c r="Q1013" s="33" t="str">
        <f t="shared" si="111"/>
        <v/>
      </c>
    </row>
    <row r="1014" spans="2:17" ht="18" customHeight="1" x14ac:dyDescent="0.3">
      <c r="B1014" s="26"/>
      <c r="C1014" s="17"/>
      <c r="D1014" s="27"/>
      <c r="E1014" s="18"/>
      <c r="F1014" s="18"/>
      <c r="G1014" s="18"/>
      <c r="H1014" s="30" t="str">
        <f t="shared" si="105"/>
        <v/>
      </c>
      <c r="I1014" s="31" t="str">
        <f>IF(OR(B1014="",C1014=""),"",IFERROR(E1014*IF(E1014="",0,VLOOKUP(C1014,'📦 Precios Proforma'!$B$5:$D$104,IF(D1014="DIA",2,3),FALSE)),0))</f>
        <v/>
      </c>
      <c r="J1014" s="31" t="str">
        <f t="shared" si="106"/>
        <v/>
      </c>
      <c r="K1014" s="31" t="str">
        <f t="shared" si="107"/>
        <v/>
      </c>
      <c r="L1014" s="31" t="str">
        <f>IF(OR(B1014="",C1014=""),"",IFERROR(E1014 / SUMIFS('📅 Resumen Diario'!$D$5:$D$504, '📅 Resumen Diario'!$B$5:$B$504, B1014, '📅 Resumen Diario'!$C$5:$C$504, D1014) * SUMIFS('📅 Resumen Diario'!$K$5:$K$504, '📅 Resumen Diario'!$B$5:$B$504, B1014, '📅 Resumen Diario'!$C$5:$C$504, D1014), 0))</f>
        <v/>
      </c>
      <c r="M1014" s="31" t="str">
        <f t="shared" si="108"/>
        <v/>
      </c>
      <c r="N1014" s="31" t="str">
        <f t="shared" si="109"/>
        <v/>
      </c>
      <c r="O1014" s="31" t="str">
        <f>IF(OR(B1014="",C1014=""),"",K1014-N1014 + IFERROR(E1014 / SUMIFS('📅 Resumen Diario'!$D$5:$D$504, '📅 Resumen Diario'!$B$5:$B$504, B1014, '📅 Resumen Diario'!$C$5:$C$504, D1014) * (SUMIFS('📋 Detalle Diario'!$E$5:$E$489, '📋 Detalle Diario'!$B$5:$B$489, B1014, '📋 Detalle Diario'!$C$5:$C$489, D1014) * 135 + SUMIFS('📋 Detalle Diario'!$I$5:$I$489, '📋 Detalle Diario'!$B$5:$B$489, B1014, '📋 Detalle Diario'!$C$5:$C$489, D1014) * 200), 0))</f>
        <v/>
      </c>
      <c r="P1014" s="32" t="str">
        <f t="shared" si="110"/>
        <v/>
      </c>
      <c r="Q1014" s="33" t="str">
        <f t="shared" si="111"/>
        <v/>
      </c>
    </row>
    <row r="1015" spans="2:17" ht="18" customHeight="1" x14ac:dyDescent="0.3">
      <c r="B1015" s="26"/>
      <c r="C1015" s="28"/>
      <c r="D1015" s="27"/>
      <c r="E1015" s="29"/>
      <c r="F1015" s="29"/>
      <c r="G1015" s="29"/>
      <c r="H1015" s="30" t="str">
        <f t="shared" si="105"/>
        <v/>
      </c>
      <c r="I1015" s="31" t="str">
        <f>IF(OR(B1015="",C1015=""),"",IFERROR(E1015*IF(E1015="",0,VLOOKUP(C1015,'📦 Precios Proforma'!$B$5:$D$104,IF(D1015="DIA",2,3),FALSE)),0))</f>
        <v/>
      </c>
      <c r="J1015" s="31" t="str">
        <f t="shared" si="106"/>
        <v/>
      </c>
      <c r="K1015" s="31" t="str">
        <f t="shared" si="107"/>
        <v/>
      </c>
      <c r="L1015" s="31" t="str">
        <f>IF(OR(B1015="",C1015=""),"",IFERROR(E1015 / SUMIFS('📅 Resumen Diario'!$D$5:$D$504, '📅 Resumen Diario'!$B$5:$B$504, B1015, '📅 Resumen Diario'!$C$5:$C$504, D1015) * SUMIFS('📅 Resumen Diario'!$K$5:$K$504, '📅 Resumen Diario'!$B$5:$B$504, B1015, '📅 Resumen Diario'!$C$5:$C$504, D1015), 0))</f>
        <v/>
      </c>
      <c r="M1015" s="31" t="str">
        <f t="shared" si="108"/>
        <v/>
      </c>
      <c r="N1015" s="31" t="str">
        <f t="shared" si="109"/>
        <v/>
      </c>
      <c r="O1015" s="31" t="str">
        <f>IF(OR(B1015="",C1015=""),"",K1015-N1015 + IFERROR(E1015 / SUMIFS('📅 Resumen Diario'!$D$5:$D$504, '📅 Resumen Diario'!$B$5:$B$504, B1015, '📅 Resumen Diario'!$C$5:$C$504, D1015) * (SUMIFS('📋 Detalle Diario'!$E$5:$E$489, '📋 Detalle Diario'!$B$5:$B$489, B1015, '📋 Detalle Diario'!$C$5:$C$489, D1015) * 135 + SUMIFS('📋 Detalle Diario'!$I$5:$I$489, '📋 Detalle Diario'!$B$5:$B$489, B1015, '📋 Detalle Diario'!$C$5:$C$489, D1015) * 200), 0))</f>
        <v/>
      </c>
      <c r="P1015" s="32" t="str">
        <f t="shared" si="110"/>
        <v/>
      </c>
      <c r="Q1015" s="33" t="str">
        <f t="shared" si="111"/>
        <v/>
      </c>
    </row>
    <row r="1016" spans="2:17" ht="18" customHeight="1" x14ac:dyDescent="0.3">
      <c r="B1016" s="26"/>
      <c r="C1016" s="17"/>
      <c r="D1016" s="27"/>
      <c r="E1016" s="18"/>
      <c r="F1016" s="18"/>
      <c r="G1016" s="18"/>
      <c r="H1016" s="30" t="str">
        <f t="shared" si="105"/>
        <v/>
      </c>
      <c r="I1016" s="31" t="str">
        <f>IF(OR(B1016="",C1016=""),"",IFERROR(E1016*IF(E1016="",0,VLOOKUP(C1016,'📦 Precios Proforma'!$B$5:$D$104,IF(D1016="DIA",2,3),FALSE)),0))</f>
        <v/>
      </c>
      <c r="J1016" s="31" t="str">
        <f t="shared" si="106"/>
        <v/>
      </c>
      <c r="K1016" s="31" t="str">
        <f t="shared" si="107"/>
        <v/>
      </c>
      <c r="L1016" s="31" t="str">
        <f>IF(OR(B1016="",C1016=""),"",IFERROR(E1016 / SUMIFS('📅 Resumen Diario'!$D$5:$D$504, '📅 Resumen Diario'!$B$5:$B$504, B1016, '📅 Resumen Diario'!$C$5:$C$504, D1016) * SUMIFS('📅 Resumen Diario'!$K$5:$K$504, '📅 Resumen Diario'!$B$5:$B$504, B1016, '📅 Resumen Diario'!$C$5:$C$504, D1016), 0))</f>
        <v/>
      </c>
      <c r="M1016" s="31" t="str">
        <f t="shared" si="108"/>
        <v/>
      </c>
      <c r="N1016" s="31" t="str">
        <f t="shared" si="109"/>
        <v/>
      </c>
      <c r="O1016" s="31" t="str">
        <f>IF(OR(B1016="",C1016=""),"",K1016-N1016 + IFERROR(E1016 / SUMIFS('📅 Resumen Diario'!$D$5:$D$504, '📅 Resumen Diario'!$B$5:$B$504, B1016, '📅 Resumen Diario'!$C$5:$C$504, D1016) * (SUMIFS('📋 Detalle Diario'!$E$5:$E$489, '📋 Detalle Diario'!$B$5:$B$489, B1016, '📋 Detalle Diario'!$C$5:$C$489, D1016) * 135 + SUMIFS('📋 Detalle Diario'!$I$5:$I$489, '📋 Detalle Diario'!$B$5:$B$489, B1016, '📋 Detalle Diario'!$C$5:$C$489, D1016) * 200), 0))</f>
        <v/>
      </c>
      <c r="P1016" s="32" t="str">
        <f t="shared" si="110"/>
        <v/>
      </c>
      <c r="Q1016" s="33" t="str">
        <f t="shared" si="111"/>
        <v/>
      </c>
    </row>
    <row r="1017" spans="2:17" ht="18" customHeight="1" x14ac:dyDescent="0.3">
      <c r="B1017" s="26"/>
      <c r="C1017" s="28"/>
      <c r="D1017" s="27"/>
      <c r="E1017" s="29"/>
      <c r="F1017" s="29"/>
      <c r="G1017" s="29"/>
      <c r="H1017" s="30" t="str">
        <f t="shared" si="105"/>
        <v/>
      </c>
      <c r="I1017" s="31" t="str">
        <f>IF(OR(B1017="",C1017=""),"",IFERROR(E1017*IF(E1017="",0,VLOOKUP(C1017,'📦 Precios Proforma'!$B$5:$D$104,IF(D1017="DIA",2,3),FALSE)),0))</f>
        <v/>
      </c>
      <c r="J1017" s="31" t="str">
        <f t="shared" si="106"/>
        <v/>
      </c>
      <c r="K1017" s="31" t="str">
        <f t="shared" si="107"/>
        <v/>
      </c>
      <c r="L1017" s="31" t="str">
        <f>IF(OR(B1017="",C1017=""),"",IFERROR(E1017 / SUMIFS('📅 Resumen Diario'!$D$5:$D$504, '📅 Resumen Diario'!$B$5:$B$504, B1017, '📅 Resumen Diario'!$C$5:$C$504, D1017) * SUMIFS('📅 Resumen Diario'!$K$5:$K$504, '📅 Resumen Diario'!$B$5:$B$504, B1017, '📅 Resumen Diario'!$C$5:$C$504, D1017), 0))</f>
        <v/>
      </c>
      <c r="M1017" s="31" t="str">
        <f t="shared" si="108"/>
        <v/>
      </c>
      <c r="N1017" s="31" t="str">
        <f t="shared" si="109"/>
        <v/>
      </c>
      <c r="O1017" s="31" t="str">
        <f>IF(OR(B1017="",C1017=""),"",K1017-N1017 + IFERROR(E1017 / SUMIFS('📅 Resumen Diario'!$D$5:$D$504, '📅 Resumen Diario'!$B$5:$B$504, B1017, '📅 Resumen Diario'!$C$5:$C$504, D1017) * (SUMIFS('📋 Detalle Diario'!$E$5:$E$489, '📋 Detalle Diario'!$B$5:$B$489, B1017, '📋 Detalle Diario'!$C$5:$C$489, D1017) * 135 + SUMIFS('📋 Detalle Diario'!$I$5:$I$489, '📋 Detalle Diario'!$B$5:$B$489, B1017, '📋 Detalle Diario'!$C$5:$C$489, D1017) * 200), 0))</f>
        <v/>
      </c>
      <c r="P1017" s="32" t="str">
        <f t="shared" si="110"/>
        <v/>
      </c>
      <c r="Q1017" s="33" t="str">
        <f t="shared" si="111"/>
        <v/>
      </c>
    </row>
    <row r="1018" spans="2:17" ht="18" customHeight="1" x14ac:dyDescent="0.3">
      <c r="B1018" s="26"/>
      <c r="C1018" s="17"/>
      <c r="D1018" s="27"/>
      <c r="E1018" s="18"/>
      <c r="F1018" s="18"/>
      <c r="G1018" s="18"/>
      <c r="H1018" s="30" t="str">
        <f t="shared" si="105"/>
        <v/>
      </c>
      <c r="I1018" s="31" t="str">
        <f>IF(OR(B1018="",C1018=""),"",IFERROR(E1018*IF(E1018="",0,VLOOKUP(C1018,'📦 Precios Proforma'!$B$5:$D$104,IF(D1018="DIA",2,3),FALSE)),0))</f>
        <v/>
      </c>
      <c r="J1018" s="31" t="str">
        <f t="shared" si="106"/>
        <v/>
      </c>
      <c r="K1018" s="31" t="str">
        <f t="shared" si="107"/>
        <v/>
      </c>
      <c r="L1018" s="31" t="str">
        <f>IF(OR(B1018="",C1018=""),"",IFERROR(E1018 / SUMIFS('📅 Resumen Diario'!$D$5:$D$504, '📅 Resumen Diario'!$B$5:$B$504, B1018, '📅 Resumen Diario'!$C$5:$C$504, D1018) * SUMIFS('📅 Resumen Diario'!$K$5:$K$504, '📅 Resumen Diario'!$B$5:$B$504, B1018, '📅 Resumen Diario'!$C$5:$C$504, D1018), 0))</f>
        <v/>
      </c>
      <c r="M1018" s="31" t="str">
        <f t="shared" si="108"/>
        <v/>
      </c>
      <c r="N1018" s="31" t="str">
        <f t="shared" si="109"/>
        <v/>
      </c>
      <c r="O1018" s="31" t="str">
        <f>IF(OR(B1018="",C1018=""),"",K1018-N1018 + IFERROR(E1018 / SUMIFS('📅 Resumen Diario'!$D$5:$D$504, '📅 Resumen Diario'!$B$5:$B$504, B1018, '📅 Resumen Diario'!$C$5:$C$504, D1018) * (SUMIFS('📋 Detalle Diario'!$E$5:$E$489, '📋 Detalle Diario'!$B$5:$B$489, B1018, '📋 Detalle Diario'!$C$5:$C$489, D1018) * 135 + SUMIFS('📋 Detalle Diario'!$I$5:$I$489, '📋 Detalle Diario'!$B$5:$B$489, B1018, '📋 Detalle Diario'!$C$5:$C$489, D1018) * 200), 0))</f>
        <v/>
      </c>
      <c r="P1018" s="32" t="str">
        <f t="shared" si="110"/>
        <v/>
      </c>
      <c r="Q1018" s="33" t="str">
        <f t="shared" si="111"/>
        <v/>
      </c>
    </row>
    <row r="1019" spans="2:17" ht="18" customHeight="1" x14ac:dyDescent="0.3">
      <c r="B1019" s="26"/>
      <c r="C1019" s="28"/>
      <c r="D1019" s="27"/>
      <c r="E1019" s="29"/>
      <c r="F1019" s="29"/>
      <c r="G1019" s="29"/>
      <c r="H1019" s="30" t="str">
        <f t="shared" si="105"/>
        <v/>
      </c>
      <c r="I1019" s="31" t="str">
        <f>IF(OR(B1019="",C1019=""),"",IFERROR(E1019*IF(E1019="",0,VLOOKUP(C1019,'📦 Precios Proforma'!$B$5:$D$104,IF(D1019="DIA",2,3),FALSE)),0))</f>
        <v/>
      </c>
      <c r="J1019" s="31" t="str">
        <f t="shared" si="106"/>
        <v/>
      </c>
      <c r="K1019" s="31" t="str">
        <f t="shared" si="107"/>
        <v/>
      </c>
      <c r="L1019" s="31" t="str">
        <f>IF(OR(B1019="",C1019=""),"",IFERROR(E1019 / SUMIFS('📅 Resumen Diario'!$D$5:$D$504, '📅 Resumen Diario'!$B$5:$B$504, B1019, '📅 Resumen Diario'!$C$5:$C$504, D1019) * SUMIFS('📅 Resumen Diario'!$K$5:$K$504, '📅 Resumen Diario'!$B$5:$B$504, B1019, '📅 Resumen Diario'!$C$5:$C$504, D1019), 0))</f>
        <v/>
      </c>
      <c r="M1019" s="31" t="str">
        <f t="shared" si="108"/>
        <v/>
      </c>
      <c r="N1019" s="31" t="str">
        <f t="shared" si="109"/>
        <v/>
      </c>
      <c r="O1019" s="31" t="str">
        <f>IF(OR(B1019="",C1019=""),"",K1019-N1019 + IFERROR(E1019 / SUMIFS('📅 Resumen Diario'!$D$5:$D$504, '📅 Resumen Diario'!$B$5:$B$504, B1019, '📅 Resumen Diario'!$C$5:$C$504, D1019) * (SUMIFS('📋 Detalle Diario'!$E$5:$E$489, '📋 Detalle Diario'!$B$5:$B$489, B1019, '📋 Detalle Diario'!$C$5:$C$489, D1019) * 135 + SUMIFS('📋 Detalle Diario'!$I$5:$I$489, '📋 Detalle Diario'!$B$5:$B$489, B1019, '📋 Detalle Diario'!$C$5:$C$489, D1019) * 200), 0))</f>
        <v/>
      </c>
      <c r="P1019" s="32" t="str">
        <f t="shared" si="110"/>
        <v/>
      </c>
      <c r="Q1019" s="33" t="str">
        <f t="shared" si="111"/>
        <v/>
      </c>
    </row>
    <row r="1020" spans="2:17" ht="18" customHeight="1" x14ac:dyDescent="0.3">
      <c r="B1020" s="26"/>
      <c r="C1020" s="17"/>
      <c r="D1020" s="27"/>
      <c r="E1020" s="18"/>
      <c r="F1020" s="18"/>
      <c r="G1020" s="18"/>
      <c r="H1020" s="30" t="str">
        <f t="shared" si="105"/>
        <v/>
      </c>
      <c r="I1020" s="31" t="str">
        <f>IF(OR(B1020="",C1020=""),"",IFERROR(E1020*IF(E1020="",0,VLOOKUP(C1020,'📦 Precios Proforma'!$B$5:$D$104,IF(D1020="DIA",2,3),FALSE)),0))</f>
        <v/>
      </c>
      <c r="J1020" s="31" t="str">
        <f t="shared" si="106"/>
        <v/>
      </c>
      <c r="K1020" s="31" t="str">
        <f t="shared" si="107"/>
        <v/>
      </c>
      <c r="L1020" s="31" t="str">
        <f>IF(OR(B1020="",C1020=""),"",IFERROR(E1020 / SUMIFS('📅 Resumen Diario'!$D$5:$D$504, '📅 Resumen Diario'!$B$5:$B$504, B1020, '📅 Resumen Diario'!$C$5:$C$504, D1020) * SUMIFS('📅 Resumen Diario'!$K$5:$K$504, '📅 Resumen Diario'!$B$5:$B$504, B1020, '📅 Resumen Diario'!$C$5:$C$504, D1020), 0))</f>
        <v/>
      </c>
      <c r="M1020" s="31" t="str">
        <f t="shared" si="108"/>
        <v/>
      </c>
      <c r="N1020" s="31" t="str">
        <f t="shared" si="109"/>
        <v/>
      </c>
      <c r="O1020" s="31" t="str">
        <f>IF(OR(B1020="",C1020=""),"",K1020-N1020 + IFERROR(E1020 / SUMIFS('📅 Resumen Diario'!$D$5:$D$504, '📅 Resumen Diario'!$B$5:$B$504, B1020, '📅 Resumen Diario'!$C$5:$C$504, D1020) * (SUMIFS('📋 Detalle Diario'!$E$5:$E$489, '📋 Detalle Diario'!$B$5:$B$489, B1020, '📋 Detalle Diario'!$C$5:$C$489, D1020) * 135 + SUMIFS('📋 Detalle Diario'!$I$5:$I$489, '📋 Detalle Diario'!$B$5:$B$489, B1020, '📋 Detalle Diario'!$C$5:$C$489, D1020) * 200), 0))</f>
        <v/>
      </c>
      <c r="P1020" s="32" t="str">
        <f t="shared" si="110"/>
        <v/>
      </c>
      <c r="Q1020" s="33" t="str">
        <f t="shared" si="111"/>
        <v/>
      </c>
    </row>
    <row r="1021" spans="2:17" ht="18" customHeight="1" x14ac:dyDescent="0.3">
      <c r="B1021" s="26"/>
      <c r="C1021" s="28"/>
      <c r="D1021" s="27"/>
      <c r="E1021" s="29"/>
      <c r="F1021" s="29"/>
      <c r="G1021" s="29"/>
      <c r="H1021" s="30" t="str">
        <f t="shared" si="105"/>
        <v/>
      </c>
      <c r="I1021" s="31" t="str">
        <f>IF(OR(B1021="",C1021=""),"",IFERROR(E1021*IF(E1021="",0,VLOOKUP(C1021,'📦 Precios Proforma'!$B$5:$D$104,IF(D1021="DIA",2,3),FALSE)),0))</f>
        <v/>
      </c>
      <c r="J1021" s="31" t="str">
        <f t="shared" si="106"/>
        <v/>
      </c>
      <c r="K1021" s="31" t="str">
        <f t="shared" si="107"/>
        <v/>
      </c>
      <c r="L1021" s="31" t="str">
        <f>IF(OR(B1021="",C1021=""),"",IFERROR(E1021 / SUMIFS('📅 Resumen Diario'!$D$5:$D$504, '📅 Resumen Diario'!$B$5:$B$504, B1021, '📅 Resumen Diario'!$C$5:$C$504, D1021) * SUMIFS('📅 Resumen Diario'!$K$5:$K$504, '📅 Resumen Diario'!$B$5:$B$504, B1021, '📅 Resumen Diario'!$C$5:$C$504, D1021), 0))</f>
        <v/>
      </c>
      <c r="M1021" s="31" t="str">
        <f t="shared" si="108"/>
        <v/>
      </c>
      <c r="N1021" s="31" t="str">
        <f t="shared" si="109"/>
        <v/>
      </c>
      <c r="O1021" s="31" t="str">
        <f>IF(OR(B1021="",C1021=""),"",K1021-N1021 + IFERROR(E1021 / SUMIFS('📅 Resumen Diario'!$D$5:$D$504, '📅 Resumen Diario'!$B$5:$B$504, B1021, '📅 Resumen Diario'!$C$5:$C$504, D1021) * (SUMIFS('📋 Detalle Diario'!$E$5:$E$489, '📋 Detalle Diario'!$B$5:$B$489, B1021, '📋 Detalle Diario'!$C$5:$C$489, D1021) * 135 + SUMIFS('📋 Detalle Diario'!$I$5:$I$489, '📋 Detalle Diario'!$B$5:$B$489, B1021, '📋 Detalle Diario'!$C$5:$C$489, D1021) * 200), 0))</f>
        <v/>
      </c>
      <c r="P1021" s="32" t="str">
        <f t="shared" si="110"/>
        <v/>
      </c>
      <c r="Q1021" s="33" t="str">
        <f t="shared" si="111"/>
        <v/>
      </c>
    </row>
    <row r="1022" spans="2:17" ht="18" customHeight="1" x14ac:dyDescent="0.3">
      <c r="B1022" s="26"/>
      <c r="C1022" s="17"/>
      <c r="D1022" s="27"/>
      <c r="E1022" s="18"/>
      <c r="F1022" s="18"/>
      <c r="G1022" s="18"/>
      <c r="H1022" s="30" t="str">
        <f t="shared" si="105"/>
        <v/>
      </c>
      <c r="I1022" s="31" t="str">
        <f>IF(OR(B1022="",C1022=""),"",IFERROR(E1022*IF(E1022="",0,VLOOKUP(C1022,'📦 Precios Proforma'!$B$5:$D$104,IF(D1022="DIA",2,3),FALSE)),0))</f>
        <v/>
      </c>
      <c r="J1022" s="31" t="str">
        <f t="shared" si="106"/>
        <v/>
      </c>
      <c r="K1022" s="31" t="str">
        <f t="shared" si="107"/>
        <v/>
      </c>
      <c r="L1022" s="31" t="str">
        <f>IF(OR(B1022="",C1022=""),"",IFERROR(E1022 / SUMIFS('📅 Resumen Diario'!$D$5:$D$504, '📅 Resumen Diario'!$B$5:$B$504, B1022, '📅 Resumen Diario'!$C$5:$C$504, D1022) * SUMIFS('📅 Resumen Diario'!$K$5:$K$504, '📅 Resumen Diario'!$B$5:$B$504, B1022, '📅 Resumen Diario'!$C$5:$C$504, D1022), 0))</f>
        <v/>
      </c>
      <c r="M1022" s="31" t="str">
        <f t="shared" si="108"/>
        <v/>
      </c>
      <c r="N1022" s="31" t="str">
        <f t="shared" si="109"/>
        <v/>
      </c>
      <c r="O1022" s="31" t="str">
        <f>IF(OR(B1022="",C1022=""),"",K1022-N1022 + IFERROR(E1022 / SUMIFS('📅 Resumen Diario'!$D$5:$D$504, '📅 Resumen Diario'!$B$5:$B$504, B1022, '📅 Resumen Diario'!$C$5:$C$504, D1022) * (SUMIFS('📋 Detalle Diario'!$E$5:$E$489, '📋 Detalle Diario'!$B$5:$B$489, B1022, '📋 Detalle Diario'!$C$5:$C$489, D1022) * 135 + SUMIFS('📋 Detalle Diario'!$I$5:$I$489, '📋 Detalle Diario'!$B$5:$B$489, B1022, '📋 Detalle Diario'!$C$5:$C$489, D1022) * 200), 0))</f>
        <v/>
      </c>
      <c r="P1022" s="32" t="str">
        <f t="shared" si="110"/>
        <v/>
      </c>
      <c r="Q1022" s="33" t="str">
        <f t="shared" si="111"/>
        <v/>
      </c>
    </row>
    <row r="1023" spans="2:17" ht="18" customHeight="1" x14ac:dyDescent="0.3">
      <c r="B1023" s="26"/>
      <c r="C1023" s="28"/>
      <c r="D1023" s="27"/>
      <c r="E1023" s="29"/>
      <c r="F1023" s="29"/>
      <c r="G1023" s="29"/>
      <c r="H1023" s="30" t="str">
        <f t="shared" si="105"/>
        <v/>
      </c>
      <c r="I1023" s="31" t="str">
        <f>IF(OR(B1023="",C1023=""),"",IFERROR(E1023*IF(E1023="",0,VLOOKUP(C1023,'📦 Precios Proforma'!$B$5:$D$104,IF(D1023="DIA",2,3),FALSE)),0))</f>
        <v/>
      </c>
      <c r="J1023" s="31" t="str">
        <f t="shared" si="106"/>
        <v/>
      </c>
      <c r="K1023" s="31" t="str">
        <f t="shared" si="107"/>
        <v/>
      </c>
      <c r="L1023" s="31" t="str">
        <f>IF(OR(B1023="",C1023=""),"",IFERROR(E1023 / SUMIFS('📅 Resumen Diario'!$D$5:$D$504, '📅 Resumen Diario'!$B$5:$B$504, B1023, '📅 Resumen Diario'!$C$5:$C$504, D1023) * SUMIFS('📅 Resumen Diario'!$K$5:$K$504, '📅 Resumen Diario'!$B$5:$B$504, B1023, '📅 Resumen Diario'!$C$5:$C$504, D1023), 0))</f>
        <v/>
      </c>
      <c r="M1023" s="31" t="str">
        <f t="shared" si="108"/>
        <v/>
      </c>
      <c r="N1023" s="31" t="str">
        <f t="shared" si="109"/>
        <v/>
      </c>
      <c r="O1023" s="31" t="str">
        <f>IF(OR(B1023="",C1023=""),"",K1023-N1023 + IFERROR(E1023 / SUMIFS('📅 Resumen Diario'!$D$5:$D$504, '📅 Resumen Diario'!$B$5:$B$504, B1023, '📅 Resumen Diario'!$C$5:$C$504, D1023) * (SUMIFS('📋 Detalle Diario'!$E$5:$E$489, '📋 Detalle Diario'!$B$5:$B$489, B1023, '📋 Detalle Diario'!$C$5:$C$489, D1023) * 135 + SUMIFS('📋 Detalle Diario'!$I$5:$I$489, '📋 Detalle Diario'!$B$5:$B$489, B1023, '📋 Detalle Diario'!$C$5:$C$489, D1023) * 200), 0))</f>
        <v/>
      </c>
      <c r="P1023" s="32" t="str">
        <f t="shared" si="110"/>
        <v/>
      </c>
      <c r="Q1023" s="33" t="str">
        <f t="shared" si="111"/>
        <v/>
      </c>
    </row>
    <row r="1024" spans="2:17" ht="18" customHeight="1" x14ac:dyDescent="0.3">
      <c r="B1024" s="26"/>
      <c r="C1024" s="17"/>
      <c r="D1024" s="27"/>
      <c r="E1024" s="18"/>
      <c r="F1024" s="18"/>
      <c r="G1024" s="18"/>
      <c r="H1024" s="30" t="str">
        <f t="shared" si="105"/>
        <v/>
      </c>
      <c r="I1024" s="31" t="str">
        <f>IF(OR(B1024="",C1024=""),"",IFERROR(E1024*IF(E1024="",0,VLOOKUP(C1024,'📦 Precios Proforma'!$B$5:$D$104,IF(D1024="DIA",2,3),FALSE)),0))</f>
        <v/>
      </c>
      <c r="J1024" s="31" t="str">
        <f t="shared" si="106"/>
        <v/>
      </c>
      <c r="K1024" s="31" t="str">
        <f t="shared" si="107"/>
        <v/>
      </c>
      <c r="L1024" s="31" t="str">
        <f>IF(OR(B1024="",C1024=""),"",IFERROR(E1024 / SUMIFS('📅 Resumen Diario'!$D$5:$D$504, '📅 Resumen Diario'!$B$5:$B$504, B1024, '📅 Resumen Diario'!$C$5:$C$504, D1024) * SUMIFS('📅 Resumen Diario'!$K$5:$K$504, '📅 Resumen Diario'!$B$5:$B$504, B1024, '[2]�� Resumen Diario'!$C$5:$C$504, D1024), 0))</f>
        <v/>
      </c>
      <c r="M1024" s="31" t="str">
        <f t="shared" si="108"/>
        <v/>
      </c>
      <c r="N1024" s="31" t="str">
        <f t="shared" si="109"/>
        <v/>
      </c>
      <c r="O1024" s="31" t="str">
        <f>IF(OR(B1024="",C1024=""),"",K1024-N1024 + IFERROR(E1024 / SUMIFS('📅 Resumen Diario'!$D$5:$D$504, '📅 Resumen Diario'!$B$5:$B$504, B1024, '📅 Resumen Diario'!$C$5:$C$504, D1024) * (SUMIFS('📋 Detalle Diario'!$E$5:$E$489, '📋 Detalle Diario'!$B$5:$B$489, B1024, '📋 Detalle Diario'!$C$5:$C$489, D1024) * 135 + SUMIFS('📋 Detalle Diario'!$I$5:$I$489, '📋 Detalle Diario'!$B$5:$B$489, B1024, '📋 Detalle Diario'!$C$5:$C$489, D1024) * 200), 0))</f>
        <v/>
      </c>
      <c r="P1024" s="32" t="str">
        <f t="shared" si="110"/>
        <v/>
      </c>
      <c r="Q1024" s="33" t="str">
        <f t="shared" si="111"/>
        <v/>
      </c>
    </row>
    <row r="1025" spans="2:17" ht="18" customHeight="1" x14ac:dyDescent="0.3">
      <c r="B1025" s="26"/>
      <c r="C1025" s="28"/>
      <c r="D1025" s="27"/>
      <c r="E1025" s="29"/>
      <c r="F1025" s="29"/>
      <c r="G1025" s="29"/>
      <c r="H1025" s="30" t="str">
        <f t="shared" si="105"/>
        <v/>
      </c>
      <c r="I1025" s="31" t="str">
        <f>IF(OR(B1025="",C1025=""),"",IFERROR(E1025*IF(E1025="",0,VLOOKUP(C1025,'📦 Precios Proforma'!$B$5:$D$104,IF(D1025="DIA",2,3),FALSE)),0))</f>
        <v/>
      </c>
      <c r="J1025" s="31" t="str">
        <f t="shared" si="106"/>
        <v/>
      </c>
      <c r="K1025" s="31" t="str">
        <f t="shared" si="107"/>
        <v/>
      </c>
      <c r="L1025" s="31" t="str">
        <f>IF(OR(B1025="",C1025=""),"",IFERROR(E1025 / SUMIFS('📅 Resumen Diario'!$D$5:$D$504, '📅 Resumen Diario'!$B$5:$B$504, B1025, '📅 Resumen Diario'!$C$5:$C$504, D1025) * SUMIFS('📅 Resumen Diario'!$K$5:$K$504, '📅 Resumen Diario'!$B$5:$B$504, B1025, '📅 Resumen Diario'!$C$5:$C$504, D1025), 0))</f>
        <v/>
      </c>
      <c r="M1025" s="31" t="str">
        <f t="shared" si="108"/>
        <v/>
      </c>
      <c r="N1025" s="31" t="str">
        <f t="shared" si="109"/>
        <v/>
      </c>
      <c r="O1025" s="31" t="str">
        <f>IF(OR(B1025="",C1025=""),"",K1025-N1025 + IFERROR(E1025 / SUMIFS('📅 Resumen Diario'!$D$5:$D$504, '📅 Resumen Diario'!$B$5:$B$504, B1025, '📅 Resumen Diario'!$C$5:$C$504, D1025) * (SUMIFS('📋 Detalle Diario'!$E$5:$E$489, '📋 Detalle Diario'!$B$5:$B$489, B1025, '📋 Detalle Diario'!$C$5:$C$489, D1025) * 135 + SUMIFS('📋 Detalle Diario'!$I$5:$I$489, '📋 Detalle Diario'!$B$5:$B$489, B1025, '📋 Detalle Diario'!$C$5:$C$489, D1025) * 200), 0))</f>
        <v/>
      </c>
      <c r="P1025" s="32" t="str">
        <f t="shared" si="110"/>
        <v/>
      </c>
      <c r="Q1025" s="33" t="str">
        <f t="shared" si="111"/>
        <v/>
      </c>
    </row>
    <row r="1026" spans="2:17" ht="18" customHeight="1" x14ac:dyDescent="0.3">
      <c r="B1026" s="26"/>
      <c r="C1026" s="17"/>
      <c r="D1026" s="27"/>
      <c r="E1026" s="18"/>
      <c r="F1026" s="18"/>
      <c r="G1026" s="18"/>
      <c r="H1026" s="30" t="str">
        <f t="shared" si="105"/>
        <v/>
      </c>
      <c r="I1026" s="31" t="str">
        <f>IF(OR(B1026="",C1026=""),"",IFERROR(E1026*IF(E1026="",0,VLOOKUP(C1026,'📦 Precios Proforma'!$B$5:$D$104,IF(D1026="DIA",2,3),FALSE)),0))</f>
        <v/>
      </c>
      <c r="J1026" s="31" t="str">
        <f t="shared" si="106"/>
        <v/>
      </c>
      <c r="K1026" s="31" t="str">
        <f t="shared" si="107"/>
        <v/>
      </c>
      <c r="L1026" s="31" t="str">
        <f>IF(OR(B1026="",C1026=""),"",IFERROR(E1026 / SUMIFS('📅 Resumen Diario'!$D$5:$D$504, '📅 Resumen Diario'!$B$5:$B$504, B1026, '📅 Resumen Diario'!$C$5:$C$504, D1026) * SUMIFS('📅 Resumen Diario'!$K$5:$K$504, '📅 Resumen Diario'!$B$5:$B$504, B1026, '📅 Resumen Diario'!$C$5:$C$504, D1026), 0))</f>
        <v/>
      </c>
      <c r="M1026" s="31" t="str">
        <f t="shared" si="108"/>
        <v/>
      </c>
      <c r="N1026" s="31" t="str">
        <f t="shared" si="109"/>
        <v/>
      </c>
      <c r="O1026" s="31" t="str">
        <f>IF(OR(B1026="",C1026=""),"",K1026-N1026 + IFERROR(E1026 / SUMIFS('📅 Resumen Diario'!$D$5:$D$504, '📅 Resumen Diario'!$B$5:$B$504, B1026, '📅 Resumen Diario'!$C$5:$C$504, D1026) * (SUMIFS('📋 Detalle Diario'!$E$5:$E$489, '📋 Detalle Diario'!$B$5:$B$489, B1026, '📋 Detalle Diario'!$C$5:$C$489, D1026) * 135 + SUMIFS('📋 Detalle Diario'!$I$5:$I$489, '📋 Detalle Diario'!$B$5:$B$489, B1026, '📋 Detalle Diario'!$C$5:$C$489, D1026) * 200), 0))</f>
        <v/>
      </c>
      <c r="P1026" s="32" t="str">
        <f t="shared" si="110"/>
        <v/>
      </c>
      <c r="Q1026" s="33" t="str">
        <f t="shared" si="111"/>
        <v/>
      </c>
    </row>
    <row r="1027" spans="2:17" ht="18" customHeight="1" x14ac:dyDescent="0.3">
      <c r="B1027" s="26"/>
      <c r="C1027" s="28"/>
      <c r="D1027" s="27"/>
      <c r="E1027" s="29"/>
      <c r="F1027" s="29"/>
      <c r="G1027" s="29"/>
      <c r="H1027" s="30" t="str">
        <f t="shared" si="105"/>
        <v/>
      </c>
      <c r="I1027" s="31" t="str">
        <f>IF(OR(B1027="",C1027=""),"",IFERROR(E1027*IF(E1027="",0,VLOOKUP(C1027,'📦 Precios Proforma'!$B$5:$D$104,IF(D1027="DIA",2,3),FALSE)),0))</f>
        <v/>
      </c>
      <c r="J1027" s="31" t="str">
        <f t="shared" si="106"/>
        <v/>
      </c>
      <c r="K1027" s="31" t="str">
        <f t="shared" si="107"/>
        <v/>
      </c>
      <c r="L1027" s="31" t="str">
        <f>IF(OR(B1027="",C1027=""),"",IFERROR(E1027 / SUMIFS('📅 Resumen Diario'!$D$5:$D$504, '📅 Resumen Diario'!$B$5:$B$504, B1027, '📅 Resumen Diario'!$C$5:$C$504, D1027) * SUMIFS('📅 Resumen Diario'!$K$5:$K$504, '📅 Resumen Diario'!$B$5:$B$504, B1027, '📅 Resumen Diario'!$C$5:$C$504, D1027), 0))</f>
        <v/>
      </c>
      <c r="M1027" s="31" t="str">
        <f t="shared" si="108"/>
        <v/>
      </c>
      <c r="N1027" s="31" t="str">
        <f t="shared" si="109"/>
        <v/>
      </c>
      <c r="O1027" s="31" t="str">
        <f>IF(OR(B1027="",C1027=""),"",K1027-N1027 + IFERROR(E1027 / SUMIFS('📅 Resumen Diario'!$D$5:$D$504, '📅 Resumen Diario'!$B$5:$B$504, B1027, '📅 Resumen Diario'!$C$5:$C$504, D1027) * (SUMIFS('📋 Detalle Diario'!$E$5:$E$489, '📋 Detalle Diario'!$B$5:$B$489, B1027, '📋 Detalle Diario'!$C$5:$C$489, D1027) * 135 + SUMIFS('📋 Detalle Diario'!$I$5:$I$489, '📋 Detalle Diario'!$B$5:$B$489, B1027, '📋 Detalle Diario'!$C$5:$C$489, D1027) * 200), 0))</f>
        <v/>
      </c>
      <c r="P1027" s="32" t="str">
        <f t="shared" si="110"/>
        <v/>
      </c>
      <c r="Q1027" s="33" t="str">
        <f t="shared" si="111"/>
        <v/>
      </c>
    </row>
    <row r="1028" spans="2:17" ht="18" customHeight="1" x14ac:dyDescent="0.3">
      <c r="B1028" s="26"/>
      <c r="C1028" s="17"/>
      <c r="D1028" s="27"/>
      <c r="E1028" s="18"/>
      <c r="F1028" s="18"/>
      <c r="G1028" s="18"/>
      <c r="H1028" s="30" t="str">
        <f t="shared" si="105"/>
        <v/>
      </c>
      <c r="I1028" s="31" t="str">
        <f>IF(OR(B1028="",C1028=""),"",IFERROR(E1028*IF(E1028="",0,VLOOKUP(C1028,'📦 Precios Proforma'!$B$5:$D$104,IF(D1028="DIA",2,3),FALSE)),0))</f>
        <v/>
      </c>
      <c r="J1028" s="31" t="str">
        <f t="shared" si="106"/>
        <v/>
      </c>
      <c r="K1028" s="31" t="str">
        <f t="shared" si="107"/>
        <v/>
      </c>
      <c r="L1028" s="31" t="str">
        <f>IF(OR(B1028="",C1028=""),"",IFERROR(E1028 / SUMIFS('📅 Resumen Diario'!$D$5:$D$504, '📅 Resumen Diario'!$B$5:$B$504, B1028, '📅 Resumen Diario'!$C$5:$C$504, D1028) * SUMIFS('📅 Resumen Diario'!$K$5:$K$504, '📅 Resumen Diario'!$B$5:$B$504, B1028, '📅 Resumen Diario'!$C$5:$C$504, D1028), 0))</f>
        <v/>
      </c>
      <c r="M1028" s="31" t="str">
        <f t="shared" si="108"/>
        <v/>
      </c>
      <c r="N1028" s="31" t="str">
        <f t="shared" si="109"/>
        <v/>
      </c>
      <c r="O1028" s="31" t="str">
        <f>IF(OR(B1028="",C1028=""),"",K1028-N1028 + IFERROR(E1028 / SUMIFS('📅 Resumen Diario'!$D$5:$D$504, '📅 Resumen Diario'!$B$5:$B$504, B1028, '📅 Resumen Diario'!$C$5:$C$504, D1028) * (SUMIFS('📋 Detalle Diario'!$E$5:$E$489, '📋 Detalle Diario'!$B$5:$B$489, B1028, '📋 Detalle Diario'!$C$5:$C$489, D1028) * 135 + SUMIFS('📋 Detalle Diario'!$I$5:$I$489, '📋 Detalle Diario'!$B$5:$B$489, B1028, '📋 Detalle Diario'!$C$5:$C$489, D1028) * 200), 0))</f>
        <v/>
      </c>
      <c r="P1028" s="32" t="str">
        <f t="shared" si="110"/>
        <v/>
      </c>
      <c r="Q1028" s="33" t="str">
        <f t="shared" si="111"/>
        <v/>
      </c>
    </row>
    <row r="1029" spans="2:17" ht="18" customHeight="1" x14ac:dyDescent="0.3">
      <c r="B1029" s="26"/>
      <c r="C1029" s="28"/>
      <c r="D1029" s="27"/>
      <c r="E1029" s="29"/>
      <c r="F1029" s="29"/>
      <c r="G1029" s="29"/>
      <c r="H1029" s="30" t="str">
        <f t="shared" si="105"/>
        <v/>
      </c>
      <c r="I1029" s="31" t="str">
        <f>IF(OR(B1029="",C1029=""),"",IFERROR(E1029*IF(E1029="",0,VLOOKUP(C1029,'📦 Precios Proforma'!$B$5:$D$104,IF(D1029="DIA",2,3),FALSE)),0))</f>
        <v/>
      </c>
      <c r="J1029" s="31" t="str">
        <f t="shared" si="106"/>
        <v/>
      </c>
      <c r="K1029" s="31" t="str">
        <f t="shared" si="107"/>
        <v/>
      </c>
      <c r="L1029" s="31" t="str">
        <f>IF(OR(B1029="",C1029=""),"",IFERROR(E1029 / SUMIFS('📅 Resumen Diario'!$D$5:$D$504, '📅 Resumen Diario'!$B$5:$B$504, B1029, '📅 Resumen Diario'!$C$5:$C$504, D1029) * SUMIFS('📅 Resumen Diario'!$K$5:$K$504, '📅 Resumen Diario'!$B$5:$B$504, B1029, '📅 Resumen Diario'!$C$5:$C$504, D1029), 0))</f>
        <v/>
      </c>
      <c r="M1029" s="31" t="str">
        <f t="shared" si="108"/>
        <v/>
      </c>
      <c r="N1029" s="31" t="str">
        <f t="shared" si="109"/>
        <v/>
      </c>
      <c r="O1029" s="31" t="str">
        <f>IF(OR(B1029="",C1029=""),"",K1029-N1029 + IFERROR(E1029 / SUMIFS('📅 Resumen Diario'!$D$5:$D$504, '📅 Resumen Diario'!$B$5:$B$504, B1029, '📅 Resumen Diario'!$C$5:$C$504, D1029) * (SUMIFS('📋 Detalle Diario'!$E$5:$E$489, '📋 Detalle Diario'!$B$5:$B$489, B1029, '📋 Detalle Diario'!$C$5:$C$489, D1029) * 135 + SUMIFS('📋 Detalle Diario'!$I$5:$I$489, '📋 Detalle Diario'!$B$5:$B$489, B1029, '📋 Detalle Diario'!$C$5:$C$489, D1029) * 200), 0))</f>
        <v/>
      </c>
      <c r="P1029" s="32" t="str">
        <f t="shared" si="110"/>
        <v/>
      </c>
      <c r="Q1029" s="33" t="str">
        <f t="shared" si="111"/>
        <v/>
      </c>
    </row>
    <row r="1030" spans="2:17" ht="18" customHeight="1" x14ac:dyDescent="0.3">
      <c r="B1030" s="26"/>
      <c r="C1030" s="17"/>
      <c r="D1030" s="27"/>
      <c r="E1030" s="18"/>
      <c r="F1030" s="18"/>
      <c r="G1030" s="18"/>
      <c r="H1030" s="30" t="str">
        <f t="shared" si="105"/>
        <v/>
      </c>
      <c r="I1030" s="31" t="str">
        <f>IF(OR(B1030="",C1030=""),"",IFERROR(E1030*IF(E1030="",0,VLOOKUP(C1030,'📦 Precios Proforma'!$B$5:$D$104,IF(D1030="DIA",2,3),FALSE)),0))</f>
        <v/>
      </c>
      <c r="J1030" s="31" t="str">
        <f t="shared" si="106"/>
        <v/>
      </c>
      <c r="K1030" s="31" t="str">
        <f t="shared" si="107"/>
        <v/>
      </c>
      <c r="L1030" s="31" t="str">
        <f>IF(OR(B1030="",C1030=""),"",IFERROR(E1030 / SUMIFS('📅 Resumen Diario'!$D$5:$D$504, '📅 Resumen Diario'!$B$5:$B$504, B1030, '📅 Resumen Diario'!$C$5:$C$504, D1030) * SUMIFS('📅 Resumen Diario'!$K$5:$K$504, '📅 Resumen Diario'!$B$5:$B$504, B1030, '📅 Resumen Diario'!$C$5:$C$504, D1030), 0))</f>
        <v/>
      </c>
      <c r="M1030" s="31" t="str">
        <f t="shared" si="108"/>
        <v/>
      </c>
      <c r="N1030" s="31" t="str">
        <f t="shared" si="109"/>
        <v/>
      </c>
      <c r="O1030" s="31" t="str">
        <f>IF(OR(B1030="",C1030=""),"",K1030-N1030 + IFERROR(E1030 / SUMIFS('📅 Resumen Diario'!$D$5:$D$504, '📅 Resumen Diario'!$B$5:$B$504, B1030, '📅 Resumen Diario'!$C$5:$C$504, D1030) * (SUMIFS('📋 Detalle Diario'!$E$5:$E$489, '📋 Detalle Diario'!$B$5:$B$489, B1030, '📋 Detalle Diario'!$C$5:$C$489, D1030) * 135 + SUMIFS('📋 Detalle Diario'!$I$5:$I$489, '📋 Detalle Diario'!$B$5:$B$489, B1030, '📋 Detalle Diario'!$C$5:$C$489, D1030) * 200), 0))</f>
        <v/>
      </c>
      <c r="P1030" s="32" t="str">
        <f t="shared" si="110"/>
        <v/>
      </c>
      <c r="Q1030" s="33" t="str">
        <f t="shared" si="111"/>
        <v/>
      </c>
    </row>
    <row r="1031" spans="2:17" ht="18" customHeight="1" x14ac:dyDescent="0.3">
      <c r="B1031" s="26"/>
      <c r="C1031" s="28"/>
      <c r="D1031" s="27"/>
      <c r="E1031" s="29"/>
      <c r="F1031" s="29"/>
      <c r="G1031" s="29"/>
      <c r="H1031" s="30" t="str">
        <f t="shared" ref="H1031:H1094" si="112">IF(OR(B1031="",C1031=""),"",F1031+G1031)</f>
        <v/>
      </c>
      <c r="I1031" s="31" t="str">
        <f>IF(OR(B1031="",C1031=""),"",IFERROR(E1031*IF(E1031="",0,VLOOKUP(C1031,'📦 Precios Proforma'!$B$5:$D$104,IF(D1031="DIA",2,3),FALSE)),0))</f>
        <v/>
      </c>
      <c r="J1031" s="31" t="str">
        <f t="shared" ref="J1031:J1094" si="113">IF(OR(B1031="",C1031=""),"",IF(D1031="DIA",H1031*1.01,H1031*1.35))</f>
        <v/>
      </c>
      <c r="K1031" s="31" t="str">
        <f t="shared" ref="K1031:K1094" si="114">IF(OR(B1031="",C1031=""),"",I1031+J1031)</f>
        <v/>
      </c>
      <c r="L1031" s="31" t="str">
        <f>IF(OR(B1031="",C1031=""),"",IFERROR(E1031 / SUMIFS('📅 Resumen Diario'!$D$5:$D$504, '📅 Resumen Diario'!$B$5:$B$504, B1031, '📅 Resumen Diario'!$C$5:$C$504, D1031) * SUMIFS('📅 Resumen Diario'!$K$5:$K$504, '📅 Resumen Diario'!$B$5:$B$504, B1031, '📅 Resumen Diario'!$C$5:$C$504, D1031), 0))</f>
        <v/>
      </c>
      <c r="M1031" s="31" t="str">
        <f t="shared" ref="M1031:M1094" si="115">IF(OR(B1031="",C1031=""),"",H1031*0.09)</f>
        <v/>
      </c>
      <c r="N1031" s="31" t="str">
        <f t="shared" ref="N1031:N1094" si="116">IF(OR(B1031="",C1031=""),"",L1031+M1031)</f>
        <v/>
      </c>
      <c r="O1031" s="31" t="str">
        <f>IF(OR(B1031="",C1031=""),"",K1031-N1031 + IFERROR(E1031 / SUMIFS('📅 Resumen Diario'!$D$5:$D$504, '📅 Resumen Diario'!$B$5:$B$504, B1031, '📅 Resumen Diario'!$C$5:$C$504, D1031) * (SUMIFS('📋 Detalle Diario'!$E$5:$E$489, '📋 Detalle Diario'!$B$5:$B$489, B1031, '📋 Detalle Diario'!$C$5:$C$489, D1031) * 135 + SUMIFS('📋 Detalle Diario'!$I$5:$I$489, '📋 Detalle Diario'!$B$5:$B$489, B1031, '📋 Detalle Diario'!$C$5:$C$489, D1031) * 200), 0))</f>
        <v/>
      </c>
      <c r="P1031" s="32" t="str">
        <f t="shared" ref="P1031:P1094" si="117">IF(OR(B1031="",C1031=""),"",IF(K1031=0, 0, O1031/K1031))</f>
        <v/>
      </c>
      <c r="Q1031" s="33" t="str">
        <f t="shared" ref="Q1031:Q1094" si="118">IF(B1031="","",IF(ISNUMBER(B1031),YEAR(B1031)&amp;"-"&amp;IF(MONTH(B1031)&lt;10,"0","")&amp;MONTH(B1031),LEFT(B1031,7)))</f>
        <v/>
      </c>
    </row>
    <row r="1032" spans="2:17" ht="18" customHeight="1" x14ac:dyDescent="0.3">
      <c r="B1032" s="26"/>
      <c r="C1032" s="17"/>
      <c r="D1032" s="27"/>
      <c r="E1032" s="18"/>
      <c r="F1032" s="18"/>
      <c r="G1032" s="18"/>
      <c r="H1032" s="30" t="str">
        <f t="shared" si="112"/>
        <v/>
      </c>
      <c r="I1032" s="31" t="str">
        <f>IF(OR(B1032="",C1032=""),"",IFERROR(E1032*IF(E1032="",0,VLOOKUP(C1032,'📦 Precios Proforma'!$B$5:$D$104,IF(D1032="DIA",2,3),FALSE)),0))</f>
        <v/>
      </c>
      <c r="J1032" s="31" t="str">
        <f t="shared" si="113"/>
        <v/>
      </c>
      <c r="K1032" s="31" t="str">
        <f t="shared" si="114"/>
        <v/>
      </c>
      <c r="L1032" s="31" t="str">
        <f>IF(OR(B1032="",C1032=""),"",IFERROR(E1032 / SUMIFS('📅 Resumen Diario'!$D$5:$D$504, '📅 Resumen Diario'!$B$5:$B$504, B1032, '📅 Resumen Diario'!$C$5:$C$504, D1032) * SUMIFS('📅 Resumen Diario'!$K$5:$K$504, '📅 Resumen Diario'!$B$5:$B$504, B1032, '📅 Resumen Diario'!$C$5:$C$504, D1032), 0))</f>
        <v/>
      </c>
      <c r="M1032" s="31" t="str">
        <f t="shared" si="115"/>
        <v/>
      </c>
      <c r="N1032" s="31" t="str">
        <f t="shared" si="116"/>
        <v/>
      </c>
      <c r="O1032" s="31" t="str">
        <f>IF(OR(B1032="",C1032=""),"",K1032-N1032 + IFERROR(E1032 / SUMIFS('📅 Resumen Diario'!$D$5:$D$504, '📅 Resumen Diario'!$B$5:$B$504, B1032, '📅 Resumen Diario'!$C$5:$C$504, D1032) * (SUMIFS('📋 Detalle Diario'!$E$5:$E$489, '📋 Detalle Diario'!$B$5:$B$489, B1032, '📋 Detalle Diario'!$C$5:$C$489, D1032) * 135 + SUMIFS('📋 Detalle Diario'!$I$5:$I$489, '📋 Detalle Diario'!$B$5:$B$489, B1032, '📋 Detalle Diario'!$C$5:$C$489, D1032) * 200), 0))</f>
        <v/>
      </c>
      <c r="P1032" s="32" t="str">
        <f t="shared" si="117"/>
        <v/>
      </c>
      <c r="Q1032" s="33" t="str">
        <f t="shared" si="118"/>
        <v/>
      </c>
    </row>
    <row r="1033" spans="2:17" ht="18" customHeight="1" x14ac:dyDescent="0.3">
      <c r="B1033" s="26"/>
      <c r="C1033" s="28"/>
      <c r="D1033" s="27"/>
      <c r="E1033" s="29"/>
      <c r="F1033" s="29"/>
      <c r="G1033" s="29"/>
      <c r="H1033" s="30" t="str">
        <f t="shared" si="112"/>
        <v/>
      </c>
      <c r="I1033" s="31" t="str">
        <f>IF(OR(B1033="",C1033=""),"",IFERROR(E1033*IF(E1033="",0,VLOOKUP(C1033,'📦 Precios Proforma'!$B$5:$D$104,IF(D1033="DIA",2,3),FALSE)),0))</f>
        <v/>
      </c>
      <c r="J1033" s="31" t="str">
        <f t="shared" si="113"/>
        <v/>
      </c>
      <c r="K1033" s="31" t="str">
        <f t="shared" si="114"/>
        <v/>
      </c>
      <c r="L1033" s="31" t="str">
        <f>IF(OR(B1033="",C1033=""),"",IFERROR(E1033 / SUMIFS('📅 Resumen Diario'!$D$5:$D$504, '📅 Resumen Diario'!$B$5:$B$504, B1033, '📅 Resumen Diario'!$C$5:$C$504, D1033) * SUMIFS('📅 Resumen Diario'!$K$5:$K$504, '📅 Resumen Diario'!$B$5:$B$504, B1033, '📅 Resumen Diario'!$C$5:$C$504, D1033), 0))</f>
        <v/>
      </c>
      <c r="M1033" s="31" t="str">
        <f t="shared" si="115"/>
        <v/>
      </c>
      <c r="N1033" s="31" t="str">
        <f t="shared" si="116"/>
        <v/>
      </c>
      <c r="O1033" s="31" t="str">
        <f>IF(OR(B1033="",C1033=""),"",K1033-N1033 + IFERROR(E1033 / SUMIFS('📅 Resumen Diario'!$D$5:$D$504, '📅 Resumen Diario'!$B$5:$B$504, B1033, '📅 Resumen Diario'!$C$5:$C$504, D1033) * (SUMIFS('📋 Detalle Diario'!$E$5:$E$489, '📋 Detalle Diario'!$B$5:$B$489, B1033, '📋 Detalle Diario'!$C$5:$C$489, D1033) * 135 + SUMIFS('📋 Detalle Diario'!$I$5:$I$489, '📋 Detalle Diario'!$B$5:$B$489, B1033, '📋 Detalle Diario'!$C$5:$C$489, D1033) * 200), 0))</f>
        <v/>
      </c>
      <c r="P1033" s="32" t="str">
        <f t="shared" si="117"/>
        <v/>
      </c>
      <c r="Q1033" s="33" t="str">
        <f t="shared" si="118"/>
        <v/>
      </c>
    </row>
    <row r="1034" spans="2:17" ht="18" customHeight="1" x14ac:dyDescent="0.3">
      <c r="B1034" s="26"/>
      <c r="C1034" s="17"/>
      <c r="D1034" s="27"/>
      <c r="E1034" s="18"/>
      <c r="F1034" s="18"/>
      <c r="G1034" s="18"/>
      <c r="H1034" s="30" t="str">
        <f t="shared" si="112"/>
        <v/>
      </c>
      <c r="I1034" s="31" t="str">
        <f>IF(OR(B1034="",C1034=""),"",IFERROR(E1034*IF(E1034="",0,VLOOKUP(C1034,'📦 Precios Proforma'!$B$5:$D$104,IF(D1034="DIA",2,3),FALSE)),0))</f>
        <v/>
      </c>
      <c r="J1034" s="31" t="str">
        <f t="shared" si="113"/>
        <v/>
      </c>
      <c r="K1034" s="31" t="str">
        <f t="shared" si="114"/>
        <v/>
      </c>
      <c r="L1034" s="31" t="str">
        <f>IF(OR(B1034="",C1034=""),"",IFERROR(E1034 / SUMIFS('📅 Resumen Diario'!$D$5:$D$504, '📅 Resumen Diario'!$B$5:$B$504, B1034, '📅 Resumen Diario'!$C$5:$C$504, D1034) * SUMIFS('📅 Resumen Diario'!$K$5:$K$504, '📅 Resumen Diario'!$B$5:$B$504, B1034, '📅 Resumen Diario'!$C$5:$C$504, D1034), 0))</f>
        <v/>
      </c>
      <c r="M1034" s="31" t="str">
        <f t="shared" si="115"/>
        <v/>
      </c>
      <c r="N1034" s="31" t="str">
        <f t="shared" si="116"/>
        <v/>
      </c>
      <c r="O1034" s="31" t="str">
        <f>IF(OR(B1034="",C1034=""),"",K1034-N1034 + IFERROR(E1034 / SUMIFS('📅 Resumen Diario'!$D$5:$D$504, '📅 Resumen Diario'!$B$5:$B$504, B1034, '📅 Resumen Diario'!$C$5:$C$504, D1034) * (SUMIFS('📋 Detalle Diario'!$E$5:$E$489, '📋 Detalle Diario'!$B$5:$B$489, B1034, '📋 Detalle Diario'!$C$5:$C$489, D1034) * 135 + SUMIFS('📋 Detalle Diario'!$I$5:$I$489, '📋 Detalle Diario'!$B$5:$B$489, B1034, '📋 Detalle Diario'!$C$5:$C$489, D1034) * 200), 0))</f>
        <v/>
      </c>
      <c r="P1034" s="32" t="str">
        <f t="shared" si="117"/>
        <v/>
      </c>
      <c r="Q1034" s="33" t="str">
        <f t="shared" si="118"/>
        <v/>
      </c>
    </row>
    <row r="1035" spans="2:17" ht="18" customHeight="1" x14ac:dyDescent="0.3">
      <c r="B1035" s="26"/>
      <c r="C1035" s="28"/>
      <c r="D1035" s="27"/>
      <c r="E1035" s="29"/>
      <c r="F1035" s="29"/>
      <c r="G1035" s="29"/>
      <c r="H1035" s="30" t="str">
        <f t="shared" si="112"/>
        <v/>
      </c>
      <c r="I1035" s="31" t="str">
        <f>IF(OR(B1035="",C1035=""),"",IFERROR(E1035*IF(E1035="",0,VLOOKUP(C1035,'📦 Precios Proforma'!$B$5:$D$104,IF(D1035="DIA",2,3),FALSE)),0))</f>
        <v/>
      </c>
      <c r="J1035" s="31" t="str">
        <f t="shared" si="113"/>
        <v/>
      </c>
      <c r="K1035" s="31" t="str">
        <f t="shared" si="114"/>
        <v/>
      </c>
      <c r="L1035" s="31" t="str">
        <f>IF(OR(B1035="",C1035=""),"",IFERROR(E1035 / SUMIFS('📅 Resumen Diario'!$D$5:$D$504, '📅 Resumen Diario'!$B$5:$B$504, B1035, '📅 Resumen Diario'!$C$5:$C$504, D1035) * SUMIFS('📅 Resumen Diario'!$K$5:$K$504, '📅 Resumen Diario'!$B$5:$B$504, B1035, '📅 Resumen Diario'!$C$5:$C$504, D1035), 0))</f>
        <v/>
      </c>
      <c r="M1035" s="31" t="str">
        <f t="shared" si="115"/>
        <v/>
      </c>
      <c r="N1035" s="31" t="str">
        <f t="shared" si="116"/>
        <v/>
      </c>
      <c r="O1035" s="31" t="str">
        <f>IF(OR(B1035="",C1035=""),"",K1035-N1035 + IFERROR(E1035 / SUMIFS('📅 Resumen Diario'!$D$5:$D$504, '📅 Resumen Diario'!$B$5:$B$504, B1035, '📅 Resumen Diario'!$C$5:$C$504, D1035) * (SUMIFS('📋 Detalle Diario'!$E$5:$E$489, '📋 Detalle Diario'!$B$5:$B$489, B1035, '📋 Detalle Diario'!$C$5:$C$489, D1035) * 135 + SUMIFS('📋 Detalle Diario'!$I$5:$I$489, '📋 Detalle Diario'!$B$5:$B$489, B1035, '📋 Detalle Diario'!$C$5:$C$489, D1035) * 200), 0))</f>
        <v/>
      </c>
      <c r="P1035" s="32" t="str">
        <f t="shared" si="117"/>
        <v/>
      </c>
      <c r="Q1035" s="33" t="str">
        <f t="shared" si="118"/>
        <v/>
      </c>
    </row>
    <row r="1036" spans="2:17" ht="18" customHeight="1" x14ac:dyDescent="0.3">
      <c r="B1036" s="26"/>
      <c r="C1036" s="17"/>
      <c r="D1036" s="27"/>
      <c r="E1036" s="18"/>
      <c r="F1036" s="18"/>
      <c r="G1036" s="18"/>
      <c r="H1036" s="30" t="str">
        <f t="shared" si="112"/>
        <v/>
      </c>
      <c r="I1036" s="31" t="str">
        <f>IF(OR(B1036="",C1036=""),"",IFERROR(E1036*IF(E1036="",0,VLOOKUP(C1036,'📦 Precios Proforma'!$B$5:$D$104,IF(D1036="DIA",2,3),FALSE)),0))</f>
        <v/>
      </c>
      <c r="J1036" s="31" t="str">
        <f t="shared" si="113"/>
        <v/>
      </c>
      <c r="K1036" s="31" t="str">
        <f t="shared" si="114"/>
        <v/>
      </c>
      <c r="L1036" s="31" t="str">
        <f>IF(OR(B1036="",C1036=""),"",IFERROR(E1036 / SUMIFS('📅 Resumen Diario'!$D$5:$D$504, '📅 Resumen Diario'!$B$5:$B$504, B1036, '📅 Resumen Diario'!$C$5:$C$504, D1036) * SUMIFS('📅 Resumen Diario'!$K$5:$K$504, '📅 Resumen Diario'!$B$5:$B$504, B1036, '📅 Resumen Diario'!$C$5:$C$504, D1036), 0))</f>
        <v/>
      </c>
      <c r="M1036" s="31" t="str">
        <f t="shared" si="115"/>
        <v/>
      </c>
      <c r="N1036" s="31" t="str">
        <f t="shared" si="116"/>
        <v/>
      </c>
      <c r="O1036" s="31" t="str">
        <f>IF(OR(B1036="",C1036=""),"",K1036-N1036 + IFERROR(E1036 / SUMIFS('📅 Resumen Diario'!$D$5:$D$504, '📅 Resumen Diario'!$B$5:$B$504, B1036, '📅 Resumen Diario'!$C$5:$C$504, D1036) * (SUMIFS('📋 Detalle Diario'!$E$5:$E$489, '📋 Detalle Diario'!$B$5:$B$489, B1036, '📋 Detalle Diario'!$C$5:$C$489, D1036) * 135 + SUMIFS('📋 Detalle Diario'!$I$5:$I$489, '📋 Detalle Diario'!$B$5:$B$489, B1036, '📋 Detalle Diario'!$C$5:$C$489, D1036) * 200), 0))</f>
        <v/>
      </c>
      <c r="P1036" s="32" t="str">
        <f t="shared" si="117"/>
        <v/>
      </c>
      <c r="Q1036" s="33" t="str">
        <f t="shared" si="118"/>
        <v/>
      </c>
    </row>
    <row r="1037" spans="2:17" ht="18" customHeight="1" x14ac:dyDescent="0.3">
      <c r="B1037" s="26"/>
      <c r="C1037" s="28"/>
      <c r="D1037" s="27"/>
      <c r="E1037" s="29"/>
      <c r="F1037" s="29"/>
      <c r="G1037" s="29"/>
      <c r="H1037" s="30" t="str">
        <f t="shared" si="112"/>
        <v/>
      </c>
      <c r="I1037" s="31" t="str">
        <f>IF(OR(B1037="",C1037=""),"",IFERROR(E1037*IF(E1037="",0,VLOOKUP(C1037,'📦 Precios Proforma'!$B$5:$D$104,IF(D1037="DIA",2,3),FALSE)),0))</f>
        <v/>
      </c>
      <c r="J1037" s="31" t="str">
        <f t="shared" si="113"/>
        <v/>
      </c>
      <c r="K1037" s="31" t="str">
        <f t="shared" si="114"/>
        <v/>
      </c>
      <c r="L1037" s="31" t="str">
        <f>IF(OR(B1037="",C1037=""),"",IFERROR(E1037 / SUMIFS('📅 Resumen Diario'!$D$5:$D$504, '📅 Resumen Diario'!$B$5:$B$504, B1037, '📅 Resumen Diario'!$C$5:$C$504, D1037) * SUMIFS('📅 Resumen Diario'!$K$5:$K$504, '📅 Resumen Diario'!$B$5:$B$504, B1037, '📅 Resumen Diario'!$C$5:$C$504, D1037), 0))</f>
        <v/>
      </c>
      <c r="M1037" s="31" t="str">
        <f t="shared" si="115"/>
        <v/>
      </c>
      <c r="N1037" s="31" t="str">
        <f t="shared" si="116"/>
        <v/>
      </c>
      <c r="O1037" s="31" t="str">
        <f>IF(OR(B1037="",C1037=""),"",K1037-N1037 + IFERROR(E1037 / SUMIFS('📅 Resumen Diario'!$D$5:$D$504, '📅 Resumen Diario'!$B$5:$B$504, B1037, '📅 Resumen Diario'!$C$5:$C$504, D1037) * (SUMIFS('📋 Detalle Diario'!$E$5:$E$489, '📋 Detalle Diario'!$B$5:$B$489, B1037, '📋 Detalle Diario'!$C$5:$C$489, D1037) * 135 + SUMIFS('📋 Detalle Diario'!$I$5:$I$489, '📋 Detalle Diario'!$B$5:$B$489, B1037, '📋 Detalle Diario'!$C$5:$C$489, D1037) * 200), 0))</f>
        <v/>
      </c>
      <c r="P1037" s="32" t="str">
        <f t="shared" si="117"/>
        <v/>
      </c>
      <c r="Q1037" s="33" t="str">
        <f t="shared" si="118"/>
        <v/>
      </c>
    </row>
    <row r="1038" spans="2:17" ht="18" customHeight="1" x14ac:dyDescent="0.3">
      <c r="B1038" s="26"/>
      <c r="C1038" s="17"/>
      <c r="D1038" s="27"/>
      <c r="E1038" s="18"/>
      <c r="F1038" s="18"/>
      <c r="G1038" s="18"/>
      <c r="H1038" s="30" t="str">
        <f t="shared" si="112"/>
        <v/>
      </c>
      <c r="I1038" s="31" t="str">
        <f>IF(OR(B1038="",C1038=""),"",IFERROR(E1038*IF(E1038="",0,VLOOKUP(C1038,'📦 Precios Proforma'!$B$5:$D$104,IF(D1038="DIA",2,3),FALSE)),0))</f>
        <v/>
      </c>
      <c r="J1038" s="31" t="str">
        <f t="shared" si="113"/>
        <v/>
      </c>
      <c r="K1038" s="31" t="str">
        <f t="shared" si="114"/>
        <v/>
      </c>
      <c r="L1038" s="31" t="str">
        <f>IF(OR(B1038="",C1038=""),"",IFERROR(E1038 / SUMIFS('📅 Resumen Diario'!$D$5:$D$504, '📅 Resumen Diario'!$B$5:$B$504, B1038, '📅 Resumen Diario'!$C$5:$C$504, D1038) * SUMIFS('📅 Resumen Diario'!$K$5:$K$504, '📅 Resumen Diario'!$B$5:$B$504, B1038, '📅 Resumen Diario'!$C$5:$C$504, D1038), 0))</f>
        <v/>
      </c>
      <c r="M1038" s="31" t="str">
        <f t="shared" si="115"/>
        <v/>
      </c>
      <c r="N1038" s="31" t="str">
        <f t="shared" si="116"/>
        <v/>
      </c>
      <c r="O1038" s="31" t="str">
        <f>IF(OR(B1038="",C1038=""),"",K1038-N1038 + IFERROR(E1038 / SUMIFS('📅 Resumen Diario'!$D$5:$D$504, '📅 Resumen Diario'!$B$5:$B$504, B1038, '📅 Resumen Diario'!$C$5:$C$504, D1038) * (SUMIFS('📋 Detalle Diario'!$E$5:$E$489, '📋 Detalle Diario'!$B$5:$B$489, B1038, '📋 Detalle Diario'!$C$5:$C$489, D1038) * 135 + SUMIFS('📋 Detalle Diario'!$I$5:$I$489, '📋 Detalle Diario'!$B$5:$B$489, B1038, '📋 Detalle Diario'!$C$5:$C$489, D1038) * 200), 0))</f>
        <v/>
      </c>
      <c r="P1038" s="32" t="str">
        <f t="shared" si="117"/>
        <v/>
      </c>
      <c r="Q1038" s="33" t="str">
        <f t="shared" si="118"/>
        <v/>
      </c>
    </row>
    <row r="1039" spans="2:17" ht="18" customHeight="1" x14ac:dyDescent="0.3">
      <c r="B1039" s="26"/>
      <c r="C1039" s="28"/>
      <c r="D1039" s="27"/>
      <c r="E1039" s="29"/>
      <c r="F1039" s="29"/>
      <c r="G1039" s="29"/>
      <c r="H1039" s="30" t="str">
        <f t="shared" si="112"/>
        <v/>
      </c>
      <c r="I1039" s="31" t="str">
        <f>IF(OR(B1039="",C1039=""),"",IFERROR(E1039*IF(E1039="",0,VLOOKUP(C1039,'📦 Precios Proforma'!$B$5:$D$104,IF(D1039="DIA",2,3),FALSE)),0))</f>
        <v/>
      </c>
      <c r="J1039" s="31" t="str">
        <f t="shared" si="113"/>
        <v/>
      </c>
      <c r="K1039" s="31" t="str">
        <f t="shared" si="114"/>
        <v/>
      </c>
      <c r="L1039" s="31" t="str">
        <f>IF(OR(B1039="",C1039=""),"",IFERROR(E1039 / SUMIFS('📅 Resumen Diario'!$D$5:$D$504, '📅 Resumen Diario'!$B$5:$B$504, B1039, '📅 Resumen Diario'!$C$5:$C$504, D1039) * SUMIFS('📅 Resumen Diario'!$K$5:$K$504, '📅 Resumen Diario'!$B$5:$B$504, B1039, '📅 Resumen Diario'!$C$5:$C$504, D1039), 0))</f>
        <v/>
      </c>
      <c r="M1039" s="31" t="str">
        <f t="shared" si="115"/>
        <v/>
      </c>
      <c r="N1039" s="31" t="str">
        <f t="shared" si="116"/>
        <v/>
      </c>
      <c r="O1039" s="31" t="str">
        <f>IF(OR(B1039="",C1039=""),"",K1039-N1039 + IFERROR(E1039 / SUMIFS('📅 Resumen Diario'!$D$5:$D$504, '📅 Resumen Diario'!$B$5:$B$504, B1039, '📅 Resumen Diario'!$C$5:$C$504, D1039) * (SUMIFS('📋 Detalle Diario'!$E$5:$E$489, '📋 Detalle Diario'!$B$5:$B$489, B1039, '📋 Detalle Diario'!$C$5:$C$489, D1039) * 135 + SUMIFS('📋 Detalle Diario'!$I$5:$I$489, '📋 Detalle Diario'!$B$5:$B$489, B1039, '📋 Detalle Diario'!$C$5:$C$489, D1039) * 200), 0))</f>
        <v/>
      </c>
      <c r="P1039" s="32" t="str">
        <f t="shared" si="117"/>
        <v/>
      </c>
      <c r="Q1039" s="33" t="str">
        <f t="shared" si="118"/>
        <v/>
      </c>
    </row>
    <row r="1040" spans="2:17" ht="18" customHeight="1" x14ac:dyDescent="0.3">
      <c r="B1040" s="26"/>
      <c r="C1040" s="17"/>
      <c r="D1040" s="27"/>
      <c r="E1040" s="18"/>
      <c r="F1040" s="18"/>
      <c r="G1040" s="18"/>
      <c r="H1040" s="30" t="str">
        <f t="shared" si="112"/>
        <v/>
      </c>
      <c r="I1040" s="31" t="str">
        <f>IF(OR(B1040="",C1040=""),"",IFERROR(E1040*IF(E1040="",0,VLOOKUP(C1040,'📦 Precios Proforma'!$B$5:$D$104,IF(D1040="DIA",2,3),FALSE)),0))</f>
        <v/>
      </c>
      <c r="J1040" s="31" t="str">
        <f t="shared" si="113"/>
        <v/>
      </c>
      <c r="K1040" s="31" t="str">
        <f t="shared" si="114"/>
        <v/>
      </c>
      <c r="L1040" s="31" t="str">
        <f>IF(OR(B1040="",C1040=""),"",IFERROR(E1040 / SUMIFS('📅 Resumen Diario'!$D$5:$D$504, '📅 Resumen Diario'!$B$5:$B$504, B1040, '📅 Resumen Diario'!$C$5:$C$504, D1040) * SUMIFS('📅 Resumen Diario'!$K$5:$K$504, '📅 Resumen Diario'!$B$5:$B$504, B1040, '📅 Resumen Diario'!$C$5:$C$504, D1040), 0))</f>
        <v/>
      </c>
      <c r="M1040" s="31" t="str">
        <f t="shared" si="115"/>
        <v/>
      </c>
      <c r="N1040" s="31" t="str">
        <f t="shared" si="116"/>
        <v/>
      </c>
      <c r="O1040" s="31" t="str">
        <f>IF(OR(B1040="",C1040=""),"",K1040-N1040 + IFERROR(E1040 / SUMIFS('📅 Resumen Diario'!$D$5:$D$504, '📅 Resumen Diario'!$B$5:$B$504, B1040, '📅 Resumen Diario'!$C$5:$C$504, D1040) * (SUMIFS('📋 Detalle Diario'!$E$5:$E$489, '📋 Detalle Diario'!$B$5:$B$489, B1040, '📋 Detalle Diario'!$C$5:$C$489, D1040) * 135 + SUMIFS('📋 Detalle Diario'!$I$5:$I$489, '📋 Detalle Diario'!$B$5:$B$489, B1040, '📋 Detalle Diario'!$C$5:$C$489, D1040) * 200), 0))</f>
        <v/>
      </c>
      <c r="P1040" s="32" t="str">
        <f t="shared" si="117"/>
        <v/>
      </c>
      <c r="Q1040" s="33" t="str">
        <f t="shared" si="118"/>
        <v/>
      </c>
    </row>
    <row r="1041" spans="2:17" ht="18" customHeight="1" x14ac:dyDescent="0.3">
      <c r="B1041" s="26"/>
      <c r="C1041" s="28"/>
      <c r="D1041" s="27"/>
      <c r="E1041" s="29"/>
      <c r="F1041" s="29"/>
      <c r="G1041" s="29"/>
      <c r="H1041" s="30" t="str">
        <f t="shared" si="112"/>
        <v/>
      </c>
      <c r="I1041" s="31" t="str">
        <f>IF(OR(B1041="",C1041=""),"",IFERROR(E1041*IF(E1041="",0,VLOOKUP(C1041,'📦 Precios Proforma'!$B$5:$D$104,IF(D1041="DIA",2,3),FALSE)),0))</f>
        <v/>
      </c>
      <c r="J1041" s="31" t="str">
        <f t="shared" si="113"/>
        <v/>
      </c>
      <c r="K1041" s="31" t="str">
        <f t="shared" si="114"/>
        <v/>
      </c>
      <c r="L1041" s="31" t="str">
        <f>IF(OR(B1041="",C1041=""),"",IFERROR(E1041 / SUMIFS('📅 Resumen Diario'!$D$5:$D$504, '📅 Resumen Diario'!$B$5:$B$504, B1041, '📅 Resumen Diario'!$C$5:$C$504, D1041) * SUMIFS('📅 Resumen Diario'!$K$5:$K$504, '📅 Resumen Diario'!$B$5:$B$504, B1041, '📅 Resumen Diario'!$C$5:$C$504, D1041), 0))</f>
        <v/>
      </c>
      <c r="M1041" s="31" t="str">
        <f t="shared" si="115"/>
        <v/>
      </c>
      <c r="N1041" s="31" t="str">
        <f t="shared" si="116"/>
        <v/>
      </c>
      <c r="O1041" s="31" t="str">
        <f>IF(OR(B1041="",C1041=""),"",K1041-N1041 + IFERROR(E1041 / SUMIFS('📅 Resumen Diario'!$D$5:$D$504, '📅 Resumen Diario'!$B$5:$B$504, B1041, '📅 Resumen Diario'!$C$5:$C$504, D1041) * (SUMIFS('📋 Detalle Diario'!$E$5:$E$489, '📋 Detalle Diario'!$B$5:$B$489, B1041, '📋 Detalle Diario'!$C$5:$C$489, D1041) * 135 + SUMIFS('📋 Detalle Diario'!$I$5:$I$489, '📋 Detalle Diario'!$B$5:$B$489, B1041, '📋 Detalle Diario'!$C$5:$C$489, D1041) * 200), 0))</f>
        <v/>
      </c>
      <c r="P1041" s="32" t="str">
        <f t="shared" si="117"/>
        <v/>
      </c>
      <c r="Q1041" s="33" t="str">
        <f t="shared" si="118"/>
        <v/>
      </c>
    </row>
    <row r="1042" spans="2:17" ht="18" customHeight="1" x14ac:dyDescent="0.3">
      <c r="B1042" s="26"/>
      <c r="C1042" s="17"/>
      <c r="D1042" s="27"/>
      <c r="E1042" s="18"/>
      <c r="F1042" s="18"/>
      <c r="G1042" s="18"/>
      <c r="H1042" s="30" t="str">
        <f t="shared" si="112"/>
        <v/>
      </c>
      <c r="I1042" s="31" t="str">
        <f>IF(OR(B1042="",C1042=""),"",IFERROR(E1042*IF(E1042="",0,VLOOKUP(C1042,'📦 Precios Proforma'!$B$5:$D$104,IF(D1042="DIA",2,3),FALSE)),0))</f>
        <v/>
      </c>
      <c r="J1042" s="31" t="str">
        <f t="shared" si="113"/>
        <v/>
      </c>
      <c r="K1042" s="31" t="str">
        <f t="shared" si="114"/>
        <v/>
      </c>
      <c r="L1042" s="31" t="str">
        <f>IF(OR(B1042="",C1042=""),"",IFERROR(E1042 / SUMIFS('📅 Resumen Diario'!$D$5:$D$504, '📅 Resumen Diario'!$B$5:$B$504, B1042, '📅 Resumen Diario'!$C$5:$C$504, D1042) * SUMIFS('📅 Resumen Diario'!$K$5:$K$504, '📅 Resumen Diario'!$B$5:$B$504, B1042, '📅 Resumen Diario'!$C$5:$C$504, D1042), 0))</f>
        <v/>
      </c>
      <c r="M1042" s="31" t="str">
        <f t="shared" si="115"/>
        <v/>
      </c>
      <c r="N1042" s="31" t="str">
        <f t="shared" si="116"/>
        <v/>
      </c>
      <c r="O1042" s="31" t="str">
        <f>IF(OR(B1042="",C1042=""),"",K1042-N1042 + IFERROR(E1042 / SUMIFS('📅 Resumen Diario'!$D$5:$D$504, '📅 Resumen Diario'!$B$5:$B$504, B1042, '📅 Resumen Diario'!$C$5:$C$504, D1042) * (SUMIFS('📋 Detalle Diario'!$E$5:$E$489, '📋 Detalle Diario'!$B$5:$B$489, B1042, '📋 Detalle Diario'!$C$5:$C$489, D1042) * 135 + SUMIFS('📋 Detalle Diario'!$I$5:$I$489, '📋 Detalle Diario'!$B$5:$B$489, B1042, '📋 Detalle Diario'!$C$5:$C$489, D1042) * 200), 0))</f>
        <v/>
      </c>
      <c r="P1042" s="32" t="str">
        <f t="shared" si="117"/>
        <v/>
      </c>
      <c r="Q1042" s="33" t="str">
        <f t="shared" si="118"/>
        <v/>
      </c>
    </row>
    <row r="1043" spans="2:17" ht="18" customHeight="1" x14ac:dyDescent="0.3">
      <c r="B1043" s="26"/>
      <c r="C1043" s="28"/>
      <c r="D1043" s="27"/>
      <c r="E1043" s="29"/>
      <c r="F1043" s="29"/>
      <c r="G1043" s="29"/>
      <c r="H1043" s="30" t="str">
        <f t="shared" si="112"/>
        <v/>
      </c>
      <c r="I1043" s="31" t="str">
        <f>IF(OR(B1043="",C1043=""),"",IFERROR(E1043*IF(E1043="",0,VLOOKUP(C1043,'📦 Precios Proforma'!$B$5:$D$104,IF(D1043="DIA",2,3),FALSE)),0))</f>
        <v/>
      </c>
      <c r="J1043" s="31" t="str">
        <f t="shared" si="113"/>
        <v/>
      </c>
      <c r="K1043" s="31" t="str">
        <f t="shared" si="114"/>
        <v/>
      </c>
      <c r="L1043" s="31" t="str">
        <f>IF(OR(B1043="",C1043=""),"",IFERROR(E1043 / SUMIFS('📅 Resumen Diario'!$D$5:$D$504, '📅 Resumen Diario'!$B$5:$B$504, B1043, '📅 Resumen Diario'!$C$5:$C$504, D1043) * SUMIFS('📅 Resumen Diario'!$K$5:$K$504, '📅 Resumen Diario'!$B$5:$B$504, B1043, '📅 Resumen Diario'!$C$5:$C$504, D1043), 0))</f>
        <v/>
      </c>
      <c r="M1043" s="31" t="str">
        <f t="shared" si="115"/>
        <v/>
      </c>
      <c r="N1043" s="31" t="str">
        <f t="shared" si="116"/>
        <v/>
      </c>
      <c r="O1043" s="31" t="str">
        <f>IF(OR(B1043="",C1043=""),"",K1043-N1043 + IFERROR(E1043 / SUMIFS('📅 Resumen Diario'!$D$5:$D$504, '📅 Resumen Diario'!$B$5:$B$504, B1043, '📅 Resumen Diario'!$C$5:$C$504, D1043) * (SUMIFS('📋 Detalle Diario'!$E$5:$E$489, '📋 Detalle Diario'!$B$5:$B$489, B1043, '📋 Detalle Diario'!$C$5:$C$489, D1043) * 135 + SUMIFS('📋 Detalle Diario'!$I$5:$I$489, '📋 Detalle Diario'!$B$5:$B$489, B1043, '📋 Detalle Diario'!$C$5:$C$489, D1043) * 200), 0))</f>
        <v/>
      </c>
      <c r="P1043" s="32" t="str">
        <f t="shared" si="117"/>
        <v/>
      </c>
      <c r="Q1043" s="33" t="str">
        <f t="shared" si="118"/>
        <v/>
      </c>
    </row>
    <row r="1044" spans="2:17" ht="18" customHeight="1" x14ac:dyDescent="0.3">
      <c r="B1044" s="26"/>
      <c r="C1044" s="17"/>
      <c r="D1044" s="27"/>
      <c r="E1044" s="18"/>
      <c r="F1044" s="18"/>
      <c r="G1044" s="18"/>
      <c r="H1044" s="30" t="str">
        <f t="shared" si="112"/>
        <v/>
      </c>
      <c r="I1044" s="31" t="str">
        <f>IF(OR(B1044="",C1044=""),"",IFERROR(E1044*IF(E1044="",0,VLOOKUP(C1044,'📦 Precios Proforma'!$B$5:$D$104,IF(D1044="DIA",2,3),FALSE)),0))</f>
        <v/>
      </c>
      <c r="J1044" s="31" t="str">
        <f t="shared" si="113"/>
        <v/>
      </c>
      <c r="K1044" s="31" t="str">
        <f t="shared" si="114"/>
        <v/>
      </c>
      <c r="L1044" s="31" t="str">
        <f>IF(OR(B1044="",C1044=""),"",IFERROR(E1044 / SUMIFS('📅 Resumen Diario'!$D$5:$D$504, '📅 Resumen Diario'!$B$5:$B$504, B1044, '📅 Resumen Diario'!$C$5:$C$504, D1044) * SUMIFS('📅 Resumen Diario'!$K$5:$K$504, '📅 Resumen Diario'!$B$5:$B$504, B1044, '📅 Resumen Diario'!$C$5:$C$504, D1044), 0))</f>
        <v/>
      </c>
      <c r="M1044" s="31" t="str">
        <f t="shared" si="115"/>
        <v/>
      </c>
      <c r="N1044" s="31" t="str">
        <f t="shared" si="116"/>
        <v/>
      </c>
      <c r="O1044" s="31" t="str">
        <f>IF(OR(B1044="",C1044=""),"",K1044-N1044 + IFERROR(E1044 / SUMIFS('📅 Resumen Diario'!$D$5:$D$504, '📅 Resumen Diario'!$B$5:$B$504, B1044, '📅 Resumen Diario'!$C$5:$C$504, D1044) * (SUMIFS('📋 Detalle Diario'!$E$5:$E$489, '📋 Detalle Diario'!$B$5:$B$489, B1044, '📋 Detalle Diario'!$C$5:$C$489, D1044) * 135 + SUMIFS('📋 Detalle Diario'!$I$5:$I$489, '📋 Detalle Diario'!$B$5:$B$489, B1044, '📋 Detalle Diario'!$C$5:$C$489, D1044) * 200), 0))</f>
        <v/>
      </c>
      <c r="P1044" s="32" t="str">
        <f t="shared" si="117"/>
        <v/>
      </c>
      <c r="Q1044" s="33" t="str">
        <f t="shared" si="118"/>
        <v/>
      </c>
    </row>
    <row r="1045" spans="2:17" ht="18" customHeight="1" x14ac:dyDescent="0.3">
      <c r="B1045" s="26"/>
      <c r="C1045" s="28"/>
      <c r="D1045" s="27"/>
      <c r="E1045" s="29"/>
      <c r="F1045" s="29"/>
      <c r="G1045" s="29"/>
      <c r="H1045" s="30" t="str">
        <f t="shared" si="112"/>
        <v/>
      </c>
      <c r="I1045" s="31" t="str">
        <f>IF(OR(B1045="",C1045=""),"",IFERROR(E1045*IF(E1045="",0,VLOOKUP(C1045,'📦 Precios Proforma'!$B$5:$D$104,IF(D1045="DIA",2,3),FALSE)),0))</f>
        <v/>
      </c>
      <c r="J1045" s="31" t="str">
        <f t="shared" si="113"/>
        <v/>
      </c>
      <c r="K1045" s="31" t="str">
        <f t="shared" si="114"/>
        <v/>
      </c>
      <c r="L1045" s="31" t="str">
        <f>IF(OR(B1045="",C1045=""),"",IFERROR(E1045 / SUMIFS('📅 Resumen Diario'!$D$5:$D$504, '📅 Resumen Diario'!$B$5:$B$504, B1045, '📅 Resumen Diario'!$C$5:$C$504, D1045) * SUMIFS('📅 Resumen Diario'!$K$5:$K$504, '📅 Resumen Diario'!$B$5:$B$504, B1045, '📅 Resumen Diario'!$C$5:$C$504, D1045), 0))</f>
        <v/>
      </c>
      <c r="M1045" s="31" t="str">
        <f t="shared" si="115"/>
        <v/>
      </c>
      <c r="N1045" s="31" t="str">
        <f t="shared" si="116"/>
        <v/>
      </c>
      <c r="O1045" s="31" t="str">
        <f>IF(OR(B1045="",C1045=""),"",K1045-N1045 + IFERROR(E1045 / SUMIFS('📅 Resumen Diario'!$D$5:$D$504, '📅 Resumen Diario'!$B$5:$B$504, B1045, '📅 Resumen Diario'!$C$5:$C$504, D1045) * (SUMIFS('📋 Detalle Diario'!$E$5:$E$489, '📋 Detalle Diario'!$B$5:$B$489, B1045, '📋 Detalle Diario'!$C$5:$C$489, D1045) * 135 + SUMIFS('📋 Detalle Diario'!$I$5:$I$489, '📋 Detalle Diario'!$B$5:$B$489, B1045, '📋 Detalle Diario'!$C$5:$C$489, D1045) * 200), 0))</f>
        <v/>
      </c>
      <c r="P1045" s="32" t="str">
        <f t="shared" si="117"/>
        <v/>
      </c>
      <c r="Q1045" s="33" t="str">
        <f t="shared" si="118"/>
        <v/>
      </c>
    </row>
    <row r="1046" spans="2:17" ht="18" customHeight="1" x14ac:dyDescent="0.3">
      <c r="B1046" s="26"/>
      <c r="C1046" s="17"/>
      <c r="D1046" s="27"/>
      <c r="E1046" s="18"/>
      <c r="F1046" s="18"/>
      <c r="G1046" s="18"/>
      <c r="H1046" s="30" t="str">
        <f t="shared" si="112"/>
        <v/>
      </c>
      <c r="I1046" s="31" t="str">
        <f>IF(OR(B1046="",C1046=""),"",IFERROR(E1046*IF(E1046="",0,VLOOKUP(C1046,'📦 Precios Proforma'!$B$5:$D$104,IF(D1046="DIA",2,3),FALSE)),0))</f>
        <v/>
      </c>
      <c r="J1046" s="31" t="str">
        <f t="shared" si="113"/>
        <v/>
      </c>
      <c r="K1046" s="31" t="str">
        <f t="shared" si="114"/>
        <v/>
      </c>
      <c r="L1046" s="31" t="str">
        <f>IF(OR(B1046="",C1046=""),"",IFERROR(E1046 / SUMIFS('📅 Resumen Diario'!$D$5:$D$504, '📅 Resumen Diario'!$B$5:$B$504, B1046, '📅 Resumen Diario'!$C$5:$C$504, D1046) * SUMIFS('📅 Resumen Diario'!$K$5:$K$504, '📅 Resumen Diario'!$B$5:$B$504, B1046, '📅 Resumen Diario'!$C$5:$C$504, D1046), 0))</f>
        <v/>
      </c>
      <c r="M1046" s="31" t="str">
        <f t="shared" si="115"/>
        <v/>
      </c>
      <c r="N1046" s="31" t="str">
        <f t="shared" si="116"/>
        <v/>
      </c>
      <c r="O1046" s="31" t="str">
        <f>IF(OR(B1046="",C1046=""),"",K1046-N1046 + IFERROR(E1046 / SUMIFS('📅 Resumen Diario'!$D$5:$D$504, '📅 Resumen Diario'!$B$5:$B$504, B1046, '📅 Resumen Diario'!$C$5:$C$504, D1046) * (SUMIFS('📋 Detalle Diario'!$E$5:$E$489, '📋 Detalle Diario'!$B$5:$B$489, B1046, '📋 Detalle Diario'!$C$5:$C$489, D1046) * 135 + SUMIFS('📋 Detalle Diario'!$I$5:$I$489, '📋 Detalle Diario'!$B$5:$B$489, B1046, '📋 Detalle Diario'!$C$5:$C$489, D1046) * 200), 0))</f>
        <v/>
      </c>
      <c r="P1046" s="32" t="str">
        <f t="shared" si="117"/>
        <v/>
      </c>
      <c r="Q1046" s="33" t="str">
        <f t="shared" si="118"/>
        <v/>
      </c>
    </row>
    <row r="1047" spans="2:17" ht="18" customHeight="1" x14ac:dyDescent="0.3">
      <c r="B1047" s="26"/>
      <c r="C1047" s="28"/>
      <c r="D1047" s="27"/>
      <c r="E1047" s="29"/>
      <c r="F1047" s="29"/>
      <c r="G1047" s="29"/>
      <c r="H1047" s="30" t="str">
        <f t="shared" si="112"/>
        <v/>
      </c>
      <c r="I1047" s="31" t="str">
        <f>IF(OR(B1047="",C1047=""),"",IFERROR(E1047*IF(E1047="",0,VLOOKUP(C1047,'📦 Precios Proforma'!$B$5:$D$104,IF(D1047="DIA",2,3),FALSE)),0))</f>
        <v/>
      </c>
      <c r="J1047" s="31" t="str">
        <f t="shared" si="113"/>
        <v/>
      </c>
      <c r="K1047" s="31" t="str">
        <f t="shared" si="114"/>
        <v/>
      </c>
      <c r="L1047" s="31" t="str">
        <f>IF(OR(B1047="",C1047=""),"",IFERROR(E1047 / SUMIFS('📅 Resumen Diario'!$D$5:$D$504, '📅 Resumen Diario'!$B$5:$B$504, B1047, '📅 Resumen Diario'!$C$5:$C$504, D1047) * SUMIFS('📅 Resumen Diario'!$K$5:$K$504, '📅 Resumen Diario'!$B$5:$B$504, B1047, '📅 Resumen Diario'!$C$5:$C$504, D1047), 0))</f>
        <v/>
      </c>
      <c r="M1047" s="31" t="str">
        <f t="shared" si="115"/>
        <v/>
      </c>
      <c r="N1047" s="31" t="str">
        <f t="shared" si="116"/>
        <v/>
      </c>
      <c r="O1047" s="31" t="str">
        <f>IF(OR(B1047="",C1047=""),"",K1047-N1047 + IFERROR(E1047 / SUMIFS('📅 Resumen Diario'!$D$5:$D$504, '📅 Resumen Diario'!$B$5:$B$504, B1047, '📅 Resumen Diario'!$C$5:$C$504, D1047) * (SUMIFS('📋 Detalle Diario'!$E$5:$E$489, '📋 Detalle Diario'!$B$5:$B$489, B1047, '📋 Detalle Diario'!$C$5:$C$489, D1047) * 135 + SUMIFS('📋 Detalle Diario'!$I$5:$I$489, '📋 Detalle Diario'!$B$5:$B$489, B1047, '📋 Detalle Diario'!$C$5:$C$489, D1047) * 200), 0))</f>
        <v/>
      </c>
      <c r="P1047" s="32" t="str">
        <f t="shared" si="117"/>
        <v/>
      </c>
      <c r="Q1047" s="33" t="str">
        <f t="shared" si="118"/>
        <v/>
      </c>
    </row>
    <row r="1048" spans="2:17" ht="18" customHeight="1" x14ac:dyDescent="0.3">
      <c r="B1048" s="26"/>
      <c r="C1048" s="17"/>
      <c r="D1048" s="27"/>
      <c r="E1048" s="18"/>
      <c r="F1048" s="18"/>
      <c r="G1048" s="18"/>
      <c r="H1048" s="30" t="str">
        <f t="shared" si="112"/>
        <v/>
      </c>
      <c r="I1048" s="31" t="str">
        <f>IF(OR(B1048="",C1048=""),"",IFERROR(E1048*IF(E1048="",0,VLOOKUP(C1048,'📦 Precios Proforma'!$B$5:$D$104,IF(D1048="DIA",2,3),FALSE)),0))</f>
        <v/>
      </c>
      <c r="J1048" s="31" t="str">
        <f t="shared" si="113"/>
        <v/>
      </c>
      <c r="K1048" s="31" t="str">
        <f t="shared" si="114"/>
        <v/>
      </c>
      <c r="L1048" s="31" t="str">
        <f>IF(OR(B1048="",C1048=""),"",IFERROR(E1048 / SUMIFS('📅 Resumen Diario'!$D$5:$D$504, '📅 Resumen Diario'!$B$5:$B$504, B1048, '📅 Resumen Diario'!$C$5:$C$504, D1048) * SUMIFS('📅 Resumen Diario'!$K$5:$K$504, '📅 Resumen Diario'!$B$5:$B$504, B1048, '📅 Resumen Diario'!$C$5:$C$504, D1048), 0))</f>
        <v/>
      </c>
      <c r="M1048" s="31" t="str">
        <f t="shared" si="115"/>
        <v/>
      </c>
      <c r="N1048" s="31" t="str">
        <f t="shared" si="116"/>
        <v/>
      </c>
      <c r="O1048" s="31" t="str">
        <f>IF(OR(B1048="",C1048=""),"",K1048-N1048 + IFERROR(E1048 / SUMIFS('📅 Resumen Diario'!$D$5:$D$504, '📅 Resumen Diario'!$B$5:$B$504, B1048, '📅 Resumen Diario'!$C$5:$C$504, D1048) * (SUMIFS('📋 Detalle Diario'!$E$5:$E$489, '📋 Detalle Diario'!$B$5:$B$489, B1048, '📋 Detalle Diario'!$C$5:$C$489, D1048) * 135 + SUMIFS('📋 Detalle Diario'!$I$5:$I$489, '📋 Detalle Diario'!$B$5:$B$489, B1048, '📋 Detalle Diario'!$C$5:$C$489, D1048) * 200), 0))</f>
        <v/>
      </c>
      <c r="P1048" s="32" t="str">
        <f t="shared" si="117"/>
        <v/>
      </c>
      <c r="Q1048" s="33" t="str">
        <f t="shared" si="118"/>
        <v/>
      </c>
    </row>
    <row r="1049" spans="2:17" ht="18" customHeight="1" x14ac:dyDescent="0.3">
      <c r="B1049" s="26"/>
      <c r="C1049" s="28"/>
      <c r="D1049" s="27"/>
      <c r="E1049" s="29"/>
      <c r="F1049" s="29"/>
      <c r="G1049" s="29"/>
      <c r="H1049" s="30" t="str">
        <f t="shared" si="112"/>
        <v/>
      </c>
      <c r="I1049" s="31" t="str">
        <f>IF(OR(B1049="",C1049=""),"",IFERROR(E1049*IF(E1049="",0,VLOOKUP(C1049,'📦 Precios Proforma'!$B$5:$D$104,IF(D1049="DIA",2,3),FALSE)),0))</f>
        <v/>
      </c>
      <c r="J1049" s="31" t="str">
        <f t="shared" si="113"/>
        <v/>
      </c>
      <c r="K1049" s="31" t="str">
        <f t="shared" si="114"/>
        <v/>
      </c>
      <c r="L1049" s="31" t="str">
        <f>IF(OR(B1049="",C1049=""),"",IFERROR(E1049 / SUMIFS('📅 Resumen Diario'!$D$5:$D$504, '📅 Resumen Diario'!$B$5:$B$504, B1049, '📅 Resumen Diario'!$C$5:$C$504, D1049) * SUMIFS('📅 Resumen Diario'!$K$5:$K$504, '📅 Resumen Diario'!$B$5:$B$504, B1049, '📅 Resumen Diario'!$C$5:$C$504, D1049), 0))</f>
        <v/>
      </c>
      <c r="M1049" s="31" t="str">
        <f t="shared" si="115"/>
        <v/>
      </c>
      <c r="N1049" s="31" t="str">
        <f t="shared" si="116"/>
        <v/>
      </c>
      <c r="O1049" s="31" t="str">
        <f>IF(OR(B1049="",C1049=""),"",K1049-N1049 + IFERROR(E1049 / SUMIFS('📅 Resumen Diario'!$D$5:$D$504, '📅 Resumen Diario'!$B$5:$B$504, B1049, '📅 Resumen Diario'!$C$5:$C$504, D1049) * (SUMIFS('📋 Detalle Diario'!$E$5:$E$489, '📋 Detalle Diario'!$B$5:$B$489, B1049, '📋 Detalle Diario'!$C$5:$C$489, D1049) * 135 + SUMIFS('📋 Detalle Diario'!$I$5:$I$489, '📋 Detalle Diario'!$B$5:$B$489, B1049, '📋 Detalle Diario'!$C$5:$C$489, D1049) * 200), 0))</f>
        <v/>
      </c>
      <c r="P1049" s="32" t="str">
        <f t="shared" si="117"/>
        <v/>
      </c>
      <c r="Q1049" s="33" t="str">
        <f t="shared" si="118"/>
        <v/>
      </c>
    </row>
    <row r="1050" spans="2:17" ht="18" customHeight="1" x14ac:dyDescent="0.3">
      <c r="B1050" s="26"/>
      <c r="C1050" s="17"/>
      <c r="D1050" s="27"/>
      <c r="E1050" s="18"/>
      <c r="F1050" s="18"/>
      <c r="G1050" s="18"/>
      <c r="H1050" s="30" t="str">
        <f t="shared" si="112"/>
        <v/>
      </c>
      <c r="I1050" s="31" t="str">
        <f>IF(OR(B1050="",C1050=""),"",IFERROR(E1050*IF(E1050="",0,VLOOKUP(C1050,'📦 Precios Proforma'!$B$5:$D$104,IF(D1050="DIA",2,3),FALSE)),0))</f>
        <v/>
      </c>
      <c r="J1050" s="31" t="str">
        <f t="shared" si="113"/>
        <v/>
      </c>
      <c r="K1050" s="31" t="str">
        <f t="shared" si="114"/>
        <v/>
      </c>
      <c r="L1050" s="31" t="str">
        <f>IF(OR(B1050="",C1050=""),"",IFERROR(E1050 / SUMIFS('📅 Resumen Diario'!$D$5:$D$504, '📅 Resumen Diario'!$B$5:$B$504, B1050, '📅 Resumen Diario'!$C$5:$C$504, D1050) * SUMIFS('📅 Resumen Diario'!$K$5:$K$504, '📅 Resumen Diario'!$B$5:$B$504, B1050, '📅 Resumen Diario'!$C$5:$C$504, D1050), 0))</f>
        <v/>
      </c>
      <c r="M1050" s="31" t="str">
        <f t="shared" si="115"/>
        <v/>
      </c>
      <c r="N1050" s="31" t="str">
        <f t="shared" si="116"/>
        <v/>
      </c>
      <c r="O1050" s="31" t="str">
        <f>IF(OR(B1050="",C1050=""),"",K1050-N1050 + IFERROR(E1050 / SUMIFS('📅 Resumen Diario'!$D$5:$D$504, '📅 Resumen Diario'!$B$5:$B$504, B1050, '📅 Resumen Diario'!$C$5:$C$504, D1050) * (SUMIFS('📋 Detalle Diario'!$E$5:$E$489, '📋 Detalle Diario'!$B$5:$B$489, B1050, '📋 Detalle Diario'!$C$5:$C$489, D1050) * 135 + SUMIFS('📋 Detalle Diario'!$I$5:$I$489, '📋 Detalle Diario'!$B$5:$B$489, B1050, '📋 Detalle Diario'!$C$5:$C$489, D1050) * 200), 0))</f>
        <v/>
      </c>
      <c r="P1050" s="32" t="str">
        <f t="shared" si="117"/>
        <v/>
      </c>
      <c r="Q1050" s="33" t="str">
        <f t="shared" si="118"/>
        <v/>
      </c>
    </row>
    <row r="1051" spans="2:17" ht="18" customHeight="1" x14ac:dyDescent="0.3">
      <c r="B1051" s="26"/>
      <c r="C1051" s="28"/>
      <c r="D1051" s="27"/>
      <c r="E1051" s="29"/>
      <c r="F1051" s="29"/>
      <c r="G1051" s="29"/>
      <c r="H1051" s="30" t="str">
        <f t="shared" si="112"/>
        <v/>
      </c>
      <c r="I1051" s="31" t="str">
        <f>IF(OR(B1051="",C1051=""),"",IFERROR(E1051*IF(E1051="",0,VLOOKUP(C1051,'📦 Precios Proforma'!$B$5:$D$104,IF(D1051="DIA",2,3),FALSE)),0))</f>
        <v/>
      </c>
      <c r="J1051" s="31" t="str">
        <f t="shared" si="113"/>
        <v/>
      </c>
      <c r="K1051" s="31" t="str">
        <f t="shared" si="114"/>
        <v/>
      </c>
      <c r="L1051" s="31" t="str">
        <f>IF(OR(B1051="",C1051=""),"",IFERROR(E1051 / SUMIFS('📅 Resumen Diario'!$D$5:$D$504, '📅 Resumen Diario'!$B$5:$B$504, B1051, '📅 Resumen Diario'!$C$5:$C$504, D1051) * SUMIFS('📅 Resumen Diario'!$K$5:$K$504, '📅 Resumen Diario'!$B$5:$B$504, B1051, '📅 Resumen Diario'!$C$5:$C$504, D1051), 0))</f>
        <v/>
      </c>
      <c r="M1051" s="31" t="str">
        <f t="shared" si="115"/>
        <v/>
      </c>
      <c r="N1051" s="31" t="str">
        <f t="shared" si="116"/>
        <v/>
      </c>
      <c r="O1051" s="31" t="str">
        <f>IF(OR(B1051="",C1051=""),"",K1051-N1051 + IFERROR(E1051 / SUMIFS('📅 Resumen Diario'!$D$5:$D$504, '📅 Resumen Diario'!$B$5:$B$504, B1051, '📅 Resumen Diario'!$C$5:$C$504, D1051) * (SUMIFS('📋 Detalle Diario'!$E$5:$E$489, '📋 Detalle Diario'!$B$5:$B$489, B1051, '📋 Detalle Diario'!$C$5:$C$489, D1051) * 135 + SUMIFS('📋 Detalle Diario'!$I$5:$I$489, '📋 Detalle Diario'!$B$5:$B$489, B1051, '📋 Detalle Diario'!$C$5:$C$489, D1051) * 200), 0))</f>
        <v/>
      </c>
      <c r="P1051" s="32" t="str">
        <f t="shared" si="117"/>
        <v/>
      </c>
      <c r="Q1051" s="33" t="str">
        <f t="shared" si="118"/>
        <v/>
      </c>
    </row>
    <row r="1052" spans="2:17" ht="18" customHeight="1" x14ac:dyDescent="0.3">
      <c r="B1052" s="26"/>
      <c r="C1052" s="17"/>
      <c r="D1052" s="27"/>
      <c r="E1052" s="18"/>
      <c r="F1052" s="18"/>
      <c r="G1052" s="18"/>
      <c r="H1052" s="30" t="str">
        <f t="shared" si="112"/>
        <v/>
      </c>
      <c r="I1052" s="31" t="str">
        <f>IF(OR(B1052="",C1052=""),"",IFERROR(E1052*IF(E1052="",0,VLOOKUP(C1052,'📦 Precios Proforma'!$B$5:$D$104,IF(D1052="DIA",2,3),FALSE)),0))</f>
        <v/>
      </c>
      <c r="J1052" s="31" t="str">
        <f t="shared" si="113"/>
        <v/>
      </c>
      <c r="K1052" s="31" t="str">
        <f t="shared" si="114"/>
        <v/>
      </c>
      <c r="L1052" s="31" t="str">
        <f>IF(OR(B1052="",C1052=""),"",IFERROR(E1052 / SUMIFS('📅 Resumen Diario'!$D$5:$D$504, '📅 Resumen Diario'!$B$5:$B$504, B1052, '📅 Resumen Diario'!$C$5:$C$504, D1052) * SUMIFS('📅 Resumen Diario'!$K$5:$K$504, '📅 Resumen Diario'!$B$5:$B$504, B1052, '📅 Resumen Diario'!$C$5:$C$504, D1052), 0))</f>
        <v/>
      </c>
      <c r="M1052" s="31" t="str">
        <f t="shared" si="115"/>
        <v/>
      </c>
      <c r="N1052" s="31" t="str">
        <f t="shared" si="116"/>
        <v/>
      </c>
      <c r="O1052" s="31" t="str">
        <f>IF(OR(B1052="",C1052=""),"",K1052-N1052 + IFERROR(E1052 / SUMIFS('📅 Resumen Diario'!$D$5:$D$504, '📅 Resumen Diario'!$B$5:$B$504, B1052, '📅 Resumen Diario'!$C$5:$C$504, D1052) * (SUMIFS('📋 Detalle Diario'!$E$5:$E$489, '📋 Detalle Diario'!$B$5:$B$489, B1052, '📋 Detalle Diario'!$C$5:$C$489, D1052) * 135 + SUMIFS('📋 Detalle Diario'!$I$5:$I$489, '📋 Detalle Diario'!$B$5:$B$489, B1052, '📋 Detalle Diario'!$C$5:$C$489, D1052) * 200), 0))</f>
        <v/>
      </c>
      <c r="P1052" s="32" t="str">
        <f t="shared" si="117"/>
        <v/>
      </c>
      <c r="Q1052" s="33" t="str">
        <f t="shared" si="118"/>
        <v/>
      </c>
    </row>
    <row r="1053" spans="2:17" ht="18" customHeight="1" x14ac:dyDescent="0.3">
      <c r="B1053" s="26"/>
      <c r="C1053" s="28"/>
      <c r="D1053" s="27"/>
      <c r="E1053" s="29"/>
      <c r="F1053" s="29"/>
      <c r="G1053" s="29"/>
      <c r="H1053" s="30" t="str">
        <f t="shared" si="112"/>
        <v/>
      </c>
      <c r="I1053" s="31" t="str">
        <f>IF(OR(B1053="",C1053=""),"",IFERROR(E1053*IF(E1053="",0,VLOOKUP(C1053,'📦 Precios Proforma'!$B$5:$D$104,IF(D1053="DIA",2,3),FALSE)),0))</f>
        <v/>
      </c>
      <c r="J1053" s="31" t="str">
        <f t="shared" si="113"/>
        <v/>
      </c>
      <c r="K1053" s="31" t="str">
        <f t="shared" si="114"/>
        <v/>
      </c>
      <c r="L1053" s="31" t="str">
        <f>IF(OR(B1053="",C1053=""),"",IFERROR(E1053 / SUMIFS('📅 Resumen Diario'!$D$5:$D$504, '📅 Resumen Diario'!$B$5:$B$504, B1053, '📅 Resumen Diario'!$C$5:$C$504, D1053) * SUMIFS('📅 Resumen Diario'!$K$5:$K$504, '📅 Resumen Diario'!$B$5:$B$504, B1053, '📅 Resumen Diario'!$C$5:$C$504, D1053), 0))</f>
        <v/>
      </c>
      <c r="M1053" s="31" t="str">
        <f t="shared" si="115"/>
        <v/>
      </c>
      <c r="N1053" s="31" t="str">
        <f t="shared" si="116"/>
        <v/>
      </c>
      <c r="O1053" s="31" t="str">
        <f>IF(OR(B1053="",C1053=""),"",K1053-N1053 + IFERROR(E1053 / SUMIFS('📅 Resumen Diario'!$D$5:$D$504, '📅 Resumen Diario'!$B$5:$B$504, B1053, '📅 Resumen Diario'!$C$5:$C$504, D1053) * (SUMIFS('📋 Detalle Diario'!$E$5:$E$489, '📋 Detalle Diario'!$B$5:$B$489, B1053, '📋 Detalle Diario'!$C$5:$C$489, D1053) * 135 + SUMIFS('📋 Detalle Diario'!$I$5:$I$489, '📋 Detalle Diario'!$B$5:$B$489, B1053, '📋 Detalle Diario'!$C$5:$C$489, D1053) * 200), 0))</f>
        <v/>
      </c>
      <c r="P1053" s="32" t="str">
        <f t="shared" si="117"/>
        <v/>
      </c>
      <c r="Q1053" s="33" t="str">
        <f t="shared" si="118"/>
        <v/>
      </c>
    </row>
    <row r="1054" spans="2:17" ht="18" customHeight="1" x14ac:dyDescent="0.3">
      <c r="B1054" s="26"/>
      <c r="C1054" s="17"/>
      <c r="D1054" s="27"/>
      <c r="E1054" s="18"/>
      <c r="F1054" s="18"/>
      <c r="G1054" s="18"/>
      <c r="H1054" s="30" t="str">
        <f t="shared" si="112"/>
        <v/>
      </c>
      <c r="I1054" s="31" t="str">
        <f>IF(OR(B1054="",C1054=""),"",IFERROR(E1054*IF(E1054="",0,VLOOKUP(C1054,'📦 Precios Proforma'!$B$5:$D$104,IF(D1054="DIA",2,3),FALSE)),0))</f>
        <v/>
      </c>
      <c r="J1054" s="31" t="str">
        <f t="shared" si="113"/>
        <v/>
      </c>
      <c r="K1054" s="31" t="str">
        <f t="shared" si="114"/>
        <v/>
      </c>
      <c r="L1054" s="31" t="str">
        <f>IF(OR(B1054="",C1054=""),"",IFERROR(E1054 / SUMIFS('📅 Resumen Diario'!$D$5:$D$504, '📅 Resumen Diario'!$B$5:$B$504, B1054, '📅 Resumen Diario'!$C$5:$C$504, D1054) * SUMIFS('📅 Resumen Diario'!$K$5:$K$504, '📅 Resumen Diario'!$B$5:$B$504, B1054, '📅 Resumen Diario'!$C$5:$C$504, D1054), 0))</f>
        <v/>
      </c>
      <c r="M1054" s="31" t="str">
        <f t="shared" si="115"/>
        <v/>
      </c>
      <c r="N1054" s="31" t="str">
        <f t="shared" si="116"/>
        <v/>
      </c>
      <c r="O1054" s="31" t="str">
        <f>IF(OR(B1054="",C1054=""),"",K1054-N1054 + IFERROR(E1054 / SUMIFS('📅 Resumen Diario'!$D$5:$D$504, '📅 Resumen Diario'!$B$5:$B$504, B1054, '📅 Resumen Diario'!$C$5:$C$504, D1054) * (SUMIFS('📋 Detalle Diario'!$E$5:$E$489, '📋 Detalle Diario'!$B$5:$B$489, B1054, '📋 Detalle Diario'!$C$5:$C$489, D1054) * 135 + SUMIFS('📋 Detalle Diario'!$I$5:$I$489, '📋 Detalle Diario'!$B$5:$B$489, B1054, '📋 Detalle Diario'!$C$5:$C$489, D1054) * 200), 0))</f>
        <v/>
      </c>
      <c r="P1054" s="32" t="str">
        <f t="shared" si="117"/>
        <v/>
      </c>
      <c r="Q1054" s="33" t="str">
        <f t="shared" si="118"/>
        <v/>
      </c>
    </row>
    <row r="1055" spans="2:17" ht="18" customHeight="1" x14ac:dyDescent="0.3">
      <c r="B1055" s="26"/>
      <c r="C1055" s="28"/>
      <c r="D1055" s="27"/>
      <c r="E1055" s="29"/>
      <c r="F1055" s="29"/>
      <c r="G1055" s="29"/>
      <c r="H1055" s="30" t="str">
        <f t="shared" si="112"/>
        <v/>
      </c>
      <c r="I1055" s="31" t="str">
        <f>IF(OR(B1055="",C1055=""),"",IFERROR(E1055*IF(E1055="",0,VLOOKUP(C1055,'📦 Precios Proforma'!$B$5:$D$104,IF(D1055="DIA",2,3),FALSE)),0))</f>
        <v/>
      </c>
      <c r="J1055" s="31" t="str">
        <f t="shared" si="113"/>
        <v/>
      </c>
      <c r="K1055" s="31" t="str">
        <f t="shared" si="114"/>
        <v/>
      </c>
      <c r="L1055" s="31" t="str">
        <f>IF(OR(B1055="",C1055=""),"",IFERROR(E1055 / SUMIFS('📅 Resumen Diario'!$D$5:$D$504, '📅 Resumen Diario'!$B$5:$B$504, B1055, '📅 Resumen Diario'!$C$5:$C$504, D1055) * SUMIFS('📅 Resumen Diario'!$K$5:$K$504, '📅 Resumen Diario'!$B$5:$B$504, B1055, '📅 Resumen Diario'!$C$5:$C$504, D1055), 0))</f>
        <v/>
      </c>
      <c r="M1055" s="31" t="str">
        <f t="shared" si="115"/>
        <v/>
      </c>
      <c r="N1055" s="31" t="str">
        <f t="shared" si="116"/>
        <v/>
      </c>
      <c r="O1055" s="31" t="str">
        <f>IF(OR(B1055="",C1055=""),"",K1055-N1055 + IFERROR(E1055 / SUMIFS('📅 Resumen Diario'!$D$5:$D$504, '📅 Resumen Diario'!$B$5:$B$504, B1055, '📅 Resumen Diario'!$C$5:$C$504, D1055) * (SUMIFS('📋 Detalle Diario'!$E$5:$E$489, '📋 Detalle Diario'!$B$5:$B$489, B1055, '📋 Detalle Diario'!$C$5:$C$489, D1055) * 135 + SUMIFS('📋 Detalle Diario'!$I$5:$I$489, '📋 Detalle Diario'!$B$5:$B$489, B1055, '📋 Detalle Diario'!$C$5:$C$489, D1055) * 200), 0))</f>
        <v/>
      </c>
      <c r="P1055" s="32" t="str">
        <f t="shared" si="117"/>
        <v/>
      </c>
      <c r="Q1055" s="33" t="str">
        <f t="shared" si="118"/>
        <v/>
      </c>
    </row>
    <row r="1056" spans="2:17" ht="18" customHeight="1" x14ac:dyDescent="0.3">
      <c r="B1056" s="26"/>
      <c r="C1056" s="17"/>
      <c r="D1056" s="27"/>
      <c r="E1056" s="18"/>
      <c r="F1056" s="18"/>
      <c r="G1056" s="18"/>
      <c r="H1056" s="30" t="str">
        <f t="shared" si="112"/>
        <v/>
      </c>
      <c r="I1056" s="31" t="str">
        <f>IF(OR(B1056="",C1056=""),"",IFERROR(E1056*IF(E1056="",0,VLOOKUP(C1056,'📦 Precios Proforma'!$B$5:$D$104,IF(D1056="DIA",2,3),FALSE)),0))</f>
        <v/>
      </c>
      <c r="J1056" s="31" t="str">
        <f t="shared" si="113"/>
        <v/>
      </c>
      <c r="K1056" s="31" t="str">
        <f t="shared" si="114"/>
        <v/>
      </c>
      <c r="L1056" s="31" t="str">
        <f>IF(OR(B1056="",C1056=""),"",IFERROR(E1056 / SUMIFS('📅 Resumen Diario'!$D$5:$D$504, '📅 Resumen Diario'!$B$5:$B$504, B1056, '📅 Resumen Diario'!$C$5:$C$504, D1056) * SUMIFS('📅 Resumen Diario'!$K$5:$K$504, '📅 Resumen Diario'!$B$5:$B$504, B1056, '📅 Resumen Diario'!$C$5:$C$504, D1056), 0))</f>
        <v/>
      </c>
      <c r="M1056" s="31" t="str">
        <f t="shared" si="115"/>
        <v/>
      </c>
      <c r="N1056" s="31" t="str">
        <f t="shared" si="116"/>
        <v/>
      </c>
      <c r="O1056" s="31" t="str">
        <f>IF(OR(B1056="",C1056=""),"",K1056-N1056 + IFERROR(E1056 / SUMIFS('📅 Resumen Diario'!$D$5:$D$504, '📅 Resumen Diario'!$B$5:$B$504, B1056, '📅 Resumen Diario'!$C$5:$C$504, D1056) * (SUMIFS('📋 Detalle Diario'!$E$5:$E$489, '📋 Detalle Diario'!$B$5:$B$489, B1056, '📋 Detalle Diario'!$C$5:$C$489, D1056) * 135 + SUMIFS('📋 Detalle Diario'!$I$5:$I$489, '📋 Detalle Diario'!$B$5:$B$489, B1056, '📋 Detalle Diario'!$C$5:$C$489, D1056) * 200), 0))</f>
        <v/>
      </c>
      <c r="P1056" s="32" t="str">
        <f t="shared" si="117"/>
        <v/>
      </c>
      <c r="Q1056" s="33" t="str">
        <f t="shared" si="118"/>
        <v/>
      </c>
    </row>
    <row r="1057" spans="2:17" ht="18" customHeight="1" x14ac:dyDescent="0.3">
      <c r="B1057" s="26"/>
      <c r="C1057" s="28"/>
      <c r="D1057" s="27"/>
      <c r="E1057" s="29"/>
      <c r="F1057" s="29"/>
      <c r="G1057" s="29"/>
      <c r="H1057" s="30" t="str">
        <f t="shared" si="112"/>
        <v/>
      </c>
      <c r="I1057" s="31" t="str">
        <f>IF(OR(B1057="",C1057=""),"",IFERROR(E1057*IF(E1057="",0,VLOOKUP(C1057,'📦 Precios Proforma'!$B$5:$D$104,IF(D1057="DIA",2,3),FALSE)),0))</f>
        <v/>
      </c>
      <c r="J1057" s="31" t="str">
        <f t="shared" si="113"/>
        <v/>
      </c>
      <c r="K1057" s="31" t="str">
        <f t="shared" si="114"/>
        <v/>
      </c>
      <c r="L1057" s="31" t="str">
        <f>IF(OR(B1057="",C1057=""),"",IFERROR(E1057 / SUMIFS('📅 Resumen Diario'!$D$5:$D$504, '📅 Resumen Diario'!$B$5:$B$504, B1057, '📅 Resumen Diario'!$C$5:$C$504, D1057) * SUMIFS('📅 Resumen Diario'!$K$5:$K$504, '📅 Resumen Diario'!$B$5:$B$504, B1057, '📅 Resumen Diario'!$C$5:$C$504, D1057), 0))</f>
        <v/>
      </c>
      <c r="M1057" s="31" t="str">
        <f t="shared" si="115"/>
        <v/>
      </c>
      <c r="N1057" s="31" t="str">
        <f t="shared" si="116"/>
        <v/>
      </c>
      <c r="O1057" s="31" t="str">
        <f>IF(OR(B1057="",C1057=""),"",K1057-N1057 + IFERROR(E1057 / SUMIFS('📅 Resumen Diario'!$D$5:$D$504, '📅 Resumen Diario'!$B$5:$B$504, B1057, '📅 Resumen Diario'!$C$5:$C$504, D1057) * (SUMIFS('📋 Detalle Diario'!$E$5:$E$489, '📋 Detalle Diario'!$B$5:$B$489, B1057, '📋 Detalle Diario'!$C$5:$C$489, D1057) * 135 + SUMIFS('📋 Detalle Diario'!$I$5:$I$489, '📋 Detalle Diario'!$B$5:$B$489, B1057, '📋 Detalle Diario'!$C$5:$C$489, D1057) * 200), 0))</f>
        <v/>
      </c>
      <c r="P1057" s="32" t="str">
        <f t="shared" si="117"/>
        <v/>
      </c>
      <c r="Q1057" s="33" t="str">
        <f t="shared" si="118"/>
        <v/>
      </c>
    </row>
    <row r="1058" spans="2:17" ht="18" customHeight="1" x14ac:dyDescent="0.3">
      <c r="B1058" s="26"/>
      <c r="C1058" s="17"/>
      <c r="D1058" s="27"/>
      <c r="E1058" s="18"/>
      <c r="F1058" s="18"/>
      <c r="G1058" s="18"/>
      <c r="H1058" s="30" t="str">
        <f t="shared" si="112"/>
        <v/>
      </c>
      <c r="I1058" s="31" t="str">
        <f>IF(OR(B1058="",C1058=""),"",IFERROR(E1058*IF(E1058="",0,VLOOKUP(C1058,'📦 Precios Proforma'!$B$5:$D$104,IF(D1058="DIA",2,3),FALSE)),0))</f>
        <v/>
      </c>
      <c r="J1058" s="31" t="str">
        <f t="shared" si="113"/>
        <v/>
      </c>
      <c r="K1058" s="31" t="str">
        <f t="shared" si="114"/>
        <v/>
      </c>
      <c r="L1058" s="31" t="str">
        <f>IF(OR(B1058="",C1058=""),"",IFERROR(E1058 / SUMIFS('📅 Resumen Diario'!$D$5:$D$504, '📅 Resumen Diario'!$B$5:$B$504, B1058, '📅 Resumen Diario'!$C$5:$C$504, D1058) * SUMIFS('📅 Resumen Diario'!$K$5:$K$504, '📅 Resumen Diario'!$B$5:$B$504, B1058, '📅 Resumen Diario'!$C$5:$C$504, D1058), 0))</f>
        <v/>
      </c>
      <c r="M1058" s="31" t="str">
        <f t="shared" si="115"/>
        <v/>
      </c>
      <c r="N1058" s="31" t="str">
        <f t="shared" si="116"/>
        <v/>
      </c>
      <c r="O1058" s="31" t="str">
        <f>IF(OR(B1058="",C1058=""),"",K1058-N1058 + IFERROR(E1058 / SUMIFS('📅 Resumen Diario'!$D$5:$D$504, '📅 Resumen Diario'!$B$5:$B$504, B1058, '📅 Resumen Diario'!$C$5:$C$504, D1058) * (SUMIFS('📋 Detalle Diario'!$E$5:$E$489, '📋 Detalle Diario'!$B$5:$B$489, B1058, '📋 Detalle Diario'!$C$5:$C$489, D1058) * 135 + SUMIFS('📋 Detalle Diario'!$I$5:$I$489, '📋 Detalle Diario'!$B$5:$B$489, B1058, '📋 Detalle Diario'!$C$5:$C$489, D1058) * 200), 0))</f>
        <v/>
      </c>
      <c r="P1058" s="32" t="str">
        <f t="shared" si="117"/>
        <v/>
      </c>
      <c r="Q1058" s="33" t="str">
        <f t="shared" si="118"/>
        <v/>
      </c>
    </row>
    <row r="1059" spans="2:17" ht="18" customHeight="1" x14ac:dyDescent="0.3">
      <c r="B1059" s="26"/>
      <c r="C1059" s="28"/>
      <c r="D1059" s="27"/>
      <c r="E1059" s="29"/>
      <c r="F1059" s="29"/>
      <c r="G1059" s="29"/>
      <c r="H1059" s="30" t="str">
        <f t="shared" si="112"/>
        <v/>
      </c>
      <c r="I1059" s="31" t="str">
        <f>IF(OR(B1059="",C1059=""),"",IFERROR(E1059*IF(E1059="",0,VLOOKUP(C1059,'📦 Precios Proforma'!$B$5:$D$104,IF(D1059="DIA",2,3),FALSE)),0))</f>
        <v/>
      </c>
      <c r="J1059" s="31" t="str">
        <f t="shared" si="113"/>
        <v/>
      </c>
      <c r="K1059" s="31" t="str">
        <f t="shared" si="114"/>
        <v/>
      </c>
      <c r="L1059" s="31" t="str">
        <f>IF(OR(B1059="",C1059=""),"",IFERROR(E1059 / SUMIFS('📅 Resumen Diario'!$D$5:$D$504, '📅 Resumen Diario'!$B$5:$B$504, B1059, '📅 Resumen Diario'!$C$5:$C$504, D1059) * SUMIFS('📅 Resumen Diario'!$K$5:$K$504, '📅 Resumen Diario'!$B$5:$B$504, B1059, '📅 Resumen Diario'!$C$5:$C$504, D1059), 0))</f>
        <v/>
      </c>
      <c r="M1059" s="31" t="str">
        <f t="shared" si="115"/>
        <v/>
      </c>
      <c r="N1059" s="31" t="str">
        <f t="shared" si="116"/>
        <v/>
      </c>
      <c r="O1059" s="31" t="str">
        <f>IF(OR(B1059="",C1059=""),"",K1059-N1059 + IFERROR(E1059 / SUMIFS('📅 Resumen Diario'!$D$5:$D$504, '📅 Resumen Diario'!$B$5:$B$504, B1059, '📅 Resumen Diario'!$C$5:$C$504, D1059) * (SUMIFS('📋 Detalle Diario'!$E$5:$E$489, '📋 Detalle Diario'!$B$5:$B$489, B1059, '📋 Detalle Diario'!$C$5:$C$489, D1059) * 135 + SUMIFS('📋 Detalle Diario'!$I$5:$I$489, '📋 Detalle Diario'!$B$5:$B$489, B1059, '📋 Detalle Diario'!$C$5:$C$489, D1059) * 200), 0))</f>
        <v/>
      </c>
      <c r="P1059" s="32" t="str">
        <f t="shared" si="117"/>
        <v/>
      </c>
      <c r="Q1059" s="33" t="str">
        <f t="shared" si="118"/>
        <v/>
      </c>
    </row>
    <row r="1060" spans="2:17" ht="18" customHeight="1" x14ac:dyDescent="0.3">
      <c r="B1060" s="26"/>
      <c r="C1060" s="17"/>
      <c r="D1060" s="27"/>
      <c r="E1060" s="18"/>
      <c r="F1060" s="18"/>
      <c r="G1060" s="18"/>
      <c r="H1060" s="30" t="str">
        <f t="shared" si="112"/>
        <v/>
      </c>
      <c r="I1060" s="31" t="str">
        <f>IF(OR(B1060="",C1060=""),"",IFERROR(E1060*IF(E1060="",0,VLOOKUP(C1060,'📦 Precios Proforma'!$B$5:$D$104,IF(D1060="DIA",2,3),FALSE)),0))</f>
        <v/>
      </c>
      <c r="J1060" s="31" t="str">
        <f t="shared" si="113"/>
        <v/>
      </c>
      <c r="K1060" s="31" t="str">
        <f t="shared" si="114"/>
        <v/>
      </c>
      <c r="L1060" s="31" t="str">
        <f>IF(OR(B1060="",C1060=""),"",IFERROR(E1060 / SUMIFS('📅 Resumen Diario'!$D$5:$D$504, '📅 Resumen Diario'!$B$5:$B$504, B1060, '📅 Resumen Diario'!$C$5:$C$504, D1060) * SUMIFS('📅 Resumen Diario'!$K$5:$K$504, '📅 Resumen Diario'!$B$5:$B$504, B1060, '📅 Resumen Diario'!$C$5:$C$504, D1060), 0))</f>
        <v/>
      </c>
      <c r="M1060" s="31" t="str">
        <f t="shared" si="115"/>
        <v/>
      </c>
      <c r="N1060" s="31" t="str">
        <f t="shared" si="116"/>
        <v/>
      </c>
      <c r="O1060" s="31" t="str">
        <f>IF(OR(B1060="",C1060=""),"",K1060-N1060 + IFERROR(E1060 / SUMIFS('📅 Resumen Diario'!$D$5:$D$504, '📅 Resumen Diario'!$B$5:$B$504, B1060, '📅 Resumen Diario'!$C$5:$C$504, D1060) * (SUMIFS('📋 Detalle Diario'!$E$5:$E$489, '📋 Detalle Diario'!$B$5:$B$489, B1060, '📋 Detalle Diario'!$C$5:$C$489, D1060) * 135 + SUMIFS('📋 Detalle Diario'!$I$5:$I$489, '📋 Detalle Diario'!$B$5:$B$489, B1060, '📋 Detalle Diario'!$C$5:$C$489, D1060) * 200), 0))</f>
        <v/>
      </c>
      <c r="P1060" s="32" t="str">
        <f t="shared" si="117"/>
        <v/>
      </c>
      <c r="Q1060" s="33" t="str">
        <f t="shared" si="118"/>
        <v/>
      </c>
    </row>
    <row r="1061" spans="2:17" ht="18" customHeight="1" x14ac:dyDescent="0.3">
      <c r="B1061" s="26"/>
      <c r="C1061" s="28"/>
      <c r="D1061" s="27"/>
      <c r="E1061" s="29"/>
      <c r="F1061" s="29"/>
      <c r="G1061" s="29"/>
      <c r="H1061" s="30" t="str">
        <f t="shared" si="112"/>
        <v/>
      </c>
      <c r="I1061" s="31" t="str">
        <f>IF(OR(B1061="",C1061=""),"",IFERROR(E1061*IF(E1061="",0,VLOOKUP(C1061,'📦 Precios Proforma'!$B$5:$D$104,IF(D1061="DIA",2,3),FALSE)),0))</f>
        <v/>
      </c>
      <c r="J1061" s="31" t="str">
        <f t="shared" si="113"/>
        <v/>
      </c>
      <c r="K1061" s="31" t="str">
        <f t="shared" si="114"/>
        <v/>
      </c>
      <c r="L1061" s="31" t="str">
        <f>IF(OR(B1061="",C1061=""),"",IFERROR(E1061 / SUMIFS('📅 Resumen Diario'!$D$5:$D$504, '📅 Resumen Diario'!$B$5:$B$504, B1061, '📅 Resumen Diario'!$C$5:$C$504, D1061) * SUMIFS('📅 Resumen Diario'!$K$5:$K$504, '📅 Resumen Diario'!$B$5:$B$504, B1061, '📅 Resumen Diario'!$C$5:$C$504, D1061), 0))</f>
        <v/>
      </c>
      <c r="M1061" s="31" t="str">
        <f t="shared" si="115"/>
        <v/>
      </c>
      <c r="N1061" s="31" t="str">
        <f t="shared" si="116"/>
        <v/>
      </c>
      <c r="O1061" s="31" t="str">
        <f>IF(OR(B1061="",C1061=""),"",K1061-N1061 + IFERROR(E1061 / SUMIFS('📅 Resumen Diario'!$D$5:$D$504, '📅 Resumen Diario'!$B$5:$B$504, B1061, '📅 Resumen Diario'!$C$5:$C$504, D1061) * (SUMIFS('📋 Detalle Diario'!$E$5:$E$489, '📋 Detalle Diario'!$B$5:$B$489, B1061, '📋 Detalle Diario'!$C$5:$C$489, D1061) * 135 + SUMIFS('📋 Detalle Diario'!$I$5:$I$489, '📋 Detalle Diario'!$B$5:$B$489, B1061, '📋 Detalle Diario'!$C$5:$C$489, D1061) * 200), 0))</f>
        <v/>
      </c>
      <c r="P1061" s="32" t="str">
        <f t="shared" si="117"/>
        <v/>
      </c>
      <c r="Q1061" s="33" t="str">
        <f t="shared" si="118"/>
        <v/>
      </c>
    </row>
    <row r="1062" spans="2:17" ht="18" customHeight="1" x14ac:dyDescent="0.3">
      <c r="B1062" s="26"/>
      <c r="C1062" s="17"/>
      <c r="D1062" s="27"/>
      <c r="E1062" s="18"/>
      <c r="F1062" s="18"/>
      <c r="G1062" s="18"/>
      <c r="H1062" s="30" t="str">
        <f t="shared" si="112"/>
        <v/>
      </c>
      <c r="I1062" s="31" t="str">
        <f>IF(OR(B1062="",C1062=""),"",IFERROR(E1062*IF(E1062="",0,VLOOKUP(C1062,'📦 Precios Proforma'!$B$5:$D$104,IF(D1062="DIA",2,3),FALSE)),0))</f>
        <v/>
      </c>
      <c r="J1062" s="31" t="str">
        <f t="shared" si="113"/>
        <v/>
      </c>
      <c r="K1062" s="31" t="str">
        <f t="shared" si="114"/>
        <v/>
      </c>
      <c r="L1062" s="31" t="str">
        <f>IF(OR(B1062="",C1062=""),"",IFERROR(E1062 / SUMIFS('📅 Resumen Diario'!$D$5:$D$504, '📅 Resumen Diario'!$B$5:$B$504, B1062, '📅 Resumen Diario'!$C$5:$C$504, D1062) * SUMIFS('📅 Resumen Diario'!$K$5:$K$504, '📅 Resumen Diario'!$B$5:$B$504, B1062, '📅 Resumen Diario'!$C$5:$C$504, D1062), 0))</f>
        <v/>
      </c>
      <c r="M1062" s="31" t="str">
        <f t="shared" si="115"/>
        <v/>
      </c>
      <c r="N1062" s="31" t="str">
        <f t="shared" si="116"/>
        <v/>
      </c>
      <c r="O1062" s="31" t="str">
        <f>IF(OR(B1062="",C1062=""),"",K1062-N1062 + IFERROR(E1062 / SUMIFS('📅 Resumen Diario'!$D$5:$D$504, '📅 Resumen Diario'!$B$5:$B$504, B1062, '📅 Resumen Diario'!$C$5:$C$504, D1062) * (SUMIFS('📋 Detalle Diario'!$E$5:$E$489, '📋 Detalle Diario'!$B$5:$B$489, B1062, '📋 Detalle Diario'!$C$5:$C$489, D1062) * 135 + SUMIFS('📋 Detalle Diario'!$I$5:$I$489, '📋 Detalle Diario'!$B$5:$B$489, B1062, '📋 Detalle Diario'!$C$5:$C$489, D1062) * 200), 0))</f>
        <v/>
      </c>
      <c r="P1062" s="32" t="str">
        <f t="shared" si="117"/>
        <v/>
      </c>
      <c r="Q1062" s="33" t="str">
        <f t="shared" si="118"/>
        <v/>
      </c>
    </row>
    <row r="1063" spans="2:17" ht="18" customHeight="1" x14ac:dyDescent="0.3">
      <c r="B1063" s="26"/>
      <c r="C1063" s="28"/>
      <c r="D1063" s="27"/>
      <c r="E1063" s="29"/>
      <c r="F1063" s="29"/>
      <c r="G1063" s="29"/>
      <c r="H1063" s="30" t="str">
        <f t="shared" si="112"/>
        <v/>
      </c>
      <c r="I1063" s="31" t="str">
        <f>IF(OR(B1063="",C1063=""),"",IFERROR(E1063*IF(E1063="",0,VLOOKUP(C1063,'📦 Precios Proforma'!$B$5:$D$104,IF(D1063="DIA",2,3),FALSE)),0))</f>
        <v/>
      </c>
      <c r="J1063" s="31" t="str">
        <f t="shared" si="113"/>
        <v/>
      </c>
      <c r="K1063" s="31" t="str">
        <f t="shared" si="114"/>
        <v/>
      </c>
      <c r="L1063" s="31" t="str">
        <f>IF(OR(B1063="",C1063=""),"",IFERROR(E1063 / SUMIFS('📅 Resumen Diario'!$D$5:$D$504, '📅 Resumen Diario'!$B$5:$B$504, B1063, '📅 Resumen Diario'!$C$5:$C$504, D1063) * SUMIFS('📅 Resumen Diario'!$K$5:$K$504, '📅 Resumen Diario'!$B$5:$B$504, B1063, '📅 Resumen Diario'!$C$5:$C$504, D1063), 0))</f>
        <v/>
      </c>
      <c r="M1063" s="31" t="str">
        <f t="shared" si="115"/>
        <v/>
      </c>
      <c r="N1063" s="31" t="str">
        <f t="shared" si="116"/>
        <v/>
      </c>
      <c r="O1063" s="31" t="str">
        <f>IF(OR(B1063="",C1063=""),"",K1063-N1063 + IFERROR(E1063 / SUMIFS('📅 Resumen Diario'!$D$5:$D$504, '📅 Resumen Diario'!$B$5:$B$504, B1063, '📅 Resumen Diario'!$C$5:$C$504, D1063) * (SUMIFS('📋 Detalle Diario'!$E$5:$E$489, '📋 Detalle Diario'!$B$5:$B$489, B1063, '📋 Detalle Diario'!$C$5:$C$489, D1063) * 135 + SUMIFS('📋 Detalle Diario'!$I$5:$I$489, '📋 Detalle Diario'!$B$5:$B$489, B1063, '📋 Detalle Diario'!$C$5:$C$489, D1063) * 200), 0))</f>
        <v/>
      </c>
      <c r="P1063" s="32" t="str">
        <f t="shared" si="117"/>
        <v/>
      </c>
      <c r="Q1063" s="33" t="str">
        <f t="shared" si="118"/>
        <v/>
      </c>
    </row>
    <row r="1064" spans="2:17" ht="18" customHeight="1" x14ac:dyDescent="0.3">
      <c r="B1064" s="26"/>
      <c r="C1064" s="17"/>
      <c r="D1064" s="27"/>
      <c r="E1064" s="18"/>
      <c r="F1064" s="18"/>
      <c r="G1064" s="18"/>
      <c r="H1064" s="30" t="str">
        <f t="shared" si="112"/>
        <v/>
      </c>
      <c r="I1064" s="31" t="str">
        <f>IF(OR(B1064="",C1064=""),"",IFERROR(E1064*IF(E1064="",0,VLOOKUP(C1064,'📦 Precios Proforma'!$B$5:$D$104,IF(D1064="DIA",2,3),FALSE)),0))</f>
        <v/>
      </c>
      <c r="J1064" s="31" t="str">
        <f t="shared" si="113"/>
        <v/>
      </c>
      <c r="K1064" s="31" t="str">
        <f t="shared" si="114"/>
        <v/>
      </c>
      <c r="L1064" s="31" t="str">
        <f>IF(OR(B1064="",C1064=""),"",IFERROR(E1064 / SUMIFS('📅 Resumen Diario'!$D$5:$D$504, '📅 Resumen Diario'!$B$5:$B$504, B1064, '📅 Resumen Diario'!$C$5:$C$504, D1064) * SUMIFS('📅 Resumen Diario'!$K$5:$K$504, '📅 Resumen Diario'!$B$5:$B$504, B1064, '📅 Resumen Diario'!$C$5:$C$504, D1064), 0))</f>
        <v/>
      </c>
      <c r="M1064" s="31" t="str">
        <f t="shared" si="115"/>
        <v/>
      </c>
      <c r="N1064" s="31" t="str">
        <f t="shared" si="116"/>
        <v/>
      </c>
      <c r="O1064" s="31" t="str">
        <f>IF(OR(B1064="",C1064=""),"",K1064-N1064 + IFERROR(E1064 / SUMIFS('📅 Resumen Diario'!$D$5:$D$504, '📅 Resumen Diario'!$B$5:$B$504, B1064, '📅 Resumen Diario'!$C$5:$C$504, D1064) * (SUMIFS('📋 Detalle Diario'!$E$5:$E$489, '📋 Detalle Diario'!$B$5:$B$489, B1064, '📋 Detalle Diario'!$C$5:$C$489, D1064) * 135 + SUMIFS('📋 Detalle Diario'!$I$5:$I$489, '📋 Detalle Diario'!$B$5:$B$489, B1064, '📋 Detalle Diario'!$C$5:$C$489, D1064) * 200), 0))</f>
        <v/>
      </c>
      <c r="P1064" s="32" t="str">
        <f t="shared" si="117"/>
        <v/>
      </c>
      <c r="Q1064" s="33" t="str">
        <f t="shared" si="118"/>
        <v/>
      </c>
    </row>
    <row r="1065" spans="2:17" ht="18" customHeight="1" x14ac:dyDescent="0.3">
      <c r="B1065" s="26"/>
      <c r="C1065" s="28"/>
      <c r="D1065" s="27"/>
      <c r="E1065" s="29"/>
      <c r="F1065" s="29"/>
      <c r="G1065" s="29"/>
      <c r="H1065" s="30" t="str">
        <f t="shared" si="112"/>
        <v/>
      </c>
      <c r="I1065" s="31" t="str">
        <f>IF(OR(B1065="",C1065=""),"",IFERROR(E1065*IF(E1065="",0,VLOOKUP(C1065,'📦 Precios Proforma'!$B$5:$D$104,IF(D1065="DIA",2,3),FALSE)),0))</f>
        <v/>
      </c>
      <c r="J1065" s="31" t="str">
        <f t="shared" si="113"/>
        <v/>
      </c>
      <c r="K1065" s="31" t="str">
        <f t="shared" si="114"/>
        <v/>
      </c>
      <c r="L1065" s="31" t="str">
        <f>IF(OR(B1065="",C1065=""),"",IFERROR(E1065 / SUMIFS('📅 Resumen Diario'!$D$5:$D$504, '📅 Resumen Diario'!$B$5:$B$504, B1065, '📅 Resumen Diario'!$C$5:$C$504, D1065) * SUMIFS('📅 Resumen Diario'!$K$5:$K$504, '📅 Resumen Diario'!$B$5:$B$504, B1065, '📅 Resumen Diario'!$C$5:$C$504, D1065), 0))</f>
        <v/>
      </c>
      <c r="M1065" s="31" t="str">
        <f t="shared" si="115"/>
        <v/>
      </c>
      <c r="N1065" s="31" t="str">
        <f t="shared" si="116"/>
        <v/>
      </c>
      <c r="O1065" s="31" t="str">
        <f>IF(OR(B1065="",C1065=""),"",K1065-N1065 + IFERROR(E1065 / SUMIFS('📅 Resumen Diario'!$D$5:$D$504, '📅 Resumen Diario'!$B$5:$B$504, B1065, '📅 Resumen Diario'!$C$5:$C$504, D1065) * (SUMIFS('📋 Detalle Diario'!$E$5:$E$489, '📋 Detalle Diario'!$B$5:$B$489, B1065, '📋 Detalle Diario'!$C$5:$C$489, D1065) * 135 + SUMIFS('📋 Detalle Diario'!$I$5:$I$489, '📋 Detalle Diario'!$B$5:$B$489, B1065, '📋 Detalle Diario'!$C$5:$C$489, D1065) * 200), 0))</f>
        <v/>
      </c>
      <c r="P1065" s="32" t="str">
        <f t="shared" si="117"/>
        <v/>
      </c>
      <c r="Q1065" s="33" t="str">
        <f t="shared" si="118"/>
        <v/>
      </c>
    </row>
    <row r="1066" spans="2:17" ht="18" customHeight="1" x14ac:dyDescent="0.3">
      <c r="B1066" s="26"/>
      <c r="C1066" s="17"/>
      <c r="D1066" s="27"/>
      <c r="E1066" s="18"/>
      <c r="F1066" s="18"/>
      <c r="G1066" s="18"/>
      <c r="H1066" s="30" t="str">
        <f t="shared" si="112"/>
        <v/>
      </c>
      <c r="I1066" s="31" t="str">
        <f>IF(OR(B1066="",C1066=""),"",IFERROR(E1066*IF(E1066="",0,VLOOKUP(C1066,'📦 Precios Proforma'!$B$5:$D$104,IF(D1066="DIA",2,3),FALSE)),0))</f>
        <v/>
      </c>
      <c r="J1066" s="31" t="str">
        <f t="shared" si="113"/>
        <v/>
      </c>
      <c r="K1066" s="31" t="str">
        <f t="shared" si="114"/>
        <v/>
      </c>
      <c r="L1066" s="31" t="str">
        <f>IF(OR(B1066="",C1066=""),"",IFERROR(E1066 / SUMIFS('📅 Resumen Diario'!$D$5:$D$504, '📅 Resumen Diario'!$B$5:$B$504, B1066, '📅 Resumen Diario'!$C$5:$C$504, D1066) * SUMIFS('📅 Resumen Diario'!$K$5:$K$504, '📅 Resumen Diario'!$B$5:$B$504, B1066, '📅 Resumen Diario'!$C$5:$C$504, D1066), 0))</f>
        <v/>
      </c>
      <c r="M1066" s="31" t="str">
        <f t="shared" si="115"/>
        <v/>
      </c>
      <c r="N1066" s="31" t="str">
        <f t="shared" si="116"/>
        <v/>
      </c>
      <c r="O1066" s="31" t="str">
        <f>IF(OR(B1066="",C1066=""),"",K1066-N1066 + IFERROR(E1066 / SUMIFS('📅 Resumen Diario'!$D$5:$D$504, '📅 Resumen Diario'!$B$5:$B$504, B1066, '📅 Resumen Diario'!$C$5:$C$504, D1066) * (SUMIFS('📋 Detalle Diario'!$E$5:$E$489, '📋 Detalle Diario'!$B$5:$B$489, B1066, '📋 Detalle Diario'!$C$5:$C$489, D1066) * 135 + SUMIFS('📋 Detalle Diario'!$I$5:$I$489, '📋 Detalle Diario'!$B$5:$B$489, B1066, '📋 Detalle Diario'!$C$5:$C$489, D1066) * 200), 0))</f>
        <v/>
      </c>
      <c r="P1066" s="32" t="str">
        <f t="shared" si="117"/>
        <v/>
      </c>
      <c r="Q1066" s="33" t="str">
        <f t="shared" si="118"/>
        <v/>
      </c>
    </row>
    <row r="1067" spans="2:17" ht="18" customHeight="1" x14ac:dyDescent="0.3">
      <c r="B1067" s="26"/>
      <c r="C1067" s="28"/>
      <c r="D1067" s="27"/>
      <c r="E1067" s="29"/>
      <c r="F1067" s="29"/>
      <c r="G1067" s="29"/>
      <c r="H1067" s="30" t="str">
        <f t="shared" si="112"/>
        <v/>
      </c>
      <c r="I1067" s="31" t="str">
        <f>IF(OR(B1067="",C1067=""),"",IFERROR(E1067*IF(E1067="",0,VLOOKUP(C1067,'📦 Precios Proforma'!$B$5:$D$104,IF(D1067="DIA",2,3),FALSE)),0))</f>
        <v/>
      </c>
      <c r="J1067" s="31" t="str">
        <f t="shared" si="113"/>
        <v/>
      </c>
      <c r="K1067" s="31" t="str">
        <f t="shared" si="114"/>
        <v/>
      </c>
      <c r="L1067" s="31" t="str">
        <f>IF(OR(B1067="",C1067=""),"",IFERROR(E1067 / SUMIFS('📅 Resumen Diario'!$D$5:$D$504, '📅 Resumen Diario'!$B$5:$B$504, B1067, '📅 Resumen Diario'!$C$5:$C$504, D1067) * SUMIFS('📅 Resumen Diario'!$K$5:$K$504, '📅 Resumen Diario'!$B$5:$B$504, B1067, '📅 Resumen Diario'!$C$5:$C$504, D1067), 0))</f>
        <v/>
      </c>
      <c r="M1067" s="31" t="str">
        <f t="shared" si="115"/>
        <v/>
      </c>
      <c r="N1067" s="31" t="str">
        <f t="shared" si="116"/>
        <v/>
      </c>
      <c r="O1067" s="31" t="str">
        <f>IF(OR(B1067="",C1067=""),"",K1067-N1067 + IFERROR(E1067 / SUMIFS('📅 Resumen Diario'!$D$5:$D$504, '📅 Resumen Diario'!$B$5:$B$504, B1067, '📅 Resumen Diario'!$C$5:$C$504, D1067) * (SUMIFS('📋 Detalle Diario'!$E$5:$E$489, '📋 Detalle Diario'!$B$5:$B$489, B1067, '📋 Detalle Diario'!$C$5:$C$489, D1067) * 135 + SUMIFS('📋 Detalle Diario'!$I$5:$I$489, '📋 Detalle Diario'!$B$5:$B$489, B1067, '📋 Detalle Diario'!$C$5:$C$489, D1067) * 200), 0))</f>
        <v/>
      </c>
      <c r="P1067" s="32" t="str">
        <f t="shared" si="117"/>
        <v/>
      </c>
      <c r="Q1067" s="33" t="str">
        <f t="shared" si="118"/>
        <v/>
      </c>
    </row>
    <row r="1068" spans="2:17" ht="18" customHeight="1" x14ac:dyDescent="0.3">
      <c r="B1068" s="26"/>
      <c r="C1068" s="17"/>
      <c r="D1068" s="27"/>
      <c r="E1068" s="18"/>
      <c r="F1068" s="18"/>
      <c r="G1068" s="18"/>
      <c r="H1068" s="30" t="str">
        <f t="shared" si="112"/>
        <v/>
      </c>
      <c r="I1068" s="31" t="str">
        <f>IF(OR(B1068="",C1068=""),"",IFERROR(E1068*IF(E1068="",0,VLOOKUP(C1068,'📦 Precios Proforma'!$B$5:$D$104,IF(D1068="DIA",2,3),FALSE)),0))</f>
        <v/>
      </c>
      <c r="J1068" s="31" t="str">
        <f t="shared" si="113"/>
        <v/>
      </c>
      <c r="K1068" s="31" t="str">
        <f t="shared" si="114"/>
        <v/>
      </c>
      <c r="L1068" s="31" t="str">
        <f>IF(OR(B1068="",C1068=""),"",IFERROR(E1068 / SUMIFS('📅 Resumen Diario'!$D$5:$D$504, '📅 Resumen Diario'!$B$5:$B$504, B1068, '📅 Resumen Diario'!$C$5:$C$504, D1068) * SUMIFS('📅 Resumen Diario'!$K$5:$K$504, '📅 Resumen Diario'!$B$5:$B$504, B1068, '📅 Resumen Diario'!$C$5:$C$504, D1068), 0))</f>
        <v/>
      </c>
      <c r="M1068" s="31" t="str">
        <f t="shared" si="115"/>
        <v/>
      </c>
      <c r="N1068" s="31" t="str">
        <f t="shared" si="116"/>
        <v/>
      </c>
      <c r="O1068" s="31" t="str">
        <f>IF(OR(B1068="",C1068=""),"",K1068-N1068 + IFERROR(E1068 / SUMIFS('📅 Resumen Diario'!$D$5:$D$504, '📅 Resumen Diario'!$B$5:$B$504, B1068, '📅 Resumen Diario'!$C$5:$C$504, D1068) * (SUMIFS('📋 Detalle Diario'!$E$5:$E$489, '📋 Detalle Diario'!$B$5:$B$489, B1068, '📋 Detalle Diario'!$C$5:$C$489, D1068) * 135 + SUMIFS('📋 Detalle Diario'!$I$5:$I$489, '📋 Detalle Diario'!$B$5:$B$489, B1068, '📋 Detalle Diario'!$C$5:$C$489, D1068) * 200), 0))</f>
        <v/>
      </c>
      <c r="P1068" s="32" t="str">
        <f t="shared" si="117"/>
        <v/>
      </c>
      <c r="Q1068" s="33" t="str">
        <f t="shared" si="118"/>
        <v/>
      </c>
    </row>
    <row r="1069" spans="2:17" ht="18" customHeight="1" x14ac:dyDescent="0.3">
      <c r="B1069" s="26"/>
      <c r="C1069" s="28"/>
      <c r="D1069" s="27"/>
      <c r="E1069" s="29"/>
      <c r="F1069" s="29"/>
      <c r="G1069" s="29"/>
      <c r="H1069" s="30" t="str">
        <f t="shared" si="112"/>
        <v/>
      </c>
      <c r="I1069" s="31" t="str">
        <f>IF(OR(B1069="",C1069=""),"",IFERROR(E1069*IF(E1069="",0,VLOOKUP(C1069,'📦 Precios Proforma'!$B$5:$D$104,IF(D1069="DIA",2,3),FALSE)),0))</f>
        <v/>
      </c>
      <c r="J1069" s="31" t="str">
        <f t="shared" si="113"/>
        <v/>
      </c>
      <c r="K1069" s="31" t="str">
        <f t="shared" si="114"/>
        <v/>
      </c>
      <c r="L1069" s="31" t="str">
        <f>IF(OR(B1069="",C1069=""),"",IFERROR(E1069 / SUMIFS('📅 Resumen Diario'!$D$5:$D$504, '📅 Resumen Diario'!$B$5:$B$504, B1069, '📅 Resumen Diario'!$C$5:$C$504, D1069) * SUMIFS('📅 Resumen Diario'!$K$5:$K$504, '📅 Resumen Diario'!$B$5:$B$504, B1069, '📅 Resumen Diario'!$C$5:$C$504, D1069), 0))</f>
        <v/>
      </c>
      <c r="M1069" s="31" t="str">
        <f t="shared" si="115"/>
        <v/>
      </c>
      <c r="N1069" s="31" t="str">
        <f t="shared" si="116"/>
        <v/>
      </c>
      <c r="O1069" s="31" t="str">
        <f>IF(OR(B1069="",C1069=""),"",K1069-N1069 + IFERROR(E1069 / SUMIFS('📅 Resumen Diario'!$D$5:$D$504, '📅 Resumen Diario'!$B$5:$B$504, B1069, '📅 Resumen Diario'!$C$5:$C$504, D1069) * (SUMIFS('📋 Detalle Diario'!$E$5:$E$489, '📋 Detalle Diario'!$B$5:$B$489, B1069, '📋 Detalle Diario'!$C$5:$C$489, D1069) * 135 + SUMIFS('📋 Detalle Diario'!$I$5:$I$489, '📋 Detalle Diario'!$B$5:$B$489, B1069, '📋 Detalle Diario'!$C$5:$C$489, D1069) * 200), 0))</f>
        <v/>
      </c>
      <c r="P1069" s="32" t="str">
        <f t="shared" si="117"/>
        <v/>
      </c>
      <c r="Q1069" s="33" t="str">
        <f t="shared" si="118"/>
        <v/>
      </c>
    </row>
    <row r="1070" spans="2:17" ht="18" customHeight="1" x14ac:dyDescent="0.3">
      <c r="B1070" s="26"/>
      <c r="C1070" s="17"/>
      <c r="D1070" s="27"/>
      <c r="E1070" s="18"/>
      <c r="F1070" s="18"/>
      <c r="G1070" s="18"/>
      <c r="H1070" s="30" t="str">
        <f t="shared" si="112"/>
        <v/>
      </c>
      <c r="I1070" s="31" t="str">
        <f>IF(OR(B1070="",C1070=""),"",IFERROR(E1070*IF(E1070="",0,VLOOKUP(C1070,'📦 Precios Proforma'!$B$5:$D$104,IF(D1070="DIA",2,3),FALSE)),0))</f>
        <v/>
      </c>
      <c r="J1070" s="31" t="str">
        <f t="shared" si="113"/>
        <v/>
      </c>
      <c r="K1070" s="31" t="str">
        <f t="shared" si="114"/>
        <v/>
      </c>
      <c r="L1070" s="31" t="str">
        <f>IF(OR(B1070="",C1070=""),"",IFERROR(E1070 / SUMIFS('📅 Resumen Diario'!$D$5:$D$504, '📅 Resumen Diario'!$B$5:$B$504, B1070, '📅 Resumen Diario'!$C$5:$C$504, D1070) * SUMIFS('📅 Resumen Diario'!$K$5:$K$504, '📅 Resumen Diario'!$B$5:$B$504, B1070, '📅 Resumen Diario'!$C$5:$C$504, D1070), 0))</f>
        <v/>
      </c>
      <c r="M1070" s="31" t="str">
        <f t="shared" si="115"/>
        <v/>
      </c>
      <c r="N1070" s="31" t="str">
        <f t="shared" si="116"/>
        <v/>
      </c>
      <c r="O1070" s="31" t="str">
        <f>IF(OR(B1070="",C1070=""),"",K1070-N1070 + IFERROR(E1070 / SUMIFS('📅 Resumen Diario'!$D$5:$D$504, '📅 Resumen Diario'!$B$5:$B$504, B1070, '📅 Resumen Diario'!$C$5:$C$504, D1070) * (SUMIFS('📋 Detalle Diario'!$E$5:$E$489, '📋 Detalle Diario'!$B$5:$B$489, B1070, '📋 Detalle Diario'!$C$5:$C$489, D1070) * 135 + SUMIFS('📋 Detalle Diario'!$I$5:$I$489, '📋 Detalle Diario'!$B$5:$B$489, B1070, '📋 Detalle Diario'!$C$5:$C$489, D1070) * 200), 0))</f>
        <v/>
      </c>
      <c r="P1070" s="32" t="str">
        <f t="shared" si="117"/>
        <v/>
      </c>
      <c r="Q1070" s="33" t="str">
        <f t="shared" si="118"/>
        <v/>
      </c>
    </row>
    <row r="1071" spans="2:17" ht="18" customHeight="1" x14ac:dyDescent="0.3">
      <c r="B1071" s="26"/>
      <c r="C1071" s="28"/>
      <c r="D1071" s="27"/>
      <c r="E1071" s="29"/>
      <c r="F1071" s="29"/>
      <c r="G1071" s="29"/>
      <c r="H1071" s="30" t="str">
        <f t="shared" si="112"/>
        <v/>
      </c>
      <c r="I1071" s="31" t="str">
        <f>IF(OR(B1071="",C1071=""),"",IFERROR(E1071*IF(E1071="",0,VLOOKUP(C1071,'📦 Precios Proforma'!$B$5:$D$104,IF(D1071="DIA",2,3),FALSE)),0))</f>
        <v/>
      </c>
      <c r="J1071" s="31" t="str">
        <f t="shared" si="113"/>
        <v/>
      </c>
      <c r="K1071" s="31" t="str">
        <f t="shared" si="114"/>
        <v/>
      </c>
      <c r="L1071" s="31" t="str">
        <f>IF(OR(B1071="",C1071=""),"",IFERROR(E1071 / SUMIFS('📅 Resumen Diario'!$D$5:$D$504, '📅 Resumen Diario'!$B$5:$B$504, B1071, '📅 Resumen Diario'!$C$5:$C$504, D1071) * SUMIFS('📅 Resumen Diario'!$K$5:$K$504, '📅 Resumen Diario'!$B$5:$B$504, B1071, '📅 Resumen Diario'!$C$5:$C$504, D1071), 0))</f>
        <v/>
      </c>
      <c r="M1071" s="31" t="str">
        <f t="shared" si="115"/>
        <v/>
      </c>
      <c r="N1071" s="31" t="str">
        <f t="shared" si="116"/>
        <v/>
      </c>
      <c r="O1071" s="31" t="str">
        <f>IF(OR(B1071="",C1071=""),"",K1071-N1071 + IFERROR(E1071 / SUMIFS('📅 Resumen Diario'!$D$5:$D$504, '📅 Resumen Diario'!$B$5:$B$504, B1071, '📅 Resumen Diario'!$C$5:$C$504, D1071) * (SUMIFS('📋 Detalle Diario'!$E$5:$E$489, '📋 Detalle Diario'!$B$5:$B$489, B1071, '📋 Detalle Diario'!$C$5:$C$489, D1071) * 135 + SUMIFS('📋 Detalle Diario'!$I$5:$I$489, '📋 Detalle Diario'!$B$5:$B$489, B1071, '📋 Detalle Diario'!$C$5:$C$489, D1071) * 200), 0))</f>
        <v/>
      </c>
      <c r="P1071" s="32" t="str">
        <f t="shared" si="117"/>
        <v/>
      </c>
      <c r="Q1071" s="33" t="str">
        <f t="shared" si="118"/>
        <v/>
      </c>
    </row>
    <row r="1072" spans="2:17" ht="18" customHeight="1" x14ac:dyDescent="0.3">
      <c r="B1072" s="26"/>
      <c r="C1072" s="17"/>
      <c r="D1072" s="27"/>
      <c r="E1072" s="18"/>
      <c r="F1072" s="18"/>
      <c r="G1072" s="18"/>
      <c r="H1072" s="30" t="str">
        <f t="shared" si="112"/>
        <v/>
      </c>
      <c r="I1072" s="31" t="str">
        <f>IF(OR(B1072="",C1072=""),"",IFERROR(E1072*IF(E1072="",0,VLOOKUP(C1072,'📦 Precios Proforma'!$B$5:$D$104,IF(D1072="DIA",2,3),FALSE)),0))</f>
        <v/>
      </c>
      <c r="J1072" s="31" t="str">
        <f t="shared" si="113"/>
        <v/>
      </c>
      <c r="K1072" s="31" t="str">
        <f t="shared" si="114"/>
        <v/>
      </c>
      <c r="L1072" s="31" t="str">
        <f>IF(OR(B1072="",C1072=""),"",IFERROR(E1072 / SUMIFS('📅 Resumen Diario'!$D$5:$D$504, '📅 Resumen Diario'!$B$5:$B$504, B1072, '📅 Resumen Diario'!$C$5:$C$504, D1072) * SUMIFS('📅 Resumen Diario'!$K$5:$K$504, '📅 Resumen Diario'!$B$5:$B$504, B1072, '📅 Resumen Diario'!$C$5:$C$504, D1072), 0))</f>
        <v/>
      </c>
      <c r="M1072" s="31" t="str">
        <f t="shared" si="115"/>
        <v/>
      </c>
      <c r="N1072" s="31" t="str">
        <f t="shared" si="116"/>
        <v/>
      </c>
      <c r="O1072" s="31" t="str">
        <f>IF(OR(B1072="",C1072=""),"",K1072-N1072 + IFERROR(E1072 / SUMIFS('📅 Resumen Diario'!$D$5:$D$504, '📅 Resumen Diario'!$B$5:$B$504, B1072, '📅 Resumen Diario'!$C$5:$C$504, D1072) * (SUMIFS('📋 Detalle Diario'!$E$5:$E$489, '📋 Detalle Diario'!$B$5:$B$489, B1072, '📋 Detalle Diario'!$C$5:$C$489, D1072) * 135 + SUMIFS('📋 Detalle Diario'!$I$5:$I$489, '📋 Detalle Diario'!$B$5:$B$489, B1072, '📋 Detalle Diario'!$C$5:$C$489, D1072) * 200), 0))</f>
        <v/>
      </c>
      <c r="P1072" s="32" t="str">
        <f t="shared" si="117"/>
        <v/>
      </c>
      <c r="Q1072" s="33" t="str">
        <f t="shared" si="118"/>
        <v/>
      </c>
    </row>
    <row r="1073" spans="2:17" ht="18" customHeight="1" x14ac:dyDescent="0.3">
      <c r="B1073" s="26"/>
      <c r="C1073" s="28"/>
      <c r="D1073" s="27"/>
      <c r="E1073" s="29"/>
      <c r="F1073" s="29"/>
      <c r="G1073" s="29"/>
      <c r="H1073" s="30" t="str">
        <f t="shared" si="112"/>
        <v/>
      </c>
      <c r="I1073" s="31" t="str">
        <f>IF(OR(B1073="",C1073=""),"",IFERROR(E1073*IF(E1073="",0,VLOOKUP(C1073,'📦 Precios Proforma'!$B$5:$D$104,IF(D1073="DIA",2,3),FALSE)),0))</f>
        <v/>
      </c>
      <c r="J1073" s="31" t="str">
        <f t="shared" si="113"/>
        <v/>
      </c>
      <c r="K1073" s="31" t="str">
        <f t="shared" si="114"/>
        <v/>
      </c>
      <c r="L1073" s="31" t="str">
        <f>IF(OR(B1073="",C1073=""),"",IFERROR(E1073 / SUMIFS('📅 Resumen Diario'!$D$5:$D$504, '📅 Resumen Diario'!$B$5:$B$504, B1073, '📅 Resumen Diario'!$C$5:$C$504, D1073) * SUMIFS('📅 Resumen Diario'!$K$5:$K$504, '📅 Resumen Diario'!$B$5:$B$504, B1073, '📅 Resumen Diario'!$C$5:$C$504, D1073), 0))</f>
        <v/>
      </c>
      <c r="M1073" s="31" t="str">
        <f t="shared" si="115"/>
        <v/>
      </c>
      <c r="N1073" s="31" t="str">
        <f t="shared" si="116"/>
        <v/>
      </c>
      <c r="O1073" s="31" t="str">
        <f>IF(OR(B1073="",C1073=""),"",K1073-N1073 + IFERROR(E1073 / SUMIFS('📅 Resumen Diario'!$D$5:$D$504, '📅 Resumen Diario'!$B$5:$B$504, B1073, '📅 Resumen Diario'!$C$5:$C$504, D1073) * (SUMIFS('📋 Detalle Diario'!$E$5:$E$489, '📋 Detalle Diario'!$B$5:$B$489, B1073, '📋 Detalle Diario'!$C$5:$C$489, D1073) * 135 + SUMIFS('📋 Detalle Diario'!$I$5:$I$489, '📋 Detalle Diario'!$B$5:$B$489, B1073, '📋 Detalle Diario'!$C$5:$C$489, D1073) * 200), 0))</f>
        <v/>
      </c>
      <c r="P1073" s="32" t="str">
        <f t="shared" si="117"/>
        <v/>
      </c>
      <c r="Q1073" s="33" t="str">
        <f t="shared" si="118"/>
        <v/>
      </c>
    </row>
    <row r="1074" spans="2:17" ht="18" customHeight="1" x14ac:dyDescent="0.3">
      <c r="B1074" s="26"/>
      <c r="C1074" s="17"/>
      <c r="D1074" s="27"/>
      <c r="E1074" s="18"/>
      <c r="F1074" s="18"/>
      <c r="G1074" s="18"/>
      <c r="H1074" s="30" t="str">
        <f t="shared" si="112"/>
        <v/>
      </c>
      <c r="I1074" s="31" t="str">
        <f>IF(OR(B1074="",C1074=""),"",IFERROR(E1074*IF(E1074="",0,VLOOKUP(C1074,'📦 Precios Proforma'!$B$5:$D$104,IF(D1074="DIA",2,3),FALSE)),0))</f>
        <v/>
      </c>
      <c r="J1074" s="31" t="str">
        <f t="shared" si="113"/>
        <v/>
      </c>
      <c r="K1074" s="31" t="str">
        <f t="shared" si="114"/>
        <v/>
      </c>
      <c r="L1074" s="31" t="str">
        <f>IF(OR(B1074="",C1074=""),"",IFERROR(E1074 / SUMIFS('📅 Resumen Diario'!$D$5:$D$504, '📅 Resumen Diario'!$B$5:$B$504, B1074, '📅 Resumen Diario'!$C$5:$C$504, D1074) * SUMIFS('📅 Resumen Diario'!$K$5:$K$504, '📅 Resumen Diario'!$B$5:$B$504, B1074, '📅 Resumen Diario'!$C$5:$C$504, D1074), 0))</f>
        <v/>
      </c>
      <c r="M1074" s="31" t="str">
        <f t="shared" si="115"/>
        <v/>
      </c>
      <c r="N1074" s="31" t="str">
        <f t="shared" si="116"/>
        <v/>
      </c>
      <c r="O1074" s="31" t="str">
        <f>IF(OR(B1074="",C1074=""),"",K1074-N1074 + IFERROR(E1074 / SUMIFS('📅 Resumen Diario'!$D$5:$D$504, '📅 Resumen Diario'!$B$5:$B$504, B1074, '📅 Resumen Diario'!$C$5:$C$504, D1074) * (SUMIFS('📋 Detalle Diario'!$E$5:$E$489, '📋 Detalle Diario'!$B$5:$B$489, B1074, '📋 Detalle Diario'!$C$5:$C$489, D1074) * 135 + SUMIFS('📋 Detalle Diario'!$I$5:$I$489, '📋 Detalle Diario'!$B$5:$B$489, B1074, '📋 Detalle Diario'!$C$5:$C$489, D1074) * 200), 0))</f>
        <v/>
      </c>
      <c r="P1074" s="32" t="str">
        <f t="shared" si="117"/>
        <v/>
      </c>
      <c r="Q1074" s="33" t="str">
        <f t="shared" si="118"/>
        <v/>
      </c>
    </row>
    <row r="1075" spans="2:17" ht="18" customHeight="1" x14ac:dyDescent="0.3">
      <c r="B1075" s="26"/>
      <c r="C1075" s="28"/>
      <c r="D1075" s="27"/>
      <c r="E1075" s="29"/>
      <c r="F1075" s="29"/>
      <c r="G1075" s="29"/>
      <c r="H1075" s="30" t="str">
        <f t="shared" si="112"/>
        <v/>
      </c>
      <c r="I1075" s="31" t="str">
        <f>IF(OR(B1075="",C1075=""),"",IFERROR(E1075*IF(E1075="",0,VLOOKUP(C1075,'📦 Precios Proforma'!$B$5:$D$104,IF(D1075="DIA",2,3),FALSE)),0))</f>
        <v/>
      </c>
      <c r="J1075" s="31" t="str">
        <f t="shared" si="113"/>
        <v/>
      </c>
      <c r="K1075" s="31" t="str">
        <f t="shared" si="114"/>
        <v/>
      </c>
      <c r="L1075" s="31" t="str">
        <f>IF(OR(B1075="",C1075=""),"",IFERROR(E1075 / SUMIFS('📅 Resumen Diario'!$D$5:$D$504, '📅 Resumen Diario'!$B$5:$B$504, B1075, '📅 Resumen Diario'!$C$5:$C$504, D1075) * SUMIFS('📅 Resumen Diario'!$K$5:$K$504, '📅 Resumen Diario'!$B$5:$B$504, B1075, '📅 Resumen Diario'!$C$5:$C$504, D1075), 0))</f>
        <v/>
      </c>
      <c r="M1075" s="31" t="str">
        <f t="shared" si="115"/>
        <v/>
      </c>
      <c r="N1075" s="31" t="str">
        <f t="shared" si="116"/>
        <v/>
      </c>
      <c r="O1075" s="31" t="str">
        <f>IF(OR(B1075="",C1075=""),"",K1075-N1075 + IFERROR(E1075 / SUMIFS('📅 Resumen Diario'!$D$5:$D$504, '📅 Resumen Diario'!$B$5:$B$504, B1075, '📅 Resumen Diario'!$C$5:$C$504, D1075) * (SUMIFS('📋 Detalle Diario'!$E$5:$E$489, '📋 Detalle Diario'!$B$5:$B$489, B1075, '📋 Detalle Diario'!$C$5:$C$489, D1075) * 135 + SUMIFS('📋 Detalle Diario'!$I$5:$I$489, '📋 Detalle Diario'!$B$5:$B$489, B1075, '📋 Detalle Diario'!$C$5:$C$489, D1075) * 200), 0))</f>
        <v/>
      </c>
      <c r="P1075" s="32" t="str">
        <f t="shared" si="117"/>
        <v/>
      </c>
      <c r="Q1075" s="33" t="str">
        <f t="shared" si="118"/>
        <v/>
      </c>
    </row>
    <row r="1076" spans="2:17" ht="18" customHeight="1" x14ac:dyDescent="0.3">
      <c r="B1076" s="26"/>
      <c r="C1076" s="17"/>
      <c r="D1076" s="27"/>
      <c r="E1076" s="18"/>
      <c r="F1076" s="18"/>
      <c r="G1076" s="18"/>
      <c r="H1076" s="30" t="str">
        <f t="shared" si="112"/>
        <v/>
      </c>
      <c r="I1076" s="31" t="str">
        <f>IF(OR(B1076="",C1076=""),"",IFERROR(E1076*IF(E1076="",0,VLOOKUP(C1076,'📦 Precios Proforma'!$B$5:$D$104,IF(D1076="DIA",2,3),FALSE)),0))</f>
        <v/>
      </c>
      <c r="J1076" s="31" t="str">
        <f t="shared" si="113"/>
        <v/>
      </c>
      <c r="K1076" s="31" t="str">
        <f t="shared" si="114"/>
        <v/>
      </c>
      <c r="L1076" s="31" t="str">
        <f>IF(OR(B1076="",C1076=""),"",IFERROR(E1076 / SUMIFS('📅 Resumen Diario'!$D$5:$D$504, '📅 Resumen Diario'!$B$5:$B$504, B1076, '📅 Resumen Diario'!$C$5:$C$504, D1076) * SUMIFS('📅 Resumen Diario'!$K$5:$K$504, '📅 Resumen Diario'!$B$5:$B$504, B1076, '📅 Resumen Diario'!$C$5:$C$504, D1076), 0))</f>
        <v/>
      </c>
      <c r="M1076" s="31" t="str">
        <f t="shared" si="115"/>
        <v/>
      </c>
      <c r="N1076" s="31" t="str">
        <f t="shared" si="116"/>
        <v/>
      </c>
      <c r="O1076" s="31" t="str">
        <f>IF(OR(B1076="",C1076=""),"",K1076-N1076 + IFERROR(E1076 / SUMIFS('📅 Resumen Diario'!$D$5:$D$504, '📅 Resumen Diario'!$B$5:$B$504, B1076, '📅 Resumen Diario'!$C$5:$C$504, D1076) * (SUMIFS('📋 Detalle Diario'!$E$5:$E$489, '📋 Detalle Diario'!$B$5:$B$489, B1076, '📋 Detalle Diario'!$C$5:$C$489, D1076) * 135 + SUMIFS('📋 Detalle Diario'!$I$5:$I$489, '📋 Detalle Diario'!$B$5:$B$489, B1076, '📋 Detalle Diario'!$C$5:$C$489, D1076) * 200), 0))</f>
        <v/>
      </c>
      <c r="P1076" s="32" t="str">
        <f t="shared" si="117"/>
        <v/>
      </c>
      <c r="Q1076" s="33" t="str">
        <f t="shared" si="118"/>
        <v/>
      </c>
    </row>
    <row r="1077" spans="2:17" ht="18" customHeight="1" x14ac:dyDescent="0.3">
      <c r="B1077" s="26"/>
      <c r="C1077" s="28"/>
      <c r="D1077" s="27"/>
      <c r="E1077" s="29"/>
      <c r="F1077" s="29"/>
      <c r="G1077" s="29"/>
      <c r="H1077" s="30" t="str">
        <f t="shared" si="112"/>
        <v/>
      </c>
      <c r="I1077" s="31" t="str">
        <f>IF(OR(B1077="",C1077=""),"",IFERROR(E1077*IF(E1077="",0,VLOOKUP(C1077,'📦 Precios Proforma'!$B$5:$D$104,IF(D1077="DIA",2,3),FALSE)),0))</f>
        <v/>
      </c>
      <c r="J1077" s="31" t="str">
        <f t="shared" si="113"/>
        <v/>
      </c>
      <c r="K1077" s="31" t="str">
        <f t="shared" si="114"/>
        <v/>
      </c>
      <c r="L1077" s="31" t="str">
        <f>IF(OR(B1077="",C1077=""),"",IFERROR(E1077 / SUMIFS('📅 Resumen Diario'!$D$5:$D$504, '📅 Resumen Diario'!$B$5:$B$504, B1077, '📅 Resumen Diario'!$C$5:$C$504, D1077) * SUMIFS('📅 Resumen Diario'!$K$5:$K$504, '📅 Resumen Diario'!$B$5:$B$504, B1077, '📅 Resumen Diario'!$C$5:$C$504, D1077), 0))</f>
        <v/>
      </c>
      <c r="M1077" s="31" t="str">
        <f t="shared" si="115"/>
        <v/>
      </c>
      <c r="N1077" s="31" t="str">
        <f t="shared" si="116"/>
        <v/>
      </c>
      <c r="O1077" s="31" t="str">
        <f>IF(OR(B1077="",C1077=""),"",K1077-N1077 + IFERROR(E1077 / SUMIFS('📅 Resumen Diario'!$D$5:$D$504, '📅 Resumen Diario'!$B$5:$B$504, B1077, '📅 Resumen Diario'!$C$5:$C$504, D1077) * (SUMIFS('📋 Detalle Diario'!$E$5:$E$489, '📋 Detalle Diario'!$B$5:$B$489, B1077, '📋 Detalle Diario'!$C$5:$C$489, D1077) * 135 + SUMIFS('📋 Detalle Diario'!$I$5:$I$489, '📋 Detalle Diario'!$B$5:$B$489, B1077, '📋 Detalle Diario'!$C$5:$C$489, D1077) * 200), 0))</f>
        <v/>
      </c>
      <c r="P1077" s="32" t="str">
        <f t="shared" si="117"/>
        <v/>
      </c>
      <c r="Q1077" s="33" t="str">
        <f t="shared" si="118"/>
        <v/>
      </c>
    </row>
    <row r="1078" spans="2:17" ht="18" customHeight="1" x14ac:dyDescent="0.3">
      <c r="B1078" s="26"/>
      <c r="C1078" s="17"/>
      <c r="D1078" s="27"/>
      <c r="E1078" s="18"/>
      <c r="F1078" s="18"/>
      <c r="G1078" s="18"/>
      <c r="H1078" s="30" t="str">
        <f t="shared" si="112"/>
        <v/>
      </c>
      <c r="I1078" s="31" t="str">
        <f>IF(OR(B1078="",C1078=""),"",IFERROR(E1078*IF(E1078="",0,VLOOKUP(C1078,'📦 Precios Proforma'!$B$5:$D$104,IF(D1078="DIA",2,3),FALSE)),0))</f>
        <v/>
      </c>
      <c r="J1078" s="31" t="str">
        <f t="shared" si="113"/>
        <v/>
      </c>
      <c r="K1078" s="31" t="str">
        <f t="shared" si="114"/>
        <v/>
      </c>
      <c r="L1078" s="31" t="str">
        <f>IF(OR(B1078="",C1078=""),"",IFERROR(E1078 / SUMIFS('📅 Resumen Diario'!$D$5:$D$504, '📅 Resumen Diario'!$B$5:$B$504, B1078, '📅 Resumen Diario'!$C$5:$C$504, D1078) * SUMIFS('📅 Resumen Diario'!$K$5:$K$504, '📅 Resumen Diario'!$B$5:$B$504, B1078, '📅 Resumen Diario'!$C$5:$C$504, D1078), 0))</f>
        <v/>
      </c>
      <c r="M1078" s="31" t="str">
        <f t="shared" si="115"/>
        <v/>
      </c>
      <c r="N1078" s="31" t="str">
        <f t="shared" si="116"/>
        <v/>
      </c>
      <c r="O1078" s="31" t="str">
        <f>IF(OR(B1078="",C1078=""),"",K1078-N1078 + IFERROR(E1078 / SUMIFS('📅 Resumen Diario'!$D$5:$D$504, '📅 Resumen Diario'!$B$5:$B$504, B1078, '📅 Resumen Diario'!$C$5:$C$504, D1078) * (SUMIFS('📋 Detalle Diario'!$E$5:$E$489, '📋 Detalle Diario'!$B$5:$B$489, B1078, '📋 Detalle Diario'!$C$5:$C$489, D1078) * 135 + SUMIFS('📋 Detalle Diario'!$I$5:$I$489, '📋 Detalle Diario'!$B$5:$B$489, B1078, '📋 Detalle Diario'!$C$5:$C$489, D1078) * 200), 0))</f>
        <v/>
      </c>
      <c r="P1078" s="32" t="str">
        <f t="shared" si="117"/>
        <v/>
      </c>
      <c r="Q1078" s="33" t="str">
        <f t="shared" si="118"/>
        <v/>
      </c>
    </row>
    <row r="1079" spans="2:17" ht="18" customHeight="1" x14ac:dyDescent="0.3">
      <c r="B1079" s="26"/>
      <c r="C1079" s="28"/>
      <c r="D1079" s="27"/>
      <c r="E1079" s="29"/>
      <c r="F1079" s="29"/>
      <c r="G1079" s="29"/>
      <c r="H1079" s="30" t="str">
        <f t="shared" si="112"/>
        <v/>
      </c>
      <c r="I1079" s="31" t="str">
        <f>IF(OR(B1079="",C1079=""),"",IFERROR(E1079*IF(E1079="",0,VLOOKUP(C1079,'📦 Precios Proforma'!$B$5:$D$104,IF(D1079="DIA",2,3),FALSE)),0))</f>
        <v/>
      </c>
      <c r="J1079" s="31" t="str">
        <f t="shared" si="113"/>
        <v/>
      </c>
      <c r="K1079" s="31" t="str">
        <f t="shared" si="114"/>
        <v/>
      </c>
      <c r="L1079" s="31" t="str">
        <f>IF(OR(B1079="",C1079=""),"",IFERROR(E1079 / SUMIFS('📅 Resumen Diario'!$D$5:$D$504, '📅 Resumen Diario'!$B$5:$B$504, B1079, '📅 Resumen Diario'!$C$5:$C$504, D1079) * SUMIFS('📅 Resumen Diario'!$K$5:$K$504, '📅 Resumen Diario'!$B$5:$B$504, B1079, '📅 Resumen Diario'!$C$5:$C$504, D1079), 0))</f>
        <v/>
      </c>
      <c r="M1079" s="31" t="str">
        <f t="shared" si="115"/>
        <v/>
      </c>
      <c r="N1079" s="31" t="str">
        <f t="shared" si="116"/>
        <v/>
      </c>
      <c r="O1079" s="31" t="str">
        <f>IF(OR(B1079="",C1079=""),"",K1079-N1079 + IFERROR(E1079 / SUMIFS('📅 Resumen Diario'!$D$5:$D$504, '📅 Resumen Diario'!$B$5:$B$504, B1079, '📅 Resumen Diario'!$C$5:$C$504, D1079) * (SUMIFS('📋 Detalle Diario'!$E$5:$E$489, '📋 Detalle Diario'!$B$5:$B$489, B1079, '📋 Detalle Diario'!$C$5:$C$489, D1079) * 135 + SUMIFS('📋 Detalle Diario'!$I$5:$I$489, '📋 Detalle Diario'!$B$5:$B$489, B1079, '📋 Detalle Diario'!$C$5:$C$489, D1079) * 200), 0))</f>
        <v/>
      </c>
      <c r="P1079" s="32" t="str">
        <f t="shared" si="117"/>
        <v/>
      </c>
      <c r="Q1079" s="33" t="str">
        <f t="shared" si="118"/>
        <v/>
      </c>
    </row>
    <row r="1080" spans="2:17" ht="18" customHeight="1" x14ac:dyDescent="0.3">
      <c r="B1080" s="26"/>
      <c r="C1080" s="17"/>
      <c r="D1080" s="27"/>
      <c r="E1080" s="18"/>
      <c r="F1080" s="18"/>
      <c r="G1080" s="18"/>
      <c r="H1080" s="30" t="str">
        <f t="shared" si="112"/>
        <v/>
      </c>
      <c r="I1080" s="31" t="str">
        <f>IF(OR(B1080="",C1080=""),"",IFERROR(E1080*IF(E1080="",0,VLOOKUP(C1080,'📦 Precios Proforma'!$B$5:$D$104,IF(D1080="DIA",2,3),FALSE)),0))</f>
        <v/>
      </c>
      <c r="J1080" s="31" t="str">
        <f t="shared" si="113"/>
        <v/>
      </c>
      <c r="K1080" s="31" t="str">
        <f t="shared" si="114"/>
        <v/>
      </c>
      <c r="L1080" s="31" t="str">
        <f>IF(OR(B1080="",C1080=""),"",IFERROR(E1080 / SUMIFS('📅 Resumen Diario'!$D$5:$D$504, '📅 Resumen Diario'!$B$5:$B$504, B1080, '📅 Resumen Diario'!$C$5:$C$504, D1080) * SUMIFS('📅 Resumen Diario'!$K$5:$K$504, '📅 Resumen Diario'!$B$5:$B$504, B1080, '📅 Resumen Diario'!$C$5:$C$504, D1080), 0))</f>
        <v/>
      </c>
      <c r="M1080" s="31" t="str">
        <f t="shared" si="115"/>
        <v/>
      </c>
      <c r="N1080" s="31" t="str">
        <f t="shared" si="116"/>
        <v/>
      </c>
      <c r="O1080" s="31" t="str">
        <f>IF(OR(B1080="",C1080=""),"",K1080-N1080 + IFERROR(E1080 / SUMIFS('📅 Resumen Diario'!$D$5:$D$504, '📅 Resumen Diario'!$B$5:$B$504, B1080, '📅 Resumen Diario'!$C$5:$C$504, D1080) * (SUMIFS('📋 Detalle Diario'!$E$5:$E$489, '📋 Detalle Diario'!$B$5:$B$489, B1080, '📋 Detalle Diario'!$C$5:$C$489, D1080) * 135 + SUMIFS('📋 Detalle Diario'!$I$5:$I$489, '📋 Detalle Diario'!$B$5:$B$489, B1080, '📋 Detalle Diario'!$C$5:$C$489, D1080) * 200), 0))</f>
        <v/>
      </c>
      <c r="P1080" s="32" t="str">
        <f t="shared" si="117"/>
        <v/>
      </c>
      <c r="Q1080" s="33" t="str">
        <f t="shared" si="118"/>
        <v/>
      </c>
    </row>
    <row r="1081" spans="2:17" ht="18" customHeight="1" x14ac:dyDescent="0.3">
      <c r="B1081" s="26"/>
      <c r="C1081" s="28"/>
      <c r="D1081" s="27"/>
      <c r="E1081" s="29"/>
      <c r="F1081" s="29"/>
      <c r="G1081" s="29"/>
      <c r="H1081" s="30" t="str">
        <f t="shared" si="112"/>
        <v/>
      </c>
      <c r="I1081" s="31" t="str">
        <f>IF(OR(B1081="",C1081=""),"",IFERROR(E1081*IF(E1081="",0,VLOOKUP(C1081,'📦 Precios Proforma'!$B$5:$D$104,IF(D1081="DIA",2,3),FALSE)),0))</f>
        <v/>
      </c>
      <c r="J1081" s="31" t="str">
        <f t="shared" si="113"/>
        <v/>
      </c>
      <c r="K1081" s="31" t="str">
        <f t="shared" si="114"/>
        <v/>
      </c>
      <c r="L1081" s="31" t="str">
        <f>IF(OR(B1081="",C1081=""),"",IFERROR(E1081 / SUMIFS('📅 Resumen Diario'!$D$5:$D$504, '📅 Resumen Diario'!$B$5:$B$504, B1081, '📅 Resumen Diario'!$C$5:$C$504, D1081) * SUMIFS('📅 Resumen Diario'!$K$5:$K$504, '📅 Resumen Diario'!$B$5:$B$504, B1081, '📅 Resumen Diario'!$C$5:$C$504, D1081), 0))</f>
        <v/>
      </c>
      <c r="M1081" s="31" t="str">
        <f t="shared" si="115"/>
        <v/>
      </c>
      <c r="N1081" s="31" t="str">
        <f t="shared" si="116"/>
        <v/>
      </c>
      <c r="O1081" s="31" t="str">
        <f>IF(OR(B1081="",C1081=""),"",K1081-N1081 + IFERROR(E1081 / SUMIFS('📅 Resumen Diario'!$D$5:$D$504, '📅 Resumen Diario'!$B$5:$B$504, B1081, '📅 Resumen Diario'!$C$5:$C$504, D1081) * (SUMIFS('📋 Detalle Diario'!$E$5:$E$489, '📋 Detalle Diario'!$B$5:$B$489, B1081, '📋 Detalle Diario'!$C$5:$C$489, D1081) * 135 + SUMIFS('📋 Detalle Diario'!$I$5:$I$489, '📋 Detalle Diario'!$B$5:$B$489, B1081, '📋 Detalle Diario'!$C$5:$C$489, D1081) * 200), 0))</f>
        <v/>
      </c>
      <c r="P1081" s="32" t="str">
        <f t="shared" si="117"/>
        <v/>
      </c>
      <c r="Q1081" s="33" t="str">
        <f t="shared" si="118"/>
        <v/>
      </c>
    </row>
    <row r="1082" spans="2:17" ht="18" customHeight="1" x14ac:dyDescent="0.3">
      <c r="B1082" s="26"/>
      <c r="C1082" s="17"/>
      <c r="D1082" s="27"/>
      <c r="E1082" s="18"/>
      <c r="F1082" s="18"/>
      <c r="G1082" s="18"/>
      <c r="H1082" s="30" t="str">
        <f t="shared" si="112"/>
        <v/>
      </c>
      <c r="I1082" s="31" t="str">
        <f>IF(OR(B1082="",C1082=""),"",IFERROR(E1082*IF(E1082="",0,VLOOKUP(C1082,'📦 Precios Proforma'!$B$5:$D$104,IF(D1082="DIA",2,3),FALSE)),0))</f>
        <v/>
      </c>
      <c r="J1082" s="31" t="str">
        <f t="shared" si="113"/>
        <v/>
      </c>
      <c r="K1082" s="31" t="str">
        <f t="shared" si="114"/>
        <v/>
      </c>
      <c r="L1082" s="31" t="str">
        <f>IF(OR(B1082="",C1082=""),"",IFERROR(E1082 / SUMIFS('📅 Resumen Diario'!$D$5:$D$504, '📅 Resumen Diario'!$B$5:$B$504, B1082, '📅 Resumen Diario'!$C$5:$C$504, D1082) * SUMIFS('📅 Resumen Diario'!$K$5:$K$504, '📅 Resumen Diario'!$B$5:$B$504, B1082, '📅 Resumen Diario'!$C$5:$C$504, D1082), 0))</f>
        <v/>
      </c>
      <c r="M1082" s="31" t="str">
        <f t="shared" si="115"/>
        <v/>
      </c>
      <c r="N1082" s="31" t="str">
        <f t="shared" si="116"/>
        <v/>
      </c>
      <c r="O1082" s="31" t="str">
        <f>IF(OR(B1082="",C1082=""),"",K1082-N1082 + IFERROR(E1082 / SUMIFS('📅 Resumen Diario'!$D$5:$D$504, '📅 Resumen Diario'!$B$5:$B$504, B1082, '📅 Resumen Diario'!$C$5:$C$504, D1082) * (SUMIFS('📋 Detalle Diario'!$E$5:$E$489, '📋 Detalle Diario'!$B$5:$B$489, B1082, '📋 Detalle Diario'!$C$5:$C$489, D1082) * 135 + SUMIFS('📋 Detalle Diario'!$I$5:$I$489, '📋 Detalle Diario'!$B$5:$B$489, B1082, '📋 Detalle Diario'!$C$5:$C$489, D1082) * 200), 0))</f>
        <v/>
      </c>
      <c r="P1082" s="32" t="str">
        <f t="shared" si="117"/>
        <v/>
      </c>
      <c r="Q1082" s="33" t="str">
        <f t="shared" si="118"/>
        <v/>
      </c>
    </row>
    <row r="1083" spans="2:17" ht="18" customHeight="1" x14ac:dyDescent="0.3">
      <c r="B1083" s="26"/>
      <c r="C1083" s="28"/>
      <c r="D1083" s="27"/>
      <c r="E1083" s="29"/>
      <c r="F1083" s="29"/>
      <c r="G1083" s="29"/>
      <c r="H1083" s="30" t="str">
        <f t="shared" si="112"/>
        <v/>
      </c>
      <c r="I1083" s="31" t="str">
        <f>IF(OR(B1083="",C1083=""),"",IFERROR(E1083*IF(E1083="",0,VLOOKUP(C1083,'📦 Precios Proforma'!$B$5:$D$104,IF(D1083="DIA",2,3),FALSE)),0))</f>
        <v/>
      </c>
      <c r="J1083" s="31" t="str">
        <f t="shared" si="113"/>
        <v/>
      </c>
      <c r="K1083" s="31" t="str">
        <f t="shared" si="114"/>
        <v/>
      </c>
      <c r="L1083" s="31" t="str">
        <f>IF(OR(B1083="",C1083=""),"",IFERROR(E1083 / SUMIFS('📅 Resumen Diario'!$D$5:$D$504, '📅 Resumen Diario'!$B$5:$B$504, B1083, '📅 Resumen Diario'!$C$5:$C$504, D1083) * SUMIFS('📅 Resumen Diario'!$K$5:$K$504, '📅 Resumen Diario'!$B$5:$B$504, B1083, '📅 Resumen Diario'!$C$5:$C$504, D1083), 0))</f>
        <v/>
      </c>
      <c r="M1083" s="31" t="str">
        <f t="shared" si="115"/>
        <v/>
      </c>
      <c r="N1083" s="31" t="str">
        <f t="shared" si="116"/>
        <v/>
      </c>
      <c r="O1083" s="31" t="str">
        <f>IF(OR(B1083="",C1083=""),"",K1083-N1083 + IFERROR(E1083 / SUMIFS('📅 Resumen Diario'!$D$5:$D$504, '📅 Resumen Diario'!$B$5:$B$504, B1083, '📅 Resumen Diario'!$C$5:$C$504, D1083) * (SUMIFS('📋 Detalle Diario'!$E$5:$E$489, '📋 Detalle Diario'!$B$5:$B$489, B1083, '📋 Detalle Diario'!$C$5:$C$489, D1083) * 135 + SUMIFS('📋 Detalle Diario'!$I$5:$I$489, '📋 Detalle Diario'!$B$5:$B$489, B1083, '📋 Detalle Diario'!$C$5:$C$489, D1083) * 200), 0))</f>
        <v/>
      </c>
      <c r="P1083" s="32" t="str">
        <f t="shared" si="117"/>
        <v/>
      </c>
      <c r="Q1083" s="33" t="str">
        <f t="shared" si="118"/>
        <v/>
      </c>
    </row>
    <row r="1084" spans="2:17" ht="18" customHeight="1" x14ac:dyDescent="0.3">
      <c r="B1084" s="26"/>
      <c r="C1084" s="17"/>
      <c r="D1084" s="27"/>
      <c r="E1084" s="18"/>
      <c r="F1084" s="18"/>
      <c r="G1084" s="18"/>
      <c r="H1084" s="30" t="str">
        <f t="shared" si="112"/>
        <v/>
      </c>
      <c r="I1084" s="31" t="str">
        <f>IF(OR(B1084="",C1084=""),"",IFERROR(E1084*IF(E1084="",0,VLOOKUP(C1084,'📦 Precios Proforma'!$B$5:$D$104,IF(D1084="DIA",2,3),FALSE)),0))</f>
        <v/>
      </c>
      <c r="J1084" s="31" t="str">
        <f t="shared" si="113"/>
        <v/>
      </c>
      <c r="K1084" s="31" t="str">
        <f t="shared" si="114"/>
        <v/>
      </c>
      <c r="L1084" s="31" t="str">
        <f>IF(OR(B1084="",C1084=""),"",IFERROR(E1084 / SUMIFS('📅 Resumen Diario'!$D$5:$D$504, '📅 Resumen Diario'!$B$5:$B$504, B1084, '📅 Resumen Diario'!$C$5:$C$504, D1084) * SUMIFS('📅 Resumen Diario'!$K$5:$K$504, '📅 Resumen Diario'!$B$5:$B$504, B1084, '📅 Resumen Diario'!$C$5:$C$504, D1084), 0))</f>
        <v/>
      </c>
      <c r="M1084" s="31" t="str">
        <f t="shared" si="115"/>
        <v/>
      </c>
      <c r="N1084" s="31" t="str">
        <f t="shared" si="116"/>
        <v/>
      </c>
      <c r="O1084" s="31" t="str">
        <f>IF(OR(B1084="",C1084=""),"",K1084-N1084 + IFERROR(E1084 / SUMIFS('📅 Resumen Diario'!$D$5:$D$504, '📅 Resumen Diario'!$B$5:$B$504, B1084, '📅 Resumen Diario'!$C$5:$C$504, D1084) * (SUMIFS('📋 Detalle Diario'!$E$5:$E$489, '📋 Detalle Diario'!$B$5:$B$489, B1084, '📋 Detalle Diario'!$C$5:$C$489, D1084) * 135 + SUMIFS('📋 Detalle Diario'!$I$5:$I$489, '📋 Detalle Diario'!$B$5:$B$489, B1084, '📋 Detalle Diario'!$C$5:$C$489, D1084) * 200), 0))</f>
        <v/>
      </c>
      <c r="P1084" s="32" t="str">
        <f t="shared" si="117"/>
        <v/>
      </c>
      <c r="Q1084" s="33" t="str">
        <f t="shared" si="118"/>
        <v/>
      </c>
    </row>
    <row r="1085" spans="2:17" ht="18" customHeight="1" x14ac:dyDescent="0.3">
      <c r="B1085" s="26"/>
      <c r="C1085" s="28"/>
      <c r="D1085" s="27"/>
      <c r="E1085" s="29"/>
      <c r="F1085" s="29"/>
      <c r="G1085" s="29"/>
      <c r="H1085" s="30" t="str">
        <f t="shared" si="112"/>
        <v/>
      </c>
      <c r="I1085" s="31" t="str">
        <f>IF(OR(B1085="",C1085=""),"",IFERROR(E1085*IF(E1085="",0,VLOOKUP(C1085,'📦 Precios Proforma'!$B$5:$D$104,IF(D1085="DIA",2,3),FALSE)),0))</f>
        <v/>
      </c>
      <c r="J1085" s="31" t="str">
        <f t="shared" si="113"/>
        <v/>
      </c>
      <c r="K1085" s="31" t="str">
        <f t="shared" si="114"/>
        <v/>
      </c>
      <c r="L1085" s="31" t="str">
        <f>IF(OR(B1085="",C1085=""),"",IFERROR(E1085 / SUMIFS('📅 Resumen Diario'!$D$5:$D$504, '📅 Resumen Diario'!$B$5:$B$504, B1085, '📅 Resumen Diario'!$C$5:$C$504, D1085) * SUMIFS('📅 Resumen Diario'!$K$5:$K$504, '📅 Resumen Diario'!$B$5:$B$504, B1085, '📅 Resumen Diario'!$C$5:$C$504, D1085), 0))</f>
        <v/>
      </c>
      <c r="M1085" s="31" t="str">
        <f t="shared" si="115"/>
        <v/>
      </c>
      <c r="N1085" s="31" t="str">
        <f t="shared" si="116"/>
        <v/>
      </c>
      <c r="O1085" s="31" t="str">
        <f>IF(OR(B1085="",C1085=""),"",K1085-N1085 + IFERROR(E1085 / SUMIFS('📅 Resumen Diario'!$D$5:$D$504, '📅 Resumen Diario'!$B$5:$B$504, B1085, '📅 Resumen Diario'!$C$5:$C$504, D1085) * (SUMIFS('📋 Detalle Diario'!$E$5:$E$489, '📋 Detalle Diario'!$B$5:$B$489, B1085, '📋 Detalle Diario'!$C$5:$C$489, D1085) * 135 + SUMIFS('📋 Detalle Diario'!$I$5:$I$489, '📋 Detalle Diario'!$B$5:$B$489, B1085, '📋 Detalle Diario'!$C$5:$C$489, D1085) * 200), 0))</f>
        <v/>
      </c>
      <c r="P1085" s="32" t="str">
        <f t="shared" si="117"/>
        <v/>
      </c>
      <c r="Q1085" s="33" t="str">
        <f t="shared" si="118"/>
        <v/>
      </c>
    </row>
    <row r="1086" spans="2:17" ht="18" customHeight="1" x14ac:dyDescent="0.3">
      <c r="B1086" s="26"/>
      <c r="C1086" s="17"/>
      <c r="D1086" s="27"/>
      <c r="E1086" s="18"/>
      <c r="F1086" s="18"/>
      <c r="G1086" s="18"/>
      <c r="H1086" s="30" t="str">
        <f t="shared" si="112"/>
        <v/>
      </c>
      <c r="I1086" s="31" t="str">
        <f>IF(OR(B1086="",C1086=""),"",IFERROR(E1086*IF(E1086="",0,VLOOKUP(C1086,'📦 Precios Proforma'!$B$5:$D$104,IF(D1086="DIA",2,3),FALSE)),0))</f>
        <v/>
      </c>
      <c r="J1086" s="31" t="str">
        <f t="shared" si="113"/>
        <v/>
      </c>
      <c r="K1086" s="31" t="str">
        <f t="shared" si="114"/>
        <v/>
      </c>
      <c r="L1086" s="31" t="str">
        <f>IF(OR(B1086="",C1086=""),"",IFERROR(E1086 / SUMIFS('📅 Resumen Diario'!$D$5:$D$504, '📅 Resumen Diario'!$B$5:$B$504, B1086, '📅 Resumen Diario'!$C$5:$C$504, D1086) * SUMIFS('📅 Resumen Diario'!$K$5:$K$504, '📅 Resumen Diario'!$B$5:$B$504, B1086, '📅 Resumen Diario'!$C$5:$C$504, D1086), 0))</f>
        <v/>
      </c>
      <c r="M1086" s="31" t="str">
        <f t="shared" si="115"/>
        <v/>
      </c>
      <c r="N1086" s="31" t="str">
        <f t="shared" si="116"/>
        <v/>
      </c>
      <c r="O1086" s="31" t="str">
        <f>IF(OR(B1086="",C1086=""),"",K1086-N1086 + IFERROR(E1086 / SUMIFS('📅 Resumen Diario'!$D$5:$D$504, '📅 Resumen Diario'!$B$5:$B$504, B1086, '📅 Resumen Diario'!$C$5:$C$504, D1086) * (SUMIFS('📋 Detalle Diario'!$E$5:$E$489, '📋 Detalle Diario'!$B$5:$B$489, B1086, '📋 Detalle Diario'!$C$5:$C$489, D1086) * 135 + SUMIFS('📋 Detalle Diario'!$I$5:$I$489, '📋 Detalle Diario'!$B$5:$B$489, B1086, '📋 Detalle Diario'!$C$5:$C$489, D1086) * 200), 0))</f>
        <v/>
      </c>
      <c r="P1086" s="32" t="str">
        <f t="shared" si="117"/>
        <v/>
      </c>
      <c r="Q1086" s="33" t="str">
        <f t="shared" si="118"/>
        <v/>
      </c>
    </row>
    <row r="1087" spans="2:17" ht="18" customHeight="1" x14ac:dyDescent="0.3">
      <c r="B1087" s="26"/>
      <c r="C1087" s="28"/>
      <c r="D1087" s="27"/>
      <c r="E1087" s="29"/>
      <c r="F1087" s="29"/>
      <c r="G1087" s="29"/>
      <c r="H1087" s="30" t="str">
        <f t="shared" si="112"/>
        <v/>
      </c>
      <c r="I1087" s="31" t="str">
        <f>IF(OR(B1087="",C1087=""),"",IFERROR(E1087*IF(E1087="",0,VLOOKUP(C1087,'📦 Precios Proforma'!$B$5:$D$104,IF(D1087="DIA",2,3),FALSE)),0))</f>
        <v/>
      </c>
      <c r="J1087" s="31" t="str">
        <f t="shared" si="113"/>
        <v/>
      </c>
      <c r="K1087" s="31" t="str">
        <f t="shared" si="114"/>
        <v/>
      </c>
      <c r="L1087" s="31" t="str">
        <f>IF(OR(B1087="",C1087=""),"",IFERROR(E1087 / SUMIFS('📅 Resumen Diario'!$D$5:$D$504, '📅 Resumen Diario'!$B$5:$B$504, B1087, '📅 Resumen Diario'!$C$5:$C$504, D1087) * SUMIFS('📅 Resumen Diario'!$K$5:$K$504, '📅 Resumen Diario'!$B$5:$B$504, B1087, '📅 Resumen Diario'!$C$5:$C$504, D1087), 0))</f>
        <v/>
      </c>
      <c r="M1087" s="31" t="str">
        <f t="shared" si="115"/>
        <v/>
      </c>
      <c r="N1087" s="31" t="str">
        <f t="shared" si="116"/>
        <v/>
      </c>
      <c r="O1087" s="31" t="str">
        <f>IF(OR(B1087="",C1087=""),"",K1087-N1087 + IFERROR(E1087 / SUMIFS('📅 Resumen Diario'!$D$5:$D$504, '📅 Resumen Diario'!$B$5:$B$504, B1087, '📅 Resumen Diario'!$C$5:$C$504, D1087) * (SUMIFS('📋 Detalle Diario'!$E$5:$E$489, '📋 Detalle Diario'!$B$5:$B$489, B1087, '📋 Detalle Diario'!$C$5:$C$489, D1087) * 135 + SUMIFS('📋 Detalle Diario'!$I$5:$I$489, '📋 Detalle Diario'!$B$5:$B$489, B1087, '📋 Detalle Diario'!$C$5:$C$489, D1087) * 200), 0))</f>
        <v/>
      </c>
      <c r="P1087" s="32" t="str">
        <f t="shared" si="117"/>
        <v/>
      </c>
      <c r="Q1087" s="33" t="str">
        <f t="shared" si="118"/>
        <v/>
      </c>
    </row>
    <row r="1088" spans="2:17" ht="18" customHeight="1" x14ac:dyDescent="0.3">
      <c r="B1088" s="26"/>
      <c r="C1088" s="17"/>
      <c r="D1088" s="27"/>
      <c r="E1088" s="18"/>
      <c r="F1088" s="18"/>
      <c r="G1088" s="18"/>
      <c r="H1088" s="30" t="str">
        <f t="shared" si="112"/>
        <v/>
      </c>
      <c r="I1088" s="31" t="str">
        <f>IF(OR(B1088="",C1088=""),"",IFERROR(E1088*IF(E1088="",0,VLOOKUP(C1088,'📦 Precios Proforma'!$B$5:$D$104,IF(D1088="DIA",2,3),FALSE)),0))</f>
        <v/>
      </c>
      <c r="J1088" s="31" t="str">
        <f t="shared" si="113"/>
        <v/>
      </c>
      <c r="K1088" s="31" t="str">
        <f t="shared" si="114"/>
        <v/>
      </c>
      <c r="L1088" s="31" t="str">
        <f>IF(OR(B1088="",C1088=""),"",IFERROR(E1088 / SUMIFS('📅 Resumen Diario'!$D$5:$D$504, '📅 Resumen Diario'!$B$5:$B$504, B1088, '📅 Resumen Diario'!$C$5:$C$504, D1088) * SUMIFS('📅 Resumen Diario'!$K$5:$K$504, '📅 Resumen Diario'!$B$5:$B$504, B1088, '📅 Resumen Diario'!$C$5:$C$504, D1088), 0))</f>
        <v/>
      </c>
      <c r="M1088" s="31" t="str">
        <f t="shared" si="115"/>
        <v/>
      </c>
      <c r="N1088" s="31" t="str">
        <f t="shared" si="116"/>
        <v/>
      </c>
      <c r="O1088" s="31" t="str">
        <f>IF(OR(B1088="",C1088=""),"",K1088-N1088 + IFERROR(E1088 / SUMIFS('📅 Resumen Diario'!$D$5:$D$504, '📅 Resumen Diario'!$B$5:$B$504, B1088, '📅 Resumen Diario'!$C$5:$C$504, D1088) * (SUMIFS('📋 Detalle Diario'!$E$5:$E$489, '📋 Detalle Diario'!$B$5:$B$489, B1088, '📋 Detalle Diario'!$C$5:$C$489, D1088) * 135 + SUMIFS('📋 Detalle Diario'!$I$5:$I$489, '📋 Detalle Diario'!$B$5:$B$489, B1088, '📋 Detalle Diario'!$C$5:$C$489, D1088) * 200), 0))</f>
        <v/>
      </c>
      <c r="P1088" s="32" t="str">
        <f t="shared" si="117"/>
        <v/>
      </c>
      <c r="Q1088" s="33" t="str">
        <f t="shared" si="118"/>
        <v/>
      </c>
    </row>
    <row r="1089" spans="2:17" ht="18" customHeight="1" x14ac:dyDescent="0.3">
      <c r="B1089" s="26"/>
      <c r="C1089" s="28"/>
      <c r="D1089" s="27"/>
      <c r="E1089" s="29"/>
      <c r="F1089" s="29"/>
      <c r="G1089" s="29"/>
      <c r="H1089" s="30" t="str">
        <f t="shared" si="112"/>
        <v/>
      </c>
      <c r="I1089" s="31" t="str">
        <f>IF(OR(B1089="",C1089=""),"",IFERROR(E1089*IF(E1089="",0,VLOOKUP(C1089,'📦 Precios Proforma'!$B$5:$D$104,IF(D1089="DIA",2,3),FALSE)),0))</f>
        <v/>
      </c>
      <c r="J1089" s="31" t="str">
        <f t="shared" si="113"/>
        <v/>
      </c>
      <c r="K1089" s="31" t="str">
        <f t="shared" si="114"/>
        <v/>
      </c>
      <c r="L1089" s="31" t="str">
        <f>IF(OR(B1089="",C1089=""),"",IFERROR(E1089 / SUMIFS('📅 Resumen Diario'!$D$5:$D$504, '📅 Resumen Diario'!$B$5:$B$504, B1089, '📅 Resumen Diario'!$C$5:$C$504, D1089) * SUMIFS('📅 Resumen Diario'!$K$5:$K$504, '📅 Resumen Diario'!$B$5:$B$504, B1089, '📅 Resumen Diario'!$C$5:$C$504, D1089), 0))</f>
        <v/>
      </c>
      <c r="M1089" s="31" t="str">
        <f t="shared" si="115"/>
        <v/>
      </c>
      <c r="N1089" s="31" t="str">
        <f t="shared" si="116"/>
        <v/>
      </c>
      <c r="O1089" s="31" t="str">
        <f>IF(OR(B1089="",C1089=""),"",K1089-N1089 + IFERROR(E1089 / SUMIFS('📅 Resumen Diario'!$D$5:$D$504, '📅 Resumen Diario'!$B$5:$B$504, B1089, '📅 Resumen Diario'!$C$5:$C$504, D1089) * (SUMIFS('📋 Detalle Diario'!$E$5:$E$489, '📋 Detalle Diario'!$B$5:$B$489, B1089, '📋 Detalle Diario'!$C$5:$C$489, D1089) * 135 + SUMIFS('📋 Detalle Diario'!$I$5:$I$489, '📋 Detalle Diario'!$B$5:$B$489, B1089, '📋 Detalle Diario'!$C$5:$C$489, D1089) * 200), 0))</f>
        <v/>
      </c>
      <c r="P1089" s="32" t="str">
        <f t="shared" si="117"/>
        <v/>
      </c>
      <c r="Q1089" s="33" t="str">
        <f t="shared" si="118"/>
        <v/>
      </c>
    </row>
    <row r="1090" spans="2:17" ht="18" customHeight="1" x14ac:dyDescent="0.3">
      <c r="B1090" s="26"/>
      <c r="C1090" s="17"/>
      <c r="D1090" s="27"/>
      <c r="E1090" s="18"/>
      <c r="F1090" s="18"/>
      <c r="G1090" s="18"/>
      <c r="H1090" s="30" t="str">
        <f t="shared" si="112"/>
        <v/>
      </c>
      <c r="I1090" s="31" t="str">
        <f>IF(OR(B1090="",C1090=""),"",IFERROR(E1090*IF(E1090="",0,VLOOKUP(C1090,'📦 Precios Proforma'!$B$5:$D$104,IF(D1090="DIA",2,3),FALSE)),0))</f>
        <v/>
      </c>
      <c r="J1090" s="31" t="str">
        <f t="shared" si="113"/>
        <v/>
      </c>
      <c r="K1090" s="31" t="str">
        <f t="shared" si="114"/>
        <v/>
      </c>
      <c r="L1090" s="31" t="str">
        <f>IF(OR(B1090="",C1090=""),"",IFERROR(E1090 / SUMIFS('📅 Resumen Diario'!$D$5:$D$504, '📅 Resumen Diario'!$B$5:$B$504, B1090, '📅 Resumen Diario'!$C$5:$C$504, D1090) * SUMIFS('📅 Resumen Diario'!$K$5:$K$504, '📅 Resumen Diario'!$B$5:$B$504, B1090, '📅 Resumen Diario'!$C$5:$C$504, D1090), 0))</f>
        <v/>
      </c>
      <c r="M1090" s="31" t="str">
        <f t="shared" si="115"/>
        <v/>
      </c>
      <c r="N1090" s="31" t="str">
        <f t="shared" si="116"/>
        <v/>
      </c>
      <c r="O1090" s="31" t="str">
        <f>IF(OR(B1090="",C1090=""),"",K1090-N1090 + IFERROR(E1090 / SUMIFS('📅 Resumen Diario'!$D$5:$D$504, '📅 Resumen Diario'!$B$5:$B$504, B1090, '📅 Resumen Diario'!$C$5:$C$504, D1090) * (SUMIFS('📋 Detalle Diario'!$E$5:$E$489, '📋 Detalle Diario'!$B$5:$B$489, B1090, '📋 Detalle Diario'!$C$5:$C$489, D1090) * 135 + SUMIFS('📋 Detalle Diario'!$I$5:$I$489, '📋 Detalle Diario'!$B$5:$B$489, B1090, '📋 Detalle Diario'!$C$5:$C$489, D1090) * 200), 0))</f>
        <v/>
      </c>
      <c r="P1090" s="32" t="str">
        <f t="shared" si="117"/>
        <v/>
      </c>
      <c r="Q1090" s="33" t="str">
        <f t="shared" si="118"/>
        <v/>
      </c>
    </row>
    <row r="1091" spans="2:17" ht="18" customHeight="1" x14ac:dyDescent="0.3">
      <c r="B1091" s="26"/>
      <c r="C1091" s="28"/>
      <c r="D1091" s="27"/>
      <c r="E1091" s="29"/>
      <c r="F1091" s="29"/>
      <c r="G1091" s="29"/>
      <c r="H1091" s="30" t="str">
        <f t="shared" si="112"/>
        <v/>
      </c>
      <c r="I1091" s="31" t="str">
        <f>IF(OR(B1091="",C1091=""),"",IFERROR(E1091*IF(E1091="",0,VLOOKUP(C1091,'📦 Precios Proforma'!$B$5:$D$104,IF(D1091="DIA",2,3),FALSE)),0))</f>
        <v/>
      </c>
      <c r="J1091" s="31" t="str">
        <f t="shared" si="113"/>
        <v/>
      </c>
      <c r="K1091" s="31" t="str">
        <f t="shared" si="114"/>
        <v/>
      </c>
      <c r="L1091" s="31" t="str">
        <f>IF(OR(B1091="",C1091=""),"",IFERROR(E1091 / SUMIFS('📅 Resumen Diario'!$D$5:$D$504, '📅 Resumen Diario'!$B$5:$B$504, B1091, '📅 Resumen Diario'!$C$5:$C$504, D1091) * SUMIFS('📅 Resumen Diario'!$K$5:$K$504, '📅 Resumen Diario'!$B$5:$B$504, B1091, '📅 Resumen Diario'!$C$5:$C$504, D1091), 0))</f>
        <v/>
      </c>
      <c r="M1091" s="31" t="str">
        <f t="shared" si="115"/>
        <v/>
      </c>
      <c r="N1091" s="31" t="str">
        <f t="shared" si="116"/>
        <v/>
      </c>
      <c r="O1091" s="31" t="str">
        <f>IF(OR(B1091="",C1091=""),"",K1091-N1091 + IFERROR(E1091 / SUMIFS('📅 Resumen Diario'!$D$5:$D$504, '📅 Resumen Diario'!$B$5:$B$504, B1091, '📅 Resumen Diario'!$C$5:$C$504, D1091) * (SUMIFS('📋 Detalle Diario'!$E$5:$E$489, '📋 Detalle Diario'!$B$5:$B$489, B1091, '📋 Detalle Diario'!$C$5:$C$489, D1091) * 135 + SUMIFS('📋 Detalle Diario'!$I$5:$I$489, '📋 Detalle Diario'!$B$5:$B$489, B1091, '📋 Detalle Diario'!$C$5:$C$489, D1091) * 200), 0))</f>
        <v/>
      </c>
      <c r="P1091" s="32" t="str">
        <f t="shared" si="117"/>
        <v/>
      </c>
      <c r="Q1091" s="33" t="str">
        <f t="shared" si="118"/>
        <v/>
      </c>
    </row>
    <row r="1092" spans="2:17" ht="18" customHeight="1" x14ac:dyDescent="0.3">
      <c r="B1092" s="26"/>
      <c r="C1092" s="17"/>
      <c r="D1092" s="27"/>
      <c r="E1092" s="18"/>
      <c r="F1092" s="18"/>
      <c r="G1092" s="18"/>
      <c r="H1092" s="30" t="str">
        <f t="shared" si="112"/>
        <v/>
      </c>
      <c r="I1092" s="31" t="str">
        <f>IF(OR(B1092="",C1092=""),"",IFERROR(E1092*IF(E1092="",0,VLOOKUP(C1092,'📦 Precios Proforma'!$B$5:$D$104,IF(D1092="DIA",2,3),FALSE)),0))</f>
        <v/>
      </c>
      <c r="J1092" s="31" t="str">
        <f t="shared" si="113"/>
        <v/>
      </c>
      <c r="K1092" s="31" t="str">
        <f t="shared" si="114"/>
        <v/>
      </c>
      <c r="L1092" s="31" t="str">
        <f>IF(OR(B1092="",C1092=""),"",IFERROR(E1092 / SUMIFS('📅 Resumen Diario'!$D$5:$D$504, '📅 Resumen Diario'!$B$5:$B$504, B1092, '📅 Resumen Diario'!$C$5:$C$504, D1092) * SUMIFS('📅 Resumen Diario'!$K$5:$K$504, '📅 Resumen Diario'!$B$5:$B$504, B1092, '📅 Resumen Diario'!$C$5:$C$504, D1092), 0))</f>
        <v/>
      </c>
      <c r="M1092" s="31" t="str">
        <f t="shared" si="115"/>
        <v/>
      </c>
      <c r="N1092" s="31" t="str">
        <f t="shared" si="116"/>
        <v/>
      </c>
      <c r="O1092" s="31" t="str">
        <f>IF(OR(B1092="",C1092=""),"",K1092-N1092 + IFERROR(E1092 / SUMIFS('📅 Resumen Diario'!$D$5:$D$504, '📅 Resumen Diario'!$B$5:$B$504, B1092, '📅 Resumen Diario'!$C$5:$C$504, D1092) * (SUMIFS('📋 Detalle Diario'!$E$5:$E$489, '📋 Detalle Diario'!$B$5:$B$489, B1092, '📋 Detalle Diario'!$C$5:$C$489, D1092) * 135 + SUMIFS('📋 Detalle Diario'!$I$5:$I$489, '📋 Detalle Diario'!$B$5:$B$489, B1092, '📋 Detalle Diario'!$C$5:$C$489, D1092) * 200), 0))</f>
        <v/>
      </c>
      <c r="P1092" s="32" t="str">
        <f t="shared" si="117"/>
        <v/>
      </c>
      <c r="Q1092" s="33" t="str">
        <f t="shared" si="118"/>
        <v/>
      </c>
    </row>
    <row r="1093" spans="2:17" ht="18" customHeight="1" x14ac:dyDescent="0.3">
      <c r="B1093" s="26"/>
      <c r="C1093" s="28"/>
      <c r="D1093" s="27"/>
      <c r="E1093" s="29"/>
      <c r="F1093" s="29"/>
      <c r="G1093" s="29"/>
      <c r="H1093" s="30" t="str">
        <f t="shared" si="112"/>
        <v/>
      </c>
      <c r="I1093" s="31" t="str">
        <f>IF(OR(B1093="",C1093=""),"",IFERROR(E1093*IF(E1093="",0,VLOOKUP(C1093,'📦 Precios Proforma'!$B$5:$D$104,IF(D1093="DIA",2,3),FALSE)),0))</f>
        <v/>
      </c>
      <c r="J1093" s="31" t="str">
        <f t="shared" si="113"/>
        <v/>
      </c>
      <c r="K1093" s="31" t="str">
        <f t="shared" si="114"/>
        <v/>
      </c>
      <c r="L1093" s="31" t="str">
        <f>IF(OR(B1093="",C1093=""),"",IFERROR(E1093 / SUMIFS('📅 Resumen Diario'!$D$5:$D$504, '📅 Resumen Diario'!$B$5:$B$504, B1093, '📅 Resumen Diario'!$C$5:$C$504, D1093) * SUMIFS('📅 Resumen Diario'!$K$5:$K$504, '📅 Resumen Diario'!$B$5:$B$504, B1093, '📅 Resumen Diario'!$C$5:$C$504, D1093), 0))</f>
        <v/>
      </c>
      <c r="M1093" s="31" t="str">
        <f t="shared" si="115"/>
        <v/>
      </c>
      <c r="N1093" s="31" t="str">
        <f t="shared" si="116"/>
        <v/>
      </c>
      <c r="O1093" s="31" t="str">
        <f>IF(OR(B1093="",C1093=""),"",K1093-N1093 + IFERROR(E1093 / SUMIFS('📅 Resumen Diario'!$D$5:$D$504, '📅 Resumen Diario'!$B$5:$B$504, B1093, '📅 Resumen Diario'!$C$5:$C$504, D1093) * (SUMIFS('📋 Detalle Diario'!$E$5:$E$489, '📋 Detalle Diario'!$B$5:$B$489, B1093, '📋 Detalle Diario'!$C$5:$C$489, D1093) * 135 + SUMIFS('📋 Detalle Diario'!$I$5:$I$489, '📋 Detalle Diario'!$B$5:$B$489, B1093, '📋 Detalle Diario'!$C$5:$C$489, D1093) * 200), 0))</f>
        <v/>
      </c>
      <c r="P1093" s="32" t="str">
        <f t="shared" si="117"/>
        <v/>
      </c>
      <c r="Q1093" s="33" t="str">
        <f t="shared" si="118"/>
        <v/>
      </c>
    </row>
    <row r="1094" spans="2:17" ht="18" customHeight="1" x14ac:dyDescent="0.3">
      <c r="B1094" s="26"/>
      <c r="C1094" s="17"/>
      <c r="D1094" s="27"/>
      <c r="E1094" s="18"/>
      <c r="F1094" s="18"/>
      <c r="G1094" s="18"/>
      <c r="H1094" s="30" t="str">
        <f t="shared" si="112"/>
        <v/>
      </c>
      <c r="I1094" s="31" t="str">
        <f>IF(OR(B1094="",C1094=""),"",IFERROR(E1094*IF(E1094="",0,VLOOKUP(C1094,'📦 Precios Proforma'!$B$5:$D$104,IF(D1094="DIA",2,3),FALSE)),0))</f>
        <v/>
      </c>
      <c r="J1094" s="31" t="str">
        <f t="shared" si="113"/>
        <v/>
      </c>
      <c r="K1094" s="31" t="str">
        <f t="shared" si="114"/>
        <v/>
      </c>
      <c r="L1094" s="31" t="str">
        <f>IF(OR(B1094="",C1094=""),"",IFERROR(E1094 / SUMIFS('📅 Resumen Diario'!$D$5:$D$504, '📅 Resumen Diario'!$B$5:$B$504, B1094, '📅 Resumen Diario'!$C$5:$C$504, D1094) * SUMIFS('📅 Resumen Diario'!$K$5:$K$504, '📅 Resumen Diario'!$B$5:$B$504, B1094, '📅 Resumen Diario'!$C$5:$C$504, D1094), 0))</f>
        <v/>
      </c>
      <c r="M1094" s="31" t="str">
        <f t="shared" si="115"/>
        <v/>
      </c>
      <c r="N1094" s="31" t="str">
        <f t="shared" si="116"/>
        <v/>
      </c>
      <c r="O1094" s="31" t="str">
        <f>IF(OR(B1094="",C1094=""),"",K1094-N1094 + IFERROR(E1094 / SUMIFS('📅 Resumen Diario'!$D$5:$D$504, '📅 Resumen Diario'!$B$5:$B$504, B1094, '📅 Resumen Diario'!$C$5:$C$504, D1094) * (SUMIFS('📋 Detalle Diario'!$E$5:$E$489, '📋 Detalle Diario'!$B$5:$B$489, B1094, '📋 Detalle Diario'!$C$5:$C$489, D1094) * 135 + SUMIFS('📋 Detalle Diario'!$I$5:$I$489, '📋 Detalle Diario'!$B$5:$B$489, B1094, '📋 Detalle Diario'!$C$5:$C$489, D1094) * 200), 0))</f>
        <v/>
      </c>
      <c r="P1094" s="32" t="str">
        <f t="shared" si="117"/>
        <v/>
      </c>
      <c r="Q1094" s="33" t="str">
        <f t="shared" si="118"/>
        <v/>
      </c>
    </row>
    <row r="1095" spans="2:17" ht="18" customHeight="1" x14ac:dyDescent="0.3">
      <c r="B1095" s="26"/>
      <c r="C1095" s="28"/>
      <c r="D1095" s="27"/>
      <c r="E1095" s="29"/>
      <c r="F1095" s="29"/>
      <c r="G1095" s="29"/>
      <c r="H1095" s="30" t="str">
        <f t="shared" ref="H1095:H1158" si="119">IF(OR(B1095="",C1095=""),"",F1095+G1095)</f>
        <v/>
      </c>
      <c r="I1095" s="31" t="str">
        <f>IF(OR(B1095="",C1095=""),"",IFERROR(E1095*IF(E1095="",0,VLOOKUP(C1095,'📦 Precios Proforma'!$B$5:$D$104,IF(D1095="DIA",2,3),FALSE)),0))</f>
        <v/>
      </c>
      <c r="J1095" s="31" t="str">
        <f t="shared" ref="J1095:J1158" si="120">IF(OR(B1095="",C1095=""),"",IF(D1095="DIA",H1095*1.01,H1095*1.35))</f>
        <v/>
      </c>
      <c r="K1095" s="31" t="str">
        <f t="shared" ref="K1095:K1158" si="121">IF(OR(B1095="",C1095=""),"",I1095+J1095)</f>
        <v/>
      </c>
      <c r="L1095" s="31" t="str">
        <f>IF(OR(B1095="",C1095=""),"",IFERROR(E1095 / SUMIFS('📅 Resumen Diario'!$D$5:$D$504, '📅 Resumen Diario'!$B$5:$B$504, B1095, '📅 Resumen Diario'!$C$5:$C$504, D1095) * SUMIFS('📅 Resumen Diario'!$K$5:$K$504, '📅 Resumen Diario'!$B$5:$B$504, B1095, '📅 Resumen Diario'!$C$5:$C$504, D1095), 0))</f>
        <v/>
      </c>
      <c r="M1095" s="31" t="str">
        <f t="shared" ref="M1095:M1158" si="122">IF(OR(B1095="",C1095=""),"",H1095*0.09)</f>
        <v/>
      </c>
      <c r="N1095" s="31" t="str">
        <f t="shared" ref="N1095:N1158" si="123">IF(OR(B1095="",C1095=""),"",L1095+M1095)</f>
        <v/>
      </c>
      <c r="O1095" s="31" t="str">
        <f>IF(OR(B1095="",C1095=""),"",K1095-N1095 + IFERROR(E1095 / SUMIFS('📅 Resumen Diario'!$D$5:$D$504, '📅 Resumen Diario'!$B$5:$B$504, B1095, '📅 Resumen Diario'!$C$5:$C$504, D1095) * (SUMIFS('📋 Detalle Diario'!$E$5:$E$489, '📋 Detalle Diario'!$B$5:$B$489, B1095, '📋 Detalle Diario'!$C$5:$C$489, D1095) * 135 + SUMIFS('📋 Detalle Diario'!$I$5:$I$489, '📋 Detalle Diario'!$B$5:$B$489, B1095, '📋 Detalle Diario'!$C$5:$C$489, D1095) * 200), 0))</f>
        <v/>
      </c>
      <c r="P1095" s="32" t="str">
        <f t="shared" ref="P1095:P1158" si="124">IF(OR(B1095="",C1095=""),"",IF(K1095=0, 0, O1095/K1095))</f>
        <v/>
      </c>
      <c r="Q1095" s="33" t="str">
        <f t="shared" ref="Q1095:Q1158" si="125">IF(B1095="","",IF(ISNUMBER(B1095),YEAR(B1095)&amp;"-"&amp;IF(MONTH(B1095)&lt;10,"0","")&amp;MONTH(B1095),LEFT(B1095,7)))</f>
        <v/>
      </c>
    </row>
    <row r="1096" spans="2:17" ht="18" customHeight="1" x14ac:dyDescent="0.3">
      <c r="B1096" s="26"/>
      <c r="C1096" s="17"/>
      <c r="D1096" s="27"/>
      <c r="E1096" s="18"/>
      <c r="F1096" s="18"/>
      <c r="G1096" s="18"/>
      <c r="H1096" s="30" t="str">
        <f t="shared" si="119"/>
        <v/>
      </c>
      <c r="I1096" s="31" t="str">
        <f>IF(OR(B1096="",C1096=""),"",IFERROR(E1096*IF(E1096="",0,VLOOKUP(C1096,'📦 Precios Proforma'!$B$5:$D$104,IF(D1096="DIA",2,3),FALSE)),0))</f>
        <v/>
      </c>
      <c r="J1096" s="31" t="str">
        <f t="shared" si="120"/>
        <v/>
      </c>
      <c r="K1096" s="31" t="str">
        <f t="shared" si="121"/>
        <v/>
      </c>
      <c r="L1096" s="31" t="str">
        <f>IF(OR(B1096="",C1096=""),"",IFERROR(E1096 / SUMIFS('📅 Resumen Diario'!$D$5:$D$504, '📅 Resumen Diario'!$B$5:$B$504, B1096, '📅 Resumen Diario'!$C$5:$C$504, D1096) * SUMIFS('📅 Resumen Diario'!$K$5:$K$504, '📅 Resumen Diario'!$B$5:$B$504, B1096, '📅 Resumen Diario'!$C$5:$C$504, D1096), 0))</f>
        <v/>
      </c>
      <c r="M1096" s="31" t="str">
        <f t="shared" si="122"/>
        <v/>
      </c>
      <c r="N1096" s="31" t="str">
        <f t="shared" si="123"/>
        <v/>
      </c>
      <c r="O1096" s="31" t="str">
        <f>IF(OR(B1096="",C1096=""),"",K1096-N1096 + IFERROR(E1096 / SUMIFS('📅 Resumen Diario'!$D$5:$D$504, '📅 Resumen Diario'!$B$5:$B$504, B1096, '📅 Resumen Diario'!$C$5:$C$504, D1096) * (SUMIFS('📋 Detalle Diario'!$E$5:$E$489, '📋 Detalle Diario'!$B$5:$B$489, B1096, '📋 Detalle Diario'!$C$5:$C$489, D1096) * 135 + SUMIFS('📋 Detalle Diario'!$I$5:$I$489, '📋 Detalle Diario'!$B$5:$B$489, B1096, '📋 Detalle Diario'!$C$5:$C$489, D1096) * 200), 0))</f>
        <v/>
      </c>
      <c r="P1096" s="32" t="str">
        <f t="shared" si="124"/>
        <v/>
      </c>
      <c r="Q1096" s="33" t="str">
        <f t="shared" si="125"/>
        <v/>
      </c>
    </row>
    <row r="1097" spans="2:17" ht="18" customHeight="1" x14ac:dyDescent="0.3">
      <c r="B1097" s="26"/>
      <c r="C1097" s="28"/>
      <c r="D1097" s="27"/>
      <c r="E1097" s="29"/>
      <c r="F1097" s="29"/>
      <c r="G1097" s="29"/>
      <c r="H1097" s="30" t="str">
        <f t="shared" si="119"/>
        <v/>
      </c>
      <c r="I1097" s="31" t="str">
        <f>IF(OR(B1097="",C1097=""),"",IFERROR(E1097*IF(E1097="",0,VLOOKUP(C1097,'📦 Precios Proforma'!$B$5:$D$104,IF(D1097="DIA",2,3),FALSE)),0))</f>
        <v/>
      </c>
      <c r="J1097" s="31" t="str">
        <f t="shared" si="120"/>
        <v/>
      </c>
      <c r="K1097" s="31" t="str">
        <f t="shared" si="121"/>
        <v/>
      </c>
      <c r="L1097" s="31" t="str">
        <f>IF(OR(B1097="",C1097=""),"",IFERROR(E1097 / SUMIFS('📅 Resumen Diario'!$D$5:$D$504, '📅 Resumen Diario'!$B$5:$B$504, B1097, '📅 Resumen Diario'!$C$5:$C$504, D1097) * SUMIFS('📅 Resumen Diario'!$K$5:$K$504, '📅 Resumen Diario'!$B$5:$B$504, B1097, '📅 Resumen Diario'!$C$5:$C$504, D1097), 0))</f>
        <v/>
      </c>
      <c r="M1097" s="31" t="str">
        <f t="shared" si="122"/>
        <v/>
      </c>
      <c r="N1097" s="31" t="str">
        <f t="shared" si="123"/>
        <v/>
      </c>
      <c r="O1097" s="31" t="str">
        <f>IF(OR(B1097="",C1097=""),"",K1097-N1097 + IFERROR(E1097 / SUMIFS('📅 Resumen Diario'!$D$5:$D$504, '📅 Resumen Diario'!$B$5:$B$504, B1097, '📅 Resumen Diario'!$C$5:$C$504, D1097) * (SUMIFS('📋 Detalle Diario'!$E$5:$E$489, '📋 Detalle Diario'!$B$5:$B$489, B1097, '📋 Detalle Diario'!$C$5:$C$489, D1097) * 135 + SUMIFS('📋 Detalle Diario'!$I$5:$I$489, '📋 Detalle Diario'!$B$5:$B$489, B1097, '📋 Detalle Diario'!$C$5:$C$489, D1097) * 200), 0))</f>
        <v/>
      </c>
      <c r="P1097" s="32" t="str">
        <f t="shared" si="124"/>
        <v/>
      </c>
      <c r="Q1097" s="33" t="str">
        <f t="shared" si="125"/>
        <v/>
      </c>
    </row>
    <row r="1098" spans="2:17" ht="18" customHeight="1" x14ac:dyDescent="0.3">
      <c r="B1098" s="26"/>
      <c r="C1098" s="17"/>
      <c r="D1098" s="27"/>
      <c r="E1098" s="18"/>
      <c r="F1098" s="18"/>
      <c r="G1098" s="18"/>
      <c r="H1098" s="30" t="str">
        <f t="shared" si="119"/>
        <v/>
      </c>
      <c r="I1098" s="31" t="str">
        <f>IF(OR(B1098="",C1098=""),"",IFERROR(E1098*IF(E1098="",0,VLOOKUP(C1098,'📦 Precios Proforma'!$B$5:$D$104,IF(D1098="DIA",2,3),FALSE)),0))</f>
        <v/>
      </c>
      <c r="J1098" s="31" t="str">
        <f t="shared" si="120"/>
        <v/>
      </c>
      <c r="K1098" s="31" t="str">
        <f t="shared" si="121"/>
        <v/>
      </c>
      <c r="L1098" s="31" t="str">
        <f>IF(OR(B1098="",C1098=""),"",IFERROR(E1098 / SUMIFS('📅 Resumen Diario'!$D$5:$D$504, '📅 Resumen Diario'!$B$5:$B$504, B1098, '📅 Resumen Diario'!$C$5:$C$504, D1098) * SUMIFS('📅 Resumen Diario'!$K$5:$K$504, '📅 Resumen Diario'!$B$5:$B$504, B1098, '📅 Resumen Diario'!$C$5:$C$504, D1098), 0))</f>
        <v/>
      </c>
      <c r="M1098" s="31" t="str">
        <f t="shared" si="122"/>
        <v/>
      </c>
      <c r="N1098" s="31" t="str">
        <f t="shared" si="123"/>
        <v/>
      </c>
      <c r="O1098" s="31" t="str">
        <f>IF(OR(B1098="",C1098=""),"",K1098-N1098 + IFERROR(E1098 / SUMIFS('📅 Resumen Diario'!$D$5:$D$504, '📅 Resumen Diario'!$B$5:$B$504, B1098, '📅 Resumen Diario'!$C$5:$C$504, D1098) * (SUMIFS('📋 Detalle Diario'!$E$5:$E$489, '📋 Detalle Diario'!$B$5:$B$489, B1098, '📋 Detalle Diario'!$C$5:$C$489, D1098) * 135 + SUMIFS('📋 Detalle Diario'!$I$5:$I$489, '📋 Detalle Diario'!$B$5:$B$489, B1098, '📋 Detalle Diario'!$C$5:$C$489, D1098) * 200), 0))</f>
        <v/>
      </c>
      <c r="P1098" s="32" t="str">
        <f t="shared" si="124"/>
        <v/>
      </c>
      <c r="Q1098" s="33" t="str">
        <f t="shared" si="125"/>
        <v/>
      </c>
    </row>
    <row r="1099" spans="2:17" ht="18" customHeight="1" x14ac:dyDescent="0.3">
      <c r="B1099" s="26"/>
      <c r="C1099" s="28"/>
      <c r="D1099" s="27"/>
      <c r="E1099" s="29"/>
      <c r="F1099" s="29"/>
      <c r="G1099" s="29"/>
      <c r="H1099" s="30" t="str">
        <f t="shared" si="119"/>
        <v/>
      </c>
      <c r="I1099" s="31" t="str">
        <f>IF(OR(B1099="",C1099=""),"",IFERROR(E1099*IF(E1099="",0,VLOOKUP(C1099,'📦 Precios Proforma'!$B$5:$D$104,IF(D1099="DIA",2,3),FALSE)),0))</f>
        <v/>
      </c>
      <c r="J1099" s="31" t="str">
        <f t="shared" si="120"/>
        <v/>
      </c>
      <c r="K1099" s="31" t="str">
        <f t="shared" si="121"/>
        <v/>
      </c>
      <c r="L1099" s="31" t="str">
        <f>IF(OR(B1099="",C1099=""),"",IFERROR(E1099 / SUMIFS('📅 Resumen Diario'!$D$5:$D$504, '📅 Resumen Diario'!$B$5:$B$504, B1099, '📅 Resumen Diario'!$C$5:$C$504, D1099) * SUMIFS('📅 Resumen Diario'!$K$5:$K$504, '📅 Resumen Diario'!$B$5:$B$504, B1099, '📅 Resumen Diario'!$C$5:$C$504, D1099), 0))</f>
        <v/>
      </c>
      <c r="M1099" s="31" t="str">
        <f t="shared" si="122"/>
        <v/>
      </c>
      <c r="N1099" s="31" t="str">
        <f t="shared" si="123"/>
        <v/>
      </c>
      <c r="O1099" s="31" t="str">
        <f>IF(OR(B1099="",C1099=""),"",K1099-N1099 + IFERROR(E1099 / SUMIFS('📅 Resumen Diario'!$D$5:$D$504, '📅 Resumen Diario'!$B$5:$B$504, B1099, '📅 Resumen Diario'!$C$5:$C$504, D1099) * (SUMIFS('📋 Detalle Diario'!$E$5:$E$489, '📋 Detalle Diario'!$B$5:$B$489, B1099, '📋 Detalle Diario'!$C$5:$C$489, D1099) * 135 + SUMIFS('📋 Detalle Diario'!$I$5:$I$489, '📋 Detalle Diario'!$B$5:$B$489, B1099, '📋 Detalle Diario'!$C$5:$C$489, D1099) * 200), 0))</f>
        <v/>
      </c>
      <c r="P1099" s="32" t="str">
        <f t="shared" si="124"/>
        <v/>
      </c>
      <c r="Q1099" s="33" t="str">
        <f t="shared" si="125"/>
        <v/>
      </c>
    </row>
    <row r="1100" spans="2:17" ht="18" customHeight="1" x14ac:dyDescent="0.3">
      <c r="B1100" s="26"/>
      <c r="C1100" s="17"/>
      <c r="D1100" s="27"/>
      <c r="E1100" s="18"/>
      <c r="F1100" s="18"/>
      <c r="G1100" s="18"/>
      <c r="H1100" s="30" t="str">
        <f t="shared" si="119"/>
        <v/>
      </c>
      <c r="I1100" s="31" t="str">
        <f>IF(OR(B1100="",C1100=""),"",IFERROR(E1100*IF(E1100="",0,VLOOKUP(C1100,'📦 Precios Proforma'!$B$5:$D$104,IF(D1100="DIA",2,3),FALSE)),0))</f>
        <v/>
      </c>
      <c r="J1100" s="31" t="str">
        <f t="shared" si="120"/>
        <v/>
      </c>
      <c r="K1100" s="31" t="str">
        <f t="shared" si="121"/>
        <v/>
      </c>
      <c r="L1100" s="31" t="str">
        <f>IF(OR(B1100="",C1100=""),"",IFERROR(E1100 / SUMIFS('📅 Resumen Diario'!$D$5:$D$504, '📅 Resumen Diario'!$B$5:$B$504, B1100, '📅 Resumen Diario'!$C$5:$C$504, D1100) * SUMIFS('📅 Resumen Diario'!$K$5:$K$504, '📅 Resumen Diario'!$B$5:$B$504, B1100, '📅 Resumen Diario'!$C$5:$C$504, D1100), 0))</f>
        <v/>
      </c>
      <c r="M1100" s="31" t="str">
        <f t="shared" si="122"/>
        <v/>
      </c>
      <c r="N1100" s="31" t="str">
        <f t="shared" si="123"/>
        <v/>
      </c>
      <c r="O1100" s="31" t="str">
        <f>IF(OR(B1100="",C1100=""),"",K1100-N1100 + IFERROR(E1100 / SUMIFS('📅 Resumen Diario'!$D$5:$D$504, '📅 Resumen Diario'!$B$5:$B$504, B1100, '📅 Resumen Diario'!$C$5:$C$504, D1100) * (SUMIFS('📋 Detalle Diario'!$E$5:$E$489, '📋 Detalle Diario'!$B$5:$B$489, B1100, '📋 Detalle Diario'!$C$5:$C$489, D1100) * 135 + SUMIFS('📋 Detalle Diario'!$I$5:$I$489, '📋 Detalle Diario'!$B$5:$B$489, B1100, '📋 Detalle Diario'!$C$5:$C$489, D1100) * 200), 0))</f>
        <v/>
      </c>
      <c r="P1100" s="32" t="str">
        <f t="shared" si="124"/>
        <v/>
      </c>
      <c r="Q1100" s="33" t="str">
        <f t="shared" si="125"/>
        <v/>
      </c>
    </row>
    <row r="1101" spans="2:17" ht="18" customHeight="1" x14ac:dyDescent="0.3">
      <c r="B1101" s="26"/>
      <c r="C1101" s="28"/>
      <c r="D1101" s="27"/>
      <c r="E1101" s="29"/>
      <c r="F1101" s="29"/>
      <c r="G1101" s="29"/>
      <c r="H1101" s="30" t="str">
        <f t="shared" si="119"/>
        <v/>
      </c>
      <c r="I1101" s="31" t="str">
        <f>IF(OR(B1101="",C1101=""),"",IFERROR(E1101*IF(E1101="",0,VLOOKUP(C1101,'📦 Precios Proforma'!$B$5:$D$104,IF(D1101="DIA",2,3),FALSE)),0))</f>
        <v/>
      </c>
      <c r="J1101" s="31" t="str">
        <f t="shared" si="120"/>
        <v/>
      </c>
      <c r="K1101" s="31" t="str">
        <f t="shared" si="121"/>
        <v/>
      </c>
      <c r="L1101" s="31" t="str">
        <f>IF(OR(B1101="",C1101=""),"",IFERROR(E1101 / SUMIFS('📅 Resumen Diario'!$D$5:$D$504, '📅 Resumen Diario'!$B$5:$B$504, B1101, '📅 Resumen Diario'!$C$5:$C$504, D1101) * SUMIFS('📅 Resumen Diario'!$K$5:$K$504, '📅 Resumen Diario'!$B$5:$B$504, B1101, '📅 Resumen Diario'!$C$5:$C$504, D1101), 0))</f>
        <v/>
      </c>
      <c r="M1101" s="31" t="str">
        <f t="shared" si="122"/>
        <v/>
      </c>
      <c r="N1101" s="31" t="str">
        <f t="shared" si="123"/>
        <v/>
      </c>
      <c r="O1101" s="31" t="str">
        <f>IF(OR(B1101="",C1101=""),"",K1101-N1101 + IFERROR(E1101 / SUMIFS('📅 Resumen Diario'!$D$5:$D$504, '📅 Resumen Diario'!$B$5:$B$504, B1101, '📅 Resumen Diario'!$C$5:$C$504, D1101) * (SUMIFS('📋 Detalle Diario'!$E$5:$E$489, '📋 Detalle Diario'!$B$5:$B$489, B1101, '📋 Detalle Diario'!$C$5:$C$489, D1101) * 135 + SUMIFS('📋 Detalle Diario'!$I$5:$I$489, '📋 Detalle Diario'!$B$5:$B$489, B1101, '📋 Detalle Diario'!$C$5:$C$489, D1101) * 200), 0))</f>
        <v/>
      </c>
      <c r="P1101" s="32" t="str">
        <f t="shared" si="124"/>
        <v/>
      </c>
      <c r="Q1101" s="33" t="str">
        <f t="shared" si="125"/>
        <v/>
      </c>
    </row>
    <row r="1102" spans="2:17" ht="18" customHeight="1" x14ac:dyDescent="0.3">
      <c r="B1102" s="26"/>
      <c r="C1102" s="17"/>
      <c r="D1102" s="27"/>
      <c r="E1102" s="18"/>
      <c r="F1102" s="18"/>
      <c r="G1102" s="18"/>
      <c r="H1102" s="30" t="str">
        <f t="shared" si="119"/>
        <v/>
      </c>
      <c r="I1102" s="31" t="str">
        <f>IF(OR(B1102="",C1102=""),"",IFERROR(E1102*IF(E1102="",0,VLOOKUP(C1102,'📦 Precios Proforma'!$B$5:$D$104,IF(D1102="DIA",2,3),FALSE)),0))</f>
        <v/>
      </c>
      <c r="J1102" s="31" t="str">
        <f t="shared" si="120"/>
        <v/>
      </c>
      <c r="K1102" s="31" t="str">
        <f t="shared" si="121"/>
        <v/>
      </c>
      <c r="L1102" s="31" t="str">
        <f>IF(OR(B1102="",C1102=""),"",IFERROR(E1102 / SUMIFS('📅 Resumen Diario'!$D$5:$D$504, '📅 Resumen Diario'!$B$5:$B$504, B1102, '📅 Resumen Diario'!$C$5:$C$504, D1102) * SUMIFS('📅 Resumen Diario'!$K$5:$K$504, '📅 Resumen Diario'!$B$5:$B$504, B1102, '📅 Resumen Diario'!$C$5:$C$504, D1102), 0))</f>
        <v/>
      </c>
      <c r="M1102" s="31" t="str">
        <f t="shared" si="122"/>
        <v/>
      </c>
      <c r="N1102" s="31" t="str">
        <f t="shared" si="123"/>
        <v/>
      </c>
      <c r="O1102" s="31" t="str">
        <f>IF(OR(B1102="",C1102=""),"",K1102-N1102 + IFERROR(E1102 / SUMIFS('📅 Resumen Diario'!$D$5:$D$504, '📅 Resumen Diario'!$B$5:$B$504, B1102, '📅 Resumen Diario'!$C$5:$C$504, D1102) * (SUMIFS('📋 Detalle Diario'!$E$5:$E$489, '📋 Detalle Diario'!$B$5:$B$489, B1102, '📋 Detalle Diario'!$C$5:$C$489, D1102) * 135 + SUMIFS('📋 Detalle Diario'!$I$5:$I$489, '📋 Detalle Diario'!$B$5:$B$489, B1102, '📋 Detalle Diario'!$C$5:$C$489, D1102) * 200), 0))</f>
        <v/>
      </c>
      <c r="P1102" s="32" t="str">
        <f t="shared" si="124"/>
        <v/>
      </c>
      <c r="Q1102" s="33" t="str">
        <f t="shared" si="125"/>
        <v/>
      </c>
    </row>
    <row r="1103" spans="2:17" ht="18" customHeight="1" x14ac:dyDescent="0.3">
      <c r="B1103" s="26"/>
      <c r="C1103" s="28"/>
      <c r="D1103" s="27"/>
      <c r="E1103" s="29"/>
      <c r="F1103" s="29"/>
      <c r="G1103" s="29"/>
      <c r="H1103" s="30" t="str">
        <f t="shared" si="119"/>
        <v/>
      </c>
      <c r="I1103" s="31" t="str">
        <f>IF(OR(B1103="",C1103=""),"",IFERROR(E1103*IF(E1103="",0,VLOOKUP(C1103,'📦 Precios Proforma'!$B$5:$D$104,IF(D1103="DIA",2,3),FALSE)),0))</f>
        <v/>
      </c>
      <c r="J1103" s="31" t="str">
        <f t="shared" si="120"/>
        <v/>
      </c>
      <c r="K1103" s="31" t="str">
        <f t="shared" si="121"/>
        <v/>
      </c>
      <c r="L1103" s="31" t="str">
        <f>IF(OR(B1103="",C1103=""),"",IFERROR(E1103 / SUMIFS('📅 Resumen Diario'!$D$5:$D$504, '📅 Resumen Diario'!$B$5:$B$504, B1103, '📅 Resumen Diario'!$C$5:$C$504, D1103) * SUMIFS('📅 Resumen Diario'!$K$5:$K$504, '📅 Resumen Diario'!$B$5:$B$504, B1103, '📅 Resumen Diario'!$C$5:$C$504, D1103), 0))</f>
        <v/>
      </c>
      <c r="M1103" s="31" t="str">
        <f t="shared" si="122"/>
        <v/>
      </c>
      <c r="N1103" s="31" t="str">
        <f t="shared" si="123"/>
        <v/>
      </c>
      <c r="O1103" s="31" t="str">
        <f>IF(OR(B1103="",C1103=""),"",K1103-N1103 + IFERROR(E1103 / SUMIFS('📅 Resumen Diario'!$D$5:$D$504, '📅 Resumen Diario'!$B$5:$B$504, B1103, '📅 Resumen Diario'!$C$5:$C$504, D1103) * (SUMIFS('📋 Detalle Diario'!$E$5:$E$489, '📋 Detalle Diario'!$B$5:$B$489, B1103, '📋 Detalle Diario'!$C$5:$C$489, D1103) * 135 + SUMIFS('📋 Detalle Diario'!$I$5:$I$489, '📋 Detalle Diario'!$B$5:$B$489, B1103, '📋 Detalle Diario'!$C$5:$C$489, D1103) * 200), 0))</f>
        <v/>
      </c>
      <c r="P1103" s="32" t="str">
        <f t="shared" si="124"/>
        <v/>
      </c>
      <c r="Q1103" s="33" t="str">
        <f t="shared" si="125"/>
        <v/>
      </c>
    </row>
    <row r="1104" spans="2:17" ht="18" customHeight="1" x14ac:dyDescent="0.3">
      <c r="B1104" s="26"/>
      <c r="C1104" s="17"/>
      <c r="D1104" s="27"/>
      <c r="E1104" s="18"/>
      <c r="F1104" s="18"/>
      <c r="G1104" s="18"/>
      <c r="H1104" s="30" t="str">
        <f t="shared" si="119"/>
        <v/>
      </c>
      <c r="I1104" s="31" t="str">
        <f>IF(OR(B1104="",C1104=""),"",IFERROR(E1104*IF(E1104="",0,VLOOKUP(C1104,'📦 Precios Proforma'!$B$5:$D$104,IF(D1104="DIA",2,3),FALSE)),0))</f>
        <v/>
      </c>
      <c r="J1104" s="31" t="str">
        <f t="shared" si="120"/>
        <v/>
      </c>
      <c r="K1104" s="31" t="str">
        <f t="shared" si="121"/>
        <v/>
      </c>
      <c r="L1104" s="31" t="str">
        <f>IF(OR(B1104="",C1104=""),"",IFERROR(E1104 / SUMIFS('📅 Resumen Diario'!$D$5:$D$504, '📅 Resumen Diario'!$B$5:$B$504, B1104, '📅 Resumen Diario'!$C$5:$C$504, D1104) * SUMIFS('📅 Resumen Diario'!$K$5:$K$504, '📅 Resumen Diario'!$B$5:$B$504, B1104, '📅 Resumen Diario'!$C$5:$C$504, D1104), 0))</f>
        <v/>
      </c>
      <c r="M1104" s="31" t="str">
        <f t="shared" si="122"/>
        <v/>
      </c>
      <c r="N1104" s="31" t="str">
        <f t="shared" si="123"/>
        <v/>
      </c>
      <c r="O1104" s="31" t="str">
        <f>IF(OR(B1104="",C1104=""),"",K1104-N1104 + IFERROR(E1104 / SUMIFS('📅 Resumen Diario'!$D$5:$D$504, '📅 Resumen Diario'!$B$5:$B$504, B1104, '📅 Resumen Diario'!$C$5:$C$504, D1104) * (SUMIFS('📋 Detalle Diario'!$E$5:$E$489, '📋 Detalle Diario'!$B$5:$B$489, B1104, '📋 Detalle Diario'!$C$5:$C$489, D1104) * 135 + SUMIFS('📋 Detalle Diario'!$I$5:$I$489, '📋 Detalle Diario'!$B$5:$B$489, B1104, '📋 Detalle Diario'!$C$5:$C$489, D1104) * 200), 0))</f>
        <v/>
      </c>
      <c r="P1104" s="32" t="str">
        <f t="shared" si="124"/>
        <v/>
      </c>
      <c r="Q1104" s="33" t="str">
        <f t="shared" si="125"/>
        <v/>
      </c>
    </row>
    <row r="1105" spans="2:17" ht="18" customHeight="1" x14ac:dyDescent="0.3">
      <c r="B1105" s="26"/>
      <c r="C1105" s="28"/>
      <c r="D1105" s="27"/>
      <c r="E1105" s="29"/>
      <c r="F1105" s="29"/>
      <c r="G1105" s="29"/>
      <c r="H1105" s="30" t="str">
        <f t="shared" si="119"/>
        <v/>
      </c>
      <c r="I1105" s="31" t="str">
        <f>IF(OR(B1105="",C1105=""),"",IFERROR(E1105*IF(E1105="",0,VLOOKUP(C1105,'📦 Precios Proforma'!$B$5:$D$104,IF(D1105="DIA",2,3),FALSE)),0))</f>
        <v/>
      </c>
      <c r="J1105" s="31" t="str">
        <f t="shared" si="120"/>
        <v/>
      </c>
      <c r="K1105" s="31" t="str">
        <f t="shared" si="121"/>
        <v/>
      </c>
      <c r="L1105" s="31" t="str">
        <f>IF(OR(B1105="",C1105=""),"",IFERROR(E1105 / SUMIFS('📅 Resumen Diario'!$D$5:$D$504, '📅 Resumen Diario'!$B$5:$B$504, B1105, '📅 Resumen Diario'!$C$5:$C$504, D1105) * SUMIFS('📅 Resumen Diario'!$K$5:$K$504, '📅 Resumen Diario'!$B$5:$B$504, B1105, '📅 Resumen Diario'!$C$5:$C$504, D1105), 0))</f>
        <v/>
      </c>
      <c r="M1105" s="31" t="str">
        <f t="shared" si="122"/>
        <v/>
      </c>
      <c r="N1105" s="31" t="str">
        <f t="shared" si="123"/>
        <v/>
      </c>
      <c r="O1105" s="31" t="str">
        <f>IF(OR(B1105="",C1105=""),"",K1105-N1105 + IFERROR(E1105 / SUMIFS('📅 Resumen Diario'!$D$5:$D$504, '📅 Resumen Diario'!$B$5:$B$504, B1105, '📅 Resumen Diario'!$C$5:$C$504, D1105) * (SUMIFS('📋 Detalle Diario'!$E$5:$E$489, '📋 Detalle Diario'!$B$5:$B$489, B1105, '📋 Detalle Diario'!$C$5:$C$489, D1105) * 135 + SUMIFS('📋 Detalle Diario'!$I$5:$I$489, '📋 Detalle Diario'!$B$5:$B$489, B1105, '📋 Detalle Diario'!$C$5:$C$489, D1105) * 200), 0))</f>
        <v/>
      </c>
      <c r="P1105" s="32" t="str">
        <f t="shared" si="124"/>
        <v/>
      </c>
      <c r="Q1105" s="33" t="str">
        <f t="shared" si="125"/>
        <v/>
      </c>
    </row>
    <row r="1106" spans="2:17" ht="18" customHeight="1" x14ac:dyDescent="0.3">
      <c r="B1106" s="26"/>
      <c r="C1106" s="17"/>
      <c r="D1106" s="27"/>
      <c r="E1106" s="18"/>
      <c r="F1106" s="18"/>
      <c r="G1106" s="18"/>
      <c r="H1106" s="30" t="str">
        <f t="shared" si="119"/>
        <v/>
      </c>
      <c r="I1106" s="31" t="str">
        <f>IF(OR(B1106="",C1106=""),"",IFERROR(E1106*IF(E1106="",0,VLOOKUP(C1106,'📦 Precios Proforma'!$B$5:$D$104,IF(D1106="DIA",2,3),FALSE)),0))</f>
        <v/>
      </c>
      <c r="J1106" s="31" t="str">
        <f t="shared" si="120"/>
        <v/>
      </c>
      <c r="K1106" s="31" t="str">
        <f t="shared" si="121"/>
        <v/>
      </c>
      <c r="L1106" s="31" t="str">
        <f>IF(OR(B1106="",C1106=""),"",IFERROR(E1106 / SUMIFS('📅 Resumen Diario'!$D$5:$D$504, '📅 Resumen Diario'!$B$5:$B$504, B1106, '📅 Resumen Diario'!$C$5:$C$504, D1106) * SUMIFS('📅 Resumen Diario'!$K$5:$K$504, '📅 Resumen Diario'!$B$5:$B$504, B1106, '📅 Resumen Diario'!$C$5:$C$504, D1106), 0))</f>
        <v/>
      </c>
      <c r="M1106" s="31" t="str">
        <f t="shared" si="122"/>
        <v/>
      </c>
      <c r="N1106" s="31" t="str">
        <f t="shared" si="123"/>
        <v/>
      </c>
      <c r="O1106" s="31" t="str">
        <f>IF(OR(B1106="",C1106=""),"",K1106-N1106 + IFERROR(E1106 / SUMIFS('📅 Resumen Diario'!$D$5:$D$504, '📅 Resumen Diario'!$B$5:$B$504, B1106, '📅 Resumen Diario'!$C$5:$C$504, D1106) * (SUMIFS('📋 Detalle Diario'!$E$5:$E$489, '📋 Detalle Diario'!$B$5:$B$489, B1106, '📋 Detalle Diario'!$C$5:$C$489, D1106) * 135 + SUMIFS('📋 Detalle Diario'!$I$5:$I$489, '📋 Detalle Diario'!$B$5:$B$489, B1106, '📋 Detalle Diario'!$C$5:$C$489, D1106) * 200), 0))</f>
        <v/>
      </c>
      <c r="P1106" s="32" t="str">
        <f t="shared" si="124"/>
        <v/>
      </c>
      <c r="Q1106" s="33" t="str">
        <f t="shared" si="125"/>
        <v/>
      </c>
    </row>
    <row r="1107" spans="2:17" ht="18" customHeight="1" x14ac:dyDescent="0.3">
      <c r="B1107" s="26"/>
      <c r="C1107" s="28"/>
      <c r="D1107" s="27"/>
      <c r="E1107" s="29"/>
      <c r="F1107" s="29"/>
      <c r="G1107" s="29"/>
      <c r="H1107" s="30" t="str">
        <f t="shared" si="119"/>
        <v/>
      </c>
      <c r="I1107" s="31" t="str">
        <f>IF(OR(B1107="",C1107=""),"",IFERROR(E1107*IF(E1107="",0,VLOOKUP(C1107,'📦 Precios Proforma'!$B$5:$D$104,IF(D1107="DIA",2,3),FALSE)),0))</f>
        <v/>
      </c>
      <c r="J1107" s="31" t="str">
        <f t="shared" si="120"/>
        <v/>
      </c>
      <c r="K1107" s="31" t="str">
        <f t="shared" si="121"/>
        <v/>
      </c>
      <c r="L1107" s="31" t="str">
        <f>IF(OR(B1107="",C1107=""),"",IFERROR(E1107 / SUMIFS('📅 Resumen Diario'!$D$5:$D$504, '📅 Resumen Diario'!$B$5:$B$504, B1107, '📅 Resumen Diario'!$C$5:$C$504, D1107) * SUMIFS('📅 Resumen Diario'!$K$5:$K$504, '📅 Resumen Diario'!$B$5:$B$504, B1107, '📅 Resumen Diario'!$C$5:$C$504, D1107), 0))</f>
        <v/>
      </c>
      <c r="M1107" s="31" t="str">
        <f t="shared" si="122"/>
        <v/>
      </c>
      <c r="N1107" s="31" t="str">
        <f t="shared" si="123"/>
        <v/>
      </c>
      <c r="O1107" s="31" t="str">
        <f>IF(OR(B1107="",C1107=""),"",K1107-N1107 + IFERROR(E1107 / SUMIFS('📅 Resumen Diario'!$D$5:$D$504, '📅 Resumen Diario'!$B$5:$B$504, B1107, '📅 Resumen Diario'!$C$5:$C$504, D1107) * (SUMIFS('📋 Detalle Diario'!$E$5:$E$489, '📋 Detalle Diario'!$B$5:$B$489, B1107, '📋 Detalle Diario'!$C$5:$C$489, D1107) * 135 + SUMIFS('📋 Detalle Diario'!$I$5:$I$489, '📋 Detalle Diario'!$B$5:$B$489, B1107, '📋 Detalle Diario'!$C$5:$C$489, D1107) * 200), 0))</f>
        <v/>
      </c>
      <c r="P1107" s="32" t="str">
        <f t="shared" si="124"/>
        <v/>
      </c>
      <c r="Q1107" s="33" t="str">
        <f t="shared" si="125"/>
        <v/>
      </c>
    </row>
    <row r="1108" spans="2:17" ht="18" customHeight="1" x14ac:dyDescent="0.3">
      <c r="B1108" s="26"/>
      <c r="C1108" s="17"/>
      <c r="D1108" s="27"/>
      <c r="E1108" s="18"/>
      <c r="F1108" s="18"/>
      <c r="G1108" s="18"/>
      <c r="H1108" s="30" t="str">
        <f t="shared" si="119"/>
        <v/>
      </c>
      <c r="I1108" s="31" t="str">
        <f>IF(OR(B1108="",C1108=""),"",IFERROR(E1108*IF(E1108="",0,VLOOKUP(C1108,'📦 Precios Proforma'!$B$5:$D$104,IF(D1108="DIA",2,3),FALSE)),0))</f>
        <v/>
      </c>
      <c r="J1108" s="31" t="str">
        <f t="shared" si="120"/>
        <v/>
      </c>
      <c r="K1108" s="31" t="str">
        <f t="shared" si="121"/>
        <v/>
      </c>
      <c r="L1108" s="31" t="str">
        <f>IF(OR(B1108="",C1108=""),"",IFERROR(E1108 / SUMIFS('📅 Resumen Diario'!$D$5:$D$504, '📅 Resumen Diario'!$B$5:$B$504, B1108, '📅 Resumen Diario'!$C$5:$C$504, D1108) * SUMIFS('📅 Resumen Diario'!$K$5:$K$504, '📅 Resumen Diario'!$B$5:$B$504, B1108, '📅 Resumen Diario'!$C$5:$C$504, D1108), 0))</f>
        <v/>
      </c>
      <c r="M1108" s="31" t="str">
        <f t="shared" si="122"/>
        <v/>
      </c>
      <c r="N1108" s="31" t="str">
        <f t="shared" si="123"/>
        <v/>
      </c>
      <c r="O1108" s="31" t="str">
        <f>IF(OR(B1108="",C1108=""),"",K1108-N1108 + IFERROR(E1108 / SUMIFS('📅 Resumen Diario'!$D$5:$D$504, '📅 Resumen Diario'!$B$5:$B$504, B1108, '📅 Resumen Diario'!$C$5:$C$504, D1108) * (SUMIFS('📋 Detalle Diario'!$E$5:$E$489, '📋 Detalle Diario'!$B$5:$B$489, B1108, '📋 Detalle Diario'!$C$5:$C$489, D1108) * 135 + SUMIFS('📋 Detalle Diario'!$I$5:$I$489, '📋 Detalle Diario'!$B$5:$B$489, B1108, '📋 Detalle Diario'!$C$5:$C$489, D1108) * 200), 0))</f>
        <v/>
      </c>
      <c r="P1108" s="32" t="str">
        <f t="shared" si="124"/>
        <v/>
      </c>
      <c r="Q1108" s="33" t="str">
        <f t="shared" si="125"/>
        <v/>
      </c>
    </row>
    <row r="1109" spans="2:17" ht="18" customHeight="1" x14ac:dyDescent="0.3">
      <c r="B1109" s="26"/>
      <c r="C1109" s="28"/>
      <c r="D1109" s="27"/>
      <c r="E1109" s="29"/>
      <c r="F1109" s="29"/>
      <c r="G1109" s="29"/>
      <c r="H1109" s="30" t="str">
        <f t="shared" si="119"/>
        <v/>
      </c>
      <c r="I1109" s="31" t="str">
        <f>IF(OR(B1109="",C1109=""),"",IFERROR(E1109*IF(E1109="",0,VLOOKUP(C1109,'📦 Precios Proforma'!$B$5:$D$104,IF(D1109="DIA",2,3),FALSE)),0))</f>
        <v/>
      </c>
      <c r="J1109" s="31" t="str">
        <f t="shared" si="120"/>
        <v/>
      </c>
      <c r="K1109" s="31" t="str">
        <f t="shared" si="121"/>
        <v/>
      </c>
      <c r="L1109" s="31" t="str">
        <f>IF(OR(B1109="",C1109=""),"",IFERROR(E1109 / SUMIFS('📅 Resumen Diario'!$D$5:$D$504, '📅 Resumen Diario'!$B$5:$B$504, B1109, '📅 Resumen Diario'!$C$5:$C$504, D1109) * SUMIFS('📅 Resumen Diario'!$K$5:$K$504, '📅 Resumen Diario'!$B$5:$B$504, B1109, '📅 Resumen Diario'!$C$5:$C$504, D1109), 0))</f>
        <v/>
      </c>
      <c r="M1109" s="31" t="str">
        <f t="shared" si="122"/>
        <v/>
      </c>
      <c r="N1109" s="31" t="str">
        <f t="shared" si="123"/>
        <v/>
      </c>
      <c r="O1109" s="31" t="str">
        <f>IF(OR(B1109="",C1109=""),"",K1109-N1109 + IFERROR(E1109 / SUMIFS('📅 Resumen Diario'!$D$5:$D$504, '📅 Resumen Diario'!$B$5:$B$504, B1109, '📅 Resumen Diario'!$C$5:$C$504, D1109) * (SUMIFS('📋 Detalle Diario'!$E$5:$E$489, '📋 Detalle Diario'!$B$5:$B$489, B1109, '📋 Detalle Diario'!$C$5:$C$489, D1109) * 135 + SUMIFS('📋 Detalle Diario'!$I$5:$I$489, '📋 Detalle Diario'!$B$5:$B$489, B1109, '📋 Detalle Diario'!$C$5:$C$489, D1109) * 200), 0))</f>
        <v/>
      </c>
      <c r="P1109" s="32" t="str">
        <f t="shared" si="124"/>
        <v/>
      </c>
      <c r="Q1109" s="33" t="str">
        <f t="shared" si="125"/>
        <v/>
      </c>
    </row>
    <row r="1110" spans="2:17" ht="18" customHeight="1" x14ac:dyDescent="0.3">
      <c r="B1110" s="26"/>
      <c r="C1110" s="17"/>
      <c r="D1110" s="27"/>
      <c r="E1110" s="18"/>
      <c r="F1110" s="18"/>
      <c r="G1110" s="18"/>
      <c r="H1110" s="30" t="str">
        <f t="shared" si="119"/>
        <v/>
      </c>
      <c r="I1110" s="31" t="str">
        <f>IF(OR(B1110="",C1110=""),"",IFERROR(E1110*IF(E1110="",0,VLOOKUP(C1110,'📦 Precios Proforma'!$B$5:$D$104,IF(D1110="DIA",2,3),FALSE)),0))</f>
        <v/>
      </c>
      <c r="J1110" s="31" t="str">
        <f t="shared" si="120"/>
        <v/>
      </c>
      <c r="K1110" s="31" t="str">
        <f t="shared" si="121"/>
        <v/>
      </c>
      <c r="L1110" s="31" t="str">
        <f>IF(OR(B1110="",C1110=""),"",IFERROR(E1110 / SUMIFS('📅 Resumen Diario'!$D$5:$D$504, '📅 Resumen Diario'!$B$5:$B$504, B1110, '📅 Resumen Diario'!$C$5:$C$504, D1110) * SUMIFS('📅 Resumen Diario'!$K$5:$K$504, '📅 Resumen Diario'!$B$5:$B$504, B1110, '📅 Resumen Diario'!$C$5:$C$504, D1110), 0))</f>
        <v/>
      </c>
      <c r="M1110" s="31" t="str">
        <f t="shared" si="122"/>
        <v/>
      </c>
      <c r="N1110" s="31" t="str">
        <f t="shared" si="123"/>
        <v/>
      </c>
      <c r="O1110" s="31" t="str">
        <f>IF(OR(B1110="",C1110=""),"",K1110-N1110 + IFERROR(E1110 / SUMIFS('📅 Resumen Diario'!$D$5:$D$504, '📅 Resumen Diario'!$B$5:$B$504, B1110, '📅 Resumen Diario'!$C$5:$C$504, D1110) * (SUMIFS('📋 Detalle Diario'!$E$5:$E$489, '📋 Detalle Diario'!$B$5:$B$489, B1110, '📋 Detalle Diario'!$C$5:$C$489, D1110) * 135 + SUMIFS('📋 Detalle Diario'!$I$5:$I$489, '📋 Detalle Diario'!$B$5:$B$489, B1110, '📋 Detalle Diario'!$C$5:$C$489, D1110) * 200), 0))</f>
        <v/>
      </c>
      <c r="P1110" s="32" t="str">
        <f t="shared" si="124"/>
        <v/>
      </c>
      <c r="Q1110" s="33" t="str">
        <f t="shared" si="125"/>
        <v/>
      </c>
    </row>
    <row r="1111" spans="2:17" ht="18" customHeight="1" x14ac:dyDescent="0.3">
      <c r="B1111" s="26"/>
      <c r="C1111" s="28"/>
      <c r="D1111" s="27"/>
      <c r="E1111" s="29"/>
      <c r="F1111" s="29"/>
      <c r="G1111" s="29"/>
      <c r="H1111" s="30" t="str">
        <f t="shared" si="119"/>
        <v/>
      </c>
      <c r="I1111" s="31" t="str">
        <f>IF(OR(B1111="",C1111=""),"",IFERROR(E1111*IF(E1111="",0,VLOOKUP(C1111,'📦 Precios Proforma'!$B$5:$D$104,IF(D1111="DIA",2,3),FALSE)),0))</f>
        <v/>
      </c>
      <c r="J1111" s="31" t="str">
        <f t="shared" si="120"/>
        <v/>
      </c>
      <c r="K1111" s="31" t="str">
        <f t="shared" si="121"/>
        <v/>
      </c>
      <c r="L1111" s="31" t="str">
        <f>IF(OR(B1111="",C1111=""),"",IFERROR(E1111 / SUMIFS('📅 Resumen Diario'!$D$5:$D$504, '📅 Resumen Diario'!$B$5:$B$504, B1111, '📅 Resumen Diario'!$C$5:$C$504, D1111) * SUMIFS('📅 Resumen Diario'!$K$5:$K$504, '📅 Resumen Diario'!$B$5:$B$504, B1111, '📅 Resumen Diario'!$C$5:$C$504, D1111), 0))</f>
        <v/>
      </c>
      <c r="M1111" s="31" t="str">
        <f t="shared" si="122"/>
        <v/>
      </c>
      <c r="N1111" s="31" t="str">
        <f t="shared" si="123"/>
        <v/>
      </c>
      <c r="O1111" s="31" t="str">
        <f>IF(OR(B1111="",C1111=""),"",K1111-N1111 + IFERROR(E1111 / SUMIFS('📅 Resumen Diario'!$D$5:$D$504, '📅 Resumen Diario'!$B$5:$B$504, B1111, '📅 Resumen Diario'!$C$5:$C$504, D1111) * (SUMIFS('📋 Detalle Diario'!$E$5:$E$489, '📋 Detalle Diario'!$B$5:$B$489, B1111, '📋 Detalle Diario'!$C$5:$C$489, D1111) * 135 + SUMIFS('📋 Detalle Diario'!$I$5:$I$489, '📋 Detalle Diario'!$B$5:$B$489, B1111, '📋 Detalle Diario'!$C$5:$C$489, D1111) * 200), 0))</f>
        <v/>
      </c>
      <c r="P1111" s="32" t="str">
        <f t="shared" si="124"/>
        <v/>
      </c>
      <c r="Q1111" s="33" t="str">
        <f t="shared" si="125"/>
        <v/>
      </c>
    </row>
    <row r="1112" spans="2:17" ht="18" customHeight="1" x14ac:dyDescent="0.3">
      <c r="B1112" s="26"/>
      <c r="C1112" s="17"/>
      <c r="D1112" s="27"/>
      <c r="E1112" s="18"/>
      <c r="F1112" s="18"/>
      <c r="G1112" s="18"/>
      <c r="H1112" s="30" t="str">
        <f t="shared" si="119"/>
        <v/>
      </c>
      <c r="I1112" s="31" t="str">
        <f>IF(OR(B1112="",C1112=""),"",IFERROR(E1112*IF(E1112="",0,VLOOKUP(C1112,'📦 Precios Proforma'!$B$5:$D$104,IF(D1112="DIA",2,3),FALSE)),0))</f>
        <v/>
      </c>
      <c r="J1112" s="31" t="str">
        <f t="shared" si="120"/>
        <v/>
      </c>
      <c r="K1112" s="31" t="str">
        <f t="shared" si="121"/>
        <v/>
      </c>
      <c r="L1112" s="31" t="str">
        <f>IF(OR(B1112="",C1112=""),"",IFERROR(E1112 / SUMIFS('📅 Resumen Diario'!$D$5:$D$504, '📅 Resumen Diario'!$B$5:$B$504, B1112, '📅 Resumen Diario'!$C$5:$C$504, D1112) * SUMIFS('📅 Resumen Diario'!$K$5:$K$504, '📅 Resumen Diario'!$B$5:$B$504, B1112, '📅 Resumen Diario'!$C$5:$C$504, D1112), 0))</f>
        <v/>
      </c>
      <c r="M1112" s="31" t="str">
        <f t="shared" si="122"/>
        <v/>
      </c>
      <c r="N1112" s="31" t="str">
        <f t="shared" si="123"/>
        <v/>
      </c>
      <c r="O1112" s="31" t="str">
        <f>IF(OR(B1112="",C1112=""),"",K1112-N1112 + IFERROR(E1112 / SUMIFS('📅 Resumen Diario'!$D$5:$D$504, '📅 Resumen Diario'!$B$5:$B$504, B1112, '📅 Resumen Diario'!$C$5:$C$504, D1112) * (SUMIFS('📋 Detalle Diario'!$E$5:$E$489, '📋 Detalle Diario'!$B$5:$B$489, B1112, '📋 Detalle Diario'!$C$5:$C$489, D1112) * 135 + SUMIFS('📋 Detalle Diario'!$I$5:$I$489, '📋 Detalle Diario'!$B$5:$B$489, B1112, '📋 Detalle Diario'!$C$5:$C$489, D1112) * 200), 0))</f>
        <v/>
      </c>
      <c r="P1112" s="32" t="str">
        <f t="shared" si="124"/>
        <v/>
      </c>
      <c r="Q1112" s="33" t="str">
        <f t="shared" si="125"/>
        <v/>
      </c>
    </row>
    <row r="1113" spans="2:17" ht="18" customHeight="1" x14ac:dyDescent="0.3">
      <c r="B1113" s="26"/>
      <c r="C1113" s="28"/>
      <c r="D1113" s="27"/>
      <c r="E1113" s="29"/>
      <c r="F1113" s="29"/>
      <c r="G1113" s="29"/>
      <c r="H1113" s="30" t="str">
        <f t="shared" si="119"/>
        <v/>
      </c>
      <c r="I1113" s="31" t="str">
        <f>IF(OR(B1113="",C1113=""),"",IFERROR(E1113*IF(E1113="",0,VLOOKUP(C1113,'📦 Precios Proforma'!$B$5:$D$104,IF(D1113="DIA",2,3),FALSE)),0))</f>
        <v/>
      </c>
      <c r="J1113" s="31" t="str">
        <f t="shared" si="120"/>
        <v/>
      </c>
      <c r="K1113" s="31" t="str">
        <f t="shared" si="121"/>
        <v/>
      </c>
      <c r="L1113" s="31" t="str">
        <f>IF(OR(B1113="",C1113=""),"",IFERROR(E1113 / SUMIFS('📅 Resumen Diario'!$D$5:$D$504, '📅 Resumen Diario'!$B$5:$B$504, B1113, '📅 Resumen Diario'!$C$5:$C$504, D1113) * SUMIFS('📅 Resumen Diario'!$K$5:$K$504, '📅 Resumen Diario'!$B$5:$B$504, B1113, '📅 Resumen Diario'!$C$5:$C$504, D1113), 0))</f>
        <v/>
      </c>
      <c r="M1113" s="31" t="str">
        <f t="shared" si="122"/>
        <v/>
      </c>
      <c r="N1113" s="31" t="str">
        <f t="shared" si="123"/>
        <v/>
      </c>
      <c r="O1113" s="31" t="str">
        <f>IF(OR(B1113="",C1113=""),"",K1113-N1113 + IFERROR(E1113 / SUMIFS('📅 Resumen Diario'!$D$5:$D$504, '📅 Resumen Diario'!$B$5:$B$504, B1113, '📅 Resumen Diario'!$C$5:$C$504, D1113) * (SUMIFS('📋 Detalle Diario'!$E$5:$E$489, '📋 Detalle Diario'!$B$5:$B$489, B1113, '📋 Detalle Diario'!$C$5:$C$489, D1113) * 135 + SUMIFS('📋 Detalle Diario'!$I$5:$I$489, '📋 Detalle Diario'!$B$5:$B$489, B1113, '📋 Detalle Diario'!$C$5:$C$489, D1113) * 200), 0))</f>
        <v/>
      </c>
      <c r="P1113" s="32" t="str">
        <f t="shared" si="124"/>
        <v/>
      </c>
      <c r="Q1113" s="33" t="str">
        <f t="shared" si="125"/>
        <v/>
      </c>
    </row>
    <row r="1114" spans="2:17" ht="18" customHeight="1" x14ac:dyDescent="0.3">
      <c r="B1114" s="26"/>
      <c r="C1114" s="17"/>
      <c r="D1114" s="27"/>
      <c r="E1114" s="18"/>
      <c r="F1114" s="18"/>
      <c r="G1114" s="18"/>
      <c r="H1114" s="30" t="str">
        <f t="shared" si="119"/>
        <v/>
      </c>
      <c r="I1114" s="31" t="str">
        <f>IF(OR(B1114="",C1114=""),"",IFERROR(E1114*IF(E1114="",0,VLOOKUP(C1114,'📦 Precios Proforma'!$B$5:$D$104,IF(D1114="DIA",2,3),FALSE)),0))</f>
        <v/>
      </c>
      <c r="J1114" s="31" t="str">
        <f t="shared" si="120"/>
        <v/>
      </c>
      <c r="K1114" s="31" t="str">
        <f t="shared" si="121"/>
        <v/>
      </c>
      <c r="L1114" s="31" t="str">
        <f>IF(OR(B1114="",C1114=""),"",IFERROR(E1114 / SUMIFS('📅 Resumen Diario'!$D$5:$D$504, '📅 Resumen Diario'!$B$5:$B$504, B1114, '📅 Resumen Diario'!$C$5:$C$504, D1114) * SUMIFS('📅 Resumen Diario'!$K$5:$K$504, '📅 Resumen Diario'!$B$5:$B$504, B1114, '📅 Resumen Diario'!$C$5:$C$504, D1114), 0))</f>
        <v/>
      </c>
      <c r="M1114" s="31" t="str">
        <f t="shared" si="122"/>
        <v/>
      </c>
      <c r="N1114" s="31" t="str">
        <f t="shared" si="123"/>
        <v/>
      </c>
      <c r="O1114" s="31" t="str">
        <f>IF(OR(B1114="",C1114=""),"",K1114-N1114 + IFERROR(E1114 / SUMIFS('📅 Resumen Diario'!$D$5:$D$504, '📅 Resumen Diario'!$B$5:$B$504, B1114, '📅 Resumen Diario'!$C$5:$C$504, D1114) * (SUMIFS('📋 Detalle Diario'!$E$5:$E$489, '📋 Detalle Diario'!$B$5:$B$489, B1114, '📋 Detalle Diario'!$C$5:$C$489, D1114) * 135 + SUMIFS('📋 Detalle Diario'!$I$5:$I$489, '📋 Detalle Diario'!$B$5:$B$489, B1114, '📋 Detalle Diario'!$C$5:$C$489, D1114) * 200), 0))</f>
        <v/>
      </c>
      <c r="P1114" s="32" t="str">
        <f t="shared" si="124"/>
        <v/>
      </c>
      <c r="Q1114" s="33" t="str">
        <f t="shared" si="125"/>
        <v/>
      </c>
    </row>
    <row r="1115" spans="2:17" ht="18" customHeight="1" x14ac:dyDescent="0.3">
      <c r="B1115" s="26"/>
      <c r="C1115" s="28"/>
      <c r="D1115" s="27"/>
      <c r="E1115" s="29"/>
      <c r="F1115" s="29"/>
      <c r="G1115" s="29"/>
      <c r="H1115" s="30" t="str">
        <f t="shared" si="119"/>
        <v/>
      </c>
      <c r="I1115" s="31" t="str">
        <f>IF(OR(B1115="",C1115=""),"",IFERROR(E1115*IF(E1115="",0,VLOOKUP(C1115,'📦 Precios Proforma'!$B$5:$D$104,IF(D1115="DIA",2,3),FALSE)),0))</f>
        <v/>
      </c>
      <c r="J1115" s="31" t="str">
        <f t="shared" si="120"/>
        <v/>
      </c>
      <c r="K1115" s="31" t="str">
        <f t="shared" si="121"/>
        <v/>
      </c>
      <c r="L1115" s="31" t="str">
        <f>IF(OR(B1115="",C1115=""),"",IFERROR(E1115 / SUMIFS('📅 Resumen Diario'!$D$5:$D$504, '📅 Resumen Diario'!$B$5:$B$504, B1115, '📅 Resumen Diario'!$C$5:$C$504, D1115) * SUMIFS('📅 Resumen Diario'!$K$5:$K$504, '📅 Resumen Diario'!$B$5:$B$504, B1115, '📅 Resumen Diario'!$C$5:$C$504, D1115), 0))</f>
        <v/>
      </c>
      <c r="M1115" s="31" t="str">
        <f t="shared" si="122"/>
        <v/>
      </c>
      <c r="N1115" s="31" t="str">
        <f t="shared" si="123"/>
        <v/>
      </c>
      <c r="O1115" s="31" t="str">
        <f>IF(OR(B1115="",C1115=""),"",K1115-N1115 + IFERROR(E1115 / SUMIFS('📅 Resumen Diario'!$D$5:$D$504, '📅 Resumen Diario'!$B$5:$B$504, B1115, '📅 Resumen Diario'!$C$5:$C$504, D1115) * (SUMIFS('📋 Detalle Diario'!$E$5:$E$489, '📋 Detalle Diario'!$B$5:$B$489, B1115, '📋 Detalle Diario'!$C$5:$C$489, D1115) * 135 + SUMIFS('📋 Detalle Diario'!$I$5:$I$489, '📋 Detalle Diario'!$B$5:$B$489, B1115, '📋 Detalle Diario'!$C$5:$C$489, D1115) * 200), 0))</f>
        <v/>
      </c>
      <c r="P1115" s="32" t="str">
        <f t="shared" si="124"/>
        <v/>
      </c>
      <c r="Q1115" s="33" t="str">
        <f t="shared" si="125"/>
        <v/>
      </c>
    </row>
    <row r="1116" spans="2:17" ht="18" customHeight="1" x14ac:dyDescent="0.3">
      <c r="B1116" s="26"/>
      <c r="C1116" s="17"/>
      <c r="D1116" s="27"/>
      <c r="E1116" s="18"/>
      <c r="F1116" s="18"/>
      <c r="G1116" s="18"/>
      <c r="H1116" s="30" t="str">
        <f t="shared" si="119"/>
        <v/>
      </c>
      <c r="I1116" s="31" t="str">
        <f>IF(OR(B1116="",C1116=""),"",IFERROR(E1116*IF(E1116="",0,VLOOKUP(C1116,'📦 Precios Proforma'!$B$5:$D$104,IF(D1116="DIA",2,3),FALSE)),0))</f>
        <v/>
      </c>
      <c r="J1116" s="31" t="str">
        <f t="shared" si="120"/>
        <v/>
      </c>
      <c r="K1116" s="31" t="str">
        <f t="shared" si="121"/>
        <v/>
      </c>
      <c r="L1116" s="31" t="str">
        <f>IF(OR(B1116="",C1116=""),"",IFERROR(E1116 / SUMIFS('📅 Resumen Diario'!$D$5:$D$504, '📅 Resumen Diario'!$B$5:$B$504, B1116, '📅 Resumen Diario'!$C$5:$C$504, D1116) * SUMIFS('📅 Resumen Diario'!$K$5:$K$504, '📅 Resumen Diario'!$B$5:$B$504, B1116, '📅 Resumen Diario'!$C$5:$C$504, D1116), 0))</f>
        <v/>
      </c>
      <c r="M1116" s="31" t="str">
        <f t="shared" si="122"/>
        <v/>
      </c>
      <c r="N1116" s="31" t="str">
        <f t="shared" si="123"/>
        <v/>
      </c>
      <c r="O1116" s="31" t="str">
        <f>IF(OR(B1116="",C1116=""),"",K1116-N1116 + IFERROR(E1116 / SUMIFS('📅 Resumen Diario'!$D$5:$D$504, '📅 Resumen Diario'!$B$5:$B$504, B1116, '📅 Resumen Diario'!$C$5:$C$504, D1116) * (SUMIFS('📋 Detalle Diario'!$E$5:$E$489, '📋 Detalle Diario'!$B$5:$B$489, B1116, '📋 Detalle Diario'!$C$5:$C$489, D1116) * 135 + SUMIFS('📋 Detalle Diario'!$I$5:$I$489, '📋 Detalle Diario'!$B$5:$B$489, B1116, '📋 Detalle Diario'!$C$5:$C$489, D1116) * 200), 0))</f>
        <v/>
      </c>
      <c r="P1116" s="32" t="str">
        <f t="shared" si="124"/>
        <v/>
      </c>
      <c r="Q1116" s="33" t="str">
        <f t="shared" si="125"/>
        <v/>
      </c>
    </row>
    <row r="1117" spans="2:17" ht="18" customHeight="1" x14ac:dyDescent="0.3">
      <c r="B1117" s="26"/>
      <c r="C1117" s="28"/>
      <c r="D1117" s="27"/>
      <c r="E1117" s="29"/>
      <c r="F1117" s="29"/>
      <c r="G1117" s="29"/>
      <c r="H1117" s="30" t="str">
        <f t="shared" si="119"/>
        <v/>
      </c>
      <c r="I1117" s="31" t="str">
        <f>IF(OR(B1117="",C1117=""),"",IFERROR(E1117*IF(E1117="",0,VLOOKUP(C1117,'📦 Precios Proforma'!$B$5:$D$104,IF(D1117="DIA",2,3),FALSE)),0))</f>
        <v/>
      </c>
      <c r="J1117" s="31" t="str">
        <f t="shared" si="120"/>
        <v/>
      </c>
      <c r="K1117" s="31" t="str">
        <f t="shared" si="121"/>
        <v/>
      </c>
      <c r="L1117" s="31" t="str">
        <f>IF(OR(B1117="",C1117=""),"",IFERROR(E1117 / SUMIFS('📅 Resumen Diario'!$D$5:$D$504, '📅 Resumen Diario'!$B$5:$B$504, B1117, '📅 Resumen Diario'!$C$5:$C$504, D1117) * SUMIFS('📅 Resumen Diario'!$K$5:$K$504, '📅 Resumen Diario'!$B$5:$B$504, B1117, '📅 Resumen Diario'!$C$5:$C$504, D1117), 0))</f>
        <v/>
      </c>
      <c r="M1117" s="31" t="str">
        <f t="shared" si="122"/>
        <v/>
      </c>
      <c r="N1117" s="31" t="str">
        <f t="shared" si="123"/>
        <v/>
      </c>
      <c r="O1117" s="31" t="str">
        <f>IF(OR(B1117="",C1117=""),"",K1117-N1117 + IFERROR(E1117 / SUMIFS('📅 Resumen Diario'!$D$5:$D$504, '📅 Resumen Diario'!$B$5:$B$504, B1117, '📅 Resumen Diario'!$C$5:$C$504, D1117) * (SUMIFS('📋 Detalle Diario'!$E$5:$E$489, '📋 Detalle Diario'!$B$5:$B$489, B1117, '📋 Detalle Diario'!$C$5:$C$489, D1117) * 135 + SUMIFS('📋 Detalle Diario'!$I$5:$I$489, '📋 Detalle Diario'!$B$5:$B$489, B1117, '📋 Detalle Diario'!$C$5:$C$489, D1117) * 200), 0))</f>
        <v/>
      </c>
      <c r="P1117" s="32" t="str">
        <f t="shared" si="124"/>
        <v/>
      </c>
      <c r="Q1117" s="33" t="str">
        <f t="shared" si="125"/>
        <v/>
      </c>
    </row>
    <row r="1118" spans="2:17" ht="18" customHeight="1" x14ac:dyDescent="0.3">
      <c r="B1118" s="26"/>
      <c r="C1118" s="17"/>
      <c r="D1118" s="27"/>
      <c r="E1118" s="18"/>
      <c r="F1118" s="18"/>
      <c r="G1118" s="18"/>
      <c r="H1118" s="30" t="str">
        <f t="shared" si="119"/>
        <v/>
      </c>
      <c r="I1118" s="31" t="str">
        <f>IF(OR(B1118="",C1118=""),"",IFERROR(E1118*IF(E1118="",0,VLOOKUP(C1118,'📦 Precios Proforma'!$B$5:$D$104,IF(D1118="DIA",2,3),FALSE)),0))</f>
        <v/>
      </c>
      <c r="J1118" s="31" t="str">
        <f t="shared" si="120"/>
        <v/>
      </c>
      <c r="K1118" s="31" t="str">
        <f t="shared" si="121"/>
        <v/>
      </c>
      <c r="L1118" s="31" t="str">
        <f>IF(OR(B1118="",C1118=""),"",IFERROR(E1118 / SUMIFS('📅 Resumen Diario'!$D$5:$D$504, '📅 Resumen Diario'!$B$5:$B$504, B1118, '📅 Resumen Diario'!$C$5:$C$504, D1118) * SUMIFS('📅 Resumen Diario'!$K$5:$K$504, '📅 Resumen Diario'!$B$5:$B$504, B1118, '📅 Resumen Diario'!$C$5:$C$504, D1118), 0))</f>
        <v/>
      </c>
      <c r="M1118" s="31" t="str">
        <f t="shared" si="122"/>
        <v/>
      </c>
      <c r="N1118" s="31" t="str">
        <f t="shared" si="123"/>
        <v/>
      </c>
      <c r="O1118" s="31" t="str">
        <f>IF(OR(B1118="",C1118=""),"",K1118-N1118 + IFERROR(E1118 / SUMIFS('📅 Resumen Diario'!$D$5:$D$504, '📅 Resumen Diario'!$B$5:$B$504, B1118, '📅 Resumen Diario'!$C$5:$C$504, D1118) * (SUMIFS('📋 Detalle Diario'!$E$5:$E$489, '📋 Detalle Diario'!$B$5:$B$489, B1118, '📋 Detalle Diario'!$C$5:$C$489, D1118) * 135 + SUMIFS('📋 Detalle Diario'!$I$5:$I$489, '📋 Detalle Diario'!$B$5:$B$489, B1118, '📋 Detalle Diario'!$C$5:$C$489, D1118) * 200), 0))</f>
        <v/>
      </c>
      <c r="P1118" s="32" t="str">
        <f t="shared" si="124"/>
        <v/>
      </c>
      <c r="Q1118" s="33" t="str">
        <f t="shared" si="125"/>
        <v/>
      </c>
    </row>
    <row r="1119" spans="2:17" ht="18" customHeight="1" x14ac:dyDescent="0.3">
      <c r="B1119" s="26"/>
      <c r="C1119" s="28"/>
      <c r="D1119" s="27"/>
      <c r="E1119" s="29"/>
      <c r="F1119" s="29"/>
      <c r="G1119" s="29"/>
      <c r="H1119" s="30" t="str">
        <f t="shared" si="119"/>
        <v/>
      </c>
      <c r="I1119" s="31" t="str">
        <f>IF(OR(B1119="",C1119=""),"",IFERROR(E1119*IF(E1119="",0,VLOOKUP(C1119,'📦 Precios Proforma'!$B$5:$D$104,IF(D1119="DIA",2,3),FALSE)),0))</f>
        <v/>
      </c>
      <c r="J1119" s="31" t="str">
        <f t="shared" si="120"/>
        <v/>
      </c>
      <c r="K1119" s="31" t="str">
        <f t="shared" si="121"/>
        <v/>
      </c>
      <c r="L1119" s="31" t="str">
        <f>IF(OR(B1119="",C1119=""),"",IFERROR(E1119 / SUMIFS('📅 Resumen Diario'!$D$5:$D$504, '📅 Resumen Diario'!$B$5:$B$504, B1119, '📅 Resumen Diario'!$C$5:$C$504, D1119) * SUMIFS('📅 Resumen Diario'!$K$5:$K$504, '📅 Resumen Diario'!$B$5:$B$504, B1119, '📅 Resumen Diario'!$C$5:$C$504, D1119), 0))</f>
        <v/>
      </c>
      <c r="M1119" s="31" t="str">
        <f t="shared" si="122"/>
        <v/>
      </c>
      <c r="N1119" s="31" t="str">
        <f t="shared" si="123"/>
        <v/>
      </c>
      <c r="O1119" s="31" t="str">
        <f>IF(OR(B1119="",C1119=""),"",K1119-N1119 + IFERROR(E1119 / SUMIFS('📅 Resumen Diario'!$D$5:$D$504, '📅 Resumen Diario'!$B$5:$B$504, B1119, '📅 Resumen Diario'!$C$5:$C$504, D1119) * (SUMIFS('📋 Detalle Diario'!$E$5:$E$489, '📋 Detalle Diario'!$B$5:$B$489, B1119, '📋 Detalle Diario'!$C$5:$C$489, D1119) * 135 + SUMIFS('📋 Detalle Diario'!$I$5:$I$489, '📋 Detalle Diario'!$B$5:$B$489, B1119, '📋 Detalle Diario'!$C$5:$C$489, D1119) * 200), 0))</f>
        <v/>
      </c>
      <c r="P1119" s="32" t="str">
        <f t="shared" si="124"/>
        <v/>
      </c>
      <c r="Q1119" s="33" t="str">
        <f t="shared" si="125"/>
        <v/>
      </c>
    </row>
    <row r="1120" spans="2:17" ht="18" customHeight="1" x14ac:dyDescent="0.3">
      <c r="B1120" s="26"/>
      <c r="C1120" s="17"/>
      <c r="D1120" s="27"/>
      <c r="E1120" s="18"/>
      <c r="F1120" s="18"/>
      <c r="G1120" s="18"/>
      <c r="H1120" s="30" t="str">
        <f t="shared" si="119"/>
        <v/>
      </c>
      <c r="I1120" s="31" t="str">
        <f>IF(OR(B1120="",C1120=""),"",IFERROR(E1120*IF(E1120="",0,VLOOKUP(C1120,'📦 Precios Proforma'!$B$5:$D$104,IF(D1120="DIA",2,3),FALSE)),0))</f>
        <v/>
      </c>
      <c r="J1120" s="31" t="str">
        <f t="shared" si="120"/>
        <v/>
      </c>
      <c r="K1120" s="31" t="str">
        <f t="shared" si="121"/>
        <v/>
      </c>
      <c r="L1120" s="31" t="str">
        <f>IF(OR(B1120="",C1120=""),"",IFERROR(E1120 / SUMIFS('📅 Resumen Diario'!$D$5:$D$504, '📅 Resumen Diario'!$B$5:$B$504, B1120, '📅 Resumen Diario'!$C$5:$C$504, D1120) * SUMIFS('📅 Resumen Diario'!$K$5:$K$504, '📅 Resumen Diario'!$B$5:$B$504, B1120, '📅 Resumen Diario'!$C$5:$C$504, D1120), 0))</f>
        <v/>
      </c>
      <c r="M1120" s="31" t="str">
        <f t="shared" si="122"/>
        <v/>
      </c>
      <c r="N1120" s="31" t="str">
        <f t="shared" si="123"/>
        <v/>
      </c>
      <c r="O1120" s="31" t="str">
        <f>IF(OR(B1120="",C1120=""),"",K1120-N1120 + IFERROR(E1120 / SUMIFS('📅 Resumen Diario'!$D$5:$D$504, '📅 Resumen Diario'!$B$5:$B$504, B1120, '📅 Resumen Diario'!$C$5:$C$504, D1120) * (SUMIFS('📋 Detalle Diario'!$E$5:$E$489, '📋 Detalle Diario'!$B$5:$B$489, B1120, '📋 Detalle Diario'!$C$5:$C$489, D1120) * 135 + SUMIFS('📋 Detalle Diario'!$I$5:$I$489, '📋 Detalle Diario'!$B$5:$B$489, B1120, '📋 Detalle Diario'!$C$5:$C$489, D1120) * 200), 0))</f>
        <v/>
      </c>
      <c r="P1120" s="32" t="str">
        <f t="shared" si="124"/>
        <v/>
      </c>
      <c r="Q1120" s="33" t="str">
        <f t="shared" si="125"/>
        <v/>
      </c>
    </row>
    <row r="1121" spans="2:17" ht="18" customHeight="1" x14ac:dyDescent="0.3">
      <c r="B1121" s="26"/>
      <c r="C1121" s="28"/>
      <c r="D1121" s="27"/>
      <c r="E1121" s="29"/>
      <c r="F1121" s="29"/>
      <c r="G1121" s="29"/>
      <c r="H1121" s="30" t="str">
        <f t="shared" si="119"/>
        <v/>
      </c>
      <c r="I1121" s="31" t="str">
        <f>IF(OR(B1121="",C1121=""),"",IFERROR(E1121*IF(E1121="",0,VLOOKUP(C1121,'📦 Precios Proforma'!$B$5:$D$104,IF(D1121="DIA",2,3),FALSE)),0))</f>
        <v/>
      </c>
      <c r="J1121" s="31" t="str">
        <f t="shared" si="120"/>
        <v/>
      </c>
      <c r="K1121" s="31" t="str">
        <f t="shared" si="121"/>
        <v/>
      </c>
      <c r="L1121" s="31" t="str">
        <f>IF(OR(B1121="",C1121=""),"",IFERROR(E1121 / SUMIFS('📅 Resumen Diario'!$D$5:$D$504, '📅 Resumen Diario'!$B$5:$B$504, B1121, '📅 Resumen Diario'!$C$5:$C$504, D1121) * SUMIFS('📅 Resumen Diario'!$K$5:$K$504, '📅 Resumen Diario'!$B$5:$B$504, B1121, '📅 Resumen Diario'!$C$5:$C$504, D1121), 0))</f>
        <v/>
      </c>
      <c r="M1121" s="31" t="str">
        <f t="shared" si="122"/>
        <v/>
      </c>
      <c r="N1121" s="31" t="str">
        <f t="shared" si="123"/>
        <v/>
      </c>
      <c r="O1121" s="31" t="str">
        <f>IF(OR(B1121="",C1121=""),"",K1121-N1121 + IFERROR(E1121 / SUMIFS('📅 Resumen Diario'!$D$5:$D$504, '📅 Resumen Diario'!$B$5:$B$504, B1121, '📅 Resumen Diario'!$C$5:$C$504, D1121) * (SUMIFS('📋 Detalle Diario'!$E$5:$E$489, '📋 Detalle Diario'!$B$5:$B$489, B1121, '📋 Detalle Diario'!$C$5:$C$489, D1121) * 135 + SUMIFS('📋 Detalle Diario'!$I$5:$I$489, '📋 Detalle Diario'!$B$5:$B$489, B1121, '📋 Detalle Diario'!$C$5:$C$489, D1121) * 200), 0))</f>
        <v/>
      </c>
      <c r="P1121" s="32" t="str">
        <f t="shared" si="124"/>
        <v/>
      </c>
      <c r="Q1121" s="33" t="str">
        <f t="shared" si="125"/>
        <v/>
      </c>
    </row>
    <row r="1122" spans="2:17" ht="18" customHeight="1" x14ac:dyDescent="0.3">
      <c r="B1122" s="26"/>
      <c r="C1122" s="17"/>
      <c r="D1122" s="27"/>
      <c r="E1122" s="18"/>
      <c r="F1122" s="18"/>
      <c r="G1122" s="18"/>
      <c r="H1122" s="30" t="str">
        <f t="shared" si="119"/>
        <v/>
      </c>
      <c r="I1122" s="31" t="str">
        <f>IF(OR(B1122="",C1122=""),"",IFERROR(E1122*IF(E1122="",0,VLOOKUP(C1122,'📦 Precios Proforma'!$B$5:$D$104,IF(D1122="DIA",2,3),FALSE)),0))</f>
        <v/>
      </c>
      <c r="J1122" s="31" t="str">
        <f t="shared" si="120"/>
        <v/>
      </c>
      <c r="K1122" s="31" t="str">
        <f t="shared" si="121"/>
        <v/>
      </c>
      <c r="L1122" s="31" t="str">
        <f>IF(OR(B1122="",C1122=""),"",IFERROR(E1122 / SUMIFS('📅 Resumen Diario'!$D$5:$D$504, '📅 Resumen Diario'!$B$5:$B$504, B1122, '📅 Resumen Diario'!$C$5:$C$504, D1122) * SUMIFS('📅 Resumen Diario'!$K$5:$K$504, '📅 Resumen Diario'!$B$5:$B$504, B1122, '📅 Resumen Diario'!$C$5:$C$504, D1122), 0))</f>
        <v/>
      </c>
      <c r="M1122" s="31" t="str">
        <f t="shared" si="122"/>
        <v/>
      </c>
      <c r="N1122" s="31" t="str">
        <f t="shared" si="123"/>
        <v/>
      </c>
      <c r="O1122" s="31" t="str">
        <f>IF(OR(B1122="",C1122=""),"",K1122-N1122 + IFERROR(E1122 / SUMIFS('📅 Resumen Diario'!$D$5:$D$504, '📅 Resumen Diario'!$B$5:$B$504, B1122, '📅 Resumen Diario'!$C$5:$C$504, D1122) * (SUMIFS('📋 Detalle Diario'!$E$5:$E$489, '📋 Detalle Diario'!$B$5:$B$489, B1122, '📋 Detalle Diario'!$C$5:$C$489, D1122) * 135 + SUMIFS('📋 Detalle Diario'!$I$5:$I$489, '📋 Detalle Diario'!$B$5:$B$489, B1122, '📋 Detalle Diario'!$C$5:$C$489, D1122) * 200), 0))</f>
        <v/>
      </c>
      <c r="P1122" s="32" t="str">
        <f t="shared" si="124"/>
        <v/>
      </c>
      <c r="Q1122" s="33" t="str">
        <f t="shared" si="125"/>
        <v/>
      </c>
    </row>
    <row r="1123" spans="2:17" ht="18" customHeight="1" x14ac:dyDescent="0.3">
      <c r="B1123" s="26"/>
      <c r="C1123" s="28"/>
      <c r="D1123" s="27"/>
      <c r="E1123" s="29"/>
      <c r="F1123" s="29"/>
      <c r="G1123" s="29"/>
      <c r="H1123" s="30" t="str">
        <f t="shared" si="119"/>
        <v/>
      </c>
      <c r="I1123" s="31" t="str">
        <f>IF(OR(B1123="",C1123=""),"",IFERROR(E1123*IF(E1123="",0,VLOOKUP(C1123,'📦 Precios Proforma'!$B$5:$D$104,IF(D1123="DIA",2,3),FALSE)),0))</f>
        <v/>
      </c>
      <c r="J1123" s="31" t="str">
        <f t="shared" si="120"/>
        <v/>
      </c>
      <c r="K1123" s="31" t="str">
        <f t="shared" si="121"/>
        <v/>
      </c>
      <c r="L1123" s="31" t="str">
        <f>IF(OR(B1123="",C1123=""),"",IFERROR(E1123 / SUMIFS('📅 Resumen Diario'!$D$5:$D$504, '📅 Resumen Diario'!$B$5:$B$504, B1123, '📅 Resumen Diario'!$C$5:$C$504, D1123) * SUMIFS('📅 Resumen Diario'!$K$5:$K$504, '📅 Resumen Diario'!$B$5:$B$504, B1123, '📅 Resumen Diario'!$C$5:$C$504, D1123), 0))</f>
        <v/>
      </c>
      <c r="M1123" s="31" t="str">
        <f t="shared" si="122"/>
        <v/>
      </c>
      <c r="N1123" s="31" t="str">
        <f t="shared" si="123"/>
        <v/>
      </c>
      <c r="O1123" s="31" t="str">
        <f>IF(OR(B1123="",C1123=""),"",K1123-N1123 + IFERROR(E1123 / SUMIFS('📅 Resumen Diario'!$D$5:$D$504, '📅 Resumen Diario'!$B$5:$B$504, B1123, '📅 Resumen Diario'!$C$5:$C$504, D1123) * (SUMIFS('📋 Detalle Diario'!$E$5:$E$489, '📋 Detalle Diario'!$B$5:$B$489, B1123, '📋 Detalle Diario'!$C$5:$C$489, D1123) * 135 + SUMIFS('📋 Detalle Diario'!$I$5:$I$489, '📋 Detalle Diario'!$B$5:$B$489, B1123, '📋 Detalle Diario'!$C$5:$C$489, D1123) * 200), 0))</f>
        <v/>
      </c>
      <c r="P1123" s="32" t="str">
        <f t="shared" si="124"/>
        <v/>
      </c>
      <c r="Q1123" s="33" t="str">
        <f t="shared" si="125"/>
        <v/>
      </c>
    </row>
    <row r="1124" spans="2:17" ht="18" customHeight="1" x14ac:dyDescent="0.3">
      <c r="B1124" s="26"/>
      <c r="C1124" s="17"/>
      <c r="D1124" s="27"/>
      <c r="E1124" s="18"/>
      <c r="F1124" s="18"/>
      <c r="G1124" s="18"/>
      <c r="H1124" s="30" t="str">
        <f t="shared" si="119"/>
        <v/>
      </c>
      <c r="I1124" s="31" t="str">
        <f>IF(OR(B1124="",C1124=""),"",IFERROR(E1124*IF(E1124="",0,VLOOKUP(C1124,'📦 Precios Proforma'!$B$5:$D$104,IF(D1124="DIA",2,3),FALSE)),0))</f>
        <v/>
      </c>
      <c r="J1124" s="31" t="str">
        <f t="shared" si="120"/>
        <v/>
      </c>
      <c r="K1124" s="31" t="str">
        <f t="shared" si="121"/>
        <v/>
      </c>
      <c r="L1124" s="31" t="str">
        <f>IF(OR(B1124="",C1124=""),"",IFERROR(E1124 / SUMIFS('📅 Resumen Diario'!$D$5:$D$504, '📅 Resumen Diario'!$B$5:$B$504, B1124, '📅 Resumen Diario'!$C$5:$C$504, D1124) * SUMIFS('📅 Resumen Diario'!$K$5:$K$504, '📅 Resumen Diario'!$B$5:$B$504, B1124, '📅 Resumen Diario'!$C$5:$C$504, D1124), 0))</f>
        <v/>
      </c>
      <c r="M1124" s="31" t="str">
        <f t="shared" si="122"/>
        <v/>
      </c>
      <c r="N1124" s="31" t="str">
        <f t="shared" si="123"/>
        <v/>
      </c>
      <c r="O1124" s="31" t="str">
        <f>IF(OR(B1124="",C1124=""),"",K1124-N1124 + IFERROR(E1124 / SUMIFS('📅 Resumen Diario'!$D$5:$D$504, '📅 Resumen Diario'!$B$5:$B$504, B1124, '📅 Resumen Diario'!$C$5:$C$504, D1124) * (SUMIFS('📋 Detalle Diario'!$E$5:$E$489, '📋 Detalle Diario'!$B$5:$B$489, B1124, '📋 Detalle Diario'!$C$5:$C$489, D1124) * 135 + SUMIFS('📋 Detalle Diario'!$I$5:$I$489, '📋 Detalle Diario'!$B$5:$B$489, B1124, '📋 Detalle Diario'!$C$5:$C$489, D1124) * 200), 0))</f>
        <v/>
      </c>
      <c r="P1124" s="32" t="str">
        <f t="shared" si="124"/>
        <v/>
      </c>
      <c r="Q1124" s="33" t="str">
        <f t="shared" si="125"/>
        <v/>
      </c>
    </row>
    <row r="1125" spans="2:17" ht="18" customHeight="1" x14ac:dyDescent="0.3">
      <c r="B1125" s="26"/>
      <c r="C1125" s="28"/>
      <c r="D1125" s="27"/>
      <c r="E1125" s="29"/>
      <c r="F1125" s="29"/>
      <c r="G1125" s="29"/>
      <c r="H1125" s="30" t="str">
        <f t="shared" si="119"/>
        <v/>
      </c>
      <c r="I1125" s="31" t="str">
        <f>IF(OR(B1125="",C1125=""),"",IFERROR(E1125*IF(E1125="",0,VLOOKUP(C1125,'📦 Precios Proforma'!$B$5:$D$104,IF(D1125="DIA",2,3),FALSE)),0))</f>
        <v/>
      </c>
      <c r="J1125" s="31" t="str">
        <f t="shared" si="120"/>
        <v/>
      </c>
      <c r="K1125" s="31" t="str">
        <f t="shared" si="121"/>
        <v/>
      </c>
      <c r="L1125" s="31" t="str">
        <f>IF(OR(B1125="",C1125=""),"",IFERROR(E1125 / SUMIFS('📅 Resumen Diario'!$D$5:$D$504, '📅 Resumen Diario'!$B$5:$B$504, B1125, '📅 Resumen Diario'!$C$5:$C$504, D1125) * SUMIFS('📅 Resumen Diario'!$K$5:$K$504, '📅 Resumen Diario'!$B$5:$B$504, B1125, '📅 Resumen Diario'!$C$5:$C$504, D1125), 0))</f>
        <v/>
      </c>
      <c r="M1125" s="31" t="str">
        <f t="shared" si="122"/>
        <v/>
      </c>
      <c r="N1125" s="31" t="str">
        <f t="shared" si="123"/>
        <v/>
      </c>
      <c r="O1125" s="31" t="str">
        <f>IF(OR(B1125="",C1125=""),"",K1125-N1125 + IFERROR(E1125 / SUMIFS('📅 Resumen Diario'!$D$5:$D$504, '📅 Resumen Diario'!$B$5:$B$504, B1125, '📅 Resumen Diario'!$C$5:$C$504, D1125) * (SUMIFS('📋 Detalle Diario'!$E$5:$E$489, '📋 Detalle Diario'!$B$5:$B$489, B1125, '📋 Detalle Diario'!$C$5:$C$489, D1125) * 135 + SUMIFS('📋 Detalle Diario'!$I$5:$I$489, '📋 Detalle Diario'!$B$5:$B$489, B1125, '📋 Detalle Diario'!$C$5:$C$489, D1125) * 200), 0))</f>
        <v/>
      </c>
      <c r="P1125" s="32" t="str">
        <f t="shared" si="124"/>
        <v/>
      </c>
      <c r="Q1125" s="33" t="str">
        <f t="shared" si="125"/>
        <v/>
      </c>
    </row>
    <row r="1126" spans="2:17" ht="18" customHeight="1" x14ac:dyDescent="0.3">
      <c r="B1126" s="26"/>
      <c r="C1126" s="17"/>
      <c r="D1126" s="27"/>
      <c r="E1126" s="18"/>
      <c r="F1126" s="18"/>
      <c r="G1126" s="18"/>
      <c r="H1126" s="30" t="str">
        <f t="shared" si="119"/>
        <v/>
      </c>
      <c r="I1126" s="31" t="str">
        <f>IF(OR(B1126="",C1126=""),"",IFERROR(E1126*IF(E1126="",0,VLOOKUP(C1126,'📦 Precios Proforma'!$B$5:$D$104,IF(D1126="DIA",2,3),FALSE)),0))</f>
        <v/>
      </c>
      <c r="J1126" s="31" t="str">
        <f t="shared" si="120"/>
        <v/>
      </c>
      <c r="K1126" s="31" t="str">
        <f t="shared" si="121"/>
        <v/>
      </c>
      <c r="L1126" s="31" t="str">
        <f>IF(OR(B1126="",C1126=""),"",IFERROR(E1126 / SUMIFS('📅 Resumen Diario'!$D$5:$D$504, '📅 Resumen Diario'!$B$5:$B$504, B1126, '📅 Resumen Diario'!$C$5:$C$504, D1126) * SUMIFS('📅 Resumen Diario'!$K$5:$K$504, '📅 Resumen Diario'!$B$5:$B$504, B1126, '📅 Resumen Diario'!$C$5:$C$504, D1126), 0))</f>
        <v/>
      </c>
      <c r="M1126" s="31" t="str">
        <f t="shared" si="122"/>
        <v/>
      </c>
      <c r="N1126" s="31" t="str">
        <f t="shared" si="123"/>
        <v/>
      </c>
      <c r="O1126" s="31" t="str">
        <f>IF(OR(B1126="",C1126=""),"",K1126-N1126 + IFERROR(E1126 / SUMIFS('📅 Resumen Diario'!$D$5:$D$504, '📅 Resumen Diario'!$B$5:$B$504, B1126, '📅 Resumen Diario'!$C$5:$C$504, D1126) * (SUMIFS('📋 Detalle Diario'!$E$5:$E$489, '📋 Detalle Diario'!$B$5:$B$489, B1126, '📋 Detalle Diario'!$C$5:$C$489, D1126) * 135 + SUMIFS('📋 Detalle Diario'!$I$5:$I$489, '📋 Detalle Diario'!$B$5:$B$489, B1126, '📋 Detalle Diario'!$C$5:$C$489, D1126) * 200), 0))</f>
        <v/>
      </c>
      <c r="P1126" s="32" t="str">
        <f t="shared" si="124"/>
        <v/>
      </c>
      <c r="Q1126" s="33" t="str">
        <f t="shared" si="125"/>
        <v/>
      </c>
    </row>
    <row r="1127" spans="2:17" ht="18" customHeight="1" x14ac:dyDescent="0.3">
      <c r="B1127" s="26"/>
      <c r="C1127" s="28"/>
      <c r="D1127" s="27"/>
      <c r="E1127" s="29"/>
      <c r="F1127" s="29"/>
      <c r="G1127" s="29"/>
      <c r="H1127" s="30" t="str">
        <f t="shared" si="119"/>
        <v/>
      </c>
      <c r="I1127" s="31" t="str">
        <f>IF(OR(B1127="",C1127=""),"",IFERROR(E1127*IF(E1127="",0,VLOOKUP(C1127,'📦 Precios Proforma'!$B$5:$D$104,IF(D1127="DIA",2,3),FALSE)),0))</f>
        <v/>
      </c>
      <c r="J1127" s="31" t="str">
        <f t="shared" si="120"/>
        <v/>
      </c>
      <c r="K1127" s="31" t="str">
        <f t="shared" si="121"/>
        <v/>
      </c>
      <c r="L1127" s="31" t="str">
        <f>IF(OR(B1127="",C1127=""),"",IFERROR(E1127 / SUMIFS('📅 Resumen Diario'!$D$5:$D$504, '📅 Resumen Diario'!$B$5:$B$504, B1127, '📅 Resumen Diario'!$C$5:$C$504, D1127) * SUMIFS('📅 Resumen Diario'!$K$5:$K$504, '📅 Resumen Diario'!$B$5:$B$504, B1127, '📅 Resumen Diario'!$C$5:$C$504, D1127), 0))</f>
        <v/>
      </c>
      <c r="M1127" s="31" t="str">
        <f t="shared" si="122"/>
        <v/>
      </c>
      <c r="N1127" s="31" t="str">
        <f t="shared" si="123"/>
        <v/>
      </c>
      <c r="O1127" s="31" t="str">
        <f>IF(OR(B1127="",C1127=""),"",K1127-N1127 + IFERROR(E1127 / SUMIFS('📅 Resumen Diario'!$D$5:$D$504, '📅 Resumen Diario'!$B$5:$B$504, B1127, '📅 Resumen Diario'!$C$5:$C$504, D1127) * (SUMIFS('📋 Detalle Diario'!$E$5:$E$489, '📋 Detalle Diario'!$B$5:$B$489, B1127, '📋 Detalle Diario'!$C$5:$C$489, D1127) * 135 + SUMIFS('📋 Detalle Diario'!$I$5:$I$489, '📋 Detalle Diario'!$B$5:$B$489, B1127, '📋 Detalle Diario'!$C$5:$C$489, D1127) * 200), 0))</f>
        <v/>
      </c>
      <c r="P1127" s="32" t="str">
        <f t="shared" si="124"/>
        <v/>
      </c>
      <c r="Q1127" s="33" t="str">
        <f t="shared" si="125"/>
        <v/>
      </c>
    </row>
    <row r="1128" spans="2:17" ht="18" customHeight="1" x14ac:dyDescent="0.3">
      <c r="B1128" s="26"/>
      <c r="C1128" s="17"/>
      <c r="D1128" s="27"/>
      <c r="E1128" s="18"/>
      <c r="F1128" s="18"/>
      <c r="G1128" s="18"/>
      <c r="H1128" s="30" t="str">
        <f t="shared" si="119"/>
        <v/>
      </c>
      <c r="I1128" s="31" t="str">
        <f>IF(OR(B1128="",C1128=""),"",IFERROR(E1128*IF(E1128="",0,VLOOKUP(C1128,'📦 Precios Proforma'!$B$5:$D$104,IF(D1128="DIA",2,3),FALSE)),0))</f>
        <v/>
      </c>
      <c r="J1128" s="31" t="str">
        <f t="shared" si="120"/>
        <v/>
      </c>
      <c r="K1128" s="31" t="str">
        <f t="shared" si="121"/>
        <v/>
      </c>
      <c r="L1128" s="31" t="str">
        <f>IF(OR(B1128="",C1128=""),"",IFERROR(E1128 / SUMIFS('📅 Resumen Diario'!$D$5:$D$504, '📅 Resumen Diario'!$B$5:$B$504, B1128, '📅 Resumen Diario'!$C$5:$C$504, D1128) * SUMIFS('📅 Resumen Diario'!$K$5:$K$504, '📅 Resumen Diario'!$B$5:$B$504, B1128, '📅 Resumen Diario'!$C$5:$C$504, D1128), 0))</f>
        <v/>
      </c>
      <c r="M1128" s="31" t="str">
        <f t="shared" si="122"/>
        <v/>
      </c>
      <c r="N1128" s="31" t="str">
        <f t="shared" si="123"/>
        <v/>
      </c>
      <c r="O1128" s="31" t="str">
        <f>IF(OR(B1128="",C1128=""),"",K1128-N1128 + IFERROR(E1128 / SUMIFS('📅 Resumen Diario'!$D$5:$D$504, '📅 Resumen Diario'!$B$5:$B$504, B1128, '📅 Resumen Diario'!$C$5:$C$504, D1128) * (SUMIFS('📋 Detalle Diario'!$E$5:$E$489, '📋 Detalle Diario'!$B$5:$B$489, B1128, '📋 Detalle Diario'!$C$5:$C$489, D1128) * 135 + SUMIFS('📋 Detalle Diario'!$I$5:$I$489, '📋 Detalle Diario'!$B$5:$B$489, B1128, '📋 Detalle Diario'!$C$5:$C$489, D1128) * 200), 0))</f>
        <v/>
      </c>
      <c r="P1128" s="32" t="str">
        <f t="shared" si="124"/>
        <v/>
      </c>
      <c r="Q1128" s="33" t="str">
        <f t="shared" si="125"/>
        <v/>
      </c>
    </row>
    <row r="1129" spans="2:17" ht="18" customHeight="1" x14ac:dyDescent="0.3">
      <c r="B1129" s="26"/>
      <c r="C1129" s="28"/>
      <c r="D1129" s="27"/>
      <c r="E1129" s="29"/>
      <c r="F1129" s="29"/>
      <c r="G1129" s="29"/>
      <c r="H1129" s="30" t="str">
        <f t="shared" si="119"/>
        <v/>
      </c>
      <c r="I1129" s="31" t="str">
        <f>IF(OR(B1129="",C1129=""),"",IFERROR(E1129*IF(E1129="",0,VLOOKUP(C1129,'📦 Precios Proforma'!$B$5:$D$104,IF(D1129="DIA",2,3),FALSE)),0))</f>
        <v/>
      </c>
      <c r="J1129" s="31" t="str">
        <f t="shared" si="120"/>
        <v/>
      </c>
      <c r="K1129" s="31" t="str">
        <f t="shared" si="121"/>
        <v/>
      </c>
      <c r="L1129" s="31" t="str">
        <f>IF(OR(B1129="",C1129=""),"",IFERROR(E1129 / SUMIFS('📅 Resumen Diario'!$D$5:$D$504, '📅 Resumen Diario'!$B$5:$B$504, B1129, '📅 Resumen Diario'!$C$5:$C$504, D1129) * SUMIFS('📅 Resumen Diario'!$K$5:$K$504, '📅 Resumen Diario'!$B$5:$B$504, B1129, '📅 Resumen Diario'!$C$5:$C$504, D1129), 0))</f>
        <v/>
      </c>
      <c r="M1129" s="31" t="str">
        <f t="shared" si="122"/>
        <v/>
      </c>
      <c r="N1129" s="31" t="str">
        <f t="shared" si="123"/>
        <v/>
      </c>
      <c r="O1129" s="31" t="str">
        <f>IF(OR(B1129="",C1129=""),"",K1129-N1129 + IFERROR(E1129 / SUMIFS('📅 Resumen Diario'!$D$5:$D$504, '📅 Resumen Diario'!$B$5:$B$504, B1129, '📅 Resumen Diario'!$C$5:$C$504, D1129) * (SUMIFS('📋 Detalle Diario'!$E$5:$E$489, '📋 Detalle Diario'!$B$5:$B$489, B1129, '📋 Detalle Diario'!$C$5:$C$489, D1129) * 135 + SUMIFS('📋 Detalle Diario'!$I$5:$I$489, '📋 Detalle Diario'!$B$5:$B$489, B1129, '📋 Detalle Diario'!$C$5:$C$489, D1129) * 200), 0))</f>
        <v/>
      </c>
      <c r="P1129" s="32" t="str">
        <f t="shared" si="124"/>
        <v/>
      </c>
      <c r="Q1129" s="33" t="str">
        <f t="shared" si="125"/>
        <v/>
      </c>
    </row>
    <row r="1130" spans="2:17" ht="18" customHeight="1" x14ac:dyDescent="0.3">
      <c r="B1130" s="26"/>
      <c r="C1130" s="17"/>
      <c r="D1130" s="27"/>
      <c r="E1130" s="18"/>
      <c r="F1130" s="18"/>
      <c r="G1130" s="18"/>
      <c r="H1130" s="30" t="str">
        <f t="shared" si="119"/>
        <v/>
      </c>
      <c r="I1130" s="31" t="str">
        <f>IF(OR(B1130="",C1130=""),"",IFERROR(E1130*IF(E1130="",0,VLOOKUP(C1130,'📦 Precios Proforma'!$B$5:$D$104,IF(D1130="DIA",2,3),FALSE)),0))</f>
        <v/>
      </c>
      <c r="J1130" s="31" t="str">
        <f t="shared" si="120"/>
        <v/>
      </c>
      <c r="K1130" s="31" t="str">
        <f t="shared" si="121"/>
        <v/>
      </c>
      <c r="L1130" s="31" t="str">
        <f>IF(OR(B1130="",C1130=""),"",IFERROR(E1130 / SUMIFS('📅 Resumen Diario'!$D$5:$D$504, '📅 Resumen Diario'!$B$5:$B$504, B1130, '📅 Resumen Diario'!$C$5:$C$504, D1130) * SUMIFS('📅 Resumen Diario'!$K$5:$K$504, '📅 Resumen Diario'!$B$5:$B$504, B1130, '📅 Resumen Diario'!$C$5:$C$504, D1130), 0))</f>
        <v/>
      </c>
      <c r="M1130" s="31" t="str">
        <f t="shared" si="122"/>
        <v/>
      </c>
      <c r="N1130" s="31" t="str">
        <f t="shared" si="123"/>
        <v/>
      </c>
      <c r="O1130" s="31" t="str">
        <f>IF(OR(B1130="",C1130=""),"",K1130-N1130 + IFERROR(E1130 / SUMIFS('📅 Resumen Diario'!$D$5:$D$504, '📅 Resumen Diario'!$B$5:$B$504, B1130, '📅 Resumen Diario'!$C$5:$C$504, D1130) * (SUMIFS('📋 Detalle Diario'!$E$5:$E$489, '📋 Detalle Diario'!$B$5:$B$489, B1130, '📋 Detalle Diario'!$C$5:$C$489, D1130) * 135 + SUMIFS('📋 Detalle Diario'!$I$5:$I$489, '📋 Detalle Diario'!$B$5:$B$489, B1130, '📋 Detalle Diario'!$C$5:$C$489, D1130) * 200), 0))</f>
        <v/>
      </c>
      <c r="P1130" s="32" t="str">
        <f t="shared" si="124"/>
        <v/>
      </c>
      <c r="Q1130" s="33" t="str">
        <f t="shared" si="125"/>
        <v/>
      </c>
    </row>
    <row r="1131" spans="2:17" ht="18" customHeight="1" x14ac:dyDescent="0.3">
      <c r="B1131" s="26"/>
      <c r="C1131" s="28"/>
      <c r="D1131" s="27"/>
      <c r="E1131" s="29"/>
      <c r="F1131" s="29"/>
      <c r="G1131" s="29"/>
      <c r="H1131" s="30" t="str">
        <f t="shared" si="119"/>
        <v/>
      </c>
      <c r="I1131" s="31" t="str">
        <f>IF(OR(B1131="",C1131=""),"",IFERROR(E1131*IF(E1131="",0,VLOOKUP(C1131,'📦 Precios Proforma'!$B$5:$D$104,IF(D1131="DIA",2,3),FALSE)),0))</f>
        <v/>
      </c>
      <c r="J1131" s="31" t="str">
        <f t="shared" si="120"/>
        <v/>
      </c>
      <c r="K1131" s="31" t="str">
        <f t="shared" si="121"/>
        <v/>
      </c>
      <c r="L1131" s="31" t="str">
        <f>IF(OR(B1131="",C1131=""),"",IFERROR(E1131 / SUMIFS('📅 Resumen Diario'!$D$5:$D$504, '📅 Resumen Diario'!$B$5:$B$504, B1131, '📅 Resumen Diario'!$C$5:$C$504, D1131) * SUMIFS('📅 Resumen Diario'!$K$5:$K$504, '📅 Resumen Diario'!$B$5:$B$504, B1131, '📅 Resumen Diario'!$C$5:$C$504, D1131), 0))</f>
        <v/>
      </c>
      <c r="M1131" s="31" t="str">
        <f t="shared" si="122"/>
        <v/>
      </c>
      <c r="N1131" s="31" t="str">
        <f t="shared" si="123"/>
        <v/>
      </c>
      <c r="O1131" s="31" t="str">
        <f>IF(OR(B1131="",C1131=""),"",K1131-N1131 + IFERROR(E1131 / SUMIFS('📅 Resumen Diario'!$D$5:$D$504, '📅 Resumen Diario'!$B$5:$B$504, B1131, '📅 Resumen Diario'!$C$5:$C$504, D1131) * (SUMIFS('📋 Detalle Diario'!$E$5:$E$489, '📋 Detalle Diario'!$B$5:$B$489, B1131, '📋 Detalle Diario'!$C$5:$C$489, D1131) * 135 + SUMIFS('📋 Detalle Diario'!$I$5:$I$489, '📋 Detalle Diario'!$B$5:$B$489, B1131, '📋 Detalle Diario'!$C$5:$C$489, D1131) * 200), 0))</f>
        <v/>
      </c>
      <c r="P1131" s="32" t="str">
        <f t="shared" si="124"/>
        <v/>
      </c>
      <c r="Q1131" s="33" t="str">
        <f t="shared" si="125"/>
        <v/>
      </c>
    </row>
    <row r="1132" spans="2:17" ht="18" customHeight="1" x14ac:dyDescent="0.3">
      <c r="B1132" s="26"/>
      <c r="C1132" s="17"/>
      <c r="D1132" s="27"/>
      <c r="E1132" s="18"/>
      <c r="F1132" s="18"/>
      <c r="G1132" s="18"/>
      <c r="H1132" s="30" t="str">
        <f t="shared" si="119"/>
        <v/>
      </c>
      <c r="I1132" s="31" t="str">
        <f>IF(OR(B1132="",C1132=""),"",IFERROR(E1132*IF(E1132="",0,VLOOKUP(C1132,'📦 Precios Proforma'!$B$5:$D$104,IF(D1132="DIA",2,3),FALSE)),0))</f>
        <v/>
      </c>
      <c r="J1132" s="31" t="str">
        <f t="shared" si="120"/>
        <v/>
      </c>
      <c r="K1132" s="31" t="str">
        <f t="shared" si="121"/>
        <v/>
      </c>
      <c r="L1132" s="31" t="str">
        <f>IF(OR(B1132="",C1132=""),"",IFERROR(E1132 / SUMIFS('📅 Resumen Diario'!$D$5:$D$504, '📅 Resumen Diario'!$B$5:$B$504, B1132, '📅 Resumen Diario'!$C$5:$C$504, D1132) * SUMIFS('📅 Resumen Diario'!$K$5:$K$504, '📅 Resumen Diario'!$B$5:$B$504, B1132, '📅 Resumen Diario'!$C$5:$C$504, D1132), 0))</f>
        <v/>
      </c>
      <c r="M1132" s="31" t="str">
        <f t="shared" si="122"/>
        <v/>
      </c>
      <c r="N1132" s="31" t="str">
        <f t="shared" si="123"/>
        <v/>
      </c>
      <c r="O1132" s="31" t="str">
        <f>IF(OR(B1132="",C1132=""),"",K1132-N1132 + IFERROR(E1132 / SUMIFS('📅 Resumen Diario'!$D$5:$D$504, '📅 Resumen Diario'!$B$5:$B$504, B1132, '📅 Resumen Diario'!$C$5:$C$504, D1132) * (SUMIFS('📋 Detalle Diario'!$E$5:$E$489, '📋 Detalle Diario'!$B$5:$B$489, B1132, '📋 Detalle Diario'!$C$5:$C$489, D1132) * 135 + SUMIFS('📋 Detalle Diario'!$I$5:$I$489, '📋 Detalle Diario'!$B$5:$B$489, B1132, '📋 Detalle Diario'!$C$5:$C$489, D1132) * 200), 0))</f>
        <v/>
      </c>
      <c r="P1132" s="32" t="str">
        <f t="shared" si="124"/>
        <v/>
      </c>
      <c r="Q1132" s="33" t="str">
        <f t="shared" si="125"/>
        <v/>
      </c>
    </row>
    <row r="1133" spans="2:17" ht="18" customHeight="1" x14ac:dyDescent="0.3">
      <c r="B1133" s="26"/>
      <c r="C1133" s="28"/>
      <c r="D1133" s="27"/>
      <c r="E1133" s="29"/>
      <c r="F1133" s="29"/>
      <c r="G1133" s="29"/>
      <c r="H1133" s="30" t="str">
        <f t="shared" si="119"/>
        <v/>
      </c>
      <c r="I1133" s="31" t="str">
        <f>IF(OR(B1133="",C1133=""),"",IFERROR(E1133*IF(E1133="",0,VLOOKUP(C1133,'📦 Precios Proforma'!$B$5:$D$104,IF(D1133="DIA",2,3),FALSE)),0))</f>
        <v/>
      </c>
      <c r="J1133" s="31" t="str">
        <f t="shared" si="120"/>
        <v/>
      </c>
      <c r="K1133" s="31" t="str">
        <f t="shared" si="121"/>
        <v/>
      </c>
      <c r="L1133" s="31" t="str">
        <f>IF(OR(B1133="",C1133=""),"",IFERROR(E1133 / SUMIFS('📅 Resumen Diario'!$D$5:$D$504, '📅 Resumen Diario'!$B$5:$B$504, B1133, '📅 Resumen Diario'!$C$5:$C$504, D1133) * SUMIFS('📅 Resumen Diario'!$K$5:$K$504, '📅 Resumen Diario'!$B$5:$B$504, B1133, '📅 Resumen Diario'!$C$5:$C$504, D1133), 0))</f>
        <v/>
      </c>
      <c r="M1133" s="31" t="str">
        <f t="shared" si="122"/>
        <v/>
      </c>
      <c r="N1133" s="31" t="str">
        <f t="shared" si="123"/>
        <v/>
      </c>
      <c r="O1133" s="31" t="str">
        <f>IF(OR(B1133="",C1133=""),"",K1133-N1133 + IFERROR(E1133 / SUMIFS('📅 Resumen Diario'!$D$5:$D$504, '📅 Resumen Diario'!$B$5:$B$504, B1133, '📅 Resumen Diario'!$C$5:$C$504, D1133) * (SUMIFS('📋 Detalle Diario'!$E$5:$E$489, '📋 Detalle Diario'!$B$5:$B$489, B1133, '📋 Detalle Diario'!$C$5:$C$489, D1133) * 135 + SUMIFS('📋 Detalle Diario'!$I$5:$I$489, '📋 Detalle Diario'!$B$5:$B$489, B1133, '📋 Detalle Diario'!$C$5:$C$489, D1133) * 200), 0))</f>
        <v/>
      </c>
      <c r="P1133" s="32" t="str">
        <f t="shared" si="124"/>
        <v/>
      </c>
      <c r="Q1133" s="33" t="str">
        <f t="shared" si="125"/>
        <v/>
      </c>
    </row>
    <row r="1134" spans="2:17" ht="18" customHeight="1" x14ac:dyDescent="0.3">
      <c r="B1134" s="26"/>
      <c r="C1134" s="17"/>
      <c r="D1134" s="27"/>
      <c r="E1134" s="18"/>
      <c r="F1134" s="18"/>
      <c r="G1134" s="18"/>
      <c r="H1134" s="30" t="str">
        <f t="shared" si="119"/>
        <v/>
      </c>
      <c r="I1134" s="31" t="str">
        <f>IF(OR(B1134="",C1134=""),"",IFERROR(E1134*IF(E1134="",0,VLOOKUP(C1134,'📦 Precios Proforma'!$B$5:$D$104,IF(D1134="DIA",2,3),FALSE)),0))</f>
        <v/>
      </c>
      <c r="J1134" s="31" t="str">
        <f t="shared" si="120"/>
        <v/>
      </c>
      <c r="K1134" s="31" t="str">
        <f t="shared" si="121"/>
        <v/>
      </c>
      <c r="L1134" s="31" t="str">
        <f>IF(OR(B1134="",C1134=""),"",IFERROR(E1134 / SUMIFS('📅 Resumen Diario'!$D$5:$D$504, '📅 Resumen Diario'!$B$5:$B$504, B1134, '📅 Resumen Diario'!$C$5:$C$504, D1134) * SUMIFS('📅 Resumen Diario'!$K$5:$K$504, '📅 Resumen Diario'!$B$5:$B$504, B1134, '📅 Resumen Diario'!$C$5:$C$504, D1134), 0))</f>
        <v/>
      </c>
      <c r="M1134" s="31" t="str">
        <f t="shared" si="122"/>
        <v/>
      </c>
      <c r="N1134" s="31" t="str">
        <f t="shared" si="123"/>
        <v/>
      </c>
      <c r="O1134" s="31" t="str">
        <f>IF(OR(B1134="",C1134=""),"",K1134-N1134 + IFERROR(E1134 / SUMIFS('📅 Resumen Diario'!$D$5:$D$504, '📅 Resumen Diario'!$B$5:$B$504, B1134, '📅 Resumen Diario'!$C$5:$C$504, D1134) * (SUMIFS('📋 Detalle Diario'!$E$5:$E$489, '📋 Detalle Diario'!$B$5:$B$489, B1134, '📋 Detalle Diario'!$C$5:$C$489, D1134) * 135 + SUMIFS('📋 Detalle Diario'!$I$5:$I$489, '📋 Detalle Diario'!$B$5:$B$489, B1134, '📋 Detalle Diario'!$C$5:$C$489, D1134) * 200), 0))</f>
        <v/>
      </c>
      <c r="P1134" s="32" t="str">
        <f t="shared" si="124"/>
        <v/>
      </c>
      <c r="Q1134" s="33" t="str">
        <f t="shared" si="125"/>
        <v/>
      </c>
    </row>
    <row r="1135" spans="2:17" ht="18" customHeight="1" x14ac:dyDescent="0.3">
      <c r="B1135" s="26"/>
      <c r="C1135" s="28"/>
      <c r="D1135" s="27"/>
      <c r="E1135" s="29"/>
      <c r="F1135" s="29"/>
      <c r="G1135" s="29"/>
      <c r="H1135" s="30" t="str">
        <f t="shared" si="119"/>
        <v/>
      </c>
      <c r="I1135" s="31" t="str">
        <f>IF(OR(B1135="",C1135=""),"",IFERROR(E1135*IF(E1135="",0,VLOOKUP(C1135,'📦 Precios Proforma'!$B$5:$D$104,IF(D1135="DIA",2,3),FALSE)),0))</f>
        <v/>
      </c>
      <c r="J1135" s="31" t="str">
        <f t="shared" si="120"/>
        <v/>
      </c>
      <c r="K1135" s="31" t="str">
        <f t="shared" si="121"/>
        <v/>
      </c>
      <c r="L1135" s="31" t="str">
        <f>IF(OR(B1135="",C1135=""),"",IFERROR(E1135 / SUMIFS('📅 Resumen Diario'!$D$5:$D$504, '📅 Resumen Diario'!$B$5:$B$504, B1135, '📅 Resumen Diario'!$C$5:$C$504, D1135) * SUMIFS('📅 Resumen Diario'!$K$5:$K$504, '📅 Resumen Diario'!$B$5:$B$504, B1135, '📅 Resumen Diario'!$C$5:$C$504, D1135), 0))</f>
        <v/>
      </c>
      <c r="M1135" s="31" t="str">
        <f t="shared" si="122"/>
        <v/>
      </c>
      <c r="N1135" s="31" t="str">
        <f t="shared" si="123"/>
        <v/>
      </c>
      <c r="O1135" s="31" t="str">
        <f>IF(OR(B1135="",C1135=""),"",K1135-N1135 + IFERROR(E1135 / SUMIFS('📅 Resumen Diario'!$D$5:$D$504, '📅 Resumen Diario'!$B$5:$B$504, B1135, '📅 Resumen Diario'!$C$5:$C$504, D1135) * (SUMIFS('📋 Detalle Diario'!$E$5:$E$489, '📋 Detalle Diario'!$B$5:$B$489, B1135, '📋 Detalle Diario'!$C$5:$C$489, D1135) * 135 + SUMIFS('📋 Detalle Diario'!$I$5:$I$489, '📋 Detalle Diario'!$B$5:$B$489, B1135, '📋 Detalle Diario'!$C$5:$C$489, D1135) * 200), 0))</f>
        <v/>
      </c>
      <c r="P1135" s="32" t="str">
        <f t="shared" si="124"/>
        <v/>
      </c>
      <c r="Q1135" s="33" t="str">
        <f t="shared" si="125"/>
        <v/>
      </c>
    </row>
    <row r="1136" spans="2:17" ht="18" customHeight="1" x14ac:dyDescent="0.3">
      <c r="B1136" s="26"/>
      <c r="C1136" s="17"/>
      <c r="D1136" s="27"/>
      <c r="E1136" s="18"/>
      <c r="F1136" s="18"/>
      <c r="G1136" s="18"/>
      <c r="H1136" s="30" t="str">
        <f t="shared" si="119"/>
        <v/>
      </c>
      <c r="I1136" s="31" t="str">
        <f>IF(OR(B1136="",C1136=""),"",IFERROR(E1136*IF(E1136="",0,VLOOKUP(C1136,'📦 Precios Proforma'!$B$5:$D$104,IF(D1136="DIA",2,3),FALSE)),0))</f>
        <v/>
      </c>
      <c r="J1136" s="31" t="str">
        <f t="shared" si="120"/>
        <v/>
      </c>
      <c r="K1136" s="31" t="str">
        <f t="shared" si="121"/>
        <v/>
      </c>
      <c r="L1136" s="31" t="str">
        <f>IF(OR(B1136="",C1136=""),"",IFERROR(E1136 / SUMIFS('📅 Resumen Diario'!$D$5:$D$504, '📅 Resumen Diario'!$B$5:$B$504, B1136, '📅 Resumen Diario'!$C$5:$C$504, D1136) * SUMIFS('📅 Resumen Diario'!$K$5:$K$504, '📅 Resumen Diario'!$B$5:$B$504, B1136, '📅 Resumen Diario'!$C$5:$C$504, D1136), 0))</f>
        <v/>
      </c>
      <c r="M1136" s="31" t="str">
        <f t="shared" si="122"/>
        <v/>
      </c>
      <c r="N1136" s="31" t="str">
        <f t="shared" si="123"/>
        <v/>
      </c>
      <c r="O1136" s="31" t="str">
        <f>IF(OR(B1136="",C1136=""),"",K1136-N1136 + IFERROR(E1136 / SUMIFS('📅 Resumen Diario'!$D$5:$D$504, '📅 Resumen Diario'!$B$5:$B$504, B1136, '📅 Resumen Diario'!$C$5:$C$504, D1136) * (SUMIFS('📋 Detalle Diario'!$E$5:$E$489, '📋 Detalle Diario'!$B$5:$B$489, B1136, '📋 Detalle Diario'!$C$5:$C$489, D1136) * 135 + SUMIFS('📋 Detalle Diario'!$I$5:$I$489, '📋 Detalle Diario'!$B$5:$B$489, B1136, '📋 Detalle Diario'!$C$5:$C$489, D1136) * 200), 0))</f>
        <v/>
      </c>
      <c r="P1136" s="32" t="str">
        <f t="shared" si="124"/>
        <v/>
      </c>
      <c r="Q1136" s="33" t="str">
        <f t="shared" si="125"/>
        <v/>
      </c>
    </row>
    <row r="1137" spans="2:17" ht="18" customHeight="1" x14ac:dyDescent="0.3">
      <c r="B1137" s="26"/>
      <c r="C1137" s="28"/>
      <c r="D1137" s="27"/>
      <c r="E1137" s="29"/>
      <c r="F1137" s="29"/>
      <c r="G1137" s="29"/>
      <c r="H1137" s="30" t="str">
        <f t="shared" si="119"/>
        <v/>
      </c>
      <c r="I1137" s="31" t="str">
        <f>IF(OR(B1137="",C1137=""),"",IFERROR(E1137*IF(E1137="",0,VLOOKUP(C1137,'📦 Precios Proforma'!$B$5:$D$104,IF(D1137="DIA",2,3),FALSE)),0))</f>
        <v/>
      </c>
      <c r="J1137" s="31" t="str">
        <f t="shared" si="120"/>
        <v/>
      </c>
      <c r="K1137" s="31" t="str">
        <f t="shared" si="121"/>
        <v/>
      </c>
      <c r="L1137" s="31" t="str">
        <f>IF(OR(B1137="",C1137=""),"",IFERROR(E1137 / SUMIFS('📅 Resumen Diario'!$D$5:$D$504, '📅 Resumen Diario'!$B$5:$B$504, B1137, '📅 Resumen Diario'!$C$5:$C$504, D1137) * SUMIFS('📅 Resumen Diario'!$K$5:$K$504, '📅 Resumen Diario'!$B$5:$B$504, B1137, '📅 Resumen Diario'!$C$5:$C$504, D1137), 0))</f>
        <v/>
      </c>
      <c r="M1137" s="31" t="str">
        <f t="shared" si="122"/>
        <v/>
      </c>
      <c r="N1137" s="31" t="str">
        <f t="shared" si="123"/>
        <v/>
      </c>
      <c r="O1137" s="31" t="str">
        <f>IF(OR(B1137="",C1137=""),"",K1137-N1137 + IFERROR(E1137 / SUMIFS('📅 Resumen Diario'!$D$5:$D$504, '📅 Resumen Diario'!$B$5:$B$504, B1137, '📅 Resumen Diario'!$C$5:$C$504, D1137) * (SUMIFS('📋 Detalle Diario'!$E$5:$E$489, '📋 Detalle Diario'!$B$5:$B$489, B1137, '📋 Detalle Diario'!$C$5:$C$489, D1137) * 135 + SUMIFS('📋 Detalle Diario'!$I$5:$I$489, '📋 Detalle Diario'!$B$5:$B$489, B1137, '📋 Detalle Diario'!$C$5:$C$489, D1137) * 200), 0))</f>
        <v/>
      </c>
      <c r="P1137" s="32" t="str">
        <f t="shared" si="124"/>
        <v/>
      </c>
      <c r="Q1137" s="33" t="str">
        <f t="shared" si="125"/>
        <v/>
      </c>
    </row>
    <row r="1138" spans="2:17" ht="18" customHeight="1" x14ac:dyDescent="0.3">
      <c r="B1138" s="26"/>
      <c r="C1138" s="17"/>
      <c r="D1138" s="27"/>
      <c r="E1138" s="18"/>
      <c r="F1138" s="18"/>
      <c r="G1138" s="18"/>
      <c r="H1138" s="30" t="str">
        <f t="shared" si="119"/>
        <v/>
      </c>
      <c r="I1138" s="31" t="str">
        <f>IF(OR(B1138="",C1138=""),"",IFERROR(E1138*IF(E1138="",0,VLOOKUP(C1138,'📦 Precios Proforma'!$B$5:$D$104,IF(D1138="DIA",2,3),FALSE)),0))</f>
        <v/>
      </c>
      <c r="J1138" s="31" t="str">
        <f t="shared" si="120"/>
        <v/>
      </c>
      <c r="K1138" s="31" t="str">
        <f t="shared" si="121"/>
        <v/>
      </c>
      <c r="L1138" s="31" t="str">
        <f>IF(OR(B1138="",C1138=""),"",IFERROR(E1138 / SUMIFS('📅 Resumen Diario'!$D$5:$D$504, '📅 Resumen Diario'!$B$5:$B$504, B1138, '📅 Resumen Diario'!$C$5:$C$504, D1138) * SUMIFS('📅 Resumen Diario'!$K$5:$K$504, '📅 Resumen Diario'!$B$5:$B$504, B1138, '📅 Resumen Diario'!$C$5:$C$504, D1138), 0))</f>
        <v/>
      </c>
      <c r="M1138" s="31" t="str">
        <f t="shared" si="122"/>
        <v/>
      </c>
      <c r="N1138" s="31" t="str">
        <f t="shared" si="123"/>
        <v/>
      </c>
      <c r="O1138" s="31" t="str">
        <f>IF(OR(B1138="",C1138=""),"",K1138-N1138 + IFERROR(E1138 / SUMIFS('📅 Resumen Diario'!$D$5:$D$504, '📅 Resumen Diario'!$B$5:$B$504, B1138, '📅 Resumen Diario'!$C$5:$C$504, D1138) * (SUMIFS('📋 Detalle Diario'!$E$5:$E$489, '📋 Detalle Diario'!$B$5:$B$489, B1138, '📋 Detalle Diario'!$C$5:$C$489, D1138) * 135 + SUMIFS('📋 Detalle Diario'!$I$5:$I$489, '📋 Detalle Diario'!$B$5:$B$489, B1138, '📋 Detalle Diario'!$C$5:$C$489, D1138) * 200), 0))</f>
        <v/>
      </c>
      <c r="P1138" s="32" t="str">
        <f t="shared" si="124"/>
        <v/>
      </c>
      <c r="Q1138" s="33" t="str">
        <f t="shared" si="125"/>
        <v/>
      </c>
    </row>
    <row r="1139" spans="2:17" ht="18" customHeight="1" x14ac:dyDescent="0.3">
      <c r="B1139" s="26"/>
      <c r="C1139" s="28"/>
      <c r="D1139" s="27"/>
      <c r="E1139" s="29"/>
      <c r="F1139" s="29"/>
      <c r="G1139" s="29"/>
      <c r="H1139" s="30" t="str">
        <f t="shared" si="119"/>
        <v/>
      </c>
      <c r="I1139" s="31" t="str">
        <f>IF(OR(B1139="",C1139=""),"",IFERROR(E1139*IF(E1139="",0,VLOOKUP(C1139,'📦 Precios Proforma'!$B$5:$D$104,IF(D1139="DIA",2,3),FALSE)),0))</f>
        <v/>
      </c>
      <c r="J1139" s="31" t="str">
        <f t="shared" si="120"/>
        <v/>
      </c>
      <c r="K1139" s="31" t="str">
        <f t="shared" si="121"/>
        <v/>
      </c>
      <c r="L1139" s="31" t="str">
        <f>IF(OR(B1139="",C1139=""),"",IFERROR(E1139 / SUMIFS('📅 Resumen Diario'!$D$5:$D$504, '📅 Resumen Diario'!$B$5:$B$504, B1139, '📅 Resumen Diario'!$C$5:$C$504, D1139) * SUMIFS('📅 Resumen Diario'!$K$5:$K$504, '📅 Resumen Diario'!$B$5:$B$504, B1139, '📅 Resumen Diario'!$C$5:$C$504, D1139), 0))</f>
        <v/>
      </c>
      <c r="M1139" s="31" t="str">
        <f t="shared" si="122"/>
        <v/>
      </c>
      <c r="N1139" s="31" t="str">
        <f t="shared" si="123"/>
        <v/>
      </c>
      <c r="O1139" s="31" t="str">
        <f>IF(OR(B1139="",C1139=""),"",K1139-N1139 + IFERROR(E1139 / SUMIFS('📅 Resumen Diario'!$D$5:$D$504, '📅 Resumen Diario'!$B$5:$B$504, B1139, '📅 Resumen Diario'!$C$5:$C$504, D1139) * (SUMIFS('📋 Detalle Diario'!$E$5:$E$489, '📋 Detalle Diario'!$B$5:$B$489, B1139, '📋 Detalle Diario'!$C$5:$C$489, D1139) * 135 + SUMIFS('📋 Detalle Diario'!$I$5:$I$489, '📋 Detalle Diario'!$B$5:$B$489, B1139, '📋 Detalle Diario'!$C$5:$C$489, D1139) * 200), 0))</f>
        <v/>
      </c>
      <c r="P1139" s="32" t="str">
        <f t="shared" si="124"/>
        <v/>
      </c>
      <c r="Q1139" s="33" t="str">
        <f t="shared" si="125"/>
        <v/>
      </c>
    </row>
    <row r="1140" spans="2:17" ht="18" customHeight="1" x14ac:dyDescent="0.3">
      <c r="B1140" s="26"/>
      <c r="C1140" s="17"/>
      <c r="D1140" s="27"/>
      <c r="E1140" s="18"/>
      <c r="F1140" s="18"/>
      <c r="G1140" s="18"/>
      <c r="H1140" s="30" t="str">
        <f t="shared" si="119"/>
        <v/>
      </c>
      <c r="I1140" s="31" t="str">
        <f>IF(OR(B1140="",C1140=""),"",IFERROR(E1140*IF(E1140="",0,VLOOKUP(C1140,'📦 Precios Proforma'!$B$5:$D$104,IF(D1140="DIA",2,3),FALSE)),0))</f>
        <v/>
      </c>
      <c r="J1140" s="31" t="str">
        <f t="shared" si="120"/>
        <v/>
      </c>
      <c r="K1140" s="31" t="str">
        <f t="shared" si="121"/>
        <v/>
      </c>
      <c r="L1140" s="31" t="str">
        <f>IF(OR(B1140="",C1140=""),"",IFERROR(E1140 / SUMIFS('📅 Resumen Diario'!$D$5:$D$504, '📅 Resumen Diario'!$B$5:$B$504, B1140, '📅 Resumen Diario'!$C$5:$C$504, D1140) * SUMIFS('📅 Resumen Diario'!$K$5:$K$504, '📅 Resumen Diario'!$B$5:$B$504, B1140, '📅 Resumen Diario'!$C$5:$C$504, D1140), 0))</f>
        <v/>
      </c>
      <c r="M1140" s="31" t="str">
        <f t="shared" si="122"/>
        <v/>
      </c>
      <c r="N1140" s="31" t="str">
        <f t="shared" si="123"/>
        <v/>
      </c>
      <c r="O1140" s="31" t="str">
        <f>IF(OR(B1140="",C1140=""),"",K1140-N1140 + IFERROR(E1140 / SUMIFS('📅 Resumen Diario'!$D$5:$D$504, '📅 Resumen Diario'!$B$5:$B$504, B1140, '📅 Resumen Diario'!$C$5:$C$504, D1140) * (SUMIFS('📋 Detalle Diario'!$E$5:$E$489, '📋 Detalle Diario'!$B$5:$B$489, B1140, '📋 Detalle Diario'!$C$5:$C$489, D1140) * 135 + SUMIFS('📋 Detalle Diario'!$I$5:$I$489, '📋 Detalle Diario'!$B$5:$B$489, B1140, '📋 Detalle Diario'!$C$5:$C$489, D1140) * 200), 0))</f>
        <v/>
      </c>
      <c r="P1140" s="32" t="str">
        <f t="shared" si="124"/>
        <v/>
      </c>
      <c r="Q1140" s="33" t="str">
        <f t="shared" si="125"/>
        <v/>
      </c>
    </row>
    <row r="1141" spans="2:17" ht="18" customHeight="1" x14ac:dyDescent="0.3">
      <c r="B1141" s="26"/>
      <c r="C1141" s="28"/>
      <c r="D1141" s="27"/>
      <c r="E1141" s="29"/>
      <c r="F1141" s="29"/>
      <c r="G1141" s="29"/>
      <c r="H1141" s="30" t="str">
        <f t="shared" si="119"/>
        <v/>
      </c>
      <c r="I1141" s="31" t="str">
        <f>IF(OR(B1141="",C1141=""),"",IFERROR(E1141*IF(E1141="",0,VLOOKUP(C1141,'📦 Precios Proforma'!$B$5:$D$104,IF(D1141="DIA",2,3),FALSE)),0))</f>
        <v/>
      </c>
      <c r="J1141" s="31" t="str">
        <f t="shared" si="120"/>
        <v/>
      </c>
      <c r="K1141" s="31" t="str">
        <f t="shared" si="121"/>
        <v/>
      </c>
      <c r="L1141" s="31" t="str">
        <f>IF(OR(B1141="",C1141=""),"",IFERROR(E1141 / SUMIFS('📅 Resumen Diario'!$D$5:$D$504, '📅 Resumen Diario'!$B$5:$B$504, B1141, '📅 Resumen Diario'!$C$5:$C$504, D1141) * SUMIFS('📅 Resumen Diario'!$K$5:$K$504, '📅 Resumen Diario'!$B$5:$B$504, B1141, '📅 Resumen Diario'!$C$5:$C$504, D1141), 0))</f>
        <v/>
      </c>
      <c r="M1141" s="31" t="str">
        <f t="shared" si="122"/>
        <v/>
      </c>
      <c r="N1141" s="31" t="str">
        <f t="shared" si="123"/>
        <v/>
      </c>
      <c r="O1141" s="31" t="str">
        <f>IF(OR(B1141="",C1141=""),"",K1141-N1141 + IFERROR(E1141 / SUMIFS('📅 Resumen Diario'!$D$5:$D$504, '📅 Resumen Diario'!$B$5:$B$504, B1141, '📅 Resumen Diario'!$C$5:$C$504, D1141) * (SUMIFS('📋 Detalle Diario'!$E$5:$E$489, '📋 Detalle Diario'!$B$5:$B$489, B1141, '📋 Detalle Diario'!$C$5:$C$489, D1141) * 135 + SUMIFS('📋 Detalle Diario'!$I$5:$I$489, '📋 Detalle Diario'!$B$5:$B$489, B1141, '📋 Detalle Diario'!$C$5:$C$489, D1141) * 200), 0))</f>
        <v/>
      </c>
      <c r="P1141" s="32" t="str">
        <f t="shared" si="124"/>
        <v/>
      </c>
      <c r="Q1141" s="33" t="str">
        <f t="shared" si="125"/>
        <v/>
      </c>
    </row>
    <row r="1142" spans="2:17" ht="18" customHeight="1" x14ac:dyDescent="0.3">
      <c r="B1142" s="26"/>
      <c r="C1142" s="17"/>
      <c r="D1142" s="27"/>
      <c r="E1142" s="18"/>
      <c r="F1142" s="18"/>
      <c r="G1142" s="18"/>
      <c r="H1142" s="30" t="str">
        <f t="shared" si="119"/>
        <v/>
      </c>
      <c r="I1142" s="31" t="str">
        <f>IF(OR(B1142="",C1142=""),"",IFERROR(E1142*IF(E1142="",0,VLOOKUP(C1142,'📦 Precios Proforma'!$B$5:$D$104,IF(D1142="DIA",2,3),FALSE)),0))</f>
        <v/>
      </c>
      <c r="J1142" s="31" t="str">
        <f t="shared" si="120"/>
        <v/>
      </c>
      <c r="K1142" s="31" t="str">
        <f t="shared" si="121"/>
        <v/>
      </c>
      <c r="L1142" s="31" t="str">
        <f>IF(OR(B1142="",C1142=""),"",IFERROR(E1142 / SUMIFS('📅 Resumen Diario'!$D$5:$D$504, '📅 Resumen Diario'!$B$5:$B$504, B1142, '📅 Resumen Diario'!$C$5:$C$504, D1142) * SUMIFS('📅 Resumen Diario'!$K$5:$K$504, '📅 Resumen Diario'!$B$5:$B$504, B1142, '📅 Resumen Diario'!$C$5:$C$504, D1142), 0))</f>
        <v/>
      </c>
      <c r="M1142" s="31" t="str">
        <f t="shared" si="122"/>
        <v/>
      </c>
      <c r="N1142" s="31" t="str">
        <f t="shared" si="123"/>
        <v/>
      </c>
      <c r="O1142" s="31" t="str">
        <f>IF(OR(B1142="",C1142=""),"",K1142-N1142 + IFERROR(E1142 / SUMIFS('📅 Resumen Diario'!$D$5:$D$504, '📅 Resumen Diario'!$B$5:$B$504, B1142, '📅 Resumen Diario'!$C$5:$C$504, D1142) * (SUMIFS('📋 Detalle Diario'!$E$5:$E$489, '📋 Detalle Diario'!$B$5:$B$489, B1142, '📋 Detalle Diario'!$C$5:$C$489, D1142) * 135 + SUMIFS('📋 Detalle Diario'!$I$5:$I$489, '📋 Detalle Diario'!$B$5:$B$489, B1142, '📋 Detalle Diario'!$C$5:$C$489, D1142) * 200), 0))</f>
        <v/>
      </c>
      <c r="P1142" s="32" t="str">
        <f t="shared" si="124"/>
        <v/>
      </c>
      <c r="Q1142" s="33" t="str">
        <f t="shared" si="125"/>
        <v/>
      </c>
    </row>
    <row r="1143" spans="2:17" ht="18" customHeight="1" x14ac:dyDescent="0.3">
      <c r="B1143" s="26"/>
      <c r="C1143" s="28"/>
      <c r="D1143" s="27"/>
      <c r="E1143" s="29"/>
      <c r="F1143" s="29"/>
      <c r="G1143" s="29"/>
      <c r="H1143" s="30" t="str">
        <f t="shared" si="119"/>
        <v/>
      </c>
      <c r="I1143" s="31" t="str">
        <f>IF(OR(B1143="",C1143=""),"",IFERROR(E1143*IF(E1143="",0,VLOOKUP(C1143,'📦 Precios Proforma'!$B$5:$D$104,IF(D1143="DIA",2,3),FALSE)),0))</f>
        <v/>
      </c>
      <c r="J1143" s="31" t="str">
        <f t="shared" si="120"/>
        <v/>
      </c>
      <c r="K1143" s="31" t="str">
        <f t="shared" si="121"/>
        <v/>
      </c>
      <c r="L1143" s="31" t="str">
        <f>IF(OR(B1143="",C1143=""),"",IFERROR(E1143 / SUMIFS('📅 Resumen Diario'!$D$5:$D$504, '📅 Resumen Diario'!$B$5:$B$504, B1143, '📅 Resumen Diario'!$C$5:$C$504, D1143) * SUMIFS('📅 Resumen Diario'!$K$5:$K$504, '📅 Resumen Diario'!$B$5:$B$504, B1143, '📅 Resumen Diario'!$C$5:$C$504, D1143), 0))</f>
        <v/>
      </c>
      <c r="M1143" s="31" t="str">
        <f t="shared" si="122"/>
        <v/>
      </c>
      <c r="N1143" s="31" t="str">
        <f t="shared" si="123"/>
        <v/>
      </c>
      <c r="O1143" s="31" t="str">
        <f>IF(OR(B1143="",C1143=""),"",K1143-N1143 + IFERROR(E1143 / SUMIFS('📅 Resumen Diario'!$D$5:$D$504, '📅 Resumen Diario'!$B$5:$B$504, B1143, '📅 Resumen Diario'!$C$5:$C$504, D1143) * (SUMIFS('📋 Detalle Diario'!$E$5:$E$489, '📋 Detalle Diario'!$B$5:$B$489, B1143, '📋 Detalle Diario'!$C$5:$C$489, D1143) * 135 + SUMIFS('📋 Detalle Diario'!$I$5:$I$489, '📋 Detalle Diario'!$B$5:$B$489, B1143, '📋 Detalle Diario'!$C$5:$C$489, D1143) * 200), 0))</f>
        <v/>
      </c>
      <c r="P1143" s="32" t="str">
        <f t="shared" si="124"/>
        <v/>
      </c>
      <c r="Q1143" s="33" t="str">
        <f t="shared" si="125"/>
        <v/>
      </c>
    </row>
    <row r="1144" spans="2:17" ht="18" customHeight="1" x14ac:dyDescent="0.3">
      <c r="B1144" s="26"/>
      <c r="C1144" s="17"/>
      <c r="D1144" s="27"/>
      <c r="E1144" s="18"/>
      <c r="F1144" s="18"/>
      <c r="G1144" s="18"/>
      <c r="H1144" s="30" t="str">
        <f t="shared" si="119"/>
        <v/>
      </c>
      <c r="I1144" s="31" t="str">
        <f>IF(OR(B1144="",C1144=""),"",IFERROR(E1144*IF(E1144="",0,VLOOKUP(C1144,'📦 Precios Proforma'!$B$5:$D$104,IF(D1144="DIA",2,3),FALSE)),0))</f>
        <v/>
      </c>
      <c r="J1144" s="31" t="str">
        <f t="shared" si="120"/>
        <v/>
      </c>
      <c r="K1144" s="31" t="str">
        <f t="shared" si="121"/>
        <v/>
      </c>
      <c r="L1144" s="31" t="str">
        <f>IF(OR(B1144="",C1144=""),"",IFERROR(E1144 / SUMIFS('📅 Resumen Diario'!$D$5:$D$504, '📅 Resumen Diario'!$B$5:$B$504, B1144, '📅 Resumen Diario'!$C$5:$C$504, D1144) * SUMIFS('📅 Resumen Diario'!$K$5:$K$504, '📅 Resumen Diario'!$B$5:$B$504, B1144, '📅 Resumen Diario'!$C$5:$C$504, D1144), 0))</f>
        <v/>
      </c>
      <c r="M1144" s="31" t="str">
        <f t="shared" si="122"/>
        <v/>
      </c>
      <c r="N1144" s="31" t="str">
        <f t="shared" si="123"/>
        <v/>
      </c>
      <c r="O1144" s="31" t="str">
        <f>IF(OR(B1144="",C1144=""),"",K1144-N1144 + IFERROR(E1144 / SUMIFS('📅 Resumen Diario'!$D$5:$D$504, '📅 Resumen Diario'!$B$5:$B$504, B1144, '📅 Resumen Diario'!$C$5:$C$504, D1144) * (SUMIFS('📋 Detalle Diario'!$E$5:$E$489, '📋 Detalle Diario'!$B$5:$B$489, B1144, '📋 Detalle Diario'!$C$5:$C$489, D1144) * 135 + SUMIFS('📋 Detalle Diario'!$I$5:$I$489, '📋 Detalle Diario'!$B$5:$B$489, B1144, '📋 Detalle Diario'!$C$5:$C$489, D1144) * 200), 0))</f>
        <v/>
      </c>
      <c r="P1144" s="32" t="str">
        <f t="shared" si="124"/>
        <v/>
      </c>
      <c r="Q1144" s="33" t="str">
        <f t="shared" si="125"/>
        <v/>
      </c>
    </row>
    <row r="1145" spans="2:17" ht="18" customHeight="1" x14ac:dyDescent="0.3">
      <c r="B1145" s="26"/>
      <c r="C1145" s="28"/>
      <c r="D1145" s="27"/>
      <c r="E1145" s="29"/>
      <c r="F1145" s="29"/>
      <c r="G1145" s="29"/>
      <c r="H1145" s="30" t="str">
        <f t="shared" si="119"/>
        <v/>
      </c>
      <c r="I1145" s="31" t="str">
        <f>IF(OR(B1145="",C1145=""),"",IFERROR(E1145*IF(E1145="",0,VLOOKUP(C1145,'📦 Precios Proforma'!$B$5:$D$104,IF(D1145="DIA",2,3),FALSE)),0))</f>
        <v/>
      </c>
      <c r="J1145" s="31" t="str">
        <f t="shared" si="120"/>
        <v/>
      </c>
      <c r="K1145" s="31" t="str">
        <f t="shared" si="121"/>
        <v/>
      </c>
      <c r="L1145" s="31" t="str">
        <f>IF(OR(B1145="",C1145=""),"",IFERROR(E1145 / SUMIFS('📅 Resumen Diario'!$D$5:$D$504, '📅 Resumen Diario'!$B$5:$B$504, B1145, '📅 Resumen Diario'!$C$5:$C$504, D1145) * SUMIFS('📅 Resumen Diario'!$K$5:$K$504, '📅 Resumen Diario'!$B$5:$B$504, B1145, '📅 Resumen Diario'!$C$5:$C$504, D1145), 0))</f>
        <v/>
      </c>
      <c r="M1145" s="31" t="str">
        <f t="shared" si="122"/>
        <v/>
      </c>
      <c r="N1145" s="31" t="str">
        <f t="shared" si="123"/>
        <v/>
      </c>
      <c r="O1145" s="31" t="str">
        <f>IF(OR(B1145="",C1145=""),"",K1145-N1145 + IFERROR(E1145 / SUMIFS('📅 Resumen Diario'!$D$5:$D$504, '📅 Resumen Diario'!$B$5:$B$504, B1145, '📅 Resumen Diario'!$C$5:$C$504, D1145) * (SUMIFS('📋 Detalle Diario'!$E$5:$E$489, '📋 Detalle Diario'!$B$5:$B$489, B1145, '📋 Detalle Diario'!$C$5:$C$489, D1145) * 135 + SUMIFS('📋 Detalle Diario'!$I$5:$I$489, '📋 Detalle Diario'!$B$5:$B$489, B1145, '📋 Detalle Diario'!$C$5:$C$489, D1145) * 200), 0))</f>
        <v/>
      </c>
      <c r="P1145" s="32" t="str">
        <f t="shared" si="124"/>
        <v/>
      </c>
      <c r="Q1145" s="33" t="str">
        <f t="shared" si="125"/>
        <v/>
      </c>
    </row>
    <row r="1146" spans="2:17" ht="18" customHeight="1" x14ac:dyDescent="0.3">
      <c r="B1146" s="26"/>
      <c r="C1146" s="17"/>
      <c r="D1146" s="27"/>
      <c r="E1146" s="18"/>
      <c r="F1146" s="18"/>
      <c r="G1146" s="18"/>
      <c r="H1146" s="30" t="str">
        <f t="shared" si="119"/>
        <v/>
      </c>
      <c r="I1146" s="31" t="str">
        <f>IF(OR(B1146="",C1146=""),"",IFERROR(E1146*IF(E1146="",0,VLOOKUP(C1146,'📦 Precios Proforma'!$B$5:$D$104,IF(D1146="DIA",2,3),FALSE)),0))</f>
        <v/>
      </c>
      <c r="J1146" s="31" t="str">
        <f t="shared" si="120"/>
        <v/>
      </c>
      <c r="K1146" s="31" t="str">
        <f t="shared" si="121"/>
        <v/>
      </c>
      <c r="L1146" s="31" t="str">
        <f>IF(OR(B1146="",C1146=""),"",IFERROR(E1146 / SUMIFS('📅 Resumen Diario'!$D$5:$D$504, '📅 Resumen Diario'!$B$5:$B$504, B1146, '📅 Resumen Diario'!$C$5:$C$504, D1146) * SUMIFS('📅 Resumen Diario'!$K$5:$K$504, '📅 Resumen Diario'!$B$5:$B$504, B1146, '📅 Resumen Diario'!$C$5:$C$504, D1146), 0))</f>
        <v/>
      </c>
      <c r="M1146" s="31" t="str">
        <f t="shared" si="122"/>
        <v/>
      </c>
      <c r="N1146" s="31" t="str">
        <f t="shared" si="123"/>
        <v/>
      </c>
      <c r="O1146" s="31" t="str">
        <f>IF(OR(B1146="",C1146=""),"",K1146-N1146 + IFERROR(E1146 / SUMIFS('📅 Resumen Diario'!$D$5:$D$504, '📅 Resumen Diario'!$B$5:$B$504, B1146, '📅 Resumen Diario'!$C$5:$C$504, D1146) * (SUMIFS('📋 Detalle Diario'!$E$5:$E$489, '📋 Detalle Diario'!$B$5:$B$489, B1146, '📋 Detalle Diario'!$C$5:$C$489, D1146) * 135 + SUMIFS('📋 Detalle Diario'!$I$5:$I$489, '📋 Detalle Diario'!$B$5:$B$489, B1146, '📋 Detalle Diario'!$C$5:$C$489, D1146) * 200), 0))</f>
        <v/>
      </c>
      <c r="P1146" s="32" t="str">
        <f t="shared" si="124"/>
        <v/>
      </c>
      <c r="Q1146" s="33" t="str">
        <f t="shared" si="125"/>
        <v/>
      </c>
    </row>
    <row r="1147" spans="2:17" ht="18" customHeight="1" x14ac:dyDescent="0.3">
      <c r="B1147" s="26"/>
      <c r="C1147" s="28"/>
      <c r="D1147" s="27"/>
      <c r="E1147" s="29"/>
      <c r="F1147" s="29"/>
      <c r="G1147" s="29"/>
      <c r="H1147" s="30" t="str">
        <f t="shared" si="119"/>
        <v/>
      </c>
      <c r="I1147" s="31" t="str">
        <f>IF(OR(B1147="",C1147=""),"",IFERROR(E1147*IF(E1147="",0,VLOOKUP(C1147,'📦 Precios Proforma'!$B$5:$D$104,IF(D1147="DIA",2,3),FALSE)),0))</f>
        <v/>
      </c>
      <c r="J1147" s="31" t="str">
        <f t="shared" si="120"/>
        <v/>
      </c>
      <c r="K1147" s="31" t="str">
        <f t="shared" si="121"/>
        <v/>
      </c>
      <c r="L1147" s="31" t="str">
        <f>IF(OR(B1147="",C1147=""),"",IFERROR(E1147 / SUMIFS('📅 Resumen Diario'!$D$5:$D$504, '📅 Resumen Diario'!$B$5:$B$504, B1147, '📅 Resumen Diario'!$C$5:$C$504, D1147) * SUMIFS('📅 Resumen Diario'!$K$5:$K$504, '📅 Resumen Diario'!$B$5:$B$504, B1147, '📅 Resumen Diario'!$C$5:$C$504, D1147), 0))</f>
        <v/>
      </c>
      <c r="M1147" s="31" t="str">
        <f t="shared" si="122"/>
        <v/>
      </c>
      <c r="N1147" s="31" t="str">
        <f t="shared" si="123"/>
        <v/>
      </c>
      <c r="O1147" s="31" t="str">
        <f>IF(OR(B1147="",C1147=""),"",K1147-N1147 + IFERROR(E1147 / SUMIFS('📅 Resumen Diario'!$D$5:$D$504, '📅 Resumen Diario'!$B$5:$B$504, B1147, '📅 Resumen Diario'!$C$5:$C$504, D1147) * (SUMIFS('📋 Detalle Diario'!$E$5:$E$489, '📋 Detalle Diario'!$B$5:$B$489, B1147, '📋 Detalle Diario'!$C$5:$C$489, D1147) * 135 + SUMIFS('📋 Detalle Diario'!$I$5:$I$489, '📋 Detalle Diario'!$B$5:$B$489, B1147, '📋 Detalle Diario'!$C$5:$C$489, D1147) * 200), 0))</f>
        <v/>
      </c>
      <c r="P1147" s="32" t="str">
        <f t="shared" si="124"/>
        <v/>
      </c>
      <c r="Q1147" s="33" t="str">
        <f t="shared" si="125"/>
        <v/>
      </c>
    </row>
    <row r="1148" spans="2:17" ht="18" customHeight="1" x14ac:dyDescent="0.3">
      <c r="B1148" s="26"/>
      <c r="C1148" s="17"/>
      <c r="D1148" s="27"/>
      <c r="E1148" s="18"/>
      <c r="F1148" s="18"/>
      <c r="G1148" s="18"/>
      <c r="H1148" s="30" t="str">
        <f t="shared" si="119"/>
        <v/>
      </c>
      <c r="I1148" s="31" t="str">
        <f>IF(OR(B1148="",C1148=""),"",IFERROR(E1148*IF(E1148="",0,VLOOKUP(C1148,'📦 Precios Proforma'!$B$5:$D$104,IF(D1148="DIA",2,3),FALSE)),0))</f>
        <v/>
      </c>
      <c r="J1148" s="31" t="str">
        <f t="shared" si="120"/>
        <v/>
      </c>
      <c r="K1148" s="31" t="str">
        <f t="shared" si="121"/>
        <v/>
      </c>
      <c r="L1148" s="31" t="str">
        <f>IF(OR(B1148="",C1148=""),"",IFERROR(E1148 / SUMIFS('📅 Resumen Diario'!$D$5:$D$504, '📅 Resumen Diario'!$B$5:$B$504, B1148, '📅 Resumen Diario'!$C$5:$C$504, D1148) * SUMIFS('📅 Resumen Diario'!$K$5:$K$504, '📅 Resumen Diario'!$B$5:$B$504, B1148, '📅 Resumen Diario'!$C$5:$C$504, D1148), 0))</f>
        <v/>
      </c>
      <c r="M1148" s="31" t="str">
        <f t="shared" si="122"/>
        <v/>
      </c>
      <c r="N1148" s="31" t="str">
        <f t="shared" si="123"/>
        <v/>
      </c>
      <c r="O1148" s="31" t="str">
        <f>IF(OR(B1148="",C1148=""),"",K1148-N1148 + IFERROR(E1148 / SUMIFS('📅 Resumen Diario'!$D$5:$D$504, '📅 Resumen Diario'!$B$5:$B$504, B1148, '📅 Resumen Diario'!$C$5:$C$504, D1148) * (SUMIFS('📋 Detalle Diario'!$E$5:$E$489, '📋 Detalle Diario'!$B$5:$B$489, B1148, '📋 Detalle Diario'!$C$5:$C$489, D1148) * 135 + SUMIFS('📋 Detalle Diario'!$I$5:$I$489, '📋 Detalle Diario'!$B$5:$B$489, B1148, '📋 Detalle Diario'!$C$5:$C$489, D1148) * 200), 0))</f>
        <v/>
      </c>
      <c r="P1148" s="32" t="str">
        <f t="shared" si="124"/>
        <v/>
      </c>
      <c r="Q1148" s="33" t="str">
        <f t="shared" si="125"/>
        <v/>
      </c>
    </row>
    <row r="1149" spans="2:17" ht="18" customHeight="1" x14ac:dyDescent="0.3">
      <c r="B1149" s="26"/>
      <c r="C1149" s="28"/>
      <c r="D1149" s="27"/>
      <c r="E1149" s="29"/>
      <c r="F1149" s="29"/>
      <c r="G1149" s="29"/>
      <c r="H1149" s="30" t="str">
        <f t="shared" si="119"/>
        <v/>
      </c>
      <c r="I1149" s="31" t="str">
        <f>IF(OR(B1149="",C1149=""),"",IFERROR(E1149*IF(E1149="",0,VLOOKUP(C1149,'📦 Precios Proforma'!$B$5:$D$104,IF(D1149="DIA",2,3),FALSE)),0))</f>
        <v/>
      </c>
      <c r="J1149" s="31" t="str">
        <f t="shared" si="120"/>
        <v/>
      </c>
      <c r="K1149" s="31" t="str">
        <f t="shared" si="121"/>
        <v/>
      </c>
      <c r="L1149" s="31" t="str">
        <f>IF(OR(B1149="",C1149=""),"",IFERROR(E1149 / SUMIFS('📅 Resumen Diario'!$D$5:$D$504, '📅 Resumen Diario'!$B$5:$B$504, B1149, '📅 Resumen Diario'!$C$5:$C$504, D1149) * SUMIFS('📅 Resumen Diario'!$K$5:$K$504, '📅 Resumen Diario'!$B$5:$B$504, B1149, '📅 Resumen Diario'!$C$5:$C$504, D1149), 0))</f>
        <v/>
      </c>
      <c r="M1149" s="31" t="str">
        <f t="shared" si="122"/>
        <v/>
      </c>
      <c r="N1149" s="31" t="str">
        <f t="shared" si="123"/>
        <v/>
      </c>
      <c r="O1149" s="31" t="str">
        <f>IF(OR(B1149="",C1149=""),"",K1149-N1149 + IFERROR(E1149 / SUMIFS('📅 Resumen Diario'!$D$5:$D$504, '📅 Resumen Diario'!$B$5:$B$504, B1149, '📅 Resumen Diario'!$C$5:$C$504, D1149) * (SUMIFS('📋 Detalle Diario'!$E$5:$E$489, '📋 Detalle Diario'!$B$5:$B$489, B1149, '📋 Detalle Diario'!$C$5:$C$489, D1149) * 135 + SUMIFS('📋 Detalle Diario'!$I$5:$I$489, '📋 Detalle Diario'!$B$5:$B$489, B1149, '📋 Detalle Diario'!$C$5:$C$489, D1149) * 200), 0))</f>
        <v/>
      </c>
      <c r="P1149" s="32" t="str">
        <f t="shared" si="124"/>
        <v/>
      </c>
      <c r="Q1149" s="33" t="str">
        <f t="shared" si="125"/>
        <v/>
      </c>
    </row>
    <row r="1150" spans="2:17" ht="18" customHeight="1" x14ac:dyDescent="0.3">
      <c r="B1150" s="26"/>
      <c r="C1150" s="17"/>
      <c r="D1150" s="27"/>
      <c r="E1150" s="18"/>
      <c r="F1150" s="18"/>
      <c r="G1150" s="18"/>
      <c r="H1150" s="30" t="str">
        <f t="shared" si="119"/>
        <v/>
      </c>
      <c r="I1150" s="31" t="str">
        <f>IF(OR(B1150="",C1150=""),"",IFERROR(E1150*IF(E1150="",0,VLOOKUP(C1150,'📦 Precios Proforma'!$B$5:$D$104,IF(D1150="DIA",2,3),FALSE)),0))</f>
        <v/>
      </c>
      <c r="J1150" s="31" t="str">
        <f t="shared" si="120"/>
        <v/>
      </c>
      <c r="K1150" s="31" t="str">
        <f t="shared" si="121"/>
        <v/>
      </c>
      <c r="L1150" s="31" t="str">
        <f>IF(OR(B1150="",C1150=""),"",IFERROR(E1150 / SUMIFS('📅 Resumen Diario'!$D$5:$D$504, '📅 Resumen Diario'!$B$5:$B$504, B1150, '📅 Resumen Diario'!$C$5:$C$504, D1150) * SUMIFS('📅 Resumen Diario'!$K$5:$K$504, '📅 Resumen Diario'!$B$5:$B$504, B1150, '📅 Resumen Diario'!$C$5:$C$504, D1150), 0))</f>
        <v/>
      </c>
      <c r="M1150" s="31" t="str">
        <f t="shared" si="122"/>
        <v/>
      </c>
      <c r="N1150" s="31" t="str">
        <f t="shared" si="123"/>
        <v/>
      </c>
      <c r="O1150" s="31" t="str">
        <f>IF(OR(B1150="",C1150=""),"",K1150-N1150 + IFERROR(E1150 / SUMIFS('📅 Resumen Diario'!$D$5:$D$504, '📅 Resumen Diario'!$B$5:$B$504, B1150, '📅 Resumen Diario'!$C$5:$C$504, D1150) * (SUMIFS('📋 Detalle Diario'!$E$5:$E$489, '📋 Detalle Diario'!$B$5:$B$489, B1150, '📋 Detalle Diario'!$C$5:$C$489, D1150) * 135 + SUMIFS('📋 Detalle Diario'!$I$5:$I$489, '📋 Detalle Diario'!$B$5:$B$489, B1150, '📋 Detalle Diario'!$C$5:$C$489, D1150) * 200), 0))</f>
        <v/>
      </c>
      <c r="P1150" s="32" t="str">
        <f t="shared" si="124"/>
        <v/>
      </c>
      <c r="Q1150" s="33" t="str">
        <f t="shared" si="125"/>
        <v/>
      </c>
    </row>
    <row r="1151" spans="2:17" ht="18" customHeight="1" x14ac:dyDescent="0.3">
      <c r="B1151" s="26"/>
      <c r="C1151" s="28"/>
      <c r="D1151" s="27"/>
      <c r="E1151" s="29"/>
      <c r="F1151" s="29"/>
      <c r="G1151" s="29"/>
      <c r="H1151" s="30" t="str">
        <f t="shared" si="119"/>
        <v/>
      </c>
      <c r="I1151" s="31" t="str">
        <f>IF(OR(B1151="",C1151=""),"",IFERROR(E1151*IF(E1151="",0,VLOOKUP(C1151,'📦 Precios Proforma'!$B$5:$D$104,IF(D1151="DIA",2,3),FALSE)),0))</f>
        <v/>
      </c>
      <c r="J1151" s="31" t="str">
        <f t="shared" si="120"/>
        <v/>
      </c>
      <c r="K1151" s="31" t="str">
        <f t="shared" si="121"/>
        <v/>
      </c>
      <c r="L1151" s="31" t="str">
        <f>IF(OR(B1151="",C1151=""),"",IFERROR(E1151 / SUMIFS('📅 Resumen Diario'!$D$5:$D$504, '📅 Resumen Diario'!$B$5:$B$504, B1151, '📅 Resumen Diario'!$C$5:$C$504, D1151) * SUMIFS('📅 Resumen Diario'!$K$5:$K$504, '📅 Resumen Diario'!$B$5:$B$504, B1151, '📅 Resumen Diario'!$C$5:$C$504, D1151), 0))</f>
        <v/>
      </c>
      <c r="M1151" s="31" t="str">
        <f t="shared" si="122"/>
        <v/>
      </c>
      <c r="N1151" s="31" t="str">
        <f t="shared" si="123"/>
        <v/>
      </c>
      <c r="O1151" s="31" t="str">
        <f>IF(OR(B1151="",C1151=""),"",K1151-N1151 + IFERROR(E1151 / SUMIFS('📅 Resumen Diario'!$D$5:$D$504, '📅 Resumen Diario'!$B$5:$B$504, B1151, '📅 Resumen Diario'!$C$5:$C$504, D1151) * (SUMIFS('📋 Detalle Diario'!$E$5:$E$489, '📋 Detalle Diario'!$B$5:$B$489, B1151, '📋 Detalle Diario'!$C$5:$C$489, D1151) * 135 + SUMIFS('📋 Detalle Diario'!$I$5:$I$489, '📋 Detalle Diario'!$B$5:$B$489, B1151, '📋 Detalle Diario'!$C$5:$C$489, D1151) * 200), 0))</f>
        <v/>
      </c>
      <c r="P1151" s="32" t="str">
        <f t="shared" si="124"/>
        <v/>
      </c>
      <c r="Q1151" s="33" t="str">
        <f t="shared" si="125"/>
        <v/>
      </c>
    </row>
    <row r="1152" spans="2:17" ht="18" customHeight="1" x14ac:dyDescent="0.3">
      <c r="B1152" s="26"/>
      <c r="C1152" s="17"/>
      <c r="D1152" s="27"/>
      <c r="E1152" s="18"/>
      <c r="F1152" s="18"/>
      <c r="G1152" s="18"/>
      <c r="H1152" s="30" t="str">
        <f t="shared" si="119"/>
        <v/>
      </c>
      <c r="I1152" s="31" t="str">
        <f>IF(OR(B1152="",C1152=""),"",IFERROR(E1152*IF(E1152="",0,VLOOKUP(C1152,'📦 Precios Proforma'!$B$5:$D$104,IF(D1152="DIA",2,3),FALSE)),0))</f>
        <v/>
      </c>
      <c r="J1152" s="31" t="str">
        <f t="shared" si="120"/>
        <v/>
      </c>
      <c r="K1152" s="31" t="str">
        <f t="shared" si="121"/>
        <v/>
      </c>
      <c r="L1152" s="31" t="str">
        <f>IF(OR(B1152="",C1152=""),"",IFERROR(E1152 / SUMIFS('📅 Resumen Diario'!$D$5:$D$504, '📅 Resumen Diario'!$B$5:$B$504, B1152, '📅 Resumen Diario'!$C$5:$C$504, D1152) * SUMIFS('📅 Resumen Diario'!$K$5:$K$504, '📅 Resumen Diario'!$B$5:$B$504, B1152, '📅 Resumen Diario'!$C$5:$C$504, D1152), 0))</f>
        <v/>
      </c>
      <c r="M1152" s="31" t="str">
        <f t="shared" si="122"/>
        <v/>
      </c>
      <c r="N1152" s="31" t="str">
        <f t="shared" si="123"/>
        <v/>
      </c>
      <c r="O1152" s="31" t="str">
        <f>IF(OR(B1152="",C1152=""),"",K1152-N1152 + IFERROR(E1152 / SUMIFS('📅 Resumen Diario'!$D$5:$D$504, '📅 Resumen Diario'!$B$5:$B$504, B1152, '📅 Resumen Diario'!$C$5:$C$504, D1152) * (SUMIFS('📋 Detalle Diario'!$E$5:$E$489, '📋 Detalle Diario'!$B$5:$B$489, B1152, '📋 Detalle Diario'!$C$5:$C$489, D1152) * 135 + SUMIFS('📋 Detalle Diario'!$I$5:$I$489, '📋 Detalle Diario'!$B$5:$B$489, B1152, '📋 Detalle Diario'!$C$5:$C$489, D1152) * 200), 0))</f>
        <v/>
      </c>
      <c r="P1152" s="32" t="str">
        <f t="shared" si="124"/>
        <v/>
      </c>
      <c r="Q1152" s="33" t="str">
        <f t="shared" si="125"/>
        <v/>
      </c>
    </row>
    <row r="1153" spans="2:17" ht="18" customHeight="1" x14ac:dyDescent="0.3">
      <c r="B1153" s="26"/>
      <c r="C1153" s="28"/>
      <c r="D1153" s="27"/>
      <c r="E1153" s="29"/>
      <c r="F1153" s="29"/>
      <c r="G1153" s="29"/>
      <c r="H1153" s="30" t="str">
        <f t="shared" si="119"/>
        <v/>
      </c>
      <c r="I1153" s="31" t="str">
        <f>IF(OR(B1153="",C1153=""),"",IFERROR(E1153*IF(E1153="",0,VLOOKUP(C1153,'📦 Precios Proforma'!$B$5:$D$104,IF(D1153="DIA",2,3),FALSE)),0))</f>
        <v/>
      </c>
      <c r="J1153" s="31" t="str">
        <f t="shared" si="120"/>
        <v/>
      </c>
      <c r="K1153" s="31" t="str">
        <f t="shared" si="121"/>
        <v/>
      </c>
      <c r="L1153" s="31" t="str">
        <f>IF(OR(B1153="",C1153=""),"",IFERROR(E1153 / SUMIFS('📅 Resumen Diario'!$D$5:$D$504, '📅 Resumen Diario'!$B$5:$B$504, B1153, '📅 Resumen Diario'!$C$5:$C$504, D1153) * SUMIFS('📅 Resumen Diario'!$K$5:$K$504, '📅 Resumen Diario'!$B$5:$B$504, B1153, '📅 Resumen Diario'!$C$5:$C$504, D1153), 0))</f>
        <v/>
      </c>
      <c r="M1153" s="31" t="str">
        <f t="shared" si="122"/>
        <v/>
      </c>
      <c r="N1153" s="31" t="str">
        <f t="shared" si="123"/>
        <v/>
      </c>
      <c r="O1153" s="31" t="str">
        <f>IF(OR(B1153="",C1153=""),"",K1153-N1153 + IFERROR(E1153 / SUMIFS('📅 Resumen Diario'!$D$5:$D$504, '📅 Resumen Diario'!$B$5:$B$504, B1153, '📅 Resumen Diario'!$C$5:$C$504, D1153) * (SUMIFS('📋 Detalle Diario'!$E$5:$E$489, '📋 Detalle Diario'!$B$5:$B$489, B1153, '📋 Detalle Diario'!$C$5:$C$489, D1153) * 135 + SUMIFS('📋 Detalle Diario'!$I$5:$I$489, '📋 Detalle Diario'!$B$5:$B$489, B1153, '📋 Detalle Diario'!$C$5:$C$489, D1153) * 200), 0))</f>
        <v/>
      </c>
      <c r="P1153" s="32" t="str">
        <f t="shared" si="124"/>
        <v/>
      </c>
      <c r="Q1153" s="33" t="str">
        <f t="shared" si="125"/>
        <v/>
      </c>
    </row>
    <row r="1154" spans="2:17" ht="18" customHeight="1" x14ac:dyDescent="0.3">
      <c r="B1154" s="26"/>
      <c r="C1154" s="17"/>
      <c r="D1154" s="27"/>
      <c r="E1154" s="18"/>
      <c r="F1154" s="18"/>
      <c r="G1154" s="18"/>
      <c r="H1154" s="30" t="str">
        <f t="shared" si="119"/>
        <v/>
      </c>
      <c r="I1154" s="31" t="str">
        <f>IF(OR(B1154="",C1154=""),"",IFERROR(E1154*IF(E1154="",0,VLOOKUP(C1154,'📦 Precios Proforma'!$B$5:$D$104,IF(D1154="DIA",2,3),FALSE)),0))</f>
        <v/>
      </c>
      <c r="J1154" s="31" t="str">
        <f t="shared" si="120"/>
        <v/>
      </c>
      <c r="K1154" s="31" t="str">
        <f t="shared" si="121"/>
        <v/>
      </c>
      <c r="L1154" s="31" t="str">
        <f>IF(OR(B1154="",C1154=""),"",IFERROR(E1154 / SUMIFS('📅 Resumen Diario'!$D$5:$D$504, '📅 Resumen Diario'!$B$5:$B$504, B1154, '📅 Resumen Diario'!$C$5:$C$504, D1154) * SUMIFS('📅 Resumen Diario'!$K$5:$K$504, '📅 Resumen Diario'!$B$5:$B$504, B1154, '📅 Resumen Diario'!$C$5:$C$504, D1154), 0))</f>
        <v/>
      </c>
      <c r="M1154" s="31" t="str">
        <f t="shared" si="122"/>
        <v/>
      </c>
      <c r="N1154" s="31" t="str">
        <f t="shared" si="123"/>
        <v/>
      </c>
      <c r="O1154" s="31" t="str">
        <f>IF(OR(B1154="",C1154=""),"",K1154-N1154 + IFERROR(E1154 / SUMIFS('📅 Resumen Diario'!$D$5:$D$504, '📅 Resumen Diario'!$B$5:$B$504, B1154, '📅 Resumen Diario'!$C$5:$C$504, D1154) * (SUMIFS('📋 Detalle Diario'!$E$5:$E$489, '📋 Detalle Diario'!$B$5:$B$489, B1154, '📋 Detalle Diario'!$C$5:$C$489, D1154) * 135 + SUMIFS('📋 Detalle Diario'!$I$5:$I$489, '📋 Detalle Diario'!$B$5:$B$489, B1154, '📋 Detalle Diario'!$C$5:$C$489, D1154) * 200), 0))</f>
        <v/>
      </c>
      <c r="P1154" s="32" t="str">
        <f t="shared" si="124"/>
        <v/>
      </c>
      <c r="Q1154" s="33" t="str">
        <f t="shared" si="125"/>
        <v/>
      </c>
    </row>
    <row r="1155" spans="2:17" ht="18" customHeight="1" x14ac:dyDescent="0.3">
      <c r="B1155" s="26"/>
      <c r="C1155" s="28"/>
      <c r="D1155" s="27"/>
      <c r="E1155" s="29"/>
      <c r="F1155" s="29"/>
      <c r="G1155" s="29"/>
      <c r="H1155" s="30" t="str">
        <f t="shared" si="119"/>
        <v/>
      </c>
      <c r="I1155" s="31" t="str">
        <f>IF(OR(B1155="",C1155=""),"",IFERROR(E1155*IF(E1155="",0,VLOOKUP(C1155,'📦 Precios Proforma'!$B$5:$D$104,IF(D1155="DIA",2,3),FALSE)),0))</f>
        <v/>
      </c>
      <c r="J1155" s="31" t="str">
        <f t="shared" si="120"/>
        <v/>
      </c>
      <c r="K1155" s="31" t="str">
        <f t="shared" si="121"/>
        <v/>
      </c>
      <c r="L1155" s="31" t="str">
        <f>IF(OR(B1155="",C1155=""),"",IFERROR(E1155 / SUMIFS('📅 Resumen Diario'!$D$5:$D$504, '📅 Resumen Diario'!$B$5:$B$504, B1155, '📅 Resumen Diario'!$C$5:$C$504, D1155) * SUMIFS('📅 Resumen Diario'!$K$5:$K$504, '📅 Resumen Diario'!$B$5:$B$504, B1155, '📅 Resumen Diario'!$C$5:$C$504, D1155), 0))</f>
        <v/>
      </c>
      <c r="M1155" s="31" t="str">
        <f t="shared" si="122"/>
        <v/>
      </c>
      <c r="N1155" s="31" t="str">
        <f t="shared" si="123"/>
        <v/>
      </c>
      <c r="O1155" s="31" t="str">
        <f>IF(OR(B1155="",C1155=""),"",K1155-N1155 + IFERROR(E1155 / SUMIFS('📅 Resumen Diario'!$D$5:$D$504, '📅 Resumen Diario'!$B$5:$B$504, B1155, '📅 Resumen Diario'!$C$5:$C$504, D1155) * (SUMIFS('📋 Detalle Diario'!$E$5:$E$489, '📋 Detalle Diario'!$B$5:$B$489, B1155, '📋 Detalle Diario'!$C$5:$C$489, D1155) * 135 + SUMIFS('📋 Detalle Diario'!$I$5:$I$489, '📋 Detalle Diario'!$B$5:$B$489, B1155, '📋 Detalle Diario'!$C$5:$C$489, D1155) * 200), 0))</f>
        <v/>
      </c>
      <c r="P1155" s="32" t="str">
        <f t="shared" si="124"/>
        <v/>
      </c>
      <c r="Q1155" s="33" t="str">
        <f t="shared" si="125"/>
        <v/>
      </c>
    </row>
    <row r="1156" spans="2:17" ht="18" customHeight="1" x14ac:dyDescent="0.3">
      <c r="B1156" s="26"/>
      <c r="C1156" s="17"/>
      <c r="D1156" s="27"/>
      <c r="E1156" s="18"/>
      <c r="F1156" s="18"/>
      <c r="G1156" s="18"/>
      <c r="H1156" s="30" t="str">
        <f t="shared" si="119"/>
        <v/>
      </c>
      <c r="I1156" s="31" t="str">
        <f>IF(OR(B1156="",C1156=""),"",IFERROR(E1156*IF(E1156="",0,VLOOKUP(C1156,'📦 Precios Proforma'!$B$5:$D$104,IF(D1156="DIA",2,3),FALSE)),0))</f>
        <v/>
      </c>
      <c r="J1156" s="31" t="str">
        <f t="shared" si="120"/>
        <v/>
      </c>
      <c r="K1156" s="31" t="str">
        <f t="shared" si="121"/>
        <v/>
      </c>
      <c r="L1156" s="31" t="str">
        <f>IF(OR(B1156="",C1156=""),"",IFERROR(E1156 / SUMIFS('📅 Resumen Diario'!$D$5:$D$504, '📅 Resumen Diario'!$B$5:$B$504, B1156, '📅 Resumen Diario'!$C$5:$C$504, D1156) * SUMIFS('📅 Resumen Diario'!$K$5:$K$504, '📅 Resumen Diario'!$B$5:$B$504, B1156, '📅 Resumen Diario'!$C$5:$C$504, D1156), 0))</f>
        <v/>
      </c>
      <c r="M1156" s="31" t="str">
        <f t="shared" si="122"/>
        <v/>
      </c>
      <c r="N1156" s="31" t="str">
        <f t="shared" si="123"/>
        <v/>
      </c>
      <c r="O1156" s="31" t="str">
        <f>IF(OR(B1156="",C1156=""),"",K1156-N1156 + IFERROR(E1156 / SUMIFS('📅 Resumen Diario'!$D$5:$D$504, '📅 Resumen Diario'!$B$5:$B$504, B1156, '📅 Resumen Diario'!$C$5:$C$504, D1156) * (SUMIFS('📋 Detalle Diario'!$E$5:$E$489, '📋 Detalle Diario'!$B$5:$B$489, B1156, '📋 Detalle Diario'!$C$5:$C$489, D1156) * 135 + SUMIFS('📋 Detalle Diario'!$I$5:$I$489, '📋 Detalle Diario'!$B$5:$B$489, B1156, '📋 Detalle Diario'!$C$5:$C$489, D1156) * 200), 0))</f>
        <v/>
      </c>
      <c r="P1156" s="32" t="str">
        <f t="shared" si="124"/>
        <v/>
      </c>
      <c r="Q1156" s="33" t="str">
        <f t="shared" si="125"/>
        <v/>
      </c>
    </row>
    <row r="1157" spans="2:17" ht="18" customHeight="1" x14ac:dyDescent="0.3">
      <c r="B1157" s="26"/>
      <c r="C1157" s="28"/>
      <c r="D1157" s="27"/>
      <c r="E1157" s="29"/>
      <c r="F1157" s="29"/>
      <c r="G1157" s="29"/>
      <c r="H1157" s="30" t="str">
        <f t="shared" si="119"/>
        <v/>
      </c>
      <c r="I1157" s="31" t="str">
        <f>IF(OR(B1157="",C1157=""),"",IFERROR(E1157*IF(E1157="",0,VLOOKUP(C1157,'📦 Precios Proforma'!$B$5:$D$104,IF(D1157="DIA",2,3),FALSE)),0))</f>
        <v/>
      </c>
      <c r="J1157" s="31" t="str">
        <f t="shared" si="120"/>
        <v/>
      </c>
      <c r="K1157" s="31" t="str">
        <f t="shared" si="121"/>
        <v/>
      </c>
      <c r="L1157" s="31" t="str">
        <f>IF(OR(B1157="",C1157=""),"",IFERROR(E1157 / SUMIFS('📅 Resumen Diario'!$D$5:$D$504, '📅 Resumen Diario'!$B$5:$B$504, B1157, '📅 Resumen Diario'!$C$5:$C$504, D1157) * SUMIFS('📅 Resumen Diario'!$K$5:$K$504, '📅 Resumen Diario'!$B$5:$B$504, B1157, '📅 Resumen Diario'!$C$5:$C$504, D1157), 0))</f>
        <v/>
      </c>
      <c r="M1157" s="31" t="str">
        <f t="shared" si="122"/>
        <v/>
      </c>
      <c r="N1157" s="31" t="str">
        <f t="shared" si="123"/>
        <v/>
      </c>
      <c r="O1157" s="31" t="str">
        <f>IF(OR(B1157="",C1157=""),"",K1157-N1157 + IFERROR(E1157 / SUMIFS('📅 Resumen Diario'!$D$5:$D$504, '📅 Resumen Diario'!$B$5:$B$504, B1157, '📅 Resumen Diario'!$C$5:$C$504, D1157) * (SUMIFS('📋 Detalle Diario'!$E$5:$E$489, '📋 Detalle Diario'!$B$5:$B$489, B1157, '📋 Detalle Diario'!$C$5:$C$489, D1157) * 135 + SUMIFS('📋 Detalle Diario'!$I$5:$I$489, '📋 Detalle Diario'!$B$5:$B$489, B1157, '📋 Detalle Diario'!$C$5:$C$489, D1157) * 200), 0))</f>
        <v/>
      </c>
      <c r="P1157" s="32" t="str">
        <f t="shared" si="124"/>
        <v/>
      </c>
      <c r="Q1157" s="33" t="str">
        <f t="shared" si="125"/>
        <v/>
      </c>
    </row>
    <row r="1158" spans="2:17" ht="18" customHeight="1" x14ac:dyDescent="0.3">
      <c r="B1158" s="26"/>
      <c r="C1158" s="17"/>
      <c r="D1158" s="27"/>
      <c r="E1158" s="18"/>
      <c r="F1158" s="18"/>
      <c r="G1158" s="18"/>
      <c r="H1158" s="30" t="str">
        <f t="shared" si="119"/>
        <v/>
      </c>
      <c r="I1158" s="31" t="str">
        <f>IF(OR(B1158="",C1158=""),"",IFERROR(E1158*IF(E1158="",0,VLOOKUP(C1158,'📦 Precios Proforma'!$B$5:$D$104,IF(D1158="DIA",2,3),FALSE)),0))</f>
        <v/>
      </c>
      <c r="J1158" s="31" t="str">
        <f t="shared" si="120"/>
        <v/>
      </c>
      <c r="K1158" s="31" t="str">
        <f t="shared" si="121"/>
        <v/>
      </c>
      <c r="L1158" s="31" t="str">
        <f>IF(OR(B1158="",C1158=""),"",IFERROR(E1158 / SUMIFS('📅 Resumen Diario'!$D$5:$D$504, '📅 Resumen Diario'!$B$5:$B$504, B1158, '📅 Resumen Diario'!$C$5:$C$504, D1158) * SUMIFS('📅 Resumen Diario'!$K$5:$K$504, '📅 Resumen Diario'!$B$5:$B$504, B1158, '📅 Resumen Diario'!$C$5:$C$504, D1158), 0))</f>
        <v/>
      </c>
      <c r="M1158" s="31" t="str">
        <f t="shared" si="122"/>
        <v/>
      </c>
      <c r="N1158" s="31" t="str">
        <f t="shared" si="123"/>
        <v/>
      </c>
      <c r="O1158" s="31" t="str">
        <f>IF(OR(B1158="",C1158=""),"",K1158-N1158 + IFERROR(E1158 / SUMIFS('📅 Resumen Diario'!$D$5:$D$504, '📅 Resumen Diario'!$B$5:$B$504, B1158, '📅 Resumen Diario'!$C$5:$C$504, D1158) * (SUMIFS('📋 Detalle Diario'!$E$5:$E$489, '📋 Detalle Diario'!$B$5:$B$489, B1158, '📋 Detalle Diario'!$C$5:$C$489, D1158) * 135 + SUMIFS('📋 Detalle Diario'!$I$5:$I$489, '📋 Detalle Diario'!$B$5:$B$489, B1158, '📋 Detalle Diario'!$C$5:$C$489, D1158) * 200), 0))</f>
        <v/>
      </c>
      <c r="P1158" s="32" t="str">
        <f t="shared" si="124"/>
        <v/>
      </c>
      <c r="Q1158" s="33" t="str">
        <f t="shared" si="125"/>
        <v/>
      </c>
    </row>
    <row r="1159" spans="2:17" ht="18" customHeight="1" x14ac:dyDescent="0.3">
      <c r="B1159" s="26"/>
      <c r="C1159" s="28"/>
      <c r="D1159" s="27"/>
      <c r="E1159" s="29"/>
      <c r="F1159" s="29"/>
      <c r="G1159" s="29"/>
      <c r="H1159" s="30" t="str">
        <f t="shared" ref="H1159:H1222" si="126">IF(OR(B1159="",C1159=""),"",F1159+G1159)</f>
        <v/>
      </c>
      <c r="I1159" s="31" t="str">
        <f>IF(OR(B1159="",C1159=""),"",IFERROR(E1159*IF(E1159="",0,VLOOKUP(C1159,'📦 Precios Proforma'!$B$5:$D$104,IF(D1159="DIA",2,3),FALSE)),0))</f>
        <v/>
      </c>
      <c r="J1159" s="31" t="str">
        <f t="shared" ref="J1159:J1222" si="127">IF(OR(B1159="",C1159=""),"",IF(D1159="DIA",H1159*1.01,H1159*1.35))</f>
        <v/>
      </c>
      <c r="K1159" s="31" t="str">
        <f t="shared" ref="K1159:K1222" si="128">IF(OR(B1159="",C1159=""),"",I1159+J1159)</f>
        <v/>
      </c>
      <c r="L1159" s="31" t="str">
        <f>IF(OR(B1159="",C1159=""),"",IFERROR(E1159 / SUMIFS('📅 Resumen Diario'!$D$5:$D$504, '📅 Resumen Diario'!$B$5:$B$504, B1159, '📅 Resumen Diario'!$C$5:$C$504, D1159) * SUMIFS('📅 Resumen Diario'!$K$5:$K$504, '📅 Resumen Diario'!$B$5:$B$504, B1159, '📅 Resumen Diario'!$C$5:$C$504, D1159), 0))</f>
        <v/>
      </c>
      <c r="M1159" s="31" t="str">
        <f t="shared" ref="M1159:M1222" si="129">IF(OR(B1159="",C1159=""),"",H1159*0.09)</f>
        <v/>
      </c>
      <c r="N1159" s="31" t="str">
        <f t="shared" ref="N1159:N1222" si="130">IF(OR(B1159="",C1159=""),"",L1159+M1159)</f>
        <v/>
      </c>
      <c r="O1159" s="31" t="str">
        <f>IF(OR(B1159="",C1159=""),"",K1159-N1159 + IFERROR(E1159 / SUMIFS('📅 Resumen Diario'!$D$5:$D$504, '📅 Resumen Diario'!$B$5:$B$504, B1159, '📅 Resumen Diario'!$C$5:$C$504, D1159) * (SUMIFS('📋 Detalle Diario'!$E$5:$E$489, '📋 Detalle Diario'!$B$5:$B$489, B1159, '📋 Detalle Diario'!$C$5:$C$489, D1159) * 135 + SUMIFS('📋 Detalle Diario'!$I$5:$I$489, '📋 Detalle Diario'!$B$5:$B$489, B1159, '📋 Detalle Diario'!$C$5:$C$489, D1159) * 200), 0))</f>
        <v/>
      </c>
      <c r="P1159" s="32" t="str">
        <f t="shared" ref="P1159:P1222" si="131">IF(OR(B1159="",C1159=""),"",IF(K1159=0, 0, O1159/K1159))</f>
        <v/>
      </c>
      <c r="Q1159" s="33" t="str">
        <f t="shared" ref="Q1159:Q1222" si="132">IF(B1159="","",IF(ISNUMBER(B1159),YEAR(B1159)&amp;"-"&amp;IF(MONTH(B1159)&lt;10,"0","")&amp;MONTH(B1159),LEFT(B1159,7)))</f>
        <v/>
      </c>
    </row>
    <row r="1160" spans="2:17" ht="18" customHeight="1" x14ac:dyDescent="0.3">
      <c r="B1160" s="26"/>
      <c r="C1160" s="17"/>
      <c r="D1160" s="27"/>
      <c r="E1160" s="18"/>
      <c r="F1160" s="18"/>
      <c r="G1160" s="18"/>
      <c r="H1160" s="30" t="str">
        <f t="shared" si="126"/>
        <v/>
      </c>
      <c r="I1160" s="31" t="str">
        <f>IF(OR(B1160="",C1160=""),"",IFERROR(E1160*IF(E1160="",0,VLOOKUP(C1160,'📦 Precios Proforma'!$B$5:$D$104,IF(D1160="DIA",2,3),FALSE)),0))</f>
        <v/>
      </c>
      <c r="J1160" s="31" t="str">
        <f t="shared" si="127"/>
        <v/>
      </c>
      <c r="K1160" s="31" t="str">
        <f t="shared" si="128"/>
        <v/>
      </c>
      <c r="L1160" s="31" t="str">
        <f>IF(OR(B1160="",C1160=""),"",IFERROR(E1160 / SUMIFS('📅 Resumen Diario'!$D$5:$D$504, '📅 Resumen Diario'!$B$5:$B$504, B1160, '📅 Resumen Diario'!$C$5:$C$504, D1160) * SUMIFS('📅 Resumen Diario'!$K$5:$K$504, '📅 Resumen Diario'!$B$5:$B$504, B1160, '📅 Resumen Diario'!$C$5:$C$504, D1160), 0))</f>
        <v/>
      </c>
      <c r="M1160" s="31" t="str">
        <f t="shared" si="129"/>
        <v/>
      </c>
      <c r="N1160" s="31" t="str">
        <f t="shared" si="130"/>
        <v/>
      </c>
      <c r="O1160" s="31" t="str">
        <f>IF(OR(B1160="",C1160=""),"",K1160-N1160 + IFERROR(E1160 / SUMIFS('📅 Resumen Diario'!$D$5:$D$504, '📅 Resumen Diario'!$B$5:$B$504, B1160, '📅 Resumen Diario'!$C$5:$C$504, D1160) * (SUMIFS('📋 Detalle Diario'!$E$5:$E$489, '📋 Detalle Diario'!$B$5:$B$489, B1160, '📋 Detalle Diario'!$C$5:$C$489, D1160) * 135 + SUMIFS('📋 Detalle Diario'!$I$5:$I$489, '📋 Detalle Diario'!$B$5:$B$489, B1160, '📋 Detalle Diario'!$C$5:$C$489, D1160) * 200), 0))</f>
        <v/>
      </c>
      <c r="P1160" s="32" t="str">
        <f t="shared" si="131"/>
        <v/>
      </c>
      <c r="Q1160" s="33" t="str">
        <f t="shared" si="132"/>
        <v/>
      </c>
    </row>
    <row r="1161" spans="2:17" ht="18" customHeight="1" x14ac:dyDescent="0.3">
      <c r="B1161" s="26"/>
      <c r="C1161" s="28"/>
      <c r="D1161" s="27"/>
      <c r="E1161" s="29"/>
      <c r="F1161" s="29"/>
      <c r="G1161" s="29"/>
      <c r="H1161" s="30" t="str">
        <f t="shared" si="126"/>
        <v/>
      </c>
      <c r="I1161" s="31" t="str">
        <f>IF(OR(B1161="",C1161=""),"",IFERROR(E1161*IF(E1161="",0,VLOOKUP(C1161,'📦 Precios Proforma'!$B$5:$D$104,IF(D1161="DIA",2,3),FALSE)),0))</f>
        <v/>
      </c>
      <c r="J1161" s="31" t="str">
        <f t="shared" si="127"/>
        <v/>
      </c>
      <c r="K1161" s="31" t="str">
        <f t="shared" si="128"/>
        <v/>
      </c>
      <c r="L1161" s="31" t="str">
        <f>IF(OR(B1161="",C1161=""),"",IFERROR(E1161 / SUMIFS('📅 Resumen Diario'!$D$5:$D$504, '📅 Resumen Diario'!$B$5:$B$504, B1161, '📅 Resumen Diario'!$C$5:$C$504, D1161) * SUMIFS('📅 Resumen Diario'!$K$5:$K$504, '📅 Resumen Diario'!$B$5:$B$504, B1161, '📅 Resumen Diario'!$C$5:$C$504, D1161), 0))</f>
        <v/>
      </c>
      <c r="M1161" s="31" t="str">
        <f t="shared" si="129"/>
        <v/>
      </c>
      <c r="N1161" s="31" t="str">
        <f t="shared" si="130"/>
        <v/>
      </c>
      <c r="O1161" s="31" t="str">
        <f>IF(OR(B1161="",C1161=""),"",K1161-N1161 + IFERROR(E1161 / SUMIFS('📅 Resumen Diario'!$D$5:$D$504, '📅 Resumen Diario'!$B$5:$B$504, B1161, '📅 Resumen Diario'!$C$5:$C$504, D1161) * (SUMIFS('📋 Detalle Diario'!$E$5:$E$489, '📋 Detalle Diario'!$B$5:$B$489, B1161, '📋 Detalle Diario'!$C$5:$C$489, D1161) * 135 + SUMIFS('📋 Detalle Diario'!$I$5:$I$489, '📋 Detalle Diario'!$B$5:$B$489, B1161, '📋 Detalle Diario'!$C$5:$C$489, D1161) * 200), 0))</f>
        <v/>
      </c>
      <c r="P1161" s="32" t="str">
        <f t="shared" si="131"/>
        <v/>
      </c>
      <c r="Q1161" s="33" t="str">
        <f t="shared" si="132"/>
        <v/>
      </c>
    </row>
    <row r="1162" spans="2:17" ht="18" customHeight="1" x14ac:dyDescent="0.3">
      <c r="B1162" s="26"/>
      <c r="C1162" s="17"/>
      <c r="D1162" s="27"/>
      <c r="E1162" s="18"/>
      <c r="F1162" s="18"/>
      <c r="G1162" s="18"/>
      <c r="H1162" s="30" t="str">
        <f t="shared" si="126"/>
        <v/>
      </c>
      <c r="I1162" s="31" t="str">
        <f>IF(OR(B1162="",C1162=""),"",IFERROR(E1162*IF(E1162="",0,VLOOKUP(C1162,'📦 Precios Proforma'!$B$5:$D$104,IF(D1162="DIA",2,3),FALSE)),0))</f>
        <v/>
      </c>
      <c r="J1162" s="31" t="str">
        <f t="shared" si="127"/>
        <v/>
      </c>
      <c r="K1162" s="31" t="str">
        <f t="shared" si="128"/>
        <v/>
      </c>
      <c r="L1162" s="31" t="str">
        <f>IF(OR(B1162="",C1162=""),"",IFERROR(E1162 / SUMIFS('📅 Resumen Diario'!$D$5:$D$504, '📅 Resumen Diario'!$B$5:$B$504, B1162, '📅 Resumen Diario'!$C$5:$C$504, D1162) * SUMIFS('📅 Resumen Diario'!$K$5:$K$504, '📅 Resumen Diario'!$B$5:$B$504, B1162, '📅 Resumen Diario'!$C$5:$C$504, D1162), 0))</f>
        <v/>
      </c>
      <c r="M1162" s="31" t="str">
        <f t="shared" si="129"/>
        <v/>
      </c>
      <c r="N1162" s="31" t="str">
        <f t="shared" si="130"/>
        <v/>
      </c>
      <c r="O1162" s="31" t="str">
        <f>IF(OR(B1162="",C1162=""),"",K1162-N1162 + IFERROR(E1162 / SUMIFS('📅 Resumen Diario'!$D$5:$D$504, '📅 Resumen Diario'!$B$5:$B$504, B1162, '📅 Resumen Diario'!$C$5:$C$504, D1162) * (SUMIFS('📋 Detalle Diario'!$E$5:$E$489, '📋 Detalle Diario'!$B$5:$B$489, B1162, '📋 Detalle Diario'!$C$5:$C$489, D1162) * 135 + SUMIFS('📋 Detalle Diario'!$I$5:$I$489, '📋 Detalle Diario'!$B$5:$B$489, B1162, '📋 Detalle Diario'!$C$5:$C$489, D1162) * 200), 0))</f>
        <v/>
      </c>
      <c r="P1162" s="32" t="str">
        <f t="shared" si="131"/>
        <v/>
      </c>
      <c r="Q1162" s="33" t="str">
        <f t="shared" si="132"/>
        <v/>
      </c>
    </row>
    <row r="1163" spans="2:17" ht="18" customHeight="1" x14ac:dyDescent="0.3">
      <c r="B1163" s="26"/>
      <c r="C1163" s="28"/>
      <c r="D1163" s="27"/>
      <c r="E1163" s="29"/>
      <c r="F1163" s="29"/>
      <c r="G1163" s="29"/>
      <c r="H1163" s="30" t="str">
        <f t="shared" si="126"/>
        <v/>
      </c>
      <c r="I1163" s="31" t="str">
        <f>IF(OR(B1163="",C1163=""),"",IFERROR(E1163*IF(E1163="",0,VLOOKUP(C1163,'📦 Precios Proforma'!$B$5:$D$104,IF(D1163="DIA",2,3),FALSE)),0))</f>
        <v/>
      </c>
      <c r="J1163" s="31" t="str">
        <f t="shared" si="127"/>
        <v/>
      </c>
      <c r="K1163" s="31" t="str">
        <f t="shared" si="128"/>
        <v/>
      </c>
      <c r="L1163" s="31" t="str">
        <f>IF(OR(B1163="",C1163=""),"",IFERROR(E1163 / SUMIFS('📅 Resumen Diario'!$D$5:$D$504, '📅 Resumen Diario'!$B$5:$B$504, B1163, '📅 Resumen Diario'!$C$5:$C$504, D1163) * SUMIFS('📅 Resumen Diario'!$K$5:$K$504, '📅 Resumen Diario'!$B$5:$B$504, B1163, '📅 Resumen Diario'!$C$5:$C$504, D1163), 0))</f>
        <v/>
      </c>
      <c r="M1163" s="31" t="str">
        <f t="shared" si="129"/>
        <v/>
      </c>
      <c r="N1163" s="31" t="str">
        <f t="shared" si="130"/>
        <v/>
      </c>
      <c r="O1163" s="31" t="str">
        <f>IF(OR(B1163="",C1163=""),"",K1163-N1163 + IFERROR(E1163 / SUMIFS('📅 Resumen Diario'!$D$5:$D$504, '📅 Resumen Diario'!$B$5:$B$504, B1163, '📅 Resumen Diario'!$C$5:$C$504, D1163) * (SUMIFS('📋 Detalle Diario'!$E$5:$E$489, '📋 Detalle Diario'!$B$5:$B$489, B1163, '📋 Detalle Diario'!$C$5:$C$489, D1163) * 135 + SUMIFS('📋 Detalle Diario'!$I$5:$I$489, '📋 Detalle Diario'!$B$5:$B$489, B1163, '📋 Detalle Diario'!$C$5:$C$489, D1163) * 200), 0))</f>
        <v/>
      </c>
      <c r="P1163" s="32" t="str">
        <f t="shared" si="131"/>
        <v/>
      </c>
      <c r="Q1163" s="33" t="str">
        <f t="shared" si="132"/>
        <v/>
      </c>
    </row>
    <row r="1164" spans="2:17" ht="18" customHeight="1" x14ac:dyDescent="0.3">
      <c r="B1164" s="26"/>
      <c r="C1164" s="17"/>
      <c r="D1164" s="27"/>
      <c r="E1164" s="18"/>
      <c r="F1164" s="18"/>
      <c r="G1164" s="18"/>
      <c r="H1164" s="30" t="str">
        <f t="shared" si="126"/>
        <v/>
      </c>
      <c r="I1164" s="31" t="str">
        <f>IF(OR(B1164="",C1164=""),"",IFERROR(E1164*IF(E1164="",0,VLOOKUP(C1164,'📦 Precios Proforma'!$B$5:$D$104,IF(D1164="DIA",2,3),FALSE)),0))</f>
        <v/>
      </c>
      <c r="J1164" s="31" t="str">
        <f t="shared" si="127"/>
        <v/>
      </c>
      <c r="K1164" s="31" t="str">
        <f t="shared" si="128"/>
        <v/>
      </c>
      <c r="L1164" s="31" t="str">
        <f>IF(OR(B1164="",C1164=""),"",IFERROR(E1164 / SUMIFS('📅 Resumen Diario'!$D$5:$D$504, '📅 Resumen Diario'!$B$5:$B$504, B1164, '📅 Resumen Diario'!$C$5:$C$504, D1164) * SUMIFS('📅 Resumen Diario'!$K$5:$K$504, '📅 Resumen Diario'!$B$5:$B$504, B1164, '📅 Resumen Diario'!$C$5:$C$504, D1164), 0))</f>
        <v/>
      </c>
      <c r="M1164" s="31" t="str">
        <f t="shared" si="129"/>
        <v/>
      </c>
      <c r="N1164" s="31" t="str">
        <f t="shared" si="130"/>
        <v/>
      </c>
      <c r="O1164" s="31" t="str">
        <f>IF(OR(B1164="",C1164=""),"",K1164-N1164 + IFERROR(E1164 / SUMIFS('📅 Resumen Diario'!$D$5:$D$504, '📅 Resumen Diario'!$B$5:$B$504, B1164, '📅 Resumen Diario'!$C$5:$C$504, D1164) * (SUMIFS('📋 Detalle Diario'!$E$5:$E$489, '📋 Detalle Diario'!$B$5:$B$489, B1164, '📋 Detalle Diario'!$C$5:$C$489, D1164) * 135 + SUMIFS('📋 Detalle Diario'!$I$5:$I$489, '📋 Detalle Diario'!$B$5:$B$489, B1164, '📋 Detalle Diario'!$C$5:$C$489, D1164) * 200), 0))</f>
        <v/>
      </c>
      <c r="P1164" s="32" t="str">
        <f t="shared" si="131"/>
        <v/>
      </c>
      <c r="Q1164" s="33" t="str">
        <f t="shared" si="132"/>
        <v/>
      </c>
    </row>
    <row r="1165" spans="2:17" ht="18" customHeight="1" x14ac:dyDescent="0.3">
      <c r="B1165" s="26"/>
      <c r="C1165" s="28"/>
      <c r="D1165" s="27"/>
      <c r="E1165" s="29"/>
      <c r="F1165" s="29"/>
      <c r="G1165" s="29"/>
      <c r="H1165" s="30" t="str">
        <f t="shared" si="126"/>
        <v/>
      </c>
      <c r="I1165" s="31" t="str">
        <f>IF(OR(B1165="",C1165=""),"",IFERROR(E1165*IF(E1165="",0,VLOOKUP(C1165,'📦 Precios Proforma'!$B$5:$D$104,IF(D1165="DIA",2,3),FALSE)),0))</f>
        <v/>
      </c>
      <c r="J1165" s="31" t="str">
        <f t="shared" si="127"/>
        <v/>
      </c>
      <c r="K1165" s="31" t="str">
        <f t="shared" si="128"/>
        <v/>
      </c>
      <c r="L1165" s="31" t="str">
        <f>IF(OR(B1165="",C1165=""),"",IFERROR(E1165 / SUMIFS('📅 Resumen Diario'!$D$5:$D$504, '📅 Resumen Diario'!$B$5:$B$504, B1165, '📅 Resumen Diario'!$C$5:$C$504, D1165) * SUMIFS('📅 Resumen Diario'!$K$5:$K$504, '📅 Resumen Diario'!$B$5:$B$504, B1165, '📅 Resumen Diario'!$C$5:$C$504, D1165), 0))</f>
        <v/>
      </c>
      <c r="M1165" s="31" t="str">
        <f t="shared" si="129"/>
        <v/>
      </c>
      <c r="N1165" s="31" t="str">
        <f t="shared" si="130"/>
        <v/>
      </c>
      <c r="O1165" s="31" t="str">
        <f>IF(OR(B1165="",C1165=""),"",K1165-N1165 + IFERROR(E1165 / SUMIFS('📅 Resumen Diario'!$D$5:$D$504, '📅 Resumen Diario'!$B$5:$B$504, B1165, '📅 Resumen Diario'!$C$5:$C$504, D1165) * (SUMIFS('📋 Detalle Diario'!$E$5:$E$489, '📋 Detalle Diario'!$B$5:$B$489, B1165, '📋 Detalle Diario'!$C$5:$C$489, D1165) * 135 + SUMIFS('📋 Detalle Diario'!$I$5:$I$489, '📋 Detalle Diario'!$B$5:$B$489, B1165, '📋 Detalle Diario'!$C$5:$C$489, D1165) * 200), 0))</f>
        <v/>
      </c>
      <c r="P1165" s="32" t="str">
        <f t="shared" si="131"/>
        <v/>
      </c>
      <c r="Q1165" s="33" t="str">
        <f t="shared" si="132"/>
        <v/>
      </c>
    </row>
    <row r="1166" spans="2:17" ht="18" customHeight="1" x14ac:dyDescent="0.3">
      <c r="B1166" s="26"/>
      <c r="C1166" s="17"/>
      <c r="D1166" s="27"/>
      <c r="E1166" s="18"/>
      <c r="F1166" s="18"/>
      <c r="G1166" s="18"/>
      <c r="H1166" s="30" t="str">
        <f t="shared" si="126"/>
        <v/>
      </c>
      <c r="I1166" s="31" t="str">
        <f>IF(OR(B1166="",C1166=""),"",IFERROR(E1166*IF(E1166="",0,VLOOKUP(C1166,'📦 Precios Proforma'!$B$5:$D$104,IF(D1166="DIA",2,3),FALSE)),0))</f>
        <v/>
      </c>
      <c r="J1166" s="31" t="str">
        <f t="shared" si="127"/>
        <v/>
      </c>
      <c r="K1166" s="31" t="str">
        <f t="shared" si="128"/>
        <v/>
      </c>
      <c r="L1166" s="31" t="str">
        <f>IF(OR(B1166="",C1166=""),"",IFERROR(E1166 / SUMIFS('📅 Resumen Diario'!$D$5:$D$504, '📅 Resumen Diario'!$B$5:$B$504, B1166, '📅 Resumen Diario'!$C$5:$C$504, D1166) * SUMIFS('📅 Resumen Diario'!$K$5:$K$504, '📅 Resumen Diario'!$B$5:$B$504, B1166, '📅 Resumen Diario'!$C$5:$C$504, D1166), 0))</f>
        <v/>
      </c>
      <c r="M1166" s="31" t="str">
        <f t="shared" si="129"/>
        <v/>
      </c>
      <c r="N1166" s="31" t="str">
        <f t="shared" si="130"/>
        <v/>
      </c>
      <c r="O1166" s="31" t="str">
        <f>IF(OR(B1166="",C1166=""),"",K1166-N1166 + IFERROR(E1166 / SUMIFS('📅 Resumen Diario'!$D$5:$D$504, '📅 Resumen Diario'!$B$5:$B$504, B1166, '📅 Resumen Diario'!$C$5:$C$504, D1166) * (SUMIFS('📋 Detalle Diario'!$E$5:$E$489, '📋 Detalle Diario'!$B$5:$B$489, B1166, '📋 Detalle Diario'!$C$5:$C$489, D1166) * 135 + SUMIFS('📋 Detalle Diario'!$I$5:$I$489, '📋 Detalle Diario'!$B$5:$B$489, B1166, '📋 Detalle Diario'!$C$5:$C$489, D1166) * 200), 0))</f>
        <v/>
      </c>
      <c r="P1166" s="32" t="str">
        <f t="shared" si="131"/>
        <v/>
      </c>
      <c r="Q1166" s="33" t="str">
        <f t="shared" si="132"/>
        <v/>
      </c>
    </row>
    <row r="1167" spans="2:17" ht="18" customHeight="1" x14ac:dyDescent="0.3">
      <c r="B1167" s="26"/>
      <c r="C1167" s="28"/>
      <c r="D1167" s="27"/>
      <c r="E1167" s="29"/>
      <c r="F1167" s="29"/>
      <c r="G1167" s="29"/>
      <c r="H1167" s="30" t="str">
        <f t="shared" si="126"/>
        <v/>
      </c>
      <c r="I1167" s="31" t="str">
        <f>IF(OR(B1167="",C1167=""),"",IFERROR(E1167*IF(E1167="",0,VLOOKUP(C1167,'📦 Precios Proforma'!$B$5:$D$104,IF(D1167="DIA",2,3),FALSE)),0))</f>
        <v/>
      </c>
      <c r="J1167" s="31" t="str">
        <f t="shared" si="127"/>
        <v/>
      </c>
      <c r="K1167" s="31" t="str">
        <f t="shared" si="128"/>
        <v/>
      </c>
      <c r="L1167" s="31" t="str">
        <f>IF(OR(B1167="",C1167=""),"",IFERROR(E1167 / SUMIFS('📅 Resumen Diario'!$D$5:$D$504, '📅 Resumen Diario'!$B$5:$B$504, B1167, '📅 Resumen Diario'!$C$5:$C$504, D1167) * SUMIFS('📅 Resumen Diario'!$K$5:$K$504, '📅 Resumen Diario'!$B$5:$B$504, B1167, '📅 Resumen Diario'!$C$5:$C$504, D1167), 0))</f>
        <v/>
      </c>
      <c r="M1167" s="31" t="str">
        <f t="shared" si="129"/>
        <v/>
      </c>
      <c r="N1167" s="31" t="str">
        <f t="shared" si="130"/>
        <v/>
      </c>
      <c r="O1167" s="31" t="str">
        <f>IF(OR(B1167="",C1167=""),"",K1167-N1167 + IFERROR(E1167 / SUMIFS('📅 Resumen Diario'!$D$5:$D$504, '📅 Resumen Diario'!$B$5:$B$504, B1167, '📅 Resumen Diario'!$C$5:$C$504, D1167) * (SUMIFS('📋 Detalle Diario'!$E$5:$E$489, '📋 Detalle Diario'!$B$5:$B$489, B1167, '📋 Detalle Diario'!$C$5:$C$489, D1167) * 135 + SUMIFS('📋 Detalle Diario'!$I$5:$I$489, '📋 Detalle Diario'!$B$5:$B$489, B1167, '📋 Detalle Diario'!$C$5:$C$489, D1167) * 200), 0))</f>
        <v/>
      </c>
      <c r="P1167" s="32" t="str">
        <f t="shared" si="131"/>
        <v/>
      </c>
      <c r="Q1167" s="33" t="str">
        <f t="shared" si="132"/>
        <v/>
      </c>
    </row>
    <row r="1168" spans="2:17" ht="18" customHeight="1" x14ac:dyDescent="0.3">
      <c r="B1168" s="26"/>
      <c r="C1168" s="17"/>
      <c r="D1168" s="27"/>
      <c r="E1168" s="18"/>
      <c r="F1168" s="18"/>
      <c r="G1168" s="18"/>
      <c r="H1168" s="30" t="str">
        <f t="shared" si="126"/>
        <v/>
      </c>
      <c r="I1168" s="31" t="str">
        <f>IF(OR(B1168="",C1168=""),"",IFERROR(E1168*IF(E1168="",0,VLOOKUP(C1168,'📦 Precios Proforma'!$B$5:$D$104,IF(D1168="DIA",2,3),FALSE)),0))</f>
        <v/>
      </c>
      <c r="J1168" s="31" t="str">
        <f t="shared" si="127"/>
        <v/>
      </c>
      <c r="K1168" s="31" t="str">
        <f t="shared" si="128"/>
        <v/>
      </c>
      <c r="L1168" s="31" t="str">
        <f>IF(OR(B1168="",C1168=""),"",IFERROR(E1168 / SUMIFS('📅 Resumen Diario'!$D$5:$D$504, '📅 Resumen Diario'!$B$5:$B$504, B1168, '📅 Resumen Diario'!$C$5:$C$504, D1168) * SUMIFS('📅 Resumen Diario'!$K$5:$K$504, '📅 Resumen Diario'!$B$5:$B$504, B1168, '📅 Resumen Diario'!$C$5:$C$504, D1168), 0))</f>
        <v/>
      </c>
      <c r="M1168" s="31" t="str">
        <f t="shared" si="129"/>
        <v/>
      </c>
      <c r="N1168" s="31" t="str">
        <f t="shared" si="130"/>
        <v/>
      </c>
      <c r="O1168" s="31" t="str">
        <f>IF(OR(B1168="",C1168=""),"",K1168-N1168 + IFERROR(E1168 / SUMIFS('📅 Resumen Diario'!$D$5:$D$504, '📅 Resumen Diario'!$B$5:$B$504, B1168, '📅 Resumen Diario'!$C$5:$C$504, D1168) * (SUMIFS('📋 Detalle Diario'!$E$5:$E$489, '📋 Detalle Diario'!$B$5:$B$489, B1168, '📋 Detalle Diario'!$C$5:$C$489, D1168) * 135 + SUMIFS('📋 Detalle Diario'!$I$5:$I$489, '📋 Detalle Diario'!$B$5:$B$489, B1168, '📋 Detalle Diario'!$C$5:$C$489, D1168) * 200), 0))</f>
        <v/>
      </c>
      <c r="P1168" s="32" t="str">
        <f t="shared" si="131"/>
        <v/>
      </c>
      <c r="Q1168" s="33" t="str">
        <f t="shared" si="132"/>
        <v/>
      </c>
    </row>
    <row r="1169" spans="2:17" ht="18" customHeight="1" x14ac:dyDescent="0.3">
      <c r="B1169" s="26"/>
      <c r="C1169" s="28"/>
      <c r="D1169" s="27"/>
      <c r="E1169" s="29"/>
      <c r="F1169" s="29"/>
      <c r="G1169" s="29"/>
      <c r="H1169" s="30" t="str">
        <f t="shared" si="126"/>
        <v/>
      </c>
      <c r="I1169" s="31" t="str">
        <f>IF(OR(B1169="",C1169=""),"",IFERROR(E1169*IF(E1169="",0,VLOOKUP(C1169,'📦 Precios Proforma'!$B$5:$D$104,IF(D1169="DIA",2,3),FALSE)),0))</f>
        <v/>
      </c>
      <c r="J1169" s="31" t="str">
        <f t="shared" si="127"/>
        <v/>
      </c>
      <c r="K1169" s="31" t="str">
        <f t="shared" si="128"/>
        <v/>
      </c>
      <c r="L1169" s="31" t="str">
        <f>IF(OR(B1169="",C1169=""),"",IFERROR(E1169 / SUMIFS('📅 Resumen Diario'!$D$5:$D$504, '📅 Resumen Diario'!$B$5:$B$504, B1169, '📅 Resumen Diario'!$C$5:$C$504, D1169) * SUMIFS('📅 Resumen Diario'!$K$5:$K$504, '📅 Resumen Diario'!$B$5:$B$504, B1169, '📅 Resumen Diario'!$C$5:$C$504, D1169), 0))</f>
        <v/>
      </c>
      <c r="M1169" s="31" t="str">
        <f t="shared" si="129"/>
        <v/>
      </c>
      <c r="N1169" s="31" t="str">
        <f t="shared" si="130"/>
        <v/>
      </c>
      <c r="O1169" s="31" t="str">
        <f>IF(OR(B1169="",C1169=""),"",K1169-N1169 + IFERROR(E1169 / SUMIFS('📅 Resumen Diario'!$D$5:$D$504, '📅 Resumen Diario'!$B$5:$B$504, B1169, '📅 Resumen Diario'!$C$5:$C$504, D1169) * (SUMIFS('📋 Detalle Diario'!$E$5:$E$489, '📋 Detalle Diario'!$B$5:$B$489, B1169, '📋 Detalle Diario'!$C$5:$C$489, D1169) * 135 + SUMIFS('📋 Detalle Diario'!$I$5:$I$489, '📋 Detalle Diario'!$B$5:$B$489, B1169, '📋 Detalle Diario'!$C$5:$C$489, D1169) * 200), 0))</f>
        <v/>
      </c>
      <c r="P1169" s="32" t="str">
        <f t="shared" si="131"/>
        <v/>
      </c>
      <c r="Q1169" s="33" t="str">
        <f t="shared" si="132"/>
        <v/>
      </c>
    </row>
    <row r="1170" spans="2:17" ht="18" customHeight="1" x14ac:dyDescent="0.3">
      <c r="B1170" s="26"/>
      <c r="C1170" s="17"/>
      <c r="D1170" s="27"/>
      <c r="E1170" s="18"/>
      <c r="F1170" s="18"/>
      <c r="G1170" s="18"/>
      <c r="H1170" s="30" t="str">
        <f t="shared" si="126"/>
        <v/>
      </c>
      <c r="I1170" s="31" t="str">
        <f>IF(OR(B1170="",C1170=""),"",IFERROR(E1170*IF(E1170="",0,VLOOKUP(C1170,'📦 Precios Proforma'!$B$5:$D$104,IF(D1170="DIA",2,3),FALSE)),0))</f>
        <v/>
      </c>
      <c r="J1170" s="31" t="str">
        <f t="shared" si="127"/>
        <v/>
      </c>
      <c r="K1170" s="31" t="str">
        <f t="shared" si="128"/>
        <v/>
      </c>
      <c r="L1170" s="31" t="str">
        <f>IF(OR(B1170="",C1170=""),"",IFERROR(E1170 / SUMIFS('📅 Resumen Diario'!$D$5:$D$504, '📅 Resumen Diario'!$B$5:$B$504, B1170, '📅 Resumen Diario'!$C$5:$C$504, D1170) * SUMIFS('📅 Resumen Diario'!$K$5:$K$504, '📅 Resumen Diario'!$B$5:$B$504, B1170, '📅 Resumen Diario'!$C$5:$C$504, D1170), 0))</f>
        <v/>
      </c>
      <c r="M1170" s="31" t="str">
        <f t="shared" si="129"/>
        <v/>
      </c>
      <c r="N1170" s="31" t="str">
        <f t="shared" si="130"/>
        <v/>
      </c>
      <c r="O1170" s="31" t="str">
        <f>IF(OR(B1170="",C1170=""),"",K1170-N1170 + IFERROR(E1170 / SUMIFS('📅 Resumen Diario'!$D$5:$D$504, '📅 Resumen Diario'!$B$5:$B$504, B1170, '📅 Resumen Diario'!$C$5:$C$504, D1170) * (SUMIFS('📋 Detalle Diario'!$E$5:$E$489, '📋 Detalle Diario'!$B$5:$B$489, B1170, '📋 Detalle Diario'!$C$5:$C$489, D1170) * 135 + SUMIFS('📋 Detalle Diario'!$I$5:$I$489, '📋 Detalle Diario'!$B$5:$B$489, B1170, '📋 Detalle Diario'!$C$5:$C$489, D1170) * 200), 0))</f>
        <v/>
      </c>
      <c r="P1170" s="32" t="str">
        <f t="shared" si="131"/>
        <v/>
      </c>
      <c r="Q1170" s="33" t="str">
        <f t="shared" si="132"/>
        <v/>
      </c>
    </row>
    <row r="1171" spans="2:17" ht="18" customHeight="1" x14ac:dyDescent="0.3">
      <c r="B1171" s="26"/>
      <c r="C1171" s="28"/>
      <c r="D1171" s="27"/>
      <c r="E1171" s="29"/>
      <c r="F1171" s="29"/>
      <c r="G1171" s="29"/>
      <c r="H1171" s="30" t="str">
        <f t="shared" si="126"/>
        <v/>
      </c>
      <c r="I1171" s="31" t="str">
        <f>IF(OR(B1171="",C1171=""),"",IFERROR(E1171*IF(E1171="",0,VLOOKUP(C1171,'📦 Precios Proforma'!$B$5:$D$104,IF(D1171="DIA",2,3),FALSE)),0))</f>
        <v/>
      </c>
      <c r="J1171" s="31" t="str">
        <f t="shared" si="127"/>
        <v/>
      </c>
      <c r="K1171" s="31" t="str">
        <f t="shared" si="128"/>
        <v/>
      </c>
      <c r="L1171" s="31" t="str">
        <f>IF(OR(B1171="",C1171=""),"",IFERROR(E1171 / SUMIFS('📅 Resumen Diario'!$D$5:$D$504, '📅 Resumen Diario'!$B$5:$B$504, B1171, '📅 Resumen Diario'!$C$5:$C$504, D1171) * SUMIFS('📅 Resumen Diario'!$K$5:$K$504, '📅 Resumen Diario'!$B$5:$B$504, B1171, '📅 Resumen Diario'!$C$5:$C$504, D1171), 0))</f>
        <v/>
      </c>
      <c r="M1171" s="31" t="str">
        <f t="shared" si="129"/>
        <v/>
      </c>
      <c r="N1171" s="31" t="str">
        <f t="shared" si="130"/>
        <v/>
      </c>
      <c r="O1171" s="31" t="str">
        <f>IF(OR(B1171="",C1171=""),"",K1171-N1171 + IFERROR(E1171 / SUMIFS('📅 Resumen Diario'!$D$5:$D$504, '📅 Resumen Diario'!$B$5:$B$504, B1171, '📅 Resumen Diario'!$C$5:$C$504, D1171) * (SUMIFS('📋 Detalle Diario'!$E$5:$E$489, '📋 Detalle Diario'!$B$5:$B$489, B1171, '📋 Detalle Diario'!$C$5:$C$489, D1171) * 135 + SUMIFS('📋 Detalle Diario'!$I$5:$I$489, '📋 Detalle Diario'!$B$5:$B$489, B1171, '📋 Detalle Diario'!$C$5:$C$489, D1171) * 200), 0))</f>
        <v/>
      </c>
      <c r="P1171" s="32" t="str">
        <f t="shared" si="131"/>
        <v/>
      </c>
      <c r="Q1171" s="33" t="str">
        <f t="shared" si="132"/>
        <v/>
      </c>
    </row>
    <row r="1172" spans="2:17" ht="18" customHeight="1" x14ac:dyDescent="0.3">
      <c r="B1172" s="26"/>
      <c r="C1172" s="17"/>
      <c r="D1172" s="27"/>
      <c r="E1172" s="18"/>
      <c r="F1172" s="18"/>
      <c r="G1172" s="18"/>
      <c r="H1172" s="30" t="str">
        <f t="shared" si="126"/>
        <v/>
      </c>
      <c r="I1172" s="31" t="str">
        <f>IF(OR(B1172="",C1172=""),"",IFERROR(E1172*IF(E1172="",0,VLOOKUP(C1172,'📦 Precios Proforma'!$B$5:$D$104,IF(D1172="DIA",2,3),FALSE)),0))</f>
        <v/>
      </c>
      <c r="J1172" s="31" t="str">
        <f t="shared" si="127"/>
        <v/>
      </c>
      <c r="K1172" s="31" t="str">
        <f t="shared" si="128"/>
        <v/>
      </c>
      <c r="L1172" s="31" t="str">
        <f>IF(OR(B1172="",C1172=""),"",IFERROR(E1172 / SUMIFS('📅 Resumen Diario'!$D$5:$D$504, '📅 Resumen Diario'!$B$5:$B$504, B1172, '📅 Resumen Diario'!$C$5:$C$504, D1172) * SUMIFS('📅 Resumen Diario'!$K$5:$K$504, '📅 Resumen Diario'!$B$5:$B$504, B1172, '📅 Resumen Diario'!$C$5:$C$504, D1172), 0))</f>
        <v/>
      </c>
      <c r="M1172" s="31" t="str">
        <f t="shared" si="129"/>
        <v/>
      </c>
      <c r="N1172" s="31" t="str">
        <f t="shared" si="130"/>
        <v/>
      </c>
      <c r="O1172" s="31" t="str">
        <f>IF(OR(B1172="",C1172=""),"",K1172-N1172 + IFERROR(E1172 / SUMIFS('📅 Resumen Diario'!$D$5:$D$504, '📅 Resumen Diario'!$B$5:$B$504, B1172, '📅 Resumen Diario'!$C$5:$C$504, D1172) * (SUMIFS('📋 Detalle Diario'!$E$5:$E$489, '📋 Detalle Diario'!$B$5:$B$489, B1172, '📋 Detalle Diario'!$C$5:$C$489, D1172) * 135 + SUMIFS('📋 Detalle Diario'!$I$5:$I$489, '📋 Detalle Diario'!$B$5:$B$489, B1172, '📋 Detalle Diario'!$C$5:$C$489, D1172) * 200), 0))</f>
        <v/>
      </c>
      <c r="P1172" s="32" t="str">
        <f t="shared" si="131"/>
        <v/>
      </c>
      <c r="Q1172" s="33" t="str">
        <f t="shared" si="132"/>
        <v/>
      </c>
    </row>
    <row r="1173" spans="2:17" ht="18" customHeight="1" x14ac:dyDescent="0.3">
      <c r="B1173" s="26"/>
      <c r="C1173" s="28"/>
      <c r="D1173" s="27"/>
      <c r="E1173" s="29"/>
      <c r="F1173" s="29"/>
      <c r="G1173" s="29"/>
      <c r="H1173" s="30" t="str">
        <f t="shared" si="126"/>
        <v/>
      </c>
      <c r="I1173" s="31" t="str">
        <f>IF(OR(B1173="",C1173=""),"",IFERROR(E1173*IF(E1173="",0,VLOOKUP(C1173,'📦 Precios Proforma'!$B$5:$D$104,IF(D1173="DIA",2,3),FALSE)),0))</f>
        <v/>
      </c>
      <c r="J1173" s="31" t="str">
        <f t="shared" si="127"/>
        <v/>
      </c>
      <c r="K1173" s="31" t="str">
        <f t="shared" si="128"/>
        <v/>
      </c>
      <c r="L1173" s="31" t="str">
        <f>IF(OR(B1173="",C1173=""),"",IFERROR(E1173 / SUMIFS('📅 Resumen Diario'!$D$5:$D$504, '📅 Resumen Diario'!$B$5:$B$504, B1173, '📅 Resumen Diario'!$C$5:$C$504, D1173) * SUMIFS('📅 Resumen Diario'!$K$5:$K$504, '📅 Resumen Diario'!$B$5:$B$504, B1173, '📅 Resumen Diario'!$C$5:$C$504, D1173), 0))</f>
        <v/>
      </c>
      <c r="M1173" s="31" t="str">
        <f t="shared" si="129"/>
        <v/>
      </c>
      <c r="N1173" s="31" t="str">
        <f t="shared" si="130"/>
        <v/>
      </c>
      <c r="O1173" s="31" t="str">
        <f>IF(OR(B1173="",C1173=""),"",K1173-N1173 + IFERROR(E1173 / SUMIFS('📅 Resumen Diario'!$D$5:$D$504, '📅 Resumen Diario'!$B$5:$B$504, B1173, '📅 Resumen Diario'!$C$5:$C$504, D1173) * (SUMIFS('📋 Detalle Diario'!$E$5:$E$489, '📋 Detalle Diario'!$B$5:$B$489, B1173, '📋 Detalle Diario'!$C$5:$C$489, D1173) * 135 + SUMIFS('📋 Detalle Diario'!$I$5:$I$489, '📋 Detalle Diario'!$B$5:$B$489, B1173, '📋 Detalle Diario'!$C$5:$C$489, D1173) * 200), 0))</f>
        <v/>
      </c>
      <c r="P1173" s="32" t="str">
        <f t="shared" si="131"/>
        <v/>
      </c>
      <c r="Q1173" s="33" t="str">
        <f t="shared" si="132"/>
        <v/>
      </c>
    </row>
    <row r="1174" spans="2:17" ht="18" customHeight="1" x14ac:dyDescent="0.3">
      <c r="B1174" s="26"/>
      <c r="C1174" s="17"/>
      <c r="D1174" s="27"/>
      <c r="E1174" s="18"/>
      <c r="F1174" s="18"/>
      <c r="G1174" s="18"/>
      <c r="H1174" s="30" t="str">
        <f t="shared" si="126"/>
        <v/>
      </c>
      <c r="I1174" s="31" t="str">
        <f>IF(OR(B1174="",C1174=""),"",IFERROR(E1174*IF(E1174="",0,VLOOKUP(C1174,'📦 Precios Proforma'!$B$5:$D$104,IF(D1174="DIA",2,3),FALSE)),0))</f>
        <v/>
      </c>
      <c r="J1174" s="31" t="str">
        <f t="shared" si="127"/>
        <v/>
      </c>
      <c r="K1174" s="31" t="str">
        <f t="shared" si="128"/>
        <v/>
      </c>
      <c r="L1174" s="31" t="str">
        <f>IF(OR(B1174="",C1174=""),"",IFERROR(E1174 / SUMIFS('📅 Resumen Diario'!$D$5:$D$504, '📅 Resumen Diario'!$B$5:$B$504, B1174, '📅 Resumen Diario'!$C$5:$C$504, D1174) * SUMIFS('📅 Resumen Diario'!$K$5:$K$504, '📅 Resumen Diario'!$B$5:$B$504, B1174, '📅 Resumen Diario'!$C$5:$C$504, D1174), 0))</f>
        <v/>
      </c>
      <c r="M1174" s="31" t="str">
        <f t="shared" si="129"/>
        <v/>
      </c>
      <c r="N1174" s="31" t="str">
        <f t="shared" si="130"/>
        <v/>
      </c>
      <c r="O1174" s="31" t="str">
        <f>IF(OR(B1174="",C1174=""),"",K1174-N1174 + IFERROR(E1174 / SUMIFS('📅 Resumen Diario'!$D$5:$D$504, '📅 Resumen Diario'!$B$5:$B$504, B1174, '📅 Resumen Diario'!$C$5:$C$504, D1174) * (SUMIFS('📋 Detalle Diario'!$E$5:$E$489, '📋 Detalle Diario'!$B$5:$B$489, B1174, '📋 Detalle Diario'!$C$5:$C$489, D1174) * 135 + SUMIFS('📋 Detalle Diario'!$I$5:$I$489, '📋 Detalle Diario'!$B$5:$B$489, B1174, '📋 Detalle Diario'!$C$5:$C$489, D1174) * 200), 0))</f>
        <v/>
      </c>
      <c r="P1174" s="32" t="str">
        <f t="shared" si="131"/>
        <v/>
      </c>
      <c r="Q1174" s="33" t="str">
        <f t="shared" si="132"/>
        <v/>
      </c>
    </row>
    <row r="1175" spans="2:17" ht="18" customHeight="1" x14ac:dyDescent="0.3">
      <c r="B1175" s="26"/>
      <c r="C1175" s="28"/>
      <c r="D1175" s="27"/>
      <c r="E1175" s="29"/>
      <c r="F1175" s="29"/>
      <c r="G1175" s="29"/>
      <c r="H1175" s="30" t="str">
        <f t="shared" si="126"/>
        <v/>
      </c>
      <c r="I1175" s="31" t="str">
        <f>IF(OR(B1175="",C1175=""),"",IFERROR(E1175*IF(E1175="",0,VLOOKUP(C1175,'📦 Precios Proforma'!$B$5:$D$104,IF(D1175="DIA",2,3),FALSE)),0))</f>
        <v/>
      </c>
      <c r="J1175" s="31" t="str">
        <f t="shared" si="127"/>
        <v/>
      </c>
      <c r="K1175" s="31" t="str">
        <f t="shared" si="128"/>
        <v/>
      </c>
      <c r="L1175" s="31" t="str">
        <f>IF(OR(B1175="",C1175=""),"",IFERROR(E1175 / SUMIFS('📅 Resumen Diario'!$D$5:$D$504, '📅 Resumen Diario'!$B$5:$B$504, B1175, '📅 Resumen Diario'!$C$5:$C$504, D1175) * SUMIFS('📅 Resumen Diario'!$K$5:$K$504, '📅 Resumen Diario'!$B$5:$B$504, B1175, '📅 Resumen Diario'!$C$5:$C$504, D1175), 0))</f>
        <v/>
      </c>
      <c r="M1175" s="31" t="str">
        <f t="shared" si="129"/>
        <v/>
      </c>
      <c r="N1175" s="31" t="str">
        <f t="shared" si="130"/>
        <v/>
      </c>
      <c r="O1175" s="31" t="str">
        <f>IF(OR(B1175="",C1175=""),"",K1175-N1175 + IFERROR(E1175 / SUMIFS('📅 Resumen Diario'!$D$5:$D$504, '📅 Resumen Diario'!$B$5:$B$504, B1175, '📅 Resumen Diario'!$C$5:$C$504, D1175) * (SUMIFS('📋 Detalle Diario'!$E$5:$E$489, '📋 Detalle Diario'!$B$5:$B$489, B1175, '📋 Detalle Diario'!$C$5:$C$489, D1175) * 135 + SUMIFS('📋 Detalle Diario'!$I$5:$I$489, '📋 Detalle Diario'!$B$5:$B$489, B1175, '📋 Detalle Diario'!$C$5:$C$489, D1175) * 200), 0))</f>
        <v/>
      </c>
      <c r="P1175" s="32" t="str">
        <f t="shared" si="131"/>
        <v/>
      </c>
      <c r="Q1175" s="33" t="str">
        <f t="shared" si="132"/>
        <v/>
      </c>
    </row>
    <row r="1176" spans="2:17" ht="18" customHeight="1" x14ac:dyDescent="0.3">
      <c r="B1176" s="26"/>
      <c r="C1176" s="17"/>
      <c r="D1176" s="27"/>
      <c r="E1176" s="18"/>
      <c r="F1176" s="18"/>
      <c r="G1176" s="18"/>
      <c r="H1176" s="30" t="str">
        <f t="shared" si="126"/>
        <v/>
      </c>
      <c r="I1176" s="31" t="str">
        <f>IF(OR(B1176="",C1176=""),"",IFERROR(E1176*IF(E1176="",0,VLOOKUP(C1176,'📦 Precios Proforma'!$B$5:$D$104,IF(D1176="DIA",2,3),FALSE)),0))</f>
        <v/>
      </c>
      <c r="J1176" s="31" t="str">
        <f t="shared" si="127"/>
        <v/>
      </c>
      <c r="K1176" s="31" t="str">
        <f t="shared" si="128"/>
        <v/>
      </c>
      <c r="L1176" s="31" t="str">
        <f>IF(OR(B1176="",C1176=""),"",IFERROR(E1176 / SUMIFS('📅 Resumen Diario'!$D$5:$D$504, '📅 Resumen Diario'!$B$5:$B$504, B1176, '📅 Resumen Diario'!$C$5:$C$504, D1176) * SUMIFS('📅 Resumen Diario'!$K$5:$K$504, '📅 Resumen Diario'!$B$5:$B$504, B1176, '📅 Resumen Diario'!$C$5:$C$504, D1176), 0))</f>
        <v/>
      </c>
      <c r="M1176" s="31" t="str">
        <f t="shared" si="129"/>
        <v/>
      </c>
      <c r="N1176" s="31" t="str">
        <f t="shared" si="130"/>
        <v/>
      </c>
      <c r="O1176" s="31" t="str">
        <f>IF(OR(B1176="",C1176=""),"",K1176-N1176 + IFERROR(E1176 / SUMIFS('📅 Resumen Diario'!$D$5:$D$504, '📅 Resumen Diario'!$B$5:$B$504, B1176, '📅 Resumen Diario'!$C$5:$C$504, D1176) * (SUMIFS('📋 Detalle Diario'!$E$5:$E$489, '📋 Detalle Diario'!$B$5:$B$489, B1176, '📋 Detalle Diario'!$C$5:$C$489, D1176) * 135 + SUMIFS('📋 Detalle Diario'!$I$5:$I$489, '📋 Detalle Diario'!$B$5:$B$489, B1176, '📋 Detalle Diario'!$C$5:$C$489, D1176) * 200), 0))</f>
        <v/>
      </c>
      <c r="P1176" s="32" t="str">
        <f t="shared" si="131"/>
        <v/>
      </c>
      <c r="Q1176" s="33" t="str">
        <f t="shared" si="132"/>
        <v/>
      </c>
    </row>
    <row r="1177" spans="2:17" ht="18" customHeight="1" x14ac:dyDescent="0.3">
      <c r="B1177" s="26"/>
      <c r="C1177" s="28"/>
      <c r="D1177" s="27"/>
      <c r="E1177" s="29"/>
      <c r="F1177" s="29"/>
      <c r="G1177" s="29"/>
      <c r="H1177" s="30" t="str">
        <f t="shared" si="126"/>
        <v/>
      </c>
      <c r="I1177" s="31" t="str">
        <f>IF(OR(B1177="",C1177=""),"",IFERROR(E1177*IF(E1177="",0,VLOOKUP(C1177,'📦 Precios Proforma'!$B$5:$D$104,IF(D1177="DIA",2,3),FALSE)),0))</f>
        <v/>
      </c>
      <c r="J1177" s="31" t="str">
        <f t="shared" si="127"/>
        <v/>
      </c>
      <c r="K1177" s="31" t="str">
        <f t="shared" si="128"/>
        <v/>
      </c>
      <c r="L1177" s="31" t="str">
        <f>IF(OR(B1177="",C1177=""),"",IFERROR(E1177 / SUMIFS('📅 Resumen Diario'!$D$5:$D$504, '📅 Resumen Diario'!$B$5:$B$504, B1177, '📅 Resumen Diario'!$C$5:$C$504, D1177) * SUMIFS('📅 Resumen Diario'!$K$5:$K$504, '📅 Resumen Diario'!$B$5:$B$504, B1177, '📅 Resumen Diario'!$C$5:$C$504, D1177), 0))</f>
        <v/>
      </c>
      <c r="M1177" s="31" t="str">
        <f t="shared" si="129"/>
        <v/>
      </c>
      <c r="N1177" s="31" t="str">
        <f t="shared" si="130"/>
        <v/>
      </c>
      <c r="O1177" s="31" t="str">
        <f>IF(OR(B1177="",C1177=""),"",K1177-N1177 + IFERROR(E1177 / SUMIFS('📅 Resumen Diario'!$D$5:$D$504, '📅 Resumen Diario'!$B$5:$B$504, B1177, '📅 Resumen Diario'!$C$5:$C$504, D1177) * (SUMIFS('📋 Detalle Diario'!$E$5:$E$489, '📋 Detalle Diario'!$B$5:$B$489, B1177, '📋 Detalle Diario'!$C$5:$C$489, D1177) * 135 + SUMIFS('📋 Detalle Diario'!$I$5:$I$489, '📋 Detalle Diario'!$B$5:$B$489, B1177, '📋 Detalle Diario'!$C$5:$C$489, D1177) * 200), 0))</f>
        <v/>
      </c>
      <c r="P1177" s="32" t="str">
        <f t="shared" si="131"/>
        <v/>
      </c>
      <c r="Q1177" s="33" t="str">
        <f t="shared" si="132"/>
        <v/>
      </c>
    </row>
    <row r="1178" spans="2:17" ht="18" customHeight="1" x14ac:dyDescent="0.3">
      <c r="B1178" s="26"/>
      <c r="C1178" s="17"/>
      <c r="D1178" s="27"/>
      <c r="E1178" s="18"/>
      <c r="F1178" s="18"/>
      <c r="G1178" s="18"/>
      <c r="H1178" s="30" t="str">
        <f t="shared" si="126"/>
        <v/>
      </c>
      <c r="I1178" s="31" t="str">
        <f>IF(OR(B1178="",C1178=""),"",IFERROR(E1178*IF(E1178="",0,VLOOKUP(C1178,'📦 Precios Proforma'!$B$5:$D$104,IF(D1178="DIA",2,3),FALSE)),0))</f>
        <v/>
      </c>
      <c r="J1178" s="31" t="str">
        <f t="shared" si="127"/>
        <v/>
      </c>
      <c r="K1178" s="31" t="str">
        <f t="shared" si="128"/>
        <v/>
      </c>
      <c r="L1178" s="31" t="str">
        <f>IF(OR(B1178="",C1178=""),"",IFERROR(E1178 / SUMIFS('📅 Resumen Diario'!$D$5:$D$504, '📅 Resumen Diario'!$B$5:$B$504, B1178, '📅 Resumen Diario'!$C$5:$C$504, D1178) * SUMIFS('📅 Resumen Diario'!$K$5:$K$504, '📅 Resumen Diario'!$B$5:$B$504, B1178, '📅 Resumen Diario'!$C$5:$C$504, D1178), 0))</f>
        <v/>
      </c>
      <c r="M1178" s="31" t="str">
        <f t="shared" si="129"/>
        <v/>
      </c>
      <c r="N1178" s="31" t="str">
        <f t="shared" si="130"/>
        <v/>
      </c>
      <c r="O1178" s="31" t="str">
        <f>IF(OR(B1178="",C1178=""),"",K1178-N1178 + IFERROR(E1178 / SUMIFS('📅 Resumen Diario'!$D$5:$D$504, '📅 Resumen Diario'!$B$5:$B$504, B1178, '📅 Resumen Diario'!$C$5:$C$504, D1178) * (SUMIFS('📋 Detalle Diario'!$E$5:$E$489, '📋 Detalle Diario'!$B$5:$B$489, B1178, '📋 Detalle Diario'!$C$5:$C$489, D1178) * 135 + SUMIFS('📋 Detalle Diario'!$I$5:$I$489, '📋 Detalle Diario'!$B$5:$B$489, B1178, '📋 Detalle Diario'!$C$5:$C$489, D1178) * 200), 0))</f>
        <v/>
      </c>
      <c r="P1178" s="32" t="str">
        <f t="shared" si="131"/>
        <v/>
      </c>
      <c r="Q1178" s="33" t="str">
        <f t="shared" si="132"/>
        <v/>
      </c>
    </row>
    <row r="1179" spans="2:17" ht="18" customHeight="1" x14ac:dyDescent="0.3">
      <c r="B1179" s="26"/>
      <c r="C1179" s="28"/>
      <c r="D1179" s="27"/>
      <c r="E1179" s="29"/>
      <c r="F1179" s="29"/>
      <c r="G1179" s="29"/>
      <c r="H1179" s="30" t="str">
        <f t="shared" si="126"/>
        <v/>
      </c>
      <c r="I1179" s="31" t="str">
        <f>IF(OR(B1179="",C1179=""),"",IFERROR(E1179*IF(E1179="",0,VLOOKUP(C1179,'📦 Precios Proforma'!$B$5:$D$104,IF(D1179="DIA",2,3),FALSE)),0))</f>
        <v/>
      </c>
      <c r="J1179" s="31" t="str">
        <f t="shared" si="127"/>
        <v/>
      </c>
      <c r="K1179" s="31" t="str">
        <f t="shared" si="128"/>
        <v/>
      </c>
      <c r="L1179" s="31" t="str">
        <f>IF(OR(B1179="",C1179=""),"",IFERROR(E1179 / SUMIFS('📅 Resumen Diario'!$D$5:$D$504, '📅 Resumen Diario'!$B$5:$B$504, B1179, '📅 Resumen Diario'!$C$5:$C$504, D1179) * SUMIFS('📅 Resumen Diario'!$K$5:$K$504, '📅 Resumen Diario'!$B$5:$B$504, B1179, '📅 Resumen Diario'!$C$5:$C$504, D1179), 0))</f>
        <v/>
      </c>
      <c r="M1179" s="31" t="str">
        <f t="shared" si="129"/>
        <v/>
      </c>
      <c r="N1179" s="31" t="str">
        <f t="shared" si="130"/>
        <v/>
      </c>
      <c r="O1179" s="31" t="str">
        <f>IF(OR(B1179="",C1179=""),"",K1179-N1179 + IFERROR(E1179 / SUMIFS('📅 Resumen Diario'!$D$5:$D$504, '📅 Resumen Diario'!$B$5:$B$504, B1179, '📅 Resumen Diario'!$C$5:$C$504, D1179) * (SUMIFS('📋 Detalle Diario'!$E$5:$E$489, '📋 Detalle Diario'!$B$5:$B$489, B1179, '📋 Detalle Diario'!$C$5:$C$489, D1179) * 135 + SUMIFS('📋 Detalle Diario'!$I$5:$I$489, '📋 Detalle Diario'!$B$5:$B$489, B1179, '📋 Detalle Diario'!$C$5:$C$489, D1179) * 200), 0))</f>
        <v/>
      </c>
      <c r="P1179" s="32" t="str">
        <f t="shared" si="131"/>
        <v/>
      </c>
      <c r="Q1179" s="33" t="str">
        <f t="shared" si="132"/>
        <v/>
      </c>
    </row>
    <row r="1180" spans="2:17" ht="18" customHeight="1" x14ac:dyDescent="0.3">
      <c r="B1180" s="26"/>
      <c r="C1180" s="17"/>
      <c r="D1180" s="27"/>
      <c r="E1180" s="18"/>
      <c r="F1180" s="18"/>
      <c r="G1180" s="18"/>
      <c r="H1180" s="30" t="str">
        <f t="shared" si="126"/>
        <v/>
      </c>
      <c r="I1180" s="31" t="str">
        <f>IF(OR(B1180="",C1180=""),"",IFERROR(E1180*IF(E1180="",0,VLOOKUP(C1180,'📦 Precios Proforma'!$B$5:$D$104,IF(D1180="DIA",2,3),FALSE)),0))</f>
        <v/>
      </c>
      <c r="J1180" s="31" t="str">
        <f t="shared" si="127"/>
        <v/>
      </c>
      <c r="K1180" s="31" t="str">
        <f t="shared" si="128"/>
        <v/>
      </c>
      <c r="L1180" s="31" t="str">
        <f>IF(OR(B1180="",C1180=""),"",IFERROR(E1180 / SUMIFS('📅 Resumen Diario'!$D$5:$D$504, '📅 Resumen Diario'!$B$5:$B$504, B1180, '📅 Resumen Diario'!$C$5:$C$504, D1180) * SUMIFS('📅 Resumen Diario'!$K$5:$K$504, '📅 Resumen Diario'!$B$5:$B$504, B1180, '📅 Resumen Diario'!$C$5:$C$504, D1180), 0))</f>
        <v/>
      </c>
      <c r="M1180" s="31" t="str">
        <f t="shared" si="129"/>
        <v/>
      </c>
      <c r="N1180" s="31" t="str">
        <f t="shared" si="130"/>
        <v/>
      </c>
      <c r="O1180" s="31" t="str">
        <f>IF(OR(B1180="",C1180=""),"",K1180-N1180 + IFERROR(E1180 / SUMIFS('📅 Resumen Diario'!$D$5:$D$504, '📅 Resumen Diario'!$B$5:$B$504, B1180, '📅 Resumen Diario'!$C$5:$C$504, D1180) * (SUMIFS('📋 Detalle Diario'!$E$5:$E$489, '📋 Detalle Diario'!$B$5:$B$489, B1180, '📋 Detalle Diario'!$C$5:$C$489, D1180) * 135 + SUMIFS('📋 Detalle Diario'!$I$5:$I$489, '📋 Detalle Diario'!$B$5:$B$489, B1180, '📋 Detalle Diario'!$C$5:$C$489, D1180) * 200), 0))</f>
        <v/>
      </c>
      <c r="P1180" s="32" t="str">
        <f t="shared" si="131"/>
        <v/>
      </c>
      <c r="Q1180" s="33" t="str">
        <f t="shared" si="132"/>
        <v/>
      </c>
    </row>
    <row r="1181" spans="2:17" ht="18" customHeight="1" x14ac:dyDescent="0.3">
      <c r="B1181" s="26"/>
      <c r="C1181" s="28"/>
      <c r="D1181" s="27"/>
      <c r="E1181" s="29"/>
      <c r="F1181" s="29"/>
      <c r="G1181" s="29"/>
      <c r="H1181" s="30" t="str">
        <f t="shared" si="126"/>
        <v/>
      </c>
      <c r="I1181" s="31" t="str">
        <f>IF(OR(B1181="",C1181=""),"",IFERROR(E1181*IF(E1181="",0,VLOOKUP(C1181,'📦 Precios Proforma'!$B$5:$D$104,IF(D1181="DIA",2,3),FALSE)),0))</f>
        <v/>
      </c>
      <c r="J1181" s="31" t="str">
        <f t="shared" si="127"/>
        <v/>
      </c>
      <c r="K1181" s="31" t="str">
        <f t="shared" si="128"/>
        <v/>
      </c>
      <c r="L1181" s="31" t="str">
        <f>IF(OR(B1181="",C1181=""),"",IFERROR(E1181 / SUMIFS('📅 Resumen Diario'!$D$5:$D$504, '📅 Resumen Diario'!$B$5:$B$504, B1181, '📅 Resumen Diario'!$C$5:$C$504, D1181) * SUMIFS('📅 Resumen Diario'!$K$5:$K$504, '📅 Resumen Diario'!$B$5:$B$504, B1181, '📅 Resumen Diario'!$C$5:$C$504, D1181), 0))</f>
        <v/>
      </c>
      <c r="M1181" s="31" t="str">
        <f t="shared" si="129"/>
        <v/>
      </c>
      <c r="N1181" s="31" t="str">
        <f t="shared" si="130"/>
        <v/>
      </c>
      <c r="O1181" s="31" t="str">
        <f>IF(OR(B1181="",C1181=""),"",K1181-N1181 + IFERROR(E1181 / SUMIFS('📅 Resumen Diario'!$D$5:$D$504, '📅 Resumen Diario'!$B$5:$B$504, B1181, '📅 Resumen Diario'!$C$5:$C$504, D1181) * (SUMIFS('📋 Detalle Diario'!$E$5:$E$489, '📋 Detalle Diario'!$B$5:$B$489, B1181, '📋 Detalle Diario'!$C$5:$C$489, D1181) * 135 + SUMIFS('📋 Detalle Diario'!$I$5:$I$489, '📋 Detalle Diario'!$B$5:$B$489, B1181, '📋 Detalle Diario'!$C$5:$C$489, D1181) * 200), 0))</f>
        <v/>
      </c>
      <c r="P1181" s="32" t="str">
        <f t="shared" si="131"/>
        <v/>
      </c>
      <c r="Q1181" s="33" t="str">
        <f t="shared" si="132"/>
        <v/>
      </c>
    </row>
    <row r="1182" spans="2:17" ht="18" customHeight="1" x14ac:dyDescent="0.3">
      <c r="B1182" s="26"/>
      <c r="C1182" s="17"/>
      <c r="D1182" s="27"/>
      <c r="E1182" s="18"/>
      <c r="F1182" s="18"/>
      <c r="G1182" s="18"/>
      <c r="H1182" s="30" t="str">
        <f t="shared" si="126"/>
        <v/>
      </c>
      <c r="I1182" s="31" t="str">
        <f>IF(OR(B1182="",C1182=""),"",IFERROR(E1182*IF(E1182="",0,VLOOKUP(C1182,'📦 Precios Proforma'!$B$5:$D$104,IF(D1182="DIA",2,3),FALSE)),0))</f>
        <v/>
      </c>
      <c r="J1182" s="31" t="str">
        <f t="shared" si="127"/>
        <v/>
      </c>
      <c r="K1182" s="31" t="str">
        <f t="shared" si="128"/>
        <v/>
      </c>
      <c r="L1182" s="31" t="str">
        <f>IF(OR(B1182="",C1182=""),"",IFERROR(E1182 / SUMIFS('📅 Resumen Diario'!$D$5:$D$504, '📅 Resumen Diario'!$B$5:$B$504, B1182, '📅 Resumen Diario'!$C$5:$C$504, D1182) * SUMIFS('📅 Resumen Diario'!$K$5:$K$504, '📅 Resumen Diario'!$B$5:$B$504, B1182, '📅 Resumen Diario'!$C$5:$C$504, D1182), 0))</f>
        <v/>
      </c>
      <c r="M1182" s="31" t="str">
        <f t="shared" si="129"/>
        <v/>
      </c>
      <c r="N1182" s="31" t="str">
        <f t="shared" si="130"/>
        <v/>
      </c>
      <c r="O1182" s="31" t="str">
        <f>IF(OR(B1182="",C1182=""),"",K1182-N1182 + IFERROR(E1182 / SUMIFS('📅 Resumen Diario'!$D$5:$D$504, '📅 Resumen Diario'!$B$5:$B$504, B1182, '📅 Resumen Diario'!$C$5:$C$504, D1182) * (SUMIFS('📋 Detalle Diario'!$E$5:$E$489, '📋 Detalle Diario'!$B$5:$B$489, B1182, '📋 Detalle Diario'!$C$5:$C$489, D1182) * 135 + SUMIFS('📋 Detalle Diario'!$I$5:$I$489, '📋 Detalle Diario'!$B$5:$B$489, B1182, '📋 Detalle Diario'!$C$5:$C$489, D1182) * 200), 0))</f>
        <v/>
      </c>
      <c r="P1182" s="32" t="str">
        <f t="shared" si="131"/>
        <v/>
      </c>
      <c r="Q1182" s="33" t="str">
        <f t="shared" si="132"/>
        <v/>
      </c>
    </row>
    <row r="1183" spans="2:17" ht="18" customHeight="1" x14ac:dyDescent="0.3">
      <c r="B1183" s="26"/>
      <c r="C1183" s="28"/>
      <c r="D1183" s="27"/>
      <c r="E1183" s="29"/>
      <c r="F1183" s="29"/>
      <c r="G1183" s="29"/>
      <c r="H1183" s="30" t="str">
        <f t="shared" si="126"/>
        <v/>
      </c>
      <c r="I1183" s="31" t="str">
        <f>IF(OR(B1183="",C1183=""),"",IFERROR(E1183*IF(E1183="",0,VLOOKUP(C1183,'📦 Precios Proforma'!$B$5:$D$104,IF(D1183="DIA",2,3),FALSE)),0))</f>
        <v/>
      </c>
      <c r="J1183" s="31" t="str">
        <f t="shared" si="127"/>
        <v/>
      </c>
      <c r="K1183" s="31" t="str">
        <f t="shared" si="128"/>
        <v/>
      </c>
      <c r="L1183" s="31" t="str">
        <f>IF(OR(B1183="",C1183=""),"",IFERROR(E1183 / SUMIFS('📅 Resumen Diario'!$D$5:$D$504, '📅 Resumen Diario'!$B$5:$B$504, B1183, '📅 Resumen Diario'!$C$5:$C$504, D1183) * SUMIFS('📅 Resumen Diario'!$K$5:$K$504, '📅 Resumen Diario'!$B$5:$B$504, B1183, '📅 Resumen Diario'!$C$5:$C$504, D1183), 0))</f>
        <v/>
      </c>
      <c r="M1183" s="31" t="str">
        <f t="shared" si="129"/>
        <v/>
      </c>
      <c r="N1183" s="31" t="str">
        <f t="shared" si="130"/>
        <v/>
      </c>
      <c r="O1183" s="31" t="str">
        <f>IF(OR(B1183="",C1183=""),"",K1183-N1183 + IFERROR(E1183 / SUMIFS('📅 Resumen Diario'!$D$5:$D$504, '📅 Resumen Diario'!$B$5:$B$504, B1183, '📅 Resumen Diario'!$C$5:$C$504, D1183) * (SUMIFS('📋 Detalle Diario'!$E$5:$E$489, '📋 Detalle Diario'!$B$5:$B$489, B1183, '📋 Detalle Diario'!$C$5:$C$489, D1183) * 135 + SUMIFS('📋 Detalle Diario'!$I$5:$I$489, '📋 Detalle Diario'!$B$5:$B$489, B1183, '📋 Detalle Diario'!$C$5:$C$489, D1183) * 200), 0))</f>
        <v/>
      </c>
      <c r="P1183" s="32" t="str">
        <f t="shared" si="131"/>
        <v/>
      </c>
      <c r="Q1183" s="33" t="str">
        <f t="shared" si="132"/>
        <v/>
      </c>
    </row>
    <row r="1184" spans="2:17" ht="18" customHeight="1" x14ac:dyDescent="0.3">
      <c r="B1184" s="26"/>
      <c r="C1184" s="17"/>
      <c r="D1184" s="27"/>
      <c r="E1184" s="18"/>
      <c r="F1184" s="18"/>
      <c r="G1184" s="18"/>
      <c r="H1184" s="30" t="str">
        <f t="shared" si="126"/>
        <v/>
      </c>
      <c r="I1184" s="31" t="str">
        <f>IF(OR(B1184="",C1184=""),"",IFERROR(E1184*IF(E1184="",0,VLOOKUP(C1184,'📦 Precios Proforma'!$B$5:$D$104,IF(D1184="DIA",2,3),FALSE)),0))</f>
        <v/>
      </c>
      <c r="J1184" s="31" t="str">
        <f t="shared" si="127"/>
        <v/>
      </c>
      <c r="K1184" s="31" t="str">
        <f t="shared" si="128"/>
        <v/>
      </c>
      <c r="L1184" s="31" t="str">
        <f>IF(OR(B1184="",C1184=""),"",IFERROR(E1184 / SUMIFS('📅 Resumen Diario'!$D$5:$D$504, '📅 Resumen Diario'!$B$5:$B$504, B1184, '📅 Resumen Diario'!$C$5:$C$504, D1184) * SUMIFS('📅 Resumen Diario'!$K$5:$K$504, '📅 Resumen Diario'!$B$5:$B$504, B1184, '📅 Resumen Diario'!$C$5:$C$504, D1184), 0))</f>
        <v/>
      </c>
      <c r="M1184" s="31" t="str">
        <f t="shared" si="129"/>
        <v/>
      </c>
      <c r="N1184" s="31" t="str">
        <f t="shared" si="130"/>
        <v/>
      </c>
      <c r="O1184" s="31" t="str">
        <f>IF(OR(B1184="",C1184=""),"",K1184-N1184 + IFERROR(E1184 / SUMIFS('📅 Resumen Diario'!$D$5:$D$504, '📅 Resumen Diario'!$B$5:$B$504, B1184, '📅 Resumen Diario'!$C$5:$C$504, D1184) * (SUMIFS('📋 Detalle Diario'!$E$5:$E$489, '📋 Detalle Diario'!$B$5:$B$489, B1184, '📋 Detalle Diario'!$C$5:$C$489, D1184) * 135 + SUMIFS('📋 Detalle Diario'!$I$5:$I$489, '📋 Detalle Diario'!$B$5:$B$489, B1184, '📋 Detalle Diario'!$C$5:$C$489, D1184) * 200), 0))</f>
        <v/>
      </c>
      <c r="P1184" s="32" t="str">
        <f t="shared" si="131"/>
        <v/>
      </c>
      <c r="Q1184" s="33" t="str">
        <f t="shared" si="132"/>
        <v/>
      </c>
    </row>
    <row r="1185" spans="2:17" ht="18" customHeight="1" x14ac:dyDescent="0.3">
      <c r="B1185" s="26"/>
      <c r="C1185" s="28"/>
      <c r="D1185" s="27"/>
      <c r="E1185" s="29"/>
      <c r="F1185" s="29"/>
      <c r="G1185" s="29"/>
      <c r="H1185" s="30" t="str">
        <f t="shared" si="126"/>
        <v/>
      </c>
      <c r="I1185" s="31" t="str">
        <f>IF(OR(B1185="",C1185=""),"",IFERROR(E1185*IF(E1185="",0,VLOOKUP(C1185,'📦 Precios Proforma'!$B$5:$D$104,IF(D1185="DIA",2,3),FALSE)),0))</f>
        <v/>
      </c>
      <c r="J1185" s="31" t="str">
        <f t="shared" si="127"/>
        <v/>
      </c>
      <c r="K1185" s="31" t="str">
        <f t="shared" si="128"/>
        <v/>
      </c>
      <c r="L1185" s="31" t="str">
        <f>IF(OR(B1185="",C1185=""),"",IFERROR(E1185 / SUMIFS('📅 Resumen Diario'!$D$5:$D$504, '📅 Resumen Diario'!$B$5:$B$504, B1185, '📅 Resumen Diario'!$C$5:$C$504, D1185) * SUMIFS('📅 Resumen Diario'!$K$5:$K$504, '📅 Resumen Diario'!$B$5:$B$504, B1185, '📅 Resumen Diario'!$C$5:$C$504, D1185), 0))</f>
        <v/>
      </c>
      <c r="M1185" s="31" t="str">
        <f t="shared" si="129"/>
        <v/>
      </c>
      <c r="N1185" s="31" t="str">
        <f t="shared" si="130"/>
        <v/>
      </c>
      <c r="O1185" s="31" t="str">
        <f>IF(OR(B1185="",C1185=""),"",K1185-N1185 + IFERROR(E1185 / SUMIFS('📅 Resumen Diario'!$D$5:$D$504, '📅 Resumen Diario'!$B$5:$B$504, B1185, '📅 Resumen Diario'!$C$5:$C$504, D1185) * (SUMIFS('📋 Detalle Diario'!$E$5:$E$489, '📋 Detalle Diario'!$B$5:$B$489, B1185, '📋 Detalle Diario'!$C$5:$C$489, D1185) * 135 + SUMIFS('📋 Detalle Diario'!$I$5:$I$489, '📋 Detalle Diario'!$B$5:$B$489, B1185, '📋 Detalle Diario'!$C$5:$C$489, D1185) * 200), 0))</f>
        <v/>
      </c>
      <c r="P1185" s="32" t="str">
        <f t="shared" si="131"/>
        <v/>
      </c>
      <c r="Q1185" s="33" t="str">
        <f t="shared" si="132"/>
        <v/>
      </c>
    </row>
    <row r="1186" spans="2:17" ht="18" customHeight="1" x14ac:dyDescent="0.3">
      <c r="B1186" s="26"/>
      <c r="C1186" s="17"/>
      <c r="D1186" s="27"/>
      <c r="E1186" s="18"/>
      <c r="F1186" s="18"/>
      <c r="G1186" s="18"/>
      <c r="H1186" s="30" t="str">
        <f t="shared" si="126"/>
        <v/>
      </c>
      <c r="I1186" s="31" t="str">
        <f>IF(OR(B1186="",C1186=""),"",IFERROR(E1186*IF(E1186="",0,VLOOKUP(C1186,'📦 Precios Proforma'!$B$5:$D$104,IF(D1186="DIA",2,3),FALSE)),0))</f>
        <v/>
      </c>
      <c r="J1186" s="31" t="str">
        <f t="shared" si="127"/>
        <v/>
      </c>
      <c r="K1186" s="31" t="str">
        <f t="shared" si="128"/>
        <v/>
      </c>
      <c r="L1186" s="31" t="str">
        <f>IF(OR(B1186="",C1186=""),"",IFERROR(E1186 / SUMIFS('📅 Resumen Diario'!$D$5:$D$504, '📅 Resumen Diario'!$B$5:$B$504, B1186, '📅 Resumen Diario'!$C$5:$C$504, D1186) * SUMIFS('📅 Resumen Diario'!$K$5:$K$504, '📅 Resumen Diario'!$B$5:$B$504, B1186, '📅 Resumen Diario'!$C$5:$C$504, D1186), 0))</f>
        <v/>
      </c>
      <c r="M1186" s="31" t="str">
        <f t="shared" si="129"/>
        <v/>
      </c>
      <c r="N1186" s="31" t="str">
        <f t="shared" si="130"/>
        <v/>
      </c>
      <c r="O1186" s="31" t="str">
        <f>IF(OR(B1186="",C1186=""),"",K1186-N1186 + IFERROR(E1186 / SUMIFS('📅 Resumen Diario'!$D$5:$D$504, '📅 Resumen Diario'!$B$5:$B$504, B1186, '📅 Resumen Diario'!$C$5:$C$504, D1186) * (SUMIFS('📋 Detalle Diario'!$E$5:$E$489, '📋 Detalle Diario'!$B$5:$B$489, B1186, '📋 Detalle Diario'!$C$5:$C$489, D1186) * 135 + SUMIFS('📋 Detalle Diario'!$I$5:$I$489, '📋 Detalle Diario'!$B$5:$B$489, B1186, '📋 Detalle Diario'!$C$5:$C$489, D1186) * 200), 0))</f>
        <v/>
      </c>
      <c r="P1186" s="32" t="str">
        <f t="shared" si="131"/>
        <v/>
      </c>
      <c r="Q1186" s="33" t="str">
        <f t="shared" si="132"/>
        <v/>
      </c>
    </row>
    <row r="1187" spans="2:17" ht="18" customHeight="1" x14ac:dyDescent="0.3">
      <c r="B1187" s="26"/>
      <c r="C1187" s="28"/>
      <c r="D1187" s="27"/>
      <c r="E1187" s="29"/>
      <c r="F1187" s="29"/>
      <c r="G1187" s="29"/>
      <c r="H1187" s="30" t="str">
        <f t="shared" si="126"/>
        <v/>
      </c>
      <c r="I1187" s="31" t="str">
        <f>IF(OR(B1187="",C1187=""),"",IFERROR(E1187*IF(E1187="",0,VLOOKUP(C1187,'📦 Precios Proforma'!$B$5:$D$104,IF(D1187="DIA",2,3),FALSE)),0))</f>
        <v/>
      </c>
      <c r="J1187" s="31" t="str">
        <f t="shared" si="127"/>
        <v/>
      </c>
      <c r="K1187" s="31" t="str">
        <f t="shared" si="128"/>
        <v/>
      </c>
      <c r="L1187" s="31" t="str">
        <f>IF(OR(B1187="",C1187=""),"",IFERROR(E1187 / SUMIFS('📅 Resumen Diario'!$D$5:$D$504, '📅 Resumen Diario'!$B$5:$B$504, B1187, '📅 Resumen Diario'!$C$5:$C$504, D1187) * SUMIFS('📅 Resumen Diario'!$K$5:$K$504, '📅 Resumen Diario'!$B$5:$B$504, B1187, '📅 Resumen Diario'!$C$5:$C$504, D1187), 0))</f>
        <v/>
      </c>
      <c r="M1187" s="31" t="str">
        <f t="shared" si="129"/>
        <v/>
      </c>
      <c r="N1187" s="31" t="str">
        <f t="shared" si="130"/>
        <v/>
      </c>
      <c r="O1187" s="31" t="str">
        <f>IF(OR(B1187="",C1187=""),"",K1187-N1187 + IFERROR(E1187 / SUMIFS('📅 Resumen Diario'!$D$5:$D$504, '📅 Resumen Diario'!$B$5:$B$504, B1187, '📅 Resumen Diario'!$C$5:$C$504, D1187) * (SUMIFS('📋 Detalle Diario'!$E$5:$E$489, '📋 Detalle Diario'!$B$5:$B$489, B1187, '📋 Detalle Diario'!$C$5:$C$489, D1187) * 135 + SUMIFS('📋 Detalle Diario'!$I$5:$I$489, '📋 Detalle Diario'!$B$5:$B$489, B1187, '📋 Detalle Diario'!$C$5:$C$489, D1187) * 200), 0))</f>
        <v/>
      </c>
      <c r="P1187" s="32" t="str">
        <f t="shared" si="131"/>
        <v/>
      </c>
      <c r="Q1187" s="33" t="str">
        <f t="shared" si="132"/>
        <v/>
      </c>
    </row>
    <row r="1188" spans="2:17" ht="18" customHeight="1" x14ac:dyDescent="0.3">
      <c r="B1188" s="26"/>
      <c r="C1188" s="17"/>
      <c r="D1188" s="27"/>
      <c r="E1188" s="18"/>
      <c r="F1188" s="18"/>
      <c r="G1188" s="18"/>
      <c r="H1188" s="30" t="str">
        <f t="shared" si="126"/>
        <v/>
      </c>
      <c r="I1188" s="31" t="str">
        <f>IF(OR(B1188="",C1188=""),"",IFERROR(E1188*IF(E1188="",0,VLOOKUP(C1188,'📦 Precios Proforma'!$B$5:$D$104,IF(D1188="DIA",2,3),FALSE)),0))</f>
        <v/>
      </c>
      <c r="J1188" s="31" t="str">
        <f t="shared" si="127"/>
        <v/>
      </c>
      <c r="K1188" s="31" t="str">
        <f t="shared" si="128"/>
        <v/>
      </c>
      <c r="L1188" s="31" t="str">
        <f>IF(OR(B1188="",C1188=""),"",IFERROR(E1188 / SUMIFS('📅 Resumen Diario'!$D$5:$D$504, '📅 Resumen Diario'!$B$5:$B$504, B1188, '📅 Resumen Diario'!$C$5:$C$504, D1188) * SUMIFS('📅 Resumen Diario'!$K$5:$K$504, '📅 Resumen Diario'!$B$5:$B$504, B1188, '📅 Resumen Diario'!$C$5:$C$504, D1188), 0))</f>
        <v/>
      </c>
      <c r="M1188" s="31" t="str">
        <f t="shared" si="129"/>
        <v/>
      </c>
      <c r="N1188" s="31" t="str">
        <f t="shared" si="130"/>
        <v/>
      </c>
      <c r="O1188" s="31" t="str">
        <f>IF(OR(B1188="",C1188=""),"",K1188-N1188 + IFERROR(E1188 / SUMIFS('📅 Resumen Diario'!$D$5:$D$504, '📅 Resumen Diario'!$B$5:$B$504, B1188, '📅 Resumen Diario'!$C$5:$C$504, D1188) * (SUMIFS('📋 Detalle Diario'!$E$5:$E$489, '📋 Detalle Diario'!$B$5:$B$489, B1188, '📋 Detalle Diario'!$C$5:$C$489, D1188) * 135 + SUMIFS('📋 Detalle Diario'!$I$5:$I$489, '📋 Detalle Diario'!$B$5:$B$489, B1188, '📋 Detalle Diario'!$C$5:$C$489, D1188) * 200), 0))</f>
        <v/>
      </c>
      <c r="P1188" s="32" t="str">
        <f t="shared" si="131"/>
        <v/>
      </c>
      <c r="Q1188" s="33" t="str">
        <f t="shared" si="132"/>
        <v/>
      </c>
    </row>
    <row r="1189" spans="2:17" ht="18" customHeight="1" x14ac:dyDescent="0.3">
      <c r="B1189" s="26"/>
      <c r="C1189" s="28"/>
      <c r="D1189" s="27"/>
      <c r="E1189" s="29"/>
      <c r="F1189" s="29"/>
      <c r="G1189" s="29"/>
      <c r="H1189" s="30" t="str">
        <f t="shared" si="126"/>
        <v/>
      </c>
      <c r="I1189" s="31" t="str">
        <f>IF(OR(B1189="",C1189=""),"",IFERROR(E1189*IF(E1189="",0,VLOOKUP(C1189,'📦 Precios Proforma'!$B$5:$D$104,IF(D1189="DIA",2,3),FALSE)),0))</f>
        <v/>
      </c>
      <c r="J1189" s="31" t="str">
        <f t="shared" si="127"/>
        <v/>
      </c>
      <c r="K1189" s="31" t="str">
        <f t="shared" si="128"/>
        <v/>
      </c>
      <c r="L1189" s="31" t="str">
        <f>IF(OR(B1189="",C1189=""),"",IFERROR(E1189 / SUMIFS('📅 Resumen Diario'!$D$5:$D$504, '📅 Resumen Diario'!$B$5:$B$504, B1189, '📅 Resumen Diario'!$C$5:$C$504, D1189) * SUMIFS('📅 Resumen Diario'!$K$5:$K$504, '📅 Resumen Diario'!$B$5:$B$504, B1189, '📅 Resumen Diario'!$C$5:$C$504, D1189), 0))</f>
        <v/>
      </c>
      <c r="M1189" s="31" t="str">
        <f t="shared" si="129"/>
        <v/>
      </c>
      <c r="N1189" s="31" t="str">
        <f t="shared" si="130"/>
        <v/>
      </c>
      <c r="O1189" s="31" t="str">
        <f>IF(OR(B1189="",C1189=""),"",K1189-N1189 + IFERROR(E1189 / SUMIFS('📅 Resumen Diario'!$D$5:$D$504, '📅 Resumen Diario'!$B$5:$B$504, B1189, '📅 Resumen Diario'!$C$5:$C$504, D1189) * (SUMIFS('📋 Detalle Diario'!$E$5:$E$489, '📋 Detalle Diario'!$B$5:$B$489, B1189, '📋 Detalle Diario'!$C$5:$C$489, D1189) * 135 + SUMIFS('📋 Detalle Diario'!$I$5:$I$489, '📋 Detalle Diario'!$B$5:$B$489, B1189, '📋 Detalle Diario'!$C$5:$C$489, D1189) * 200), 0))</f>
        <v/>
      </c>
      <c r="P1189" s="32" t="str">
        <f t="shared" si="131"/>
        <v/>
      </c>
      <c r="Q1189" s="33" t="str">
        <f t="shared" si="132"/>
        <v/>
      </c>
    </row>
    <row r="1190" spans="2:17" ht="18" customHeight="1" x14ac:dyDescent="0.3">
      <c r="B1190" s="26"/>
      <c r="C1190" s="17"/>
      <c r="D1190" s="27"/>
      <c r="E1190" s="18"/>
      <c r="F1190" s="18"/>
      <c r="G1190" s="18"/>
      <c r="H1190" s="30" t="str">
        <f t="shared" si="126"/>
        <v/>
      </c>
      <c r="I1190" s="31" t="str">
        <f>IF(OR(B1190="",C1190=""),"",IFERROR(E1190*IF(E1190="",0,VLOOKUP(C1190,'📦 Precios Proforma'!$B$5:$D$104,IF(D1190="DIA",2,3),FALSE)),0))</f>
        <v/>
      </c>
      <c r="J1190" s="31" t="str">
        <f t="shared" si="127"/>
        <v/>
      </c>
      <c r="K1190" s="31" t="str">
        <f t="shared" si="128"/>
        <v/>
      </c>
      <c r="L1190" s="31" t="str">
        <f>IF(OR(B1190="",C1190=""),"",IFERROR(E1190 / SUMIFS('📅 Resumen Diario'!$D$5:$D$504, '📅 Resumen Diario'!$B$5:$B$504, B1190, '📅 Resumen Diario'!$C$5:$C$504, D1190) * SUMIFS('📅 Resumen Diario'!$K$5:$K$504, '📅 Resumen Diario'!$B$5:$B$504, B1190, '📅 Resumen Diario'!$C$5:$C$504, D1190), 0))</f>
        <v/>
      </c>
      <c r="M1190" s="31" t="str">
        <f t="shared" si="129"/>
        <v/>
      </c>
      <c r="N1190" s="31" t="str">
        <f t="shared" si="130"/>
        <v/>
      </c>
      <c r="O1190" s="31" t="str">
        <f>IF(OR(B1190="",C1190=""),"",K1190-N1190 + IFERROR(E1190 / SUMIFS('📅 Resumen Diario'!$D$5:$D$504, '📅 Resumen Diario'!$B$5:$B$504, B1190, '📅 Resumen Diario'!$C$5:$C$504, D1190) * (SUMIFS('📋 Detalle Diario'!$E$5:$E$489, '📋 Detalle Diario'!$B$5:$B$489, B1190, '📋 Detalle Diario'!$C$5:$C$489, D1190) * 135 + SUMIFS('📋 Detalle Diario'!$I$5:$I$489, '📋 Detalle Diario'!$B$5:$B$489, B1190, '📋 Detalle Diario'!$C$5:$C$489, D1190) * 200), 0))</f>
        <v/>
      </c>
      <c r="P1190" s="32" t="str">
        <f t="shared" si="131"/>
        <v/>
      </c>
      <c r="Q1190" s="33" t="str">
        <f t="shared" si="132"/>
        <v/>
      </c>
    </row>
    <row r="1191" spans="2:17" ht="18" customHeight="1" x14ac:dyDescent="0.3">
      <c r="B1191" s="26"/>
      <c r="C1191" s="28"/>
      <c r="D1191" s="27"/>
      <c r="E1191" s="29"/>
      <c r="F1191" s="29"/>
      <c r="G1191" s="29"/>
      <c r="H1191" s="30" t="str">
        <f t="shared" si="126"/>
        <v/>
      </c>
      <c r="I1191" s="31" t="str">
        <f>IF(OR(B1191="",C1191=""),"",IFERROR(E1191*IF(E1191="",0,VLOOKUP(C1191,'📦 Precios Proforma'!$B$5:$D$104,IF(D1191="DIA",2,3),FALSE)),0))</f>
        <v/>
      </c>
      <c r="J1191" s="31" t="str">
        <f t="shared" si="127"/>
        <v/>
      </c>
      <c r="K1191" s="31" t="str">
        <f t="shared" si="128"/>
        <v/>
      </c>
      <c r="L1191" s="31" t="str">
        <f>IF(OR(B1191="",C1191=""),"",IFERROR(E1191 / SUMIFS('📅 Resumen Diario'!$D$5:$D$504, '📅 Resumen Diario'!$B$5:$B$504, B1191, '📅 Resumen Diario'!$C$5:$C$504, D1191) * SUMIFS('📅 Resumen Diario'!$K$5:$K$504, '📅 Resumen Diario'!$B$5:$B$504, B1191, '📅 Resumen Diario'!$C$5:$C$504, D1191), 0))</f>
        <v/>
      </c>
      <c r="M1191" s="31" t="str">
        <f t="shared" si="129"/>
        <v/>
      </c>
      <c r="N1191" s="31" t="str">
        <f t="shared" si="130"/>
        <v/>
      </c>
      <c r="O1191" s="31" t="str">
        <f>IF(OR(B1191="",C1191=""),"",K1191-N1191 + IFERROR(E1191 / SUMIFS('📅 Resumen Diario'!$D$5:$D$504, '📅 Resumen Diario'!$B$5:$B$504, B1191, '📅 Resumen Diario'!$C$5:$C$504, D1191) * (SUMIFS('📋 Detalle Diario'!$E$5:$E$489, '📋 Detalle Diario'!$B$5:$B$489, B1191, '📋 Detalle Diario'!$C$5:$C$489, D1191) * 135 + SUMIFS('📋 Detalle Diario'!$I$5:$I$489, '📋 Detalle Diario'!$B$5:$B$489, B1191, '📋 Detalle Diario'!$C$5:$C$489, D1191) * 200), 0))</f>
        <v/>
      </c>
      <c r="P1191" s="32" t="str">
        <f t="shared" si="131"/>
        <v/>
      </c>
      <c r="Q1191" s="33" t="str">
        <f t="shared" si="132"/>
        <v/>
      </c>
    </row>
    <row r="1192" spans="2:17" ht="18" customHeight="1" x14ac:dyDescent="0.3">
      <c r="B1192" s="26"/>
      <c r="C1192" s="17"/>
      <c r="D1192" s="27"/>
      <c r="E1192" s="18"/>
      <c r="F1192" s="18"/>
      <c r="G1192" s="18"/>
      <c r="H1192" s="30" t="str">
        <f t="shared" si="126"/>
        <v/>
      </c>
      <c r="I1192" s="31" t="str">
        <f>IF(OR(B1192="",C1192=""),"",IFERROR(E1192*IF(E1192="",0,VLOOKUP(C1192,'📦 Precios Proforma'!$B$5:$D$104,IF(D1192="DIA",2,3),FALSE)),0))</f>
        <v/>
      </c>
      <c r="J1192" s="31" t="str">
        <f t="shared" si="127"/>
        <v/>
      </c>
      <c r="K1192" s="31" t="str">
        <f t="shared" si="128"/>
        <v/>
      </c>
      <c r="L1192" s="31" t="str">
        <f>IF(OR(B1192="",C1192=""),"",IFERROR(E1192 / SUMIFS('📅 Resumen Diario'!$D$5:$D$504, '📅 Resumen Diario'!$B$5:$B$504, B1192, '📅 Resumen Diario'!$C$5:$C$504, D1192) * SUMIFS('📅 Resumen Diario'!$K$5:$K$504, '📅 Resumen Diario'!$B$5:$B$504, B1192, '📅 Resumen Diario'!$C$5:$C$504, D1192), 0))</f>
        <v/>
      </c>
      <c r="M1192" s="31" t="str">
        <f t="shared" si="129"/>
        <v/>
      </c>
      <c r="N1192" s="31" t="str">
        <f t="shared" si="130"/>
        <v/>
      </c>
      <c r="O1192" s="31" t="str">
        <f>IF(OR(B1192="",C1192=""),"",K1192-N1192 + IFERROR(E1192 / SUMIFS('📅 Resumen Diario'!$D$5:$D$504, '📅 Resumen Diario'!$B$5:$B$504, B1192, '📅 Resumen Diario'!$C$5:$C$504, D1192) * (SUMIFS('📋 Detalle Diario'!$E$5:$E$489, '📋 Detalle Diario'!$B$5:$B$489, B1192, '📋 Detalle Diario'!$C$5:$C$489, D1192) * 135 + SUMIFS('📋 Detalle Diario'!$I$5:$I$489, '📋 Detalle Diario'!$B$5:$B$489, B1192, '📋 Detalle Diario'!$C$5:$C$489, D1192) * 200), 0))</f>
        <v/>
      </c>
      <c r="P1192" s="32" t="str">
        <f t="shared" si="131"/>
        <v/>
      </c>
      <c r="Q1192" s="33" t="str">
        <f t="shared" si="132"/>
        <v/>
      </c>
    </row>
    <row r="1193" spans="2:17" ht="18" customHeight="1" x14ac:dyDescent="0.3">
      <c r="B1193" s="26"/>
      <c r="C1193" s="28"/>
      <c r="D1193" s="27"/>
      <c r="E1193" s="29"/>
      <c r="F1193" s="29"/>
      <c r="G1193" s="29"/>
      <c r="H1193" s="30" t="str">
        <f t="shared" si="126"/>
        <v/>
      </c>
      <c r="I1193" s="31" t="str">
        <f>IF(OR(B1193="",C1193=""),"",IFERROR(E1193*IF(E1193="",0,VLOOKUP(C1193,'📦 Precios Proforma'!$B$5:$D$104,IF(D1193="DIA",2,3),FALSE)),0))</f>
        <v/>
      </c>
      <c r="J1193" s="31" t="str">
        <f t="shared" si="127"/>
        <v/>
      </c>
      <c r="K1193" s="31" t="str">
        <f t="shared" si="128"/>
        <v/>
      </c>
      <c r="L1193" s="31" t="str">
        <f>IF(OR(B1193="",C1193=""),"",IFERROR(E1193 / SUMIFS('📅 Resumen Diario'!$D$5:$D$504, '📅 Resumen Diario'!$B$5:$B$504, B1193, '📅 Resumen Diario'!$C$5:$C$504, D1193) * SUMIFS('📅 Resumen Diario'!$K$5:$K$504, '📅 Resumen Diario'!$B$5:$B$504, B1193, '📅 Resumen Diario'!$C$5:$C$504, D1193), 0))</f>
        <v/>
      </c>
      <c r="M1193" s="31" t="str">
        <f t="shared" si="129"/>
        <v/>
      </c>
      <c r="N1193" s="31" t="str">
        <f t="shared" si="130"/>
        <v/>
      </c>
      <c r="O1193" s="31" t="str">
        <f>IF(OR(B1193="",C1193=""),"",K1193-N1193 + IFERROR(E1193 / SUMIFS('📅 Resumen Diario'!$D$5:$D$504, '📅 Resumen Diario'!$B$5:$B$504, B1193, '📅 Resumen Diario'!$C$5:$C$504, D1193) * (SUMIFS('📋 Detalle Diario'!$E$5:$E$489, '📋 Detalle Diario'!$B$5:$B$489, B1193, '📋 Detalle Diario'!$C$5:$C$489, D1193) * 135 + SUMIFS('📋 Detalle Diario'!$I$5:$I$489, '📋 Detalle Diario'!$B$5:$B$489, B1193, '📋 Detalle Diario'!$C$5:$C$489, D1193) * 200), 0))</f>
        <v/>
      </c>
      <c r="P1193" s="32" t="str">
        <f t="shared" si="131"/>
        <v/>
      </c>
      <c r="Q1193" s="33" t="str">
        <f t="shared" si="132"/>
        <v/>
      </c>
    </row>
    <row r="1194" spans="2:17" ht="18" customHeight="1" x14ac:dyDescent="0.3">
      <c r="B1194" s="26"/>
      <c r="C1194" s="17"/>
      <c r="D1194" s="27"/>
      <c r="E1194" s="18"/>
      <c r="F1194" s="18"/>
      <c r="G1194" s="18"/>
      <c r="H1194" s="30" t="str">
        <f t="shared" si="126"/>
        <v/>
      </c>
      <c r="I1194" s="31" t="str">
        <f>IF(OR(B1194="",C1194=""),"",IFERROR(E1194*IF(E1194="",0,VLOOKUP(C1194,'📦 Precios Proforma'!$B$5:$D$104,IF(D1194="DIA",2,3),FALSE)),0))</f>
        <v/>
      </c>
      <c r="J1194" s="31" t="str">
        <f t="shared" si="127"/>
        <v/>
      </c>
      <c r="K1194" s="31" t="str">
        <f t="shared" si="128"/>
        <v/>
      </c>
      <c r="L1194" s="31" t="str">
        <f>IF(OR(B1194="",C1194=""),"",IFERROR(E1194 / SUMIFS('📅 Resumen Diario'!$D$5:$D$504, '📅 Resumen Diario'!$B$5:$B$504, B1194, '📅 Resumen Diario'!$C$5:$C$504, D1194) * SUMIFS('📅 Resumen Diario'!$K$5:$K$504, '📅 Resumen Diario'!$B$5:$B$504, B1194, '📅 Resumen Diario'!$C$5:$C$504, D1194), 0))</f>
        <v/>
      </c>
      <c r="M1194" s="31" t="str">
        <f t="shared" si="129"/>
        <v/>
      </c>
      <c r="N1194" s="31" t="str">
        <f t="shared" si="130"/>
        <v/>
      </c>
      <c r="O1194" s="31" t="str">
        <f>IF(OR(B1194="",C1194=""),"",K1194-N1194 + IFERROR(E1194 / SUMIFS('📅 Resumen Diario'!$D$5:$D$504, '📅 Resumen Diario'!$B$5:$B$504, B1194, '📅 Resumen Diario'!$C$5:$C$504, D1194) * (SUMIFS('📋 Detalle Diario'!$E$5:$E$489, '📋 Detalle Diario'!$B$5:$B$489, B1194, '📋 Detalle Diario'!$C$5:$C$489, D1194) * 135 + SUMIFS('📋 Detalle Diario'!$I$5:$I$489, '📋 Detalle Diario'!$B$5:$B$489, B1194, '📋 Detalle Diario'!$C$5:$C$489, D1194) * 200), 0))</f>
        <v/>
      </c>
      <c r="P1194" s="32" t="str">
        <f t="shared" si="131"/>
        <v/>
      </c>
      <c r="Q1194" s="33" t="str">
        <f t="shared" si="132"/>
        <v/>
      </c>
    </row>
    <row r="1195" spans="2:17" ht="18" customHeight="1" x14ac:dyDescent="0.3">
      <c r="B1195" s="26"/>
      <c r="C1195" s="28"/>
      <c r="D1195" s="27"/>
      <c r="E1195" s="29"/>
      <c r="F1195" s="29"/>
      <c r="G1195" s="29"/>
      <c r="H1195" s="30" t="str">
        <f t="shared" si="126"/>
        <v/>
      </c>
      <c r="I1195" s="31" t="str">
        <f>IF(OR(B1195="",C1195=""),"",IFERROR(E1195*IF(E1195="",0,VLOOKUP(C1195,'📦 Precios Proforma'!$B$5:$D$104,IF(D1195="DIA",2,3),FALSE)),0))</f>
        <v/>
      </c>
      <c r="J1195" s="31" t="str">
        <f t="shared" si="127"/>
        <v/>
      </c>
      <c r="K1195" s="31" t="str">
        <f t="shared" si="128"/>
        <v/>
      </c>
      <c r="L1195" s="31" t="str">
        <f>IF(OR(B1195="",C1195=""),"",IFERROR(E1195 / SUMIFS('📅 Resumen Diario'!$D$5:$D$504, '📅 Resumen Diario'!$B$5:$B$504, B1195, '📅 Resumen Diario'!$C$5:$C$504, D1195) * SUMIFS('📅 Resumen Diario'!$K$5:$K$504, '📅 Resumen Diario'!$B$5:$B$504, B1195, '📅 Resumen Diario'!$C$5:$C$504, D1195), 0))</f>
        <v/>
      </c>
      <c r="M1195" s="31" t="str">
        <f t="shared" si="129"/>
        <v/>
      </c>
      <c r="N1195" s="31" t="str">
        <f t="shared" si="130"/>
        <v/>
      </c>
      <c r="O1195" s="31" t="str">
        <f>IF(OR(B1195="",C1195=""),"",K1195-N1195 + IFERROR(E1195 / SUMIFS('📅 Resumen Diario'!$D$5:$D$504, '📅 Resumen Diario'!$B$5:$B$504, B1195, '📅 Resumen Diario'!$C$5:$C$504, D1195) * (SUMIFS('📋 Detalle Diario'!$E$5:$E$489, '📋 Detalle Diario'!$B$5:$B$489, B1195, '📋 Detalle Diario'!$C$5:$C$489, D1195) * 135 + SUMIFS('📋 Detalle Diario'!$I$5:$I$489, '📋 Detalle Diario'!$B$5:$B$489, B1195, '📋 Detalle Diario'!$C$5:$C$489, D1195) * 200), 0))</f>
        <v/>
      </c>
      <c r="P1195" s="32" t="str">
        <f t="shared" si="131"/>
        <v/>
      </c>
      <c r="Q1195" s="33" t="str">
        <f t="shared" si="132"/>
        <v/>
      </c>
    </row>
    <row r="1196" spans="2:17" ht="18" customHeight="1" x14ac:dyDescent="0.3">
      <c r="B1196" s="26"/>
      <c r="C1196" s="17"/>
      <c r="D1196" s="27"/>
      <c r="E1196" s="18"/>
      <c r="F1196" s="18"/>
      <c r="G1196" s="18"/>
      <c r="H1196" s="30" t="str">
        <f t="shared" si="126"/>
        <v/>
      </c>
      <c r="I1196" s="31" t="str">
        <f>IF(OR(B1196="",C1196=""),"",IFERROR(E1196*IF(E1196="",0,VLOOKUP(C1196,'📦 Precios Proforma'!$B$5:$D$104,IF(D1196="DIA",2,3),FALSE)),0))</f>
        <v/>
      </c>
      <c r="J1196" s="31" t="str">
        <f t="shared" si="127"/>
        <v/>
      </c>
      <c r="K1196" s="31" t="str">
        <f t="shared" si="128"/>
        <v/>
      </c>
      <c r="L1196" s="31" t="str">
        <f>IF(OR(B1196="",C1196=""),"",IFERROR(E1196 / SUMIFS('📅 Resumen Diario'!$D$5:$D$504, '📅 Resumen Diario'!$B$5:$B$504, B1196, '📅 Resumen Diario'!$C$5:$C$504, D1196) * SUMIFS('📅 Resumen Diario'!$K$5:$K$504, '📅 Resumen Diario'!$B$5:$B$504, B1196, '📅 Resumen Diario'!$C$5:$C$504, D1196), 0))</f>
        <v/>
      </c>
      <c r="M1196" s="31" t="str">
        <f t="shared" si="129"/>
        <v/>
      </c>
      <c r="N1196" s="31" t="str">
        <f t="shared" si="130"/>
        <v/>
      </c>
      <c r="O1196" s="31" t="str">
        <f>IF(OR(B1196="",C1196=""),"",K1196-N1196 + IFERROR(E1196 / SUMIFS('📅 Resumen Diario'!$D$5:$D$504, '📅 Resumen Diario'!$B$5:$B$504, B1196, '📅 Resumen Diario'!$C$5:$C$504, D1196) * (SUMIFS('📋 Detalle Diario'!$E$5:$E$489, '📋 Detalle Diario'!$B$5:$B$489, B1196, '📋 Detalle Diario'!$C$5:$C$489, D1196) * 135 + SUMIFS('📋 Detalle Diario'!$I$5:$I$489, '📋 Detalle Diario'!$B$5:$B$489, B1196, '📋 Detalle Diario'!$C$5:$C$489, D1196) * 200), 0))</f>
        <v/>
      </c>
      <c r="P1196" s="32" t="str">
        <f t="shared" si="131"/>
        <v/>
      </c>
      <c r="Q1196" s="33" t="str">
        <f t="shared" si="132"/>
        <v/>
      </c>
    </row>
    <row r="1197" spans="2:17" ht="18" customHeight="1" x14ac:dyDescent="0.3">
      <c r="B1197" s="26"/>
      <c r="C1197" s="28"/>
      <c r="D1197" s="27"/>
      <c r="E1197" s="29"/>
      <c r="F1197" s="29"/>
      <c r="G1197" s="29"/>
      <c r="H1197" s="30" t="str">
        <f t="shared" si="126"/>
        <v/>
      </c>
      <c r="I1197" s="31" t="str">
        <f>IF(OR(B1197="",C1197=""),"",IFERROR(E1197*IF(E1197="",0,VLOOKUP(C1197,'📦 Precios Proforma'!$B$5:$D$104,IF(D1197="DIA",2,3),FALSE)),0))</f>
        <v/>
      </c>
      <c r="J1197" s="31" t="str">
        <f t="shared" si="127"/>
        <v/>
      </c>
      <c r="K1197" s="31" t="str">
        <f t="shared" si="128"/>
        <v/>
      </c>
      <c r="L1197" s="31" t="str">
        <f>IF(OR(B1197="",C1197=""),"",IFERROR(E1197 / SUMIFS('📅 Resumen Diario'!$D$5:$D$504, '📅 Resumen Diario'!$B$5:$B$504, B1197, '📅 Resumen Diario'!$C$5:$C$504, D1197) * SUMIFS('📅 Resumen Diario'!$K$5:$K$504, '📅 Resumen Diario'!$B$5:$B$504, B1197, '📅 Resumen Diario'!$C$5:$C$504, D1197), 0))</f>
        <v/>
      </c>
      <c r="M1197" s="31" t="str">
        <f t="shared" si="129"/>
        <v/>
      </c>
      <c r="N1197" s="31" t="str">
        <f t="shared" si="130"/>
        <v/>
      </c>
      <c r="O1197" s="31" t="str">
        <f>IF(OR(B1197="",C1197=""),"",K1197-N1197 + IFERROR(E1197 / SUMIFS('📅 Resumen Diario'!$D$5:$D$504, '📅 Resumen Diario'!$B$5:$B$504, B1197, '📅 Resumen Diario'!$C$5:$C$504, D1197) * (SUMIFS('📋 Detalle Diario'!$E$5:$E$489, '📋 Detalle Diario'!$B$5:$B$489, B1197, '📋 Detalle Diario'!$C$5:$C$489, D1197) * 135 + SUMIFS('📋 Detalle Diario'!$I$5:$I$489, '📋 Detalle Diario'!$B$5:$B$489, B1197, '📋 Detalle Diario'!$C$5:$C$489, D1197) * 200), 0))</f>
        <v/>
      </c>
      <c r="P1197" s="32" t="str">
        <f t="shared" si="131"/>
        <v/>
      </c>
      <c r="Q1197" s="33" t="str">
        <f t="shared" si="132"/>
        <v/>
      </c>
    </row>
    <row r="1198" spans="2:17" ht="18" customHeight="1" x14ac:dyDescent="0.3">
      <c r="B1198" s="26"/>
      <c r="C1198" s="17"/>
      <c r="D1198" s="27"/>
      <c r="E1198" s="18"/>
      <c r="F1198" s="18"/>
      <c r="G1198" s="18"/>
      <c r="H1198" s="30" t="str">
        <f t="shared" si="126"/>
        <v/>
      </c>
      <c r="I1198" s="31" t="str">
        <f>IF(OR(B1198="",C1198=""),"",IFERROR(E1198*IF(E1198="",0,VLOOKUP(C1198,'📦 Precios Proforma'!$B$5:$D$104,IF(D1198="DIA",2,3),FALSE)),0))</f>
        <v/>
      </c>
      <c r="J1198" s="31" t="str">
        <f t="shared" si="127"/>
        <v/>
      </c>
      <c r="K1198" s="31" t="str">
        <f t="shared" si="128"/>
        <v/>
      </c>
      <c r="L1198" s="31" t="str">
        <f>IF(OR(B1198="",C1198=""),"",IFERROR(E1198 / SUMIFS('📅 Resumen Diario'!$D$5:$D$504, '📅 Resumen Diario'!$B$5:$B$504, B1198, '📅 Resumen Diario'!$C$5:$C$504, D1198) * SUMIFS('📅 Resumen Diario'!$K$5:$K$504, '📅 Resumen Diario'!$B$5:$B$504, B1198, '📅 Resumen Diario'!$C$5:$C$504, D1198), 0))</f>
        <v/>
      </c>
      <c r="M1198" s="31" t="str">
        <f t="shared" si="129"/>
        <v/>
      </c>
      <c r="N1198" s="31" t="str">
        <f t="shared" si="130"/>
        <v/>
      </c>
      <c r="O1198" s="31" t="str">
        <f>IF(OR(B1198="",C1198=""),"",K1198-N1198 + IFERROR(E1198 / SUMIFS('📅 Resumen Diario'!$D$5:$D$504, '📅 Resumen Diario'!$B$5:$B$504, B1198, '📅 Resumen Diario'!$C$5:$C$504, D1198) * (SUMIFS('📋 Detalle Diario'!$E$5:$E$489, '📋 Detalle Diario'!$B$5:$B$489, B1198, '📋 Detalle Diario'!$C$5:$C$489, D1198) * 135 + SUMIFS('📋 Detalle Diario'!$I$5:$I$489, '📋 Detalle Diario'!$B$5:$B$489, B1198, '📋 Detalle Diario'!$C$5:$C$489, D1198) * 200), 0))</f>
        <v/>
      </c>
      <c r="P1198" s="32" t="str">
        <f t="shared" si="131"/>
        <v/>
      </c>
      <c r="Q1198" s="33" t="str">
        <f t="shared" si="132"/>
        <v/>
      </c>
    </row>
    <row r="1199" spans="2:17" ht="18" customHeight="1" x14ac:dyDescent="0.3">
      <c r="B1199" s="26"/>
      <c r="C1199" s="28"/>
      <c r="D1199" s="27"/>
      <c r="E1199" s="29"/>
      <c r="F1199" s="29"/>
      <c r="G1199" s="29"/>
      <c r="H1199" s="30" t="str">
        <f t="shared" si="126"/>
        <v/>
      </c>
      <c r="I1199" s="31" t="str">
        <f>IF(OR(B1199="",C1199=""),"",IFERROR(E1199*IF(E1199="",0,VLOOKUP(C1199,'📦 Precios Proforma'!$B$5:$D$104,IF(D1199="DIA",2,3),FALSE)),0))</f>
        <v/>
      </c>
      <c r="J1199" s="31" t="str">
        <f t="shared" si="127"/>
        <v/>
      </c>
      <c r="K1199" s="31" t="str">
        <f t="shared" si="128"/>
        <v/>
      </c>
      <c r="L1199" s="31" t="str">
        <f>IF(OR(B1199="",C1199=""),"",IFERROR(E1199 / SUMIFS('📅 Resumen Diario'!$D$5:$D$504, '📅 Resumen Diario'!$B$5:$B$504, B1199, '📅 Resumen Diario'!$C$5:$C$504, D1199) * SUMIFS('📅 Resumen Diario'!$K$5:$K$504, '📅 Resumen Diario'!$B$5:$B$504, B1199, '📅 Resumen Diario'!$C$5:$C$504, D1199), 0))</f>
        <v/>
      </c>
      <c r="M1199" s="31" t="str">
        <f t="shared" si="129"/>
        <v/>
      </c>
      <c r="N1199" s="31" t="str">
        <f t="shared" si="130"/>
        <v/>
      </c>
      <c r="O1199" s="31" t="str">
        <f>IF(OR(B1199="",C1199=""),"",K1199-N1199 + IFERROR(E1199 / SUMIFS('📅 Resumen Diario'!$D$5:$D$504, '📅 Resumen Diario'!$B$5:$B$504, B1199, '📅 Resumen Diario'!$C$5:$C$504, D1199) * (SUMIFS('📋 Detalle Diario'!$E$5:$E$489, '📋 Detalle Diario'!$B$5:$B$489, B1199, '📋 Detalle Diario'!$C$5:$C$489, D1199) * 135 + SUMIFS('📋 Detalle Diario'!$I$5:$I$489, '📋 Detalle Diario'!$B$5:$B$489, B1199, '📋 Detalle Diario'!$C$5:$C$489, D1199) * 200), 0))</f>
        <v/>
      </c>
      <c r="P1199" s="32" t="str">
        <f t="shared" si="131"/>
        <v/>
      </c>
      <c r="Q1199" s="33" t="str">
        <f t="shared" si="132"/>
        <v/>
      </c>
    </row>
    <row r="1200" spans="2:17" ht="18" customHeight="1" x14ac:dyDescent="0.3">
      <c r="B1200" s="26"/>
      <c r="C1200" s="17"/>
      <c r="D1200" s="27"/>
      <c r="E1200" s="18"/>
      <c r="F1200" s="18"/>
      <c r="G1200" s="18"/>
      <c r="H1200" s="30" t="str">
        <f t="shared" si="126"/>
        <v/>
      </c>
      <c r="I1200" s="31" t="str">
        <f>IF(OR(B1200="",C1200=""),"",IFERROR(E1200*IF(E1200="",0,VLOOKUP(C1200,'📦 Precios Proforma'!$B$5:$D$104,IF(D1200="DIA",2,3),FALSE)),0))</f>
        <v/>
      </c>
      <c r="J1200" s="31" t="str">
        <f t="shared" si="127"/>
        <v/>
      </c>
      <c r="K1200" s="31" t="str">
        <f t="shared" si="128"/>
        <v/>
      </c>
      <c r="L1200" s="31" t="str">
        <f>IF(OR(B1200="",C1200=""),"",IFERROR(E1200 / SUMIFS('📅 Resumen Diario'!$D$5:$D$504, '📅 Resumen Diario'!$B$5:$B$504, B1200, '📅 Resumen Diario'!$C$5:$C$504, D1200) * SUMIFS('📅 Resumen Diario'!$K$5:$K$504, '📅 Resumen Diario'!$B$5:$B$504, B1200, '📅 Resumen Diario'!$C$5:$C$504, D1200), 0))</f>
        <v/>
      </c>
      <c r="M1200" s="31" t="str">
        <f t="shared" si="129"/>
        <v/>
      </c>
      <c r="N1200" s="31" t="str">
        <f t="shared" si="130"/>
        <v/>
      </c>
      <c r="O1200" s="31" t="str">
        <f>IF(OR(B1200="",C1200=""),"",K1200-N1200 + IFERROR(E1200 / SUMIFS('📅 Resumen Diario'!$D$5:$D$504, '📅 Resumen Diario'!$B$5:$B$504, B1200, '📅 Resumen Diario'!$C$5:$C$504, D1200) * (SUMIFS('📋 Detalle Diario'!$E$5:$E$489, '📋 Detalle Diario'!$B$5:$B$489, B1200, '📋 Detalle Diario'!$C$5:$C$489, D1200) * 135 + SUMIFS('📋 Detalle Diario'!$I$5:$I$489, '📋 Detalle Diario'!$B$5:$B$489, B1200, '📋 Detalle Diario'!$C$5:$C$489, D1200) * 200), 0))</f>
        <v/>
      </c>
      <c r="P1200" s="32" t="str">
        <f t="shared" si="131"/>
        <v/>
      </c>
      <c r="Q1200" s="33" t="str">
        <f t="shared" si="132"/>
        <v/>
      </c>
    </row>
    <row r="1201" spans="2:17" ht="18" customHeight="1" x14ac:dyDescent="0.3">
      <c r="B1201" s="26"/>
      <c r="C1201" s="28"/>
      <c r="D1201" s="27"/>
      <c r="E1201" s="29"/>
      <c r="F1201" s="29"/>
      <c r="G1201" s="29"/>
      <c r="H1201" s="30" t="str">
        <f t="shared" si="126"/>
        <v/>
      </c>
      <c r="I1201" s="31" t="str">
        <f>IF(OR(B1201="",C1201=""),"",IFERROR(E1201*IF(E1201="",0,VLOOKUP(C1201,'📦 Precios Proforma'!$B$5:$D$104,IF(D1201="DIA",2,3),FALSE)),0))</f>
        <v/>
      </c>
      <c r="J1201" s="31" t="str">
        <f t="shared" si="127"/>
        <v/>
      </c>
      <c r="K1201" s="31" t="str">
        <f t="shared" si="128"/>
        <v/>
      </c>
      <c r="L1201" s="31" t="str">
        <f>IF(OR(B1201="",C1201=""),"",IFERROR(E1201 / SUMIFS('📅 Resumen Diario'!$D$5:$D$504, '📅 Resumen Diario'!$B$5:$B$504, B1201, '📅 Resumen Diario'!$C$5:$C$504, D1201) * SUMIFS('📅 Resumen Diario'!$K$5:$K$504, '📅 Resumen Diario'!$B$5:$B$504, B1201, '📅 Resumen Diario'!$C$5:$C$504, D1201), 0))</f>
        <v/>
      </c>
      <c r="M1201" s="31" t="str">
        <f t="shared" si="129"/>
        <v/>
      </c>
      <c r="N1201" s="31" t="str">
        <f t="shared" si="130"/>
        <v/>
      </c>
      <c r="O1201" s="31" t="str">
        <f>IF(OR(B1201="",C1201=""),"",K1201-N1201 + IFERROR(E1201 / SUMIFS('📅 Resumen Diario'!$D$5:$D$504, '📅 Resumen Diario'!$B$5:$B$504, B1201, '📅 Resumen Diario'!$C$5:$C$504, D1201) * (SUMIFS('📋 Detalle Diario'!$E$5:$E$489, '📋 Detalle Diario'!$B$5:$B$489, B1201, '📋 Detalle Diario'!$C$5:$C$489, D1201) * 135 + SUMIFS('📋 Detalle Diario'!$I$5:$I$489, '📋 Detalle Diario'!$B$5:$B$489, B1201, '📋 Detalle Diario'!$C$5:$C$489, D1201) * 200), 0))</f>
        <v/>
      </c>
      <c r="P1201" s="32" t="str">
        <f t="shared" si="131"/>
        <v/>
      </c>
      <c r="Q1201" s="33" t="str">
        <f t="shared" si="132"/>
        <v/>
      </c>
    </row>
    <row r="1202" spans="2:17" ht="18" customHeight="1" x14ac:dyDescent="0.3">
      <c r="B1202" s="26"/>
      <c r="C1202" s="17"/>
      <c r="D1202" s="27"/>
      <c r="E1202" s="18"/>
      <c r="F1202" s="18"/>
      <c r="G1202" s="18"/>
      <c r="H1202" s="30" t="str">
        <f t="shared" si="126"/>
        <v/>
      </c>
      <c r="I1202" s="31" t="str">
        <f>IF(OR(B1202="",C1202=""),"",IFERROR(E1202*IF(E1202="",0,VLOOKUP(C1202,'📦 Precios Proforma'!$B$5:$D$104,IF(D1202="DIA",2,3),FALSE)),0))</f>
        <v/>
      </c>
      <c r="J1202" s="31" t="str">
        <f t="shared" si="127"/>
        <v/>
      </c>
      <c r="K1202" s="31" t="str">
        <f t="shared" si="128"/>
        <v/>
      </c>
      <c r="L1202" s="31" t="str">
        <f>IF(OR(B1202="",C1202=""),"",IFERROR(E1202 / SUMIFS('📅 Resumen Diario'!$D$5:$D$504, '📅 Resumen Diario'!$B$5:$B$504, B1202, '📅 Resumen Diario'!$C$5:$C$504, D1202) * SUMIFS('📅 Resumen Diario'!$K$5:$K$504, '📅 Resumen Diario'!$B$5:$B$504, B1202, '📅 Resumen Diario'!$C$5:$C$504, D1202), 0))</f>
        <v/>
      </c>
      <c r="M1202" s="31" t="str">
        <f t="shared" si="129"/>
        <v/>
      </c>
      <c r="N1202" s="31" t="str">
        <f t="shared" si="130"/>
        <v/>
      </c>
      <c r="O1202" s="31" t="str">
        <f>IF(OR(B1202="",C1202=""),"",K1202-N1202 + IFERROR(E1202 / SUMIFS('📅 Resumen Diario'!$D$5:$D$504, '📅 Resumen Diario'!$B$5:$B$504, B1202, '📅 Resumen Diario'!$C$5:$C$504, D1202) * (SUMIFS('📋 Detalle Diario'!$E$5:$E$489, '📋 Detalle Diario'!$B$5:$B$489, B1202, '📋 Detalle Diario'!$C$5:$C$489, D1202) * 135 + SUMIFS('📋 Detalle Diario'!$I$5:$I$489, '📋 Detalle Diario'!$B$5:$B$489, B1202, '📋 Detalle Diario'!$C$5:$C$489, D1202) * 200), 0))</f>
        <v/>
      </c>
      <c r="P1202" s="32" t="str">
        <f t="shared" si="131"/>
        <v/>
      </c>
      <c r="Q1202" s="33" t="str">
        <f t="shared" si="132"/>
        <v/>
      </c>
    </row>
    <row r="1203" spans="2:17" ht="18" customHeight="1" x14ac:dyDescent="0.3">
      <c r="B1203" s="26"/>
      <c r="C1203" s="28"/>
      <c r="D1203" s="27"/>
      <c r="E1203" s="29"/>
      <c r="F1203" s="29"/>
      <c r="G1203" s="29"/>
      <c r="H1203" s="30" t="str">
        <f t="shared" si="126"/>
        <v/>
      </c>
      <c r="I1203" s="31" t="str">
        <f>IF(OR(B1203="",C1203=""),"",IFERROR(E1203*IF(E1203="",0,VLOOKUP(C1203,'📦 Precios Proforma'!$B$5:$D$104,IF(D1203="DIA",2,3),FALSE)),0))</f>
        <v/>
      </c>
      <c r="J1203" s="31" t="str">
        <f t="shared" si="127"/>
        <v/>
      </c>
      <c r="K1203" s="31" t="str">
        <f t="shared" si="128"/>
        <v/>
      </c>
      <c r="L1203" s="31" t="str">
        <f>IF(OR(B1203="",C1203=""),"",IFERROR(E1203 / SUMIFS('📅 Resumen Diario'!$D$5:$D$504, '📅 Resumen Diario'!$B$5:$B$504, B1203, '📅 Resumen Diario'!$C$5:$C$504, D1203) * SUMIFS('📅 Resumen Diario'!$K$5:$K$504, '📅 Resumen Diario'!$B$5:$B$504, B1203, '📅 Resumen Diario'!$C$5:$C$504, D1203), 0))</f>
        <v/>
      </c>
      <c r="M1203" s="31" t="str">
        <f t="shared" si="129"/>
        <v/>
      </c>
      <c r="N1203" s="31" t="str">
        <f t="shared" si="130"/>
        <v/>
      </c>
      <c r="O1203" s="31" t="str">
        <f>IF(OR(B1203="",C1203=""),"",K1203-N1203 + IFERROR(E1203 / SUMIFS('📅 Resumen Diario'!$D$5:$D$504, '📅 Resumen Diario'!$B$5:$B$504, B1203, '📅 Resumen Diario'!$C$5:$C$504, D1203) * (SUMIFS('📋 Detalle Diario'!$E$5:$E$489, '📋 Detalle Diario'!$B$5:$B$489, B1203, '📋 Detalle Diario'!$C$5:$C$489, D1203) * 135 + SUMIFS('📋 Detalle Diario'!$I$5:$I$489, '📋 Detalle Diario'!$B$5:$B$489, B1203, '📋 Detalle Diario'!$C$5:$C$489, D1203) * 200), 0))</f>
        <v/>
      </c>
      <c r="P1203" s="32" t="str">
        <f t="shared" si="131"/>
        <v/>
      </c>
      <c r="Q1203" s="33" t="str">
        <f t="shared" si="132"/>
        <v/>
      </c>
    </row>
    <row r="1204" spans="2:17" ht="18" customHeight="1" x14ac:dyDescent="0.3">
      <c r="B1204" s="26"/>
      <c r="C1204" s="17"/>
      <c r="D1204" s="27"/>
      <c r="E1204" s="18"/>
      <c r="F1204" s="18"/>
      <c r="G1204" s="18"/>
      <c r="H1204" s="30" t="str">
        <f t="shared" si="126"/>
        <v/>
      </c>
      <c r="I1204" s="31" t="str">
        <f>IF(OR(B1204="",C1204=""),"",IFERROR(E1204*IF(E1204="",0,VLOOKUP(C1204,'📦 Precios Proforma'!$B$5:$D$104,IF(D1204="DIA",2,3),FALSE)),0))</f>
        <v/>
      </c>
      <c r="J1204" s="31" t="str">
        <f t="shared" si="127"/>
        <v/>
      </c>
      <c r="K1204" s="31" t="str">
        <f t="shared" si="128"/>
        <v/>
      </c>
      <c r="L1204" s="31" t="str">
        <f>IF(OR(B1204="",C1204=""),"",IFERROR(E1204 / SUMIFS('📅 Resumen Diario'!$D$5:$D$504, '📅 Resumen Diario'!$B$5:$B$504, B1204, '📅 Resumen Diario'!$C$5:$C$504, D1204) * SUMIFS('📅 Resumen Diario'!$K$5:$K$504, '📅 Resumen Diario'!$B$5:$B$504, B1204, '📅 Resumen Diario'!$C$5:$C$504, D1204), 0))</f>
        <v/>
      </c>
      <c r="M1204" s="31" t="str">
        <f t="shared" si="129"/>
        <v/>
      </c>
      <c r="N1204" s="31" t="str">
        <f t="shared" si="130"/>
        <v/>
      </c>
      <c r="O1204" s="31" t="str">
        <f>IF(OR(B1204="",C1204=""),"",K1204-N1204 + IFERROR(E1204 / SUMIFS('📅 Resumen Diario'!$D$5:$D$504, '📅 Resumen Diario'!$B$5:$B$504, B1204, '📅 Resumen Diario'!$C$5:$C$504, D1204) * (SUMIFS('📋 Detalle Diario'!$E$5:$E$489, '📋 Detalle Diario'!$B$5:$B$489, B1204, '📋 Detalle Diario'!$C$5:$C$489, D1204) * 135 + SUMIFS('📋 Detalle Diario'!$I$5:$I$489, '📋 Detalle Diario'!$B$5:$B$489, B1204, '📋 Detalle Diario'!$C$5:$C$489, D1204) * 200), 0))</f>
        <v/>
      </c>
      <c r="P1204" s="32" t="str">
        <f t="shared" si="131"/>
        <v/>
      </c>
      <c r="Q1204" s="33" t="str">
        <f t="shared" si="132"/>
        <v/>
      </c>
    </row>
    <row r="1205" spans="2:17" ht="18" customHeight="1" x14ac:dyDescent="0.3">
      <c r="B1205" s="26"/>
      <c r="C1205" s="28"/>
      <c r="D1205" s="27"/>
      <c r="E1205" s="29"/>
      <c r="F1205" s="29"/>
      <c r="G1205" s="29"/>
      <c r="H1205" s="30" t="str">
        <f t="shared" si="126"/>
        <v/>
      </c>
      <c r="I1205" s="31" t="str">
        <f>IF(OR(B1205="",C1205=""),"",IFERROR(E1205*IF(E1205="",0,VLOOKUP(C1205,'📦 Precios Proforma'!$B$5:$D$104,IF(D1205="DIA",2,3),FALSE)),0))</f>
        <v/>
      </c>
      <c r="J1205" s="31" t="str">
        <f t="shared" si="127"/>
        <v/>
      </c>
      <c r="K1205" s="31" t="str">
        <f t="shared" si="128"/>
        <v/>
      </c>
      <c r="L1205" s="31" t="str">
        <f>IF(OR(B1205="",C1205=""),"",IFERROR(E1205 / SUMIFS('📅 Resumen Diario'!$D$5:$D$504, '📅 Resumen Diario'!$B$5:$B$504, B1205, '📅 Resumen Diario'!$C$5:$C$504, D1205) * SUMIFS('📅 Resumen Diario'!$K$5:$K$504, '📅 Resumen Diario'!$B$5:$B$504, B1205, '📅 Resumen Diario'!$C$5:$C$504, D1205), 0))</f>
        <v/>
      </c>
      <c r="M1205" s="31" t="str">
        <f t="shared" si="129"/>
        <v/>
      </c>
      <c r="N1205" s="31" t="str">
        <f t="shared" si="130"/>
        <v/>
      </c>
      <c r="O1205" s="31" t="str">
        <f>IF(OR(B1205="",C1205=""),"",K1205-N1205 + IFERROR(E1205 / SUMIFS('📅 Resumen Diario'!$D$5:$D$504, '📅 Resumen Diario'!$B$5:$B$504, B1205, '📅 Resumen Diario'!$C$5:$C$504, D1205) * (SUMIFS('📋 Detalle Diario'!$E$5:$E$489, '📋 Detalle Diario'!$B$5:$B$489, B1205, '📋 Detalle Diario'!$C$5:$C$489, D1205) * 135 + SUMIFS('📋 Detalle Diario'!$I$5:$I$489, '📋 Detalle Diario'!$B$5:$B$489, B1205, '📋 Detalle Diario'!$C$5:$C$489, D1205) * 200), 0))</f>
        <v/>
      </c>
      <c r="P1205" s="32" t="str">
        <f t="shared" si="131"/>
        <v/>
      </c>
      <c r="Q1205" s="33" t="str">
        <f t="shared" si="132"/>
        <v/>
      </c>
    </row>
    <row r="1206" spans="2:17" ht="18" customHeight="1" x14ac:dyDescent="0.3">
      <c r="B1206" s="26"/>
      <c r="C1206" s="17"/>
      <c r="D1206" s="27"/>
      <c r="E1206" s="18"/>
      <c r="F1206" s="18"/>
      <c r="G1206" s="18"/>
      <c r="H1206" s="30" t="str">
        <f t="shared" si="126"/>
        <v/>
      </c>
      <c r="I1206" s="31" t="str">
        <f>IF(OR(B1206="",C1206=""),"",IFERROR(E1206*IF(E1206="",0,VLOOKUP(C1206,'📦 Precios Proforma'!$B$5:$D$104,IF(D1206="DIA",2,3),FALSE)),0))</f>
        <v/>
      </c>
      <c r="J1206" s="31" t="str">
        <f t="shared" si="127"/>
        <v/>
      </c>
      <c r="K1206" s="31" t="str">
        <f t="shared" si="128"/>
        <v/>
      </c>
      <c r="L1206" s="31" t="str">
        <f>IF(OR(B1206="",C1206=""),"",IFERROR(E1206 / SUMIFS('📅 Resumen Diario'!$D$5:$D$504, '📅 Resumen Diario'!$B$5:$B$504, B1206, '📅 Resumen Diario'!$C$5:$C$504, D1206) * SUMIFS('📅 Resumen Diario'!$K$5:$K$504, '📅 Resumen Diario'!$B$5:$B$504, B1206, '📅 Resumen Diario'!$C$5:$C$504, D1206), 0))</f>
        <v/>
      </c>
      <c r="M1206" s="31" t="str">
        <f t="shared" si="129"/>
        <v/>
      </c>
      <c r="N1206" s="31" t="str">
        <f t="shared" si="130"/>
        <v/>
      </c>
      <c r="O1206" s="31" t="str">
        <f>IF(OR(B1206="",C1206=""),"",K1206-N1206 + IFERROR(E1206 / SUMIFS('📅 Resumen Diario'!$D$5:$D$504, '📅 Resumen Diario'!$B$5:$B$504, B1206, '📅 Resumen Diario'!$C$5:$C$504, D1206) * (SUMIFS('📋 Detalle Diario'!$E$5:$E$489, '📋 Detalle Diario'!$B$5:$B$489, B1206, '📋 Detalle Diario'!$C$5:$C$489, D1206) * 135 + SUMIFS('📋 Detalle Diario'!$I$5:$I$489, '📋 Detalle Diario'!$B$5:$B$489, B1206, '📋 Detalle Diario'!$C$5:$C$489, D1206) * 200), 0))</f>
        <v/>
      </c>
      <c r="P1206" s="32" t="str">
        <f t="shared" si="131"/>
        <v/>
      </c>
      <c r="Q1206" s="33" t="str">
        <f t="shared" si="132"/>
        <v/>
      </c>
    </row>
    <row r="1207" spans="2:17" ht="18" customHeight="1" x14ac:dyDescent="0.3">
      <c r="B1207" s="26"/>
      <c r="C1207" s="28"/>
      <c r="D1207" s="27"/>
      <c r="E1207" s="29"/>
      <c r="F1207" s="29"/>
      <c r="G1207" s="29"/>
      <c r="H1207" s="30" t="str">
        <f t="shared" si="126"/>
        <v/>
      </c>
      <c r="I1207" s="31" t="str">
        <f>IF(OR(B1207="",C1207=""),"",IFERROR(E1207*IF(E1207="",0,VLOOKUP(C1207,'📦 Precios Proforma'!$B$5:$D$104,IF(D1207="DIA",2,3),FALSE)),0))</f>
        <v/>
      </c>
      <c r="J1207" s="31" t="str">
        <f t="shared" si="127"/>
        <v/>
      </c>
      <c r="K1207" s="31" t="str">
        <f t="shared" si="128"/>
        <v/>
      </c>
      <c r="L1207" s="31" t="str">
        <f>IF(OR(B1207="",C1207=""),"",IFERROR(E1207 / SUMIFS('📅 Resumen Diario'!$D$5:$D$504, '📅 Resumen Diario'!$B$5:$B$504, B1207, '📅 Resumen Diario'!$C$5:$C$504, D1207) * SUMIFS('📅 Resumen Diario'!$K$5:$K$504, '📅 Resumen Diario'!$B$5:$B$504, B1207, '📅 Resumen Diario'!$C$5:$C$504, D1207), 0))</f>
        <v/>
      </c>
      <c r="M1207" s="31" t="str">
        <f t="shared" si="129"/>
        <v/>
      </c>
      <c r="N1207" s="31" t="str">
        <f t="shared" si="130"/>
        <v/>
      </c>
      <c r="O1207" s="31" t="str">
        <f>IF(OR(B1207="",C1207=""),"",K1207-N1207 + IFERROR(E1207 / SUMIFS('📅 Resumen Diario'!$D$5:$D$504, '📅 Resumen Diario'!$B$5:$B$504, B1207, '📅 Resumen Diario'!$C$5:$C$504, D1207) * (SUMIFS('📋 Detalle Diario'!$E$5:$E$489, '📋 Detalle Diario'!$B$5:$B$489, B1207, '📋 Detalle Diario'!$C$5:$C$489, D1207) * 135 + SUMIFS('📋 Detalle Diario'!$I$5:$I$489, '📋 Detalle Diario'!$B$5:$B$489, B1207, '📋 Detalle Diario'!$C$5:$C$489, D1207) * 200), 0))</f>
        <v/>
      </c>
      <c r="P1207" s="32" t="str">
        <f t="shared" si="131"/>
        <v/>
      </c>
      <c r="Q1207" s="33" t="str">
        <f t="shared" si="132"/>
        <v/>
      </c>
    </row>
    <row r="1208" spans="2:17" ht="18" customHeight="1" x14ac:dyDescent="0.3">
      <c r="B1208" s="26"/>
      <c r="C1208" s="17"/>
      <c r="D1208" s="27"/>
      <c r="E1208" s="18"/>
      <c r="F1208" s="18"/>
      <c r="G1208" s="18"/>
      <c r="H1208" s="30" t="str">
        <f t="shared" si="126"/>
        <v/>
      </c>
      <c r="I1208" s="31" t="str">
        <f>IF(OR(B1208="",C1208=""),"",IFERROR(E1208*IF(E1208="",0,VLOOKUP(C1208,'📦 Precios Proforma'!$B$5:$D$104,IF(D1208="DIA",2,3),FALSE)),0))</f>
        <v/>
      </c>
      <c r="J1208" s="31" t="str">
        <f t="shared" si="127"/>
        <v/>
      </c>
      <c r="K1208" s="31" t="str">
        <f t="shared" si="128"/>
        <v/>
      </c>
      <c r="L1208" s="31" t="str">
        <f>IF(OR(B1208="",C1208=""),"",IFERROR(E1208 / SUMIFS('📅 Resumen Diario'!$D$5:$D$504, '📅 Resumen Diario'!$B$5:$B$504, B1208, '📅 Resumen Diario'!$C$5:$C$504, D1208) * SUMIFS('📅 Resumen Diario'!$K$5:$K$504, '📅 Resumen Diario'!$B$5:$B$504, B1208, '📅 Resumen Diario'!$C$5:$C$504, D1208), 0))</f>
        <v/>
      </c>
      <c r="M1208" s="31" t="str">
        <f t="shared" si="129"/>
        <v/>
      </c>
      <c r="N1208" s="31" t="str">
        <f t="shared" si="130"/>
        <v/>
      </c>
      <c r="O1208" s="31" t="str">
        <f>IF(OR(B1208="",C1208=""),"",K1208-N1208 + IFERROR(E1208 / SUMIFS('📅 Resumen Diario'!$D$5:$D$504, '📅 Resumen Diario'!$B$5:$B$504, B1208, '📅 Resumen Diario'!$C$5:$C$504, D1208) * (SUMIFS('📋 Detalle Diario'!$E$5:$E$489, '📋 Detalle Diario'!$B$5:$B$489, B1208, '📋 Detalle Diario'!$C$5:$C$489, D1208) * 135 + SUMIFS('📋 Detalle Diario'!$I$5:$I$489, '📋 Detalle Diario'!$B$5:$B$489, B1208, '📋 Detalle Diario'!$C$5:$C$489, D1208) * 200), 0))</f>
        <v/>
      </c>
      <c r="P1208" s="32" t="str">
        <f t="shared" si="131"/>
        <v/>
      </c>
      <c r="Q1208" s="33" t="str">
        <f t="shared" si="132"/>
        <v/>
      </c>
    </row>
    <row r="1209" spans="2:17" ht="18" customHeight="1" x14ac:dyDescent="0.3">
      <c r="B1209" s="26"/>
      <c r="C1209" s="28"/>
      <c r="D1209" s="27"/>
      <c r="E1209" s="29"/>
      <c r="F1209" s="29"/>
      <c r="G1209" s="29"/>
      <c r="H1209" s="30" t="str">
        <f t="shared" si="126"/>
        <v/>
      </c>
      <c r="I1209" s="31" t="str">
        <f>IF(OR(B1209="",C1209=""),"",IFERROR(E1209*IF(E1209="",0,VLOOKUP(C1209,'📦 Precios Proforma'!$B$5:$D$104,IF(D1209="DIA",2,3),FALSE)),0))</f>
        <v/>
      </c>
      <c r="J1209" s="31" t="str">
        <f t="shared" si="127"/>
        <v/>
      </c>
      <c r="K1209" s="31" t="str">
        <f t="shared" si="128"/>
        <v/>
      </c>
      <c r="L1209" s="31" t="str">
        <f>IF(OR(B1209="",C1209=""),"",IFERROR(E1209 / SUMIFS('📅 Resumen Diario'!$D$5:$D$504, '📅 Resumen Diario'!$B$5:$B$504, B1209, '📅 Resumen Diario'!$C$5:$C$504, D1209) * SUMIFS('📅 Resumen Diario'!$K$5:$K$504, '📅 Resumen Diario'!$B$5:$B$504, B1209, '📅 Resumen Diario'!$C$5:$C$504, D1209), 0))</f>
        <v/>
      </c>
      <c r="M1209" s="31" t="str">
        <f t="shared" si="129"/>
        <v/>
      </c>
      <c r="N1209" s="31" t="str">
        <f t="shared" si="130"/>
        <v/>
      </c>
      <c r="O1209" s="31" t="str">
        <f>IF(OR(B1209="",C1209=""),"",K1209-N1209 + IFERROR(E1209 / SUMIFS('📅 Resumen Diario'!$D$5:$D$504, '📅 Resumen Diario'!$B$5:$B$504, B1209, '📅 Resumen Diario'!$C$5:$C$504, D1209) * (SUMIFS('📋 Detalle Diario'!$E$5:$E$489, '📋 Detalle Diario'!$B$5:$B$489, B1209, '📋 Detalle Diario'!$C$5:$C$489, D1209) * 135 + SUMIFS('📋 Detalle Diario'!$I$5:$I$489, '📋 Detalle Diario'!$B$5:$B$489, B1209, '📋 Detalle Diario'!$C$5:$C$489, D1209) * 200), 0))</f>
        <v/>
      </c>
      <c r="P1209" s="32" t="str">
        <f t="shared" si="131"/>
        <v/>
      </c>
      <c r="Q1209" s="33" t="str">
        <f t="shared" si="132"/>
        <v/>
      </c>
    </row>
    <row r="1210" spans="2:17" ht="18" customHeight="1" x14ac:dyDescent="0.3">
      <c r="B1210" s="26"/>
      <c r="C1210" s="17"/>
      <c r="D1210" s="27"/>
      <c r="E1210" s="18"/>
      <c r="F1210" s="18"/>
      <c r="G1210" s="18"/>
      <c r="H1210" s="30" t="str">
        <f t="shared" si="126"/>
        <v/>
      </c>
      <c r="I1210" s="31" t="str">
        <f>IF(OR(B1210="",C1210=""),"",IFERROR(E1210*IF(E1210="",0,VLOOKUP(C1210,'📦 Precios Proforma'!$B$5:$D$104,IF(D1210="DIA",2,3),FALSE)),0))</f>
        <v/>
      </c>
      <c r="J1210" s="31" t="str">
        <f t="shared" si="127"/>
        <v/>
      </c>
      <c r="K1210" s="31" t="str">
        <f t="shared" si="128"/>
        <v/>
      </c>
      <c r="L1210" s="31" t="str">
        <f>IF(OR(B1210="",C1210=""),"",IFERROR(E1210 / SUMIFS('📅 Resumen Diario'!$D$5:$D$504, '📅 Resumen Diario'!$B$5:$B$504, B1210, '📅 Resumen Diario'!$C$5:$C$504, D1210) * SUMIFS('📅 Resumen Diario'!$K$5:$K$504, '📅 Resumen Diario'!$B$5:$B$504, B1210, '📅 Resumen Diario'!$C$5:$C$504, D1210), 0))</f>
        <v/>
      </c>
      <c r="M1210" s="31" t="str">
        <f t="shared" si="129"/>
        <v/>
      </c>
      <c r="N1210" s="31" t="str">
        <f t="shared" si="130"/>
        <v/>
      </c>
      <c r="O1210" s="31" t="str">
        <f>IF(OR(B1210="",C1210=""),"",K1210-N1210 + IFERROR(E1210 / SUMIFS('📅 Resumen Diario'!$D$5:$D$504, '📅 Resumen Diario'!$B$5:$B$504, B1210, '📅 Resumen Diario'!$C$5:$C$504, D1210) * (SUMIFS('📋 Detalle Diario'!$E$5:$E$489, '📋 Detalle Diario'!$B$5:$B$489, B1210, '📋 Detalle Diario'!$C$5:$C$489, D1210) * 135 + SUMIFS('📋 Detalle Diario'!$I$5:$I$489, '📋 Detalle Diario'!$B$5:$B$489, B1210, '📋 Detalle Diario'!$C$5:$C$489, D1210) * 200), 0))</f>
        <v/>
      </c>
      <c r="P1210" s="32" t="str">
        <f t="shared" si="131"/>
        <v/>
      </c>
      <c r="Q1210" s="33" t="str">
        <f t="shared" si="132"/>
        <v/>
      </c>
    </row>
    <row r="1211" spans="2:17" ht="18" customHeight="1" x14ac:dyDescent="0.3">
      <c r="B1211" s="26"/>
      <c r="C1211" s="28"/>
      <c r="D1211" s="27"/>
      <c r="E1211" s="29"/>
      <c r="F1211" s="29"/>
      <c r="G1211" s="29"/>
      <c r="H1211" s="30" t="str">
        <f t="shared" si="126"/>
        <v/>
      </c>
      <c r="I1211" s="31" t="str">
        <f>IF(OR(B1211="",C1211=""),"",IFERROR(E1211*IF(E1211="",0,VLOOKUP(C1211,'📦 Precios Proforma'!$B$5:$D$104,IF(D1211="DIA",2,3),FALSE)),0))</f>
        <v/>
      </c>
      <c r="J1211" s="31" t="str">
        <f t="shared" si="127"/>
        <v/>
      </c>
      <c r="K1211" s="31" t="str">
        <f t="shared" si="128"/>
        <v/>
      </c>
      <c r="L1211" s="31" t="str">
        <f>IF(OR(B1211="",C1211=""),"",IFERROR(E1211 / SUMIFS('📅 Resumen Diario'!$D$5:$D$504, '📅 Resumen Diario'!$B$5:$B$504, B1211, '📅 Resumen Diario'!$C$5:$C$504, D1211) * SUMIFS('📅 Resumen Diario'!$K$5:$K$504, '📅 Resumen Diario'!$B$5:$B$504, B1211, '📅 Resumen Diario'!$C$5:$C$504, D1211), 0))</f>
        <v/>
      </c>
      <c r="M1211" s="31" t="str">
        <f t="shared" si="129"/>
        <v/>
      </c>
      <c r="N1211" s="31" t="str">
        <f t="shared" si="130"/>
        <v/>
      </c>
      <c r="O1211" s="31" t="str">
        <f>IF(OR(B1211="",C1211=""),"",K1211-N1211 + IFERROR(E1211 / SUMIFS('📅 Resumen Diario'!$D$5:$D$504, '📅 Resumen Diario'!$B$5:$B$504, B1211, '📅 Resumen Diario'!$C$5:$C$504, D1211) * (SUMIFS('📋 Detalle Diario'!$E$5:$E$489, '📋 Detalle Diario'!$B$5:$B$489, B1211, '📋 Detalle Diario'!$C$5:$C$489, D1211) * 135 + SUMIFS('📋 Detalle Diario'!$I$5:$I$489, '📋 Detalle Diario'!$B$5:$B$489, B1211, '📋 Detalle Diario'!$C$5:$C$489, D1211) * 200), 0))</f>
        <v/>
      </c>
      <c r="P1211" s="32" t="str">
        <f t="shared" si="131"/>
        <v/>
      </c>
      <c r="Q1211" s="33" t="str">
        <f t="shared" si="132"/>
        <v/>
      </c>
    </row>
    <row r="1212" spans="2:17" ht="18" customHeight="1" x14ac:dyDescent="0.3">
      <c r="B1212" s="26"/>
      <c r="C1212" s="17"/>
      <c r="D1212" s="27"/>
      <c r="E1212" s="18"/>
      <c r="F1212" s="18"/>
      <c r="G1212" s="18"/>
      <c r="H1212" s="30" t="str">
        <f t="shared" si="126"/>
        <v/>
      </c>
      <c r="I1212" s="31" t="str">
        <f>IF(OR(B1212="",C1212=""),"",IFERROR(E1212*IF(E1212="",0,VLOOKUP(C1212,'📦 Precios Proforma'!$B$5:$D$104,IF(D1212="DIA",2,3),FALSE)),0))</f>
        <v/>
      </c>
      <c r="J1212" s="31" t="str">
        <f t="shared" si="127"/>
        <v/>
      </c>
      <c r="K1212" s="31" t="str">
        <f t="shared" si="128"/>
        <v/>
      </c>
      <c r="L1212" s="31" t="str">
        <f>IF(OR(B1212="",C1212=""),"",IFERROR(E1212 / SUMIFS('📅 Resumen Diario'!$D$5:$D$504, '📅 Resumen Diario'!$B$5:$B$504, B1212, '📅 Resumen Diario'!$C$5:$C$504, D1212) * SUMIFS('📅 Resumen Diario'!$K$5:$K$504, '📅 Resumen Diario'!$B$5:$B$504, B1212, '📅 Resumen Diario'!$C$5:$C$504, D1212), 0))</f>
        <v/>
      </c>
      <c r="M1212" s="31" t="str">
        <f t="shared" si="129"/>
        <v/>
      </c>
      <c r="N1212" s="31" t="str">
        <f t="shared" si="130"/>
        <v/>
      </c>
      <c r="O1212" s="31" t="str">
        <f>IF(OR(B1212="",C1212=""),"",K1212-N1212 + IFERROR(E1212 / SUMIFS('📅 Resumen Diario'!$D$5:$D$504, '📅 Resumen Diario'!$B$5:$B$504, B1212, '📅 Resumen Diario'!$C$5:$C$504, D1212) * (SUMIFS('📋 Detalle Diario'!$E$5:$E$489, '📋 Detalle Diario'!$B$5:$B$489, B1212, '📋 Detalle Diario'!$C$5:$C$489, D1212) * 135 + SUMIFS('📋 Detalle Diario'!$I$5:$I$489, '📋 Detalle Diario'!$B$5:$B$489, B1212, '📋 Detalle Diario'!$C$5:$C$489, D1212) * 200), 0))</f>
        <v/>
      </c>
      <c r="P1212" s="32" t="str">
        <f t="shared" si="131"/>
        <v/>
      </c>
      <c r="Q1212" s="33" t="str">
        <f t="shared" si="132"/>
        <v/>
      </c>
    </row>
    <row r="1213" spans="2:17" ht="18" customHeight="1" x14ac:dyDescent="0.3">
      <c r="B1213" s="26"/>
      <c r="C1213" s="28"/>
      <c r="D1213" s="27"/>
      <c r="E1213" s="29"/>
      <c r="F1213" s="29"/>
      <c r="G1213" s="29"/>
      <c r="H1213" s="30" t="str">
        <f t="shared" si="126"/>
        <v/>
      </c>
      <c r="I1213" s="31" t="str">
        <f>IF(OR(B1213="",C1213=""),"",IFERROR(E1213*IF(E1213="",0,VLOOKUP(C1213,'📦 Precios Proforma'!$B$5:$D$104,IF(D1213="DIA",2,3),FALSE)),0))</f>
        <v/>
      </c>
      <c r="J1213" s="31" t="str">
        <f t="shared" si="127"/>
        <v/>
      </c>
      <c r="K1213" s="31" t="str">
        <f t="shared" si="128"/>
        <v/>
      </c>
      <c r="L1213" s="31" t="str">
        <f>IF(OR(B1213="",C1213=""),"",IFERROR(E1213 / SUMIFS('📅 Resumen Diario'!$D$5:$D$504, '📅 Resumen Diario'!$B$5:$B$504, B1213, '📅 Resumen Diario'!$C$5:$C$504, D1213) * SUMIFS('📅 Resumen Diario'!$K$5:$K$504, '📅 Resumen Diario'!$B$5:$B$504, B1213, '📅 Resumen Diario'!$C$5:$C$504, D1213), 0))</f>
        <v/>
      </c>
      <c r="M1213" s="31" t="str">
        <f t="shared" si="129"/>
        <v/>
      </c>
      <c r="N1213" s="31" t="str">
        <f t="shared" si="130"/>
        <v/>
      </c>
      <c r="O1213" s="31" t="str">
        <f>IF(OR(B1213="",C1213=""),"",K1213-N1213 + IFERROR(E1213 / SUMIFS('📅 Resumen Diario'!$D$5:$D$504, '📅 Resumen Diario'!$B$5:$B$504, B1213, '📅 Resumen Diario'!$C$5:$C$504, D1213) * (SUMIFS('📋 Detalle Diario'!$E$5:$E$489, '📋 Detalle Diario'!$B$5:$B$489, B1213, '📋 Detalle Diario'!$C$5:$C$489, D1213) * 135 + SUMIFS('📋 Detalle Diario'!$I$5:$I$489, '📋 Detalle Diario'!$B$5:$B$489, B1213, '📋 Detalle Diario'!$C$5:$C$489, D1213) * 200), 0))</f>
        <v/>
      </c>
      <c r="P1213" s="32" t="str">
        <f t="shared" si="131"/>
        <v/>
      </c>
      <c r="Q1213" s="33" t="str">
        <f t="shared" si="132"/>
        <v/>
      </c>
    </row>
    <row r="1214" spans="2:17" ht="18" customHeight="1" x14ac:dyDescent="0.3">
      <c r="B1214" s="26"/>
      <c r="C1214" s="17"/>
      <c r="D1214" s="27"/>
      <c r="E1214" s="18"/>
      <c r="F1214" s="18"/>
      <c r="G1214" s="18"/>
      <c r="H1214" s="30" t="str">
        <f t="shared" si="126"/>
        <v/>
      </c>
      <c r="I1214" s="31" t="str">
        <f>IF(OR(B1214="",C1214=""),"",IFERROR(E1214*IF(E1214="",0,VLOOKUP(C1214,'📦 Precios Proforma'!$B$5:$D$104,IF(D1214="DIA",2,3),FALSE)),0))</f>
        <v/>
      </c>
      <c r="J1214" s="31" t="str">
        <f t="shared" si="127"/>
        <v/>
      </c>
      <c r="K1214" s="31" t="str">
        <f t="shared" si="128"/>
        <v/>
      </c>
      <c r="L1214" s="31" t="str">
        <f>IF(OR(B1214="",C1214=""),"",IFERROR(E1214 / SUMIFS('📅 Resumen Diario'!$D$5:$D$504, '📅 Resumen Diario'!$B$5:$B$504, B1214, '📅 Resumen Diario'!$C$5:$C$504, D1214) * SUMIFS('📅 Resumen Diario'!$K$5:$K$504, '📅 Resumen Diario'!$B$5:$B$504, B1214, '📅 Resumen Diario'!$C$5:$C$504, D1214), 0))</f>
        <v/>
      </c>
      <c r="M1214" s="31" t="str">
        <f t="shared" si="129"/>
        <v/>
      </c>
      <c r="N1214" s="31" t="str">
        <f t="shared" si="130"/>
        <v/>
      </c>
      <c r="O1214" s="31" t="str">
        <f>IF(OR(B1214="",C1214=""),"",K1214-N1214 + IFERROR(E1214 / SUMIFS('📅 Resumen Diario'!$D$5:$D$504, '📅 Resumen Diario'!$B$5:$B$504, B1214, '📅 Resumen Diario'!$C$5:$C$504, D1214) * (SUMIFS('📋 Detalle Diario'!$E$5:$E$489, '📋 Detalle Diario'!$B$5:$B$489, B1214, '📋 Detalle Diario'!$C$5:$C$489, D1214) * 135 + SUMIFS('📋 Detalle Diario'!$I$5:$I$489, '📋 Detalle Diario'!$B$5:$B$489, B1214, '📋 Detalle Diario'!$C$5:$C$489, D1214) * 200), 0))</f>
        <v/>
      </c>
      <c r="P1214" s="32" t="str">
        <f t="shared" si="131"/>
        <v/>
      </c>
      <c r="Q1214" s="33" t="str">
        <f t="shared" si="132"/>
        <v/>
      </c>
    </row>
    <row r="1215" spans="2:17" ht="18" customHeight="1" x14ac:dyDescent="0.3">
      <c r="B1215" s="26"/>
      <c r="C1215" s="28"/>
      <c r="D1215" s="27"/>
      <c r="E1215" s="29"/>
      <c r="F1215" s="29"/>
      <c r="G1215" s="29"/>
      <c r="H1215" s="30" t="str">
        <f t="shared" si="126"/>
        <v/>
      </c>
      <c r="I1215" s="31" t="str">
        <f>IF(OR(B1215="",C1215=""),"",IFERROR(E1215*IF(E1215="",0,VLOOKUP(C1215,'📦 Precios Proforma'!$B$5:$D$104,IF(D1215="DIA",2,3),FALSE)),0))</f>
        <v/>
      </c>
      <c r="J1215" s="31" t="str">
        <f t="shared" si="127"/>
        <v/>
      </c>
      <c r="K1215" s="31" t="str">
        <f t="shared" si="128"/>
        <v/>
      </c>
      <c r="L1215" s="31" t="str">
        <f>IF(OR(B1215="",C1215=""),"",IFERROR(E1215 / SUMIFS('📅 Resumen Diario'!$D$5:$D$504, '📅 Resumen Diario'!$B$5:$B$504, B1215, '📅 Resumen Diario'!$C$5:$C$504, D1215) * SUMIFS('📅 Resumen Diario'!$K$5:$K$504, '📅 Resumen Diario'!$B$5:$B$504, B1215, '📅 Resumen Diario'!$C$5:$C$504, D1215), 0))</f>
        <v/>
      </c>
      <c r="M1215" s="31" t="str">
        <f t="shared" si="129"/>
        <v/>
      </c>
      <c r="N1215" s="31" t="str">
        <f t="shared" si="130"/>
        <v/>
      </c>
      <c r="O1215" s="31" t="str">
        <f>IF(OR(B1215="",C1215=""),"",K1215-N1215 + IFERROR(E1215 / SUMIFS('📅 Resumen Diario'!$D$5:$D$504, '📅 Resumen Diario'!$B$5:$B$504, B1215, '📅 Resumen Diario'!$C$5:$C$504, D1215) * (SUMIFS('📋 Detalle Diario'!$E$5:$E$489, '📋 Detalle Diario'!$B$5:$B$489, B1215, '📋 Detalle Diario'!$C$5:$C$489, D1215) * 135 + SUMIFS('📋 Detalle Diario'!$I$5:$I$489, '📋 Detalle Diario'!$B$5:$B$489, B1215, '📋 Detalle Diario'!$C$5:$C$489, D1215) * 200), 0))</f>
        <v/>
      </c>
      <c r="P1215" s="32" t="str">
        <f t="shared" si="131"/>
        <v/>
      </c>
      <c r="Q1215" s="33" t="str">
        <f t="shared" si="132"/>
        <v/>
      </c>
    </row>
    <row r="1216" spans="2:17" ht="18" customHeight="1" x14ac:dyDescent="0.3">
      <c r="B1216" s="26"/>
      <c r="C1216" s="17"/>
      <c r="D1216" s="27"/>
      <c r="E1216" s="18"/>
      <c r="F1216" s="18"/>
      <c r="G1216" s="18"/>
      <c r="H1216" s="30" t="str">
        <f t="shared" si="126"/>
        <v/>
      </c>
      <c r="I1216" s="31" t="str">
        <f>IF(OR(B1216="",C1216=""),"",IFERROR(E1216*IF(E1216="",0,VLOOKUP(C1216,'📦 Precios Proforma'!$B$5:$D$104,IF(D1216="DIA",2,3),FALSE)),0))</f>
        <v/>
      </c>
      <c r="J1216" s="31" t="str">
        <f t="shared" si="127"/>
        <v/>
      </c>
      <c r="K1216" s="31" t="str">
        <f t="shared" si="128"/>
        <v/>
      </c>
      <c r="L1216" s="31" t="str">
        <f>IF(OR(B1216="",C1216=""),"",IFERROR(E1216 / SUMIFS('📅 Resumen Diario'!$D$5:$D$504, '📅 Resumen Diario'!$B$5:$B$504, B1216, '📅 Resumen Diario'!$C$5:$C$504, D1216) * SUMIFS('📅 Resumen Diario'!$K$5:$K$504, '📅 Resumen Diario'!$B$5:$B$504, B1216, '📅 Resumen Diario'!$C$5:$C$504, D1216), 0))</f>
        <v/>
      </c>
      <c r="M1216" s="31" t="str">
        <f t="shared" si="129"/>
        <v/>
      </c>
      <c r="N1216" s="31" t="str">
        <f t="shared" si="130"/>
        <v/>
      </c>
      <c r="O1216" s="31" t="str">
        <f>IF(OR(B1216="",C1216=""),"",K1216-N1216 + IFERROR(E1216 / SUMIFS('📅 Resumen Diario'!$D$5:$D$504, '📅 Resumen Diario'!$B$5:$B$504, B1216, '📅 Resumen Diario'!$C$5:$C$504, D1216) * (SUMIFS('📋 Detalle Diario'!$E$5:$E$489, '📋 Detalle Diario'!$B$5:$B$489, B1216, '📋 Detalle Diario'!$C$5:$C$489, D1216) * 135 + SUMIFS('📋 Detalle Diario'!$I$5:$I$489, '📋 Detalle Diario'!$B$5:$B$489, B1216, '📋 Detalle Diario'!$C$5:$C$489, D1216) * 200), 0))</f>
        <v/>
      </c>
      <c r="P1216" s="32" t="str">
        <f t="shared" si="131"/>
        <v/>
      </c>
      <c r="Q1216" s="33" t="str">
        <f t="shared" si="132"/>
        <v/>
      </c>
    </row>
    <row r="1217" spans="2:17" ht="18" customHeight="1" x14ac:dyDescent="0.3">
      <c r="B1217" s="26"/>
      <c r="C1217" s="28"/>
      <c r="D1217" s="27"/>
      <c r="E1217" s="29"/>
      <c r="F1217" s="29"/>
      <c r="G1217" s="29"/>
      <c r="H1217" s="30" t="str">
        <f t="shared" si="126"/>
        <v/>
      </c>
      <c r="I1217" s="31" t="str">
        <f>IF(OR(B1217="",C1217=""),"",IFERROR(E1217*IF(E1217="",0,VLOOKUP(C1217,'📦 Precios Proforma'!$B$5:$D$104,IF(D1217="DIA",2,3),FALSE)),0))</f>
        <v/>
      </c>
      <c r="J1217" s="31" t="str">
        <f t="shared" si="127"/>
        <v/>
      </c>
      <c r="K1217" s="31" t="str">
        <f t="shared" si="128"/>
        <v/>
      </c>
      <c r="L1217" s="31" t="str">
        <f>IF(OR(B1217="",C1217=""),"",IFERROR(E1217 / SUMIFS('📅 Resumen Diario'!$D$5:$D$504, '📅 Resumen Diario'!$B$5:$B$504, B1217, '📅 Resumen Diario'!$C$5:$C$504, D1217) * SUMIFS('📅 Resumen Diario'!$K$5:$K$504, '📅 Resumen Diario'!$B$5:$B$504, B1217, '📅 Resumen Diario'!$C$5:$C$504, D1217), 0))</f>
        <v/>
      </c>
      <c r="M1217" s="31" t="str">
        <f t="shared" si="129"/>
        <v/>
      </c>
      <c r="N1217" s="31" t="str">
        <f t="shared" si="130"/>
        <v/>
      </c>
      <c r="O1217" s="31" t="str">
        <f>IF(OR(B1217="",C1217=""),"",K1217-N1217 + IFERROR(E1217 / SUMIFS('📅 Resumen Diario'!$D$5:$D$504, '📅 Resumen Diario'!$B$5:$B$504, B1217, '📅 Resumen Diario'!$C$5:$C$504, D1217) * (SUMIFS('📋 Detalle Diario'!$E$5:$E$489, '📋 Detalle Diario'!$B$5:$B$489, B1217, '📋 Detalle Diario'!$C$5:$C$489, D1217) * 135 + SUMIFS('📋 Detalle Diario'!$I$5:$I$489, '📋 Detalle Diario'!$B$5:$B$489, B1217, '📋 Detalle Diario'!$C$5:$C$489, D1217) * 200), 0))</f>
        <v/>
      </c>
      <c r="P1217" s="32" t="str">
        <f t="shared" si="131"/>
        <v/>
      </c>
      <c r="Q1217" s="33" t="str">
        <f t="shared" si="132"/>
        <v/>
      </c>
    </row>
    <row r="1218" spans="2:17" ht="18" customHeight="1" x14ac:dyDescent="0.3">
      <c r="B1218" s="26"/>
      <c r="C1218" s="17"/>
      <c r="D1218" s="27"/>
      <c r="E1218" s="18"/>
      <c r="F1218" s="18"/>
      <c r="G1218" s="18"/>
      <c r="H1218" s="30" t="str">
        <f t="shared" si="126"/>
        <v/>
      </c>
      <c r="I1218" s="31" t="str">
        <f>IF(OR(B1218="",C1218=""),"",IFERROR(E1218*IF(E1218="",0,VLOOKUP(C1218,'📦 Precios Proforma'!$B$5:$D$104,IF(D1218="DIA",2,3),FALSE)),0))</f>
        <v/>
      </c>
      <c r="J1218" s="31" t="str">
        <f t="shared" si="127"/>
        <v/>
      </c>
      <c r="K1218" s="31" t="str">
        <f t="shared" si="128"/>
        <v/>
      </c>
      <c r="L1218" s="31" t="str">
        <f>IF(OR(B1218="",C1218=""),"",IFERROR(E1218 / SUMIFS('📅 Resumen Diario'!$D$5:$D$504, '📅 Resumen Diario'!$B$5:$B$504, B1218, '📅 Resumen Diario'!$C$5:$C$504, D1218) * SUMIFS('📅 Resumen Diario'!$K$5:$K$504, '📅 Resumen Diario'!$B$5:$B$504, B1218, '📅 Resumen Diario'!$C$5:$C$504, D1218), 0))</f>
        <v/>
      </c>
      <c r="M1218" s="31" t="str">
        <f t="shared" si="129"/>
        <v/>
      </c>
      <c r="N1218" s="31" t="str">
        <f t="shared" si="130"/>
        <v/>
      </c>
      <c r="O1218" s="31" t="str">
        <f>IF(OR(B1218="",C1218=""),"",K1218-N1218 + IFERROR(E1218 / SUMIFS('📅 Resumen Diario'!$D$5:$D$504, '📅 Resumen Diario'!$B$5:$B$504, B1218, '📅 Resumen Diario'!$C$5:$C$504, D1218) * (SUMIFS('📋 Detalle Diario'!$E$5:$E$489, '📋 Detalle Diario'!$B$5:$B$489, B1218, '📋 Detalle Diario'!$C$5:$C$489, D1218) * 135 + SUMIFS('📋 Detalle Diario'!$I$5:$I$489, '📋 Detalle Diario'!$B$5:$B$489, B1218, '📋 Detalle Diario'!$C$5:$C$489, D1218) * 200), 0))</f>
        <v/>
      </c>
      <c r="P1218" s="32" t="str">
        <f t="shared" si="131"/>
        <v/>
      </c>
      <c r="Q1218" s="33" t="str">
        <f t="shared" si="132"/>
        <v/>
      </c>
    </row>
    <row r="1219" spans="2:17" ht="18" customHeight="1" x14ac:dyDescent="0.3">
      <c r="B1219" s="26"/>
      <c r="C1219" s="28"/>
      <c r="D1219" s="27"/>
      <c r="E1219" s="29"/>
      <c r="F1219" s="29"/>
      <c r="G1219" s="29"/>
      <c r="H1219" s="30" t="str">
        <f t="shared" si="126"/>
        <v/>
      </c>
      <c r="I1219" s="31" t="str">
        <f>IF(OR(B1219="",C1219=""),"",IFERROR(E1219*IF(E1219="",0,VLOOKUP(C1219,'📦 Precios Proforma'!$B$5:$D$104,IF(D1219="DIA",2,3),FALSE)),0))</f>
        <v/>
      </c>
      <c r="J1219" s="31" t="str">
        <f t="shared" si="127"/>
        <v/>
      </c>
      <c r="K1219" s="31" t="str">
        <f t="shared" si="128"/>
        <v/>
      </c>
      <c r="L1219" s="31" t="str">
        <f>IF(OR(B1219="",C1219=""),"",IFERROR(E1219 / SUMIFS('📅 Resumen Diario'!$D$5:$D$504, '📅 Resumen Diario'!$B$5:$B$504, B1219, '📅 Resumen Diario'!$C$5:$C$504, D1219) * SUMIFS('📅 Resumen Diario'!$K$5:$K$504, '📅 Resumen Diario'!$B$5:$B$504, B1219, '📅 Resumen Diario'!$C$5:$C$504, D1219), 0))</f>
        <v/>
      </c>
      <c r="M1219" s="31" t="str">
        <f t="shared" si="129"/>
        <v/>
      </c>
      <c r="N1219" s="31" t="str">
        <f t="shared" si="130"/>
        <v/>
      </c>
      <c r="O1219" s="31" t="str">
        <f>IF(OR(B1219="",C1219=""),"",K1219-N1219 + IFERROR(E1219 / SUMIFS('📅 Resumen Diario'!$D$5:$D$504, '📅 Resumen Diario'!$B$5:$B$504, B1219, '📅 Resumen Diario'!$C$5:$C$504, D1219) * (SUMIFS('📋 Detalle Diario'!$E$5:$E$489, '📋 Detalle Diario'!$B$5:$B$489, B1219, '📋 Detalle Diario'!$C$5:$C$489, D1219) * 135 + SUMIFS('📋 Detalle Diario'!$I$5:$I$489, '📋 Detalle Diario'!$B$5:$B$489, B1219, '📋 Detalle Diario'!$C$5:$C$489, D1219) * 200), 0))</f>
        <v/>
      </c>
      <c r="P1219" s="32" t="str">
        <f t="shared" si="131"/>
        <v/>
      </c>
      <c r="Q1219" s="33" t="str">
        <f t="shared" si="132"/>
        <v/>
      </c>
    </row>
    <row r="1220" spans="2:17" ht="18" customHeight="1" x14ac:dyDescent="0.3">
      <c r="B1220" s="26"/>
      <c r="C1220" s="17"/>
      <c r="D1220" s="27"/>
      <c r="E1220" s="18"/>
      <c r="F1220" s="18"/>
      <c r="G1220" s="18"/>
      <c r="H1220" s="30" t="str">
        <f t="shared" si="126"/>
        <v/>
      </c>
      <c r="I1220" s="31" t="str">
        <f>IF(OR(B1220="",C1220=""),"",IFERROR(E1220*IF(E1220="",0,VLOOKUP(C1220,'📦 Precios Proforma'!$B$5:$D$104,IF(D1220="DIA",2,3),FALSE)),0))</f>
        <v/>
      </c>
      <c r="J1220" s="31" t="str">
        <f t="shared" si="127"/>
        <v/>
      </c>
      <c r="K1220" s="31" t="str">
        <f t="shared" si="128"/>
        <v/>
      </c>
      <c r="L1220" s="31" t="str">
        <f>IF(OR(B1220="",C1220=""),"",IFERROR(E1220 / SUMIFS('📅 Resumen Diario'!$D$5:$D$504, '📅 Resumen Diario'!$B$5:$B$504, B1220, '📅 Resumen Diario'!$C$5:$C$504, D1220) * SUMIFS('📅 Resumen Diario'!$K$5:$K$504, '📅 Resumen Diario'!$B$5:$B$504, B1220, '📅 Resumen Diario'!$C$5:$C$504, D1220), 0))</f>
        <v/>
      </c>
      <c r="M1220" s="31" t="str">
        <f t="shared" si="129"/>
        <v/>
      </c>
      <c r="N1220" s="31" t="str">
        <f t="shared" si="130"/>
        <v/>
      </c>
      <c r="O1220" s="31" t="str">
        <f>IF(OR(B1220="",C1220=""),"",K1220-N1220 + IFERROR(E1220 / SUMIFS('📅 Resumen Diario'!$D$5:$D$504, '📅 Resumen Diario'!$B$5:$B$504, B1220, '📅 Resumen Diario'!$C$5:$C$504, D1220) * (SUMIFS('📋 Detalle Diario'!$E$5:$E$489, '📋 Detalle Diario'!$B$5:$B$489, B1220, '📋 Detalle Diario'!$C$5:$C$489, D1220) * 135 + SUMIFS('📋 Detalle Diario'!$I$5:$I$489, '📋 Detalle Diario'!$B$5:$B$489, B1220, '📋 Detalle Diario'!$C$5:$C$489, D1220) * 200), 0))</f>
        <v/>
      </c>
      <c r="P1220" s="32" t="str">
        <f t="shared" si="131"/>
        <v/>
      </c>
      <c r="Q1220" s="33" t="str">
        <f t="shared" si="132"/>
        <v/>
      </c>
    </row>
    <row r="1221" spans="2:17" ht="18" customHeight="1" x14ac:dyDescent="0.3">
      <c r="B1221" s="26"/>
      <c r="C1221" s="28"/>
      <c r="D1221" s="27"/>
      <c r="E1221" s="29"/>
      <c r="F1221" s="29"/>
      <c r="G1221" s="29"/>
      <c r="H1221" s="30" t="str">
        <f t="shared" si="126"/>
        <v/>
      </c>
      <c r="I1221" s="31" t="str">
        <f>IF(OR(B1221="",C1221=""),"",IFERROR(E1221*IF(E1221="",0,VLOOKUP(C1221,'📦 Precios Proforma'!$B$5:$D$104,IF(D1221="DIA",2,3),FALSE)),0))</f>
        <v/>
      </c>
      <c r="J1221" s="31" t="str">
        <f t="shared" si="127"/>
        <v/>
      </c>
      <c r="K1221" s="31" t="str">
        <f t="shared" si="128"/>
        <v/>
      </c>
      <c r="L1221" s="31" t="str">
        <f>IF(OR(B1221="",C1221=""),"",IFERROR(E1221 / SUMIFS('📅 Resumen Diario'!$D$5:$D$504, '📅 Resumen Diario'!$B$5:$B$504, B1221, '📅 Resumen Diario'!$C$5:$C$504, D1221) * SUMIFS('📅 Resumen Diario'!$K$5:$K$504, '📅 Resumen Diario'!$B$5:$B$504, B1221, '📅 Resumen Diario'!$C$5:$C$504, D1221), 0))</f>
        <v/>
      </c>
      <c r="M1221" s="31" t="str">
        <f t="shared" si="129"/>
        <v/>
      </c>
      <c r="N1221" s="31" t="str">
        <f t="shared" si="130"/>
        <v/>
      </c>
      <c r="O1221" s="31" t="str">
        <f>IF(OR(B1221="",C1221=""),"",K1221-N1221 + IFERROR(E1221 / SUMIFS('📅 Resumen Diario'!$D$5:$D$504, '📅 Resumen Diario'!$B$5:$B$504, B1221, '📅 Resumen Diario'!$C$5:$C$504, D1221) * (SUMIFS('📋 Detalle Diario'!$E$5:$E$489, '📋 Detalle Diario'!$B$5:$B$489, B1221, '📋 Detalle Diario'!$C$5:$C$489, D1221) * 135 + SUMIFS('📋 Detalle Diario'!$I$5:$I$489, '📋 Detalle Diario'!$B$5:$B$489, B1221, '📋 Detalle Diario'!$C$5:$C$489, D1221) * 200), 0))</f>
        <v/>
      </c>
      <c r="P1221" s="32" t="str">
        <f t="shared" si="131"/>
        <v/>
      </c>
      <c r="Q1221" s="33" t="str">
        <f t="shared" si="132"/>
        <v/>
      </c>
    </row>
    <row r="1222" spans="2:17" ht="18" customHeight="1" x14ac:dyDescent="0.3">
      <c r="B1222" s="26"/>
      <c r="C1222" s="17"/>
      <c r="D1222" s="27"/>
      <c r="E1222" s="18"/>
      <c r="F1222" s="18"/>
      <c r="G1222" s="18"/>
      <c r="H1222" s="30" t="str">
        <f t="shared" si="126"/>
        <v/>
      </c>
      <c r="I1222" s="31" t="str">
        <f>IF(OR(B1222="",C1222=""),"",IFERROR(E1222*IF(E1222="",0,VLOOKUP(C1222,'📦 Precios Proforma'!$B$5:$D$104,IF(D1222="DIA",2,3),FALSE)),0))</f>
        <v/>
      </c>
      <c r="J1222" s="31" t="str">
        <f t="shared" si="127"/>
        <v/>
      </c>
      <c r="K1222" s="31" t="str">
        <f t="shared" si="128"/>
        <v/>
      </c>
      <c r="L1222" s="31" t="str">
        <f>IF(OR(B1222="",C1222=""),"",IFERROR(E1222 / SUMIFS('📅 Resumen Diario'!$D$5:$D$504, '📅 Resumen Diario'!$B$5:$B$504, B1222, '📅 Resumen Diario'!$C$5:$C$504, D1222) * SUMIFS('📅 Resumen Diario'!$K$5:$K$504, '📅 Resumen Diario'!$B$5:$B$504, B1222, '📅 Resumen Diario'!$C$5:$C$504, D1222), 0))</f>
        <v/>
      </c>
      <c r="M1222" s="31" t="str">
        <f t="shared" si="129"/>
        <v/>
      </c>
      <c r="N1222" s="31" t="str">
        <f t="shared" si="130"/>
        <v/>
      </c>
      <c r="O1222" s="31" t="str">
        <f>IF(OR(B1222="",C1222=""),"",K1222-N1222 + IFERROR(E1222 / SUMIFS('📅 Resumen Diario'!$D$5:$D$504, '📅 Resumen Diario'!$B$5:$B$504, B1222, '📅 Resumen Diario'!$C$5:$C$504, D1222) * (SUMIFS('📋 Detalle Diario'!$E$5:$E$489, '📋 Detalle Diario'!$B$5:$B$489, B1222, '📋 Detalle Diario'!$C$5:$C$489, D1222) * 135 + SUMIFS('📋 Detalle Diario'!$I$5:$I$489, '📋 Detalle Diario'!$B$5:$B$489, B1222, '📋 Detalle Diario'!$C$5:$C$489, D1222) * 200), 0))</f>
        <v/>
      </c>
      <c r="P1222" s="32" t="str">
        <f t="shared" si="131"/>
        <v/>
      </c>
      <c r="Q1222" s="33" t="str">
        <f t="shared" si="132"/>
        <v/>
      </c>
    </row>
    <row r="1223" spans="2:17" ht="18" customHeight="1" x14ac:dyDescent="0.3">
      <c r="B1223" s="26"/>
      <c r="C1223" s="28"/>
      <c r="D1223" s="27"/>
      <c r="E1223" s="29"/>
      <c r="F1223" s="29"/>
      <c r="G1223" s="29"/>
      <c r="H1223" s="30" t="str">
        <f t="shared" ref="H1223:H1286" si="133">IF(OR(B1223="",C1223=""),"",F1223+G1223)</f>
        <v/>
      </c>
      <c r="I1223" s="31" t="str">
        <f>IF(OR(B1223="",C1223=""),"",IFERROR(E1223*IF(E1223="",0,VLOOKUP(C1223,'📦 Precios Proforma'!$B$5:$D$104,IF(D1223="DIA",2,3),FALSE)),0))</f>
        <v/>
      </c>
      <c r="J1223" s="31" t="str">
        <f t="shared" ref="J1223:J1286" si="134">IF(OR(B1223="",C1223=""),"",IF(D1223="DIA",H1223*1.01,H1223*1.35))</f>
        <v/>
      </c>
      <c r="K1223" s="31" t="str">
        <f t="shared" ref="K1223:K1286" si="135">IF(OR(B1223="",C1223=""),"",I1223+J1223)</f>
        <v/>
      </c>
      <c r="L1223" s="31" t="str">
        <f>IF(OR(B1223="",C1223=""),"",IFERROR(E1223 / SUMIFS('📅 Resumen Diario'!$D$5:$D$504, '📅 Resumen Diario'!$B$5:$B$504, B1223, '📅 Resumen Diario'!$C$5:$C$504, D1223) * SUMIFS('📅 Resumen Diario'!$K$5:$K$504, '📅 Resumen Diario'!$B$5:$B$504, B1223, '📅 Resumen Diario'!$C$5:$C$504, D1223), 0))</f>
        <v/>
      </c>
      <c r="M1223" s="31" t="str">
        <f t="shared" ref="M1223:M1286" si="136">IF(OR(B1223="",C1223=""),"",H1223*0.09)</f>
        <v/>
      </c>
      <c r="N1223" s="31" t="str">
        <f t="shared" ref="N1223:N1286" si="137">IF(OR(B1223="",C1223=""),"",L1223+M1223)</f>
        <v/>
      </c>
      <c r="O1223" s="31" t="str">
        <f>IF(OR(B1223="",C1223=""),"",K1223-N1223 + IFERROR(E1223 / SUMIFS('📅 Resumen Diario'!$D$5:$D$504, '📅 Resumen Diario'!$B$5:$B$504, B1223, '📅 Resumen Diario'!$C$5:$C$504, D1223) * (SUMIFS('📋 Detalle Diario'!$E$5:$E$489, '📋 Detalle Diario'!$B$5:$B$489, B1223, '📋 Detalle Diario'!$C$5:$C$489, D1223) * 135 + SUMIFS('📋 Detalle Diario'!$I$5:$I$489, '📋 Detalle Diario'!$B$5:$B$489, B1223, '📋 Detalle Diario'!$C$5:$C$489, D1223) * 200), 0))</f>
        <v/>
      </c>
      <c r="P1223" s="32" t="str">
        <f t="shared" ref="P1223:P1286" si="138">IF(OR(B1223="",C1223=""),"",IF(K1223=0, 0, O1223/K1223))</f>
        <v/>
      </c>
      <c r="Q1223" s="33" t="str">
        <f t="shared" ref="Q1223:Q1286" si="139">IF(B1223="","",IF(ISNUMBER(B1223),YEAR(B1223)&amp;"-"&amp;IF(MONTH(B1223)&lt;10,"0","")&amp;MONTH(B1223),LEFT(B1223,7)))</f>
        <v/>
      </c>
    </row>
    <row r="1224" spans="2:17" ht="18" customHeight="1" x14ac:dyDescent="0.3">
      <c r="B1224" s="26"/>
      <c r="C1224" s="17"/>
      <c r="D1224" s="27"/>
      <c r="E1224" s="18"/>
      <c r="F1224" s="18"/>
      <c r="G1224" s="18"/>
      <c r="H1224" s="30" t="str">
        <f t="shared" si="133"/>
        <v/>
      </c>
      <c r="I1224" s="31" t="str">
        <f>IF(OR(B1224="",C1224=""),"",IFERROR(E1224*IF(E1224="",0,VLOOKUP(C1224,'📦 Precios Proforma'!$B$5:$D$104,IF(D1224="DIA",2,3),FALSE)),0))</f>
        <v/>
      </c>
      <c r="J1224" s="31" t="str">
        <f t="shared" si="134"/>
        <v/>
      </c>
      <c r="K1224" s="31" t="str">
        <f t="shared" si="135"/>
        <v/>
      </c>
      <c r="L1224" s="31" t="str">
        <f>IF(OR(B1224="",C1224=""),"",IFERROR(E1224 / SUMIFS('📅 Resumen Diario'!$D$5:$D$504, '📅 Resumen Diario'!$B$5:$B$504, B1224, '📅 Resumen Diario'!$C$5:$C$504, D1224) * SUMIFS('📅 Resumen Diario'!$K$5:$K$504, '📅 Resumen Diario'!$B$5:$B$504, B1224, '📅 Resumen Diario'!$C$5:$C$504, D1224), 0))</f>
        <v/>
      </c>
      <c r="M1224" s="31" t="str">
        <f t="shared" si="136"/>
        <v/>
      </c>
      <c r="N1224" s="31" t="str">
        <f t="shared" si="137"/>
        <v/>
      </c>
      <c r="O1224" s="31" t="str">
        <f>IF(OR(B1224="",C1224=""),"",K1224-N1224 + IFERROR(E1224 / SUMIFS('📅 Resumen Diario'!$D$5:$D$504, '📅 Resumen Diario'!$B$5:$B$504, B1224, '📅 Resumen Diario'!$C$5:$C$504, D1224) * (SUMIFS('📋 Detalle Diario'!$E$5:$E$489, '📋 Detalle Diario'!$B$5:$B$489, B1224, '📋 Detalle Diario'!$C$5:$C$489, D1224) * 135 + SUMIFS('📋 Detalle Diario'!$I$5:$I$489, '📋 Detalle Diario'!$B$5:$B$489, B1224, '📋 Detalle Diario'!$C$5:$C$489, D1224) * 200), 0))</f>
        <v/>
      </c>
      <c r="P1224" s="32" t="str">
        <f t="shared" si="138"/>
        <v/>
      </c>
      <c r="Q1224" s="33" t="str">
        <f t="shared" si="139"/>
        <v/>
      </c>
    </row>
    <row r="1225" spans="2:17" ht="18" customHeight="1" x14ac:dyDescent="0.3">
      <c r="B1225" s="26"/>
      <c r="C1225" s="28"/>
      <c r="D1225" s="27"/>
      <c r="E1225" s="29"/>
      <c r="F1225" s="29"/>
      <c r="G1225" s="29"/>
      <c r="H1225" s="30" t="str">
        <f t="shared" si="133"/>
        <v/>
      </c>
      <c r="I1225" s="31" t="str">
        <f>IF(OR(B1225="",C1225=""),"",IFERROR(E1225*IF(E1225="",0,VLOOKUP(C1225,'📦 Precios Proforma'!$B$5:$D$104,IF(D1225="DIA",2,3),FALSE)),0))</f>
        <v/>
      </c>
      <c r="J1225" s="31" t="str">
        <f t="shared" si="134"/>
        <v/>
      </c>
      <c r="K1225" s="31" t="str">
        <f t="shared" si="135"/>
        <v/>
      </c>
      <c r="L1225" s="31" t="str">
        <f>IF(OR(B1225="",C1225=""),"",IFERROR(E1225 / SUMIFS('📅 Resumen Diario'!$D$5:$D$504, '📅 Resumen Diario'!$B$5:$B$504, B1225, '📅 Resumen Diario'!$C$5:$C$504, D1225) * SUMIFS('📅 Resumen Diario'!$K$5:$K$504, '📅 Resumen Diario'!$B$5:$B$504, B1225, '📅 Resumen Diario'!$C$5:$C$504, D1225), 0))</f>
        <v/>
      </c>
      <c r="M1225" s="31" t="str">
        <f t="shared" si="136"/>
        <v/>
      </c>
      <c r="N1225" s="31" t="str">
        <f t="shared" si="137"/>
        <v/>
      </c>
      <c r="O1225" s="31" t="str">
        <f>IF(OR(B1225="",C1225=""),"",K1225-N1225 + IFERROR(E1225 / SUMIFS('📅 Resumen Diario'!$D$5:$D$504, '📅 Resumen Diario'!$B$5:$B$504, B1225, '📅 Resumen Diario'!$C$5:$C$504, D1225) * (SUMIFS('📋 Detalle Diario'!$E$5:$E$489, '📋 Detalle Diario'!$B$5:$B$489, B1225, '📋 Detalle Diario'!$C$5:$C$489, D1225) * 135 + SUMIFS('📋 Detalle Diario'!$I$5:$I$489, '📋 Detalle Diario'!$B$5:$B$489, B1225, '📋 Detalle Diario'!$C$5:$C$489, D1225) * 200), 0))</f>
        <v/>
      </c>
      <c r="P1225" s="32" t="str">
        <f t="shared" si="138"/>
        <v/>
      </c>
      <c r="Q1225" s="33" t="str">
        <f t="shared" si="139"/>
        <v/>
      </c>
    </row>
    <row r="1226" spans="2:17" ht="18" customHeight="1" x14ac:dyDescent="0.3">
      <c r="B1226" s="26"/>
      <c r="C1226" s="17"/>
      <c r="D1226" s="27"/>
      <c r="E1226" s="18"/>
      <c r="F1226" s="18"/>
      <c r="G1226" s="18"/>
      <c r="H1226" s="30" t="str">
        <f t="shared" si="133"/>
        <v/>
      </c>
      <c r="I1226" s="31" t="str">
        <f>IF(OR(B1226="",C1226=""),"",IFERROR(E1226*IF(E1226="",0,VLOOKUP(C1226,'📦 Precios Proforma'!$B$5:$D$104,IF(D1226="DIA",2,3),FALSE)),0))</f>
        <v/>
      </c>
      <c r="J1226" s="31" t="str">
        <f t="shared" si="134"/>
        <v/>
      </c>
      <c r="K1226" s="31" t="str">
        <f t="shared" si="135"/>
        <v/>
      </c>
      <c r="L1226" s="31" t="str">
        <f>IF(OR(B1226="",C1226=""),"",IFERROR(E1226 / SUMIFS('📅 Resumen Diario'!$D$5:$D$504, '📅 Resumen Diario'!$B$5:$B$504, B1226, '📅 Resumen Diario'!$C$5:$C$504, D1226) * SUMIFS('📅 Resumen Diario'!$K$5:$K$504, '📅 Resumen Diario'!$B$5:$B$504, B1226, '📅 Resumen Diario'!$C$5:$C$504, D1226), 0))</f>
        <v/>
      </c>
      <c r="M1226" s="31" t="str">
        <f t="shared" si="136"/>
        <v/>
      </c>
      <c r="N1226" s="31" t="str">
        <f t="shared" si="137"/>
        <v/>
      </c>
      <c r="O1226" s="31" t="str">
        <f>IF(OR(B1226="",C1226=""),"",K1226-N1226 + IFERROR(E1226 / SUMIFS('📅 Resumen Diario'!$D$5:$D$504, '📅 Resumen Diario'!$B$5:$B$504, B1226, '📅 Resumen Diario'!$C$5:$C$504, D1226) * (SUMIFS('📋 Detalle Diario'!$E$5:$E$489, '📋 Detalle Diario'!$B$5:$B$489, B1226, '📋 Detalle Diario'!$C$5:$C$489, D1226) * 135 + SUMIFS('📋 Detalle Diario'!$I$5:$I$489, '📋 Detalle Diario'!$B$5:$B$489, B1226, '📋 Detalle Diario'!$C$5:$C$489, D1226) * 200), 0))</f>
        <v/>
      </c>
      <c r="P1226" s="32" t="str">
        <f t="shared" si="138"/>
        <v/>
      </c>
      <c r="Q1226" s="33" t="str">
        <f t="shared" si="139"/>
        <v/>
      </c>
    </row>
    <row r="1227" spans="2:17" ht="18" customHeight="1" x14ac:dyDescent="0.3">
      <c r="B1227" s="26"/>
      <c r="C1227" s="28"/>
      <c r="D1227" s="27"/>
      <c r="E1227" s="29"/>
      <c r="F1227" s="29"/>
      <c r="G1227" s="29"/>
      <c r="H1227" s="30" t="str">
        <f t="shared" si="133"/>
        <v/>
      </c>
      <c r="I1227" s="31" t="str">
        <f>IF(OR(B1227="",C1227=""),"",IFERROR(E1227*IF(E1227="",0,VLOOKUP(C1227,'📦 Precios Proforma'!$B$5:$D$104,IF(D1227="DIA",2,3),FALSE)),0))</f>
        <v/>
      </c>
      <c r="J1227" s="31" t="str">
        <f t="shared" si="134"/>
        <v/>
      </c>
      <c r="K1227" s="31" t="str">
        <f t="shared" si="135"/>
        <v/>
      </c>
      <c r="L1227" s="31" t="str">
        <f>IF(OR(B1227="",C1227=""),"",IFERROR(E1227 / SUMIFS('📅 Resumen Diario'!$D$5:$D$504, '📅 Resumen Diario'!$B$5:$B$504, B1227, '📅 Resumen Diario'!$C$5:$C$504, D1227) * SUMIFS('📅 Resumen Diario'!$K$5:$K$504, '📅 Resumen Diario'!$B$5:$B$504, B1227, '📅 Resumen Diario'!$C$5:$C$504, D1227), 0))</f>
        <v/>
      </c>
      <c r="M1227" s="31" t="str">
        <f t="shared" si="136"/>
        <v/>
      </c>
      <c r="N1227" s="31" t="str">
        <f t="shared" si="137"/>
        <v/>
      </c>
      <c r="O1227" s="31" t="str">
        <f>IF(OR(B1227="",C1227=""),"",K1227-N1227 + IFERROR(E1227 / SUMIFS('📅 Resumen Diario'!$D$5:$D$504, '📅 Resumen Diario'!$B$5:$B$504, B1227, '📅 Resumen Diario'!$C$5:$C$504, D1227) * (SUMIFS('📋 Detalle Diario'!$E$5:$E$489, '📋 Detalle Diario'!$B$5:$B$489, B1227, '📋 Detalle Diario'!$C$5:$C$489, D1227) * 135 + SUMIFS('📋 Detalle Diario'!$I$5:$I$489, '📋 Detalle Diario'!$B$5:$B$489, B1227, '📋 Detalle Diario'!$C$5:$C$489, D1227) * 200), 0))</f>
        <v/>
      </c>
      <c r="P1227" s="32" t="str">
        <f t="shared" si="138"/>
        <v/>
      </c>
      <c r="Q1227" s="33" t="str">
        <f t="shared" si="139"/>
        <v/>
      </c>
    </row>
    <row r="1228" spans="2:17" ht="18" customHeight="1" x14ac:dyDescent="0.3">
      <c r="B1228" s="26"/>
      <c r="C1228" s="17"/>
      <c r="D1228" s="27"/>
      <c r="E1228" s="18"/>
      <c r="F1228" s="18"/>
      <c r="G1228" s="18"/>
      <c r="H1228" s="30" t="str">
        <f t="shared" si="133"/>
        <v/>
      </c>
      <c r="I1228" s="31" t="str">
        <f>IF(OR(B1228="",C1228=""),"",IFERROR(E1228*IF(E1228="",0,VLOOKUP(C1228,'📦 Precios Proforma'!$B$5:$D$104,IF(D1228="DIA",2,3),FALSE)),0))</f>
        <v/>
      </c>
      <c r="J1228" s="31" t="str">
        <f t="shared" si="134"/>
        <v/>
      </c>
      <c r="K1228" s="31" t="str">
        <f t="shared" si="135"/>
        <v/>
      </c>
      <c r="L1228" s="31" t="str">
        <f>IF(OR(B1228="",C1228=""),"",IFERROR(E1228 / SUMIFS('📅 Resumen Diario'!$D$5:$D$504, '📅 Resumen Diario'!$B$5:$B$504, B1228, '📅 Resumen Diario'!$C$5:$C$504, D1228) * SUMIFS('📅 Resumen Diario'!$K$5:$K$504, '📅 Resumen Diario'!$B$5:$B$504, B1228, '📅 Resumen Diario'!$C$5:$C$504, D1228), 0))</f>
        <v/>
      </c>
      <c r="M1228" s="31" t="str">
        <f t="shared" si="136"/>
        <v/>
      </c>
      <c r="N1228" s="31" t="str">
        <f t="shared" si="137"/>
        <v/>
      </c>
      <c r="O1228" s="31" t="str">
        <f>IF(OR(B1228="",C1228=""),"",K1228-N1228 + IFERROR(E1228 / SUMIFS('📅 Resumen Diario'!$D$5:$D$504, '📅 Resumen Diario'!$B$5:$B$504, B1228, '📅 Resumen Diario'!$C$5:$C$504, D1228) * (SUMIFS('📋 Detalle Diario'!$E$5:$E$489, '📋 Detalle Diario'!$B$5:$B$489, B1228, '📋 Detalle Diario'!$C$5:$C$489, D1228) * 135 + SUMIFS('📋 Detalle Diario'!$I$5:$I$489, '📋 Detalle Diario'!$B$5:$B$489, B1228, '📋 Detalle Diario'!$C$5:$C$489, D1228) * 200), 0))</f>
        <v/>
      </c>
      <c r="P1228" s="32" t="str">
        <f t="shared" si="138"/>
        <v/>
      </c>
      <c r="Q1228" s="33" t="str">
        <f t="shared" si="139"/>
        <v/>
      </c>
    </row>
    <row r="1229" spans="2:17" ht="18" customHeight="1" x14ac:dyDescent="0.3">
      <c r="B1229" s="26"/>
      <c r="C1229" s="28"/>
      <c r="D1229" s="27"/>
      <c r="E1229" s="29"/>
      <c r="F1229" s="29"/>
      <c r="G1229" s="29"/>
      <c r="H1229" s="30" t="str">
        <f t="shared" si="133"/>
        <v/>
      </c>
      <c r="I1229" s="31" t="str">
        <f>IF(OR(B1229="",C1229=""),"",IFERROR(E1229*IF(E1229="",0,VLOOKUP(C1229,'📦 Precios Proforma'!$B$5:$D$104,IF(D1229="DIA",2,3),FALSE)),0))</f>
        <v/>
      </c>
      <c r="J1229" s="31" t="str">
        <f t="shared" si="134"/>
        <v/>
      </c>
      <c r="K1229" s="31" t="str">
        <f t="shared" si="135"/>
        <v/>
      </c>
      <c r="L1229" s="31" t="str">
        <f>IF(OR(B1229="",C1229=""),"",IFERROR(E1229 / SUMIFS('📅 Resumen Diario'!$D$5:$D$504, '📅 Resumen Diario'!$B$5:$B$504, B1229, '📅 Resumen Diario'!$C$5:$C$504, D1229) * SUMIFS('📅 Resumen Diario'!$K$5:$K$504, '📅 Resumen Diario'!$B$5:$B$504, B1229, '📅 Resumen Diario'!$C$5:$C$504, D1229), 0))</f>
        <v/>
      </c>
      <c r="M1229" s="31" t="str">
        <f t="shared" si="136"/>
        <v/>
      </c>
      <c r="N1229" s="31" t="str">
        <f t="shared" si="137"/>
        <v/>
      </c>
      <c r="O1229" s="31" t="str">
        <f>IF(OR(B1229="",C1229=""),"",K1229-N1229 + IFERROR(E1229 / SUMIFS('📅 Resumen Diario'!$D$5:$D$504, '📅 Resumen Diario'!$B$5:$B$504, B1229, '📅 Resumen Diario'!$C$5:$C$504, D1229) * (SUMIFS('📋 Detalle Diario'!$E$5:$E$489, '📋 Detalle Diario'!$B$5:$B$489, B1229, '📋 Detalle Diario'!$C$5:$C$489, D1229) * 135 + SUMIFS('📋 Detalle Diario'!$I$5:$I$489, '📋 Detalle Diario'!$B$5:$B$489, B1229, '📋 Detalle Diario'!$C$5:$C$489, D1229) * 200), 0))</f>
        <v/>
      </c>
      <c r="P1229" s="32" t="str">
        <f t="shared" si="138"/>
        <v/>
      </c>
      <c r="Q1229" s="33" t="str">
        <f t="shared" si="139"/>
        <v/>
      </c>
    </row>
    <row r="1230" spans="2:17" ht="18" customHeight="1" x14ac:dyDescent="0.3">
      <c r="B1230" s="26"/>
      <c r="C1230" s="17"/>
      <c r="D1230" s="27"/>
      <c r="E1230" s="18"/>
      <c r="F1230" s="18"/>
      <c r="G1230" s="18"/>
      <c r="H1230" s="30" t="str">
        <f t="shared" si="133"/>
        <v/>
      </c>
      <c r="I1230" s="31" t="str">
        <f>IF(OR(B1230="",C1230=""),"",IFERROR(E1230*IF(E1230="",0,VLOOKUP(C1230,'📦 Precios Proforma'!$B$5:$D$104,IF(D1230="DIA",2,3),FALSE)),0))</f>
        <v/>
      </c>
      <c r="J1230" s="31" t="str">
        <f t="shared" si="134"/>
        <v/>
      </c>
      <c r="K1230" s="31" t="str">
        <f t="shared" si="135"/>
        <v/>
      </c>
      <c r="L1230" s="31" t="str">
        <f>IF(OR(B1230="",C1230=""),"",IFERROR(E1230 / SUMIFS('📅 Resumen Diario'!$D$5:$D$504, '📅 Resumen Diario'!$B$5:$B$504, B1230, '📅 Resumen Diario'!$C$5:$C$504, D1230) * SUMIFS('📅 Resumen Diario'!$K$5:$K$504, '📅 Resumen Diario'!$B$5:$B$504, B1230, '📅 Resumen Diario'!$C$5:$C$504, D1230), 0))</f>
        <v/>
      </c>
      <c r="M1230" s="31" t="str">
        <f t="shared" si="136"/>
        <v/>
      </c>
      <c r="N1230" s="31" t="str">
        <f t="shared" si="137"/>
        <v/>
      </c>
      <c r="O1230" s="31" t="str">
        <f>IF(OR(B1230="",C1230=""),"",K1230-N1230 + IFERROR(E1230 / SUMIFS('📅 Resumen Diario'!$D$5:$D$504, '📅 Resumen Diario'!$B$5:$B$504, B1230, '📅 Resumen Diario'!$C$5:$C$504, D1230) * (SUMIFS('📋 Detalle Diario'!$E$5:$E$489, '📋 Detalle Diario'!$B$5:$B$489, B1230, '📋 Detalle Diario'!$C$5:$C$489, D1230) * 135 + SUMIFS('📋 Detalle Diario'!$I$5:$I$489, '📋 Detalle Diario'!$B$5:$B$489, B1230, '📋 Detalle Diario'!$C$5:$C$489, D1230) * 200), 0))</f>
        <v/>
      </c>
      <c r="P1230" s="32" t="str">
        <f t="shared" si="138"/>
        <v/>
      </c>
      <c r="Q1230" s="33" t="str">
        <f t="shared" si="139"/>
        <v/>
      </c>
    </row>
    <row r="1231" spans="2:17" ht="18" customHeight="1" x14ac:dyDescent="0.3">
      <c r="B1231" s="26"/>
      <c r="C1231" s="28"/>
      <c r="D1231" s="27"/>
      <c r="E1231" s="29"/>
      <c r="F1231" s="29"/>
      <c r="G1231" s="29"/>
      <c r="H1231" s="30" t="str">
        <f t="shared" si="133"/>
        <v/>
      </c>
      <c r="I1231" s="31" t="str">
        <f>IF(OR(B1231="",C1231=""),"",IFERROR(E1231*IF(E1231="",0,VLOOKUP(C1231,'📦 Precios Proforma'!$B$5:$D$104,IF(D1231="DIA",2,3),FALSE)),0))</f>
        <v/>
      </c>
      <c r="J1231" s="31" t="str">
        <f t="shared" si="134"/>
        <v/>
      </c>
      <c r="K1231" s="31" t="str">
        <f t="shared" si="135"/>
        <v/>
      </c>
      <c r="L1231" s="31" t="str">
        <f>IF(OR(B1231="",C1231=""),"",IFERROR(E1231 / SUMIFS('📅 Resumen Diario'!$D$5:$D$504, '📅 Resumen Diario'!$B$5:$B$504, B1231, '📅 Resumen Diario'!$C$5:$C$504, D1231) * SUMIFS('📅 Resumen Diario'!$K$5:$K$504, '📅 Resumen Diario'!$B$5:$B$504, B1231, '📅 Resumen Diario'!$C$5:$C$504, D1231), 0))</f>
        <v/>
      </c>
      <c r="M1231" s="31" t="str">
        <f t="shared" si="136"/>
        <v/>
      </c>
      <c r="N1231" s="31" t="str">
        <f t="shared" si="137"/>
        <v/>
      </c>
      <c r="O1231" s="31" t="str">
        <f>IF(OR(B1231="",C1231=""),"",K1231-N1231 + IFERROR(E1231 / SUMIFS('📅 Resumen Diario'!$D$5:$D$504, '📅 Resumen Diario'!$B$5:$B$504, B1231, '📅 Resumen Diario'!$C$5:$C$504, D1231) * (SUMIFS('📋 Detalle Diario'!$E$5:$E$489, '📋 Detalle Diario'!$B$5:$B$489, B1231, '📋 Detalle Diario'!$C$5:$C$489, D1231) * 135 + SUMIFS('📋 Detalle Diario'!$I$5:$I$489, '📋 Detalle Diario'!$B$5:$B$489, B1231, '📋 Detalle Diario'!$C$5:$C$489, D1231) * 200), 0))</f>
        <v/>
      </c>
      <c r="P1231" s="32" t="str">
        <f t="shared" si="138"/>
        <v/>
      </c>
      <c r="Q1231" s="33" t="str">
        <f t="shared" si="139"/>
        <v/>
      </c>
    </row>
    <row r="1232" spans="2:17" ht="18" customHeight="1" x14ac:dyDescent="0.3">
      <c r="B1232" s="26"/>
      <c r="C1232" s="17"/>
      <c r="D1232" s="27"/>
      <c r="E1232" s="18"/>
      <c r="F1232" s="18"/>
      <c r="G1232" s="18"/>
      <c r="H1232" s="30" t="str">
        <f t="shared" si="133"/>
        <v/>
      </c>
      <c r="I1232" s="31" t="str">
        <f>IF(OR(B1232="",C1232=""),"",IFERROR(E1232*IF(E1232="",0,VLOOKUP(C1232,'📦 Precios Proforma'!$B$5:$D$104,IF(D1232="DIA",2,3),FALSE)),0))</f>
        <v/>
      </c>
      <c r="J1232" s="31" t="str">
        <f t="shared" si="134"/>
        <v/>
      </c>
      <c r="K1232" s="31" t="str">
        <f t="shared" si="135"/>
        <v/>
      </c>
      <c r="L1232" s="31" t="str">
        <f>IF(OR(B1232="",C1232=""),"",IFERROR(E1232 / SUMIFS('📅 Resumen Diario'!$D$5:$D$504, '📅 Resumen Diario'!$B$5:$B$504, B1232, '📅 Resumen Diario'!$C$5:$C$504, D1232) * SUMIFS('📅 Resumen Diario'!$K$5:$K$504, '📅 Resumen Diario'!$B$5:$B$504, B1232, '📅 Resumen Diario'!$C$5:$C$504, D1232), 0))</f>
        <v/>
      </c>
      <c r="M1232" s="31" t="str">
        <f t="shared" si="136"/>
        <v/>
      </c>
      <c r="N1232" s="31" t="str">
        <f t="shared" si="137"/>
        <v/>
      </c>
      <c r="O1232" s="31" t="str">
        <f>IF(OR(B1232="",C1232=""),"",K1232-N1232 + IFERROR(E1232 / SUMIFS('📅 Resumen Diario'!$D$5:$D$504, '📅 Resumen Diario'!$B$5:$B$504, B1232, '📅 Resumen Diario'!$C$5:$C$504, D1232) * (SUMIFS('📋 Detalle Diario'!$E$5:$E$489, '📋 Detalle Diario'!$B$5:$B$489, B1232, '📋 Detalle Diario'!$C$5:$C$489, D1232) * 135 + SUMIFS('📋 Detalle Diario'!$I$5:$I$489, '📋 Detalle Diario'!$B$5:$B$489, B1232, '📋 Detalle Diario'!$C$5:$C$489, D1232) * 200), 0))</f>
        <v/>
      </c>
      <c r="P1232" s="32" t="str">
        <f t="shared" si="138"/>
        <v/>
      </c>
      <c r="Q1232" s="33" t="str">
        <f t="shared" si="139"/>
        <v/>
      </c>
    </row>
    <row r="1233" spans="2:17" ht="18" customHeight="1" x14ac:dyDescent="0.3">
      <c r="B1233" s="26"/>
      <c r="C1233" s="28"/>
      <c r="D1233" s="27"/>
      <c r="E1233" s="29"/>
      <c r="F1233" s="29"/>
      <c r="G1233" s="29"/>
      <c r="H1233" s="30" t="str">
        <f t="shared" si="133"/>
        <v/>
      </c>
      <c r="I1233" s="31" t="str">
        <f>IF(OR(B1233="",C1233=""),"",IFERROR(E1233*IF(E1233="",0,VLOOKUP(C1233,'📦 Precios Proforma'!$B$5:$D$104,IF(D1233="DIA",2,3),FALSE)),0))</f>
        <v/>
      </c>
      <c r="J1233" s="31" t="str">
        <f t="shared" si="134"/>
        <v/>
      </c>
      <c r="K1233" s="31" t="str">
        <f t="shared" si="135"/>
        <v/>
      </c>
      <c r="L1233" s="31" t="str">
        <f>IF(OR(B1233="",C1233=""),"",IFERROR(E1233 / SUMIFS('📅 Resumen Diario'!$D$5:$D$504, '📅 Resumen Diario'!$B$5:$B$504, B1233, '📅 Resumen Diario'!$C$5:$C$504, D1233) * SUMIFS('📅 Resumen Diario'!$K$5:$K$504, '📅 Resumen Diario'!$B$5:$B$504, B1233, '📅 Resumen Diario'!$C$5:$C$504, D1233), 0))</f>
        <v/>
      </c>
      <c r="M1233" s="31" t="str">
        <f t="shared" si="136"/>
        <v/>
      </c>
      <c r="N1233" s="31" t="str">
        <f t="shared" si="137"/>
        <v/>
      </c>
      <c r="O1233" s="31" t="str">
        <f>IF(OR(B1233="",C1233=""),"",K1233-N1233 + IFERROR(E1233 / SUMIFS('📅 Resumen Diario'!$D$5:$D$504, '📅 Resumen Diario'!$B$5:$B$504, B1233, '📅 Resumen Diario'!$C$5:$C$504, D1233) * (SUMIFS('📋 Detalle Diario'!$E$5:$E$489, '📋 Detalle Diario'!$B$5:$B$489, B1233, '📋 Detalle Diario'!$C$5:$C$489, D1233) * 135 + SUMIFS('📋 Detalle Diario'!$I$5:$I$489, '📋 Detalle Diario'!$B$5:$B$489, B1233, '📋 Detalle Diario'!$C$5:$C$489, D1233) * 200), 0))</f>
        <v/>
      </c>
      <c r="P1233" s="32" t="str">
        <f t="shared" si="138"/>
        <v/>
      </c>
      <c r="Q1233" s="33" t="str">
        <f t="shared" si="139"/>
        <v/>
      </c>
    </row>
    <row r="1234" spans="2:17" ht="18" customHeight="1" x14ac:dyDescent="0.3">
      <c r="B1234" s="26"/>
      <c r="C1234" s="17"/>
      <c r="D1234" s="27"/>
      <c r="E1234" s="18"/>
      <c r="F1234" s="18"/>
      <c r="G1234" s="18"/>
      <c r="H1234" s="30" t="str">
        <f t="shared" si="133"/>
        <v/>
      </c>
      <c r="I1234" s="31" t="str">
        <f>IF(OR(B1234="",C1234=""),"",IFERROR(E1234*IF(E1234="",0,VLOOKUP(C1234,'📦 Precios Proforma'!$B$5:$D$104,IF(D1234="DIA",2,3),FALSE)),0))</f>
        <v/>
      </c>
      <c r="J1234" s="31" t="str">
        <f t="shared" si="134"/>
        <v/>
      </c>
      <c r="K1234" s="31" t="str">
        <f t="shared" si="135"/>
        <v/>
      </c>
      <c r="L1234" s="31" t="str">
        <f>IF(OR(B1234="",C1234=""),"",IFERROR(E1234 / SUMIFS('📅 Resumen Diario'!$D$5:$D$504, '📅 Resumen Diario'!$B$5:$B$504, B1234, '📅 Resumen Diario'!$C$5:$C$504, D1234) * SUMIFS('📅 Resumen Diario'!$K$5:$K$504, '📅 Resumen Diario'!$B$5:$B$504, B1234, '📅 Resumen Diario'!$C$5:$C$504, D1234), 0))</f>
        <v/>
      </c>
      <c r="M1234" s="31" t="str">
        <f t="shared" si="136"/>
        <v/>
      </c>
      <c r="N1234" s="31" t="str">
        <f t="shared" si="137"/>
        <v/>
      </c>
      <c r="O1234" s="31" t="str">
        <f>IF(OR(B1234="",C1234=""),"",K1234-N1234 + IFERROR(E1234 / SUMIFS('📅 Resumen Diario'!$D$5:$D$504, '📅 Resumen Diario'!$B$5:$B$504, B1234, '📅 Resumen Diario'!$C$5:$C$504, D1234) * (SUMIFS('📋 Detalle Diario'!$E$5:$E$489, '📋 Detalle Diario'!$B$5:$B$489, B1234, '📋 Detalle Diario'!$C$5:$C$489, D1234) * 135 + SUMIFS('📋 Detalle Diario'!$I$5:$I$489, '📋 Detalle Diario'!$B$5:$B$489, B1234, '📋 Detalle Diario'!$C$5:$C$489, D1234) * 200), 0))</f>
        <v/>
      </c>
      <c r="P1234" s="32" t="str">
        <f t="shared" si="138"/>
        <v/>
      </c>
      <c r="Q1234" s="33" t="str">
        <f t="shared" si="139"/>
        <v/>
      </c>
    </row>
    <row r="1235" spans="2:17" ht="18" customHeight="1" x14ac:dyDescent="0.3">
      <c r="B1235" s="26"/>
      <c r="C1235" s="28"/>
      <c r="D1235" s="27"/>
      <c r="E1235" s="29"/>
      <c r="F1235" s="29"/>
      <c r="G1235" s="29"/>
      <c r="H1235" s="30" t="str">
        <f t="shared" si="133"/>
        <v/>
      </c>
      <c r="I1235" s="31" t="str">
        <f>IF(OR(B1235="",C1235=""),"",IFERROR(E1235*IF(E1235="",0,VLOOKUP(C1235,'📦 Precios Proforma'!$B$5:$D$104,IF(D1235="DIA",2,3),FALSE)),0))</f>
        <v/>
      </c>
      <c r="J1235" s="31" t="str">
        <f t="shared" si="134"/>
        <v/>
      </c>
      <c r="K1235" s="31" t="str">
        <f t="shared" si="135"/>
        <v/>
      </c>
      <c r="L1235" s="31" t="str">
        <f>IF(OR(B1235="",C1235=""),"",IFERROR(E1235 / SUMIFS('📅 Resumen Diario'!$D$5:$D$504, '📅 Resumen Diario'!$B$5:$B$504, B1235, '📅 Resumen Diario'!$C$5:$C$504, D1235) * SUMIFS('📅 Resumen Diario'!$K$5:$K$504, '📅 Resumen Diario'!$B$5:$B$504, B1235, '📅 Resumen Diario'!$C$5:$C$504, D1235), 0))</f>
        <v/>
      </c>
      <c r="M1235" s="31" t="str">
        <f t="shared" si="136"/>
        <v/>
      </c>
      <c r="N1235" s="31" t="str">
        <f t="shared" si="137"/>
        <v/>
      </c>
      <c r="O1235" s="31" t="str">
        <f>IF(OR(B1235="",C1235=""),"",K1235-N1235 + IFERROR(E1235 / SUMIFS('📅 Resumen Diario'!$D$5:$D$504, '📅 Resumen Diario'!$B$5:$B$504, B1235, '📅 Resumen Diario'!$C$5:$C$504, D1235) * (SUMIFS('📋 Detalle Diario'!$E$5:$E$489, '📋 Detalle Diario'!$B$5:$B$489, B1235, '📋 Detalle Diario'!$C$5:$C$489, D1235) * 135 + SUMIFS('📋 Detalle Diario'!$I$5:$I$489, '📋 Detalle Diario'!$B$5:$B$489, B1235, '📋 Detalle Diario'!$C$5:$C$489, D1235) * 200), 0))</f>
        <v/>
      </c>
      <c r="P1235" s="32" t="str">
        <f t="shared" si="138"/>
        <v/>
      </c>
      <c r="Q1235" s="33" t="str">
        <f t="shared" si="139"/>
        <v/>
      </c>
    </row>
    <row r="1236" spans="2:17" ht="18" customHeight="1" x14ac:dyDescent="0.3">
      <c r="B1236" s="26"/>
      <c r="C1236" s="17"/>
      <c r="D1236" s="27"/>
      <c r="E1236" s="18"/>
      <c r="F1236" s="18"/>
      <c r="G1236" s="18"/>
      <c r="H1236" s="30" t="str">
        <f t="shared" si="133"/>
        <v/>
      </c>
      <c r="I1236" s="31" t="str">
        <f>IF(OR(B1236="",C1236=""),"",IFERROR(E1236*IF(E1236="",0,VLOOKUP(C1236,'📦 Precios Proforma'!$B$5:$D$104,IF(D1236="DIA",2,3),FALSE)),0))</f>
        <v/>
      </c>
      <c r="J1236" s="31" t="str">
        <f t="shared" si="134"/>
        <v/>
      </c>
      <c r="K1236" s="31" t="str">
        <f t="shared" si="135"/>
        <v/>
      </c>
      <c r="L1236" s="31" t="str">
        <f>IF(OR(B1236="",C1236=""),"",IFERROR(E1236 / SUMIFS('📅 Resumen Diario'!$D$5:$D$504, '📅 Resumen Diario'!$B$5:$B$504, B1236, '📅 Resumen Diario'!$C$5:$C$504, D1236) * SUMIFS('📅 Resumen Diario'!$K$5:$K$504, '📅 Resumen Diario'!$B$5:$B$504, B1236, '📅 Resumen Diario'!$C$5:$C$504, D1236), 0))</f>
        <v/>
      </c>
      <c r="M1236" s="31" t="str">
        <f t="shared" si="136"/>
        <v/>
      </c>
      <c r="N1236" s="31" t="str">
        <f t="shared" si="137"/>
        <v/>
      </c>
      <c r="O1236" s="31" t="str">
        <f>IF(OR(B1236="",C1236=""),"",K1236-N1236 + IFERROR(E1236 / SUMIFS('📅 Resumen Diario'!$D$5:$D$504, '📅 Resumen Diario'!$B$5:$B$504, B1236, '📅 Resumen Diario'!$C$5:$C$504, D1236) * (SUMIFS('📋 Detalle Diario'!$E$5:$E$489, '📋 Detalle Diario'!$B$5:$B$489, B1236, '📋 Detalle Diario'!$C$5:$C$489, D1236) * 135 + SUMIFS('📋 Detalle Diario'!$I$5:$I$489, '📋 Detalle Diario'!$B$5:$B$489, B1236, '📋 Detalle Diario'!$C$5:$C$489, D1236) * 200), 0))</f>
        <v/>
      </c>
      <c r="P1236" s="32" t="str">
        <f t="shared" si="138"/>
        <v/>
      </c>
      <c r="Q1236" s="33" t="str">
        <f t="shared" si="139"/>
        <v/>
      </c>
    </row>
    <row r="1237" spans="2:17" ht="18" customHeight="1" x14ac:dyDescent="0.3">
      <c r="B1237" s="26"/>
      <c r="C1237" s="28"/>
      <c r="D1237" s="27"/>
      <c r="E1237" s="29"/>
      <c r="F1237" s="29"/>
      <c r="G1237" s="29"/>
      <c r="H1237" s="30" t="str">
        <f t="shared" si="133"/>
        <v/>
      </c>
      <c r="I1237" s="31" t="str">
        <f>IF(OR(B1237="",C1237=""),"",IFERROR(E1237*IF(E1237="",0,VLOOKUP(C1237,'📦 Precios Proforma'!$B$5:$D$104,IF(D1237="DIA",2,3),FALSE)),0))</f>
        <v/>
      </c>
      <c r="J1237" s="31" t="str">
        <f t="shared" si="134"/>
        <v/>
      </c>
      <c r="K1237" s="31" t="str">
        <f t="shared" si="135"/>
        <v/>
      </c>
      <c r="L1237" s="31" t="str">
        <f>IF(OR(B1237="",C1237=""),"",IFERROR(E1237 / SUMIFS('📅 Resumen Diario'!$D$5:$D$504, '📅 Resumen Diario'!$B$5:$B$504, B1237, '📅 Resumen Diario'!$C$5:$C$504, D1237) * SUMIFS('📅 Resumen Diario'!$K$5:$K$504, '📅 Resumen Diario'!$B$5:$B$504, B1237, '📅 Resumen Diario'!$C$5:$C$504, D1237), 0))</f>
        <v/>
      </c>
      <c r="M1237" s="31" t="str">
        <f t="shared" si="136"/>
        <v/>
      </c>
      <c r="N1237" s="31" t="str">
        <f t="shared" si="137"/>
        <v/>
      </c>
      <c r="O1237" s="31" t="str">
        <f>IF(OR(B1237="",C1237=""),"",K1237-N1237 + IFERROR(E1237 / SUMIFS('📅 Resumen Diario'!$D$5:$D$504, '📅 Resumen Diario'!$B$5:$B$504, B1237, '📅 Resumen Diario'!$C$5:$C$504, D1237) * (SUMIFS('📋 Detalle Diario'!$E$5:$E$489, '📋 Detalle Diario'!$B$5:$B$489, B1237, '📋 Detalle Diario'!$C$5:$C$489, D1237) * 135 + SUMIFS('📋 Detalle Diario'!$I$5:$I$489, '📋 Detalle Diario'!$B$5:$B$489, B1237, '📋 Detalle Diario'!$C$5:$C$489, D1237) * 200), 0))</f>
        <v/>
      </c>
      <c r="P1237" s="32" t="str">
        <f t="shared" si="138"/>
        <v/>
      </c>
      <c r="Q1237" s="33" t="str">
        <f t="shared" si="139"/>
        <v/>
      </c>
    </row>
    <row r="1238" spans="2:17" ht="18" customHeight="1" x14ac:dyDescent="0.3">
      <c r="B1238" s="26"/>
      <c r="C1238" s="17"/>
      <c r="D1238" s="27"/>
      <c r="E1238" s="18"/>
      <c r="F1238" s="18"/>
      <c r="G1238" s="18"/>
      <c r="H1238" s="30" t="str">
        <f t="shared" si="133"/>
        <v/>
      </c>
      <c r="I1238" s="31" t="str">
        <f>IF(OR(B1238="",C1238=""),"",IFERROR(E1238*IF(E1238="",0,VLOOKUP(C1238,'📦 Precios Proforma'!$B$5:$D$104,IF(D1238="DIA",2,3),FALSE)),0))</f>
        <v/>
      </c>
      <c r="J1238" s="31" t="str">
        <f t="shared" si="134"/>
        <v/>
      </c>
      <c r="K1238" s="31" t="str">
        <f t="shared" si="135"/>
        <v/>
      </c>
      <c r="L1238" s="31" t="str">
        <f>IF(OR(B1238="",C1238=""),"",IFERROR(E1238 / SUMIFS('📅 Resumen Diario'!$D$5:$D$504, '📅 Resumen Diario'!$B$5:$B$504, B1238, '📅 Resumen Diario'!$C$5:$C$504, D1238) * SUMIFS('📅 Resumen Diario'!$K$5:$K$504, '📅 Resumen Diario'!$B$5:$B$504, B1238, '📅 Resumen Diario'!$C$5:$C$504, D1238), 0))</f>
        <v/>
      </c>
      <c r="M1238" s="31" t="str">
        <f t="shared" si="136"/>
        <v/>
      </c>
      <c r="N1238" s="31" t="str">
        <f t="shared" si="137"/>
        <v/>
      </c>
      <c r="O1238" s="31" t="str">
        <f>IF(OR(B1238="",C1238=""),"",K1238-N1238 + IFERROR(E1238 / SUMIFS('📅 Resumen Diario'!$D$5:$D$504, '📅 Resumen Diario'!$B$5:$B$504, B1238, '📅 Resumen Diario'!$C$5:$C$504, D1238) * (SUMIFS('📋 Detalle Diario'!$E$5:$E$489, '📋 Detalle Diario'!$B$5:$B$489, B1238, '📋 Detalle Diario'!$C$5:$C$489, D1238) * 135 + SUMIFS('📋 Detalle Diario'!$I$5:$I$489, '📋 Detalle Diario'!$B$5:$B$489, B1238, '📋 Detalle Diario'!$C$5:$C$489, D1238) * 200), 0))</f>
        <v/>
      </c>
      <c r="P1238" s="32" t="str">
        <f t="shared" si="138"/>
        <v/>
      </c>
      <c r="Q1238" s="33" t="str">
        <f t="shared" si="139"/>
        <v/>
      </c>
    </row>
    <row r="1239" spans="2:17" ht="18" customHeight="1" x14ac:dyDescent="0.3">
      <c r="B1239" s="26"/>
      <c r="C1239" s="28"/>
      <c r="D1239" s="27"/>
      <c r="E1239" s="29"/>
      <c r="F1239" s="29"/>
      <c r="G1239" s="29"/>
      <c r="H1239" s="30" t="str">
        <f t="shared" si="133"/>
        <v/>
      </c>
      <c r="I1239" s="31" t="str">
        <f>IF(OR(B1239="",C1239=""),"",IFERROR(E1239*IF(E1239="",0,VLOOKUP(C1239,'📦 Precios Proforma'!$B$5:$D$104,IF(D1239="DIA",2,3),FALSE)),0))</f>
        <v/>
      </c>
      <c r="J1239" s="31" t="str">
        <f t="shared" si="134"/>
        <v/>
      </c>
      <c r="K1239" s="31" t="str">
        <f t="shared" si="135"/>
        <v/>
      </c>
      <c r="L1239" s="31" t="str">
        <f>IF(OR(B1239="",C1239=""),"",IFERROR(E1239 / SUMIFS('📅 Resumen Diario'!$D$5:$D$504, '📅 Resumen Diario'!$B$5:$B$504, B1239, '📅 Resumen Diario'!$C$5:$C$504, D1239) * SUMIFS('📅 Resumen Diario'!$K$5:$K$504, '📅 Resumen Diario'!$B$5:$B$504, B1239, '📅 Resumen Diario'!$C$5:$C$504, D1239), 0))</f>
        <v/>
      </c>
      <c r="M1239" s="31" t="str">
        <f t="shared" si="136"/>
        <v/>
      </c>
      <c r="N1239" s="31" t="str">
        <f t="shared" si="137"/>
        <v/>
      </c>
      <c r="O1239" s="31" t="str">
        <f>IF(OR(B1239="",C1239=""),"",K1239-N1239 + IFERROR(E1239 / SUMIFS('📅 Resumen Diario'!$D$5:$D$504, '📅 Resumen Diario'!$B$5:$B$504, B1239, '📅 Resumen Diario'!$C$5:$C$504, D1239) * (SUMIFS('📋 Detalle Diario'!$E$5:$E$489, '📋 Detalle Diario'!$B$5:$B$489, B1239, '📋 Detalle Diario'!$C$5:$C$489, D1239) * 135 + SUMIFS('📋 Detalle Diario'!$I$5:$I$489, '📋 Detalle Diario'!$B$5:$B$489, B1239, '📋 Detalle Diario'!$C$5:$C$489, D1239) * 200), 0))</f>
        <v/>
      </c>
      <c r="P1239" s="32" t="str">
        <f t="shared" si="138"/>
        <v/>
      </c>
      <c r="Q1239" s="33" t="str">
        <f t="shared" si="139"/>
        <v/>
      </c>
    </row>
    <row r="1240" spans="2:17" ht="18" customHeight="1" x14ac:dyDescent="0.3">
      <c r="B1240" s="26"/>
      <c r="C1240" s="17"/>
      <c r="D1240" s="27"/>
      <c r="E1240" s="18"/>
      <c r="F1240" s="18"/>
      <c r="G1240" s="18"/>
      <c r="H1240" s="30" t="str">
        <f t="shared" si="133"/>
        <v/>
      </c>
      <c r="I1240" s="31" t="str">
        <f>IF(OR(B1240="",C1240=""),"",IFERROR(E1240*IF(E1240="",0,VLOOKUP(C1240,'📦 Precios Proforma'!$B$5:$D$104,IF(D1240="DIA",2,3),FALSE)),0))</f>
        <v/>
      </c>
      <c r="J1240" s="31" t="str">
        <f t="shared" si="134"/>
        <v/>
      </c>
      <c r="K1240" s="31" t="str">
        <f t="shared" si="135"/>
        <v/>
      </c>
      <c r="L1240" s="31" t="str">
        <f>IF(OR(B1240="",C1240=""),"",IFERROR(E1240 / SUMIFS('📅 Resumen Diario'!$D$5:$D$504, '📅 Resumen Diario'!$B$5:$B$504, B1240, '📅 Resumen Diario'!$C$5:$C$504, D1240) * SUMIFS('📅 Resumen Diario'!$K$5:$K$504, '📅 Resumen Diario'!$B$5:$B$504, B1240, '📅 Resumen Diario'!$C$5:$C$504, D1240), 0))</f>
        <v/>
      </c>
      <c r="M1240" s="31" t="str">
        <f t="shared" si="136"/>
        <v/>
      </c>
      <c r="N1240" s="31" t="str">
        <f t="shared" si="137"/>
        <v/>
      </c>
      <c r="O1240" s="31" t="str">
        <f>IF(OR(B1240="",C1240=""),"",K1240-N1240 + IFERROR(E1240 / SUMIFS('📅 Resumen Diario'!$D$5:$D$504, '📅 Resumen Diario'!$B$5:$B$504, B1240, '📅 Resumen Diario'!$C$5:$C$504, D1240) * (SUMIFS('📋 Detalle Diario'!$E$5:$E$489, '📋 Detalle Diario'!$B$5:$B$489, B1240, '📋 Detalle Diario'!$C$5:$C$489, D1240) * 135 + SUMIFS('📋 Detalle Diario'!$I$5:$I$489, '📋 Detalle Diario'!$B$5:$B$489, B1240, '📋 Detalle Diario'!$C$5:$C$489, D1240) * 200), 0))</f>
        <v/>
      </c>
      <c r="P1240" s="32" t="str">
        <f t="shared" si="138"/>
        <v/>
      </c>
      <c r="Q1240" s="33" t="str">
        <f t="shared" si="139"/>
        <v/>
      </c>
    </row>
    <row r="1241" spans="2:17" ht="18" customHeight="1" x14ac:dyDescent="0.3">
      <c r="B1241" s="26"/>
      <c r="C1241" s="28"/>
      <c r="D1241" s="27"/>
      <c r="E1241" s="29"/>
      <c r="F1241" s="29"/>
      <c r="G1241" s="29"/>
      <c r="H1241" s="30" t="str">
        <f t="shared" si="133"/>
        <v/>
      </c>
      <c r="I1241" s="31" t="str">
        <f>IF(OR(B1241="",C1241=""),"",IFERROR(E1241*IF(E1241="",0,VLOOKUP(C1241,'📦 Precios Proforma'!$B$5:$D$104,IF(D1241="DIA",2,3),FALSE)),0))</f>
        <v/>
      </c>
      <c r="J1241" s="31" t="str">
        <f t="shared" si="134"/>
        <v/>
      </c>
      <c r="K1241" s="31" t="str">
        <f t="shared" si="135"/>
        <v/>
      </c>
      <c r="L1241" s="31" t="str">
        <f>IF(OR(B1241="",C1241=""),"",IFERROR(E1241 / SUMIFS('📅 Resumen Diario'!$D$5:$D$504, '📅 Resumen Diario'!$B$5:$B$504, B1241, '📅 Resumen Diario'!$C$5:$C$504, D1241) * SUMIFS('📅 Resumen Diario'!$K$5:$K$504, '📅 Resumen Diario'!$B$5:$B$504, B1241, '📅 Resumen Diario'!$C$5:$C$504, D1241), 0))</f>
        <v/>
      </c>
      <c r="M1241" s="31" t="str">
        <f t="shared" si="136"/>
        <v/>
      </c>
      <c r="N1241" s="31" t="str">
        <f t="shared" si="137"/>
        <v/>
      </c>
      <c r="O1241" s="31" t="str">
        <f>IF(OR(B1241="",C1241=""),"",K1241-N1241 + IFERROR(E1241 / SUMIFS('📅 Resumen Diario'!$D$5:$D$504, '📅 Resumen Diario'!$B$5:$B$504, B1241, '📅 Resumen Diario'!$C$5:$C$504, D1241) * (SUMIFS('📋 Detalle Diario'!$E$5:$E$489, '📋 Detalle Diario'!$B$5:$B$489, B1241, '📋 Detalle Diario'!$C$5:$C$489, D1241) * 135 + SUMIFS('📋 Detalle Diario'!$I$5:$I$489, '📋 Detalle Diario'!$B$5:$B$489, B1241, '📋 Detalle Diario'!$C$5:$C$489, D1241) * 200), 0))</f>
        <v/>
      </c>
      <c r="P1241" s="32" t="str">
        <f t="shared" si="138"/>
        <v/>
      </c>
      <c r="Q1241" s="33" t="str">
        <f t="shared" si="139"/>
        <v/>
      </c>
    </row>
    <row r="1242" spans="2:17" ht="18" customHeight="1" x14ac:dyDescent="0.3">
      <c r="B1242" s="26"/>
      <c r="C1242" s="17"/>
      <c r="D1242" s="27"/>
      <c r="E1242" s="18"/>
      <c r="F1242" s="18"/>
      <c r="G1242" s="18"/>
      <c r="H1242" s="30" t="str">
        <f t="shared" si="133"/>
        <v/>
      </c>
      <c r="I1242" s="31" t="str">
        <f>IF(OR(B1242="",C1242=""),"",IFERROR(E1242*IF(E1242="",0,VLOOKUP(C1242,'📦 Precios Proforma'!$B$5:$D$104,IF(D1242="DIA",2,3),FALSE)),0))</f>
        <v/>
      </c>
      <c r="J1242" s="31" t="str">
        <f t="shared" si="134"/>
        <v/>
      </c>
      <c r="K1242" s="31" t="str">
        <f t="shared" si="135"/>
        <v/>
      </c>
      <c r="L1242" s="31" t="str">
        <f>IF(OR(B1242="",C1242=""),"",IFERROR(E1242 / SUMIFS('📅 Resumen Diario'!$D$5:$D$504, '📅 Resumen Diario'!$B$5:$B$504, B1242, '📅 Resumen Diario'!$C$5:$C$504, D1242) * SUMIFS('📅 Resumen Diario'!$K$5:$K$504, '📅 Resumen Diario'!$B$5:$B$504, B1242, '📅 Resumen Diario'!$C$5:$C$504, D1242), 0))</f>
        <v/>
      </c>
      <c r="M1242" s="31" t="str">
        <f t="shared" si="136"/>
        <v/>
      </c>
      <c r="N1242" s="31" t="str">
        <f t="shared" si="137"/>
        <v/>
      </c>
      <c r="O1242" s="31" t="str">
        <f>IF(OR(B1242="",C1242=""),"",K1242-N1242 + IFERROR(E1242 / SUMIFS('📅 Resumen Diario'!$D$5:$D$504, '📅 Resumen Diario'!$B$5:$B$504, B1242, '📅 Resumen Diario'!$C$5:$C$504, D1242) * (SUMIFS('📋 Detalle Diario'!$E$5:$E$489, '📋 Detalle Diario'!$B$5:$B$489, B1242, '📋 Detalle Diario'!$C$5:$C$489, D1242) * 135 + SUMIFS('📋 Detalle Diario'!$I$5:$I$489, '📋 Detalle Diario'!$B$5:$B$489, B1242, '📋 Detalle Diario'!$C$5:$C$489, D1242) * 200), 0))</f>
        <v/>
      </c>
      <c r="P1242" s="32" t="str">
        <f t="shared" si="138"/>
        <v/>
      </c>
      <c r="Q1242" s="33" t="str">
        <f t="shared" si="139"/>
        <v/>
      </c>
    </row>
    <row r="1243" spans="2:17" ht="18" customHeight="1" x14ac:dyDescent="0.3">
      <c r="B1243" s="26"/>
      <c r="C1243" s="28"/>
      <c r="D1243" s="27"/>
      <c r="E1243" s="29"/>
      <c r="F1243" s="29"/>
      <c r="G1243" s="29"/>
      <c r="H1243" s="30" t="str">
        <f t="shared" si="133"/>
        <v/>
      </c>
      <c r="I1243" s="31" t="str">
        <f>IF(OR(B1243="",C1243=""),"",IFERROR(E1243*IF(E1243="",0,VLOOKUP(C1243,'📦 Precios Proforma'!$B$5:$D$104,IF(D1243="DIA",2,3),FALSE)),0))</f>
        <v/>
      </c>
      <c r="J1243" s="31" t="str">
        <f t="shared" si="134"/>
        <v/>
      </c>
      <c r="K1243" s="31" t="str">
        <f t="shared" si="135"/>
        <v/>
      </c>
      <c r="L1243" s="31" t="str">
        <f>IF(OR(B1243="",C1243=""),"",IFERROR(E1243 / SUMIFS('📅 Resumen Diario'!$D$5:$D$504, '📅 Resumen Diario'!$B$5:$B$504, B1243, '📅 Resumen Diario'!$C$5:$C$504, D1243) * SUMIFS('📅 Resumen Diario'!$K$5:$K$504, '📅 Resumen Diario'!$B$5:$B$504, B1243, '📅 Resumen Diario'!$C$5:$C$504, D1243), 0))</f>
        <v/>
      </c>
      <c r="M1243" s="31" t="str">
        <f t="shared" si="136"/>
        <v/>
      </c>
      <c r="N1243" s="31" t="str">
        <f t="shared" si="137"/>
        <v/>
      </c>
      <c r="O1243" s="31" t="str">
        <f>IF(OR(B1243="",C1243=""),"",K1243-N1243 + IFERROR(E1243 / SUMIFS('📅 Resumen Diario'!$D$5:$D$504, '📅 Resumen Diario'!$B$5:$B$504, B1243, '📅 Resumen Diario'!$C$5:$C$504, D1243) * (SUMIFS('📋 Detalle Diario'!$E$5:$E$489, '📋 Detalle Diario'!$B$5:$B$489, B1243, '📋 Detalle Diario'!$C$5:$C$489, D1243) * 135 + SUMIFS('📋 Detalle Diario'!$I$5:$I$489, '📋 Detalle Diario'!$B$5:$B$489, B1243, '📋 Detalle Diario'!$C$5:$C$489, D1243) * 200), 0))</f>
        <v/>
      </c>
      <c r="P1243" s="32" t="str">
        <f t="shared" si="138"/>
        <v/>
      </c>
      <c r="Q1243" s="33" t="str">
        <f t="shared" si="139"/>
        <v/>
      </c>
    </row>
    <row r="1244" spans="2:17" ht="18" customHeight="1" x14ac:dyDescent="0.3">
      <c r="B1244" s="26"/>
      <c r="C1244" s="17"/>
      <c r="D1244" s="27"/>
      <c r="E1244" s="18"/>
      <c r="F1244" s="18"/>
      <c r="G1244" s="18"/>
      <c r="H1244" s="30" t="str">
        <f t="shared" si="133"/>
        <v/>
      </c>
      <c r="I1244" s="31" t="str">
        <f>IF(OR(B1244="",C1244=""),"",IFERROR(E1244*IF(E1244="",0,VLOOKUP(C1244,'📦 Precios Proforma'!$B$5:$D$104,IF(D1244="DIA",2,3),FALSE)),0))</f>
        <v/>
      </c>
      <c r="J1244" s="31" t="str">
        <f t="shared" si="134"/>
        <v/>
      </c>
      <c r="K1244" s="31" t="str">
        <f t="shared" si="135"/>
        <v/>
      </c>
      <c r="L1244" s="31" t="str">
        <f>IF(OR(B1244="",C1244=""),"",IFERROR(E1244 / SUMIFS('📅 Resumen Diario'!$D$5:$D$504, '📅 Resumen Diario'!$B$5:$B$504, B1244, '📅 Resumen Diario'!$C$5:$C$504, D1244) * SUMIFS('📅 Resumen Diario'!$K$5:$K$504, '📅 Resumen Diario'!$B$5:$B$504, B1244, '📅 Resumen Diario'!$C$5:$C$504, D1244), 0))</f>
        <v/>
      </c>
      <c r="M1244" s="31" t="str">
        <f t="shared" si="136"/>
        <v/>
      </c>
      <c r="N1244" s="31" t="str">
        <f t="shared" si="137"/>
        <v/>
      </c>
      <c r="O1244" s="31" t="str">
        <f>IF(OR(B1244="",C1244=""),"",K1244-N1244 + IFERROR(E1244 / SUMIFS('📅 Resumen Diario'!$D$5:$D$504, '📅 Resumen Diario'!$B$5:$B$504, B1244, '📅 Resumen Diario'!$C$5:$C$504, D1244) * (SUMIFS('📋 Detalle Diario'!$E$5:$E$489, '📋 Detalle Diario'!$B$5:$B$489, B1244, '📋 Detalle Diario'!$C$5:$C$489, D1244) * 135 + SUMIFS('📋 Detalle Diario'!$I$5:$I$489, '📋 Detalle Diario'!$B$5:$B$489, B1244, '📋 Detalle Diario'!$C$5:$C$489, D1244) * 200), 0))</f>
        <v/>
      </c>
      <c r="P1244" s="32" t="str">
        <f t="shared" si="138"/>
        <v/>
      </c>
      <c r="Q1244" s="33" t="str">
        <f t="shared" si="139"/>
        <v/>
      </c>
    </row>
    <row r="1245" spans="2:17" ht="18" customHeight="1" x14ac:dyDescent="0.3">
      <c r="B1245" s="26"/>
      <c r="C1245" s="28"/>
      <c r="D1245" s="27"/>
      <c r="E1245" s="29"/>
      <c r="F1245" s="29"/>
      <c r="G1245" s="29"/>
      <c r="H1245" s="30" t="str">
        <f t="shared" si="133"/>
        <v/>
      </c>
      <c r="I1245" s="31" t="str">
        <f>IF(OR(B1245="",C1245=""),"",IFERROR(E1245*IF(E1245="",0,VLOOKUP(C1245,'📦 Precios Proforma'!$B$5:$D$104,IF(D1245="DIA",2,3),FALSE)),0))</f>
        <v/>
      </c>
      <c r="J1245" s="31" t="str">
        <f t="shared" si="134"/>
        <v/>
      </c>
      <c r="K1245" s="31" t="str">
        <f t="shared" si="135"/>
        <v/>
      </c>
      <c r="L1245" s="31" t="str">
        <f>IF(OR(B1245="",C1245=""),"",IFERROR(E1245 / SUMIFS('📅 Resumen Diario'!$D$5:$D$504, '📅 Resumen Diario'!$B$5:$B$504, B1245, '📅 Resumen Diario'!$C$5:$C$504, D1245) * SUMIFS('📅 Resumen Diario'!$K$5:$K$504, '📅 Resumen Diario'!$B$5:$B$504, B1245, '📅 Resumen Diario'!$C$5:$C$504, D1245), 0))</f>
        <v/>
      </c>
      <c r="M1245" s="31" t="str">
        <f t="shared" si="136"/>
        <v/>
      </c>
      <c r="N1245" s="31" t="str">
        <f t="shared" si="137"/>
        <v/>
      </c>
      <c r="O1245" s="31" t="str">
        <f>IF(OR(B1245="",C1245=""),"",K1245-N1245 + IFERROR(E1245 / SUMIFS('📅 Resumen Diario'!$D$5:$D$504, '📅 Resumen Diario'!$B$5:$B$504, B1245, '📅 Resumen Diario'!$C$5:$C$504, D1245) * (SUMIFS('📋 Detalle Diario'!$E$5:$E$489, '📋 Detalle Diario'!$B$5:$B$489, B1245, '📋 Detalle Diario'!$C$5:$C$489, D1245) * 135 + SUMIFS('📋 Detalle Diario'!$I$5:$I$489, '📋 Detalle Diario'!$B$5:$B$489, B1245, '📋 Detalle Diario'!$C$5:$C$489, D1245) * 200), 0))</f>
        <v/>
      </c>
      <c r="P1245" s="32" t="str">
        <f t="shared" si="138"/>
        <v/>
      </c>
      <c r="Q1245" s="33" t="str">
        <f t="shared" si="139"/>
        <v/>
      </c>
    </row>
    <row r="1246" spans="2:17" ht="18" customHeight="1" x14ac:dyDescent="0.3">
      <c r="B1246" s="26"/>
      <c r="C1246" s="17"/>
      <c r="D1246" s="27"/>
      <c r="E1246" s="18"/>
      <c r="F1246" s="18"/>
      <c r="G1246" s="18"/>
      <c r="H1246" s="30" t="str">
        <f t="shared" si="133"/>
        <v/>
      </c>
      <c r="I1246" s="31" t="str">
        <f>IF(OR(B1246="",C1246=""),"",IFERROR(E1246*IF(E1246="",0,VLOOKUP(C1246,'📦 Precios Proforma'!$B$5:$D$104,IF(D1246="DIA",2,3),FALSE)),0))</f>
        <v/>
      </c>
      <c r="J1246" s="31" t="str">
        <f t="shared" si="134"/>
        <v/>
      </c>
      <c r="K1246" s="31" t="str">
        <f t="shared" si="135"/>
        <v/>
      </c>
      <c r="L1246" s="31" t="str">
        <f>IF(OR(B1246="",C1246=""),"",IFERROR(E1246 / SUMIFS('📅 Resumen Diario'!$D$5:$D$504, '📅 Resumen Diario'!$B$5:$B$504, B1246, '📅 Resumen Diario'!$C$5:$C$504, D1246) * SUMIFS('📅 Resumen Diario'!$K$5:$K$504, '📅 Resumen Diario'!$B$5:$B$504, B1246, '📅 Resumen Diario'!$C$5:$C$504, D1246), 0))</f>
        <v/>
      </c>
      <c r="M1246" s="31" t="str">
        <f t="shared" si="136"/>
        <v/>
      </c>
      <c r="N1246" s="31" t="str">
        <f t="shared" si="137"/>
        <v/>
      </c>
      <c r="O1246" s="31" t="str">
        <f>IF(OR(B1246="",C1246=""),"",K1246-N1246 + IFERROR(E1246 / SUMIFS('📅 Resumen Diario'!$D$5:$D$504, '📅 Resumen Diario'!$B$5:$B$504, B1246, '📅 Resumen Diario'!$C$5:$C$504, D1246) * (SUMIFS('📋 Detalle Diario'!$E$5:$E$489, '📋 Detalle Diario'!$B$5:$B$489, B1246, '📋 Detalle Diario'!$C$5:$C$489, D1246) * 135 + SUMIFS('📋 Detalle Diario'!$I$5:$I$489, '📋 Detalle Diario'!$B$5:$B$489, B1246, '📋 Detalle Diario'!$C$5:$C$489, D1246) * 200), 0))</f>
        <v/>
      </c>
      <c r="P1246" s="32" t="str">
        <f t="shared" si="138"/>
        <v/>
      </c>
      <c r="Q1246" s="33" t="str">
        <f t="shared" si="139"/>
        <v/>
      </c>
    </row>
    <row r="1247" spans="2:17" ht="18" customHeight="1" x14ac:dyDescent="0.3">
      <c r="B1247" s="26"/>
      <c r="C1247" s="28"/>
      <c r="D1247" s="27"/>
      <c r="E1247" s="29"/>
      <c r="F1247" s="29"/>
      <c r="G1247" s="29"/>
      <c r="H1247" s="30" t="str">
        <f t="shared" si="133"/>
        <v/>
      </c>
      <c r="I1247" s="31" t="str">
        <f>IF(OR(B1247="",C1247=""),"",IFERROR(E1247*IF(E1247="",0,VLOOKUP(C1247,'📦 Precios Proforma'!$B$5:$D$104,IF(D1247="DIA",2,3),FALSE)),0))</f>
        <v/>
      </c>
      <c r="J1247" s="31" t="str">
        <f t="shared" si="134"/>
        <v/>
      </c>
      <c r="K1247" s="31" t="str">
        <f t="shared" si="135"/>
        <v/>
      </c>
      <c r="L1247" s="31" t="str">
        <f>IF(OR(B1247="",C1247=""),"",IFERROR(E1247 / SUMIFS('📅 Resumen Diario'!$D$5:$D$504, '📅 Resumen Diario'!$B$5:$B$504, B1247, '📅 Resumen Diario'!$C$5:$C$504, D1247) * SUMIFS('📅 Resumen Diario'!$K$5:$K$504, '📅 Resumen Diario'!$B$5:$B$504, B1247, '📅 Resumen Diario'!$C$5:$C$504, D1247), 0))</f>
        <v/>
      </c>
      <c r="M1247" s="31" t="str">
        <f t="shared" si="136"/>
        <v/>
      </c>
      <c r="N1247" s="31" t="str">
        <f t="shared" si="137"/>
        <v/>
      </c>
      <c r="O1247" s="31" t="str">
        <f>IF(OR(B1247="",C1247=""),"",K1247-N1247 + IFERROR(E1247 / SUMIFS('📅 Resumen Diario'!$D$5:$D$504, '📅 Resumen Diario'!$B$5:$B$504, B1247, '📅 Resumen Diario'!$C$5:$C$504, D1247) * (SUMIFS('📋 Detalle Diario'!$E$5:$E$489, '📋 Detalle Diario'!$B$5:$B$489, B1247, '📋 Detalle Diario'!$C$5:$C$489, D1247) * 135 + SUMIFS('📋 Detalle Diario'!$I$5:$I$489, '📋 Detalle Diario'!$B$5:$B$489, B1247, '📋 Detalle Diario'!$C$5:$C$489, D1247) * 200), 0))</f>
        <v/>
      </c>
      <c r="P1247" s="32" t="str">
        <f t="shared" si="138"/>
        <v/>
      </c>
      <c r="Q1247" s="33" t="str">
        <f t="shared" si="139"/>
        <v/>
      </c>
    </row>
    <row r="1248" spans="2:17" ht="18" customHeight="1" x14ac:dyDescent="0.3">
      <c r="B1248" s="26"/>
      <c r="C1248" s="17"/>
      <c r="D1248" s="27"/>
      <c r="E1248" s="18"/>
      <c r="F1248" s="18"/>
      <c r="G1248" s="18"/>
      <c r="H1248" s="30" t="str">
        <f t="shared" si="133"/>
        <v/>
      </c>
      <c r="I1248" s="31" t="str">
        <f>IF(OR(B1248="",C1248=""),"",IFERROR(E1248*IF(E1248="",0,VLOOKUP(C1248,'📦 Precios Proforma'!$B$5:$D$104,IF(D1248="DIA",2,3),FALSE)),0))</f>
        <v/>
      </c>
      <c r="J1248" s="31" t="str">
        <f t="shared" si="134"/>
        <v/>
      </c>
      <c r="K1248" s="31" t="str">
        <f t="shared" si="135"/>
        <v/>
      </c>
      <c r="L1248" s="31" t="str">
        <f>IF(OR(B1248="",C1248=""),"",IFERROR(E1248 / SUMIFS('📅 Resumen Diario'!$D$5:$D$504, '📅 Resumen Diario'!$B$5:$B$504, B1248, '📅 Resumen Diario'!$C$5:$C$504, D1248) * SUMIFS('📅 Resumen Diario'!$K$5:$K$504, '📅 Resumen Diario'!$B$5:$B$504, B1248, '📅 Resumen Diario'!$C$5:$C$504, D1248), 0))</f>
        <v/>
      </c>
      <c r="M1248" s="31" t="str">
        <f t="shared" si="136"/>
        <v/>
      </c>
      <c r="N1248" s="31" t="str">
        <f t="shared" si="137"/>
        <v/>
      </c>
      <c r="O1248" s="31" t="str">
        <f>IF(OR(B1248="",C1248=""),"",K1248-N1248 + IFERROR(E1248 / SUMIFS('📅 Resumen Diario'!$D$5:$D$504, '📅 Resumen Diario'!$B$5:$B$504, B1248, '📅 Resumen Diario'!$C$5:$C$504, D1248) * (SUMIFS('📋 Detalle Diario'!$E$5:$E$489, '📋 Detalle Diario'!$B$5:$B$489, B1248, '📋 Detalle Diario'!$C$5:$C$489, D1248) * 135 + SUMIFS('📋 Detalle Diario'!$I$5:$I$489, '📋 Detalle Diario'!$B$5:$B$489, B1248, '📋 Detalle Diario'!$C$5:$C$489, D1248) * 200), 0))</f>
        <v/>
      </c>
      <c r="P1248" s="32" t="str">
        <f t="shared" si="138"/>
        <v/>
      </c>
      <c r="Q1248" s="33" t="str">
        <f t="shared" si="139"/>
        <v/>
      </c>
    </row>
    <row r="1249" spans="2:17" ht="18" customHeight="1" x14ac:dyDescent="0.3">
      <c r="B1249" s="26"/>
      <c r="C1249" s="28"/>
      <c r="D1249" s="27"/>
      <c r="E1249" s="29"/>
      <c r="F1249" s="29"/>
      <c r="G1249" s="29"/>
      <c r="H1249" s="30" t="str">
        <f t="shared" si="133"/>
        <v/>
      </c>
      <c r="I1249" s="31" t="str">
        <f>IF(OR(B1249="",C1249=""),"",IFERROR(E1249*IF(E1249="",0,VLOOKUP(C1249,'📦 Precios Proforma'!$B$5:$D$104,IF(D1249="DIA",2,3),FALSE)),0))</f>
        <v/>
      </c>
      <c r="J1249" s="31" t="str">
        <f t="shared" si="134"/>
        <v/>
      </c>
      <c r="K1249" s="31" t="str">
        <f t="shared" si="135"/>
        <v/>
      </c>
      <c r="L1249" s="31" t="str">
        <f>IF(OR(B1249="",C1249=""),"",IFERROR(E1249 / SUMIFS('📅 Resumen Diario'!$D$5:$D$504, '📅 Resumen Diario'!$B$5:$B$504, B1249, '📅 Resumen Diario'!$C$5:$C$504, D1249) * SUMIFS('📅 Resumen Diario'!$K$5:$K$504, '📅 Resumen Diario'!$B$5:$B$504, B1249, '📅 Resumen Diario'!$C$5:$C$504, D1249), 0))</f>
        <v/>
      </c>
      <c r="M1249" s="31" t="str">
        <f t="shared" si="136"/>
        <v/>
      </c>
      <c r="N1249" s="31" t="str">
        <f t="shared" si="137"/>
        <v/>
      </c>
      <c r="O1249" s="31" t="str">
        <f>IF(OR(B1249="",C1249=""),"",K1249-N1249 + IFERROR(E1249 / SUMIFS('📅 Resumen Diario'!$D$5:$D$504, '📅 Resumen Diario'!$B$5:$B$504, B1249, '📅 Resumen Diario'!$C$5:$C$504, D1249) * (SUMIFS('📋 Detalle Diario'!$E$5:$E$489, '📋 Detalle Diario'!$B$5:$B$489, B1249, '📋 Detalle Diario'!$C$5:$C$489, D1249) * 135 + SUMIFS('📋 Detalle Diario'!$I$5:$I$489, '📋 Detalle Diario'!$B$5:$B$489, B1249, '📋 Detalle Diario'!$C$5:$C$489, D1249) * 200), 0))</f>
        <v/>
      </c>
      <c r="P1249" s="32" t="str">
        <f t="shared" si="138"/>
        <v/>
      </c>
      <c r="Q1249" s="33" t="str">
        <f t="shared" si="139"/>
        <v/>
      </c>
    </row>
    <row r="1250" spans="2:17" ht="18" customHeight="1" x14ac:dyDescent="0.3">
      <c r="B1250" s="26"/>
      <c r="C1250" s="17"/>
      <c r="D1250" s="27"/>
      <c r="E1250" s="18"/>
      <c r="F1250" s="18"/>
      <c r="G1250" s="18"/>
      <c r="H1250" s="30" t="str">
        <f t="shared" si="133"/>
        <v/>
      </c>
      <c r="I1250" s="31" t="str">
        <f>IF(OR(B1250="",C1250=""),"",IFERROR(E1250*IF(E1250="",0,VLOOKUP(C1250,'📦 Precios Proforma'!$B$5:$D$104,IF(D1250="DIA",2,3),FALSE)),0))</f>
        <v/>
      </c>
      <c r="J1250" s="31" t="str">
        <f t="shared" si="134"/>
        <v/>
      </c>
      <c r="K1250" s="31" t="str">
        <f t="shared" si="135"/>
        <v/>
      </c>
      <c r="L1250" s="31" t="str">
        <f>IF(OR(B1250="",C1250=""),"",IFERROR(E1250 / SUMIFS('📅 Resumen Diario'!$D$5:$D$504, '📅 Resumen Diario'!$B$5:$B$504, B1250, '📅 Resumen Diario'!$C$5:$C$504, D1250) * SUMIFS('📅 Resumen Diario'!$K$5:$K$504, '📅 Resumen Diario'!$B$5:$B$504, B1250, '📅 Resumen Diario'!$C$5:$C$504, D1250), 0))</f>
        <v/>
      </c>
      <c r="M1250" s="31" t="str">
        <f t="shared" si="136"/>
        <v/>
      </c>
      <c r="N1250" s="31" t="str">
        <f t="shared" si="137"/>
        <v/>
      </c>
      <c r="O1250" s="31" t="str">
        <f>IF(OR(B1250="",C1250=""),"",K1250-N1250 + IFERROR(E1250 / SUMIFS('📅 Resumen Diario'!$D$5:$D$504, '📅 Resumen Diario'!$B$5:$B$504, B1250, '📅 Resumen Diario'!$C$5:$C$504, D1250) * (SUMIFS('📋 Detalle Diario'!$E$5:$E$489, '📋 Detalle Diario'!$B$5:$B$489, B1250, '📋 Detalle Diario'!$C$5:$C$489, D1250) * 135 + SUMIFS('📋 Detalle Diario'!$I$5:$I$489, '📋 Detalle Diario'!$B$5:$B$489, B1250, '📋 Detalle Diario'!$C$5:$C$489, D1250) * 200), 0))</f>
        <v/>
      </c>
      <c r="P1250" s="32" t="str">
        <f t="shared" si="138"/>
        <v/>
      </c>
      <c r="Q1250" s="33" t="str">
        <f t="shared" si="139"/>
        <v/>
      </c>
    </row>
    <row r="1251" spans="2:17" ht="18" customHeight="1" x14ac:dyDescent="0.3">
      <c r="B1251" s="26"/>
      <c r="C1251" s="28"/>
      <c r="D1251" s="27"/>
      <c r="E1251" s="29"/>
      <c r="F1251" s="29"/>
      <c r="G1251" s="29"/>
      <c r="H1251" s="30" t="str">
        <f t="shared" si="133"/>
        <v/>
      </c>
      <c r="I1251" s="31" t="str">
        <f>IF(OR(B1251="",C1251=""),"",IFERROR(E1251*IF(E1251="",0,VLOOKUP(C1251,'📦 Precios Proforma'!$B$5:$D$104,IF(D1251="DIA",2,3),FALSE)),0))</f>
        <v/>
      </c>
      <c r="J1251" s="31" t="str">
        <f t="shared" si="134"/>
        <v/>
      </c>
      <c r="K1251" s="31" t="str">
        <f t="shared" si="135"/>
        <v/>
      </c>
      <c r="L1251" s="31" t="str">
        <f>IF(OR(B1251="",C1251=""),"",IFERROR(E1251 / SUMIFS('📅 Resumen Diario'!$D$5:$D$504, '📅 Resumen Diario'!$B$5:$B$504, B1251, '📅 Resumen Diario'!$C$5:$C$504, D1251) * SUMIFS('📅 Resumen Diario'!$K$5:$K$504, '📅 Resumen Diario'!$B$5:$B$504, B1251, '📅 Resumen Diario'!$C$5:$C$504, D1251), 0))</f>
        <v/>
      </c>
      <c r="M1251" s="31" t="str">
        <f t="shared" si="136"/>
        <v/>
      </c>
      <c r="N1251" s="31" t="str">
        <f t="shared" si="137"/>
        <v/>
      </c>
      <c r="O1251" s="31" t="str">
        <f>IF(OR(B1251="",C1251=""),"",K1251-N1251 + IFERROR(E1251 / SUMIFS('📅 Resumen Diario'!$D$5:$D$504, '📅 Resumen Diario'!$B$5:$B$504, B1251, '📅 Resumen Diario'!$C$5:$C$504, D1251) * (SUMIFS('📋 Detalle Diario'!$E$5:$E$489, '📋 Detalle Diario'!$B$5:$B$489, B1251, '📋 Detalle Diario'!$C$5:$C$489, D1251) * 135 + SUMIFS('📋 Detalle Diario'!$I$5:$I$489, '📋 Detalle Diario'!$B$5:$B$489, B1251, '📋 Detalle Diario'!$C$5:$C$489, D1251) * 200), 0))</f>
        <v/>
      </c>
      <c r="P1251" s="32" t="str">
        <f t="shared" si="138"/>
        <v/>
      </c>
      <c r="Q1251" s="33" t="str">
        <f t="shared" si="139"/>
        <v/>
      </c>
    </row>
    <row r="1252" spans="2:17" ht="18" customHeight="1" x14ac:dyDescent="0.3">
      <c r="B1252" s="26"/>
      <c r="C1252" s="17"/>
      <c r="D1252" s="27"/>
      <c r="E1252" s="18"/>
      <c r="F1252" s="18"/>
      <c r="G1252" s="18"/>
      <c r="H1252" s="30" t="str">
        <f t="shared" si="133"/>
        <v/>
      </c>
      <c r="I1252" s="31" t="str">
        <f>IF(OR(B1252="",C1252=""),"",IFERROR(E1252*IF(E1252="",0,VLOOKUP(C1252,'📦 Precios Proforma'!$B$5:$D$104,IF(D1252="DIA",2,3),FALSE)),0))</f>
        <v/>
      </c>
      <c r="J1252" s="31" t="str">
        <f t="shared" si="134"/>
        <v/>
      </c>
      <c r="K1252" s="31" t="str">
        <f t="shared" si="135"/>
        <v/>
      </c>
      <c r="L1252" s="31" t="str">
        <f>IF(OR(B1252="",C1252=""),"",IFERROR(E1252 / SUMIFS('📅 Resumen Diario'!$D$5:$D$504, '📅 Resumen Diario'!$B$5:$B$504, B1252, '📅 Resumen Diario'!$C$5:$C$504, D1252) * SUMIFS('📅 Resumen Diario'!$K$5:$K$504, '📅 Resumen Diario'!$B$5:$B$504, B1252, '📅 Resumen Diario'!$C$5:$C$504, D1252), 0))</f>
        <v/>
      </c>
      <c r="M1252" s="31" t="str">
        <f t="shared" si="136"/>
        <v/>
      </c>
      <c r="N1252" s="31" t="str">
        <f t="shared" si="137"/>
        <v/>
      </c>
      <c r="O1252" s="31" t="str">
        <f>IF(OR(B1252="",C1252=""),"",K1252-N1252 + IFERROR(E1252 / SUMIFS('📅 Resumen Diario'!$D$5:$D$504, '📅 Resumen Diario'!$B$5:$B$504, B1252, '📅 Resumen Diario'!$C$5:$C$504, D1252) * (SUMIFS('📋 Detalle Diario'!$E$5:$E$489, '📋 Detalle Diario'!$B$5:$B$489, B1252, '📋 Detalle Diario'!$C$5:$C$489, D1252) * 135 + SUMIFS('📋 Detalle Diario'!$I$5:$I$489, '📋 Detalle Diario'!$B$5:$B$489, B1252, '📋 Detalle Diario'!$C$5:$C$489, D1252) * 200), 0))</f>
        <v/>
      </c>
      <c r="P1252" s="32" t="str">
        <f t="shared" si="138"/>
        <v/>
      </c>
      <c r="Q1252" s="33" t="str">
        <f t="shared" si="139"/>
        <v/>
      </c>
    </row>
    <row r="1253" spans="2:17" ht="18" customHeight="1" x14ac:dyDescent="0.3">
      <c r="B1253" s="26"/>
      <c r="C1253" s="28"/>
      <c r="D1253" s="27"/>
      <c r="E1253" s="29"/>
      <c r="F1253" s="29"/>
      <c r="G1253" s="29"/>
      <c r="H1253" s="30" t="str">
        <f t="shared" si="133"/>
        <v/>
      </c>
      <c r="I1253" s="31" t="str">
        <f>IF(OR(B1253="",C1253=""),"",IFERROR(E1253*IF(E1253="",0,VLOOKUP(C1253,'📦 Precios Proforma'!$B$5:$D$104,IF(D1253="DIA",2,3),FALSE)),0))</f>
        <v/>
      </c>
      <c r="J1253" s="31" t="str">
        <f t="shared" si="134"/>
        <v/>
      </c>
      <c r="K1253" s="31" t="str">
        <f t="shared" si="135"/>
        <v/>
      </c>
      <c r="L1253" s="31" t="str">
        <f>IF(OR(B1253="",C1253=""),"",IFERROR(E1253 / SUMIFS('📅 Resumen Diario'!$D$5:$D$504, '📅 Resumen Diario'!$B$5:$B$504, B1253, '📅 Resumen Diario'!$C$5:$C$504, D1253) * SUMIFS('📅 Resumen Diario'!$K$5:$K$504, '📅 Resumen Diario'!$B$5:$B$504, B1253, '📅 Resumen Diario'!$C$5:$C$504, D1253), 0))</f>
        <v/>
      </c>
      <c r="M1253" s="31" t="str">
        <f t="shared" si="136"/>
        <v/>
      </c>
      <c r="N1253" s="31" t="str">
        <f t="shared" si="137"/>
        <v/>
      </c>
      <c r="O1253" s="31" t="str">
        <f>IF(OR(B1253="",C1253=""),"",K1253-N1253 + IFERROR(E1253 / SUMIFS('📅 Resumen Diario'!$D$5:$D$504, '📅 Resumen Diario'!$B$5:$B$504, B1253, '📅 Resumen Diario'!$C$5:$C$504, D1253) * (SUMIFS('📋 Detalle Diario'!$E$5:$E$489, '📋 Detalle Diario'!$B$5:$B$489, B1253, '📋 Detalle Diario'!$C$5:$C$489, D1253) * 135 + SUMIFS('📋 Detalle Diario'!$I$5:$I$489, '📋 Detalle Diario'!$B$5:$B$489, B1253, '📋 Detalle Diario'!$C$5:$C$489, D1253) * 200), 0))</f>
        <v/>
      </c>
      <c r="P1253" s="32" t="str">
        <f t="shared" si="138"/>
        <v/>
      </c>
      <c r="Q1253" s="33" t="str">
        <f t="shared" si="139"/>
        <v/>
      </c>
    </row>
    <row r="1254" spans="2:17" ht="18" customHeight="1" x14ac:dyDescent="0.3">
      <c r="B1254" s="26"/>
      <c r="C1254" s="17"/>
      <c r="D1254" s="27"/>
      <c r="E1254" s="18"/>
      <c r="F1254" s="18"/>
      <c r="G1254" s="18"/>
      <c r="H1254" s="30" t="str">
        <f t="shared" si="133"/>
        <v/>
      </c>
      <c r="I1254" s="31" t="str">
        <f>IF(OR(B1254="",C1254=""),"",IFERROR(E1254*IF(E1254="",0,VLOOKUP(C1254,'📦 Precios Proforma'!$B$5:$D$104,IF(D1254="DIA",2,3),FALSE)),0))</f>
        <v/>
      </c>
      <c r="J1254" s="31" t="str">
        <f t="shared" si="134"/>
        <v/>
      </c>
      <c r="K1254" s="31" t="str">
        <f t="shared" si="135"/>
        <v/>
      </c>
      <c r="L1254" s="31" t="str">
        <f>IF(OR(B1254="",C1254=""),"",IFERROR(E1254 / SUMIFS('📅 Resumen Diario'!$D$5:$D$504, '📅 Resumen Diario'!$B$5:$B$504, B1254, '📅 Resumen Diario'!$C$5:$C$504, D1254) * SUMIFS('📅 Resumen Diario'!$K$5:$K$504, '📅 Resumen Diario'!$B$5:$B$504, B1254, '📅 Resumen Diario'!$C$5:$C$504, D1254), 0))</f>
        <v/>
      </c>
      <c r="M1254" s="31" t="str">
        <f t="shared" si="136"/>
        <v/>
      </c>
      <c r="N1254" s="31" t="str">
        <f t="shared" si="137"/>
        <v/>
      </c>
      <c r="O1254" s="31" t="str">
        <f>IF(OR(B1254="",C1254=""),"",K1254-N1254 + IFERROR(E1254 / SUMIFS('📅 Resumen Diario'!$D$5:$D$504, '📅 Resumen Diario'!$B$5:$B$504, B1254, '📅 Resumen Diario'!$C$5:$C$504, D1254) * (SUMIFS('📋 Detalle Diario'!$E$5:$E$489, '📋 Detalle Diario'!$B$5:$B$489, B1254, '📋 Detalle Diario'!$C$5:$C$489, D1254) * 135 + SUMIFS('📋 Detalle Diario'!$I$5:$I$489, '📋 Detalle Diario'!$B$5:$B$489, B1254, '📋 Detalle Diario'!$C$5:$C$489, D1254) * 200), 0))</f>
        <v/>
      </c>
      <c r="P1254" s="32" t="str">
        <f t="shared" si="138"/>
        <v/>
      </c>
      <c r="Q1254" s="33" t="str">
        <f t="shared" si="139"/>
        <v/>
      </c>
    </row>
    <row r="1255" spans="2:17" ht="18" customHeight="1" x14ac:dyDescent="0.3">
      <c r="B1255" s="26"/>
      <c r="C1255" s="28"/>
      <c r="D1255" s="27"/>
      <c r="E1255" s="29"/>
      <c r="F1255" s="29"/>
      <c r="G1255" s="29"/>
      <c r="H1255" s="30" t="str">
        <f t="shared" si="133"/>
        <v/>
      </c>
      <c r="I1255" s="31" t="str">
        <f>IF(OR(B1255="",C1255=""),"",IFERROR(E1255*IF(E1255="",0,VLOOKUP(C1255,'📦 Precios Proforma'!$B$5:$D$104,IF(D1255="DIA",2,3),FALSE)),0))</f>
        <v/>
      </c>
      <c r="J1255" s="31" t="str">
        <f t="shared" si="134"/>
        <v/>
      </c>
      <c r="K1255" s="31" t="str">
        <f t="shared" si="135"/>
        <v/>
      </c>
      <c r="L1255" s="31" t="str">
        <f>IF(OR(B1255="",C1255=""),"",IFERROR(E1255 / SUMIFS('📅 Resumen Diario'!$D$5:$D$504, '📅 Resumen Diario'!$B$5:$B$504, B1255, '📅 Resumen Diario'!$C$5:$C$504, D1255) * SUMIFS('📅 Resumen Diario'!$K$5:$K$504, '📅 Resumen Diario'!$B$5:$B$504, B1255, '📅 Resumen Diario'!$C$5:$C$504, D1255), 0))</f>
        <v/>
      </c>
      <c r="M1255" s="31" t="str">
        <f t="shared" si="136"/>
        <v/>
      </c>
      <c r="N1255" s="31" t="str">
        <f t="shared" si="137"/>
        <v/>
      </c>
      <c r="O1255" s="31" t="str">
        <f>IF(OR(B1255="",C1255=""),"",K1255-N1255 + IFERROR(E1255 / SUMIFS('📅 Resumen Diario'!$D$5:$D$504, '📅 Resumen Diario'!$B$5:$B$504, B1255, '📅 Resumen Diario'!$C$5:$C$504, D1255) * (SUMIFS('📋 Detalle Diario'!$E$5:$E$489, '📋 Detalle Diario'!$B$5:$B$489, B1255, '📋 Detalle Diario'!$C$5:$C$489, D1255) * 135 + SUMIFS('📋 Detalle Diario'!$I$5:$I$489, '📋 Detalle Diario'!$B$5:$B$489, B1255, '📋 Detalle Diario'!$C$5:$C$489, D1255) * 200), 0))</f>
        <v/>
      </c>
      <c r="P1255" s="32" t="str">
        <f t="shared" si="138"/>
        <v/>
      </c>
      <c r="Q1255" s="33" t="str">
        <f t="shared" si="139"/>
        <v/>
      </c>
    </row>
    <row r="1256" spans="2:17" ht="18" customHeight="1" x14ac:dyDescent="0.3">
      <c r="B1256" s="26"/>
      <c r="C1256" s="17"/>
      <c r="D1256" s="27"/>
      <c r="E1256" s="18"/>
      <c r="F1256" s="18"/>
      <c r="G1256" s="18"/>
      <c r="H1256" s="30" t="str">
        <f t="shared" si="133"/>
        <v/>
      </c>
      <c r="I1256" s="31" t="str">
        <f>IF(OR(B1256="",C1256=""),"",IFERROR(E1256*IF(E1256="",0,VLOOKUP(C1256,'📦 Precios Proforma'!$B$5:$D$104,IF(D1256="DIA",2,3),FALSE)),0))</f>
        <v/>
      </c>
      <c r="J1256" s="31" t="str">
        <f t="shared" si="134"/>
        <v/>
      </c>
      <c r="K1256" s="31" t="str">
        <f t="shared" si="135"/>
        <v/>
      </c>
      <c r="L1256" s="31" t="str">
        <f>IF(OR(B1256="",C1256=""),"",IFERROR(E1256 / SUMIFS('📅 Resumen Diario'!$D$5:$D$504, '📅 Resumen Diario'!$B$5:$B$504, B1256, '📅 Resumen Diario'!$C$5:$C$504, D1256) * SUMIFS('📅 Resumen Diario'!$K$5:$K$504, '📅 Resumen Diario'!$B$5:$B$504, B1256, '📅 Resumen Diario'!$C$5:$C$504, D1256), 0))</f>
        <v/>
      </c>
      <c r="M1256" s="31" t="str">
        <f t="shared" si="136"/>
        <v/>
      </c>
      <c r="N1256" s="31" t="str">
        <f t="shared" si="137"/>
        <v/>
      </c>
      <c r="O1256" s="31" t="str">
        <f>IF(OR(B1256="",C1256=""),"",K1256-N1256 + IFERROR(E1256 / SUMIFS('📅 Resumen Diario'!$D$5:$D$504, '📅 Resumen Diario'!$B$5:$B$504, B1256, '📅 Resumen Diario'!$C$5:$C$504, D1256) * (SUMIFS('📋 Detalle Diario'!$E$5:$E$489, '📋 Detalle Diario'!$B$5:$B$489, B1256, '📋 Detalle Diario'!$C$5:$C$489, D1256) * 135 + SUMIFS('📋 Detalle Diario'!$I$5:$I$489, '📋 Detalle Diario'!$B$5:$B$489, B1256, '📋 Detalle Diario'!$C$5:$C$489, D1256) * 200), 0))</f>
        <v/>
      </c>
      <c r="P1256" s="32" t="str">
        <f t="shared" si="138"/>
        <v/>
      </c>
      <c r="Q1256" s="33" t="str">
        <f t="shared" si="139"/>
        <v/>
      </c>
    </row>
    <row r="1257" spans="2:17" ht="18" customHeight="1" x14ac:dyDescent="0.3">
      <c r="B1257" s="26"/>
      <c r="C1257" s="28"/>
      <c r="D1257" s="27"/>
      <c r="E1257" s="29"/>
      <c r="F1257" s="29"/>
      <c r="G1257" s="29"/>
      <c r="H1257" s="30" t="str">
        <f t="shared" si="133"/>
        <v/>
      </c>
      <c r="I1257" s="31" t="str">
        <f>IF(OR(B1257="",C1257=""),"",IFERROR(E1257*IF(E1257="",0,VLOOKUP(C1257,'📦 Precios Proforma'!$B$5:$D$104,IF(D1257="DIA",2,3),FALSE)),0))</f>
        <v/>
      </c>
      <c r="J1257" s="31" t="str">
        <f t="shared" si="134"/>
        <v/>
      </c>
      <c r="K1257" s="31" t="str">
        <f t="shared" si="135"/>
        <v/>
      </c>
      <c r="L1257" s="31" t="str">
        <f>IF(OR(B1257="",C1257=""),"",IFERROR(E1257 / SUMIFS('📅 Resumen Diario'!$D$5:$D$504, '📅 Resumen Diario'!$B$5:$B$504, B1257, '📅 Resumen Diario'!$C$5:$C$504, D1257) * SUMIFS('📅 Resumen Diario'!$K$5:$K$504, '📅 Resumen Diario'!$B$5:$B$504, B1257, '📅 Resumen Diario'!$C$5:$C$504, D1257), 0))</f>
        <v/>
      </c>
      <c r="M1257" s="31" t="str">
        <f t="shared" si="136"/>
        <v/>
      </c>
      <c r="N1257" s="31" t="str">
        <f t="shared" si="137"/>
        <v/>
      </c>
      <c r="O1257" s="31" t="str">
        <f>IF(OR(B1257="",C1257=""),"",K1257-N1257 + IFERROR(E1257 / SUMIFS('📅 Resumen Diario'!$D$5:$D$504, '📅 Resumen Diario'!$B$5:$B$504, B1257, '📅 Resumen Diario'!$C$5:$C$504, D1257) * (SUMIFS('📋 Detalle Diario'!$E$5:$E$489, '📋 Detalle Diario'!$B$5:$B$489, B1257, '📋 Detalle Diario'!$C$5:$C$489, D1257) * 135 + SUMIFS('📋 Detalle Diario'!$I$5:$I$489, '📋 Detalle Diario'!$B$5:$B$489, B1257, '📋 Detalle Diario'!$C$5:$C$489, D1257) * 200), 0))</f>
        <v/>
      </c>
      <c r="P1257" s="32" t="str">
        <f t="shared" si="138"/>
        <v/>
      </c>
      <c r="Q1257" s="33" t="str">
        <f t="shared" si="139"/>
        <v/>
      </c>
    </row>
    <row r="1258" spans="2:17" ht="18" customHeight="1" x14ac:dyDescent="0.3">
      <c r="B1258" s="26"/>
      <c r="C1258" s="17"/>
      <c r="D1258" s="27"/>
      <c r="E1258" s="18"/>
      <c r="F1258" s="18"/>
      <c r="G1258" s="18"/>
      <c r="H1258" s="30" t="str">
        <f t="shared" si="133"/>
        <v/>
      </c>
      <c r="I1258" s="31" t="str">
        <f>IF(OR(B1258="",C1258=""),"",IFERROR(E1258*IF(E1258="",0,VLOOKUP(C1258,'📦 Precios Proforma'!$B$5:$D$104,IF(D1258="DIA",2,3),FALSE)),0))</f>
        <v/>
      </c>
      <c r="J1258" s="31" t="str">
        <f t="shared" si="134"/>
        <v/>
      </c>
      <c r="K1258" s="31" t="str">
        <f t="shared" si="135"/>
        <v/>
      </c>
      <c r="L1258" s="31" t="str">
        <f>IF(OR(B1258="",C1258=""),"",IFERROR(E1258 / SUMIFS('📅 Resumen Diario'!$D$5:$D$504, '📅 Resumen Diario'!$B$5:$B$504, B1258, '📅 Resumen Diario'!$C$5:$C$504, D1258) * SUMIFS('📅 Resumen Diario'!$K$5:$K$504, '📅 Resumen Diario'!$B$5:$B$504, B1258, '📅 Resumen Diario'!$C$5:$C$504, D1258), 0))</f>
        <v/>
      </c>
      <c r="M1258" s="31" t="str">
        <f t="shared" si="136"/>
        <v/>
      </c>
      <c r="N1258" s="31" t="str">
        <f t="shared" si="137"/>
        <v/>
      </c>
      <c r="O1258" s="31" t="str">
        <f>IF(OR(B1258="",C1258=""),"",K1258-N1258 + IFERROR(E1258 / SUMIFS('📅 Resumen Diario'!$D$5:$D$504, '📅 Resumen Diario'!$B$5:$B$504, B1258, '📅 Resumen Diario'!$C$5:$C$504, D1258) * (SUMIFS('📋 Detalle Diario'!$E$5:$E$489, '📋 Detalle Diario'!$B$5:$B$489, B1258, '📋 Detalle Diario'!$C$5:$C$489, D1258) * 135 + SUMIFS('📋 Detalle Diario'!$I$5:$I$489, '📋 Detalle Diario'!$B$5:$B$489, B1258, '📋 Detalle Diario'!$C$5:$C$489, D1258) * 200), 0))</f>
        <v/>
      </c>
      <c r="P1258" s="32" t="str">
        <f t="shared" si="138"/>
        <v/>
      </c>
      <c r="Q1258" s="33" t="str">
        <f t="shared" si="139"/>
        <v/>
      </c>
    </row>
    <row r="1259" spans="2:17" ht="18" customHeight="1" x14ac:dyDescent="0.3">
      <c r="B1259" s="26"/>
      <c r="C1259" s="28"/>
      <c r="D1259" s="27"/>
      <c r="E1259" s="29"/>
      <c r="F1259" s="29"/>
      <c r="G1259" s="29"/>
      <c r="H1259" s="30" t="str">
        <f t="shared" si="133"/>
        <v/>
      </c>
      <c r="I1259" s="31" t="str">
        <f>IF(OR(B1259="",C1259=""),"",IFERROR(E1259*IF(E1259="",0,VLOOKUP(C1259,'📦 Precios Proforma'!$B$5:$D$104,IF(D1259="DIA",2,3),FALSE)),0))</f>
        <v/>
      </c>
      <c r="J1259" s="31" t="str">
        <f t="shared" si="134"/>
        <v/>
      </c>
      <c r="K1259" s="31" t="str">
        <f t="shared" si="135"/>
        <v/>
      </c>
      <c r="L1259" s="31" t="str">
        <f>IF(OR(B1259="",C1259=""),"",IFERROR(E1259 / SUMIFS('📅 Resumen Diario'!$D$5:$D$504, '📅 Resumen Diario'!$B$5:$B$504, B1259, '📅 Resumen Diario'!$C$5:$C$504, D1259) * SUMIFS('📅 Resumen Diario'!$K$5:$K$504, '📅 Resumen Diario'!$B$5:$B$504, B1259, '📅 Resumen Diario'!$C$5:$C$504, D1259), 0))</f>
        <v/>
      </c>
      <c r="M1259" s="31" t="str">
        <f t="shared" si="136"/>
        <v/>
      </c>
      <c r="N1259" s="31" t="str">
        <f t="shared" si="137"/>
        <v/>
      </c>
      <c r="O1259" s="31" t="str">
        <f>IF(OR(B1259="",C1259=""),"",K1259-N1259 + IFERROR(E1259 / SUMIFS('📅 Resumen Diario'!$D$5:$D$504, '📅 Resumen Diario'!$B$5:$B$504, B1259, '📅 Resumen Diario'!$C$5:$C$504, D1259) * (SUMIFS('📋 Detalle Diario'!$E$5:$E$489, '📋 Detalle Diario'!$B$5:$B$489, B1259, '📋 Detalle Diario'!$C$5:$C$489, D1259) * 135 + SUMIFS('📋 Detalle Diario'!$I$5:$I$489, '📋 Detalle Diario'!$B$5:$B$489, B1259, '📋 Detalle Diario'!$C$5:$C$489, D1259) * 200), 0))</f>
        <v/>
      </c>
      <c r="P1259" s="32" t="str">
        <f t="shared" si="138"/>
        <v/>
      </c>
      <c r="Q1259" s="33" t="str">
        <f t="shared" si="139"/>
        <v/>
      </c>
    </row>
    <row r="1260" spans="2:17" ht="18" customHeight="1" x14ac:dyDescent="0.3">
      <c r="B1260" s="26"/>
      <c r="C1260" s="17"/>
      <c r="D1260" s="27"/>
      <c r="E1260" s="18"/>
      <c r="F1260" s="18"/>
      <c r="G1260" s="18"/>
      <c r="H1260" s="30" t="str">
        <f t="shared" si="133"/>
        <v/>
      </c>
      <c r="I1260" s="31" t="str">
        <f>IF(OR(B1260="",C1260=""),"",IFERROR(E1260*IF(E1260="",0,VLOOKUP(C1260,'📦 Precios Proforma'!$B$5:$D$104,IF(D1260="DIA",2,3),FALSE)),0))</f>
        <v/>
      </c>
      <c r="J1260" s="31" t="str">
        <f t="shared" si="134"/>
        <v/>
      </c>
      <c r="K1260" s="31" t="str">
        <f t="shared" si="135"/>
        <v/>
      </c>
      <c r="L1260" s="31" t="str">
        <f>IF(OR(B1260="",C1260=""),"",IFERROR(E1260 / SUMIFS('📅 Resumen Diario'!$D$5:$D$504, '📅 Resumen Diario'!$B$5:$B$504, B1260, '📅 Resumen Diario'!$C$5:$C$504, D1260) * SUMIFS('📅 Resumen Diario'!$K$5:$K$504, '📅 Resumen Diario'!$B$5:$B$504, B1260, '📅 Resumen Diario'!$C$5:$C$504, D1260), 0))</f>
        <v/>
      </c>
      <c r="M1260" s="31" t="str">
        <f t="shared" si="136"/>
        <v/>
      </c>
      <c r="N1260" s="31" t="str">
        <f t="shared" si="137"/>
        <v/>
      </c>
      <c r="O1260" s="31" t="str">
        <f>IF(OR(B1260="",C1260=""),"",K1260-N1260 + IFERROR(E1260 / SUMIFS('📅 Resumen Diario'!$D$5:$D$504, '📅 Resumen Diario'!$B$5:$B$504, B1260, '📅 Resumen Diario'!$C$5:$C$504, D1260) * (SUMIFS('📋 Detalle Diario'!$E$5:$E$489, '📋 Detalle Diario'!$B$5:$B$489, B1260, '📋 Detalle Diario'!$C$5:$C$489, D1260) * 135 + SUMIFS('📋 Detalle Diario'!$I$5:$I$489, '📋 Detalle Diario'!$B$5:$B$489, B1260, '📋 Detalle Diario'!$C$5:$C$489, D1260) * 200), 0))</f>
        <v/>
      </c>
      <c r="P1260" s="32" t="str">
        <f t="shared" si="138"/>
        <v/>
      </c>
      <c r="Q1260" s="33" t="str">
        <f t="shared" si="139"/>
        <v/>
      </c>
    </row>
    <row r="1261" spans="2:17" ht="18" customHeight="1" x14ac:dyDescent="0.3">
      <c r="B1261" s="26"/>
      <c r="C1261" s="28"/>
      <c r="D1261" s="27"/>
      <c r="E1261" s="29"/>
      <c r="F1261" s="29"/>
      <c r="G1261" s="29"/>
      <c r="H1261" s="30" t="str">
        <f t="shared" si="133"/>
        <v/>
      </c>
      <c r="I1261" s="31" t="str">
        <f>IF(OR(B1261="",C1261=""),"",IFERROR(E1261*IF(E1261="",0,VLOOKUP(C1261,'📦 Precios Proforma'!$B$5:$D$104,IF(D1261="DIA",2,3),FALSE)),0))</f>
        <v/>
      </c>
      <c r="J1261" s="31" t="str">
        <f t="shared" si="134"/>
        <v/>
      </c>
      <c r="K1261" s="31" t="str">
        <f t="shared" si="135"/>
        <v/>
      </c>
      <c r="L1261" s="31" t="str">
        <f>IF(OR(B1261="",C1261=""),"",IFERROR(E1261 / SUMIFS('📅 Resumen Diario'!$D$5:$D$504, '📅 Resumen Diario'!$B$5:$B$504, B1261, '📅 Resumen Diario'!$C$5:$C$504, D1261) * SUMIFS('📅 Resumen Diario'!$K$5:$K$504, '📅 Resumen Diario'!$B$5:$B$504, B1261, '📅 Resumen Diario'!$C$5:$C$504, D1261), 0))</f>
        <v/>
      </c>
      <c r="M1261" s="31" t="str">
        <f t="shared" si="136"/>
        <v/>
      </c>
      <c r="N1261" s="31" t="str">
        <f t="shared" si="137"/>
        <v/>
      </c>
      <c r="O1261" s="31" t="str">
        <f>IF(OR(B1261="",C1261=""),"",K1261-N1261 + IFERROR(E1261 / SUMIFS('📅 Resumen Diario'!$D$5:$D$504, '📅 Resumen Diario'!$B$5:$B$504, B1261, '📅 Resumen Diario'!$C$5:$C$504, D1261) * (SUMIFS('📋 Detalle Diario'!$E$5:$E$489, '📋 Detalle Diario'!$B$5:$B$489, B1261, '📋 Detalle Diario'!$C$5:$C$489, D1261) * 135 + SUMIFS('📋 Detalle Diario'!$I$5:$I$489, '📋 Detalle Diario'!$B$5:$B$489, B1261, '📋 Detalle Diario'!$C$5:$C$489, D1261) * 200), 0))</f>
        <v/>
      </c>
      <c r="P1261" s="32" t="str">
        <f t="shared" si="138"/>
        <v/>
      </c>
      <c r="Q1261" s="33" t="str">
        <f t="shared" si="139"/>
        <v/>
      </c>
    </row>
    <row r="1262" spans="2:17" ht="18" customHeight="1" x14ac:dyDescent="0.3">
      <c r="B1262" s="26"/>
      <c r="C1262" s="17"/>
      <c r="D1262" s="27"/>
      <c r="E1262" s="18"/>
      <c r="F1262" s="18"/>
      <c r="G1262" s="18"/>
      <c r="H1262" s="30" t="str">
        <f t="shared" si="133"/>
        <v/>
      </c>
      <c r="I1262" s="31" t="str">
        <f>IF(OR(B1262="",C1262=""),"",IFERROR(E1262*IF(E1262="",0,VLOOKUP(C1262,'📦 Precios Proforma'!$B$5:$D$104,IF(D1262="DIA",2,3),FALSE)),0))</f>
        <v/>
      </c>
      <c r="J1262" s="31" t="str">
        <f t="shared" si="134"/>
        <v/>
      </c>
      <c r="K1262" s="31" t="str">
        <f t="shared" si="135"/>
        <v/>
      </c>
      <c r="L1262" s="31" t="str">
        <f>IF(OR(B1262="",C1262=""),"",IFERROR(E1262 / SUMIFS('📅 Resumen Diario'!$D$5:$D$504, '📅 Resumen Diario'!$B$5:$B$504, B1262, '📅 Resumen Diario'!$C$5:$C$504, D1262) * SUMIFS('📅 Resumen Diario'!$K$5:$K$504, '📅 Resumen Diario'!$B$5:$B$504, B1262, '📅 Resumen Diario'!$C$5:$C$504, D1262), 0))</f>
        <v/>
      </c>
      <c r="M1262" s="31" t="str">
        <f t="shared" si="136"/>
        <v/>
      </c>
      <c r="N1262" s="31" t="str">
        <f t="shared" si="137"/>
        <v/>
      </c>
      <c r="O1262" s="31" t="str">
        <f>IF(OR(B1262="",C1262=""),"",K1262-N1262 + IFERROR(E1262 / SUMIFS('📅 Resumen Diario'!$D$5:$D$504, '📅 Resumen Diario'!$B$5:$B$504, B1262, '📅 Resumen Diario'!$C$5:$C$504, D1262) * (SUMIFS('📋 Detalle Diario'!$E$5:$E$489, '📋 Detalle Diario'!$B$5:$B$489, B1262, '📋 Detalle Diario'!$C$5:$C$489, D1262) * 135 + SUMIFS('📋 Detalle Diario'!$I$5:$I$489, '📋 Detalle Diario'!$B$5:$B$489, B1262, '📋 Detalle Diario'!$C$5:$C$489, D1262) * 200), 0))</f>
        <v/>
      </c>
      <c r="P1262" s="32" t="str">
        <f t="shared" si="138"/>
        <v/>
      </c>
      <c r="Q1262" s="33" t="str">
        <f t="shared" si="139"/>
        <v/>
      </c>
    </row>
    <row r="1263" spans="2:17" ht="18" customHeight="1" x14ac:dyDescent="0.3">
      <c r="B1263" s="26"/>
      <c r="C1263" s="28"/>
      <c r="D1263" s="27"/>
      <c r="E1263" s="29"/>
      <c r="F1263" s="29"/>
      <c r="G1263" s="29"/>
      <c r="H1263" s="30" t="str">
        <f t="shared" si="133"/>
        <v/>
      </c>
      <c r="I1263" s="31" t="str">
        <f>IF(OR(B1263="",C1263=""),"",IFERROR(E1263*IF(E1263="",0,VLOOKUP(C1263,'📦 Precios Proforma'!$B$5:$D$104,IF(D1263="DIA",2,3),FALSE)),0))</f>
        <v/>
      </c>
      <c r="J1263" s="31" t="str">
        <f t="shared" si="134"/>
        <v/>
      </c>
      <c r="K1263" s="31" t="str">
        <f t="shared" si="135"/>
        <v/>
      </c>
      <c r="L1263" s="31" t="str">
        <f>IF(OR(B1263="",C1263=""),"",IFERROR(E1263 / SUMIFS('📅 Resumen Diario'!$D$5:$D$504, '📅 Resumen Diario'!$B$5:$B$504, B1263, '📅 Resumen Diario'!$C$5:$C$504, D1263) * SUMIFS('📅 Resumen Diario'!$K$5:$K$504, '📅 Resumen Diario'!$B$5:$B$504, B1263, '📅 Resumen Diario'!$C$5:$C$504, D1263), 0))</f>
        <v/>
      </c>
      <c r="M1263" s="31" t="str">
        <f t="shared" si="136"/>
        <v/>
      </c>
      <c r="N1263" s="31" t="str">
        <f t="shared" si="137"/>
        <v/>
      </c>
      <c r="O1263" s="31" t="str">
        <f>IF(OR(B1263="",C1263=""),"",K1263-N1263 + IFERROR(E1263 / SUMIFS('📅 Resumen Diario'!$D$5:$D$504, '📅 Resumen Diario'!$B$5:$B$504, B1263, '📅 Resumen Diario'!$C$5:$C$504, D1263) * (SUMIFS('📋 Detalle Diario'!$E$5:$E$489, '📋 Detalle Diario'!$B$5:$B$489, B1263, '📋 Detalle Diario'!$C$5:$C$489, D1263) * 135 + SUMIFS('📋 Detalle Diario'!$I$5:$I$489, '📋 Detalle Diario'!$B$5:$B$489, B1263, '📋 Detalle Diario'!$C$5:$C$489, D1263) * 200), 0))</f>
        <v/>
      </c>
      <c r="P1263" s="32" t="str">
        <f t="shared" si="138"/>
        <v/>
      </c>
      <c r="Q1263" s="33" t="str">
        <f t="shared" si="139"/>
        <v/>
      </c>
    </row>
    <row r="1264" spans="2:17" ht="18" customHeight="1" x14ac:dyDescent="0.3">
      <c r="B1264" s="26"/>
      <c r="C1264" s="17"/>
      <c r="D1264" s="27"/>
      <c r="E1264" s="18"/>
      <c r="F1264" s="18"/>
      <c r="G1264" s="18"/>
      <c r="H1264" s="30" t="str">
        <f t="shared" si="133"/>
        <v/>
      </c>
      <c r="I1264" s="31" t="str">
        <f>IF(OR(B1264="",C1264=""),"",IFERROR(E1264*IF(E1264="",0,VLOOKUP(C1264,'📦 Precios Proforma'!$B$5:$D$104,IF(D1264="DIA",2,3),FALSE)),0))</f>
        <v/>
      </c>
      <c r="J1264" s="31" t="str">
        <f t="shared" si="134"/>
        <v/>
      </c>
      <c r="K1264" s="31" t="str">
        <f t="shared" si="135"/>
        <v/>
      </c>
      <c r="L1264" s="31" t="str">
        <f>IF(OR(B1264="",C1264=""),"",IFERROR(E1264 / SUMIFS('📅 Resumen Diario'!$D$5:$D$504, '📅 Resumen Diario'!$B$5:$B$504, B1264, '📅 Resumen Diario'!$C$5:$C$504, D1264) * SUMIFS('📅 Resumen Diario'!$K$5:$K$504, '📅 Resumen Diario'!$B$5:$B$504, B1264, '📅 Resumen Diario'!$C$5:$C$504, D1264), 0))</f>
        <v/>
      </c>
      <c r="M1264" s="31" t="str">
        <f t="shared" si="136"/>
        <v/>
      </c>
      <c r="N1264" s="31" t="str">
        <f t="shared" si="137"/>
        <v/>
      </c>
      <c r="O1264" s="31" t="str">
        <f>IF(OR(B1264="",C1264=""),"",K1264-N1264 + IFERROR(E1264 / SUMIFS('📅 Resumen Diario'!$D$5:$D$504, '📅 Resumen Diario'!$B$5:$B$504, B1264, '📅 Resumen Diario'!$C$5:$C$504, D1264) * (SUMIFS('📋 Detalle Diario'!$E$5:$E$489, '📋 Detalle Diario'!$B$5:$B$489, B1264, '📋 Detalle Diario'!$C$5:$C$489, D1264) * 135 + SUMIFS('📋 Detalle Diario'!$I$5:$I$489, '📋 Detalle Diario'!$B$5:$B$489, B1264, '📋 Detalle Diario'!$C$5:$C$489, D1264) * 200), 0))</f>
        <v/>
      </c>
      <c r="P1264" s="32" t="str">
        <f t="shared" si="138"/>
        <v/>
      </c>
      <c r="Q1264" s="33" t="str">
        <f t="shared" si="139"/>
        <v/>
      </c>
    </row>
    <row r="1265" spans="2:17" ht="18" customHeight="1" x14ac:dyDescent="0.3">
      <c r="B1265" s="26"/>
      <c r="C1265" s="28"/>
      <c r="D1265" s="27"/>
      <c r="E1265" s="29"/>
      <c r="F1265" s="29"/>
      <c r="G1265" s="29"/>
      <c r="H1265" s="30" t="str">
        <f t="shared" si="133"/>
        <v/>
      </c>
      <c r="I1265" s="31" t="str">
        <f>IF(OR(B1265="",C1265=""),"",IFERROR(E1265*IF(E1265="",0,VLOOKUP(C1265,'📦 Precios Proforma'!$B$5:$D$104,IF(D1265="DIA",2,3),FALSE)),0))</f>
        <v/>
      </c>
      <c r="J1265" s="31" t="str">
        <f t="shared" si="134"/>
        <v/>
      </c>
      <c r="K1265" s="31" t="str">
        <f t="shared" si="135"/>
        <v/>
      </c>
      <c r="L1265" s="31" t="str">
        <f>IF(OR(B1265="",C1265=""),"",IFERROR(E1265 / SUMIFS('📅 Resumen Diario'!$D$5:$D$504, '📅 Resumen Diario'!$B$5:$B$504, B1265, '📅 Resumen Diario'!$C$5:$C$504, D1265) * SUMIFS('📅 Resumen Diario'!$K$5:$K$504, '📅 Resumen Diario'!$B$5:$B$504, B1265, '📅 Resumen Diario'!$C$5:$C$504, D1265), 0))</f>
        <v/>
      </c>
      <c r="M1265" s="31" t="str">
        <f t="shared" si="136"/>
        <v/>
      </c>
      <c r="N1265" s="31" t="str">
        <f t="shared" si="137"/>
        <v/>
      </c>
      <c r="O1265" s="31" t="str">
        <f>IF(OR(B1265="",C1265=""),"",K1265-N1265 + IFERROR(E1265 / SUMIFS('📅 Resumen Diario'!$D$5:$D$504, '📅 Resumen Diario'!$B$5:$B$504, B1265, '📅 Resumen Diario'!$C$5:$C$504, D1265) * (SUMIFS('📋 Detalle Diario'!$E$5:$E$489, '📋 Detalle Diario'!$B$5:$B$489, B1265, '📋 Detalle Diario'!$C$5:$C$489, D1265) * 135 + SUMIFS('📋 Detalle Diario'!$I$5:$I$489, '📋 Detalle Diario'!$B$5:$B$489, B1265, '📋 Detalle Diario'!$C$5:$C$489, D1265) * 200), 0))</f>
        <v/>
      </c>
      <c r="P1265" s="32" t="str">
        <f t="shared" si="138"/>
        <v/>
      </c>
      <c r="Q1265" s="33" t="str">
        <f t="shared" si="139"/>
        <v/>
      </c>
    </row>
    <row r="1266" spans="2:17" ht="18" customHeight="1" x14ac:dyDescent="0.3">
      <c r="B1266" s="26"/>
      <c r="C1266" s="17"/>
      <c r="D1266" s="27"/>
      <c r="E1266" s="18"/>
      <c r="F1266" s="18"/>
      <c r="G1266" s="18"/>
      <c r="H1266" s="30" t="str">
        <f t="shared" si="133"/>
        <v/>
      </c>
      <c r="I1266" s="31" t="str">
        <f>IF(OR(B1266="",C1266=""),"",IFERROR(E1266*IF(E1266="",0,VLOOKUP(C1266,'📦 Precios Proforma'!$B$5:$D$104,IF(D1266="DIA",2,3),FALSE)),0))</f>
        <v/>
      </c>
      <c r="J1266" s="31" t="str">
        <f t="shared" si="134"/>
        <v/>
      </c>
      <c r="K1266" s="31" t="str">
        <f t="shared" si="135"/>
        <v/>
      </c>
      <c r="L1266" s="31" t="str">
        <f>IF(OR(B1266="",C1266=""),"",IFERROR(E1266 / SUMIFS('📅 Resumen Diario'!$D$5:$D$504, '📅 Resumen Diario'!$B$5:$B$504, B1266, '📅 Resumen Diario'!$C$5:$C$504, D1266) * SUMIFS('📅 Resumen Diario'!$K$5:$K$504, '📅 Resumen Diario'!$B$5:$B$504, B1266, '📅 Resumen Diario'!$C$5:$C$504, D1266), 0))</f>
        <v/>
      </c>
      <c r="M1266" s="31" t="str">
        <f t="shared" si="136"/>
        <v/>
      </c>
      <c r="N1266" s="31" t="str">
        <f t="shared" si="137"/>
        <v/>
      </c>
      <c r="O1266" s="31" t="str">
        <f>IF(OR(B1266="",C1266=""),"",K1266-N1266 + IFERROR(E1266 / SUMIFS('📅 Resumen Diario'!$D$5:$D$504, '📅 Resumen Diario'!$B$5:$B$504, B1266, '📅 Resumen Diario'!$C$5:$C$504, D1266) * (SUMIFS('📋 Detalle Diario'!$E$5:$E$489, '📋 Detalle Diario'!$B$5:$B$489, B1266, '📋 Detalle Diario'!$C$5:$C$489, D1266) * 135 + SUMIFS('📋 Detalle Diario'!$I$5:$I$489, '📋 Detalle Diario'!$B$5:$B$489, B1266, '📋 Detalle Diario'!$C$5:$C$489, D1266) * 200), 0))</f>
        <v/>
      </c>
      <c r="P1266" s="32" t="str">
        <f t="shared" si="138"/>
        <v/>
      </c>
      <c r="Q1266" s="33" t="str">
        <f t="shared" si="139"/>
        <v/>
      </c>
    </row>
    <row r="1267" spans="2:17" ht="18" customHeight="1" x14ac:dyDescent="0.3">
      <c r="B1267" s="26"/>
      <c r="C1267" s="28"/>
      <c r="D1267" s="27"/>
      <c r="E1267" s="29"/>
      <c r="F1267" s="29"/>
      <c r="G1267" s="29"/>
      <c r="H1267" s="30" t="str">
        <f t="shared" si="133"/>
        <v/>
      </c>
      <c r="I1267" s="31" t="str">
        <f>IF(OR(B1267="",C1267=""),"",IFERROR(E1267*IF(E1267="",0,VLOOKUP(C1267,'📦 Precios Proforma'!$B$5:$D$104,IF(D1267="DIA",2,3),FALSE)),0))</f>
        <v/>
      </c>
      <c r="J1267" s="31" t="str">
        <f t="shared" si="134"/>
        <v/>
      </c>
      <c r="K1267" s="31" t="str">
        <f t="shared" si="135"/>
        <v/>
      </c>
      <c r="L1267" s="31" t="str">
        <f>IF(OR(B1267="",C1267=""),"",IFERROR(E1267 / SUMIFS('📅 Resumen Diario'!$D$5:$D$504, '📅 Resumen Diario'!$B$5:$B$504, B1267, '📅 Resumen Diario'!$C$5:$C$504, D1267) * SUMIFS('📅 Resumen Diario'!$K$5:$K$504, '📅 Resumen Diario'!$B$5:$B$504, B1267, '📅 Resumen Diario'!$C$5:$C$504, D1267), 0))</f>
        <v/>
      </c>
      <c r="M1267" s="31" t="str">
        <f t="shared" si="136"/>
        <v/>
      </c>
      <c r="N1267" s="31" t="str">
        <f t="shared" si="137"/>
        <v/>
      </c>
      <c r="O1267" s="31" t="str">
        <f>IF(OR(B1267="",C1267=""),"",K1267-N1267 + IFERROR(E1267 / SUMIFS('📅 Resumen Diario'!$D$5:$D$504, '📅 Resumen Diario'!$B$5:$B$504, B1267, '📅 Resumen Diario'!$C$5:$C$504, D1267) * (SUMIFS('📋 Detalle Diario'!$E$5:$E$489, '📋 Detalle Diario'!$B$5:$B$489, B1267, '📋 Detalle Diario'!$C$5:$C$489, D1267) * 135 + SUMIFS('📋 Detalle Diario'!$I$5:$I$489, '📋 Detalle Diario'!$B$5:$B$489, B1267, '📋 Detalle Diario'!$C$5:$C$489, D1267) * 200), 0))</f>
        <v/>
      </c>
      <c r="P1267" s="32" t="str">
        <f t="shared" si="138"/>
        <v/>
      </c>
      <c r="Q1267" s="33" t="str">
        <f t="shared" si="139"/>
        <v/>
      </c>
    </row>
    <row r="1268" spans="2:17" ht="18" customHeight="1" x14ac:dyDescent="0.3">
      <c r="B1268" s="26"/>
      <c r="C1268" s="17"/>
      <c r="D1268" s="27"/>
      <c r="E1268" s="18"/>
      <c r="F1268" s="18"/>
      <c r="G1268" s="18"/>
      <c r="H1268" s="30" t="str">
        <f t="shared" si="133"/>
        <v/>
      </c>
      <c r="I1268" s="31" t="str">
        <f>IF(OR(B1268="",C1268=""),"",IFERROR(E1268*IF(E1268="",0,VLOOKUP(C1268,'📦 Precios Proforma'!$B$5:$D$104,IF(D1268="DIA",2,3),FALSE)),0))</f>
        <v/>
      </c>
      <c r="J1268" s="31" t="str">
        <f t="shared" si="134"/>
        <v/>
      </c>
      <c r="K1268" s="31" t="str">
        <f t="shared" si="135"/>
        <v/>
      </c>
      <c r="L1268" s="31" t="str">
        <f>IF(OR(B1268="",C1268=""),"",IFERROR(E1268 / SUMIFS('📅 Resumen Diario'!$D$5:$D$504, '📅 Resumen Diario'!$B$5:$B$504, B1268, '📅 Resumen Diario'!$C$5:$C$504, D1268) * SUMIFS('📅 Resumen Diario'!$K$5:$K$504, '📅 Resumen Diario'!$B$5:$B$504, B1268, '📅 Resumen Diario'!$C$5:$C$504, D1268), 0))</f>
        <v/>
      </c>
      <c r="M1268" s="31" t="str">
        <f t="shared" si="136"/>
        <v/>
      </c>
      <c r="N1268" s="31" t="str">
        <f t="shared" si="137"/>
        <v/>
      </c>
      <c r="O1268" s="31" t="str">
        <f>IF(OR(B1268="",C1268=""),"",K1268-N1268 + IFERROR(E1268 / SUMIFS('📅 Resumen Diario'!$D$5:$D$504, '📅 Resumen Diario'!$B$5:$B$504, B1268, '📅 Resumen Diario'!$C$5:$C$504, D1268) * (SUMIFS('📋 Detalle Diario'!$E$5:$E$489, '📋 Detalle Diario'!$B$5:$B$489, B1268, '📋 Detalle Diario'!$C$5:$C$489, D1268) * 135 + SUMIFS('📋 Detalle Diario'!$I$5:$I$489, '📋 Detalle Diario'!$B$5:$B$489, B1268, '📋 Detalle Diario'!$C$5:$C$489, D1268) * 200), 0))</f>
        <v/>
      </c>
      <c r="P1268" s="32" t="str">
        <f t="shared" si="138"/>
        <v/>
      </c>
      <c r="Q1268" s="33" t="str">
        <f t="shared" si="139"/>
        <v/>
      </c>
    </row>
    <row r="1269" spans="2:17" ht="18" customHeight="1" x14ac:dyDescent="0.3">
      <c r="B1269" s="26"/>
      <c r="C1269" s="28"/>
      <c r="D1269" s="27"/>
      <c r="E1269" s="29"/>
      <c r="F1269" s="29"/>
      <c r="G1269" s="29"/>
      <c r="H1269" s="30" t="str">
        <f t="shared" si="133"/>
        <v/>
      </c>
      <c r="I1269" s="31" t="str">
        <f>IF(OR(B1269="",C1269=""),"",IFERROR(E1269*IF(E1269="",0,VLOOKUP(C1269,'📦 Precios Proforma'!$B$5:$D$104,IF(D1269="DIA",2,3),FALSE)),0))</f>
        <v/>
      </c>
      <c r="J1269" s="31" t="str">
        <f t="shared" si="134"/>
        <v/>
      </c>
      <c r="K1269" s="31" t="str">
        <f t="shared" si="135"/>
        <v/>
      </c>
      <c r="L1269" s="31" t="str">
        <f>IF(OR(B1269="",C1269=""),"",IFERROR(E1269 / SUMIFS('📅 Resumen Diario'!$D$5:$D$504, '📅 Resumen Diario'!$B$5:$B$504, B1269, '📅 Resumen Diario'!$C$5:$C$504, D1269) * SUMIFS('📅 Resumen Diario'!$K$5:$K$504, '📅 Resumen Diario'!$B$5:$B$504, B1269, '📅 Resumen Diario'!$C$5:$C$504, D1269), 0))</f>
        <v/>
      </c>
      <c r="M1269" s="31" t="str">
        <f t="shared" si="136"/>
        <v/>
      </c>
      <c r="N1269" s="31" t="str">
        <f t="shared" si="137"/>
        <v/>
      </c>
      <c r="O1269" s="31" t="str">
        <f>IF(OR(B1269="",C1269=""),"",K1269-N1269 + IFERROR(E1269 / SUMIFS('📅 Resumen Diario'!$D$5:$D$504, '📅 Resumen Diario'!$B$5:$B$504, B1269, '📅 Resumen Diario'!$C$5:$C$504, D1269) * (SUMIFS('📋 Detalle Diario'!$E$5:$E$489, '📋 Detalle Diario'!$B$5:$B$489, B1269, '📋 Detalle Diario'!$C$5:$C$489, D1269) * 135 + SUMIFS('📋 Detalle Diario'!$I$5:$I$489, '📋 Detalle Diario'!$B$5:$B$489, B1269, '📋 Detalle Diario'!$C$5:$C$489, D1269) * 200), 0))</f>
        <v/>
      </c>
      <c r="P1269" s="32" t="str">
        <f t="shared" si="138"/>
        <v/>
      </c>
      <c r="Q1269" s="33" t="str">
        <f t="shared" si="139"/>
        <v/>
      </c>
    </row>
    <row r="1270" spans="2:17" ht="18" customHeight="1" x14ac:dyDescent="0.3">
      <c r="B1270" s="26"/>
      <c r="C1270" s="17"/>
      <c r="D1270" s="27"/>
      <c r="E1270" s="18"/>
      <c r="F1270" s="18"/>
      <c r="G1270" s="18"/>
      <c r="H1270" s="30" t="str">
        <f t="shared" si="133"/>
        <v/>
      </c>
      <c r="I1270" s="31" t="str">
        <f>IF(OR(B1270="",C1270=""),"",IFERROR(E1270*IF(E1270="",0,VLOOKUP(C1270,'📦 Precios Proforma'!$B$5:$D$104,IF(D1270="DIA",2,3),FALSE)),0))</f>
        <v/>
      </c>
      <c r="J1270" s="31" t="str">
        <f t="shared" si="134"/>
        <v/>
      </c>
      <c r="K1270" s="31" t="str">
        <f t="shared" si="135"/>
        <v/>
      </c>
      <c r="L1270" s="31" t="str">
        <f>IF(OR(B1270="",C1270=""),"",IFERROR(E1270 / SUMIFS('📅 Resumen Diario'!$D$5:$D$504, '📅 Resumen Diario'!$B$5:$B$504, B1270, '📅 Resumen Diario'!$C$5:$C$504, D1270) * SUMIFS('📅 Resumen Diario'!$K$5:$K$504, '📅 Resumen Diario'!$B$5:$B$504, B1270, '📅 Resumen Diario'!$C$5:$C$504, D1270), 0))</f>
        <v/>
      </c>
      <c r="M1270" s="31" t="str">
        <f t="shared" si="136"/>
        <v/>
      </c>
      <c r="N1270" s="31" t="str">
        <f t="shared" si="137"/>
        <v/>
      </c>
      <c r="O1270" s="31" t="str">
        <f>IF(OR(B1270="",C1270=""),"",K1270-N1270 + IFERROR(E1270 / SUMIFS('📅 Resumen Diario'!$D$5:$D$504, '📅 Resumen Diario'!$B$5:$B$504, B1270, '📅 Resumen Diario'!$C$5:$C$504, D1270) * (SUMIFS('📋 Detalle Diario'!$E$5:$E$489, '📋 Detalle Diario'!$B$5:$B$489, B1270, '📋 Detalle Diario'!$C$5:$C$489, D1270) * 135 + SUMIFS('📋 Detalle Diario'!$I$5:$I$489, '📋 Detalle Diario'!$B$5:$B$489, B1270, '📋 Detalle Diario'!$C$5:$C$489, D1270) * 200), 0))</f>
        <v/>
      </c>
      <c r="P1270" s="32" t="str">
        <f t="shared" si="138"/>
        <v/>
      </c>
      <c r="Q1270" s="33" t="str">
        <f t="shared" si="139"/>
        <v/>
      </c>
    </row>
    <row r="1271" spans="2:17" ht="18" customHeight="1" x14ac:dyDescent="0.3">
      <c r="B1271" s="26"/>
      <c r="C1271" s="28"/>
      <c r="D1271" s="27"/>
      <c r="E1271" s="29"/>
      <c r="F1271" s="29"/>
      <c r="G1271" s="29"/>
      <c r="H1271" s="30" t="str">
        <f t="shared" si="133"/>
        <v/>
      </c>
      <c r="I1271" s="31" t="str">
        <f>IF(OR(B1271="",C1271=""),"",IFERROR(E1271*IF(E1271="",0,VLOOKUP(C1271,'📦 Precios Proforma'!$B$5:$D$104,IF(D1271="DIA",2,3),FALSE)),0))</f>
        <v/>
      </c>
      <c r="J1271" s="31" t="str">
        <f t="shared" si="134"/>
        <v/>
      </c>
      <c r="K1271" s="31" t="str">
        <f t="shared" si="135"/>
        <v/>
      </c>
      <c r="L1271" s="31" t="str">
        <f>IF(OR(B1271="",C1271=""),"",IFERROR(E1271 / SUMIFS('📅 Resumen Diario'!$D$5:$D$504, '📅 Resumen Diario'!$B$5:$B$504, B1271, '📅 Resumen Diario'!$C$5:$C$504, D1271) * SUMIFS('📅 Resumen Diario'!$K$5:$K$504, '📅 Resumen Diario'!$B$5:$B$504, B1271, '📅 Resumen Diario'!$C$5:$C$504, D1271), 0))</f>
        <v/>
      </c>
      <c r="M1271" s="31" t="str">
        <f t="shared" si="136"/>
        <v/>
      </c>
      <c r="N1271" s="31" t="str">
        <f t="shared" si="137"/>
        <v/>
      </c>
      <c r="O1271" s="31" t="str">
        <f>IF(OR(B1271="",C1271=""),"",K1271-N1271 + IFERROR(E1271 / SUMIFS('📅 Resumen Diario'!$D$5:$D$504, '📅 Resumen Diario'!$B$5:$B$504, B1271, '📅 Resumen Diario'!$C$5:$C$504, D1271) * (SUMIFS('📋 Detalle Diario'!$E$5:$E$489, '📋 Detalle Diario'!$B$5:$B$489, B1271, '📋 Detalle Diario'!$C$5:$C$489, D1271) * 135 + SUMIFS('📋 Detalle Diario'!$I$5:$I$489, '📋 Detalle Diario'!$B$5:$B$489, B1271, '📋 Detalle Diario'!$C$5:$C$489, D1271) * 200), 0))</f>
        <v/>
      </c>
      <c r="P1271" s="32" t="str">
        <f t="shared" si="138"/>
        <v/>
      </c>
      <c r="Q1271" s="33" t="str">
        <f t="shared" si="139"/>
        <v/>
      </c>
    </row>
    <row r="1272" spans="2:17" ht="18" customHeight="1" x14ac:dyDescent="0.3">
      <c r="B1272" s="26"/>
      <c r="C1272" s="17"/>
      <c r="D1272" s="27"/>
      <c r="E1272" s="18"/>
      <c r="F1272" s="18"/>
      <c r="G1272" s="18"/>
      <c r="H1272" s="30" t="str">
        <f t="shared" si="133"/>
        <v/>
      </c>
      <c r="I1272" s="31" t="str">
        <f>IF(OR(B1272="",C1272=""),"",IFERROR(E1272*IF(E1272="",0,VLOOKUP(C1272,'📦 Precios Proforma'!$B$5:$D$104,IF(D1272="DIA",2,3),FALSE)),0))</f>
        <v/>
      </c>
      <c r="J1272" s="31" t="str">
        <f t="shared" si="134"/>
        <v/>
      </c>
      <c r="K1272" s="31" t="str">
        <f t="shared" si="135"/>
        <v/>
      </c>
      <c r="L1272" s="31" t="str">
        <f>IF(OR(B1272="",C1272=""),"",IFERROR(E1272 / SUMIFS('📅 Resumen Diario'!$D$5:$D$504, '📅 Resumen Diario'!$B$5:$B$504, B1272, '📅 Resumen Diario'!$C$5:$C$504, D1272) * SUMIFS('📅 Resumen Diario'!$K$5:$K$504, '📅 Resumen Diario'!$B$5:$B$504, B1272, '📅 Resumen Diario'!$C$5:$C$504, D1272), 0))</f>
        <v/>
      </c>
      <c r="M1272" s="31" t="str">
        <f t="shared" si="136"/>
        <v/>
      </c>
      <c r="N1272" s="31" t="str">
        <f t="shared" si="137"/>
        <v/>
      </c>
      <c r="O1272" s="31" t="str">
        <f>IF(OR(B1272="",C1272=""),"",K1272-N1272 + IFERROR(E1272 / SUMIFS('📅 Resumen Diario'!$D$5:$D$504, '📅 Resumen Diario'!$B$5:$B$504, B1272, '📅 Resumen Diario'!$C$5:$C$504, D1272) * (SUMIFS('📋 Detalle Diario'!$E$5:$E$489, '📋 Detalle Diario'!$B$5:$B$489, B1272, '📋 Detalle Diario'!$C$5:$C$489, D1272) * 135 + SUMIFS('📋 Detalle Diario'!$I$5:$I$489, '📋 Detalle Diario'!$B$5:$B$489, B1272, '📋 Detalle Diario'!$C$5:$C$489, D1272) * 200), 0))</f>
        <v/>
      </c>
      <c r="P1272" s="32" t="str">
        <f t="shared" si="138"/>
        <v/>
      </c>
      <c r="Q1272" s="33" t="str">
        <f t="shared" si="139"/>
        <v/>
      </c>
    </row>
    <row r="1273" spans="2:17" ht="18" customHeight="1" x14ac:dyDescent="0.3">
      <c r="B1273" s="26"/>
      <c r="C1273" s="28"/>
      <c r="D1273" s="27"/>
      <c r="E1273" s="29"/>
      <c r="F1273" s="29"/>
      <c r="G1273" s="29"/>
      <c r="H1273" s="30" t="str">
        <f t="shared" si="133"/>
        <v/>
      </c>
      <c r="I1273" s="31" t="str">
        <f>IF(OR(B1273="",C1273=""),"",IFERROR(E1273*IF(E1273="",0,VLOOKUP(C1273,'📦 Precios Proforma'!$B$5:$D$104,IF(D1273="DIA",2,3),FALSE)),0))</f>
        <v/>
      </c>
      <c r="J1273" s="31" t="str">
        <f t="shared" si="134"/>
        <v/>
      </c>
      <c r="K1273" s="31" t="str">
        <f t="shared" si="135"/>
        <v/>
      </c>
      <c r="L1273" s="31" t="str">
        <f>IF(OR(B1273="",C1273=""),"",IFERROR(E1273 / SUMIFS('📅 Resumen Diario'!$D$5:$D$504, '📅 Resumen Diario'!$B$5:$B$504, B1273, '📅 Resumen Diario'!$C$5:$C$504, D1273) * SUMIFS('📅 Resumen Diario'!$K$5:$K$504, '📅 Resumen Diario'!$B$5:$B$504, B1273, '📅 Resumen Diario'!$C$5:$C$504, D1273), 0))</f>
        <v/>
      </c>
      <c r="M1273" s="31" t="str">
        <f t="shared" si="136"/>
        <v/>
      </c>
      <c r="N1273" s="31" t="str">
        <f t="shared" si="137"/>
        <v/>
      </c>
      <c r="O1273" s="31" t="str">
        <f>IF(OR(B1273="",C1273=""),"",K1273-N1273 + IFERROR(E1273 / SUMIFS('📅 Resumen Diario'!$D$5:$D$504, '📅 Resumen Diario'!$B$5:$B$504, B1273, '📅 Resumen Diario'!$C$5:$C$504, D1273) * (SUMIFS('📋 Detalle Diario'!$E$5:$E$489, '📋 Detalle Diario'!$B$5:$B$489, B1273, '📋 Detalle Diario'!$C$5:$C$489, D1273) * 135 + SUMIFS('📋 Detalle Diario'!$I$5:$I$489, '📋 Detalle Diario'!$B$5:$B$489, B1273, '📋 Detalle Diario'!$C$5:$C$489, D1273) * 200), 0))</f>
        <v/>
      </c>
      <c r="P1273" s="32" t="str">
        <f t="shared" si="138"/>
        <v/>
      </c>
      <c r="Q1273" s="33" t="str">
        <f t="shared" si="139"/>
        <v/>
      </c>
    </row>
    <row r="1274" spans="2:17" ht="18" customHeight="1" x14ac:dyDescent="0.3">
      <c r="B1274" s="26"/>
      <c r="C1274" s="17"/>
      <c r="D1274" s="27"/>
      <c r="E1274" s="18"/>
      <c r="F1274" s="18"/>
      <c r="G1274" s="18"/>
      <c r="H1274" s="30" t="str">
        <f t="shared" si="133"/>
        <v/>
      </c>
      <c r="I1274" s="31" t="str">
        <f>IF(OR(B1274="",C1274=""),"",IFERROR(E1274*IF(E1274="",0,VLOOKUP(C1274,'📦 Precios Proforma'!$B$5:$D$104,IF(D1274="DIA",2,3),FALSE)),0))</f>
        <v/>
      </c>
      <c r="J1274" s="31" t="str">
        <f t="shared" si="134"/>
        <v/>
      </c>
      <c r="K1274" s="31" t="str">
        <f t="shared" si="135"/>
        <v/>
      </c>
      <c r="L1274" s="31" t="str">
        <f>IF(OR(B1274="",C1274=""),"",IFERROR(E1274 / SUMIFS('📅 Resumen Diario'!$D$5:$D$504, '📅 Resumen Diario'!$B$5:$B$504, B1274, '📅 Resumen Diario'!$C$5:$C$504, D1274) * SUMIFS('📅 Resumen Diario'!$K$5:$K$504, '📅 Resumen Diario'!$B$5:$B$504, B1274, '📅 Resumen Diario'!$C$5:$C$504, D1274), 0))</f>
        <v/>
      </c>
      <c r="M1274" s="31" t="str">
        <f t="shared" si="136"/>
        <v/>
      </c>
      <c r="N1274" s="31" t="str">
        <f t="shared" si="137"/>
        <v/>
      </c>
      <c r="O1274" s="31" t="str">
        <f>IF(OR(B1274="",C1274=""),"",K1274-N1274 + IFERROR(E1274 / SUMIFS('📅 Resumen Diario'!$D$5:$D$504, '📅 Resumen Diario'!$B$5:$B$504, B1274, '📅 Resumen Diario'!$C$5:$C$504, D1274) * (SUMIFS('📋 Detalle Diario'!$E$5:$E$489, '📋 Detalle Diario'!$B$5:$B$489, B1274, '📋 Detalle Diario'!$C$5:$C$489, D1274) * 135 + SUMIFS('📋 Detalle Diario'!$I$5:$I$489, '📋 Detalle Diario'!$B$5:$B$489, B1274, '📋 Detalle Diario'!$C$5:$C$489, D1274) * 200), 0))</f>
        <v/>
      </c>
      <c r="P1274" s="32" t="str">
        <f t="shared" si="138"/>
        <v/>
      </c>
      <c r="Q1274" s="33" t="str">
        <f t="shared" si="139"/>
        <v/>
      </c>
    </row>
    <row r="1275" spans="2:17" ht="18" customHeight="1" x14ac:dyDescent="0.3">
      <c r="B1275" s="26"/>
      <c r="C1275" s="28"/>
      <c r="D1275" s="27"/>
      <c r="E1275" s="29"/>
      <c r="F1275" s="29"/>
      <c r="G1275" s="29"/>
      <c r="H1275" s="30" t="str">
        <f t="shared" si="133"/>
        <v/>
      </c>
      <c r="I1275" s="31" t="str">
        <f>IF(OR(B1275="",C1275=""),"",IFERROR(E1275*IF(E1275="",0,VLOOKUP(C1275,'📦 Precios Proforma'!$B$5:$D$104,IF(D1275="DIA",2,3),FALSE)),0))</f>
        <v/>
      </c>
      <c r="J1275" s="31" t="str">
        <f t="shared" si="134"/>
        <v/>
      </c>
      <c r="K1275" s="31" t="str">
        <f t="shared" si="135"/>
        <v/>
      </c>
      <c r="L1275" s="31" t="str">
        <f>IF(OR(B1275="",C1275=""),"",IFERROR(E1275 / SUMIFS('📅 Resumen Diario'!$D$5:$D$504, '📅 Resumen Diario'!$B$5:$B$504, B1275, '📅 Resumen Diario'!$C$5:$C$504, D1275) * SUMIFS('📅 Resumen Diario'!$K$5:$K$504, '📅 Resumen Diario'!$B$5:$B$504, B1275, '📅 Resumen Diario'!$C$5:$C$504, D1275), 0))</f>
        <v/>
      </c>
      <c r="M1275" s="31" t="str">
        <f t="shared" si="136"/>
        <v/>
      </c>
      <c r="N1275" s="31" t="str">
        <f t="shared" si="137"/>
        <v/>
      </c>
      <c r="O1275" s="31" t="str">
        <f>IF(OR(B1275="",C1275=""),"",K1275-N1275 + IFERROR(E1275 / SUMIFS('📅 Resumen Diario'!$D$5:$D$504, '📅 Resumen Diario'!$B$5:$B$504, B1275, '📅 Resumen Diario'!$C$5:$C$504, D1275) * (SUMIFS('📋 Detalle Diario'!$E$5:$E$489, '📋 Detalle Diario'!$B$5:$B$489, B1275, '📋 Detalle Diario'!$C$5:$C$489, D1275) * 135 + SUMIFS('📋 Detalle Diario'!$I$5:$I$489, '📋 Detalle Diario'!$B$5:$B$489, B1275, '📋 Detalle Diario'!$C$5:$C$489, D1275) * 200), 0))</f>
        <v/>
      </c>
      <c r="P1275" s="32" t="str">
        <f t="shared" si="138"/>
        <v/>
      </c>
      <c r="Q1275" s="33" t="str">
        <f t="shared" si="139"/>
        <v/>
      </c>
    </row>
    <row r="1276" spans="2:17" ht="18" customHeight="1" x14ac:dyDescent="0.3">
      <c r="B1276" s="26"/>
      <c r="C1276" s="17"/>
      <c r="D1276" s="27"/>
      <c r="E1276" s="18"/>
      <c r="F1276" s="18"/>
      <c r="G1276" s="18"/>
      <c r="H1276" s="30" t="str">
        <f t="shared" si="133"/>
        <v/>
      </c>
      <c r="I1276" s="31" t="str">
        <f>IF(OR(B1276="",C1276=""),"",IFERROR(E1276*IF(E1276="",0,VLOOKUP(C1276,'📦 Precios Proforma'!$B$5:$D$104,IF(D1276="DIA",2,3),FALSE)),0))</f>
        <v/>
      </c>
      <c r="J1276" s="31" t="str">
        <f t="shared" si="134"/>
        <v/>
      </c>
      <c r="K1276" s="31" t="str">
        <f t="shared" si="135"/>
        <v/>
      </c>
      <c r="L1276" s="31" t="str">
        <f>IF(OR(B1276="",C1276=""),"",IFERROR(E1276 / SUMIFS('📅 Resumen Diario'!$D$5:$D$504, '📅 Resumen Diario'!$B$5:$B$504, B1276, '📅 Resumen Diario'!$C$5:$C$504, D1276) * SUMIFS('📅 Resumen Diario'!$K$5:$K$504, '📅 Resumen Diario'!$B$5:$B$504, B1276, '📅 Resumen Diario'!$C$5:$C$504, D1276), 0))</f>
        <v/>
      </c>
      <c r="M1276" s="31" t="str">
        <f t="shared" si="136"/>
        <v/>
      </c>
      <c r="N1276" s="31" t="str">
        <f t="shared" si="137"/>
        <v/>
      </c>
      <c r="O1276" s="31" t="str">
        <f>IF(OR(B1276="",C1276=""),"",K1276-N1276 + IFERROR(E1276 / SUMIFS('📅 Resumen Diario'!$D$5:$D$504, '📅 Resumen Diario'!$B$5:$B$504, B1276, '📅 Resumen Diario'!$C$5:$C$504, D1276) * (SUMIFS('📋 Detalle Diario'!$E$5:$E$489, '📋 Detalle Diario'!$B$5:$B$489, B1276, '📋 Detalle Diario'!$C$5:$C$489, D1276) * 135 + SUMIFS('📋 Detalle Diario'!$I$5:$I$489, '📋 Detalle Diario'!$B$5:$B$489, B1276, '📋 Detalle Diario'!$C$5:$C$489, D1276) * 200), 0))</f>
        <v/>
      </c>
      <c r="P1276" s="32" t="str">
        <f t="shared" si="138"/>
        <v/>
      </c>
      <c r="Q1276" s="33" t="str">
        <f t="shared" si="139"/>
        <v/>
      </c>
    </row>
    <row r="1277" spans="2:17" ht="18" customHeight="1" x14ac:dyDescent="0.3">
      <c r="B1277" s="26"/>
      <c r="C1277" s="28"/>
      <c r="D1277" s="27"/>
      <c r="E1277" s="29"/>
      <c r="F1277" s="29"/>
      <c r="G1277" s="29"/>
      <c r="H1277" s="30" t="str">
        <f t="shared" si="133"/>
        <v/>
      </c>
      <c r="I1277" s="31" t="str">
        <f>IF(OR(B1277="",C1277=""),"",IFERROR(E1277*IF(E1277="",0,VLOOKUP(C1277,'📦 Precios Proforma'!$B$5:$D$104,IF(D1277="DIA",2,3),FALSE)),0))</f>
        <v/>
      </c>
      <c r="J1277" s="31" t="str">
        <f t="shared" si="134"/>
        <v/>
      </c>
      <c r="K1277" s="31" t="str">
        <f t="shared" si="135"/>
        <v/>
      </c>
      <c r="L1277" s="31" t="str">
        <f>IF(OR(B1277="",C1277=""),"",IFERROR(E1277 / SUMIFS('📅 Resumen Diario'!$D$5:$D$504, '📅 Resumen Diario'!$B$5:$B$504, B1277, '📅 Resumen Diario'!$C$5:$C$504, D1277) * SUMIFS('📅 Resumen Diario'!$K$5:$K$504, '📅 Resumen Diario'!$B$5:$B$504, B1277, '📅 Resumen Diario'!$C$5:$C$504, D1277), 0))</f>
        <v/>
      </c>
      <c r="M1277" s="31" t="str">
        <f t="shared" si="136"/>
        <v/>
      </c>
      <c r="N1277" s="31" t="str">
        <f t="shared" si="137"/>
        <v/>
      </c>
      <c r="O1277" s="31" t="str">
        <f>IF(OR(B1277="",C1277=""),"",K1277-N1277 + IFERROR(E1277 / SUMIFS('📅 Resumen Diario'!$D$5:$D$504, '📅 Resumen Diario'!$B$5:$B$504, B1277, '📅 Resumen Diario'!$C$5:$C$504, D1277) * (SUMIFS('📋 Detalle Diario'!$E$5:$E$489, '📋 Detalle Diario'!$B$5:$B$489, B1277, '📋 Detalle Diario'!$C$5:$C$489, D1277) * 135 + SUMIFS('📋 Detalle Diario'!$I$5:$I$489, '📋 Detalle Diario'!$B$5:$B$489, B1277, '📋 Detalle Diario'!$C$5:$C$489, D1277) * 200), 0))</f>
        <v/>
      </c>
      <c r="P1277" s="32" t="str">
        <f t="shared" si="138"/>
        <v/>
      </c>
      <c r="Q1277" s="33" t="str">
        <f t="shared" si="139"/>
        <v/>
      </c>
    </row>
    <row r="1278" spans="2:17" ht="18" customHeight="1" x14ac:dyDescent="0.3">
      <c r="B1278" s="26"/>
      <c r="C1278" s="17"/>
      <c r="D1278" s="27"/>
      <c r="E1278" s="18"/>
      <c r="F1278" s="18"/>
      <c r="G1278" s="18"/>
      <c r="H1278" s="30" t="str">
        <f t="shared" si="133"/>
        <v/>
      </c>
      <c r="I1278" s="31" t="str">
        <f>IF(OR(B1278="",C1278=""),"",IFERROR(E1278*IF(E1278="",0,VLOOKUP(C1278,'📦 Precios Proforma'!$B$5:$D$104,IF(D1278="DIA",2,3),FALSE)),0))</f>
        <v/>
      </c>
      <c r="J1278" s="31" t="str">
        <f t="shared" si="134"/>
        <v/>
      </c>
      <c r="K1278" s="31" t="str">
        <f t="shared" si="135"/>
        <v/>
      </c>
      <c r="L1278" s="31" t="str">
        <f>IF(OR(B1278="",C1278=""),"",IFERROR(E1278 / SUMIFS('📅 Resumen Diario'!$D$5:$D$504, '📅 Resumen Diario'!$B$5:$B$504, B1278, '📅 Resumen Diario'!$C$5:$C$504, D1278) * SUMIFS('📅 Resumen Diario'!$K$5:$K$504, '📅 Resumen Diario'!$B$5:$B$504, B1278, '📅 Resumen Diario'!$C$5:$C$504, D1278), 0))</f>
        <v/>
      </c>
      <c r="M1278" s="31" t="str">
        <f t="shared" si="136"/>
        <v/>
      </c>
      <c r="N1278" s="31" t="str">
        <f t="shared" si="137"/>
        <v/>
      </c>
      <c r="O1278" s="31" t="str">
        <f>IF(OR(B1278="",C1278=""),"",K1278-N1278 + IFERROR(E1278 / SUMIFS('📅 Resumen Diario'!$D$5:$D$504, '📅 Resumen Diario'!$B$5:$B$504, B1278, '📅 Resumen Diario'!$C$5:$C$504, D1278) * (SUMIFS('📋 Detalle Diario'!$E$5:$E$489, '📋 Detalle Diario'!$B$5:$B$489, B1278, '📋 Detalle Diario'!$C$5:$C$489, D1278) * 135 + SUMIFS('📋 Detalle Diario'!$I$5:$I$489, '📋 Detalle Diario'!$B$5:$B$489, B1278, '📋 Detalle Diario'!$C$5:$C$489, D1278) * 200), 0))</f>
        <v/>
      </c>
      <c r="P1278" s="32" t="str">
        <f t="shared" si="138"/>
        <v/>
      </c>
      <c r="Q1278" s="33" t="str">
        <f t="shared" si="139"/>
        <v/>
      </c>
    </row>
    <row r="1279" spans="2:17" ht="18" customHeight="1" x14ac:dyDescent="0.3">
      <c r="B1279" s="26"/>
      <c r="C1279" s="28"/>
      <c r="D1279" s="27"/>
      <c r="E1279" s="29"/>
      <c r="F1279" s="29"/>
      <c r="G1279" s="29"/>
      <c r="H1279" s="30" t="str">
        <f t="shared" si="133"/>
        <v/>
      </c>
      <c r="I1279" s="31" t="str">
        <f>IF(OR(B1279="",C1279=""),"",IFERROR(E1279*IF(E1279="",0,VLOOKUP(C1279,'📦 Precios Proforma'!$B$5:$D$104,IF(D1279="DIA",2,3),FALSE)),0))</f>
        <v/>
      </c>
      <c r="J1279" s="31" t="str">
        <f t="shared" si="134"/>
        <v/>
      </c>
      <c r="K1279" s="31" t="str">
        <f t="shared" si="135"/>
        <v/>
      </c>
      <c r="L1279" s="31" t="str">
        <f>IF(OR(B1279="",C1279=""),"",IFERROR(E1279 / SUMIFS('📅 Resumen Diario'!$D$5:$D$504, '📅 Resumen Diario'!$B$5:$B$504, B1279, '📅 Resumen Diario'!$C$5:$C$504, D1279) * SUMIFS('📅 Resumen Diario'!$K$5:$K$504, '📅 Resumen Diario'!$B$5:$B$504, B1279, '📅 Resumen Diario'!$C$5:$C$504, D1279), 0))</f>
        <v/>
      </c>
      <c r="M1279" s="31" t="str">
        <f t="shared" si="136"/>
        <v/>
      </c>
      <c r="N1279" s="31" t="str">
        <f t="shared" si="137"/>
        <v/>
      </c>
      <c r="O1279" s="31" t="str">
        <f>IF(OR(B1279="",C1279=""),"",K1279-N1279 + IFERROR(E1279 / SUMIFS('📅 Resumen Diario'!$D$5:$D$504, '📅 Resumen Diario'!$B$5:$B$504, B1279, '📅 Resumen Diario'!$C$5:$C$504, D1279) * (SUMIFS('📋 Detalle Diario'!$E$5:$E$489, '📋 Detalle Diario'!$B$5:$B$489, B1279, '📋 Detalle Diario'!$C$5:$C$489, D1279) * 135 + SUMIFS('📋 Detalle Diario'!$I$5:$I$489, '📋 Detalle Diario'!$B$5:$B$489, B1279, '📋 Detalle Diario'!$C$5:$C$489, D1279) * 200), 0))</f>
        <v/>
      </c>
      <c r="P1279" s="32" t="str">
        <f t="shared" si="138"/>
        <v/>
      </c>
      <c r="Q1279" s="33" t="str">
        <f t="shared" si="139"/>
        <v/>
      </c>
    </row>
    <row r="1280" spans="2:17" ht="18" customHeight="1" x14ac:dyDescent="0.3">
      <c r="B1280" s="26"/>
      <c r="C1280" s="17"/>
      <c r="D1280" s="27"/>
      <c r="E1280" s="18"/>
      <c r="F1280" s="18"/>
      <c r="G1280" s="18"/>
      <c r="H1280" s="30" t="str">
        <f t="shared" si="133"/>
        <v/>
      </c>
      <c r="I1280" s="31" t="str">
        <f>IF(OR(B1280="",C1280=""),"",IFERROR(E1280*IF(E1280="",0,VLOOKUP(C1280,'📦 Precios Proforma'!$B$5:$D$104,IF(D1280="DIA",2,3),FALSE)),0))</f>
        <v/>
      </c>
      <c r="J1280" s="31" t="str">
        <f t="shared" si="134"/>
        <v/>
      </c>
      <c r="K1280" s="31" t="str">
        <f t="shared" si="135"/>
        <v/>
      </c>
      <c r="L1280" s="31" t="str">
        <f>IF(OR(B1280="",C1280=""),"",IFERROR(E1280 / SUMIFS('📅 Resumen Diario'!$D$5:$D$504, '📅 Resumen Diario'!$B$5:$B$504, B1280, '📅 Resumen Diario'!$C$5:$C$504, D1280) * SUMIFS('📅 Resumen Diario'!$K$5:$K$504, '📅 Resumen Diario'!$B$5:$B$504, B1280, '📅 Resumen Diario'!$C$5:$C$504, D1280), 0))</f>
        <v/>
      </c>
      <c r="M1280" s="31" t="str">
        <f t="shared" si="136"/>
        <v/>
      </c>
      <c r="N1280" s="31" t="str">
        <f t="shared" si="137"/>
        <v/>
      </c>
      <c r="O1280" s="31" t="str">
        <f>IF(OR(B1280="",C1280=""),"",K1280-N1280 + IFERROR(E1280 / SUMIFS('📅 Resumen Diario'!$D$5:$D$504, '📅 Resumen Diario'!$B$5:$B$504, B1280, '📅 Resumen Diario'!$C$5:$C$504, D1280) * (SUMIFS('📋 Detalle Diario'!$E$5:$E$489, '📋 Detalle Diario'!$B$5:$B$489, B1280, '📋 Detalle Diario'!$C$5:$C$489, D1280) * 135 + SUMIFS('📋 Detalle Diario'!$I$5:$I$489, '📋 Detalle Diario'!$B$5:$B$489, B1280, '📋 Detalle Diario'!$C$5:$C$489, D1280) * 200), 0))</f>
        <v/>
      </c>
      <c r="P1280" s="32" t="str">
        <f t="shared" si="138"/>
        <v/>
      </c>
      <c r="Q1280" s="33" t="str">
        <f t="shared" si="139"/>
        <v/>
      </c>
    </row>
    <row r="1281" spans="2:17" ht="18" customHeight="1" x14ac:dyDescent="0.3">
      <c r="B1281" s="26"/>
      <c r="C1281" s="28"/>
      <c r="D1281" s="27"/>
      <c r="E1281" s="29"/>
      <c r="F1281" s="29"/>
      <c r="G1281" s="29"/>
      <c r="H1281" s="30" t="str">
        <f t="shared" si="133"/>
        <v/>
      </c>
      <c r="I1281" s="31" t="str">
        <f>IF(OR(B1281="",C1281=""),"",IFERROR(E1281*IF(E1281="",0,VLOOKUP(C1281,'📦 Precios Proforma'!$B$5:$D$104,IF(D1281="DIA",2,3),FALSE)),0))</f>
        <v/>
      </c>
      <c r="J1281" s="31" t="str">
        <f t="shared" si="134"/>
        <v/>
      </c>
      <c r="K1281" s="31" t="str">
        <f t="shared" si="135"/>
        <v/>
      </c>
      <c r="L1281" s="31" t="str">
        <f>IF(OR(B1281="",C1281=""),"",IFERROR(E1281 / SUMIFS('📅 Resumen Diario'!$D$5:$D$504, '📅 Resumen Diario'!$B$5:$B$504, B1281, '📅 Resumen Diario'!$C$5:$C$504, D1281) * SUMIFS('📅 Resumen Diario'!$K$5:$K$504, '📅 Resumen Diario'!$B$5:$B$504, B1281, '📅 Resumen Diario'!$C$5:$C$504, D1281), 0))</f>
        <v/>
      </c>
      <c r="M1281" s="31" t="str">
        <f t="shared" si="136"/>
        <v/>
      </c>
      <c r="N1281" s="31" t="str">
        <f t="shared" si="137"/>
        <v/>
      </c>
      <c r="O1281" s="31" t="str">
        <f>IF(OR(B1281="",C1281=""),"",K1281-N1281 + IFERROR(E1281 / SUMIFS('📅 Resumen Diario'!$D$5:$D$504, '📅 Resumen Diario'!$B$5:$B$504, B1281, '📅 Resumen Diario'!$C$5:$C$504, D1281) * (SUMIFS('📋 Detalle Diario'!$E$5:$E$489, '📋 Detalle Diario'!$B$5:$B$489, B1281, '📋 Detalle Diario'!$C$5:$C$489, D1281) * 135 + SUMIFS('📋 Detalle Diario'!$I$5:$I$489, '📋 Detalle Diario'!$B$5:$B$489, B1281, '📋 Detalle Diario'!$C$5:$C$489, D1281) * 200), 0))</f>
        <v/>
      </c>
      <c r="P1281" s="32" t="str">
        <f t="shared" si="138"/>
        <v/>
      </c>
      <c r="Q1281" s="33" t="str">
        <f t="shared" si="139"/>
        <v/>
      </c>
    </row>
    <row r="1282" spans="2:17" ht="18" customHeight="1" x14ac:dyDescent="0.3">
      <c r="B1282" s="26"/>
      <c r="C1282" s="17"/>
      <c r="D1282" s="27"/>
      <c r="E1282" s="18"/>
      <c r="F1282" s="18"/>
      <c r="G1282" s="18"/>
      <c r="H1282" s="30" t="str">
        <f t="shared" si="133"/>
        <v/>
      </c>
      <c r="I1282" s="31" t="str">
        <f>IF(OR(B1282="",C1282=""),"",IFERROR(E1282*IF(E1282="",0,VLOOKUP(C1282,'📦 Precios Proforma'!$B$5:$D$104,IF(D1282="DIA",2,3),FALSE)),0))</f>
        <v/>
      </c>
      <c r="J1282" s="31" t="str">
        <f t="shared" si="134"/>
        <v/>
      </c>
      <c r="K1282" s="31" t="str">
        <f t="shared" si="135"/>
        <v/>
      </c>
      <c r="L1282" s="31" t="str">
        <f>IF(OR(B1282="",C1282=""),"",IFERROR(E1282 / SUMIFS('📅 Resumen Diario'!$D$5:$D$504, '📅 Resumen Diario'!$B$5:$B$504, B1282, '📅 Resumen Diario'!$C$5:$C$504, D1282) * SUMIFS('📅 Resumen Diario'!$K$5:$K$504, '📅 Resumen Diario'!$B$5:$B$504, B1282, '📅 Resumen Diario'!$C$5:$C$504, D1282), 0))</f>
        <v/>
      </c>
      <c r="M1282" s="31" t="str">
        <f t="shared" si="136"/>
        <v/>
      </c>
      <c r="N1282" s="31" t="str">
        <f t="shared" si="137"/>
        <v/>
      </c>
      <c r="O1282" s="31" t="str">
        <f>IF(OR(B1282="",C1282=""),"",K1282-N1282 + IFERROR(E1282 / SUMIFS('📅 Resumen Diario'!$D$5:$D$504, '📅 Resumen Diario'!$B$5:$B$504, B1282, '📅 Resumen Diario'!$C$5:$C$504, D1282) * (SUMIFS('📋 Detalle Diario'!$E$5:$E$489, '📋 Detalle Diario'!$B$5:$B$489, B1282, '📋 Detalle Diario'!$C$5:$C$489, D1282) * 135 + SUMIFS('📋 Detalle Diario'!$I$5:$I$489, '📋 Detalle Diario'!$B$5:$B$489, B1282, '📋 Detalle Diario'!$C$5:$C$489, D1282) * 200), 0))</f>
        <v/>
      </c>
      <c r="P1282" s="32" t="str">
        <f t="shared" si="138"/>
        <v/>
      </c>
      <c r="Q1282" s="33" t="str">
        <f t="shared" si="139"/>
        <v/>
      </c>
    </row>
    <row r="1283" spans="2:17" ht="18" customHeight="1" x14ac:dyDescent="0.3">
      <c r="B1283" s="26"/>
      <c r="C1283" s="28"/>
      <c r="D1283" s="27"/>
      <c r="E1283" s="29"/>
      <c r="F1283" s="29"/>
      <c r="G1283" s="29"/>
      <c r="H1283" s="30" t="str">
        <f t="shared" si="133"/>
        <v/>
      </c>
      <c r="I1283" s="31" t="str">
        <f>IF(OR(B1283="",C1283=""),"",IFERROR(E1283*IF(E1283="",0,VLOOKUP(C1283,'📦 Precios Proforma'!$B$5:$D$104,IF(D1283="DIA",2,3),FALSE)),0))</f>
        <v/>
      </c>
      <c r="J1283" s="31" t="str">
        <f t="shared" si="134"/>
        <v/>
      </c>
      <c r="K1283" s="31" t="str">
        <f t="shared" si="135"/>
        <v/>
      </c>
      <c r="L1283" s="31" t="str">
        <f>IF(OR(B1283="",C1283=""),"",IFERROR(E1283 / SUMIFS('📅 Resumen Diario'!$D$5:$D$504, '📅 Resumen Diario'!$B$5:$B$504, B1283, '📅 Resumen Diario'!$C$5:$C$504, D1283) * SUMIFS('📅 Resumen Diario'!$K$5:$K$504, '📅 Resumen Diario'!$B$5:$B$504, B1283, '📅 Resumen Diario'!$C$5:$C$504, D1283), 0))</f>
        <v/>
      </c>
      <c r="M1283" s="31" t="str">
        <f t="shared" si="136"/>
        <v/>
      </c>
      <c r="N1283" s="31" t="str">
        <f t="shared" si="137"/>
        <v/>
      </c>
      <c r="O1283" s="31" t="str">
        <f>IF(OR(B1283="",C1283=""),"",K1283-N1283 + IFERROR(E1283 / SUMIFS('📅 Resumen Diario'!$D$5:$D$504, '📅 Resumen Diario'!$B$5:$B$504, B1283, '📅 Resumen Diario'!$C$5:$C$504, D1283) * (SUMIFS('📋 Detalle Diario'!$E$5:$E$489, '📋 Detalle Diario'!$B$5:$B$489, B1283, '📋 Detalle Diario'!$C$5:$C$489, D1283) * 135 + SUMIFS('📋 Detalle Diario'!$I$5:$I$489, '📋 Detalle Diario'!$B$5:$B$489, B1283, '📋 Detalle Diario'!$C$5:$C$489, D1283) * 200), 0))</f>
        <v/>
      </c>
      <c r="P1283" s="32" t="str">
        <f t="shared" si="138"/>
        <v/>
      </c>
      <c r="Q1283" s="33" t="str">
        <f t="shared" si="139"/>
        <v/>
      </c>
    </row>
    <row r="1284" spans="2:17" ht="18" customHeight="1" x14ac:dyDescent="0.3">
      <c r="B1284" s="26"/>
      <c r="C1284" s="17"/>
      <c r="D1284" s="27"/>
      <c r="E1284" s="18"/>
      <c r="F1284" s="18"/>
      <c r="G1284" s="18"/>
      <c r="H1284" s="30" t="str">
        <f t="shared" si="133"/>
        <v/>
      </c>
      <c r="I1284" s="31" t="str">
        <f>IF(OR(B1284="",C1284=""),"",IFERROR(E1284*IF(E1284="",0,VLOOKUP(C1284,'📦 Precios Proforma'!$B$5:$D$104,IF(D1284="DIA",2,3),FALSE)),0))</f>
        <v/>
      </c>
      <c r="J1284" s="31" t="str">
        <f t="shared" si="134"/>
        <v/>
      </c>
      <c r="K1284" s="31" t="str">
        <f t="shared" si="135"/>
        <v/>
      </c>
      <c r="L1284" s="31" t="str">
        <f>IF(OR(B1284="",C1284=""),"",IFERROR(E1284 / SUMIFS('📅 Resumen Diario'!$D$5:$D$504, '📅 Resumen Diario'!$B$5:$B$504, B1284, '📅 Resumen Diario'!$C$5:$C$504, D1284) * SUMIFS('📅 Resumen Diario'!$K$5:$K$504, '📅 Resumen Diario'!$B$5:$B$504, B1284, '📅 Resumen Diario'!$C$5:$C$504, D1284), 0))</f>
        <v/>
      </c>
      <c r="M1284" s="31" t="str">
        <f t="shared" si="136"/>
        <v/>
      </c>
      <c r="N1284" s="31" t="str">
        <f t="shared" si="137"/>
        <v/>
      </c>
      <c r="O1284" s="31" t="str">
        <f>IF(OR(B1284="",C1284=""),"",K1284-N1284 + IFERROR(E1284 / SUMIFS('📅 Resumen Diario'!$D$5:$D$504, '📅 Resumen Diario'!$B$5:$B$504, B1284, '📅 Resumen Diario'!$C$5:$C$504, D1284) * (SUMIFS('📋 Detalle Diario'!$E$5:$E$489, '📋 Detalle Diario'!$B$5:$B$489, B1284, '📋 Detalle Diario'!$C$5:$C$489, D1284) * 135 + SUMIFS('📋 Detalle Diario'!$I$5:$I$489, '📋 Detalle Diario'!$B$5:$B$489, B1284, '📋 Detalle Diario'!$C$5:$C$489, D1284) * 200), 0))</f>
        <v/>
      </c>
      <c r="P1284" s="32" t="str">
        <f t="shared" si="138"/>
        <v/>
      </c>
      <c r="Q1284" s="33" t="str">
        <f t="shared" si="139"/>
        <v/>
      </c>
    </row>
    <row r="1285" spans="2:17" ht="18" customHeight="1" x14ac:dyDescent="0.3">
      <c r="B1285" s="26"/>
      <c r="C1285" s="28"/>
      <c r="D1285" s="27"/>
      <c r="E1285" s="29"/>
      <c r="F1285" s="29"/>
      <c r="G1285" s="29"/>
      <c r="H1285" s="30" t="str">
        <f t="shared" si="133"/>
        <v/>
      </c>
      <c r="I1285" s="31" t="str">
        <f>IF(OR(B1285="",C1285=""),"",IFERROR(E1285*IF(E1285="",0,VLOOKUP(C1285,'📦 Precios Proforma'!$B$5:$D$104,IF(D1285="DIA",2,3),FALSE)),0))</f>
        <v/>
      </c>
      <c r="J1285" s="31" t="str">
        <f t="shared" si="134"/>
        <v/>
      </c>
      <c r="K1285" s="31" t="str">
        <f t="shared" si="135"/>
        <v/>
      </c>
      <c r="L1285" s="31" t="str">
        <f>IF(OR(B1285="",C1285=""),"",IFERROR(E1285 / SUMIFS('📅 Resumen Diario'!$D$5:$D$504, '📅 Resumen Diario'!$B$5:$B$504, B1285, '📅 Resumen Diario'!$C$5:$C$504, D1285) * SUMIFS('📅 Resumen Diario'!$K$5:$K$504, '📅 Resumen Diario'!$B$5:$B$504, B1285, '📅 Resumen Diario'!$C$5:$C$504, D1285), 0))</f>
        <v/>
      </c>
      <c r="M1285" s="31" t="str">
        <f t="shared" si="136"/>
        <v/>
      </c>
      <c r="N1285" s="31" t="str">
        <f t="shared" si="137"/>
        <v/>
      </c>
      <c r="O1285" s="31" t="str">
        <f>IF(OR(B1285="",C1285=""),"",K1285-N1285 + IFERROR(E1285 / SUMIFS('📅 Resumen Diario'!$D$5:$D$504, '📅 Resumen Diario'!$B$5:$B$504, B1285, '📅 Resumen Diario'!$C$5:$C$504, D1285) * (SUMIFS('📋 Detalle Diario'!$E$5:$E$489, '📋 Detalle Diario'!$B$5:$B$489, B1285, '📋 Detalle Diario'!$C$5:$C$489, D1285) * 135 + SUMIFS('📋 Detalle Diario'!$I$5:$I$489, '📋 Detalle Diario'!$B$5:$B$489, B1285, '📋 Detalle Diario'!$C$5:$C$489, D1285) * 200), 0))</f>
        <v/>
      </c>
      <c r="P1285" s="32" t="str">
        <f t="shared" si="138"/>
        <v/>
      </c>
      <c r="Q1285" s="33" t="str">
        <f t="shared" si="139"/>
        <v/>
      </c>
    </row>
    <row r="1286" spans="2:17" ht="18" customHeight="1" x14ac:dyDescent="0.3">
      <c r="B1286" s="26"/>
      <c r="C1286" s="17"/>
      <c r="D1286" s="27"/>
      <c r="E1286" s="18"/>
      <c r="F1286" s="18"/>
      <c r="G1286" s="18"/>
      <c r="H1286" s="30" t="str">
        <f t="shared" si="133"/>
        <v/>
      </c>
      <c r="I1286" s="31" t="str">
        <f>IF(OR(B1286="",C1286=""),"",IFERROR(E1286*IF(E1286="",0,VLOOKUP(C1286,'📦 Precios Proforma'!$B$5:$D$104,IF(D1286="DIA",2,3),FALSE)),0))</f>
        <v/>
      </c>
      <c r="J1286" s="31" t="str">
        <f t="shared" si="134"/>
        <v/>
      </c>
      <c r="K1286" s="31" t="str">
        <f t="shared" si="135"/>
        <v/>
      </c>
      <c r="L1286" s="31" t="str">
        <f>IF(OR(B1286="",C1286=""),"",IFERROR(E1286 / SUMIFS('📅 Resumen Diario'!$D$5:$D$504, '📅 Resumen Diario'!$B$5:$B$504, B1286, '📅 Resumen Diario'!$C$5:$C$504, D1286) * SUMIFS('📅 Resumen Diario'!$K$5:$K$504, '📅 Resumen Diario'!$B$5:$B$504, B1286, '📅 Resumen Diario'!$C$5:$C$504, D1286), 0))</f>
        <v/>
      </c>
      <c r="M1286" s="31" t="str">
        <f t="shared" si="136"/>
        <v/>
      </c>
      <c r="N1286" s="31" t="str">
        <f t="shared" si="137"/>
        <v/>
      </c>
      <c r="O1286" s="31" t="str">
        <f>IF(OR(B1286="",C1286=""),"",K1286-N1286 + IFERROR(E1286 / SUMIFS('📅 Resumen Diario'!$D$5:$D$504, '📅 Resumen Diario'!$B$5:$B$504, B1286, '📅 Resumen Diario'!$C$5:$C$504, D1286) * (SUMIFS('📋 Detalle Diario'!$E$5:$E$489, '📋 Detalle Diario'!$B$5:$B$489, B1286, '📋 Detalle Diario'!$C$5:$C$489, D1286) * 135 + SUMIFS('📋 Detalle Diario'!$I$5:$I$489, '📋 Detalle Diario'!$B$5:$B$489, B1286, '📋 Detalle Diario'!$C$5:$C$489, D1286) * 200), 0))</f>
        <v/>
      </c>
      <c r="P1286" s="32" t="str">
        <f t="shared" si="138"/>
        <v/>
      </c>
      <c r="Q1286" s="33" t="str">
        <f t="shared" si="139"/>
        <v/>
      </c>
    </row>
    <row r="1287" spans="2:17" ht="18" customHeight="1" x14ac:dyDescent="0.3">
      <c r="B1287" s="26"/>
      <c r="C1287" s="28"/>
      <c r="D1287" s="27"/>
      <c r="E1287" s="29"/>
      <c r="F1287" s="29"/>
      <c r="G1287" s="29"/>
      <c r="H1287" s="30" t="str">
        <f t="shared" ref="H1287:H1350" si="140">IF(OR(B1287="",C1287=""),"",F1287+G1287)</f>
        <v/>
      </c>
      <c r="I1287" s="31" t="str">
        <f>IF(OR(B1287="",C1287=""),"",IFERROR(E1287*IF(E1287="",0,VLOOKUP(C1287,'📦 Precios Proforma'!$B$5:$D$104,IF(D1287="DIA",2,3),FALSE)),0))</f>
        <v/>
      </c>
      <c r="J1287" s="31" t="str">
        <f t="shared" ref="J1287:J1350" si="141">IF(OR(B1287="",C1287=""),"",IF(D1287="DIA",H1287*1.01,H1287*1.35))</f>
        <v/>
      </c>
      <c r="K1287" s="31" t="str">
        <f t="shared" ref="K1287:K1350" si="142">IF(OR(B1287="",C1287=""),"",I1287+J1287)</f>
        <v/>
      </c>
      <c r="L1287" s="31" t="str">
        <f>IF(OR(B1287="",C1287=""),"",IFERROR(E1287 / SUMIFS('📅 Resumen Diario'!$D$5:$D$504, '📅 Resumen Diario'!$B$5:$B$504, B1287, '📅 Resumen Diario'!$C$5:$C$504, D1287) * SUMIFS('📅 Resumen Diario'!$K$5:$K$504, '📅 Resumen Diario'!$B$5:$B$504, B1287, '📅 Resumen Diario'!$C$5:$C$504, D1287), 0))</f>
        <v/>
      </c>
      <c r="M1287" s="31" t="str">
        <f t="shared" ref="M1287:M1350" si="143">IF(OR(B1287="",C1287=""),"",H1287*0.09)</f>
        <v/>
      </c>
      <c r="N1287" s="31" t="str">
        <f t="shared" ref="N1287:N1350" si="144">IF(OR(B1287="",C1287=""),"",L1287+M1287)</f>
        <v/>
      </c>
      <c r="O1287" s="31" t="str">
        <f>IF(OR(B1287="",C1287=""),"",K1287-N1287 + IFERROR(E1287 / SUMIFS('📅 Resumen Diario'!$D$5:$D$504, '📅 Resumen Diario'!$B$5:$B$504, B1287, '📅 Resumen Diario'!$C$5:$C$504, D1287) * (SUMIFS('📋 Detalle Diario'!$E$5:$E$489, '📋 Detalle Diario'!$B$5:$B$489, B1287, '📋 Detalle Diario'!$C$5:$C$489, D1287) * 135 + SUMIFS('📋 Detalle Diario'!$I$5:$I$489, '📋 Detalle Diario'!$B$5:$B$489, B1287, '📋 Detalle Diario'!$C$5:$C$489, D1287) * 200), 0))</f>
        <v/>
      </c>
      <c r="P1287" s="32" t="str">
        <f t="shared" ref="P1287:P1350" si="145">IF(OR(B1287="",C1287=""),"",IF(K1287=0, 0, O1287/K1287))</f>
        <v/>
      </c>
      <c r="Q1287" s="33" t="str">
        <f t="shared" ref="Q1287:Q1350" si="146">IF(B1287="","",IF(ISNUMBER(B1287),YEAR(B1287)&amp;"-"&amp;IF(MONTH(B1287)&lt;10,"0","")&amp;MONTH(B1287),LEFT(B1287,7)))</f>
        <v/>
      </c>
    </row>
    <row r="1288" spans="2:17" ht="18" customHeight="1" x14ac:dyDescent="0.3">
      <c r="B1288" s="26"/>
      <c r="C1288" s="17"/>
      <c r="D1288" s="27"/>
      <c r="E1288" s="18"/>
      <c r="F1288" s="18"/>
      <c r="G1288" s="18"/>
      <c r="H1288" s="30" t="str">
        <f t="shared" si="140"/>
        <v/>
      </c>
      <c r="I1288" s="31" t="str">
        <f>IF(OR(B1288="",C1288=""),"",IFERROR(E1288*IF(E1288="",0,VLOOKUP(C1288,'📦 Precios Proforma'!$B$5:$D$104,IF(D1288="DIA",2,3),FALSE)),0))</f>
        <v/>
      </c>
      <c r="J1288" s="31" t="str">
        <f t="shared" si="141"/>
        <v/>
      </c>
      <c r="K1288" s="31" t="str">
        <f t="shared" si="142"/>
        <v/>
      </c>
      <c r="L1288" s="31" t="str">
        <f>IF(OR(B1288="",C1288=""),"",IFERROR(E1288 / SUMIFS('📅 Resumen Diario'!$D$5:$D$504, '📅 Resumen Diario'!$B$5:$B$504, B1288, '📅 Resumen Diario'!$C$5:$C$504, D1288) * SUMIFS('📅 Resumen Diario'!$K$5:$K$504, '📅 Resumen Diario'!$B$5:$B$504, B1288, '📅 Resumen Diario'!$C$5:$C$504, D1288), 0))</f>
        <v/>
      </c>
      <c r="M1288" s="31" t="str">
        <f t="shared" si="143"/>
        <v/>
      </c>
      <c r="N1288" s="31" t="str">
        <f t="shared" si="144"/>
        <v/>
      </c>
      <c r="O1288" s="31" t="str">
        <f>IF(OR(B1288="",C1288=""),"",K1288-N1288 + IFERROR(E1288 / SUMIFS('📅 Resumen Diario'!$D$5:$D$504, '📅 Resumen Diario'!$B$5:$B$504, B1288, '📅 Resumen Diario'!$C$5:$C$504, D1288) * (SUMIFS('📋 Detalle Diario'!$E$5:$E$489, '📋 Detalle Diario'!$B$5:$B$489, B1288, '📋 Detalle Diario'!$C$5:$C$489, D1288) * 135 + SUMIFS('📋 Detalle Diario'!$I$5:$I$489, '📋 Detalle Diario'!$B$5:$B$489, B1288, '📋 Detalle Diario'!$C$5:$C$489, D1288) * 200), 0))</f>
        <v/>
      </c>
      <c r="P1288" s="32" t="str">
        <f t="shared" si="145"/>
        <v/>
      </c>
      <c r="Q1288" s="33" t="str">
        <f t="shared" si="146"/>
        <v/>
      </c>
    </row>
    <row r="1289" spans="2:17" ht="18" customHeight="1" x14ac:dyDescent="0.3">
      <c r="B1289" s="26"/>
      <c r="C1289" s="28"/>
      <c r="D1289" s="27"/>
      <c r="E1289" s="29"/>
      <c r="F1289" s="29"/>
      <c r="G1289" s="29"/>
      <c r="H1289" s="30" t="str">
        <f t="shared" si="140"/>
        <v/>
      </c>
      <c r="I1289" s="31" t="str">
        <f>IF(OR(B1289="",C1289=""),"",IFERROR(E1289*IF(E1289="",0,VLOOKUP(C1289,'📦 Precios Proforma'!$B$5:$D$104,IF(D1289="DIA",2,3),FALSE)),0))</f>
        <v/>
      </c>
      <c r="J1289" s="31" t="str">
        <f t="shared" si="141"/>
        <v/>
      </c>
      <c r="K1289" s="31" t="str">
        <f t="shared" si="142"/>
        <v/>
      </c>
      <c r="L1289" s="31" t="str">
        <f>IF(OR(B1289="",C1289=""),"",IFERROR(E1289 / SUMIFS('📅 Resumen Diario'!$D$5:$D$504, '📅 Resumen Diario'!$B$5:$B$504, B1289, '📅 Resumen Diario'!$C$5:$C$504, D1289) * SUMIFS('📅 Resumen Diario'!$K$5:$K$504, '📅 Resumen Diario'!$B$5:$B$504, B1289, '📅 Resumen Diario'!$C$5:$C$504, D1289), 0))</f>
        <v/>
      </c>
      <c r="M1289" s="31" t="str">
        <f t="shared" si="143"/>
        <v/>
      </c>
      <c r="N1289" s="31" t="str">
        <f t="shared" si="144"/>
        <v/>
      </c>
      <c r="O1289" s="31" t="str">
        <f>IF(OR(B1289="",C1289=""),"",K1289-N1289 + IFERROR(E1289 / SUMIFS('📅 Resumen Diario'!$D$5:$D$504, '📅 Resumen Diario'!$B$5:$B$504, B1289, '📅 Resumen Diario'!$C$5:$C$504, D1289) * (SUMIFS('📋 Detalle Diario'!$E$5:$E$489, '📋 Detalle Diario'!$B$5:$B$489, B1289, '📋 Detalle Diario'!$C$5:$C$489, D1289) * 135 + SUMIFS('📋 Detalle Diario'!$I$5:$I$489, '📋 Detalle Diario'!$B$5:$B$489, B1289, '📋 Detalle Diario'!$C$5:$C$489, D1289) * 200), 0))</f>
        <v/>
      </c>
      <c r="P1289" s="32" t="str">
        <f t="shared" si="145"/>
        <v/>
      </c>
      <c r="Q1289" s="33" t="str">
        <f t="shared" si="146"/>
        <v/>
      </c>
    </row>
    <row r="1290" spans="2:17" ht="18" customHeight="1" x14ac:dyDescent="0.3">
      <c r="B1290" s="26"/>
      <c r="C1290" s="17"/>
      <c r="D1290" s="27"/>
      <c r="E1290" s="18"/>
      <c r="F1290" s="18"/>
      <c r="G1290" s="18"/>
      <c r="H1290" s="30" t="str">
        <f t="shared" si="140"/>
        <v/>
      </c>
      <c r="I1290" s="31" t="str">
        <f>IF(OR(B1290="",C1290=""),"",IFERROR(E1290*IF(E1290="",0,VLOOKUP(C1290,'📦 Precios Proforma'!$B$5:$D$104,IF(D1290="DIA",2,3),FALSE)),0))</f>
        <v/>
      </c>
      <c r="J1290" s="31" t="str">
        <f t="shared" si="141"/>
        <v/>
      </c>
      <c r="K1290" s="31" t="str">
        <f t="shared" si="142"/>
        <v/>
      </c>
      <c r="L1290" s="31" t="str">
        <f>IF(OR(B1290="",C1290=""),"",IFERROR(E1290 / SUMIFS('📅 Resumen Diario'!$D$5:$D$504, '📅 Resumen Diario'!$B$5:$B$504, B1290, '📅 Resumen Diario'!$C$5:$C$504, D1290) * SUMIFS('📅 Resumen Diario'!$K$5:$K$504, '📅 Resumen Diario'!$B$5:$B$504, B1290, '📅 Resumen Diario'!$C$5:$C$504, D1290), 0))</f>
        <v/>
      </c>
      <c r="M1290" s="31" t="str">
        <f t="shared" si="143"/>
        <v/>
      </c>
      <c r="N1290" s="31" t="str">
        <f t="shared" si="144"/>
        <v/>
      </c>
      <c r="O1290" s="31" t="str">
        <f>IF(OR(B1290="",C1290=""),"",K1290-N1290 + IFERROR(E1290 / SUMIFS('📅 Resumen Diario'!$D$5:$D$504, '📅 Resumen Diario'!$B$5:$B$504, B1290, '📅 Resumen Diario'!$C$5:$C$504, D1290) * (SUMIFS('📋 Detalle Diario'!$E$5:$E$489, '📋 Detalle Diario'!$B$5:$B$489, B1290, '📋 Detalle Diario'!$C$5:$C$489, D1290) * 135 + SUMIFS('📋 Detalle Diario'!$I$5:$I$489, '📋 Detalle Diario'!$B$5:$B$489, B1290, '📋 Detalle Diario'!$C$5:$C$489, D1290) * 200), 0))</f>
        <v/>
      </c>
      <c r="P1290" s="32" t="str">
        <f t="shared" si="145"/>
        <v/>
      </c>
      <c r="Q1290" s="33" t="str">
        <f t="shared" si="146"/>
        <v/>
      </c>
    </row>
    <row r="1291" spans="2:17" ht="18" customHeight="1" x14ac:dyDescent="0.3">
      <c r="B1291" s="26"/>
      <c r="C1291" s="28"/>
      <c r="D1291" s="27"/>
      <c r="E1291" s="29"/>
      <c r="F1291" s="29"/>
      <c r="G1291" s="29"/>
      <c r="H1291" s="30" t="str">
        <f t="shared" si="140"/>
        <v/>
      </c>
      <c r="I1291" s="31" t="str">
        <f>IF(OR(B1291="",C1291=""),"",IFERROR(E1291*IF(E1291="",0,VLOOKUP(C1291,'📦 Precios Proforma'!$B$5:$D$104,IF(D1291="DIA",2,3),FALSE)),0))</f>
        <v/>
      </c>
      <c r="J1291" s="31" t="str">
        <f t="shared" si="141"/>
        <v/>
      </c>
      <c r="K1291" s="31" t="str">
        <f t="shared" si="142"/>
        <v/>
      </c>
      <c r="L1291" s="31" t="str">
        <f>IF(OR(B1291="",C1291=""),"",IFERROR(E1291 / SUMIFS('📅 Resumen Diario'!$D$5:$D$504, '📅 Resumen Diario'!$B$5:$B$504, B1291, '📅 Resumen Diario'!$C$5:$C$504, D1291) * SUMIFS('📅 Resumen Diario'!$K$5:$K$504, '📅 Resumen Diario'!$B$5:$B$504, B1291, '📅 Resumen Diario'!$C$5:$C$504, D1291), 0))</f>
        <v/>
      </c>
      <c r="M1291" s="31" t="str">
        <f t="shared" si="143"/>
        <v/>
      </c>
      <c r="N1291" s="31" t="str">
        <f t="shared" si="144"/>
        <v/>
      </c>
      <c r="O1291" s="31" t="str">
        <f>IF(OR(B1291="",C1291=""),"",K1291-N1291 + IFERROR(E1291 / SUMIFS('📅 Resumen Diario'!$D$5:$D$504, '📅 Resumen Diario'!$B$5:$B$504, B1291, '📅 Resumen Diario'!$C$5:$C$504, D1291) * (SUMIFS('📋 Detalle Diario'!$E$5:$E$489, '📋 Detalle Diario'!$B$5:$B$489, B1291, '📋 Detalle Diario'!$C$5:$C$489, D1291) * 135 + SUMIFS('📋 Detalle Diario'!$I$5:$I$489, '📋 Detalle Diario'!$B$5:$B$489, B1291, '📋 Detalle Diario'!$C$5:$C$489, D1291) * 200), 0))</f>
        <v/>
      </c>
      <c r="P1291" s="32" t="str">
        <f t="shared" si="145"/>
        <v/>
      </c>
      <c r="Q1291" s="33" t="str">
        <f t="shared" si="146"/>
        <v/>
      </c>
    </row>
    <row r="1292" spans="2:17" ht="18" customHeight="1" x14ac:dyDescent="0.3">
      <c r="B1292" s="26"/>
      <c r="C1292" s="17"/>
      <c r="D1292" s="27"/>
      <c r="E1292" s="18"/>
      <c r="F1292" s="18"/>
      <c r="G1292" s="18"/>
      <c r="H1292" s="30" t="str">
        <f t="shared" si="140"/>
        <v/>
      </c>
      <c r="I1292" s="31" t="str">
        <f>IF(OR(B1292="",C1292=""),"",IFERROR(E1292*IF(E1292="",0,VLOOKUP(C1292,'📦 Precios Proforma'!$B$5:$D$104,IF(D1292="DIA",2,3),FALSE)),0))</f>
        <v/>
      </c>
      <c r="J1292" s="31" t="str">
        <f t="shared" si="141"/>
        <v/>
      </c>
      <c r="K1292" s="31" t="str">
        <f t="shared" si="142"/>
        <v/>
      </c>
      <c r="L1292" s="31" t="str">
        <f>IF(OR(B1292="",C1292=""),"",IFERROR(E1292 / SUMIFS('📅 Resumen Diario'!$D$5:$D$504, '📅 Resumen Diario'!$B$5:$B$504, B1292, '📅 Resumen Diario'!$C$5:$C$504, D1292) * SUMIFS('📅 Resumen Diario'!$K$5:$K$504, '📅 Resumen Diario'!$B$5:$B$504, B1292, '📅 Resumen Diario'!$C$5:$C$504, D1292), 0))</f>
        <v/>
      </c>
      <c r="M1292" s="31" t="str">
        <f t="shared" si="143"/>
        <v/>
      </c>
      <c r="N1292" s="31" t="str">
        <f t="shared" si="144"/>
        <v/>
      </c>
      <c r="O1292" s="31" t="str">
        <f>IF(OR(B1292="",C1292=""),"",K1292-N1292 + IFERROR(E1292 / SUMIFS('📅 Resumen Diario'!$D$5:$D$504, '📅 Resumen Diario'!$B$5:$B$504, B1292, '📅 Resumen Diario'!$C$5:$C$504, D1292) * (SUMIFS('📋 Detalle Diario'!$E$5:$E$489, '📋 Detalle Diario'!$B$5:$B$489, B1292, '📋 Detalle Diario'!$C$5:$C$489, D1292) * 135 + SUMIFS('📋 Detalle Diario'!$I$5:$I$489, '📋 Detalle Diario'!$B$5:$B$489, B1292, '📋 Detalle Diario'!$C$5:$C$489, D1292) * 200), 0))</f>
        <v/>
      </c>
      <c r="P1292" s="32" t="str">
        <f t="shared" si="145"/>
        <v/>
      </c>
      <c r="Q1292" s="33" t="str">
        <f t="shared" si="146"/>
        <v/>
      </c>
    </row>
    <row r="1293" spans="2:17" ht="18" customHeight="1" x14ac:dyDescent="0.3">
      <c r="B1293" s="26"/>
      <c r="C1293" s="28"/>
      <c r="D1293" s="27"/>
      <c r="E1293" s="29"/>
      <c r="F1293" s="29"/>
      <c r="G1293" s="29"/>
      <c r="H1293" s="30" t="str">
        <f t="shared" si="140"/>
        <v/>
      </c>
      <c r="I1293" s="31" t="str">
        <f>IF(OR(B1293="",C1293=""),"",IFERROR(E1293*IF(E1293="",0,VLOOKUP(C1293,'📦 Precios Proforma'!$B$5:$D$104,IF(D1293="DIA",2,3),FALSE)),0))</f>
        <v/>
      </c>
      <c r="J1293" s="31" t="str">
        <f t="shared" si="141"/>
        <v/>
      </c>
      <c r="K1293" s="31" t="str">
        <f t="shared" si="142"/>
        <v/>
      </c>
      <c r="L1293" s="31" t="str">
        <f>IF(OR(B1293="",C1293=""),"",IFERROR(E1293 / SUMIFS('📅 Resumen Diario'!$D$5:$D$504, '📅 Resumen Diario'!$B$5:$B$504, B1293, '📅 Resumen Diario'!$C$5:$C$504, D1293) * SUMIFS('📅 Resumen Diario'!$K$5:$K$504, '📅 Resumen Diario'!$B$5:$B$504, B1293, '📅 Resumen Diario'!$C$5:$C$504, D1293), 0))</f>
        <v/>
      </c>
      <c r="M1293" s="31" t="str">
        <f t="shared" si="143"/>
        <v/>
      </c>
      <c r="N1293" s="31" t="str">
        <f t="shared" si="144"/>
        <v/>
      </c>
      <c r="O1293" s="31" t="str">
        <f>IF(OR(B1293="",C1293=""),"",K1293-N1293 + IFERROR(E1293 / SUMIFS('📅 Resumen Diario'!$D$5:$D$504, '📅 Resumen Diario'!$B$5:$B$504, B1293, '📅 Resumen Diario'!$C$5:$C$504, D1293) * (SUMIFS('📋 Detalle Diario'!$E$5:$E$489, '📋 Detalle Diario'!$B$5:$B$489, B1293, '📋 Detalle Diario'!$C$5:$C$489, D1293) * 135 + SUMIFS('📋 Detalle Diario'!$I$5:$I$489, '📋 Detalle Diario'!$B$5:$B$489, B1293, '📋 Detalle Diario'!$C$5:$C$489, D1293) * 200), 0))</f>
        <v/>
      </c>
      <c r="P1293" s="32" t="str">
        <f t="shared" si="145"/>
        <v/>
      </c>
      <c r="Q1293" s="33" t="str">
        <f t="shared" si="146"/>
        <v/>
      </c>
    </row>
    <row r="1294" spans="2:17" ht="18" customHeight="1" x14ac:dyDescent="0.3">
      <c r="B1294" s="26"/>
      <c r="C1294" s="17"/>
      <c r="D1294" s="27"/>
      <c r="E1294" s="18"/>
      <c r="F1294" s="18"/>
      <c r="G1294" s="18"/>
      <c r="H1294" s="30" t="str">
        <f t="shared" si="140"/>
        <v/>
      </c>
      <c r="I1294" s="31" t="str">
        <f>IF(OR(B1294="",C1294=""),"",IFERROR(E1294*IF(E1294="",0,VLOOKUP(C1294,'📦 Precios Proforma'!$B$5:$D$104,IF(D1294="DIA",2,3),FALSE)),0))</f>
        <v/>
      </c>
      <c r="J1294" s="31" t="str">
        <f t="shared" si="141"/>
        <v/>
      </c>
      <c r="K1294" s="31" t="str">
        <f t="shared" si="142"/>
        <v/>
      </c>
      <c r="L1294" s="31" t="str">
        <f>IF(OR(B1294="",C1294=""),"",IFERROR(E1294 / SUMIFS('📅 Resumen Diario'!$D$5:$D$504, '📅 Resumen Diario'!$B$5:$B$504, B1294, '📅 Resumen Diario'!$C$5:$C$504, D1294) * SUMIFS('📅 Resumen Diario'!$K$5:$K$504, '📅 Resumen Diario'!$B$5:$B$504, B1294, '📅 Resumen Diario'!$C$5:$C$504, D1294), 0))</f>
        <v/>
      </c>
      <c r="M1294" s="31" t="str">
        <f t="shared" si="143"/>
        <v/>
      </c>
      <c r="N1294" s="31" t="str">
        <f t="shared" si="144"/>
        <v/>
      </c>
      <c r="O1294" s="31" t="str">
        <f>IF(OR(B1294="",C1294=""),"",K1294-N1294 + IFERROR(E1294 / SUMIFS('📅 Resumen Diario'!$D$5:$D$504, '📅 Resumen Diario'!$B$5:$B$504, B1294, '📅 Resumen Diario'!$C$5:$C$504, D1294) * (SUMIFS('📋 Detalle Diario'!$E$5:$E$489, '📋 Detalle Diario'!$B$5:$B$489, B1294, '📋 Detalle Diario'!$C$5:$C$489, D1294) * 135 + SUMIFS('📋 Detalle Diario'!$I$5:$I$489, '📋 Detalle Diario'!$B$5:$B$489, B1294, '📋 Detalle Diario'!$C$5:$C$489, D1294) * 200), 0))</f>
        <v/>
      </c>
      <c r="P1294" s="32" t="str">
        <f t="shared" si="145"/>
        <v/>
      </c>
      <c r="Q1294" s="33" t="str">
        <f t="shared" si="146"/>
        <v/>
      </c>
    </row>
    <row r="1295" spans="2:17" ht="18" customHeight="1" x14ac:dyDescent="0.3">
      <c r="B1295" s="26"/>
      <c r="C1295" s="28"/>
      <c r="D1295" s="27"/>
      <c r="E1295" s="29"/>
      <c r="F1295" s="29"/>
      <c r="G1295" s="29"/>
      <c r="H1295" s="30" t="str">
        <f t="shared" si="140"/>
        <v/>
      </c>
      <c r="I1295" s="31" t="str">
        <f>IF(OR(B1295="",C1295=""),"",IFERROR(E1295*IF(E1295="",0,VLOOKUP(C1295,'📦 Precios Proforma'!$B$5:$D$104,IF(D1295="DIA",2,3),FALSE)),0))</f>
        <v/>
      </c>
      <c r="J1295" s="31" t="str">
        <f t="shared" si="141"/>
        <v/>
      </c>
      <c r="K1295" s="31" t="str">
        <f t="shared" si="142"/>
        <v/>
      </c>
      <c r="L1295" s="31" t="str">
        <f>IF(OR(B1295="",C1295=""),"",IFERROR(E1295 / SUMIFS('📅 Resumen Diario'!$D$5:$D$504, '📅 Resumen Diario'!$B$5:$B$504, B1295, '📅 Resumen Diario'!$C$5:$C$504, D1295) * SUMIFS('📅 Resumen Diario'!$K$5:$K$504, '📅 Resumen Diario'!$B$5:$B$504, B1295, '📅 Resumen Diario'!$C$5:$C$504, D1295), 0))</f>
        <v/>
      </c>
      <c r="M1295" s="31" t="str">
        <f t="shared" si="143"/>
        <v/>
      </c>
      <c r="N1295" s="31" t="str">
        <f t="shared" si="144"/>
        <v/>
      </c>
      <c r="O1295" s="31" t="str">
        <f>IF(OR(B1295="",C1295=""),"",K1295-N1295 + IFERROR(E1295 / SUMIFS('📅 Resumen Diario'!$D$5:$D$504, '📅 Resumen Diario'!$B$5:$B$504, B1295, '📅 Resumen Diario'!$C$5:$C$504, D1295) * (SUMIFS('📋 Detalle Diario'!$E$5:$E$489, '📋 Detalle Diario'!$B$5:$B$489, B1295, '📋 Detalle Diario'!$C$5:$C$489, D1295) * 135 + SUMIFS('📋 Detalle Diario'!$I$5:$I$489, '📋 Detalle Diario'!$B$5:$B$489, B1295, '📋 Detalle Diario'!$C$5:$C$489, D1295) * 200), 0))</f>
        <v/>
      </c>
      <c r="P1295" s="32" t="str">
        <f t="shared" si="145"/>
        <v/>
      </c>
      <c r="Q1295" s="33" t="str">
        <f t="shared" si="146"/>
        <v/>
      </c>
    </row>
    <row r="1296" spans="2:17" ht="18" customHeight="1" x14ac:dyDescent="0.3">
      <c r="B1296" s="26"/>
      <c r="C1296" s="17"/>
      <c r="D1296" s="27"/>
      <c r="E1296" s="18"/>
      <c r="F1296" s="18"/>
      <c r="G1296" s="18"/>
      <c r="H1296" s="30" t="str">
        <f t="shared" si="140"/>
        <v/>
      </c>
      <c r="I1296" s="31" t="str">
        <f>IF(OR(B1296="",C1296=""),"",IFERROR(E1296*IF(E1296="",0,VLOOKUP(C1296,'📦 Precios Proforma'!$B$5:$D$104,IF(D1296="DIA",2,3),FALSE)),0))</f>
        <v/>
      </c>
      <c r="J1296" s="31" t="str">
        <f t="shared" si="141"/>
        <v/>
      </c>
      <c r="K1296" s="31" t="str">
        <f t="shared" si="142"/>
        <v/>
      </c>
      <c r="L1296" s="31" t="str">
        <f>IF(OR(B1296="",C1296=""),"",IFERROR(E1296 / SUMIFS('📅 Resumen Diario'!$D$5:$D$504, '📅 Resumen Diario'!$B$5:$B$504, B1296, '📅 Resumen Diario'!$C$5:$C$504, D1296) * SUMIFS('📅 Resumen Diario'!$K$5:$K$504, '📅 Resumen Diario'!$B$5:$B$504, B1296, '📅 Resumen Diario'!$C$5:$C$504, D1296), 0))</f>
        <v/>
      </c>
      <c r="M1296" s="31" t="str">
        <f t="shared" si="143"/>
        <v/>
      </c>
      <c r="N1296" s="31" t="str">
        <f t="shared" si="144"/>
        <v/>
      </c>
      <c r="O1296" s="31" t="str">
        <f>IF(OR(B1296="",C1296=""),"",K1296-N1296 + IFERROR(E1296 / SUMIFS('📅 Resumen Diario'!$D$5:$D$504, '📅 Resumen Diario'!$B$5:$B$504, B1296, '📅 Resumen Diario'!$C$5:$C$504, D1296) * (SUMIFS('📋 Detalle Diario'!$E$5:$E$489, '📋 Detalle Diario'!$B$5:$B$489, B1296, '📋 Detalle Diario'!$C$5:$C$489, D1296) * 135 + SUMIFS('📋 Detalle Diario'!$I$5:$I$489, '📋 Detalle Diario'!$B$5:$B$489, B1296, '📋 Detalle Diario'!$C$5:$C$489, D1296) * 200), 0))</f>
        <v/>
      </c>
      <c r="P1296" s="32" t="str">
        <f t="shared" si="145"/>
        <v/>
      </c>
      <c r="Q1296" s="33" t="str">
        <f t="shared" si="146"/>
        <v/>
      </c>
    </row>
    <row r="1297" spans="2:17" ht="18" customHeight="1" x14ac:dyDescent="0.3">
      <c r="B1297" s="26"/>
      <c r="C1297" s="28"/>
      <c r="D1297" s="27"/>
      <c r="E1297" s="29"/>
      <c r="F1297" s="29"/>
      <c r="G1297" s="29"/>
      <c r="H1297" s="30" t="str">
        <f t="shared" si="140"/>
        <v/>
      </c>
      <c r="I1297" s="31" t="str">
        <f>IF(OR(B1297="",C1297=""),"",IFERROR(E1297*IF(E1297="",0,VLOOKUP(C1297,'📦 Precios Proforma'!$B$5:$D$104,IF(D1297="DIA",2,3),FALSE)),0))</f>
        <v/>
      </c>
      <c r="J1297" s="31" t="str">
        <f t="shared" si="141"/>
        <v/>
      </c>
      <c r="K1297" s="31" t="str">
        <f t="shared" si="142"/>
        <v/>
      </c>
      <c r="L1297" s="31" t="str">
        <f>IF(OR(B1297="",C1297=""),"",IFERROR(E1297 / SUMIFS('📅 Resumen Diario'!$D$5:$D$504, '📅 Resumen Diario'!$B$5:$B$504, B1297, '📅 Resumen Diario'!$C$5:$C$504, D1297) * SUMIFS('📅 Resumen Diario'!$K$5:$K$504, '📅 Resumen Diario'!$B$5:$B$504, B1297, '📅 Resumen Diario'!$C$5:$C$504, D1297), 0))</f>
        <v/>
      </c>
      <c r="M1297" s="31" t="str">
        <f t="shared" si="143"/>
        <v/>
      </c>
      <c r="N1297" s="31" t="str">
        <f t="shared" si="144"/>
        <v/>
      </c>
      <c r="O1297" s="31" t="str">
        <f>IF(OR(B1297="",C1297=""),"",K1297-N1297 + IFERROR(E1297 / SUMIFS('📅 Resumen Diario'!$D$5:$D$504, '📅 Resumen Diario'!$B$5:$B$504, B1297, '📅 Resumen Diario'!$C$5:$C$504, D1297) * (SUMIFS('📋 Detalle Diario'!$E$5:$E$489, '📋 Detalle Diario'!$B$5:$B$489, B1297, '📋 Detalle Diario'!$C$5:$C$489, D1297) * 135 + SUMIFS('📋 Detalle Diario'!$I$5:$I$489, '📋 Detalle Diario'!$B$5:$B$489, B1297, '📋 Detalle Diario'!$C$5:$C$489, D1297) * 200), 0))</f>
        <v/>
      </c>
      <c r="P1297" s="32" t="str">
        <f t="shared" si="145"/>
        <v/>
      </c>
      <c r="Q1297" s="33" t="str">
        <f t="shared" si="146"/>
        <v/>
      </c>
    </row>
    <row r="1298" spans="2:17" ht="18" customHeight="1" x14ac:dyDescent="0.3">
      <c r="B1298" s="26"/>
      <c r="C1298" s="17"/>
      <c r="D1298" s="27"/>
      <c r="E1298" s="18"/>
      <c r="F1298" s="18"/>
      <c r="G1298" s="18"/>
      <c r="H1298" s="30" t="str">
        <f t="shared" si="140"/>
        <v/>
      </c>
      <c r="I1298" s="31" t="str">
        <f>IF(OR(B1298="",C1298=""),"",IFERROR(E1298*IF(E1298="",0,VLOOKUP(C1298,'📦 Precios Proforma'!$B$5:$D$104,IF(D1298="DIA",2,3),FALSE)),0))</f>
        <v/>
      </c>
      <c r="J1298" s="31" t="str">
        <f t="shared" si="141"/>
        <v/>
      </c>
      <c r="K1298" s="31" t="str">
        <f t="shared" si="142"/>
        <v/>
      </c>
      <c r="L1298" s="31" t="str">
        <f>IF(OR(B1298="",C1298=""),"",IFERROR(E1298 / SUMIFS('📅 Resumen Diario'!$D$5:$D$504, '📅 Resumen Diario'!$B$5:$B$504, B1298, '📅 Resumen Diario'!$C$5:$C$504, D1298) * SUMIFS('📅 Resumen Diario'!$K$5:$K$504, '📅 Resumen Diario'!$B$5:$B$504, B1298, '📅 Resumen Diario'!$C$5:$C$504, D1298), 0))</f>
        <v/>
      </c>
      <c r="M1298" s="31" t="str">
        <f t="shared" si="143"/>
        <v/>
      </c>
      <c r="N1298" s="31" t="str">
        <f t="shared" si="144"/>
        <v/>
      </c>
      <c r="O1298" s="31" t="str">
        <f>IF(OR(B1298="",C1298=""),"",K1298-N1298 + IFERROR(E1298 / SUMIFS('📅 Resumen Diario'!$D$5:$D$504, '📅 Resumen Diario'!$B$5:$B$504, B1298, '📅 Resumen Diario'!$C$5:$C$504, D1298) * (SUMIFS('📋 Detalle Diario'!$E$5:$E$489, '📋 Detalle Diario'!$B$5:$B$489, B1298, '📋 Detalle Diario'!$C$5:$C$489, D1298) * 135 + SUMIFS('📋 Detalle Diario'!$I$5:$I$489, '📋 Detalle Diario'!$B$5:$B$489, B1298, '📋 Detalle Diario'!$C$5:$C$489, D1298) * 200), 0))</f>
        <v/>
      </c>
      <c r="P1298" s="32" t="str">
        <f t="shared" si="145"/>
        <v/>
      </c>
      <c r="Q1298" s="33" t="str">
        <f t="shared" si="146"/>
        <v/>
      </c>
    </row>
    <row r="1299" spans="2:17" ht="18" customHeight="1" x14ac:dyDescent="0.3">
      <c r="B1299" s="26"/>
      <c r="C1299" s="28"/>
      <c r="D1299" s="27"/>
      <c r="E1299" s="29"/>
      <c r="F1299" s="29"/>
      <c r="G1299" s="29"/>
      <c r="H1299" s="30" t="str">
        <f t="shared" si="140"/>
        <v/>
      </c>
      <c r="I1299" s="31" t="str">
        <f>IF(OR(B1299="",C1299=""),"",IFERROR(E1299*IF(E1299="",0,VLOOKUP(C1299,'📦 Precios Proforma'!$B$5:$D$104,IF(D1299="DIA",2,3),FALSE)),0))</f>
        <v/>
      </c>
      <c r="J1299" s="31" t="str">
        <f t="shared" si="141"/>
        <v/>
      </c>
      <c r="K1299" s="31" t="str">
        <f t="shared" si="142"/>
        <v/>
      </c>
      <c r="L1299" s="31" t="str">
        <f>IF(OR(B1299="",C1299=""),"",IFERROR(E1299 / SUMIFS('📅 Resumen Diario'!$D$5:$D$504, '📅 Resumen Diario'!$B$5:$B$504, B1299, '📅 Resumen Diario'!$C$5:$C$504, D1299) * SUMIFS('📅 Resumen Diario'!$K$5:$K$504, '📅 Resumen Diario'!$B$5:$B$504, B1299, '📅 Resumen Diario'!$C$5:$C$504, D1299), 0))</f>
        <v/>
      </c>
      <c r="M1299" s="31" t="str">
        <f t="shared" si="143"/>
        <v/>
      </c>
      <c r="N1299" s="31" t="str">
        <f t="shared" si="144"/>
        <v/>
      </c>
      <c r="O1299" s="31" t="str">
        <f>IF(OR(B1299="",C1299=""),"",K1299-N1299 + IFERROR(E1299 / SUMIFS('📅 Resumen Diario'!$D$5:$D$504, '📅 Resumen Diario'!$B$5:$B$504, B1299, '📅 Resumen Diario'!$C$5:$C$504, D1299) * (SUMIFS('📋 Detalle Diario'!$E$5:$E$489, '📋 Detalle Diario'!$B$5:$B$489, B1299, '📋 Detalle Diario'!$C$5:$C$489, D1299) * 135 + SUMIFS('📋 Detalle Diario'!$I$5:$I$489, '📋 Detalle Diario'!$B$5:$B$489, B1299, '📋 Detalle Diario'!$C$5:$C$489, D1299) * 200), 0))</f>
        <v/>
      </c>
      <c r="P1299" s="32" t="str">
        <f t="shared" si="145"/>
        <v/>
      </c>
      <c r="Q1299" s="33" t="str">
        <f t="shared" si="146"/>
        <v/>
      </c>
    </row>
    <row r="1300" spans="2:17" ht="18" customHeight="1" x14ac:dyDescent="0.3">
      <c r="B1300" s="26"/>
      <c r="C1300" s="17"/>
      <c r="D1300" s="27"/>
      <c r="E1300" s="18"/>
      <c r="F1300" s="18"/>
      <c r="G1300" s="18"/>
      <c r="H1300" s="30" t="str">
        <f t="shared" si="140"/>
        <v/>
      </c>
      <c r="I1300" s="31" t="str">
        <f>IF(OR(B1300="",C1300=""),"",IFERROR(E1300*IF(E1300="",0,VLOOKUP(C1300,'📦 Precios Proforma'!$B$5:$D$104,IF(D1300="DIA",2,3),FALSE)),0))</f>
        <v/>
      </c>
      <c r="J1300" s="31" t="str">
        <f t="shared" si="141"/>
        <v/>
      </c>
      <c r="K1300" s="31" t="str">
        <f t="shared" si="142"/>
        <v/>
      </c>
      <c r="L1300" s="31" t="str">
        <f>IF(OR(B1300="",C1300=""),"",IFERROR(E1300 / SUMIFS('📅 Resumen Diario'!$D$5:$D$504, '📅 Resumen Diario'!$B$5:$B$504, B1300, '📅 Resumen Diario'!$C$5:$C$504, D1300) * SUMIFS('📅 Resumen Diario'!$K$5:$K$504, '📅 Resumen Diario'!$B$5:$B$504, B1300, '📅 Resumen Diario'!$C$5:$C$504, D1300), 0))</f>
        <v/>
      </c>
      <c r="M1300" s="31" t="str">
        <f t="shared" si="143"/>
        <v/>
      </c>
      <c r="N1300" s="31" t="str">
        <f t="shared" si="144"/>
        <v/>
      </c>
      <c r="O1300" s="31" t="str">
        <f>IF(OR(B1300="",C1300=""),"",K1300-N1300 + IFERROR(E1300 / SUMIFS('📅 Resumen Diario'!$D$5:$D$504, '📅 Resumen Diario'!$B$5:$B$504, B1300, '📅 Resumen Diario'!$C$5:$C$504, D1300) * (SUMIFS('📋 Detalle Diario'!$E$5:$E$489, '📋 Detalle Diario'!$B$5:$B$489, B1300, '📋 Detalle Diario'!$C$5:$C$489, D1300) * 135 + SUMIFS('📋 Detalle Diario'!$I$5:$I$489, '📋 Detalle Diario'!$B$5:$B$489, B1300, '📋 Detalle Diario'!$C$5:$C$489, D1300) * 200), 0))</f>
        <v/>
      </c>
      <c r="P1300" s="32" t="str">
        <f t="shared" si="145"/>
        <v/>
      </c>
      <c r="Q1300" s="33" t="str">
        <f t="shared" si="146"/>
        <v/>
      </c>
    </row>
    <row r="1301" spans="2:17" ht="18" customHeight="1" x14ac:dyDescent="0.3">
      <c r="B1301" s="26"/>
      <c r="C1301" s="28"/>
      <c r="D1301" s="27"/>
      <c r="E1301" s="29"/>
      <c r="F1301" s="29"/>
      <c r="G1301" s="29"/>
      <c r="H1301" s="30" t="str">
        <f t="shared" si="140"/>
        <v/>
      </c>
      <c r="I1301" s="31" t="str">
        <f>IF(OR(B1301="",C1301=""),"",IFERROR(E1301*IF(E1301="",0,VLOOKUP(C1301,'📦 Precios Proforma'!$B$5:$D$104,IF(D1301="DIA",2,3),FALSE)),0))</f>
        <v/>
      </c>
      <c r="J1301" s="31" t="str">
        <f t="shared" si="141"/>
        <v/>
      </c>
      <c r="K1301" s="31" t="str">
        <f t="shared" si="142"/>
        <v/>
      </c>
      <c r="L1301" s="31" t="str">
        <f>IF(OR(B1301="",C1301=""),"",IFERROR(E1301 / SUMIFS('📅 Resumen Diario'!$D$5:$D$504, '📅 Resumen Diario'!$B$5:$B$504, B1301, '📅 Resumen Diario'!$C$5:$C$504, D1301) * SUMIFS('📅 Resumen Diario'!$K$5:$K$504, '📅 Resumen Diario'!$B$5:$B$504, B1301, '📅 Resumen Diario'!$C$5:$C$504, D1301), 0))</f>
        <v/>
      </c>
      <c r="M1301" s="31" t="str">
        <f t="shared" si="143"/>
        <v/>
      </c>
      <c r="N1301" s="31" t="str">
        <f t="shared" si="144"/>
        <v/>
      </c>
      <c r="O1301" s="31" t="str">
        <f>IF(OR(B1301="",C1301=""),"",K1301-N1301 + IFERROR(E1301 / SUMIFS('📅 Resumen Diario'!$D$5:$D$504, '📅 Resumen Diario'!$B$5:$B$504, B1301, '📅 Resumen Diario'!$C$5:$C$504, D1301) * (SUMIFS('📋 Detalle Diario'!$E$5:$E$489, '📋 Detalle Diario'!$B$5:$B$489, B1301, '📋 Detalle Diario'!$C$5:$C$489, D1301) * 135 + SUMIFS('📋 Detalle Diario'!$I$5:$I$489, '📋 Detalle Diario'!$B$5:$B$489, B1301, '📋 Detalle Diario'!$C$5:$C$489, D1301) * 200), 0))</f>
        <v/>
      </c>
      <c r="P1301" s="32" t="str">
        <f t="shared" si="145"/>
        <v/>
      </c>
      <c r="Q1301" s="33" t="str">
        <f t="shared" si="146"/>
        <v/>
      </c>
    </row>
    <row r="1302" spans="2:17" ht="18" customHeight="1" x14ac:dyDescent="0.3">
      <c r="B1302" s="26"/>
      <c r="C1302" s="17"/>
      <c r="D1302" s="27"/>
      <c r="E1302" s="18"/>
      <c r="F1302" s="18"/>
      <c r="G1302" s="18"/>
      <c r="H1302" s="30" t="str">
        <f t="shared" si="140"/>
        <v/>
      </c>
      <c r="I1302" s="31" t="str">
        <f>IF(OR(B1302="",C1302=""),"",IFERROR(E1302*IF(E1302="",0,VLOOKUP(C1302,'📦 Precios Proforma'!$B$5:$D$104,IF(D1302="DIA",2,3),FALSE)),0))</f>
        <v/>
      </c>
      <c r="J1302" s="31" t="str">
        <f t="shared" si="141"/>
        <v/>
      </c>
      <c r="K1302" s="31" t="str">
        <f t="shared" si="142"/>
        <v/>
      </c>
      <c r="L1302" s="31" t="str">
        <f>IF(OR(B1302="",C1302=""),"",IFERROR(E1302 / SUMIFS('📅 Resumen Diario'!$D$5:$D$504, '📅 Resumen Diario'!$B$5:$B$504, B1302, '📅 Resumen Diario'!$C$5:$C$504, D1302) * SUMIFS('📅 Resumen Diario'!$K$5:$K$504, '📅 Resumen Diario'!$B$5:$B$504, B1302, '📅 Resumen Diario'!$C$5:$C$504, D1302), 0))</f>
        <v/>
      </c>
      <c r="M1302" s="31" t="str">
        <f t="shared" si="143"/>
        <v/>
      </c>
      <c r="N1302" s="31" t="str">
        <f t="shared" si="144"/>
        <v/>
      </c>
      <c r="O1302" s="31" t="str">
        <f>IF(OR(B1302="",C1302=""),"",K1302-N1302 + IFERROR(E1302 / SUMIFS('📅 Resumen Diario'!$D$5:$D$504, '📅 Resumen Diario'!$B$5:$B$504, B1302, '📅 Resumen Diario'!$C$5:$C$504, D1302) * (SUMIFS('📋 Detalle Diario'!$E$5:$E$489, '📋 Detalle Diario'!$B$5:$B$489, B1302, '📋 Detalle Diario'!$C$5:$C$489, D1302) * 135 + SUMIFS('📋 Detalle Diario'!$I$5:$I$489, '📋 Detalle Diario'!$B$5:$B$489, B1302, '📋 Detalle Diario'!$C$5:$C$489, D1302) * 200), 0))</f>
        <v/>
      </c>
      <c r="P1302" s="32" t="str">
        <f t="shared" si="145"/>
        <v/>
      </c>
      <c r="Q1302" s="33" t="str">
        <f t="shared" si="146"/>
        <v/>
      </c>
    </row>
    <row r="1303" spans="2:17" ht="18" customHeight="1" x14ac:dyDescent="0.3">
      <c r="B1303" s="26"/>
      <c r="C1303" s="28"/>
      <c r="D1303" s="27"/>
      <c r="E1303" s="29"/>
      <c r="F1303" s="29"/>
      <c r="G1303" s="29"/>
      <c r="H1303" s="30" t="str">
        <f t="shared" si="140"/>
        <v/>
      </c>
      <c r="I1303" s="31" t="str">
        <f>IF(OR(B1303="",C1303=""),"",IFERROR(E1303*IF(E1303="",0,VLOOKUP(C1303,'📦 Precios Proforma'!$B$5:$D$104,IF(D1303="DIA",2,3),FALSE)),0))</f>
        <v/>
      </c>
      <c r="J1303" s="31" t="str">
        <f t="shared" si="141"/>
        <v/>
      </c>
      <c r="K1303" s="31" t="str">
        <f t="shared" si="142"/>
        <v/>
      </c>
      <c r="L1303" s="31" t="str">
        <f>IF(OR(B1303="",C1303=""),"",IFERROR(E1303 / SUMIFS('📅 Resumen Diario'!$D$5:$D$504, '📅 Resumen Diario'!$B$5:$B$504, B1303, '📅 Resumen Diario'!$C$5:$C$504, D1303) * SUMIFS('📅 Resumen Diario'!$K$5:$K$504, '📅 Resumen Diario'!$B$5:$B$504, B1303, '📅 Resumen Diario'!$C$5:$C$504, D1303), 0))</f>
        <v/>
      </c>
      <c r="M1303" s="31" t="str">
        <f t="shared" si="143"/>
        <v/>
      </c>
      <c r="N1303" s="31" t="str">
        <f t="shared" si="144"/>
        <v/>
      </c>
      <c r="O1303" s="31" t="str">
        <f>IF(OR(B1303="",C1303=""),"",K1303-N1303 + IFERROR(E1303 / SUMIFS('📅 Resumen Diario'!$D$5:$D$504, '📅 Resumen Diario'!$B$5:$B$504, B1303, '📅 Resumen Diario'!$C$5:$C$504, D1303) * (SUMIFS('📋 Detalle Diario'!$E$5:$E$489, '📋 Detalle Diario'!$B$5:$B$489, B1303, '📋 Detalle Diario'!$C$5:$C$489, D1303) * 135 + SUMIFS('📋 Detalle Diario'!$I$5:$I$489, '📋 Detalle Diario'!$B$5:$B$489, B1303, '📋 Detalle Diario'!$C$5:$C$489, D1303) * 200), 0))</f>
        <v/>
      </c>
      <c r="P1303" s="32" t="str">
        <f t="shared" si="145"/>
        <v/>
      </c>
      <c r="Q1303" s="33" t="str">
        <f t="shared" si="146"/>
        <v/>
      </c>
    </row>
    <row r="1304" spans="2:17" ht="18" customHeight="1" x14ac:dyDescent="0.3">
      <c r="B1304" s="26"/>
      <c r="C1304" s="17"/>
      <c r="D1304" s="27"/>
      <c r="E1304" s="18"/>
      <c r="F1304" s="18"/>
      <c r="G1304" s="18"/>
      <c r="H1304" s="30" t="str">
        <f t="shared" si="140"/>
        <v/>
      </c>
      <c r="I1304" s="31" t="str">
        <f>IF(OR(B1304="",C1304=""),"",IFERROR(E1304*IF(E1304="",0,VLOOKUP(C1304,'📦 Precios Proforma'!$B$5:$D$104,IF(D1304="DIA",2,3),FALSE)),0))</f>
        <v/>
      </c>
      <c r="J1304" s="31" t="str">
        <f t="shared" si="141"/>
        <v/>
      </c>
      <c r="K1304" s="31" t="str">
        <f t="shared" si="142"/>
        <v/>
      </c>
      <c r="L1304" s="31" t="str">
        <f>IF(OR(B1304="",C1304=""),"",IFERROR(E1304 / SUMIFS('📅 Resumen Diario'!$D$5:$D$504, '📅 Resumen Diario'!$B$5:$B$504, B1304, '📅 Resumen Diario'!$C$5:$C$504, D1304) * SUMIFS('📅 Resumen Diario'!$K$5:$K$504, '📅 Resumen Diario'!$B$5:$B$504, B1304, '📅 Resumen Diario'!$C$5:$C$504, D1304), 0))</f>
        <v/>
      </c>
      <c r="M1304" s="31" t="str">
        <f t="shared" si="143"/>
        <v/>
      </c>
      <c r="N1304" s="31" t="str">
        <f t="shared" si="144"/>
        <v/>
      </c>
      <c r="O1304" s="31" t="str">
        <f>IF(OR(B1304="",C1304=""),"",K1304-N1304 + IFERROR(E1304 / SUMIFS('📅 Resumen Diario'!$D$5:$D$504, '📅 Resumen Diario'!$B$5:$B$504, B1304, '📅 Resumen Diario'!$C$5:$C$504, D1304) * (SUMIFS('📋 Detalle Diario'!$E$5:$E$489, '📋 Detalle Diario'!$B$5:$B$489, B1304, '📋 Detalle Diario'!$C$5:$C$489, D1304) * 135 + SUMIFS('📋 Detalle Diario'!$I$5:$I$489, '📋 Detalle Diario'!$B$5:$B$489, B1304, '📋 Detalle Diario'!$C$5:$C$489, D1304) * 200), 0))</f>
        <v/>
      </c>
      <c r="P1304" s="32" t="str">
        <f t="shared" si="145"/>
        <v/>
      </c>
      <c r="Q1304" s="33" t="str">
        <f t="shared" si="146"/>
        <v/>
      </c>
    </row>
    <row r="1305" spans="2:17" ht="18" customHeight="1" x14ac:dyDescent="0.3">
      <c r="B1305" s="26"/>
      <c r="C1305" s="28"/>
      <c r="D1305" s="27"/>
      <c r="E1305" s="29"/>
      <c r="F1305" s="29"/>
      <c r="G1305" s="29"/>
      <c r="H1305" s="30" t="str">
        <f t="shared" si="140"/>
        <v/>
      </c>
      <c r="I1305" s="31" t="str">
        <f>IF(OR(B1305="",C1305=""),"",IFERROR(E1305*IF(E1305="",0,VLOOKUP(C1305,'📦 Precios Proforma'!$B$5:$D$104,IF(D1305="DIA",2,3),FALSE)),0))</f>
        <v/>
      </c>
      <c r="J1305" s="31" t="str">
        <f t="shared" si="141"/>
        <v/>
      </c>
      <c r="K1305" s="31" t="str">
        <f t="shared" si="142"/>
        <v/>
      </c>
      <c r="L1305" s="31" t="str">
        <f>IF(OR(B1305="",C1305=""),"",IFERROR(E1305 / SUMIFS('📅 Resumen Diario'!$D$5:$D$504, '📅 Resumen Diario'!$B$5:$B$504, B1305, '📅 Resumen Diario'!$C$5:$C$504, D1305) * SUMIFS('📅 Resumen Diario'!$K$5:$K$504, '📅 Resumen Diario'!$B$5:$B$504, B1305, '📅 Resumen Diario'!$C$5:$C$504, D1305), 0))</f>
        <v/>
      </c>
      <c r="M1305" s="31" t="str">
        <f t="shared" si="143"/>
        <v/>
      </c>
      <c r="N1305" s="31" t="str">
        <f t="shared" si="144"/>
        <v/>
      </c>
      <c r="O1305" s="31" t="str">
        <f>IF(OR(B1305="",C1305=""),"",K1305-N1305 + IFERROR(E1305 / SUMIFS('📅 Resumen Diario'!$D$5:$D$504, '📅 Resumen Diario'!$B$5:$B$504, B1305, '📅 Resumen Diario'!$C$5:$C$504, D1305) * (SUMIFS('📋 Detalle Diario'!$E$5:$E$489, '📋 Detalle Diario'!$B$5:$B$489, B1305, '📋 Detalle Diario'!$C$5:$C$489, D1305) * 135 + SUMIFS('📋 Detalle Diario'!$I$5:$I$489, '📋 Detalle Diario'!$B$5:$B$489, B1305, '📋 Detalle Diario'!$C$5:$C$489, D1305) * 200), 0))</f>
        <v/>
      </c>
      <c r="P1305" s="32" t="str">
        <f t="shared" si="145"/>
        <v/>
      </c>
      <c r="Q1305" s="33" t="str">
        <f t="shared" si="146"/>
        <v/>
      </c>
    </row>
    <row r="1306" spans="2:17" ht="18" customHeight="1" x14ac:dyDescent="0.3">
      <c r="B1306" s="26"/>
      <c r="C1306" s="17"/>
      <c r="D1306" s="27"/>
      <c r="E1306" s="18"/>
      <c r="F1306" s="18"/>
      <c r="G1306" s="18"/>
      <c r="H1306" s="30" t="str">
        <f t="shared" si="140"/>
        <v/>
      </c>
      <c r="I1306" s="31" t="str">
        <f>IF(OR(B1306="",C1306=""),"",IFERROR(E1306*IF(E1306="",0,VLOOKUP(C1306,'📦 Precios Proforma'!$B$5:$D$104,IF(D1306="DIA",2,3),FALSE)),0))</f>
        <v/>
      </c>
      <c r="J1306" s="31" t="str">
        <f t="shared" si="141"/>
        <v/>
      </c>
      <c r="K1306" s="31" t="str">
        <f t="shared" si="142"/>
        <v/>
      </c>
      <c r="L1306" s="31" t="str">
        <f>IF(OR(B1306="",C1306=""),"",IFERROR(E1306 / SUMIFS('📅 Resumen Diario'!$D$5:$D$504, '📅 Resumen Diario'!$B$5:$B$504, B1306, '📅 Resumen Diario'!$C$5:$C$504, D1306) * SUMIFS('📅 Resumen Diario'!$K$5:$K$504, '📅 Resumen Diario'!$B$5:$B$504, B1306, '📅 Resumen Diario'!$C$5:$C$504, D1306), 0))</f>
        <v/>
      </c>
      <c r="M1306" s="31" t="str">
        <f t="shared" si="143"/>
        <v/>
      </c>
      <c r="N1306" s="31" t="str">
        <f t="shared" si="144"/>
        <v/>
      </c>
      <c r="O1306" s="31" t="str">
        <f>IF(OR(B1306="",C1306=""),"",K1306-N1306 + IFERROR(E1306 / SUMIFS('📅 Resumen Diario'!$D$5:$D$504, '📅 Resumen Diario'!$B$5:$B$504, B1306, '📅 Resumen Diario'!$C$5:$C$504, D1306) * (SUMIFS('📋 Detalle Diario'!$E$5:$E$489, '📋 Detalle Diario'!$B$5:$B$489, B1306, '📋 Detalle Diario'!$C$5:$C$489, D1306) * 135 + SUMIFS('📋 Detalle Diario'!$I$5:$I$489, '📋 Detalle Diario'!$B$5:$B$489, B1306, '📋 Detalle Diario'!$C$5:$C$489, D1306) * 200), 0))</f>
        <v/>
      </c>
      <c r="P1306" s="32" t="str">
        <f t="shared" si="145"/>
        <v/>
      </c>
      <c r="Q1306" s="33" t="str">
        <f t="shared" si="146"/>
        <v/>
      </c>
    </row>
    <row r="1307" spans="2:17" ht="18" customHeight="1" x14ac:dyDescent="0.3">
      <c r="B1307" s="26"/>
      <c r="C1307" s="28"/>
      <c r="D1307" s="27"/>
      <c r="E1307" s="29"/>
      <c r="F1307" s="29"/>
      <c r="G1307" s="29"/>
      <c r="H1307" s="30" t="str">
        <f t="shared" si="140"/>
        <v/>
      </c>
      <c r="I1307" s="31" t="str">
        <f>IF(OR(B1307="",C1307=""),"",IFERROR(E1307*IF(E1307="",0,VLOOKUP(C1307,'📦 Precios Proforma'!$B$5:$D$104,IF(D1307="DIA",2,3),FALSE)),0))</f>
        <v/>
      </c>
      <c r="J1307" s="31" t="str">
        <f t="shared" si="141"/>
        <v/>
      </c>
      <c r="K1307" s="31" t="str">
        <f t="shared" si="142"/>
        <v/>
      </c>
      <c r="L1307" s="31" t="str">
        <f>IF(OR(B1307="",C1307=""),"",IFERROR(E1307 / SUMIFS('📅 Resumen Diario'!$D$5:$D$504, '📅 Resumen Diario'!$B$5:$B$504, B1307, '📅 Resumen Diario'!$C$5:$C$504, D1307) * SUMIFS('📅 Resumen Diario'!$K$5:$K$504, '📅 Resumen Diario'!$B$5:$B$504, B1307, '📅 Resumen Diario'!$C$5:$C$504, D1307), 0))</f>
        <v/>
      </c>
      <c r="M1307" s="31" t="str">
        <f t="shared" si="143"/>
        <v/>
      </c>
      <c r="N1307" s="31" t="str">
        <f t="shared" si="144"/>
        <v/>
      </c>
      <c r="O1307" s="31" t="str">
        <f>IF(OR(B1307="",C1307=""),"",K1307-N1307 + IFERROR(E1307 / SUMIFS('📅 Resumen Diario'!$D$5:$D$504, '📅 Resumen Diario'!$B$5:$B$504, B1307, '📅 Resumen Diario'!$C$5:$C$504, D1307) * (SUMIFS('📋 Detalle Diario'!$E$5:$E$489, '📋 Detalle Diario'!$B$5:$B$489, B1307, '📋 Detalle Diario'!$C$5:$C$489, D1307) * 135 + SUMIFS('📋 Detalle Diario'!$I$5:$I$489, '📋 Detalle Diario'!$B$5:$B$489, B1307, '📋 Detalle Diario'!$C$5:$C$489, D1307) * 200), 0))</f>
        <v/>
      </c>
      <c r="P1307" s="32" t="str">
        <f t="shared" si="145"/>
        <v/>
      </c>
      <c r="Q1307" s="33" t="str">
        <f t="shared" si="146"/>
        <v/>
      </c>
    </row>
    <row r="1308" spans="2:17" ht="18" customHeight="1" x14ac:dyDescent="0.3">
      <c r="B1308" s="26"/>
      <c r="C1308" s="17"/>
      <c r="D1308" s="27"/>
      <c r="E1308" s="18"/>
      <c r="F1308" s="18"/>
      <c r="G1308" s="18"/>
      <c r="H1308" s="30" t="str">
        <f t="shared" si="140"/>
        <v/>
      </c>
      <c r="I1308" s="31" t="str">
        <f>IF(OR(B1308="",C1308=""),"",IFERROR(E1308*IF(E1308="",0,VLOOKUP(C1308,'📦 Precios Proforma'!$B$5:$D$104,IF(D1308="DIA",2,3),FALSE)),0))</f>
        <v/>
      </c>
      <c r="J1308" s="31" t="str">
        <f t="shared" si="141"/>
        <v/>
      </c>
      <c r="K1308" s="31" t="str">
        <f t="shared" si="142"/>
        <v/>
      </c>
      <c r="L1308" s="31" t="str">
        <f>IF(OR(B1308="",C1308=""),"",IFERROR(E1308 / SUMIFS('📅 Resumen Diario'!$D$5:$D$504, '📅 Resumen Diario'!$B$5:$B$504, B1308, '📅 Resumen Diario'!$C$5:$C$504, D1308) * SUMIFS('📅 Resumen Diario'!$K$5:$K$504, '📅 Resumen Diario'!$B$5:$B$504, B1308, '📅 Resumen Diario'!$C$5:$C$504, D1308), 0))</f>
        <v/>
      </c>
      <c r="M1308" s="31" t="str">
        <f t="shared" si="143"/>
        <v/>
      </c>
      <c r="N1308" s="31" t="str">
        <f t="shared" si="144"/>
        <v/>
      </c>
      <c r="O1308" s="31" t="str">
        <f>IF(OR(B1308="",C1308=""),"",K1308-N1308 + IFERROR(E1308 / SUMIFS('📅 Resumen Diario'!$D$5:$D$504, '📅 Resumen Diario'!$B$5:$B$504, B1308, '📅 Resumen Diario'!$C$5:$C$504, D1308) * (SUMIFS('📋 Detalle Diario'!$E$5:$E$489, '📋 Detalle Diario'!$B$5:$B$489, B1308, '📋 Detalle Diario'!$C$5:$C$489, D1308) * 135 + SUMIFS('📋 Detalle Diario'!$I$5:$I$489, '📋 Detalle Diario'!$B$5:$B$489, B1308, '📋 Detalle Diario'!$C$5:$C$489, D1308) * 200), 0))</f>
        <v/>
      </c>
      <c r="P1308" s="32" t="str">
        <f t="shared" si="145"/>
        <v/>
      </c>
      <c r="Q1308" s="33" t="str">
        <f t="shared" si="146"/>
        <v/>
      </c>
    </row>
    <row r="1309" spans="2:17" ht="18" customHeight="1" x14ac:dyDescent="0.3">
      <c r="B1309" s="26"/>
      <c r="C1309" s="28"/>
      <c r="D1309" s="27"/>
      <c r="E1309" s="29"/>
      <c r="F1309" s="29"/>
      <c r="G1309" s="29"/>
      <c r="H1309" s="30" t="str">
        <f t="shared" si="140"/>
        <v/>
      </c>
      <c r="I1309" s="31" t="str">
        <f>IF(OR(B1309="",C1309=""),"",IFERROR(E1309*IF(E1309="",0,VLOOKUP(C1309,'📦 Precios Proforma'!$B$5:$D$104,IF(D1309="DIA",2,3),FALSE)),0))</f>
        <v/>
      </c>
      <c r="J1309" s="31" t="str">
        <f t="shared" si="141"/>
        <v/>
      </c>
      <c r="K1309" s="31" t="str">
        <f t="shared" si="142"/>
        <v/>
      </c>
      <c r="L1309" s="31" t="str">
        <f>IF(OR(B1309="",C1309=""),"",IFERROR(E1309 / SUMIFS('📅 Resumen Diario'!$D$5:$D$504, '📅 Resumen Diario'!$B$5:$B$504, B1309, '📅 Resumen Diario'!$C$5:$C$504, D1309) * SUMIFS('📅 Resumen Diario'!$K$5:$K$504, '📅 Resumen Diario'!$B$5:$B$504, B1309, '📅 Resumen Diario'!$C$5:$C$504, D1309), 0))</f>
        <v/>
      </c>
      <c r="M1309" s="31" t="str">
        <f t="shared" si="143"/>
        <v/>
      </c>
      <c r="N1309" s="31" t="str">
        <f t="shared" si="144"/>
        <v/>
      </c>
      <c r="O1309" s="31" t="str">
        <f>IF(OR(B1309="",C1309=""),"",K1309-N1309 + IFERROR(E1309 / SUMIFS('📅 Resumen Diario'!$D$5:$D$504, '📅 Resumen Diario'!$B$5:$B$504, B1309, '📅 Resumen Diario'!$C$5:$C$504, D1309) * (SUMIFS('📋 Detalle Diario'!$E$5:$E$489, '📋 Detalle Diario'!$B$5:$B$489, B1309, '📋 Detalle Diario'!$C$5:$C$489, D1309) * 135 + SUMIFS('📋 Detalle Diario'!$I$5:$I$489, '📋 Detalle Diario'!$B$5:$B$489, B1309, '📋 Detalle Diario'!$C$5:$C$489, D1309) * 200), 0))</f>
        <v/>
      </c>
      <c r="P1309" s="32" t="str">
        <f t="shared" si="145"/>
        <v/>
      </c>
      <c r="Q1309" s="33" t="str">
        <f t="shared" si="146"/>
        <v/>
      </c>
    </row>
    <row r="1310" spans="2:17" ht="18" customHeight="1" x14ac:dyDescent="0.3">
      <c r="B1310" s="26"/>
      <c r="C1310" s="17"/>
      <c r="D1310" s="27"/>
      <c r="E1310" s="18"/>
      <c r="F1310" s="18"/>
      <c r="G1310" s="18"/>
      <c r="H1310" s="30" t="str">
        <f t="shared" si="140"/>
        <v/>
      </c>
      <c r="I1310" s="31" t="str">
        <f>IF(OR(B1310="",C1310=""),"",IFERROR(E1310*IF(E1310="",0,VLOOKUP(C1310,'📦 Precios Proforma'!$B$5:$D$104,IF(D1310="DIA",2,3),FALSE)),0))</f>
        <v/>
      </c>
      <c r="J1310" s="31" t="str">
        <f t="shared" si="141"/>
        <v/>
      </c>
      <c r="K1310" s="31" t="str">
        <f t="shared" si="142"/>
        <v/>
      </c>
      <c r="L1310" s="31" t="str">
        <f>IF(OR(B1310="",C1310=""),"",IFERROR(E1310 / SUMIFS('📅 Resumen Diario'!$D$5:$D$504, '📅 Resumen Diario'!$B$5:$B$504, B1310, '📅 Resumen Diario'!$C$5:$C$504, D1310) * SUMIFS('📅 Resumen Diario'!$K$5:$K$504, '📅 Resumen Diario'!$B$5:$B$504, B1310, '📅 Resumen Diario'!$C$5:$C$504, D1310), 0))</f>
        <v/>
      </c>
      <c r="M1310" s="31" t="str">
        <f t="shared" si="143"/>
        <v/>
      </c>
      <c r="N1310" s="31" t="str">
        <f t="shared" si="144"/>
        <v/>
      </c>
      <c r="O1310" s="31" t="str">
        <f>IF(OR(B1310="",C1310=""),"",K1310-N1310 + IFERROR(E1310 / SUMIFS('📅 Resumen Diario'!$D$5:$D$504, '📅 Resumen Diario'!$B$5:$B$504, B1310, '📅 Resumen Diario'!$C$5:$C$504, D1310) * (SUMIFS('📋 Detalle Diario'!$E$5:$E$489, '📋 Detalle Diario'!$B$5:$B$489, B1310, '📋 Detalle Diario'!$C$5:$C$489, D1310) * 135 + SUMIFS('📋 Detalle Diario'!$I$5:$I$489, '📋 Detalle Diario'!$B$5:$B$489, B1310, '📋 Detalle Diario'!$C$5:$C$489, D1310) * 200), 0))</f>
        <v/>
      </c>
      <c r="P1310" s="32" t="str">
        <f t="shared" si="145"/>
        <v/>
      </c>
      <c r="Q1310" s="33" t="str">
        <f t="shared" si="146"/>
        <v/>
      </c>
    </row>
    <row r="1311" spans="2:17" ht="18" customHeight="1" x14ac:dyDescent="0.3">
      <c r="B1311" s="26"/>
      <c r="C1311" s="28"/>
      <c r="D1311" s="27"/>
      <c r="E1311" s="29"/>
      <c r="F1311" s="29"/>
      <c r="G1311" s="29"/>
      <c r="H1311" s="30" t="str">
        <f t="shared" si="140"/>
        <v/>
      </c>
      <c r="I1311" s="31" t="str">
        <f>IF(OR(B1311="",C1311=""),"",IFERROR(E1311*IF(E1311="",0,VLOOKUP(C1311,'📦 Precios Proforma'!$B$5:$D$104,IF(D1311="DIA",2,3),FALSE)),0))</f>
        <v/>
      </c>
      <c r="J1311" s="31" t="str">
        <f t="shared" si="141"/>
        <v/>
      </c>
      <c r="K1311" s="31" t="str">
        <f t="shared" si="142"/>
        <v/>
      </c>
      <c r="L1311" s="31" t="str">
        <f>IF(OR(B1311="",C1311=""),"",IFERROR(E1311 / SUMIFS('📅 Resumen Diario'!$D$5:$D$504, '📅 Resumen Diario'!$B$5:$B$504, B1311, '📅 Resumen Diario'!$C$5:$C$504, D1311) * SUMIFS('📅 Resumen Diario'!$K$5:$K$504, '📅 Resumen Diario'!$B$5:$B$504, B1311, '📅 Resumen Diario'!$C$5:$C$504, D1311), 0))</f>
        <v/>
      </c>
      <c r="M1311" s="31" t="str">
        <f t="shared" si="143"/>
        <v/>
      </c>
      <c r="N1311" s="31" t="str">
        <f t="shared" si="144"/>
        <v/>
      </c>
      <c r="O1311" s="31" t="str">
        <f>IF(OR(B1311="",C1311=""),"",K1311-N1311 + IFERROR(E1311 / SUMIFS('📅 Resumen Diario'!$D$5:$D$504, '📅 Resumen Diario'!$B$5:$B$504, B1311, '📅 Resumen Diario'!$C$5:$C$504, D1311) * (SUMIFS('📋 Detalle Diario'!$E$5:$E$489, '📋 Detalle Diario'!$B$5:$B$489, B1311, '📋 Detalle Diario'!$C$5:$C$489, D1311) * 135 + SUMIFS('📋 Detalle Diario'!$I$5:$I$489, '📋 Detalle Diario'!$B$5:$B$489, B1311, '📋 Detalle Diario'!$C$5:$C$489, D1311) * 200), 0))</f>
        <v/>
      </c>
      <c r="P1311" s="32" t="str">
        <f t="shared" si="145"/>
        <v/>
      </c>
      <c r="Q1311" s="33" t="str">
        <f t="shared" si="146"/>
        <v/>
      </c>
    </row>
    <row r="1312" spans="2:17" ht="18" customHeight="1" x14ac:dyDescent="0.3">
      <c r="B1312" s="26"/>
      <c r="C1312" s="17"/>
      <c r="D1312" s="27"/>
      <c r="E1312" s="18"/>
      <c r="F1312" s="18"/>
      <c r="G1312" s="18"/>
      <c r="H1312" s="30" t="str">
        <f t="shared" si="140"/>
        <v/>
      </c>
      <c r="I1312" s="31" t="str">
        <f>IF(OR(B1312="",C1312=""),"",IFERROR(E1312*IF(E1312="",0,VLOOKUP(C1312,'📦 Precios Proforma'!$B$5:$D$104,IF(D1312="DIA",2,3),FALSE)),0))</f>
        <v/>
      </c>
      <c r="J1312" s="31" t="str">
        <f t="shared" si="141"/>
        <v/>
      </c>
      <c r="K1312" s="31" t="str">
        <f t="shared" si="142"/>
        <v/>
      </c>
      <c r="L1312" s="31" t="str">
        <f>IF(OR(B1312="",C1312=""),"",IFERROR(E1312 / SUMIFS('📅 Resumen Diario'!$D$5:$D$504, '📅 Resumen Diario'!$B$5:$B$504, B1312, '📅 Resumen Diario'!$C$5:$C$504, D1312) * SUMIFS('📅 Resumen Diario'!$K$5:$K$504, '📅 Resumen Diario'!$B$5:$B$504, B1312, '📅 Resumen Diario'!$C$5:$C$504, D1312), 0))</f>
        <v/>
      </c>
      <c r="M1312" s="31" t="str">
        <f t="shared" si="143"/>
        <v/>
      </c>
      <c r="N1312" s="31" t="str">
        <f t="shared" si="144"/>
        <v/>
      </c>
      <c r="O1312" s="31" t="str">
        <f>IF(OR(B1312="",C1312=""),"",K1312-N1312 + IFERROR(E1312 / SUMIFS('📅 Resumen Diario'!$D$5:$D$504, '📅 Resumen Diario'!$B$5:$B$504, B1312, '📅 Resumen Diario'!$C$5:$C$504, D1312) * (SUMIFS('📋 Detalle Diario'!$E$5:$E$489, '📋 Detalle Diario'!$B$5:$B$489, B1312, '📋 Detalle Diario'!$C$5:$C$489, D1312) * 135 + SUMIFS('📋 Detalle Diario'!$I$5:$I$489, '📋 Detalle Diario'!$B$5:$B$489, B1312, '📋 Detalle Diario'!$C$5:$C$489, D1312) * 200), 0))</f>
        <v/>
      </c>
      <c r="P1312" s="32" t="str">
        <f t="shared" si="145"/>
        <v/>
      </c>
      <c r="Q1312" s="33" t="str">
        <f t="shared" si="146"/>
        <v/>
      </c>
    </row>
    <row r="1313" spans="2:17" ht="18" customHeight="1" x14ac:dyDescent="0.3">
      <c r="B1313" s="26"/>
      <c r="C1313" s="28"/>
      <c r="D1313" s="27"/>
      <c r="E1313" s="29"/>
      <c r="F1313" s="29"/>
      <c r="G1313" s="29"/>
      <c r="H1313" s="30" t="str">
        <f t="shared" si="140"/>
        <v/>
      </c>
      <c r="I1313" s="31" t="str">
        <f>IF(OR(B1313="",C1313=""),"",IFERROR(E1313*IF(E1313="",0,VLOOKUP(C1313,'📦 Precios Proforma'!$B$5:$D$104,IF(D1313="DIA",2,3),FALSE)),0))</f>
        <v/>
      </c>
      <c r="J1313" s="31" t="str">
        <f t="shared" si="141"/>
        <v/>
      </c>
      <c r="K1313" s="31" t="str">
        <f t="shared" si="142"/>
        <v/>
      </c>
      <c r="L1313" s="31" t="str">
        <f>IF(OR(B1313="",C1313=""),"",IFERROR(E1313 / SUMIFS('📅 Resumen Diario'!$D$5:$D$504, '📅 Resumen Diario'!$B$5:$B$504, B1313, '📅 Resumen Diario'!$C$5:$C$504, D1313) * SUMIFS('📅 Resumen Diario'!$K$5:$K$504, '📅 Resumen Diario'!$B$5:$B$504, B1313, '📅 Resumen Diario'!$C$5:$C$504, D1313), 0))</f>
        <v/>
      </c>
      <c r="M1313" s="31" t="str">
        <f t="shared" si="143"/>
        <v/>
      </c>
      <c r="N1313" s="31" t="str">
        <f t="shared" si="144"/>
        <v/>
      </c>
      <c r="O1313" s="31" t="str">
        <f>IF(OR(B1313="",C1313=""),"",K1313-N1313 + IFERROR(E1313 / SUMIFS('📅 Resumen Diario'!$D$5:$D$504, '📅 Resumen Diario'!$B$5:$B$504, B1313, '📅 Resumen Diario'!$C$5:$C$504, D1313) * (SUMIFS('📋 Detalle Diario'!$E$5:$E$489, '📋 Detalle Diario'!$B$5:$B$489, B1313, '📋 Detalle Diario'!$C$5:$C$489, D1313) * 135 + SUMIFS('📋 Detalle Diario'!$I$5:$I$489, '📋 Detalle Diario'!$B$5:$B$489, B1313, '📋 Detalle Diario'!$C$5:$C$489, D1313) * 200), 0))</f>
        <v/>
      </c>
      <c r="P1313" s="32" t="str">
        <f t="shared" si="145"/>
        <v/>
      </c>
      <c r="Q1313" s="33" t="str">
        <f t="shared" si="146"/>
        <v/>
      </c>
    </row>
    <row r="1314" spans="2:17" ht="18" customHeight="1" x14ac:dyDescent="0.3">
      <c r="B1314" s="26"/>
      <c r="C1314" s="17"/>
      <c r="D1314" s="27"/>
      <c r="E1314" s="18"/>
      <c r="F1314" s="18"/>
      <c r="G1314" s="18"/>
      <c r="H1314" s="30" t="str">
        <f t="shared" si="140"/>
        <v/>
      </c>
      <c r="I1314" s="31" t="str">
        <f>IF(OR(B1314="",C1314=""),"",IFERROR(E1314*IF(E1314="",0,VLOOKUP(C1314,'📦 Precios Proforma'!$B$5:$D$104,IF(D1314="DIA",2,3),FALSE)),0))</f>
        <v/>
      </c>
      <c r="J1314" s="31" t="str">
        <f t="shared" si="141"/>
        <v/>
      </c>
      <c r="K1314" s="31" t="str">
        <f t="shared" si="142"/>
        <v/>
      </c>
      <c r="L1314" s="31" t="str">
        <f>IF(OR(B1314="",C1314=""),"",IFERROR(E1314 / SUMIFS('📅 Resumen Diario'!$D$5:$D$504, '📅 Resumen Diario'!$B$5:$B$504, B1314, '📅 Resumen Diario'!$C$5:$C$504, D1314) * SUMIFS('📅 Resumen Diario'!$K$5:$K$504, '📅 Resumen Diario'!$B$5:$B$504, B1314, '📅 Resumen Diario'!$C$5:$C$504, D1314), 0))</f>
        <v/>
      </c>
      <c r="M1314" s="31" t="str">
        <f t="shared" si="143"/>
        <v/>
      </c>
      <c r="N1314" s="31" t="str">
        <f t="shared" si="144"/>
        <v/>
      </c>
      <c r="O1314" s="31" t="str">
        <f>IF(OR(B1314="",C1314=""),"",K1314-N1314 + IFERROR(E1314 / SUMIFS('📅 Resumen Diario'!$D$5:$D$504, '📅 Resumen Diario'!$B$5:$B$504, B1314, '📅 Resumen Diario'!$C$5:$C$504, D1314) * (SUMIFS('📋 Detalle Diario'!$E$5:$E$489, '📋 Detalle Diario'!$B$5:$B$489, B1314, '📋 Detalle Diario'!$C$5:$C$489, D1314) * 135 + SUMIFS('📋 Detalle Diario'!$I$5:$I$489, '📋 Detalle Diario'!$B$5:$B$489, B1314, '📋 Detalle Diario'!$C$5:$C$489, D1314) * 200), 0))</f>
        <v/>
      </c>
      <c r="P1314" s="32" t="str">
        <f t="shared" si="145"/>
        <v/>
      </c>
      <c r="Q1314" s="33" t="str">
        <f t="shared" si="146"/>
        <v/>
      </c>
    </row>
    <row r="1315" spans="2:17" ht="18" customHeight="1" x14ac:dyDescent="0.3">
      <c r="B1315" s="26"/>
      <c r="C1315" s="28"/>
      <c r="D1315" s="27"/>
      <c r="E1315" s="29"/>
      <c r="F1315" s="29"/>
      <c r="G1315" s="29"/>
      <c r="H1315" s="30" t="str">
        <f t="shared" si="140"/>
        <v/>
      </c>
      <c r="I1315" s="31" t="str">
        <f>IF(OR(B1315="",C1315=""),"",IFERROR(E1315*IF(E1315="",0,VLOOKUP(C1315,'📦 Precios Proforma'!$B$5:$D$104,IF(D1315="DIA",2,3),FALSE)),0))</f>
        <v/>
      </c>
      <c r="J1315" s="31" t="str">
        <f t="shared" si="141"/>
        <v/>
      </c>
      <c r="K1315" s="31" t="str">
        <f t="shared" si="142"/>
        <v/>
      </c>
      <c r="L1315" s="31" t="str">
        <f>IF(OR(B1315="",C1315=""),"",IFERROR(E1315 / SUMIFS('📅 Resumen Diario'!$D$5:$D$504, '📅 Resumen Diario'!$B$5:$B$504, B1315, '📅 Resumen Diario'!$C$5:$C$504, D1315) * SUMIFS('📅 Resumen Diario'!$K$5:$K$504, '📅 Resumen Diario'!$B$5:$B$504, B1315, '📅 Resumen Diario'!$C$5:$C$504, D1315), 0))</f>
        <v/>
      </c>
      <c r="M1315" s="31" t="str">
        <f t="shared" si="143"/>
        <v/>
      </c>
      <c r="N1315" s="31" t="str">
        <f t="shared" si="144"/>
        <v/>
      </c>
      <c r="O1315" s="31" t="str">
        <f>IF(OR(B1315="",C1315=""),"",K1315-N1315 + IFERROR(E1315 / SUMIFS('📅 Resumen Diario'!$D$5:$D$504, '📅 Resumen Diario'!$B$5:$B$504, B1315, '📅 Resumen Diario'!$C$5:$C$504, D1315) * (SUMIFS('📋 Detalle Diario'!$E$5:$E$489, '📋 Detalle Diario'!$B$5:$B$489, B1315, '📋 Detalle Diario'!$C$5:$C$489, D1315) * 135 + SUMIFS('📋 Detalle Diario'!$I$5:$I$489, '📋 Detalle Diario'!$B$5:$B$489, B1315, '📋 Detalle Diario'!$C$5:$C$489, D1315) * 200), 0))</f>
        <v/>
      </c>
      <c r="P1315" s="32" t="str">
        <f t="shared" si="145"/>
        <v/>
      </c>
      <c r="Q1315" s="33" t="str">
        <f t="shared" si="146"/>
        <v/>
      </c>
    </row>
    <row r="1316" spans="2:17" ht="18" customHeight="1" x14ac:dyDescent="0.3">
      <c r="B1316" s="26"/>
      <c r="C1316" s="17"/>
      <c r="D1316" s="27"/>
      <c r="E1316" s="18"/>
      <c r="F1316" s="18"/>
      <c r="G1316" s="18"/>
      <c r="H1316" s="30" t="str">
        <f t="shared" si="140"/>
        <v/>
      </c>
      <c r="I1316" s="31" t="str">
        <f>IF(OR(B1316="",C1316=""),"",IFERROR(E1316*IF(E1316="",0,VLOOKUP(C1316,'📦 Precios Proforma'!$B$5:$D$104,IF(D1316="DIA",2,3),FALSE)),0))</f>
        <v/>
      </c>
      <c r="J1316" s="31" t="str">
        <f t="shared" si="141"/>
        <v/>
      </c>
      <c r="K1316" s="31" t="str">
        <f t="shared" si="142"/>
        <v/>
      </c>
      <c r="L1316" s="31" t="str">
        <f>IF(OR(B1316="",C1316=""),"",IFERROR(E1316 / SUMIFS('📅 Resumen Diario'!$D$5:$D$504, '📅 Resumen Diario'!$B$5:$B$504, B1316, '📅 Resumen Diario'!$C$5:$C$504, D1316) * SUMIFS('📅 Resumen Diario'!$K$5:$K$504, '📅 Resumen Diario'!$B$5:$B$504, B1316, '📅 Resumen Diario'!$C$5:$C$504, D1316), 0))</f>
        <v/>
      </c>
      <c r="M1316" s="31" t="str">
        <f t="shared" si="143"/>
        <v/>
      </c>
      <c r="N1316" s="31" t="str">
        <f t="shared" si="144"/>
        <v/>
      </c>
      <c r="O1316" s="31" t="str">
        <f>IF(OR(B1316="",C1316=""),"",K1316-N1316 + IFERROR(E1316 / SUMIFS('📅 Resumen Diario'!$D$5:$D$504, '📅 Resumen Diario'!$B$5:$B$504, B1316, '📅 Resumen Diario'!$C$5:$C$504, D1316) * (SUMIFS('📋 Detalle Diario'!$E$5:$E$489, '📋 Detalle Diario'!$B$5:$B$489, B1316, '📋 Detalle Diario'!$C$5:$C$489, D1316) * 135 + SUMIFS('📋 Detalle Diario'!$I$5:$I$489, '📋 Detalle Diario'!$B$5:$B$489, B1316, '📋 Detalle Diario'!$C$5:$C$489, D1316) * 200), 0))</f>
        <v/>
      </c>
      <c r="P1316" s="32" t="str">
        <f t="shared" si="145"/>
        <v/>
      </c>
      <c r="Q1316" s="33" t="str">
        <f t="shared" si="146"/>
        <v/>
      </c>
    </row>
    <row r="1317" spans="2:17" ht="18" customHeight="1" x14ac:dyDescent="0.3">
      <c r="B1317" s="26"/>
      <c r="C1317" s="28"/>
      <c r="D1317" s="27"/>
      <c r="E1317" s="29"/>
      <c r="F1317" s="29"/>
      <c r="G1317" s="29"/>
      <c r="H1317" s="30" t="str">
        <f t="shared" si="140"/>
        <v/>
      </c>
      <c r="I1317" s="31" t="str">
        <f>IF(OR(B1317="",C1317=""),"",IFERROR(E1317*IF(E1317="",0,VLOOKUP(C1317,'📦 Precios Proforma'!$B$5:$D$104,IF(D1317="DIA",2,3),FALSE)),0))</f>
        <v/>
      </c>
      <c r="J1317" s="31" t="str">
        <f t="shared" si="141"/>
        <v/>
      </c>
      <c r="K1317" s="31" t="str">
        <f t="shared" si="142"/>
        <v/>
      </c>
      <c r="L1317" s="31" t="str">
        <f>IF(OR(B1317="",C1317=""),"",IFERROR(E1317 / SUMIFS('📅 Resumen Diario'!$D$5:$D$504, '📅 Resumen Diario'!$B$5:$B$504, B1317, '📅 Resumen Diario'!$C$5:$C$504, D1317) * SUMIFS('📅 Resumen Diario'!$K$5:$K$504, '📅 Resumen Diario'!$B$5:$B$504, B1317, '📅 Resumen Diario'!$C$5:$C$504, D1317), 0))</f>
        <v/>
      </c>
      <c r="M1317" s="31" t="str">
        <f t="shared" si="143"/>
        <v/>
      </c>
      <c r="N1317" s="31" t="str">
        <f t="shared" si="144"/>
        <v/>
      </c>
      <c r="O1317" s="31" t="str">
        <f>IF(OR(B1317="",C1317=""),"",K1317-N1317 + IFERROR(E1317 / SUMIFS('📅 Resumen Diario'!$D$5:$D$504, '📅 Resumen Diario'!$B$5:$B$504, B1317, '📅 Resumen Diario'!$C$5:$C$504, D1317) * (SUMIFS('📋 Detalle Diario'!$E$5:$E$489, '📋 Detalle Diario'!$B$5:$B$489, B1317, '📋 Detalle Diario'!$C$5:$C$489, D1317) * 135 + SUMIFS('📋 Detalle Diario'!$I$5:$I$489, '📋 Detalle Diario'!$B$5:$B$489, B1317, '📋 Detalle Diario'!$C$5:$C$489, D1317) * 200), 0))</f>
        <v/>
      </c>
      <c r="P1317" s="32" t="str">
        <f t="shared" si="145"/>
        <v/>
      </c>
      <c r="Q1317" s="33" t="str">
        <f t="shared" si="146"/>
        <v/>
      </c>
    </row>
    <row r="1318" spans="2:17" ht="18" customHeight="1" x14ac:dyDescent="0.3">
      <c r="B1318" s="26"/>
      <c r="C1318" s="17"/>
      <c r="D1318" s="27"/>
      <c r="E1318" s="18"/>
      <c r="F1318" s="18"/>
      <c r="G1318" s="18"/>
      <c r="H1318" s="30" t="str">
        <f t="shared" si="140"/>
        <v/>
      </c>
      <c r="I1318" s="31" t="str">
        <f>IF(OR(B1318="",C1318=""),"",IFERROR(E1318*IF(E1318="",0,VLOOKUP(C1318,'📦 Precios Proforma'!$B$5:$D$104,IF(D1318="DIA",2,3),FALSE)),0))</f>
        <v/>
      </c>
      <c r="J1318" s="31" t="str">
        <f t="shared" si="141"/>
        <v/>
      </c>
      <c r="K1318" s="31" t="str">
        <f t="shared" si="142"/>
        <v/>
      </c>
      <c r="L1318" s="31" t="str">
        <f>IF(OR(B1318="",C1318=""),"",IFERROR(E1318 / SUMIFS('📅 Resumen Diario'!$D$5:$D$504, '📅 Resumen Diario'!$B$5:$B$504, B1318, '📅 Resumen Diario'!$C$5:$C$504, D1318) * SUMIFS('📅 Resumen Diario'!$K$5:$K$504, '📅 Resumen Diario'!$B$5:$B$504, B1318, '📅 Resumen Diario'!$C$5:$C$504, D1318), 0))</f>
        <v/>
      </c>
      <c r="M1318" s="31" t="str">
        <f t="shared" si="143"/>
        <v/>
      </c>
      <c r="N1318" s="31" t="str">
        <f t="shared" si="144"/>
        <v/>
      </c>
      <c r="O1318" s="31" t="str">
        <f>IF(OR(B1318="",C1318=""),"",K1318-N1318 + IFERROR(E1318 / SUMIFS('📅 Resumen Diario'!$D$5:$D$504, '📅 Resumen Diario'!$B$5:$B$504, B1318, '📅 Resumen Diario'!$C$5:$C$504, D1318) * (SUMIFS('📋 Detalle Diario'!$E$5:$E$489, '📋 Detalle Diario'!$B$5:$B$489, B1318, '📋 Detalle Diario'!$C$5:$C$489, D1318) * 135 + SUMIFS('📋 Detalle Diario'!$I$5:$I$489, '📋 Detalle Diario'!$B$5:$B$489, B1318, '📋 Detalle Diario'!$C$5:$C$489, D1318) * 200), 0))</f>
        <v/>
      </c>
      <c r="P1318" s="32" t="str">
        <f t="shared" si="145"/>
        <v/>
      </c>
      <c r="Q1318" s="33" t="str">
        <f t="shared" si="146"/>
        <v/>
      </c>
    </row>
    <row r="1319" spans="2:17" ht="18" customHeight="1" x14ac:dyDescent="0.3">
      <c r="B1319" s="26"/>
      <c r="C1319" s="28"/>
      <c r="D1319" s="27"/>
      <c r="E1319" s="29"/>
      <c r="F1319" s="29"/>
      <c r="G1319" s="29"/>
      <c r="H1319" s="30" t="str">
        <f t="shared" si="140"/>
        <v/>
      </c>
      <c r="I1319" s="31" t="str">
        <f>IF(OR(B1319="",C1319=""),"",IFERROR(E1319*IF(E1319="",0,VLOOKUP(C1319,'📦 Precios Proforma'!$B$5:$D$104,IF(D1319="DIA",2,3),FALSE)),0))</f>
        <v/>
      </c>
      <c r="J1319" s="31" t="str">
        <f t="shared" si="141"/>
        <v/>
      </c>
      <c r="K1319" s="31" t="str">
        <f t="shared" si="142"/>
        <v/>
      </c>
      <c r="L1319" s="31" t="str">
        <f>IF(OR(B1319="",C1319=""),"",IFERROR(E1319 / SUMIFS('📅 Resumen Diario'!$D$5:$D$504, '📅 Resumen Diario'!$B$5:$B$504, B1319, '📅 Resumen Diario'!$C$5:$C$504, D1319) * SUMIFS('📅 Resumen Diario'!$K$5:$K$504, '📅 Resumen Diario'!$B$5:$B$504, B1319, '📅 Resumen Diario'!$C$5:$C$504, D1319), 0))</f>
        <v/>
      </c>
      <c r="M1319" s="31" t="str">
        <f t="shared" si="143"/>
        <v/>
      </c>
      <c r="N1319" s="31" t="str">
        <f t="shared" si="144"/>
        <v/>
      </c>
      <c r="O1319" s="31" t="str">
        <f>IF(OR(B1319="",C1319=""),"",K1319-N1319 + IFERROR(E1319 / SUMIFS('📅 Resumen Diario'!$D$5:$D$504, '📅 Resumen Diario'!$B$5:$B$504, B1319, '📅 Resumen Diario'!$C$5:$C$504, D1319) * (SUMIFS('📋 Detalle Diario'!$E$5:$E$489, '📋 Detalle Diario'!$B$5:$B$489, B1319, '📋 Detalle Diario'!$C$5:$C$489, D1319) * 135 + SUMIFS('📋 Detalle Diario'!$I$5:$I$489, '📋 Detalle Diario'!$B$5:$B$489, B1319, '📋 Detalle Diario'!$C$5:$C$489, D1319) * 200), 0))</f>
        <v/>
      </c>
      <c r="P1319" s="32" t="str">
        <f t="shared" si="145"/>
        <v/>
      </c>
      <c r="Q1319" s="33" t="str">
        <f t="shared" si="146"/>
        <v/>
      </c>
    </row>
    <row r="1320" spans="2:17" ht="18" customHeight="1" x14ac:dyDescent="0.3">
      <c r="B1320" s="26"/>
      <c r="C1320" s="17"/>
      <c r="D1320" s="27"/>
      <c r="E1320" s="18"/>
      <c r="F1320" s="18"/>
      <c r="G1320" s="18"/>
      <c r="H1320" s="30" t="str">
        <f t="shared" si="140"/>
        <v/>
      </c>
      <c r="I1320" s="31" t="str">
        <f>IF(OR(B1320="",C1320=""),"",IFERROR(E1320*IF(E1320="",0,VLOOKUP(C1320,'📦 Precios Proforma'!$B$5:$D$104,IF(D1320="DIA",2,3),FALSE)),0))</f>
        <v/>
      </c>
      <c r="J1320" s="31" t="str">
        <f t="shared" si="141"/>
        <v/>
      </c>
      <c r="K1320" s="31" t="str">
        <f t="shared" si="142"/>
        <v/>
      </c>
      <c r="L1320" s="31" t="str">
        <f>IF(OR(B1320="",C1320=""),"",IFERROR(E1320 / SUMIFS('📅 Resumen Diario'!$D$5:$D$504, '📅 Resumen Diario'!$B$5:$B$504, B1320, '📅 Resumen Diario'!$C$5:$C$504, D1320) * SUMIFS('📅 Resumen Diario'!$K$5:$K$504, '📅 Resumen Diario'!$B$5:$B$504, B1320, '📅 Resumen Diario'!$C$5:$C$504, D1320), 0))</f>
        <v/>
      </c>
      <c r="M1320" s="31" t="str">
        <f t="shared" si="143"/>
        <v/>
      </c>
      <c r="N1320" s="31" t="str">
        <f t="shared" si="144"/>
        <v/>
      </c>
      <c r="O1320" s="31" t="str">
        <f>IF(OR(B1320="",C1320=""),"",K1320-N1320 + IFERROR(E1320 / SUMIFS('📅 Resumen Diario'!$D$5:$D$504, '📅 Resumen Diario'!$B$5:$B$504, B1320, '📅 Resumen Diario'!$C$5:$C$504, D1320) * (SUMIFS('📋 Detalle Diario'!$E$5:$E$489, '📋 Detalle Diario'!$B$5:$B$489, B1320, '📋 Detalle Diario'!$C$5:$C$489, D1320) * 135 + SUMIFS('📋 Detalle Diario'!$I$5:$I$489, '📋 Detalle Diario'!$B$5:$B$489, B1320, '📋 Detalle Diario'!$C$5:$C$489, D1320) * 200), 0))</f>
        <v/>
      </c>
      <c r="P1320" s="32" t="str">
        <f t="shared" si="145"/>
        <v/>
      </c>
      <c r="Q1320" s="33" t="str">
        <f t="shared" si="146"/>
        <v/>
      </c>
    </row>
    <row r="1321" spans="2:17" ht="18" customHeight="1" x14ac:dyDescent="0.3">
      <c r="B1321" s="26"/>
      <c r="C1321" s="28"/>
      <c r="D1321" s="27"/>
      <c r="E1321" s="29"/>
      <c r="F1321" s="29"/>
      <c r="G1321" s="29"/>
      <c r="H1321" s="30" t="str">
        <f t="shared" si="140"/>
        <v/>
      </c>
      <c r="I1321" s="31" t="str">
        <f>IF(OR(B1321="",C1321=""),"",IFERROR(E1321*IF(E1321="",0,VLOOKUP(C1321,'📦 Precios Proforma'!$B$5:$D$104,IF(D1321="DIA",2,3),FALSE)),0))</f>
        <v/>
      </c>
      <c r="J1321" s="31" t="str">
        <f t="shared" si="141"/>
        <v/>
      </c>
      <c r="K1321" s="31" t="str">
        <f t="shared" si="142"/>
        <v/>
      </c>
      <c r="L1321" s="31" t="str">
        <f>IF(OR(B1321="",C1321=""),"",IFERROR(E1321 / SUMIFS('📅 Resumen Diario'!$D$5:$D$504, '📅 Resumen Diario'!$B$5:$B$504, B1321, '📅 Resumen Diario'!$C$5:$C$504, D1321) * SUMIFS('📅 Resumen Diario'!$K$5:$K$504, '📅 Resumen Diario'!$B$5:$B$504, B1321, '📅 Resumen Diario'!$C$5:$C$504, D1321), 0))</f>
        <v/>
      </c>
      <c r="M1321" s="31" t="str">
        <f t="shared" si="143"/>
        <v/>
      </c>
      <c r="N1321" s="31" t="str">
        <f t="shared" si="144"/>
        <v/>
      </c>
      <c r="O1321" s="31" t="str">
        <f>IF(OR(B1321="",C1321=""),"",K1321-N1321 + IFERROR(E1321 / SUMIFS('📅 Resumen Diario'!$D$5:$D$504, '📅 Resumen Diario'!$B$5:$B$504, B1321, '📅 Resumen Diario'!$C$5:$C$504, D1321) * (SUMIFS('📋 Detalle Diario'!$E$5:$E$489, '📋 Detalle Diario'!$B$5:$B$489, B1321, '📋 Detalle Diario'!$C$5:$C$489, D1321) * 135 + SUMIFS('📋 Detalle Diario'!$I$5:$I$489, '📋 Detalle Diario'!$B$5:$B$489, B1321, '📋 Detalle Diario'!$C$5:$C$489, D1321) * 200), 0))</f>
        <v/>
      </c>
      <c r="P1321" s="32" t="str">
        <f t="shared" si="145"/>
        <v/>
      </c>
      <c r="Q1321" s="33" t="str">
        <f t="shared" si="146"/>
        <v/>
      </c>
    </row>
    <row r="1322" spans="2:17" ht="18" customHeight="1" x14ac:dyDescent="0.3">
      <c r="B1322" s="26"/>
      <c r="C1322" s="17"/>
      <c r="D1322" s="27"/>
      <c r="E1322" s="18"/>
      <c r="F1322" s="18"/>
      <c r="G1322" s="18"/>
      <c r="H1322" s="30" t="str">
        <f t="shared" si="140"/>
        <v/>
      </c>
      <c r="I1322" s="31" t="str">
        <f>IF(OR(B1322="",C1322=""),"",IFERROR(E1322*IF(E1322="",0,VLOOKUP(C1322,'📦 Precios Proforma'!$B$5:$D$104,IF(D1322="DIA",2,3),FALSE)),0))</f>
        <v/>
      </c>
      <c r="J1322" s="31" t="str">
        <f t="shared" si="141"/>
        <v/>
      </c>
      <c r="K1322" s="31" t="str">
        <f t="shared" si="142"/>
        <v/>
      </c>
      <c r="L1322" s="31" t="str">
        <f>IF(OR(B1322="",C1322=""),"",IFERROR(E1322 / SUMIFS('📅 Resumen Diario'!$D$5:$D$504, '📅 Resumen Diario'!$B$5:$B$504, B1322, '📅 Resumen Diario'!$C$5:$C$504, D1322) * SUMIFS('📅 Resumen Diario'!$K$5:$K$504, '📅 Resumen Diario'!$B$5:$B$504, B1322, '📅 Resumen Diario'!$C$5:$C$504, D1322), 0))</f>
        <v/>
      </c>
      <c r="M1322" s="31" t="str">
        <f t="shared" si="143"/>
        <v/>
      </c>
      <c r="N1322" s="31" t="str">
        <f t="shared" si="144"/>
        <v/>
      </c>
      <c r="O1322" s="31" t="str">
        <f>IF(OR(B1322="",C1322=""),"",K1322-N1322 + IFERROR(E1322 / SUMIFS('📅 Resumen Diario'!$D$5:$D$504, '📅 Resumen Diario'!$B$5:$B$504, B1322, '📅 Resumen Diario'!$C$5:$C$504, D1322) * (SUMIFS('📋 Detalle Diario'!$E$5:$E$489, '📋 Detalle Diario'!$B$5:$B$489, B1322, '📋 Detalle Diario'!$C$5:$C$489, D1322) * 135 + SUMIFS('📋 Detalle Diario'!$I$5:$I$489, '📋 Detalle Diario'!$B$5:$B$489, B1322, '📋 Detalle Diario'!$C$5:$C$489, D1322) * 200), 0))</f>
        <v/>
      </c>
      <c r="P1322" s="32" t="str">
        <f t="shared" si="145"/>
        <v/>
      </c>
      <c r="Q1322" s="33" t="str">
        <f t="shared" si="146"/>
        <v/>
      </c>
    </row>
    <row r="1323" spans="2:17" ht="18" customHeight="1" x14ac:dyDescent="0.3">
      <c r="B1323" s="26"/>
      <c r="C1323" s="28"/>
      <c r="D1323" s="27"/>
      <c r="E1323" s="29"/>
      <c r="F1323" s="29"/>
      <c r="G1323" s="29"/>
      <c r="H1323" s="30" t="str">
        <f t="shared" si="140"/>
        <v/>
      </c>
      <c r="I1323" s="31" t="str">
        <f>IF(OR(B1323="",C1323=""),"",IFERROR(E1323*IF(E1323="",0,VLOOKUP(C1323,'📦 Precios Proforma'!$B$5:$D$104,IF(D1323="DIA",2,3),FALSE)),0))</f>
        <v/>
      </c>
      <c r="J1323" s="31" t="str">
        <f t="shared" si="141"/>
        <v/>
      </c>
      <c r="K1323" s="31" t="str">
        <f t="shared" si="142"/>
        <v/>
      </c>
      <c r="L1323" s="31" t="str">
        <f>IF(OR(B1323="",C1323=""),"",IFERROR(E1323 / SUMIFS('📅 Resumen Diario'!$D$5:$D$504, '📅 Resumen Diario'!$B$5:$B$504, B1323, '📅 Resumen Diario'!$C$5:$C$504, D1323) * SUMIFS('📅 Resumen Diario'!$K$5:$K$504, '📅 Resumen Diario'!$B$5:$B$504, B1323, '📅 Resumen Diario'!$C$5:$C$504, D1323), 0))</f>
        <v/>
      </c>
      <c r="M1323" s="31" t="str">
        <f t="shared" si="143"/>
        <v/>
      </c>
      <c r="N1323" s="31" t="str">
        <f t="shared" si="144"/>
        <v/>
      </c>
      <c r="O1323" s="31" t="str">
        <f>IF(OR(B1323="",C1323=""),"",K1323-N1323 + IFERROR(E1323 / SUMIFS('📅 Resumen Diario'!$D$5:$D$504, '📅 Resumen Diario'!$B$5:$B$504, B1323, '📅 Resumen Diario'!$C$5:$C$504, D1323) * (SUMIFS('📋 Detalle Diario'!$E$5:$E$489, '📋 Detalle Diario'!$B$5:$B$489, B1323, '📋 Detalle Diario'!$C$5:$C$489, D1323) * 135 + SUMIFS('📋 Detalle Diario'!$I$5:$I$489, '📋 Detalle Diario'!$B$5:$B$489, B1323, '📋 Detalle Diario'!$C$5:$C$489, D1323) * 200), 0))</f>
        <v/>
      </c>
      <c r="P1323" s="32" t="str">
        <f t="shared" si="145"/>
        <v/>
      </c>
      <c r="Q1323" s="33" t="str">
        <f t="shared" si="146"/>
        <v/>
      </c>
    </row>
    <row r="1324" spans="2:17" ht="18" customHeight="1" x14ac:dyDescent="0.3">
      <c r="B1324" s="26"/>
      <c r="C1324" s="17"/>
      <c r="D1324" s="27"/>
      <c r="E1324" s="18"/>
      <c r="F1324" s="18"/>
      <c r="G1324" s="18"/>
      <c r="H1324" s="30" t="str">
        <f t="shared" si="140"/>
        <v/>
      </c>
      <c r="I1324" s="31" t="str">
        <f>IF(OR(B1324="",C1324=""),"",IFERROR(E1324*IF(E1324="",0,VLOOKUP(C1324,'📦 Precios Proforma'!$B$5:$D$104,IF(D1324="DIA",2,3),FALSE)),0))</f>
        <v/>
      </c>
      <c r="J1324" s="31" t="str">
        <f t="shared" si="141"/>
        <v/>
      </c>
      <c r="K1324" s="31" t="str">
        <f t="shared" si="142"/>
        <v/>
      </c>
      <c r="L1324" s="31" t="str">
        <f>IF(OR(B1324="",C1324=""),"",IFERROR(E1324 / SUMIFS('📅 Resumen Diario'!$D$5:$D$504, '📅 Resumen Diario'!$B$5:$B$504, B1324, '📅 Resumen Diario'!$C$5:$C$504, D1324) * SUMIFS('📅 Resumen Diario'!$K$5:$K$504, '📅 Resumen Diario'!$B$5:$B$504, B1324, '📅 Resumen Diario'!$C$5:$C$504, D1324), 0))</f>
        <v/>
      </c>
      <c r="M1324" s="31" t="str">
        <f t="shared" si="143"/>
        <v/>
      </c>
      <c r="N1324" s="31" t="str">
        <f t="shared" si="144"/>
        <v/>
      </c>
      <c r="O1324" s="31" t="str">
        <f>IF(OR(B1324="",C1324=""),"",K1324-N1324 + IFERROR(E1324 / SUMIFS('📅 Resumen Diario'!$D$5:$D$504, '📅 Resumen Diario'!$B$5:$B$504, B1324, '📅 Resumen Diario'!$C$5:$C$504, D1324) * (SUMIFS('📋 Detalle Diario'!$E$5:$E$489, '📋 Detalle Diario'!$B$5:$B$489, B1324, '📋 Detalle Diario'!$C$5:$C$489, D1324) * 135 + SUMIFS('📋 Detalle Diario'!$I$5:$I$489, '📋 Detalle Diario'!$B$5:$B$489, B1324, '📋 Detalle Diario'!$C$5:$C$489, D1324) * 200), 0))</f>
        <v/>
      </c>
      <c r="P1324" s="32" t="str">
        <f t="shared" si="145"/>
        <v/>
      </c>
      <c r="Q1324" s="33" t="str">
        <f t="shared" si="146"/>
        <v/>
      </c>
    </row>
    <row r="1325" spans="2:17" ht="18" customHeight="1" x14ac:dyDescent="0.3">
      <c r="B1325" s="26"/>
      <c r="C1325" s="28"/>
      <c r="D1325" s="27"/>
      <c r="E1325" s="29"/>
      <c r="F1325" s="29"/>
      <c r="G1325" s="29"/>
      <c r="H1325" s="30" t="str">
        <f t="shared" si="140"/>
        <v/>
      </c>
      <c r="I1325" s="31" t="str">
        <f>IF(OR(B1325="",C1325=""),"",IFERROR(E1325*IF(E1325="",0,VLOOKUP(C1325,'📦 Precios Proforma'!$B$5:$D$104,IF(D1325="DIA",2,3),FALSE)),0))</f>
        <v/>
      </c>
      <c r="J1325" s="31" t="str">
        <f t="shared" si="141"/>
        <v/>
      </c>
      <c r="K1325" s="31" t="str">
        <f t="shared" si="142"/>
        <v/>
      </c>
      <c r="L1325" s="31" t="str">
        <f>IF(OR(B1325="",C1325=""),"",IFERROR(E1325 / SUMIFS('📅 Resumen Diario'!$D$5:$D$504, '📅 Resumen Diario'!$B$5:$B$504, B1325, '📅 Resumen Diario'!$C$5:$C$504, D1325) * SUMIFS('📅 Resumen Diario'!$K$5:$K$504, '📅 Resumen Diario'!$B$5:$B$504, B1325, '📅 Resumen Diario'!$C$5:$C$504, D1325), 0))</f>
        <v/>
      </c>
      <c r="M1325" s="31" t="str">
        <f t="shared" si="143"/>
        <v/>
      </c>
      <c r="N1325" s="31" t="str">
        <f t="shared" si="144"/>
        <v/>
      </c>
      <c r="O1325" s="31" t="str">
        <f>IF(OR(B1325="",C1325=""),"",K1325-N1325 + IFERROR(E1325 / SUMIFS('📅 Resumen Diario'!$D$5:$D$504, '📅 Resumen Diario'!$B$5:$B$504, B1325, '📅 Resumen Diario'!$C$5:$C$504, D1325) * (SUMIFS('📋 Detalle Diario'!$E$5:$E$489, '📋 Detalle Diario'!$B$5:$B$489, B1325, '📋 Detalle Diario'!$C$5:$C$489, D1325) * 135 + SUMIFS('📋 Detalle Diario'!$I$5:$I$489, '📋 Detalle Diario'!$B$5:$B$489, B1325, '📋 Detalle Diario'!$C$5:$C$489, D1325) * 200), 0))</f>
        <v/>
      </c>
      <c r="P1325" s="32" t="str">
        <f t="shared" si="145"/>
        <v/>
      </c>
      <c r="Q1325" s="33" t="str">
        <f t="shared" si="146"/>
        <v/>
      </c>
    </row>
    <row r="1326" spans="2:17" ht="18" customHeight="1" x14ac:dyDescent="0.3">
      <c r="B1326" s="26"/>
      <c r="C1326" s="17"/>
      <c r="D1326" s="27"/>
      <c r="E1326" s="18"/>
      <c r="F1326" s="18"/>
      <c r="G1326" s="18"/>
      <c r="H1326" s="30" t="str">
        <f t="shared" si="140"/>
        <v/>
      </c>
      <c r="I1326" s="31" t="str">
        <f>IF(OR(B1326="",C1326=""),"",IFERROR(E1326*IF(E1326="",0,VLOOKUP(C1326,'📦 Precios Proforma'!$B$5:$D$104,IF(D1326="DIA",2,3),FALSE)),0))</f>
        <v/>
      </c>
      <c r="J1326" s="31" t="str">
        <f t="shared" si="141"/>
        <v/>
      </c>
      <c r="K1326" s="31" t="str">
        <f t="shared" si="142"/>
        <v/>
      </c>
      <c r="L1326" s="31" t="str">
        <f>IF(OR(B1326="",C1326=""),"",IFERROR(E1326 / SUMIFS('📅 Resumen Diario'!$D$5:$D$504, '📅 Resumen Diario'!$B$5:$B$504, B1326, '📅 Resumen Diario'!$C$5:$C$504, D1326) * SUMIFS('📅 Resumen Diario'!$K$5:$K$504, '📅 Resumen Diario'!$B$5:$B$504, B1326, '📅 Resumen Diario'!$C$5:$C$504, D1326), 0))</f>
        <v/>
      </c>
      <c r="M1326" s="31" t="str">
        <f t="shared" si="143"/>
        <v/>
      </c>
      <c r="N1326" s="31" t="str">
        <f t="shared" si="144"/>
        <v/>
      </c>
      <c r="O1326" s="31" t="str">
        <f>IF(OR(B1326="",C1326=""),"",K1326-N1326 + IFERROR(E1326 / SUMIFS('📅 Resumen Diario'!$D$5:$D$504, '📅 Resumen Diario'!$B$5:$B$504, B1326, '📅 Resumen Diario'!$C$5:$C$504, D1326) * (SUMIFS('📋 Detalle Diario'!$E$5:$E$489, '📋 Detalle Diario'!$B$5:$B$489, B1326, '📋 Detalle Diario'!$C$5:$C$489, D1326) * 135 + SUMIFS('📋 Detalle Diario'!$I$5:$I$489, '📋 Detalle Diario'!$B$5:$B$489, B1326, '📋 Detalle Diario'!$C$5:$C$489, D1326) * 200), 0))</f>
        <v/>
      </c>
      <c r="P1326" s="32" t="str">
        <f t="shared" si="145"/>
        <v/>
      </c>
      <c r="Q1326" s="33" t="str">
        <f t="shared" si="146"/>
        <v/>
      </c>
    </row>
    <row r="1327" spans="2:17" ht="18" customHeight="1" x14ac:dyDescent="0.3">
      <c r="B1327" s="26"/>
      <c r="C1327" s="28"/>
      <c r="D1327" s="27"/>
      <c r="E1327" s="29"/>
      <c r="F1327" s="29"/>
      <c r="G1327" s="29"/>
      <c r="H1327" s="30" t="str">
        <f t="shared" si="140"/>
        <v/>
      </c>
      <c r="I1327" s="31" t="str">
        <f>IF(OR(B1327="",C1327=""),"",IFERROR(E1327*IF(E1327="",0,VLOOKUP(C1327,'📦 Precios Proforma'!$B$5:$D$104,IF(D1327="DIA",2,3),FALSE)),0))</f>
        <v/>
      </c>
      <c r="J1327" s="31" t="str">
        <f t="shared" si="141"/>
        <v/>
      </c>
      <c r="K1327" s="31" t="str">
        <f t="shared" si="142"/>
        <v/>
      </c>
      <c r="L1327" s="31" t="str">
        <f>IF(OR(B1327="",C1327=""),"",IFERROR(E1327 / SUMIFS('📅 Resumen Diario'!$D$5:$D$504, '📅 Resumen Diario'!$B$5:$B$504, B1327, '📅 Resumen Diario'!$C$5:$C$504, D1327) * SUMIFS('📅 Resumen Diario'!$K$5:$K$504, '📅 Resumen Diario'!$B$5:$B$504, B1327, '📅 Resumen Diario'!$C$5:$C$504, D1327), 0))</f>
        <v/>
      </c>
      <c r="M1327" s="31" t="str">
        <f t="shared" si="143"/>
        <v/>
      </c>
      <c r="N1327" s="31" t="str">
        <f t="shared" si="144"/>
        <v/>
      </c>
      <c r="O1327" s="31" t="str">
        <f>IF(OR(B1327="",C1327=""),"",K1327-N1327 + IFERROR(E1327 / SUMIFS('📅 Resumen Diario'!$D$5:$D$504, '📅 Resumen Diario'!$B$5:$B$504, B1327, '📅 Resumen Diario'!$C$5:$C$504, D1327) * (SUMIFS('📋 Detalle Diario'!$E$5:$E$489, '📋 Detalle Diario'!$B$5:$B$489, B1327, '📋 Detalle Diario'!$C$5:$C$489, D1327) * 135 + SUMIFS('📋 Detalle Diario'!$I$5:$I$489, '📋 Detalle Diario'!$B$5:$B$489, B1327, '📋 Detalle Diario'!$C$5:$C$489, D1327) * 200), 0))</f>
        <v/>
      </c>
      <c r="P1327" s="32" t="str">
        <f t="shared" si="145"/>
        <v/>
      </c>
      <c r="Q1327" s="33" t="str">
        <f t="shared" si="146"/>
        <v/>
      </c>
    </row>
    <row r="1328" spans="2:17" ht="18" customHeight="1" x14ac:dyDescent="0.3">
      <c r="B1328" s="26"/>
      <c r="C1328" s="17"/>
      <c r="D1328" s="27"/>
      <c r="E1328" s="18"/>
      <c r="F1328" s="18"/>
      <c r="G1328" s="18"/>
      <c r="H1328" s="30" t="str">
        <f t="shared" si="140"/>
        <v/>
      </c>
      <c r="I1328" s="31" t="str">
        <f>IF(OR(B1328="",C1328=""),"",IFERROR(E1328*IF(E1328="",0,VLOOKUP(C1328,'📦 Precios Proforma'!$B$5:$D$104,IF(D1328="DIA",2,3),FALSE)),0))</f>
        <v/>
      </c>
      <c r="J1328" s="31" t="str">
        <f t="shared" si="141"/>
        <v/>
      </c>
      <c r="K1328" s="31" t="str">
        <f t="shared" si="142"/>
        <v/>
      </c>
      <c r="L1328" s="31" t="str">
        <f>IF(OR(B1328="",C1328=""),"",IFERROR(E1328 / SUMIFS('📅 Resumen Diario'!$D$5:$D$504, '📅 Resumen Diario'!$B$5:$B$504, B1328, '📅 Resumen Diario'!$C$5:$C$504, D1328) * SUMIFS('📅 Resumen Diario'!$K$5:$K$504, '📅 Resumen Diario'!$B$5:$B$504, B1328, '📅 Resumen Diario'!$C$5:$C$504, D1328), 0))</f>
        <v/>
      </c>
      <c r="M1328" s="31" t="str">
        <f t="shared" si="143"/>
        <v/>
      </c>
      <c r="N1328" s="31" t="str">
        <f t="shared" si="144"/>
        <v/>
      </c>
      <c r="O1328" s="31" t="str">
        <f>IF(OR(B1328="",C1328=""),"",K1328-N1328 + IFERROR(E1328 / SUMIFS('📅 Resumen Diario'!$D$5:$D$504, '📅 Resumen Diario'!$B$5:$B$504, B1328, '📅 Resumen Diario'!$C$5:$C$504, D1328) * (SUMIFS('📋 Detalle Diario'!$E$5:$E$489, '📋 Detalle Diario'!$B$5:$B$489, B1328, '📋 Detalle Diario'!$C$5:$C$489, D1328) * 135 + SUMIFS('📋 Detalle Diario'!$I$5:$I$489, '📋 Detalle Diario'!$B$5:$B$489, B1328, '📋 Detalle Diario'!$C$5:$C$489, D1328) * 200), 0))</f>
        <v/>
      </c>
      <c r="P1328" s="32" t="str">
        <f t="shared" si="145"/>
        <v/>
      </c>
      <c r="Q1328" s="33" t="str">
        <f t="shared" si="146"/>
        <v/>
      </c>
    </row>
    <row r="1329" spans="2:17" ht="18" customHeight="1" x14ac:dyDescent="0.3">
      <c r="B1329" s="26"/>
      <c r="C1329" s="28"/>
      <c r="D1329" s="27"/>
      <c r="E1329" s="29"/>
      <c r="F1329" s="29"/>
      <c r="G1329" s="29"/>
      <c r="H1329" s="30" t="str">
        <f t="shared" si="140"/>
        <v/>
      </c>
      <c r="I1329" s="31" t="str">
        <f>IF(OR(B1329="",C1329=""),"",IFERROR(E1329*IF(E1329="",0,VLOOKUP(C1329,'📦 Precios Proforma'!$B$5:$D$104,IF(D1329="DIA",2,3),FALSE)),0))</f>
        <v/>
      </c>
      <c r="J1329" s="31" t="str">
        <f t="shared" si="141"/>
        <v/>
      </c>
      <c r="K1329" s="31" t="str">
        <f t="shared" si="142"/>
        <v/>
      </c>
      <c r="L1329" s="31" t="str">
        <f>IF(OR(B1329="",C1329=""),"",IFERROR(E1329 / SUMIFS('📅 Resumen Diario'!$D$5:$D$504, '📅 Resumen Diario'!$B$5:$B$504, B1329, '📅 Resumen Diario'!$C$5:$C$504, D1329) * SUMIFS('📅 Resumen Diario'!$K$5:$K$504, '📅 Resumen Diario'!$B$5:$B$504, B1329, '📅 Resumen Diario'!$C$5:$C$504, D1329), 0))</f>
        <v/>
      </c>
      <c r="M1329" s="31" t="str">
        <f t="shared" si="143"/>
        <v/>
      </c>
      <c r="N1329" s="31" t="str">
        <f t="shared" si="144"/>
        <v/>
      </c>
      <c r="O1329" s="31" t="str">
        <f>IF(OR(B1329="",C1329=""),"",K1329-N1329 + IFERROR(E1329 / SUMIFS('📅 Resumen Diario'!$D$5:$D$504, '📅 Resumen Diario'!$B$5:$B$504, B1329, '📅 Resumen Diario'!$C$5:$C$504, D1329) * (SUMIFS('📋 Detalle Diario'!$E$5:$E$489, '📋 Detalle Diario'!$B$5:$B$489, B1329, '📋 Detalle Diario'!$C$5:$C$489, D1329) * 135 + SUMIFS('📋 Detalle Diario'!$I$5:$I$489, '📋 Detalle Diario'!$B$5:$B$489, B1329, '📋 Detalle Diario'!$C$5:$C$489, D1329) * 200), 0))</f>
        <v/>
      </c>
      <c r="P1329" s="32" t="str">
        <f t="shared" si="145"/>
        <v/>
      </c>
      <c r="Q1329" s="33" t="str">
        <f t="shared" si="146"/>
        <v/>
      </c>
    </row>
    <row r="1330" spans="2:17" ht="18" customHeight="1" x14ac:dyDescent="0.3">
      <c r="B1330" s="26"/>
      <c r="C1330" s="17"/>
      <c r="D1330" s="27"/>
      <c r="E1330" s="18"/>
      <c r="F1330" s="18"/>
      <c r="G1330" s="18"/>
      <c r="H1330" s="30" t="str">
        <f t="shared" si="140"/>
        <v/>
      </c>
      <c r="I1330" s="31" t="str">
        <f>IF(OR(B1330="",C1330=""),"",IFERROR(E1330*IF(E1330="",0,VLOOKUP(C1330,'📦 Precios Proforma'!$B$5:$D$104,IF(D1330="DIA",2,3),FALSE)),0))</f>
        <v/>
      </c>
      <c r="J1330" s="31" t="str">
        <f t="shared" si="141"/>
        <v/>
      </c>
      <c r="K1330" s="31" t="str">
        <f t="shared" si="142"/>
        <v/>
      </c>
      <c r="L1330" s="31" t="str">
        <f>IF(OR(B1330="",C1330=""),"",IFERROR(E1330 / SUMIFS('📅 Resumen Diario'!$D$5:$D$504, '📅 Resumen Diario'!$B$5:$B$504, B1330, '📅 Resumen Diario'!$C$5:$C$504, D1330) * SUMIFS('📅 Resumen Diario'!$K$5:$K$504, '📅 Resumen Diario'!$B$5:$B$504, B1330, '📅 Resumen Diario'!$C$5:$C$504, D1330), 0))</f>
        <v/>
      </c>
      <c r="M1330" s="31" t="str">
        <f t="shared" si="143"/>
        <v/>
      </c>
      <c r="N1330" s="31" t="str">
        <f t="shared" si="144"/>
        <v/>
      </c>
      <c r="O1330" s="31" t="str">
        <f>IF(OR(B1330="",C1330=""),"",K1330-N1330 + IFERROR(E1330 / SUMIFS('📅 Resumen Diario'!$D$5:$D$504, '📅 Resumen Diario'!$B$5:$B$504, B1330, '📅 Resumen Diario'!$C$5:$C$504, D1330) * (SUMIFS('📋 Detalle Diario'!$E$5:$E$489, '📋 Detalle Diario'!$B$5:$B$489, B1330, '📋 Detalle Diario'!$C$5:$C$489, D1330) * 135 + SUMIFS('📋 Detalle Diario'!$I$5:$I$489, '📋 Detalle Diario'!$B$5:$B$489, B1330, '📋 Detalle Diario'!$C$5:$C$489, D1330) * 200), 0))</f>
        <v/>
      </c>
      <c r="P1330" s="32" t="str">
        <f t="shared" si="145"/>
        <v/>
      </c>
      <c r="Q1330" s="33" t="str">
        <f t="shared" si="146"/>
        <v/>
      </c>
    </row>
    <row r="1331" spans="2:17" ht="18" customHeight="1" x14ac:dyDescent="0.3">
      <c r="B1331" s="26"/>
      <c r="C1331" s="28"/>
      <c r="D1331" s="27"/>
      <c r="E1331" s="29"/>
      <c r="F1331" s="29"/>
      <c r="G1331" s="29"/>
      <c r="H1331" s="30" t="str">
        <f t="shared" si="140"/>
        <v/>
      </c>
      <c r="I1331" s="31" t="str">
        <f>IF(OR(B1331="",C1331=""),"",IFERROR(E1331*IF(E1331="",0,VLOOKUP(C1331,'📦 Precios Proforma'!$B$5:$D$104,IF(D1331="DIA",2,3),FALSE)),0))</f>
        <v/>
      </c>
      <c r="J1331" s="31" t="str">
        <f t="shared" si="141"/>
        <v/>
      </c>
      <c r="K1331" s="31" t="str">
        <f t="shared" si="142"/>
        <v/>
      </c>
      <c r="L1331" s="31" t="str">
        <f>IF(OR(B1331="",C1331=""),"",IFERROR(E1331 / SUMIFS('📅 Resumen Diario'!$D$5:$D$504, '📅 Resumen Diario'!$B$5:$B$504, B1331, '📅 Resumen Diario'!$C$5:$C$504, D1331) * SUMIFS('📅 Resumen Diario'!$K$5:$K$504, '📅 Resumen Diario'!$B$5:$B$504, B1331, '📅 Resumen Diario'!$C$5:$C$504, D1331), 0))</f>
        <v/>
      </c>
      <c r="M1331" s="31" t="str">
        <f t="shared" si="143"/>
        <v/>
      </c>
      <c r="N1331" s="31" t="str">
        <f t="shared" si="144"/>
        <v/>
      </c>
      <c r="O1331" s="31" t="str">
        <f>IF(OR(B1331="",C1331=""),"",K1331-N1331 + IFERROR(E1331 / SUMIFS('📅 Resumen Diario'!$D$5:$D$504, '📅 Resumen Diario'!$B$5:$B$504, B1331, '📅 Resumen Diario'!$C$5:$C$504, D1331) * (SUMIFS('📋 Detalle Diario'!$E$5:$E$489, '📋 Detalle Diario'!$B$5:$B$489, B1331, '📋 Detalle Diario'!$C$5:$C$489, D1331) * 135 + SUMIFS('📋 Detalle Diario'!$I$5:$I$489, '📋 Detalle Diario'!$B$5:$B$489, B1331, '📋 Detalle Diario'!$C$5:$C$489, D1331) * 200), 0))</f>
        <v/>
      </c>
      <c r="P1331" s="32" t="str">
        <f t="shared" si="145"/>
        <v/>
      </c>
      <c r="Q1331" s="33" t="str">
        <f t="shared" si="146"/>
        <v/>
      </c>
    </row>
    <row r="1332" spans="2:17" ht="18" customHeight="1" x14ac:dyDescent="0.3">
      <c r="B1332" s="26"/>
      <c r="C1332" s="17"/>
      <c r="D1332" s="27"/>
      <c r="E1332" s="18"/>
      <c r="F1332" s="18"/>
      <c r="G1332" s="18"/>
      <c r="H1332" s="30" t="str">
        <f t="shared" si="140"/>
        <v/>
      </c>
      <c r="I1332" s="31" t="str">
        <f>IF(OR(B1332="",C1332=""),"",IFERROR(E1332*IF(E1332="",0,VLOOKUP(C1332,'📦 Precios Proforma'!$B$5:$D$104,IF(D1332="DIA",2,3),FALSE)),0))</f>
        <v/>
      </c>
      <c r="J1332" s="31" t="str">
        <f t="shared" si="141"/>
        <v/>
      </c>
      <c r="K1332" s="31" t="str">
        <f t="shared" si="142"/>
        <v/>
      </c>
      <c r="L1332" s="31" t="str">
        <f>IF(OR(B1332="",C1332=""),"",IFERROR(E1332 / SUMIFS('📅 Resumen Diario'!$D$5:$D$504, '📅 Resumen Diario'!$B$5:$B$504, B1332, '📅 Resumen Diario'!$C$5:$C$504, D1332) * SUMIFS('📅 Resumen Diario'!$K$5:$K$504, '📅 Resumen Diario'!$B$5:$B$504, B1332, '📅 Resumen Diario'!$C$5:$C$504, D1332), 0))</f>
        <v/>
      </c>
      <c r="M1332" s="31" t="str">
        <f t="shared" si="143"/>
        <v/>
      </c>
      <c r="N1332" s="31" t="str">
        <f t="shared" si="144"/>
        <v/>
      </c>
      <c r="O1332" s="31" t="str">
        <f>IF(OR(B1332="",C1332=""),"",K1332-N1332 + IFERROR(E1332 / SUMIFS('📅 Resumen Diario'!$D$5:$D$504, '📅 Resumen Diario'!$B$5:$B$504, B1332, '📅 Resumen Diario'!$C$5:$C$504, D1332) * (SUMIFS('📋 Detalle Diario'!$E$5:$E$489, '📋 Detalle Diario'!$B$5:$B$489, B1332, '📋 Detalle Diario'!$C$5:$C$489, D1332) * 135 + SUMIFS('📋 Detalle Diario'!$I$5:$I$489, '📋 Detalle Diario'!$B$5:$B$489, B1332, '📋 Detalle Diario'!$C$5:$C$489, D1332) * 200), 0))</f>
        <v/>
      </c>
      <c r="P1332" s="32" t="str">
        <f t="shared" si="145"/>
        <v/>
      </c>
      <c r="Q1332" s="33" t="str">
        <f t="shared" si="146"/>
        <v/>
      </c>
    </row>
    <row r="1333" spans="2:17" ht="18" customHeight="1" x14ac:dyDescent="0.3">
      <c r="B1333" s="26"/>
      <c r="C1333" s="28"/>
      <c r="D1333" s="27"/>
      <c r="E1333" s="29"/>
      <c r="F1333" s="29"/>
      <c r="G1333" s="29"/>
      <c r="H1333" s="30" t="str">
        <f t="shared" si="140"/>
        <v/>
      </c>
      <c r="I1333" s="31" t="str">
        <f>IF(OR(B1333="",C1333=""),"",IFERROR(E1333*IF(E1333="",0,VLOOKUP(C1333,'📦 Precios Proforma'!$B$5:$D$104,IF(D1333="DIA",2,3),FALSE)),0))</f>
        <v/>
      </c>
      <c r="J1333" s="31" t="str">
        <f t="shared" si="141"/>
        <v/>
      </c>
      <c r="K1333" s="31" t="str">
        <f t="shared" si="142"/>
        <v/>
      </c>
      <c r="L1333" s="31" t="str">
        <f>IF(OR(B1333="",C1333=""),"",IFERROR(E1333 / SUMIFS('📅 Resumen Diario'!$D$5:$D$504, '📅 Resumen Diario'!$B$5:$B$504, B1333, '📅 Resumen Diario'!$C$5:$C$504, D1333) * SUMIFS('📅 Resumen Diario'!$K$5:$K$504, '📅 Resumen Diario'!$B$5:$B$504, B1333, '📅 Resumen Diario'!$C$5:$C$504, D1333), 0))</f>
        <v/>
      </c>
      <c r="M1333" s="31" t="str">
        <f t="shared" si="143"/>
        <v/>
      </c>
      <c r="N1333" s="31" t="str">
        <f t="shared" si="144"/>
        <v/>
      </c>
      <c r="O1333" s="31" t="str">
        <f>IF(OR(B1333="",C1333=""),"",K1333-N1333 + IFERROR(E1333 / SUMIFS('📅 Resumen Diario'!$D$5:$D$504, '📅 Resumen Diario'!$B$5:$B$504, B1333, '📅 Resumen Diario'!$C$5:$C$504, D1333) * (SUMIFS('📋 Detalle Diario'!$E$5:$E$489, '📋 Detalle Diario'!$B$5:$B$489, B1333, '📋 Detalle Diario'!$C$5:$C$489, D1333) * 135 + SUMIFS('📋 Detalle Diario'!$I$5:$I$489, '📋 Detalle Diario'!$B$5:$B$489, B1333, '📋 Detalle Diario'!$C$5:$C$489, D1333) * 200), 0))</f>
        <v/>
      </c>
      <c r="P1333" s="32" t="str">
        <f t="shared" si="145"/>
        <v/>
      </c>
      <c r="Q1333" s="33" t="str">
        <f t="shared" si="146"/>
        <v/>
      </c>
    </row>
    <row r="1334" spans="2:17" ht="18" customHeight="1" x14ac:dyDescent="0.3">
      <c r="B1334" s="26"/>
      <c r="C1334" s="17"/>
      <c r="D1334" s="27"/>
      <c r="E1334" s="18"/>
      <c r="F1334" s="18"/>
      <c r="G1334" s="18"/>
      <c r="H1334" s="30" t="str">
        <f t="shared" si="140"/>
        <v/>
      </c>
      <c r="I1334" s="31" t="str">
        <f>IF(OR(B1334="",C1334=""),"",IFERROR(E1334*IF(E1334="",0,VLOOKUP(C1334,'📦 Precios Proforma'!$B$5:$D$104,IF(D1334="DIA",2,3),FALSE)),0))</f>
        <v/>
      </c>
      <c r="J1334" s="31" t="str">
        <f t="shared" si="141"/>
        <v/>
      </c>
      <c r="K1334" s="31" t="str">
        <f t="shared" si="142"/>
        <v/>
      </c>
      <c r="L1334" s="31" t="str">
        <f>IF(OR(B1334="",C1334=""),"",IFERROR(E1334 / SUMIFS('📅 Resumen Diario'!$D$5:$D$504, '📅 Resumen Diario'!$B$5:$B$504, B1334, '📅 Resumen Diario'!$C$5:$C$504, D1334) * SUMIFS('📅 Resumen Diario'!$K$5:$K$504, '📅 Resumen Diario'!$B$5:$B$504, B1334, '📅 Resumen Diario'!$C$5:$C$504, D1334), 0))</f>
        <v/>
      </c>
      <c r="M1334" s="31" t="str">
        <f t="shared" si="143"/>
        <v/>
      </c>
      <c r="N1334" s="31" t="str">
        <f t="shared" si="144"/>
        <v/>
      </c>
      <c r="O1334" s="31" t="str">
        <f>IF(OR(B1334="",C1334=""),"",K1334-N1334 + IFERROR(E1334 / SUMIFS('📅 Resumen Diario'!$D$5:$D$504, '📅 Resumen Diario'!$B$5:$B$504, B1334, '📅 Resumen Diario'!$C$5:$C$504, D1334) * (SUMIFS('📋 Detalle Diario'!$E$5:$E$489, '📋 Detalle Diario'!$B$5:$B$489, B1334, '📋 Detalle Diario'!$C$5:$C$489, D1334) * 135 + SUMIFS('📋 Detalle Diario'!$I$5:$I$489, '📋 Detalle Diario'!$B$5:$B$489, B1334, '📋 Detalle Diario'!$C$5:$C$489, D1334) * 200), 0))</f>
        <v/>
      </c>
      <c r="P1334" s="32" t="str">
        <f t="shared" si="145"/>
        <v/>
      </c>
      <c r="Q1334" s="33" t="str">
        <f t="shared" si="146"/>
        <v/>
      </c>
    </row>
    <row r="1335" spans="2:17" ht="18" customHeight="1" x14ac:dyDescent="0.3">
      <c r="B1335" s="26"/>
      <c r="C1335" s="28"/>
      <c r="D1335" s="27"/>
      <c r="E1335" s="29"/>
      <c r="F1335" s="29"/>
      <c r="G1335" s="29"/>
      <c r="H1335" s="30" t="str">
        <f t="shared" si="140"/>
        <v/>
      </c>
      <c r="I1335" s="31" t="str">
        <f>IF(OR(B1335="",C1335=""),"",IFERROR(E1335*IF(E1335="",0,VLOOKUP(C1335,'📦 Precios Proforma'!$B$5:$D$104,IF(D1335="DIA",2,3),FALSE)),0))</f>
        <v/>
      </c>
      <c r="J1335" s="31" t="str">
        <f t="shared" si="141"/>
        <v/>
      </c>
      <c r="K1335" s="31" t="str">
        <f t="shared" si="142"/>
        <v/>
      </c>
      <c r="L1335" s="31" t="str">
        <f>IF(OR(B1335="",C1335=""),"",IFERROR(E1335 / SUMIFS('📅 Resumen Diario'!$D$5:$D$504, '📅 Resumen Diario'!$B$5:$B$504, B1335, '📅 Resumen Diario'!$C$5:$C$504, D1335) * SUMIFS('📅 Resumen Diario'!$K$5:$K$504, '📅 Resumen Diario'!$B$5:$B$504, B1335, '📅 Resumen Diario'!$C$5:$C$504, D1335), 0))</f>
        <v/>
      </c>
      <c r="M1335" s="31" t="str">
        <f t="shared" si="143"/>
        <v/>
      </c>
      <c r="N1335" s="31" t="str">
        <f t="shared" si="144"/>
        <v/>
      </c>
      <c r="O1335" s="31" t="str">
        <f>IF(OR(B1335="",C1335=""),"",K1335-N1335 + IFERROR(E1335 / SUMIFS('📅 Resumen Diario'!$D$5:$D$504, '📅 Resumen Diario'!$B$5:$B$504, B1335, '📅 Resumen Diario'!$C$5:$C$504, D1335) * (SUMIFS('📋 Detalle Diario'!$E$5:$E$489, '📋 Detalle Diario'!$B$5:$B$489, B1335, '📋 Detalle Diario'!$C$5:$C$489, D1335) * 135 + SUMIFS('📋 Detalle Diario'!$I$5:$I$489, '📋 Detalle Diario'!$B$5:$B$489, B1335, '📋 Detalle Diario'!$C$5:$C$489, D1335) * 200), 0))</f>
        <v/>
      </c>
      <c r="P1335" s="32" t="str">
        <f t="shared" si="145"/>
        <v/>
      </c>
      <c r="Q1335" s="33" t="str">
        <f t="shared" si="146"/>
        <v/>
      </c>
    </row>
    <row r="1336" spans="2:17" ht="18" customHeight="1" x14ac:dyDescent="0.3">
      <c r="B1336" s="26"/>
      <c r="C1336" s="17"/>
      <c r="D1336" s="27"/>
      <c r="E1336" s="18"/>
      <c r="F1336" s="18"/>
      <c r="G1336" s="18"/>
      <c r="H1336" s="30" t="str">
        <f t="shared" si="140"/>
        <v/>
      </c>
      <c r="I1336" s="31" t="str">
        <f>IF(OR(B1336="",C1336=""),"",IFERROR(E1336*IF(E1336="",0,VLOOKUP(C1336,'📦 Precios Proforma'!$B$5:$D$104,IF(D1336="DIA",2,3),FALSE)),0))</f>
        <v/>
      </c>
      <c r="J1336" s="31" t="str">
        <f t="shared" si="141"/>
        <v/>
      </c>
      <c r="K1336" s="31" t="str">
        <f t="shared" si="142"/>
        <v/>
      </c>
      <c r="L1336" s="31" t="str">
        <f>IF(OR(B1336="",C1336=""),"",IFERROR(E1336 / SUMIFS('📅 Resumen Diario'!$D$5:$D$504, '📅 Resumen Diario'!$B$5:$B$504, B1336, '📅 Resumen Diario'!$C$5:$C$504, D1336) * SUMIFS('📅 Resumen Diario'!$K$5:$K$504, '📅 Resumen Diario'!$B$5:$B$504, B1336, '📅 Resumen Diario'!$C$5:$C$504, D1336), 0))</f>
        <v/>
      </c>
      <c r="M1336" s="31" t="str">
        <f t="shared" si="143"/>
        <v/>
      </c>
      <c r="N1336" s="31" t="str">
        <f t="shared" si="144"/>
        <v/>
      </c>
      <c r="O1336" s="31" t="str">
        <f>IF(OR(B1336="",C1336=""),"",K1336-N1336 + IFERROR(E1336 / SUMIFS('📅 Resumen Diario'!$D$5:$D$504, '📅 Resumen Diario'!$B$5:$B$504, B1336, '📅 Resumen Diario'!$C$5:$C$504, D1336) * (SUMIFS('📋 Detalle Diario'!$E$5:$E$489, '📋 Detalle Diario'!$B$5:$B$489, B1336, '📋 Detalle Diario'!$C$5:$C$489, D1336) * 135 + SUMIFS('📋 Detalle Diario'!$I$5:$I$489, '📋 Detalle Diario'!$B$5:$B$489, B1336, '📋 Detalle Diario'!$C$5:$C$489, D1336) * 200), 0))</f>
        <v/>
      </c>
      <c r="P1336" s="32" t="str">
        <f t="shared" si="145"/>
        <v/>
      </c>
      <c r="Q1336" s="33" t="str">
        <f t="shared" si="146"/>
        <v/>
      </c>
    </row>
    <row r="1337" spans="2:17" ht="18" customHeight="1" x14ac:dyDescent="0.3">
      <c r="B1337" s="26"/>
      <c r="C1337" s="28"/>
      <c r="D1337" s="27"/>
      <c r="E1337" s="29"/>
      <c r="F1337" s="29"/>
      <c r="G1337" s="29"/>
      <c r="H1337" s="30" t="str">
        <f t="shared" si="140"/>
        <v/>
      </c>
      <c r="I1337" s="31" t="str">
        <f>IF(OR(B1337="",C1337=""),"",IFERROR(E1337*IF(E1337="",0,VLOOKUP(C1337,'📦 Precios Proforma'!$B$5:$D$104,IF(D1337="DIA",2,3),FALSE)),0))</f>
        <v/>
      </c>
      <c r="J1337" s="31" t="str">
        <f t="shared" si="141"/>
        <v/>
      </c>
      <c r="K1337" s="31" t="str">
        <f t="shared" si="142"/>
        <v/>
      </c>
      <c r="L1337" s="31" t="str">
        <f>IF(OR(B1337="",C1337=""),"",IFERROR(E1337 / SUMIFS('📅 Resumen Diario'!$D$5:$D$504, '📅 Resumen Diario'!$B$5:$B$504, B1337, '📅 Resumen Diario'!$C$5:$C$504, D1337) * SUMIFS('📅 Resumen Diario'!$K$5:$K$504, '📅 Resumen Diario'!$B$5:$B$504, B1337, '📅 Resumen Diario'!$C$5:$C$504, D1337), 0))</f>
        <v/>
      </c>
      <c r="M1337" s="31" t="str">
        <f t="shared" si="143"/>
        <v/>
      </c>
      <c r="N1337" s="31" t="str">
        <f t="shared" si="144"/>
        <v/>
      </c>
      <c r="O1337" s="31" t="str">
        <f>IF(OR(B1337="",C1337=""),"",K1337-N1337 + IFERROR(E1337 / SUMIFS('📅 Resumen Diario'!$D$5:$D$504, '📅 Resumen Diario'!$B$5:$B$504, B1337, '📅 Resumen Diario'!$C$5:$C$504, D1337) * (SUMIFS('📋 Detalle Diario'!$E$5:$E$489, '📋 Detalle Diario'!$B$5:$B$489, B1337, '📋 Detalle Diario'!$C$5:$C$489, D1337) * 135 + SUMIFS('📋 Detalle Diario'!$I$5:$I$489, '📋 Detalle Diario'!$B$5:$B$489, B1337, '📋 Detalle Diario'!$C$5:$C$489, D1337) * 200), 0))</f>
        <v/>
      </c>
      <c r="P1337" s="32" t="str">
        <f t="shared" si="145"/>
        <v/>
      </c>
      <c r="Q1337" s="33" t="str">
        <f t="shared" si="146"/>
        <v/>
      </c>
    </row>
    <row r="1338" spans="2:17" ht="18" customHeight="1" x14ac:dyDescent="0.3">
      <c r="B1338" s="26"/>
      <c r="C1338" s="17"/>
      <c r="D1338" s="27"/>
      <c r="E1338" s="18"/>
      <c r="F1338" s="18"/>
      <c r="G1338" s="18"/>
      <c r="H1338" s="30" t="str">
        <f t="shared" si="140"/>
        <v/>
      </c>
      <c r="I1338" s="31" t="str">
        <f>IF(OR(B1338="",C1338=""),"",IFERROR(E1338*IF(E1338="",0,VLOOKUP(C1338,'📦 Precios Proforma'!$B$5:$D$104,IF(D1338="DIA",2,3),FALSE)),0))</f>
        <v/>
      </c>
      <c r="J1338" s="31" t="str">
        <f t="shared" si="141"/>
        <v/>
      </c>
      <c r="K1338" s="31" t="str">
        <f t="shared" si="142"/>
        <v/>
      </c>
      <c r="L1338" s="31" t="str">
        <f>IF(OR(B1338="",C1338=""),"",IFERROR(E1338 / SUMIFS('📅 Resumen Diario'!$D$5:$D$504, '📅 Resumen Diario'!$B$5:$B$504, B1338, '📅 Resumen Diario'!$C$5:$C$504, D1338) * SUMIFS('📅 Resumen Diario'!$K$5:$K$504, '📅 Resumen Diario'!$B$5:$B$504, B1338, '📅 Resumen Diario'!$C$5:$C$504, D1338), 0))</f>
        <v/>
      </c>
      <c r="M1338" s="31" t="str">
        <f t="shared" si="143"/>
        <v/>
      </c>
      <c r="N1338" s="31" t="str">
        <f t="shared" si="144"/>
        <v/>
      </c>
      <c r="O1338" s="31" t="str">
        <f>IF(OR(B1338="",C1338=""),"",K1338-N1338 + IFERROR(E1338 / SUMIFS('📅 Resumen Diario'!$D$5:$D$504, '📅 Resumen Diario'!$B$5:$B$504, B1338, '📅 Resumen Diario'!$C$5:$C$504, D1338) * (SUMIFS('📋 Detalle Diario'!$E$5:$E$489, '📋 Detalle Diario'!$B$5:$B$489, B1338, '📋 Detalle Diario'!$C$5:$C$489, D1338) * 135 + SUMIFS('📋 Detalle Diario'!$I$5:$I$489, '📋 Detalle Diario'!$B$5:$B$489, B1338, '📋 Detalle Diario'!$C$5:$C$489, D1338) * 200), 0))</f>
        <v/>
      </c>
      <c r="P1338" s="32" t="str">
        <f t="shared" si="145"/>
        <v/>
      </c>
      <c r="Q1338" s="33" t="str">
        <f t="shared" si="146"/>
        <v/>
      </c>
    </row>
    <row r="1339" spans="2:17" ht="18" customHeight="1" x14ac:dyDescent="0.3">
      <c r="B1339" s="26"/>
      <c r="C1339" s="28"/>
      <c r="D1339" s="27"/>
      <c r="E1339" s="29"/>
      <c r="F1339" s="29"/>
      <c r="G1339" s="29"/>
      <c r="H1339" s="30" t="str">
        <f t="shared" si="140"/>
        <v/>
      </c>
      <c r="I1339" s="31" t="str">
        <f>IF(OR(B1339="",C1339=""),"",IFERROR(E1339*IF(E1339="",0,VLOOKUP(C1339,'📦 Precios Proforma'!$B$5:$D$104,IF(D1339="DIA",2,3),FALSE)),0))</f>
        <v/>
      </c>
      <c r="J1339" s="31" t="str">
        <f t="shared" si="141"/>
        <v/>
      </c>
      <c r="K1339" s="31" t="str">
        <f t="shared" si="142"/>
        <v/>
      </c>
      <c r="L1339" s="31" t="str">
        <f>IF(OR(B1339="",C1339=""),"",IFERROR(E1339 / SUMIFS('📅 Resumen Diario'!$D$5:$D$504, '📅 Resumen Diario'!$B$5:$B$504, B1339, '📅 Resumen Diario'!$C$5:$C$504, D1339) * SUMIFS('📅 Resumen Diario'!$K$5:$K$504, '📅 Resumen Diario'!$B$5:$B$504, B1339, '📅 Resumen Diario'!$C$5:$C$504, D1339), 0))</f>
        <v/>
      </c>
      <c r="M1339" s="31" t="str">
        <f t="shared" si="143"/>
        <v/>
      </c>
      <c r="N1339" s="31" t="str">
        <f t="shared" si="144"/>
        <v/>
      </c>
      <c r="O1339" s="31" t="str">
        <f>IF(OR(B1339="",C1339=""),"",K1339-N1339 + IFERROR(E1339 / SUMIFS('📅 Resumen Diario'!$D$5:$D$504, '📅 Resumen Diario'!$B$5:$B$504, B1339, '📅 Resumen Diario'!$C$5:$C$504, D1339) * (SUMIFS('📋 Detalle Diario'!$E$5:$E$489, '📋 Detalle Diario'!$B$5:$B$489, B1339, '📋 Detalle Diario'!$C$5:$C$489, D1339) * 135 + SUMIFS('📋 Detalle Diario'!$I$5:$I$489, '📋 Detalle Diario'!$B$5:$B$489, B1339, '📋 Detalle Diario'!$C$5:$C$489, D1339) * 200), 0))</f>
        <v/>
      </c>
      <c r="P1339" s="32" t="str">
        <f t="shared" si="145"/>
        <v/>
      </c>
      <c r="Q1339" s="33" t="str">
        <f t="shared" si="146"/>
        <v/>
      </c>
    </row>
    <row r="1340" spans="2:17" ht="18" customHeight="1" x14ac:dyDescent="0.3">
      <c r="B1340" s="26"/>
      <c r="C1340" s="17"/>
      <c r="D1340" s="27"/>
      <c r="E1340" s="18"/>
      <c r="F1340" s="18"/>
      <c r="G1340" s="18"/>
      <c r="H1340" s="30" t="str">
        <f t="shared" si="140"/>
        <v/>
      </c>
      <c r="I1340" s="31" t="str">
        <f>IF(OR(B1340="",C1340=""),"",IFERROR(E1340*IF(E1340="",0,VLOOKUP(C1340,'📦 Precios Proforma'!$B$5:$D$104,IF(D1340="DIA",2,3),FALSE)),0))</f>
        <v/>
      </c>
      <c r="J1340" s="31" t="str">
        <f t="shared" si="141"/>
        <v/>
      </c>
      <c r="K1340" s="31" t="str">
        <f t="shared" si="142"/>
        <v/>
      </c>
      <c r="L1340" s="31" t="str">
        <f>IF(OR(B1340="",C1340=""),"",IFERROR(E1340 / SUMIFS('📅 Resumen Diario'!$D$5:$D$504, '📅 Resumen Diario'!$B$5:$B$504, B1340, '📅 Resumen Diario'!$C$5:$C$504, D1340) * SUMIFS('📅 Resumen Diario'!$K$5:$K$504, '📅 Resumen Diario'!$B$5:$B$504, B1340, '📅 Resumen Diario'!$C$5:$C$504, D1340), 0))</f>
        <v/>
      </c>
      <c r="M1340" s="31" t="str">
        <f t="shared" si="143"/>
        <v/>
      </c>
      <c r="N1340" s="31" t="str">
        <f t="shared" si="144"/>
        <v/>
      </c>
      <c r="O1340" s="31" t="str">
        <f>IF(OR(B1340="",C1340=""),"",K1340-N1340 + IFERROR(E1340 / SUMIFS('📅 Resumen Diario'!$D$5:$D$504, '📅 Resumen Diario'!$B$5:$B$504, B1340, '📅 Resumen Diario'!$C$5:$C$504, D1340) * (SUMIFS('📋 Detalle Diario'!$E$5:$E$489, '📋 Detalle Diario'!$B$5:$B$489, B1340, '📋 Detalle Diario'!$C$5:$C$489, D1340) * 135 + SUMIFS('📋 Detalle Diario'!$I$5:$I$489, '📋 Detalle Diario'!$B$5:$B$489, B1340, '📋 Detalle Diario'!$C$5:$C$489, D1340) * 200), 0))</f>
        <v/>
      </c>
      <c r="P1340" s="32" t="str">
        <f t="shared" si="145"/>
        <v/>
      </c>
      <c r="Q1340" s="33" t="str">
        <f t="shared" si="146"/>
        <v/>
      </c>
    </row>
    <row r="1341" spans="2:17" ht="18" customHeight="1" x14ac:dyDescent="0.3">
      <c r="B1341" s="26"/>
      <c r="C1341" s="28"/>
      <c r="D1341" s="27"/>
      <c r="E1341" s="29"/>
      <c r="F1341" s="29"/>
      <c r="G1341" s="29"/>
      <c r="H1341" s="30" t="str">
        <f t="shared" si="140"/>
        <v/>
      </c>
      <c r="I1341" s="31" t="str">
        <f>IF(OR(B1341="",C1341=""),"",IFERROR(E1341*IF(E1341="",0,VLOOKUP(C1341,'📦 Precios Proforma'!$B$5:$D$104,IF(D1341="DIA",2,3),FALSE)),0))</f>
        <v/>
      </c>
      <c r="J1341" s="31" t="str">
        <f t="shared" si="141"/>
        <v/>
      </c>
      <c r="K1341" s="31" t="str">
        <f t="shared" si="142"/>
        <v/>
      </c>
      <c r="L1341" s="31" t="str">
        <f>IF(OR(B1341="",C1341=""),"",IFERROR(E1341 / SUMIFS('📅 Resumen Diario'!$D$5:$D$504, '📅 Resumen Diario'!$B$5:$B$504, B1341, '📅 Resumen Diario'!$C$5:$C$504, D1341) * SUMIFS('📅 Resumen Diario'!$K$5:$K$504, '📅 Resumen Diario'!$B$5:$B$504, B1341, '📅 Resumen Diario'!$C$5:$C$504, D1341), 0))</f>
        <v/>
      </c>
      <c r="M1341" s="31" t="str">
        <f t="shared" si="143"/>
        <v/>
      </c>
      <c r="N1341" s="31" t="str">
        <f t="shared" si="144"/>
        <v/>
      </c>
      <c r="O1341" s="31" t="str">
        <f>IF(OR(B1341="",C1341=""),"",K1341-N1341 + IFERROR(E1341 / SUMIFS('📅 Resumen Diario'!$D$5:$D$504, '📅 Resumen Diario'!$B$5:$B$504, B1341, '📅 Resumen Diario'!$C$5:$C$504, D1341) * (SUMIFS('📋 Detalle Diario'!$E$5:$E$489, '📋 Detalle Diario'!$B$5:$B$489, B1341, '📋 Detalle Diario'!$C$5:$C$489, D1341) * 135 + SUMIFS('📋 Detalle Diario'!$I$5:$I$489, '📋 Detalle Diario'!$B$5:$B$489, B1341, '📋 Detalle Diario'!$C$5:$C$489, D1341) * 200), 0))</f>
        <v/>
      </c>
      <c r="P1341" s="32" t="str">
        <f t="shared" si="145"/>
        <v/>
      </c>
      <c r="Q1341" s="33" t="str">
        <f t="shared" si="146"/>
        <v/>
      </c>
    </row>
    <row r="1342" spans="2:17" ht="18" customHeight="1" x14ac:dyDescent="0.3">
      <c r="B1342" s="26"/>
      <c r="C1342" s="17"/>
      <c r="D1342" s="27"/>
      <c r="E1342" s="18"/>
      <c r="F1342" s="18"/>
      <c r="G1342" s="18"/>
      <c r="H1342" s="30" t="str">
        <f t="shared" si="140"/>
        <v/>
      </c>
      <c r="I1342" s="31" t="str">
        <f>IF(OR(B1342="",C1342=""),"",IFERROR(E1342*IF(E1342="",0,VLOOKUP(C1342,'📦 Precios Proforma'!$B$5:$D$104,IF(D1342="DIA",2,3),FALSE)),0))</f>
        <v/>
      </c>
      <c r="J1342" s="31" t="str">
        <f t="shared" si="141"/>
        <v/>
      </c>
      <c r="K1342" s="31" t="str">
        <f t="shared" si="142"/>
        <v/>
      </c>
      <c r="L1342" s="31" t="str">
        <f>IF(OR(B1342="",C1342=""),"",IFERROR(E1342 / SUMIFS('📅 Resumen Diario'!$D$5:$D$504, '📅 Resumen Diario'!$B$5:$B$504, B1342, '📅 Resumen Diario'!$C$5:$C$504, D1342) * SUMIFS('📅 Resumen Diario'!$K$5:$K$504, '📅 Resumen Diario'!$B$5:$B$504, B1342, '📅 Resumen Diario'!$C$5:$C$504, D1342), 0))</f>
        <v/>
      </c>
      <c r="M1342" s="31" t="str">
        <f t="shared" si="143"/>
        <v/>
      </c>
      <c r="N1342" s="31" t="str">
        <f t="shared" si="144"/>
        <v/>
      </c>
      <c r="O1342" s="31" t="str">
        <f>IF(OR(B1342="",C1342=""),"",K1342-N1342 + IFERROR(E1342 / SUMIFS('📅 Resumen Diario'!$D$5:$D$504, '📅 Resumen Diario'!$B$5:$B$504, B1342, '📅 Resumen Diario'!$C$5:$C$504, D1342) * (SUMIFS('📋 Detalle Diario'!$E$5:$E$489, '📋 Detalle Diario'!$B$5:$B$489, B1342, '📋 Detalle Diario'!$C$5:$C$489, D1342) * 135 + SUMIFS('📋 Detalle Diario'!$I$5:$I$489, '📋 Detalle Diario'!$B$5:$B$489, B1342, '📋 Detalle Diario'!$C$5:$C$489, D1342) * 200), 0))</f>
        <v/>
      </c>
      <c r="P1342" s="32" t="str">
        <f t="shared" si="145"/>
        <v/>
      </c>
      <c r="Q1342" s="33" t="str">
        <f t="shared" si="146"/>
        <v/>
      </c>
    </row>
    <row r="1343" spans="2:17" ht="18" customHeight="1" x14ac:dyDescent="0.3">
      <c r="B1343" s="26"/>
      <c r="C1343" s="28"/>
      <c r="D1343" s="27"/>
      <c r="E1343" s="29"/>
      <c r="F1343" s="29"/>
      <c r="G1343" s="29"/>
      <c r="H1343" s="30" t="str">
        <f t="shared" si="140"/>
        <v/>
      </c>
      <c r="I1343" s="31" t="str">
        <f>IF(OR(B1343="",C1343=""),"",IFERROR(E1343*IF(E1343="",0,VLOOKUP(C1343,'📦 Precios Proforma'!$B$5:$D$104,IF(D1343="DIA",2,3),FALSE)),0))</f>
        <v/>
      </c>
      <c r="J1343" s="31" t="str">
        <f t="shared" si="141"/>
        <v/>
      </c>
      <c r="K1343" s="31" t="str">
        <f t="shared" si="142"/>
        <v/>
      </c>
      <c r="L1343" s="31" t="str">
        <f>IF(OR(B1343="",C1343=""),"",IFERROR(E1343 / SUMIFS('📅 Resumen Diario'!$D$5:$D$504, '📅 Resumen Diario'!$B$5:$B$504, B1343, '📅 Resumen Diario'!$C$5:$C$504, D1343) * SUMIFS('📅 Resumen Diario'!$K$5:$K$504, '📅 Resumen Diario'!$B$5:$B$504, B1343, '📅 Resumen Diario'!$C$5:$C$504, D1343), 0))</f>
        <v/>
      </c>
      <c r="M1343" s="31" t="str">
        <f t="shared" si="143"/>
        <v/>
      </c>
      <c r="N1343" s="31" t="str">
        <f t="shared" si="144"/>
        <v/>
      </c>
      <c r="O1343" s="31" t="str">
        <f>IF(OR(B1343="",C1343=""),"",K1343-N1343 + IFERROR(E1343 / SUMIFS('📅 Resumen Diario'!$D$5:$D$504, '📅 Resumen Diario'!$B$5:$B$504, B1343, '📅 Resumen Diario'!$C$5:$C$504, D1343) * (SUMIFS('📋 Detalle Diario'!$E$5:$E$489, '📋 Detalle Diario'!$B$5:$B$489, B1343, '📋 Detalle Diario'!$C$5:$C$489, D1343) * 135 + SUMIFS('📋 Detalle Diario'!$I$5:$I$489, '📋 Detalle Diario'!$B$5:$B$489, B1343, '📋 Detalle Diario'!$C$5:$C$489, D1343) * 200), 0))</f>
        <v/>
      </c>
      <c r="P1343" s="32" t="str">
        <f t="shared" si="145"/>
        <v/>
      </c>
      <c r="Q1343" s="33" t="str">
        <f t="shared" si="146"/>
        <v/>
      </c>
    </row>
    <row r="1344" spans="2:17" ht="18" customHeight="1" x14ac:dyDescent="0.3">
      <c r="B1344" s="26"/>
      <c r="C1344" s="17"/>
      <c r="D1344" s="27"/>
      <c r="E1344" s="18"/>
      <c r="F1344" s="18"/>
      <c r="G1344" s="18"/>
      <c r="H1344" s="30" t="str">
        <f t="shared" si="140"/>
        <v/>
      </c>
      <c r="I1344" s="31" t="str">
        <f>IF(OR(B1344="",C1344=""),"",IFERROR(E1344*IF(E1344="",0,VLOOKUP(C1344,'📦 Precios Proforma'!$B$5:$D$104,IF(D1344="DIA",2,3),FALSE)),0))</f>
        <v/>
      </c>
      <c r="J1344" s="31" t="str">
        <f t="shared" si="141"/>
        <v/>
      </c>
      <c r="K1344" s="31" t="str">
        <f t="shared" si="142"/>
        <v/>
      </c>
      <c r="L1344" s="31" t="str">
        <f>IF(OR(B1344="",C1344=""),"",IFERROR(E1344 / SUMIFS('📅 Resumen Diario'!$D$5:$D$504, '📅 Resumen Diario'!$B$5:$B$504, B1344, '📅 Resumen Diario'!$C$5:$C$504, D1344) * SUMIFS('📅 Resumen Diario'!$K$5:$K$504, '📅 Resumen Diario'!$B$5:$B$504, B1344, '📅 Resumen Diario'!$C$5:$C$504, D1344), 0))</f>
        <v/>
      </c>
      <c r="M1344" s="31" t="str">
        <f t="shared" si="143"/>
        <v/>
      </c>
      <c r="N1344" s="31" t="str">
        <f t="shared" si="144"/>
        <v/>
      </c>
      <c r="O1344" s="31" t="str">
        <f>IF(OR(B1344="",C1344=""),"",K1344-N1344 + IFERROR(E1344 / SUMIFS('📅 Resumen Diario'!$D$5:$D$504, '📅 Resumen Diario'!$B$5:$B$504, B1344, '📅 Resumen Diario'!$C$5:$C$504, D1344) * (SUMIFS('📋 Detalle Diario'!$E$5:$E$489, '📋 Detalle Diario'!$B$5:$B$489, B1344, '📋 Detalle Diario'!$C$5:$C$489, D1344) * 135 + SUMIFS('📋 Detalle Diario'!$I$5:$I$489, '📋 Detalle Diario'!$B$5:$B$489, B1344, '📋 Detalle Diario'!$C$5:$C$489, D1344) * 200), 0))</f>
        <v/>
      </c>
      <c r="P1344" s="32" t="str">
        <f t="shared" si="145"/>
        <v/>
      </c>
      <c r="Q1344" s="33" t="str">
        <f t="shared" si="146"/>
        <v/>
      </c>
    </row>
    <row r="1345" spans="2:17" ht="18" customHeight="1" x14ac:dyDescent="0.3">
      <c r="B1345" s="26"/>
      <c r="C1345" s="28"/>
      <c r="D1345" s="27"/>
      <c r="E1345" s="29"/>
      <c r="F1345" s="29"/>
      <c r="G1345" s="29"/>
      <c r="H1345" s="30" t="str">
        <f t="shared" si="140"/>
        <v/>
      </c>
      <c r="I1345" s="31" t="str">
        <f>IF(OR(B1345="",C1345=""),"",IFERROR(E1345*IF(E1345="",0,VLOOKUP(C1345,'📦 Precios Proforma'!$B$5:$D$104,IF(D1345="DIA",2,3),FALSE)),0))</f>
        <v/>
      </c>
      <c r="J1345" s="31" t="str">
        <f t="shared" si="141"/>
        <v/>
      </c>
      <c r="K1345" s="31" t="str">
        <f t="shared" si="142"/>
        <v/>
      </c>
      <c r="L1345" s="31" t="str">
        <f>IF(OR(B1345="",C1345=""),"",IFERROR(E1345 / SUMIFS('📅 Resumen Diario'!$D$5:$D$504, '📅 Resumen Diario'!$B$5:$B$504, B1345, '📅 Resumen Diario'!$C$5:$C$504, D1345) * SUMIFS('📅 Resumen Diario'!$K$5:$K$504, '📅 Resumen Diario'!$B$5:$B$504, B1345, '📅 Resumen Diario'!$C$5:$C$504, D1345), 0))</f>
        <v/>
      </c>
      <c r="M1345" s="31" t="str">
        <f t="shared" si="143"/>
        <v/>
      </c>
      <c r="N1345" s="31" t="str">
        <f t="shared" si="144"/>
        <v/>
      </c>
      <c r="O1345" s="31" t="str">
        <f>IF(OR(B1345="",C1345=""),"",K1345-N1345 + IFERROR(E1345 / SUMIFS('📅 Resumen Diario'!$D$5:$D$504, '📅 Resumen Diario'!$B$5:$B$504, B1345, '📅 Resumen Diario'!$C$5:$C$504, D1345) * (SUMIFS('📋 Detalle Diario'!$E$5:$E$489, '📋 Detalle Diario'!$B$5:$B$489, B1345, '📋 Detalle Diario'!$C$5:$C$489, D1345) * 135 + SUMIFS('📋 Detalle Diario'!$I$5:$I$489, '📋 Detalle Diario'!$B$5:$B$489, B1345, '📋 Detalle Diario'!$C$5:$C$489, D1345) * 200), 0))</f>
        <v/>
      </c>
      <c r="P1345" s="32" t="str">
        <f t="shared" si="145"/>
        <v/>
      </c>
      <c r="Q1345" s="33" t="str">
        <f t="shared" si="146"/>
        <v/>
      </c>
    </row>
    <row r="1346" spans="2:17" ht="18" customHeight="1" x14ac:dyDescent="0.3">
      <c r="B1346" s="26"/>
      <c r="C1346" s="17"/>
      <c r="D1346" s="27"/>
      <c r="E1346" s="18"/>
      <c r="F1346" s="18"/>
      <c r="G1346" s="18"/>
      <c r="H1346" s="30" t="str">
        <f t="shared" si="140"/>
        <v/>
      </c>
      <c r="I1346" s="31" t="str">
        <f>IF(OR(B1346="",C1346=""),"",IFERROR(E1346*IF(E1346="",0,VLOOKUP(C1346,'📦 Precios Proforma'!$B$5:$D$104,IF(D1346="DIA",2,3),FALSE)),0))</f>
        <v/>
      </c>
      <c r="J1346" s="31" t="str">
        <f t="shared" si="141"/>
        <v/>
      </c>
      <c r="K1346" s="31" t="str">
        <f t="shared" si="142"/>
        <v/>
      </c>
      <c r="L1346" s="31" t="str">
        <f>IF(OR(B1346="",C1346=""),"",IFERROR(E1346 / SUMIFS('📅 Resumen Diario'!$D$5:$D$504, '📅 Resumen Diario'!$B$5:$B$504, B1346, '📅 Resumen Diario'!$C$5:$C$504, D1346) * SUMIFS('📅 Resumen Diario'!$K$5:$K$504, '📅 Resumen Diario'!$B$5:$B$504, B1346, '📅 Resumen Diario'!$C$5:$C$504, D1346), 0))</f>
        <v/>
      </c>
      <c r="M1346" s="31" t="str">
        <f t="shared" si="143"/>
        <v/>
      </c>
      <c r="N1346" s="31" t="str">
        <f t="shared" si="144"/>
        <v/>
      </c>
      <c r="O1346" s="31" t="str">
        <f>IF(OR(B1346="",C1346=""),"",K1346-N1346 + IFERROR(E1346 / SUMIFS('📅 Resumen Diario'!$D$5:$D$504, '📅 Resumen Diario'!$B$5:$B$504, B1346, '📅 Resumen Diario'!$C$5:$C$504, D1346) * (SUMIFS('📋 Detalle Diario'!$E$5:$E$489, '📋 Detalle Diario'!$B$5:$B$489, B1346, '📋 Detalle Diario'!$C$5:$C$489, D1346) * 135 + SUMIFS('📋 Detalle Diario'!$I$5:$I$489, '📋 Detalle Diario'!$B$5:$B$489, B1346, '📋 Detalle Diario'!$C$5:$C$489, D1346) * 200), 0))</f>
        <v/>
      </c>
      <c r="P1346" s="32" t="str">
        <f t="shared" si="145"/>
        <v/>
      </c>
      <c r="Q1346" s="33" t="str">
        <f t="shared" si="146"/>
        <v/>
      </c>
    </row>
    <row r="1347" spans="2:17" ht="18" customHeight="1" x14ac:dyDescent="0.3">
      <c r="B1347" s="26"/>
      <c r="C1347" s="28"/>
      <c r="D1347" s="27"/>
      <c r="E1347" s="29"/>
      <c r="F1347" s="29"/>
      <c r="G1347" s="29"/>
      <c r="H1347" s="30" t="str">
        <f t="shared" si="140"/>
        <v/>
      </c>
      <c r="I1347" s="31" t="str">
        <f>IF(OR(B1347="",C1347=""),"",IFERROR(E1347*IF(E1347="",0,VLOOKUP(C1347,'📦 Precios Proforma'!$B$5:$D$104,IF(D1347="DIA",2,3),FALSE)),0))</f>
        <v/>
      </c>
      <c r="J1347" s="31" t="str">
        <f t="shared" si="141"/>
        <v/>
      </c>
      <c r="K1347" s="31" t="str">
        <f t="shared" si="142"/>
        <v/>
      </c>
      <c r="L1347" s="31" t="str">
        <f>IF(OR(B1347="",C1347=""),"",IFERROR(E1347 / SUMIFS('📅 Resumen Diario'!$D$5:$D$504, '📅 Resumen Diario'!$B$5:$B$504, B1347, '📅 Resumen Diario'!$C$5:$C$504, D1347) * SUMIFS('📅 Resumen Diario'!$K$5:$K$504, '📅 Resumen Diario'!$B$5:$B$504, B1347, '📅 Resumen Diario'!$C$5:$C$504, D1347), 0))</f>
        <v/>
      </c>
      <c r="M1347" s="31" t="str">
        <f t="shared" si="143"/>
        <v/>
      </c>
      <c r="N1347" s="31" t="str">
        <f t="shared" si="144"/>
        <v/>
      </c>
      <c r="O1347" s="31" t="str">
        <f>IF(OR(B1347="",C1347=""),"",K1347-N1347 + IFERROR(E1347 / SUMIFS('📅 Resumen Diario'!$D$5:$D$504, '📅 Resumen Diario'!$B$5:$B$504, B1347, '📅 Resumen Diario'!$C$5:$C$504, D1347) * (SUMIFS('📋 Detalle Diario'!$E$5:$E$489, '📋 Detalle Diario'!$B$5:$B$489, B1347, '📋 Detalle Diario'!$C$5:$C$489, D1347) * 135 + SUMIFS('📋 Detalle Diario'!$I$5:$I$489, '📋 Detalle Diario'!$B$5:$B$489, B1347, '📋 Detalle Diario'!$C$5:$C$489, D1347) * 200), 0))</f>
        <v/>
      </c>
      <c r="P1347" s="32" t="str">
        <f t="shared" si="145"/>
        <v/>
      </c>
      <c r="Q1347" s="33" t="str">
        <f t="shared" si="146"/>
        <v/>
      </c>
    </row>
    <row r="1348" spans="2:17" ht="18" customHeight="1" x14ac:dyDescent="0.3">
      <c r="B1348" s="26"/>
      <c r="C1348" s="17"/>
      <c r="D1348" s="27"/>
      <c r="E1348" s="18"/>
      <c r="F1348" s="18"/>
      <c r="G1348" s="18"/>
      <c r="H1348" s="30" t="str">
        <f t="shared" si="140"/>
        <v/>
      </c>
      <c r="I1348" s="31" t="str">
        <f>IF(OR(B1348="",C1348=""),"",IFERROR(E1348*IF(E1348="",0,VLOOKUP(C1348,'📦 Precios Proforma'!$B$5:$D$104,IF(D1348="DIA",2,3),FALSE)),0))</f>
        <v/>
      </c>
      <c r="J1348" s="31" t="str">
        <f t="shared" si="141"/>
        <v/>
      </c>
      <c r="K1348" s="31" t="str">
        <f t="shared" si="142"/>
        <v/>
      </c>
      <c r="L1348" s="31" t="str">
        <f>IF(OR(B1348="",C1348=""),"",IFERROR(E1348 / SUMIFS('📅 Resumen Diario'!$D$5:$D$504, '📅 Resumen Diario'!$B$5:$B$504, B1348, '📅 Resumen Diario'!$C$5:$C$504, D1348) * SUMIFS('📅 Resumen Diario'!$K$5:$K$504, '📅 Resumen Diario'!$B$5:$B$504, B1348, '📅 Resumen Diario'!$C$5:$C$504, D1348), 0))</f>
        <v/>
      </c>
      <c r="M1348" s="31" t="str">
        <f t="shared" si="143"/>
        <v/>
      </c>
      <c r="N1348" s="31" t="str">
        <f t="shared" si="144"/>
        <v/>
      </c>
      <c r="O1348" s="31" t="str">
        <f>IF(OR(B1348="",C1348=""),"",K1348-N1348 + IFERROR(E1348 / SUMIFS('📅 Resumen Diario'!$D$5:$D$504, '📅 Resumen Diario'!$B$5:$B$504, B1348, '📅 Resumen Diario'!$C$5:$C$504, D1348) * (SUMIFS('📋 Detalle Diario'!$E$5:$E$489, '📋 Detalle Diario'!$B$5:$B$489, B1348, '📋 Detalle Diario'!$C$5:$C$489, D1348) * 135 + SUMIFS('📋 Detalle Diario'!$I$5:$I$489, '📋 Detalle Diario'!$B$5:$B$489, B1348, '📋 Detalle Diario'!$C$5:$C$489, D1348) * 200), 0))</f>
        <v/>
      </c>
      <c r="P1348" s="32" t="str">
        <f t="shared" si="145"/>
        <v/>
      </c>
      <c r="Q1348" s="33" t="str">
        <f t="shared" si="146"/>
        <v/>
      </c>
    </row>
    <row r="1349" spans="2:17" ht="18" customHeight="1" x14ac:dyDescent="0.3">
      <c r="B1349" s="26"/>
      <c r="C1349" s="28"/>
      <c r="D1349" s="27"/>
      <c r="E1349" s="29"/>
      <c r="F1349" s="29"/>
      <c r="G1349" s="29"/>
      <c r="H1349" s="30" t="str">
        <f t="shared" si="140"/>
        <v/>
      </c>
      <c r="I1349" s="31" t="str">
        <f>IF(OR(B1349="",C1349=""),"",IFERROR(E1349*IF(E1349="",0,VLOOKUP(C1349,'📦 Precios Proforma'!$B$5:$D$104,IF(D1349="DIA",2,3),FALSE)),0))</f>
        <v/>
      </c>
      <c r="J1349" s="31" t="str">
        <f t="shared" si="141"/>
        <v/>
      </c>
      <c r="K1349" s="31" t="str">
        <f t="shared" si="142"/>
        <v/>
      </c>
      <c r="L1349" s="31" t="str">
        <f>IF(OR(B1349="",C1349=""),"",IFERROR(E1349 / SUMIFS('📅 Resumen Diario'!$D$5:$D$504, '📅 Resumen Diario'!$B$5:$B$504, B1349, '📅 Resumen Diario'!$C$5:$C$504, D1349) * SUMIFS('📅 Resumen Diario'!$K$5:$K$504, '📅 Resumen Diario'!$B$5:$B$504, B1349, '📅 Resumen Diario'!$C$5:$C$504, D1349), 0))</f>
        <v/>
      </c>
      <c r="M1349" s="31" t="str">
        <f t="shared" si="143"/>
        <v/>
      </c>
      <c r="N1349" s="31" t="str">
        <f t="shared" si="144"/>
        <v/>
      </c>
      <c r="O1349" s="31" t="str">
        <f>IF(OR(B1349="",C1349=""),"",K1349-N1349 + IFERROR(E1349 / SUMIFS('📅 Resumen Diario'!$D$5:$D$504, '📅 Resumen Diario'!$B$5:$B$504, B1349, '📅 Resumen Diario'!$C$5:$C$504, D1349) * (SUMIFS('📋 Detalle Diario'!$E$5:$E$489, '📋 Detalle Diario'!$B$5:$B$489, B1349, '📋 Detalle Diario'!$C$5:$C$489, D1349) * 135 + SUMIFS('📋 Detalle Diario'!$I$5:$I$489, '📋 Detalle Diario'!$B$5:$B$489, B1349, '📋 Detalle Diario'!$C$5:$C$489, D1349) * 200), 0))</f>
        <v/>
      </c>
      <c r="P1349" s="32" t="str">
        <f t="shared" si="145"/>
        <v/>
      </c>
      <c r="Q1349" s="33" t="str">
        <f t="shared" si="146"/>
        <v/>
      </c>
    </row>
    <row r="1350" spans="2:17" ht="18" customHeight="1" x14ac:dyDescent="0.3">
      <c r="B1350" s="26"/>
      <c r="C1350" s="17"/>
      <c r="D1350" s="27"/>
      <c r="E1350" s="18"/>
      <c r="F1350" s="18"/>
      <c r="G1350" s="18"/>
      <c r="H1350" s="30" t="str">
        <f t="shared" si="140"/>
        <v/>
      </c>
      <c r="I1350" s="31" t="str">
        <f>IF(OR(B1350="",C1350=""),"",IFERROR(E1350*IF(E1350="",0,VLOOKUP(C1350,'📦 Precios Proforma'!$B$5:$D$104,IF(D1350="DIA",2,3),FALSE)),0))</f>
        <v/>
      </c>
      <c r="J1350" s="31" t="str">
        <f t="shared" si="141"/>
        <v/>
      </c>
      <c r="K1350" s="31" t="str">
        <f t="shared" si="142"/>
        <v/>
      </c>
      <c r="L1350" s="31" t="str">
        <f>IF(OR(B1350="",C1350=""),"",IFERROR(E1350 / SUMIFS('📅 Resumen Diario'!$D$5:$D$504, '📅 Resumen Diario'!$B$5:$B$504, B1350, '📅 Resumen Diario'!$C$5:$C$504, D1350) * SUMIFS('📅 Resumen Diario'!$K$5:$K$504, '📅 Resumen Diario'!$B$5:$B$504, B1350, '📅 Resumen Diario'!$C$5:$C$504, D1350), 0))</f>
        <v/>
      </c>
      <c r="M1350" s="31" t="str">
        <f t="shared" si="143"/>
        <v/>
      </c>
      <c r="N1350" s="31" t="str">
        <f t="shared" si="144"/>
        <v/>
      </c>
      <c r="O1350" s="31" t="str">
        <f>IF(OR(B1350="",C1350=""),"",K1350-N1350 + IFERROR(E1350 / SUMIFS('📅 Resumen Diario'!$D$5:$D$504, '📅 Resumen Diario'!$B$5:$B$504, B1350, '📅 Resumen Diario'!$C$5:$C$504, D1350) * (SUMIFS('📋 Detalle Diario'!$E$5:$E$489, '📋 Detalle Diario'!$B$5:$B$489, B1350, '📋 Detalle Diario'!$C$5:$C$489, D1350) * 135 + SUMIFS('📋 Detalle Diario'!$I$5:$I$489, '📋 Detalle Diario'!$B$5:$B$489, B1350, '📋 Detalle Diario'!$C$5:$C$489, D1350) * 200), 0))</f>
        <v/>
      </c>
      <c r="P1350" s="32" t="str">
        <f t="shared" si="145"/>
        <v/>
      </c>
      <c r="Q1350" s="33" t="str">
        <f t="shared" si="146"/>
        <v/>
      </c>
    </row>
    <row r="1351" spans="2:17" ht="18" customHeight="1" x14ac:dyDescent="0.3">
      <c r="B1351" s="26"/>
      <c r="C1351" s="28"/>
      <c r="D1351" s="27"/>
      <c r="E1351" s="29"/>
      <c r="F1351" s="29"/>
      <c r="G1351" s="29"/>
      <c r="H1351" s="30" t="str">
        <f t="shared" ref="H1351:H1414" si="147">IF(OR(B1351="",C1351=""),"",F1351+G1351)</f>
        <v/>
      </c>
      <c r="I1351" s="31" t="str">
        <f>IF(OR(B1351="",C1351=""),"",IFERROR(E1351*IF(E1351="",0,VLOOKUP(C1351,'📦 Precios Proforma'!$B$5:$D$104,IF(D1351="DIA",2,3),FALSE)),0))</f>
        <v/>
      </c>
      <c r="J1351" s="31" t="str">
        <f t="shared" ref="J1351:J1414" si="148">IF(OR(B1351="",C1351=""),"",IF(D1351="DIA",H1351*1.01,H1351*1.35))</f>
        <v/>
      </c>
      <c r="K1351" s="31" t="str">
        <f t="shared" ref="K1351:K1414" si="149">IF(OR(B1351="",C1351=""),"",I1351+J1351)</f>
        <v/>
      </c>
      <c r="L1351" s="31" t="str">
        <f>IF(OR(B1351="",C1351=""),"",IFERROR(E1351 / SUMIFS('📅 Resumen Diario'!$D$5:$D$504, '📅 Resumen Diario'!$B$5:$B$504, B1351, '📅 Resumen Diario'!$C$5:$C$504, D1351) * SUMIFS('📅 Resumen Diario'!$K$5:$K$504, '📅 Resumen Diario'!$B$5:$B$504, B1351, '📅 Resumen Diario'!$C$5:$C$504, D1351), 0))</f>
        <v/>
      </c>
      <c r="M1351" s="31" t="str">
        <f t="shared" ref="M1351:M1414" si="150">IF(OR(B1351="",C1351=""),"",H1351*0.09)</f>
        <v/>
      </c>
      <c r="N1351" s="31" t="str">
        <f t="shared" ref="N1351:N1414" si="151">IF(OR(B1351="",C1351=""),"",L1351+M1351)</f>
        <v/>
      </c>
      <c r="O1351" s="31" t="str">
        <f>IF(OR(B1351="",C1351=""),"",K1351-N1351 + IFERROR(E1351 / SUMIFS('📅 Resumen Diario'!$D$5:$D$504, '📅 Resumen Diario'!$B$5:$B$504, B1351, '📅 Resumen Diario'!$C$5:$C$504, D1351) * (SUMIFS('📋 Detalle Diario'!$E$5:$E$489, '📋 Detalle Diario'!$B$5:$B$489, B1351, '📋 Detalle Diario'!$C$5:$C$489, D1351) * 135 + SUMIFS('📋 Detalle Diario'!$I$5:$I$489, '📋 Detalle Diario'!$B$5:$B$489, B1351, '📋 Detalle Diario'!$C$5:$C$489, D1351) * 200), 0))</f>
        <v/>
      </c>
      <c r="P1351" s="32" t="str">
        <f t="shared" ref="P1351:P1414" si="152">IF(OR(B1351="",C1351=""),"",IF(K1351=0, 0, O1351/K1351))</f>
        <v/>
      </c>
      <c r="Q1351" s="33" t="str">
        <f t="shared" ref="Q1351:Q1414" si="153">IF(B1351="","",IF(ISNUMBER(B1351),YEAR(B1351)&amp;"-"&amp;IF(MONTH(B1351)&lt;10,"0","")&amp;MONTH(B1351),LEFT(B1351,7)))</f>
        <v/>
      </c>
    </row>
    <row r="1352" spans="2:17" ht="18" customHeight="1" x14ac:dyDescent="0.3">
      <c r="B1352" s="26"/>
      <c r="C1352" s="17"/>
      <c r="D1352" s="27"/>
      <c r="E1352" s="18"/>
      <c r="F1352" s="18"/>
      <c r="G1352" s="18"/>
      <c r="H1352" s="30" t="str">
        <f t="shared" si="147"/>
        <v/>
      </c>
      <c r="I1352" s="31" t="str">
        <f>IF(OR(B1352="",C1352=""),"",IFERROR(E1352*IF(E1352="",0,VLOOKUP(C1352,'📦 Precios Proforma'!$B$5:$D$104,IF(D1352="DIA",2,3),FALSE)),0))</f>
        <v/>
      </c>
      <c r="J1352" s="31" t="str">
        <f t="shared" si="148"/>
        <v/>
      </c>
      <c r="K1352" s="31" t="str">
        <f t="shared" si="149"/>
        <v/>
      </c>
      <c r="L1352" s="31" t="str">
        <f>IF(OR(B1352="",C1352=""),"",IFERROR(E1352 / SUMIFS('📅 Resumen Diario'!$D$5:$D$504, '📅 Resumen Diario'!$B$5:$B$504, B1352, '📅 Resumen Diario'!$C$5:$C$504, D1352) * SUMIFS('📅 Resumen Diario'!$K$5:$K$504, '📅 Resumen Diario'!$B$5:$B$504, B1352, '📅 Resumen Diario'!$C$5:$C$504, D1352), 0))</f>
        <v/>
      </c>
      <c r="M1352" s="31" t="str">
        <f t="shared" si="150"/>
        <v/>
      </c>
      <c r="N1352" s="31" t="str">
        <f t="shared" si="151"/>
        <v/>
      </c>
      <c r="O1352" s="31" t="str">
        <f>IF(OR(B1352="",C1352=""),"",K1352-N1352 + IFERROR(E1352 / SUMIFS('📅 Resumen Diario'!$D$5:$D$504, '📅 Resumen Diario'!$B$5:$B$504, B1352, '📅 Resumen Diario'!$C$5:$C$504, D1352) * (SUMIFS('📋 Detalle Diario'!$E$5:$E$489, '📋 Detalle Diario'!$B$5:$B$489, B1352, '📋 Detalle Diario'!$C$5:$C$489, D1352) * 135 + SUMIFS('📋 Detalle Diario'!$I$5:$I$489, '📋 Detalle Diario'!$B$5:$B$489, B1352, '📋 Detalle Diario'!$C$5:$C$489, D1352) * 200), 0))</f>
        <v/>
      </c>
      <c r="P1352" s="32" t="str">
        <f t="shared" si="152"/>
        <v/>
      </c>
      <c r="Q1352" s="33" t="str">
        <f t="shared" si="153"/>
        <v/>
      </c>
    </row>
    <row r="1353" spans="2:17" ht="18" customHeight="1" x14ac:dyDescent="0.3">
      <c r="B1353" s="26"/>
      <c r="C1353" s="28"/>
      <c r="D1353" s="27"/>
      <c r="E1353" s="29"/>
      <c r="F1353" s="29"/>
      <c r="G1353" s="29"/>
      <c r="H1353" s="30" t="str">
        <f t="shared" si="147"/>
        <v/>
      </c>
      <c r="I1353" s="31" t="str">
        <f>IF(OR(B1353="",C1353=""),"",IFERROR(E1353*IF(E1353="",0,VLOOKUP(C1353,'📦 Precios Proforma'!$B$5:$D$104,IF(D1353="DIA",2,3),FALSE)),0))</f>
        <v/>
      </c>
      <c r="J1353" s="31" t="str">
        <f t="shared" si="148"/>
        <v/>
      </c>
      <c r="K1353" s="31" t="str">
        <f t="shared" si="149"/>
        <v/>
      </c>
      <c r="L1353" s="31" t="str">
        <f>IF(OR(B1353="",C1353=""),"",IFERROR(E1353 / SUMIFS('📅 Resumen Diario'!$D$5:$D$504, '📅 Resumen Diario'!$B$5:$B$504, B1353, '📅 Resumen Diario'!$C$5:$C$504, D1353) * SUMIFS('📅 Resumen Diario'!$K$5:$K$504, '📅 Resumen Diario'!$B$5:$B$504, B1353, '📅 Resumen Diario'!$C$5:$C$504, D1353), 0))</f>
        <v/>
      </c>
      <c r="M1353" s="31" t="str">
        <f t="shared" si="150"/>
        <v/>
      </c>
      <c r="N1353" s="31" t="str">
        <f t="shared" si="151"/>
        <v/>
      </c>
      <c r="O1353" s="31" t="str">
        <f>IF(OR(B1353="",C1353=""),"",K1353-N1353 + IFERROR(E1353 / SUMIFS('📅 Resumen Diario'!$D$5:$D$504, '📅 Resumen Diario'!$B$5:$B$504, B1353, '📅 Resumen Diario'!$C$5:$C$504, D1353) * (SUMIFS('📋 Detalle Diario'!$E$5:$E$489, '📋 Detalle Diario'!$B$5:$B$489, B1353, '📋 Detalle Diario'!$C$5:$C$489, D1353) * 135 + SUMIFS('📋 Detalle Diario'!$I$5:$I$489, '📋 Detalle Diario'!$B$5:$B$489, B1353, '📋 Detalle Diario'!$C$5:$C$489, D1353) * 200), 0))</f>
        <v/>
      </c>
      <c r="P1353" s="32" t="str">
        <f t="shared" si="152"/>
        <v/>
      </c>
      <c r="Q1353" s="33" t="str">
        <f t="shared" si="153"/>
        <v/>
      </c>
    </row>
    <row r="1354" spans="2:17" ht="18" customHeight="1" x14ac:dyDescent="0.3">
      <c r="B1354" s="26"/>
      <c r="C1354" s="17"/>
      <c r="D1354" s="27"/>
      <c r="E1354" s="18"/>
      <c r="F1354" s="18"/>
      <c r="G1354" s="18"/>
      <c r="H1354" s="30" t="str">
        <f t="shared" si="147"/>
        <v/>
      </c>
      <c r="I1354" s="31" t="str">
        <f>IF(OR(B1354="",C1354=""),"",IFERROR(E1354*IF(E1354="",0,VLOOKUP(C1354,'📦 Precios Proforma'!$B$5:$D$104,IF(D1354="DIA",2,3),FALSE)),0))</f>
        <v/>
      </c>
      <c r="J1354" s="31" t="str">
        <f t="shared" si="148"/>
        <v/>
      </c>
      <c r="K1354" s="31" t="str">
        <f t="shared" si="149"/>
        <v/>
      </c>
      <c r="L1354" s="31" t="str">
        <f>IF(OR(B1354="",C1354=""),"",IFERROR(E1354 / SUMIFS('📅 Resumen Diario'!$D$5:$D$504, '📅 Resumen Diario'!$B$5:$B$504, B1354, '📅 Resumen Diario'!$C$5:$C$504, D1354) * SUMIFS('📅 Resumen Diario'!$K$5:$K$504, '📅 Resumen Diario'!$B$5:$B$504, B1354, '📅 Resumen Diario'!$C$5:$C$504, D1354), 0))</f>
        <v/>
      </c>
      <c r="M1354" s="31" t="str">
        <f t="shared" si="150"/>
        <v/>
      </c>
      <c r="N1354" s="31" t="str">
        <f t="shared" si="151"/>
        <v/>
      </c>
      <c r="O1354" s="31" t="str">
        <f>IF(OR(B1354="",C1354=""),"",K1354-N1354 + IFERROR(E1354 / SUMIFS('📅 Resumen Diario'!$D$5:$D$504, '📅 Resumen Diario'!$B$5:$B$504, B1354, '📅 Resumen Diario'!$C$5:$C$504, D1354) * (SUMIFS('📋 Detalle Diario'!$E$5:$E$489, '📋 Detalle Diario'!$B$5:$B$489, B1354, '📋 Detalle Diario'!$C$5:$C$489, D1354) * 135 + SUMIFS('📋 Detalle Diario'!$I$5:$I$489, '📋 Detalle Diario'!$B$5:$B$489, B1354, '📋 Detalle Diario'!$C$5:$C$489, D1354) * 200), 0))</f>
        <v/>
      </c>
      <c r="P1354" s="32" t="str">
        <f t="shared" si="152"/>
        <v/>
      </c>
      <c r="Q1354" s="33" t="str">
        <f t="shared" si="153"/>
        <v/>
      </c>
    </row>
    <row r="1355" spans="2:17" ht="18" customHeight="1" x14ac:dyDescent="0.3">
      <c r="B1355" s="26"/>
      <c r="C1355" s="28"/>
      <c r="D1355" s="27"/>
      <c r="E1355" s="29"/>
      <c r="F1355" s="29"/>
      <c r="G1355" s="29"/>
      <c r="H1355" s="30" t="str">
        <f t="shared" si="147"/>
        <v/>
      </c>
      <c r="I1355" s="31" t="str">
        <f>IF(OR(B1355="",C1355=""),"",IFERROR(E1355*IF(E1355="",0,VLOOKUP(C1355,'📦 Precios Proforma'!$B$5:$D$104,IF(D1355="DIA",2,3),FALSE)),0))</f>
        <v/>
      </c>
      <c r="J1355" s="31" t="str">
        <f t="shared" si="148"/>
        <v/>
      </c>
      <c r="K1355" s="31" t="str">
        <f t="shared" si="149"/>
        <v/>
      </c>
      <c r="L1355" s="31" t="str">
        <f>IF(OR(B1355="",C1355=""),"",IFERROR(E1355 / SUMIFS('📅 Resumen Diario'!$D$5:$D$504, '📅 Resumen Diario'!$B$5:$B$504, B1355, '📅 Resumen Diario'!$C$5:$C$504, D1355) * SUMIFS('📅 Resumen Diario'!$K$5:$K$504, '📅 Resumen Diario'!$B$5:$B$504, B1355, '📅 Resumen Diario'!$C$5:$C$504, D1355), 0))</f>
        <v/>
      </c>
      <c r="M1355" s="31" t="str">
        <f t="shared" si="150"/>
        <v/>
      </c>
      <c r="N1355" s="31" t="str">
        <f t="shared" si="151"/>
        <v/>
      </c>
      <c r="O1355" s="31" t="str">
        <f>IF(OR(B1355="",C1355=""),"",K1355-N1355 + IFERROR(E1355 / SUMIFS('📅 Resumen Diario'!$D$5:$D$504, '📅 Resumen Diario'!$B$5:$B$504, B1355, '📅 Resumen Diario'!$C$5:$C$504, D1355) * (SUMIFS('📋 Detalle Diario'!$E$5:$E$489, '📋 Detalle Diario'!$B$5:$B$489, B1355, '📋 Detalle Diario'!$C$5:$C$489, D1355) * 135 + SUMIFS('📋 Detalle Diario'!$I$5:$I$489, '📋 Detalle Diario'!$B$5:$B$489, B1355, '📋 Detalle Diario'!$C$5:$C$489, D1355) * 200), 0))</f>
        <v/>
      </c>
      <c r="P1355" s="32" t="str">
        <f t="shared" si="152"/>
        <v/>
      </c>
      <c r="Q1355" s="33" t="str">
        <f t="shared" si="153"/>
        <v/>
      </c>
    </row>
    <row r="1356" spans="2:17" ht="18" customHeight="1" x14ac:dyDescent="0.3">
      <c r="B1356" s="26"/>
      <c r="C1356" s="17"/>
      <c r="D1356" s="27"/>
      <c r="E1356" s="18"/>
      <c r="F1356" s="18"/>
      <c r="G1356" s="18"/>
      <c r="H1356" s="30" t="str">
        <f t="shared" si="147"/>
        <v/>
      </c>
      <c r="I1356" s="31" t="str">
        <f>IF(OR(B1356="",C1356=""),"",IFERROR(E1356*IF(E1356="",0,VLOOKUP(C1356,'📦 Precios Proforma'!$B$5:$D$104,IF(D1356="DIA",2,3),FALSE)),0))</f>
        <v/>
      </c>
      <c r="J1356" s="31" t="str">
        <f t="shared" si="148"/>
        <v/>
      </c>
      <c r="K1356" s="31" t="str">
        <f t="shared" si="149"/>
        <v/>
      </c>
      <c r="L1356" s="31" t="str">
        <f>IF(OR(B1356="",C1356=""),"",IFERROR(E1356 / SUMIFS('📅 Resumen Diario'!$D$5:$D$504, '📅 Resumen Diario'!$B$5:$B$504, B1356, '📅 Resumen Diario'!$C$5:$C$504, D1356) * SUMIFS('📅 Resumen Diario'!$K$5:$K$504, '📅 Resumen Diario'!$B$5:$B$504, B1356, '📅 Resumen Diario'!$C$5:$C$504, D1356), 0))</f>
        <v/>
      </c>
      <c r="M1356" s="31" t="str">
        <f t="shared" si="150"/>
        <v/>
      </c>
      <c r="N1356" s="31" t="str">
        <f t="shared" si="151"/>
        <v/>
      </c>
      <c r="O1356" s="31" t="str">
        <f>IF(OR(B1356="",C1356=""),"",K1356-N1356 + IFERROR(E1356 / SUMIFS('📅 Resumen Diario'!$D$5:$D$504, '📅 Resumen Diario'!$B$5:$B$504, B1356, '📅 Resumen Diario'!$C$5:$C$504, D1356) * (SUMIFS('📋 Detalle Diario'!$E$5:$E$489, '📋 Detalle Diario'!$B$5:$B$489, B1356, '📋 Detalle Diario'!$C$5:$C$489, D1356) * 135 + SUMIFS('📋 Detalle Diario'!$I$5:$I$489, '📋 Detalle Diario'!$B$5:$B$489, B1356, '📋 Detalle Diario'!$C$5:$C$489, D1356) * 200), 0))</f>
        <v/>
      </c>
      <c r="P1356" s="32" t="str">
        <f t="shared" si="152"/>
        <v/>
      </c>
      <c r="Q1356" s="33" t="str">
        <f t="shared" si="153"/>
        <v/>
      </c>
    </row>
    <row r="1357" spans="2:17" ht="18" customHeight="1" x14ac:dyDescent="0.3">
      <c r="B1357" s="26"/>
      <c r="C1357" s="28"/>
      <c r="D1357" s="27"/>
      <c r="E1357" s="29"/>
      <c r="F1357" s="29"/>
      <c r="G1357" s="29"/>
      <c r="H1357" s="30" t="str">
        <f t="shared" si="147"/>
        <v/>
      </c>
      <c r="I1357" s="31" t="str">
        <f>IF(OR(B1357="",C1357=""),"",IFERROR(E1357*IF(E1357="",0,VLOOKUP(C1357,'📦 Precios Proforma'!$B$5:$D$104,IF(D1357="DIA",2,3),FALSE)),0))</f>
        <v/>
      </c>
      <c r="J1357" s="31" t="str">
        <f t="shared" si="148"/>
        <v/>
      </c>
      <c r="K1357" s="31" t="str">
        <f t="shared" si="149"/>
        <v/>
      </c>
      <c r="L1357" s="31" t="str">
        <f>IF(OR(B1357="",C1357=""),"",IFERROR(E1357 / SUMIFS('📅 Resumen Diario'!$D$5:$D$504, '📅 Resumen Diario'!$B$5:$B$504, B1357, '📅 Resumen Diario'!$C$5:$C$504, D1357) * SUMIFS('📅 Resumen Diario'!$K$5:$K$504, '📅 Resumen Diario'!$B$5:$B$504, B1357, '📅 Resumen Diario'!$C$5:$C$504, D1357), 0))</f>
        <v/>
      </c>
      <c r="M1357" s="31" t="str">
        <f t="shared" si="150"/>
        <v/>
      </c>
      <c r="N1357" s="31" t="str">
        <f t="shared" si="151"/>
        <v/>
      </c>
      <c r="O1357" s="31" t="str">
        <f>IF(OR(B1357="",C1357=""),"",K1357-N1357 + IFERROR(E1357 / SUMIFS('📅 Resumen Diario'!$D$5:$D$504, '📅 Resumen Diario'!$B$5:$B$504, B1357, '📅 Resumen Diario'!$C$5:$C$504, D1357) * (SUMIFS('📋 Detalle Diario'!$E$5:$E$489, '📋 Detalle Diario'!$B$5:$B$489, B1357, '📋 Detalle Diario'!$C$5:$C$489, D1357) * 135 + SUMIFS('📋 Detalle Diario'!$I$5:$I$489, '📋 Detalle Diario'!$B$5:$B$489, B1357, '📋 Detalle Diario'!$C$5:$C$489, D1357) * 200), 0))</f>
        <v/>
      </c>
      <c r="P1357" s="32" t="str">
        <f t="shared" si="152"/>
        <v/>
      </c>
      <c r="Q1357" s="33" t="str">
        <f t="shared" si="153"/>
        <v/>
      </c>
    </row>
    <row r="1358" spans="2:17" ht="18" customHeight="1" x14ac:dyDescent="0.3">
      <c r="B1358" s="26"/>
      <c r="C1358" s="17"/>
      <c r="D1358" s="27"/>
      <c r="E1358" s="18"/>
      <c r="F1358" s="18"/>
      <c r="G1358" s="18"/>
      <c r="H1358" s="30" t="str">
        <f t="shared" si="147"/>
        <v/>
      </c>
      <c r="I1358" s="31" t="str">
        <f>IF(OR(B1358="",C1358=""),"",IFERROR(E1358*IF(E1358="",0,VLOOKUP(C1358,'📦 Precios Proforma'!$B$5:$D$104,IF(D1358="DIA",2,3),FALSE)),0))</f>
        <v/>
      </c>
      <c r="J1358" s="31" t="str">
        <f t="shared" si="148"/>
        <v/>
      </c>
      <c r="K1358" s="31" t="str">
        <f t="shared" si="149"/>
        <v/>
      </c>
      <c r="L1358" s="31" t="str">
        <f>IF(OR(B1358="",C1358=""),"",IFERROR(E1358 / SUMIFS('📅 Resumen Diario'!$D$5:$D$504, '📅 Resumen Diario'!$B$5:$B$504, B1358, '📅 Resumen Diario'!$C$5:$C$504, D1358) * SUMIFS('📅 Resumen Diario'!$K$5:$K$504, '📅 Resumen Diario'!$B$5:$B$504, B1358, '📅 Resumen Diario'!$C$5:$C$504, D1358), 0))</f>
        <v/>
      </c>
      <c r="M1358" s="31" t="str">
        <f t="shared" si="150"/>
        <v/>
      </c>
      <c r="N1358" s="31" t="str">
        <f t="shared" si="151"/>
        <v/>
      </c>
      <c r="O1358" s="31" t="str">
        <f>IF(OR(B1358="",C1358=""),"",K1358-N1358 + IFERROR(E1358 / SUMIFS('📅 Resumen Diario'!$D$5:$D$504, '📅 Resumen Diario'!$B$5:$B$504, B1358, '📅 Resumen Diario'!$C$5:$C$504, D1358) * (SUMIFS('📋 Detalle Diario'!$E$5:$E$489, '📋 Detalle Diario'!$B$5:$B$489, B1358, '📋 Detalle Diario'!$C$5:$C$489, D1358) * 135 + SUMIFS('📋 Detalle Diario'!$I$5:$I$489, '📋 Detalle Diario'!$B$5:$B$489, B1358, '📋 Detalle Diario'!$C$5:$C$489, D1358) * 200), 0))</f>
        <v/>
      </c>
      <c r="P1358" s="32" t="str">
        <f t="shared" si="152"/>
        <v/>
      </c>
      <c r="Q1358" s="33" t="str">
        <f t="shared" si="153"/>
        <v/>
      </c>
    </row>
    <row r="1359" spans="2:17" ht="18" customHeight="1" x14ac:dyDescent="0.3">
      <c r="B1359" s="26"/>
      <c r="C1359" s="28"/>
      <c r="D1359" s="27"/>
      <c r="E1359" s="29"/>
      <c r="F1359" s="29"/>
      <c r="G1359" s="29"/>
      <c r="H1359" s="30" t="str">
        <f t="shared" si="147"/>
        <v/>
      </c>
      <c r="I1359" s="31" t="str">
        <f>IF(OR(B1359="",C1359=""),"",IFERROR(E1359*IF(E1359="",0,VLOOKUP(C1359,'📦 Precios Proforma'!$B$5:$D$104,IF(D1359="DIA",2,3),FALSE)),0))</f>
        <v/>
      </c>
      <c r="J1359" s="31" t="str">
        <f t="shared" si="148"/>
        <v/>
      </c>
      <c r="K1359" s="31" t="str">
        <f t="shared" si="149"/>
        <v/>
      </c>
      <c r="L1359" s="31" t="str">
        <f>IF(OR(B1359="",C1359=""),"",IFERROR(E1359 / SUMIFS('📅 Resumen Diario'!$D$5:$D$504, '📅 Resumen Diario'!$B$5:$B$504, B1359, '📅 Resumen Diario'!$C$5:$C$504, D1359) * SUMIFS('📅 Resumen Diario'!$K$5:$K$504, '📅 Resumen Diario'!$B$5:$B$504, B1359, '📅 Resumen Diario'!$C$5:$C$504, D1359), 0))</f>
        <v/>
      </c>
      <c r="M1359" s="31" t="str">
        <f t="shared" si="150"/>
        <v/>
      </c>
      <c r="N1359" s="31" t="str">
        <f t="shared" si="151"/>
        <v/>
      </c>
      <c r="O1359" s="31" t="str">
        <f>IF(OR(B1359="",C1359=""),"",K1359-N1359 + IFERROR(E1359 / SUMIFS('📅 Resumen Diario'!$D$5:$D$504, '📅 Resumen Diario'!$B$5:$B$504, B1359, '📅 Resumen Diario'!$C$5:$C$504, D1359) * (SUMIFS('📋 Detalle Diario'!$E$5:$E$489, '📋 Detalle Diario'!$B$5:$B$489, B1359, '📋 Detalle Diario'!$C$5:$C$489, D1359) * 135 + SUMIFS('📋 Detalle Diario'!$I$5:$I$489, '📋 Detalle Diario'!$B$5:$B$489, B1359, '📋 Detalle Diario'!$C$5:$C$489, D1359) * 200), 0))</f>
        <v/>
      </c>
      <c r="P1359" s="32" t="str">
        <f t="shared" si="152"/>
        <v/>
      </c>
      <c r="Q1359" s="33" t="str">
        <f t="shared" si="153"/>
        <v/>
      </c>
    </row>
    <row r="1360" spans="2:17" ht="18" customHeight="1" x14ac:dyDescent="0.3">
      <c r="B1360" s="26"/>
      <c r="C1360" s="17"/>
      <c r="D1360" s="27"/>
      <c r="E1360" s="18"/>
      <c r="F1360" s="18"/>
      <c r="G1360" s="18"/>
      <c r="H1360" s="30" t="str">
        <f t="shared" si="147"/>
        <v/>
      </c>
      <c r="I1360" s="31" t="str">
        <f>IF(OR(B1360="",C1360=""),"",IFERROR(E1360*IF(E1360="",0,VLOOKUP(C1360,'📦 Precios Proforma'!$B$5:$D$104,IF(D1360="DIA",2,3),FALSE)),0))</f>
        <v/>
      </c>
      <c r="J1360" s="31" t="str">
        <f t="shared" si="148"/>
        <v/>
      </c>
      <c r="K1360" s="31" t="str">
        <f t="shared" si="149"/>
        <v/>
      </c>
      <c r="L1360" s="31" t="str">
        <f>IF(OR(B1360="",C1360=""),"",IFERROR(E1360 / SUMIFS('📅 Resumen Diario'!$D$5:$D$504, '📅 Resumen Diario'!$B$5:$B$504, B1360, '📅 Resumen Diario'!$C$5:$C$504, D1360) * SUMIFS('📅 Resumen Diario'!$K$5:$K$504, '📅 Resumen Diario'!$B$5:$B$504, B1360, '📅 Resumen Diario'!$C$5:$C$504, D1360), 0))</f>
        <v/>
      </c>
      <c r="M1360" s="31" t="str">
        <f t="shared" si="150"/>
        <v/>
      </c>
      <c r="N1360" s="31" t="str">
        <f t="shared" si="151"/>
        <v/>
      </c>
      <c r="O1360" s="31" t="str">
        <f>IF(OR(B1360="",C1360=""),"",K1360-N1360 + IFERROR(E1360 / SUMIFS('📅 Resumen Diario'!$D$5:$D$504, '📅 Resumen Diario'!$B$5:$B$504, B1360, '📅 Resumen Diario'!$C$5:$C$504, D1360) * (SUMIFS('📋 Detalle Diario'!$E$5:$E$489, '📋 Detalle Diario'!$B$5:$B$489, B1360, '📋 Detalle Diario'!$C$5:$C$489, D1360) * 135 + SUMIFS('📋 Detalle Diario'!$I$5:$I$489, '📋 Detalle Diario'!$B$5:$B$489, B1360, '📋 Detalle Diario'!$C$5:$C$489, D1360) * 200), 0))</f>
        <v/>
      </c>
      <c r="P1360" s="32" t="str">
        <f t="shared" si="152"/>
        <v/>
      </c>
      <c r="Q1360" s="33" t="str">
        <f t="shared" si="153"/>
        <v/>
      </c>
    </row>
    <row r="1361" spans="2:17" ht="18" customHeight="1" x14ac:dyDescent="0.3">
      <c r="B1361" s="26"/>
      <c r="C1361" s="28"/>
      <c r="D1361" s="27"/>
      <c r="E1361" s="29"/>
      <c r="F1361" s="29"/>
      <c r="G1361" s="29"/>
      <c r="H1361" s="30" t="str">
        <f t="shared" si="147"/>
        <v/>
      </c>
      <c r="I1361" s="31" t="str">
        <f>IF(OR(B1361="",C1361=""),"",IFERROR(E1361*IF(E1361="",0,VLOOKUP(C1361,'📦 Precios Proforma'!$B$5:$D$104,IF(D1361="DIA",2,3),FALSE)),0))</f>
        <v/>
      </c>
      <c r="J1361" s="31" t="str">
        <f t="shared" si="148"/>
        <v/>
      </c>
      <c r="K1361" s="31" t="str">
        <f t="shared" si="149"/>
        <v/>
      </c>
      <c r="L1361" s="31" t="str">
        <f>IF(OR(B1361="",C1361=""),"",IFERROR(E1361 / SUMIFS('📅 Resumen Diario'!$D$5:$D$504, '📅 Resumen Diario'!$B$5:$B$504, B1361, '📅 Resumen Diario'!$C$5:$C$504, D1361) * SUMIFS('📅 Resumen Diario'!$K$5:$K$504, '📅 Resumen Diario'!$B$5:$B$504, B1361, '📅 Resumen Diario'!$C$5:$C$504, D1361), 0))</f>
        <v/>
      </c>
      <c r="M1361" s="31" t="str">
        <f t="shared" si="150"/>
        <v/>
      </c>
      <c r="N1361" s="31" t="str">
        <f t="shared" si="151"/>
        <v/>
      </c>
      <c r="O1361" s="31" t="str">
        <f>IF(OR(B1361="",C1361=""),"",K1361-N1361 + IFERROR(E1361 / SUMIFS('📅 Resumen Diario'!$D$5:$D$504, '📅 Resumen Diario'!$B$5:$B$504, B1361, '📅 Resumen Diario'!$C$5:$C$504, D1361) * (SUMIFS('📋 Detalle Diario'!$E$5:$E$489, '📋 Detalle Diario'!$B$5:$B$489, B1361, '📋 Detalle Diario'!$C$5:$C$489, D1361) * 135 + SUMIFS('📋 Detalle Diario'!$I$5:$I$489, '📋 Detalle Diario'!$B$5:$B$489, B1361, '📋 Detalle Diario'!$C$5:$C$489, D1361) * 200), 0))</f>
        <v/>
      </c>
      <c r="P1361" s="32" t="str">
        <f t="shared" si="152"/>
        <v/>
      </c>
      <c r="Q1361" s="33" t="str">
        <f t="shared" si="153"/>
        <v/>
      </c>
    </row>
    <row r="1362" spans="2:17" ht="18" customHeight="1" x14ac:dyDescent="0.3">
      <c r="B1362" s="26"/>
      <c r="C1362" s="17"/>
      <c r="D1362" s="27"/>
      <c r="E1362" s="18"/>
      <c r="F1362" s="18"/>
      <c r="G1362" s="18"/>
      <c r="H1362" s="30" t="str">
        <f t="shared" si="147"/>
        <v/>
      </c>
      <c r="I1362" s="31" t="str">
        <f>IF(OR(B1362="",C1362=""),"",IFERROR(E1362*IF(E1362="",0,VLOOKUP(C1362,'📦 Precios Proforma'!$B$5:$D$104,IF(D1362="DIA",2,3),FALSE)),0))</f>
        <v/>
      </c>
      <c r="J1362" s="31" t="str">
        <f t="shared" si="148"/>
        <v/>
      </c>
      <c r="K1362" s="31" t="str">
        <f t="shared" si="149"/>
        <v/>
      </c>
      <c r="L1362" s="31" t="str">
        <f>IF(OR(B1362="",C1362=""),"",IFERROR(E1362 / SUMIFS('📅 Resumen Diario'!$D$5:$D$504, '📅 Resumen Diario'!$B$5:$B$504, B1362, '📅 Resumen Diario'!$C$5:$C$504, D1362) * SUMIFS('📅 Resumen Diario'!$K$5:$K$504, '📅 Resumen Diario'!$B$5:$B$504, B1362, '📅 Resumen Diario'!$C$5:$C$504, D1362), 0))</f>
        <v/>
      </c>
      <c r="M1362" s="31" t="str">
        <f t="shared" si="150"/>
        <v/>
      </c>
      <c r="N1362" s="31" t="str">
        <f t="shared" si="151"/>
        <v/>
      </c>
      <c r="O1362" s="31" t="str">
        <f>IF(OR(B1362="",C1362=""),"",K1362-N1362 + IFERROR(E1362 / SUMIFS('📅 Resumen Diario'!$D$5:$D$504, '📅 Resumen Diario'!$B$5:$B$504, B1362, '📅 Resumen Diario'!$C$5:$C$504, D1362) * (SUMIFS('📋 Detalle Diario'!$E$5:$E$489, '📋 Detalle Diario'!$B$5:$B$489, B1362, '📋 Detalle Diario'!$C$5:$C$489, D1362) * 135 + SUMIFS('📋 Detalle Diario'!$I$5:$I$489, '📋 Detalle Diario'!$B$5:$B$489, B1362, '📋 Detalle Diario'!$C$5:$C$489, D1362) * 200), 0))</f>
        <v/>
      </c>
      <c r="P1362" s="32" t="str">
        <f t="shared" si="152"/>
        <v/>
      </c>
      <c r="Q1362" s="33" t="str">
        <f t="shared" si="153"/>
        <v/>
      </c>
    </row>
    <row r="1363" spans="2:17" ht="18" customHeight="1" x14ac:dyDescent="0.3">
      <c r="B1363" s="26"/>
      <c r="C1363" s="28"/>
      <c r="D1363" s="27"/>
      <c r="E1363" s="29"/>
      <c r="F1363" s="29"/>
      <c r="G1363" s="29"/>
      <c r="H1363" s="30" t="str">
        <f t="shared" si="147"/>
        <v/>
      </c>
      <c r="I1363" s="31" t="str">
        <f>IF(OR(B1363="",C1363=""),"",IFERROR(E1363*IF(E1363="",0,VLOOKUP(C1363,'📦 Precios Proforma'!$B$5:$D$104,IF(D1363="DIA",2,3),FALSE)),0))</f>
        <v/>
      </c>
      <c r="J1363" s="31" t="str">
        <f t="shared" si="148"/>
        <v/>
      </c>
      <c r="K1363" s="31" t="str">
        <f t="shared" si="149"/>
        <v/>
      </c>
      <c r="L1363" s="31" t="str">
        <f>IF(OR(B1363="",C1363=""),"",IFERROR(E1363 / SUMIFS('📅 Resumen Diario'!$D$5:$D$504, '📅 Resumen Diario'!$B$5:$B$504, B1363, '📅 Resumen Diario'!$C$5:$C$504, D1363) * SUMIFS('📅 Resumen Diario'!$K$5:$K$504, '📅 Resumen Diario'!$B$5:$B$504, B1363, '📅 Resumen Diario'!$C$5:$C$504, D1363), 0))</f>
        <v/>
      </c>
      <c r="M1363" s="31" t="str">
        <f t="shared" si="150"/>
        <v/>
      </c>
      <c r="N1363" s="31" t="str">
        <f t="shared" si="151"/>
        <v/>
      </c>
      <c r="O1363" s="31" t="str">
        <f>IF(OR(B1363="",C1363=""),"",K1363-N1363 + IFERROR(E1363 / SUMIFS('📅 Resumen Diario'!$D$5:$D$504, '📅 Resumen Diario'!$B$5:$B$504, B1363, '📅 Resumen Diario'!$C$5:$C$504, D1363) * (SUMIFS('📋 Detalle Diario'!$E$5:$E$489, '📋 Detalle Diario'!$B$5:$B$489, B1363, '📋 Detalle Diario'!$C$5:$C$489, D1363) * 135 + SUMIFS('📋 Detalle Diario'!$I$5:$I$489, '📋 Detalle Diario'!$B$5:$B$489, B1363, '📋 Detalle Diario'!$C$5:$C$489, D1363) * 200), 0))</f>
        <v/>
      </c>
      <c r="P1363" s="32" t="str">
        <f t="shared" si="152"/>
        <v/>
      </c>
      <c r="Q1363" s="33" t="str">
        <f t="shared" si="153"/>
        <v/>
      </c>
    </row>
    <row r="1364" spans="2:17" ht="18" customHeight="1" x14ac:dyDescent="0.3">
      <c r="B1364" s="26"/>
      <c r="C1364" s="17"/>
      <c r="D1364" s="27"/>
      <c r="E1364" s="18"/>
      <c r="F1364" s="18"/>
      <c r="G1364" s="18"/>
      <c r="H1364" s="30" t="str">
        <f t="shared" si="147"/>
        <v/>
      </c>
      <c r="I1364" s="31" t="str">
        <f>IF(OR(B1364="",C1364=""),"",IFERROR(E1364*IF(E1364="",0,VLOOKUP(C1364,'📦 Precios Proforma'!$B$5:$D$104,IF(D1364="DIA",2,3),FALSE)),0))</f>
        <v/>
      </c>
      <c r="J1364" s="31" t="str">
        <f t="shared" si="148"/>
        <v/>
      </c>
      <c r="K1364" s="31" t="str">
        <f t="shared" si="149"/>
        <v/>
      </c>
      <c r="L1364" s="31" t="str">
        <f>IF(OR(B1364="",C1364=""),"",IFERROR(E1364 / SUMIFS('📅 Resumen Diario'!$D$5:$D$504, '📅 Resumen Diario'!$B$5:$B$504, B1364, '📅 Resumen Diario'!$C$5:$C$504, D1364) * SUMIFS('📅 Resumen Diario'!$K$5:$K$504, '📅 Resumen Diario'!$B$5:$B$504, B1364, '📅 Resumen Diario'!$C$5:$C$504, D1364), 0))</f>
        <v/>
      </c>
      <c r="M1364" s="31" t="str">
        <f t="shared" si="150"/>
        <v/>
      </c>
      <c r="N1364" s="31" t="str">
        <f t="shared" si="151"/>
        <v/>
      </c>
      <c r="O1364" s="31" t="str">
        <f>IF(OR(B1364="",C1364=""),"",K1364-N1364 + IFERROR(E1364 / SUMIFS('📅 Resumen Diario'!$D$5:$D$504, '📅 Resumen Diario'!$B$5:$B$504, B1364, '📅 Resumen Diario'!$C$5:$C$504, D1364) * (SUMIFS('📋 Detalle Diario'!$E$5:$E$489, '📋 Detalle Diario'!$B$5:$B$489, B1364, '📋 Detalle Diario'!$C$5:$C$489, D1364) * 135 + SUMIFS('📋 Detalle Diario'!$I$5:$I$489, '📋 Detalle Diario'!$B$5:$B$489, B1364, '📋 Detalle Diario'!$C$5:$C$489, D1364) * 200), 0))</f>
        <v/>
      </c>
      <c r="P1364" s="32" t="str">
        <f t="shared" si="152"/>
        <v/>
      </c>
      <c r="Q1364" s="33" t="str">
        <f t="shared" si="153"/>
        <v/>
      </c>
    </row>
    <row r="1365" spans="2:17" ht="18" customHeight="1" x14ac:dyDescent="0.3">
      <c r="B1365" s="26"/>
      <c r="C1365" s="28"/>
      <c r="D1365" s="27"/>
      <c r="E1365" s="29"/>
      <c r="F1365" s="29"/>
      <c r="G1365" s="29"/>
      <c r="H1365" s="30" t="str">
        <f t="shared" si="147"/>
        <v/>
      </c>
      <c r="I1365" s="31" t="str">
        <f>IF(OR(B1365="",C1365=""),"",IFERROR(E1365*IF(E1365="",0,VLOOKUP(C1365,'📦 Precios Proforma'!$B$5:$D$104,IF(D1365="DIA",2,3),FALSE)),0))</f>
        <v/>
      </c>
      <c r="J1365" s="31" t="str">
        <f t="shared" si="148"/>
        <v/>
      </c>
      <c r="K1365" s="31" t="str">
        <f t="shared" si="149"/>
        <v/>
      </c>
      <c r="L1365" s="31" t="str">
        <f>IF(OR(B1365="",C1365=""),"",IFERROR(E1365 / SUMIFS('📅 Resumen Diario'!$D$5:$D$504, '📅 Resumen Diario'!$B$5:$B$504, B1365, '📅 Resumen Diario'!$C$5:$C$504, D1365) * SUMIFS('📅 Resumen Diario'!$K$5:$K$504, '📅 Resumen Diario'!$B$5:$B$504, B1365, '📅 Resumen Diario'!$C$5:$C$504, D1365), 0))</f>
        <v/>
      </c>
      <c r="M1365" s="31" t="str">
        <f t="shared" si="150"/>
        <v/>
      </c>
      <c r="N1365" s="31" t="str">
        <f t="shared" si="151"/>
        <v/>
      </c>
      <c r="O1365" s="31" t="str">
        <f>IF(OR(B1365="",C1365=""),"",K1365-N1365 + IFERROR(E1365 / SUMIFS('📅 Resumen Diario'!$D$5:$D$504, '📅 Resumen Diario'!$B$5:$B$504, B1365, '📅 Resumen Diario'!$C$5:$C$504, D1365) * (SUMIFS('📋 Detalle Diario'!$E$5:$E$489, '📋 Detalle Diario'!$B$5:$B$489, B1365, '📋 Detalle Diario'!$C$5:$C$489, D1365) * 135 + SUMIFS('📋 Detalle Diario'!$I$5:$I$489, '📋 Detalle Diario'!$B$5:$B$489, B1365, '📋 Detalle Diario'!$C$5:$C$489, D1365) * 200), 0))</f>
        <v/>
      </c>
      <c r="P1365" s="32" t="str">
        <f t="shared" si="152"/>
        <v/>
      </c>
      <c r="Q1365" s="33" t="str">
        <f t="shared" si="153"/>
        <v/>
      </c>
    </row>
    <row r="1366" spans="2:17" ht="18" customHeight="1" x14ac:dyDescent="0.3">
      <c r="B1366" s="26"/>
      <c r="C1366" s="17"/>
      <c r="D1366" s="27"/>
      <c r="E1366" s="18"/>
      <c r="F1366" s="18"/>
      <c r="G1366" s="18"/>
      <c r="H1366" s="30" t="str">
        <f t="shared" si="147"/>
        <v/>
      </c>
      <c r="I1366" s="31" t="str">
        <f>IF(OR(B1366="",C1366=""),"",IFERROR(E1366*IF(E1366="",0,VLOOKUP(C1366,'📦 Precios Proforma'!$B$5:$D$104,IF(D1366="DIA",2,3),FALSE)),0))</f>
        <v/>
      </c>
      <c r="J1366" s="31" t="str">
        <f t="shared" si="148"/>
        <v/>
      </c>
      <c r="K1366" s="31" t="str">
        <f t="shared" si="149"/>
        <v/>
      </c>
      <c r="L1366" s="31" t="str">
        <f>IF(OR(B1366="",C1366=""),"",IFERROR(E1366 / SUMIFS('📅 Resumen Diario'!$D$5:$D$504, '📅 Resumen Diario'!$B$5:$B$504, B1366, '📅 Resumen Diario'!$C$5:$C$504, D1366) * SUMIFS('📅 Resumen Diario'!$K$5:$K$504, '📅 Resumen Diario'!$B$5:$B$504, B1366, '📅 Resumen Diario'!$C$5:$C$504, D1366), 0))</f>
        <v/>
      </c>
      <c r="M1366" s="31" t="str">
        <f t="shared" si="150"/>
        <v/>
      </c>
      <c r="N1366" s="31" t="str">
        <f t="shared" si="151"/>
        <v/>
      </c>
      <c r="O1366" s="31" t="str">
        <f>IF(OR(B1366="",C1366=""),"",K1366-N1366 + IFERROR(E1366 / SUMIFS('📅 Resumen Diario'!$D$5:$D$504, '📅 Resumen Diario'!$B$5:$B$504, B1366, '📅 Resumen Diario'!$C$5:$C$504, D1366) * (SUMIFS('📋 Detalle Diario'!$E$5:$E$489, '📋 Detalle Diario'!$B$5:$B$489, B1366, '📋 Detalle Diario'!$C$5:$C$489, D1366) * 135 + SUMIFS('📋 Detalle Diario'!$I$5:$I$489, '📋 Detalle Diario'!$B$5:$B$489, B1366, '📋 Detalle Diario'!$C$5:$C$489, D1366) * 200), 0))</f>
        <v/>
      </c>
      <c r="P1366" s="32" t="str">
        <f t="shared" si="152"/>
        <v/>
      </c>
      <c r="Q1366" s="33" t="str">
        <f t="shared" si="153"/>
        <v/>
      </c>
    </row>
    <row r="1367" spans="2:17" ht="18" customHeight="1" x14ac:dyDescent="0.3">
      <c r="B1367" s="26"/>
      <c r="C1367" s="28"/>
      <c r="D1367" s="27"/>
      <c r="E1367" s="29"/>
      <c r="F1367" s="29"/>
      <c r="G1367" s="29"/>
      <c r="H1367" s="30" t="str">
        <f t="shared" si="147"/>
        <v/>
      </c>
      <c r="I1367" s="31" t="str">
        <f>IF(OR(B1367="",C1367=""),"",IFERROR(E1367*IF(E1367="",0,VLOOKUP(C1367,'📦 Precios Proforma'!$B$5:$D$104,IF(D1367="DIA",2,3),FALSE)),0))</f>
        <v/>
      </c>
      <c r="J1367" s="31" t="str">
        <f t="shared" si="148"/>
        <v/>
      </c>
      <c r="K1367" s="31" t="str">
        <f t="shared" si="149"/>
        <v/>
      </c>
      <c r="L1367" s="31" t="str">
        <f>IF(OR(B1367="",C1367=""),"",IFERROR(E1367 / SUMIFS('📅 Resumen Diario'!$D$5:$D$504, '📅 Resumen Diario'!$B$5:$B$504, B1367, '📅 Resumen Diario'!$C$5:$C$504, D1367) * SUMIFS('📅 Resumen Diario'!$K$5:$K$504, '📅 Resumen Diario'!$B$5:$B$504, B1367, '📅 Resumen Diario'!$C$5:$C$504, D1367), 0))</f>
        <v/>
      </c>
      <c r="M1367" s="31" t="str">
        <f t="shared" si="150"/>
        <v/>
      </c>
      <c r="N1367" s="31" t="str">
        <f t="shared" si="151"/>
        <v/>
      </c>
      <c r="O1367" s="31" t="str">
        <f>IF(OR(B1367="",C1367=""),"",K1367-N1367 + IFERROR(E1367 / SUMIFS('📅 Resumen Diario'!$D$5:$D$504, '📅 Resumen Diario'!$B$5:$B$504, B1367, '📅 Resumen Diario'!$C$5:$C$504, D1367) * (SUMIFS('📋 Detalle Diario'!$E$5:$E$489, '📋 Detalle Diario'!$B$5:$B$489, B1367, '📋 Detalle Diario'!$C$5:$C$489, D1367) * 135 + SUMIFS('📋 Detalle Diario'!$I$5:$I$489, '📋 Detalle Diario'!$B$5:$B$489, B1367, '📋 Detalle Diario'!$C$5:$C$489, D1367) * 200), 0))</f>
        <v/>
      </c>
      <c r="P1367" s="32" t="str">
        <f t="shared" si="152"/>
        <v/>
      </c>
      <c r="Q1367" s="33" t="str">
        <f t="shared" si="153"/>
        <v/>
      </c>
    </row>
    <row r="1368" spans="2:17" ht="18" customHeight="1" x14ac:dyDescent="0.3">
      <c r="B1368" s="26"/>
      <c r="C1368" s="17"/>
      <c r="D1368" s="27"/>
      <c r="E1368" s="18"/>
      <c r="F1368" s="18"/>
      <c r="G1368" s="18"/>
      <c r="H1368" s="30" t="str">
        <f t="shared" si="147"/>
        <v/>
      </c>
      <c r="I1368" s="31" t="str">
        <f>IF(OR(B1368="",C1368=""),"",IFERROR(E1368*IF(E1368="",0,VLOOKUP(C1368,'📦 Precios Proforma'!$B$5:$D$104,IF(D1368="DIA",2,3),FALSE)),0))</f>
        <v/>
      </c>
      <c r="J1368" s="31" t="str">
        <f t="shared" si="148"/>
        <v/>
      </c>
      <c r="K1368" s="31" t="str">
        <f t="shared" si="149"/>
        <v/>
      </c>
      <c r="L1368" s="31" t="str">
        <f>IF(OR(B1368="",C1368=""),"",IFERROR(E1368 / SUMIFS('📅 Resumen Diario'!$D$5:$D$504, '📅 Resumen Diario'!$B$5:$B$504, B1368, '📅 Resumen Diario'!$C$5:$C$504, D1368) * SUMIFS('📅 Resumen Diario'!$K$5:$K$504, '📅 Resumen Diario'!$B$5:$B$504, B1368, '📅 Resumen Diario'!$C$5:$C$504, D1368), 0))</f>
        <v/>
      </c>
      <c r="M1368" s="31" t="str">
        <f t="shared" si="150"/>
        <v/>
      </c>
      <c r="N1368" s="31" t="str">
        <f t="shared" si="151"/>
        <v/>
      </c>
      <c r="O1368" s="31" t="str">
        <f>IF(OR(B1368="",C1368=""),"",K1368-N1368 + IFERROR(E1368 / SUMIFS('📅 Resumen Diario'!$D$5:$D$504, '📅 Resumen Diario'!$B$5:$B$504, B1368, '📅 Resumen Diario'!$C$5:$C$504, D1368) * (SUMIFS('📋 Detalle Diario'!$E$5:$E$489, '📋 Detalle Diario'!$B$5:$B$489, B1368, '📋 Detalle Diario'!$C$5:$C$489, D1368) * 135 + SUMIFS('📋 Detalle Diario'!$I$5:$I$489, '📋 Detalle Diario'!$B$5:$B$489, B1368, '📋 Detalle Diario'!$C$5:$C$489, D1368) * 200), 0))</f>
        <v/>
      </c>
      <c r="P1368" s="32" t="str">
        <f t="shared" si="152"/>
        <v/>
      </c>
      <c r="Q1368" s="33" t="str">
        <f t="shared" si="153"/>
        <v/>
      </c>
    </row>
    <row r="1369" spans="2:17" ht="18" customHeight="1" x14ac:dyDescent="0.3">
      <c r="B1369" s="26"/>
      <c r="C1369" s="28"/>
      <c r="D1369" s="27"/>
      <c r="E1369" s="29"/>
      <c r="F1369" s="29"/>
      <c r="G1369" s="29"/>
      <c r="H1369" s="30" t="str">
        <f t="shared" si="147"/>
        <v/>
      </c>
      <c r="I1369" s="31" t="str">
        <f>IF(OR(B1369="",C1369=""),"",IFERROR(E1369*IF(E1369="",0,VLOOKUP(C1369,'📦 Precios Proforma'!$B$5:$D$104,IF(D1369="DIA",2,3),FALSE)),0))</f>
        <v/>
      </c>
      <c r="J1369" s="31" t="str">
        <f t="shared" si="148"/>
        <v/>
      </c>
      <c r="K1369" s="31" t="str">
        <f t="shared" si="149"/>
        <v/>
      </c>
      <c r="L1369" s="31" t="str">
        <f>IF(OR(B1369="",C1369=""),"",IFERROR(E1369 / SUMIFS('📅 Resumen Diario'!$D$5:$D$504, '📅 Resumen Diario'!$B$5:$B$504, B1369, '📅 Resumen Diario'!$C$5:$C$504, D1369) * SUMIFS('📅 Resumen Diario'!$K$5:$K$504, '📅 Resumen Diario'!$B$5:$B$504, B1369, '📅 Resumen Diario'!$C$5:$C$504, D1369), 0))</f>
        <v/>
      </c>
      <c r="M1369" s="31" t="str">
        <f t="shared" si="150"/>
        <v/>
      </c>
      <c r="N1369" s="31" t="str">
        <f t="shared" si="151"/>
        <v/>
      </c>
      <c r="O1369" s="31" t="str">
        <f>IF(OR(B1369="",C1369=""),"",K1369-N1369 + IFERROR(E1369 / SUMIFS('📅 Resumen Diario'!$D$5:$D$504, '📅 Resumen Diario'!$B$5:$B$504, B1369, '📅 Resumen Diario'!$C$5:$C$504, D1369) * (SUMIFS('📋 Detalle Diario'!$E$5:$E$489, '📋 Detalle Diario'!$B$5:$B$489, B1369, '📋 Detalle Diario'!$C$5:$C$489, D1369) * 135 + SUMIFS('📋 Detalle Diario'!$I$5:$I$489, '📋 Detalle Diario'!$B$5:$B$489, B1369, '📋 Detalle Diario'!$C$5:$C$489, D1369) * 200), 0))</f>
        <v/>
      </c>
      <c r="P1369" s="32" t="str">
        <f t="shared" si="152"/>
        <v/>
      </c>
      <c r="Q1369" s="33" t="str">
        <f t="shared" si="153"/>
        <v/>
      </c>
    </row>
    <row r="1370" spans="2:17" ht="18" customHeight="1" x14ac:dyDescent="0.3">
      <c r="B1370" s="26"/>
      <c r="C1370" s="17"/>
      <c r="D1370" s="27"/>
      <c r="E1370" s="18"/>
      <c r="F1370" s="18"/>
      <c r="G1370" s="18"/>
      <c r="H1370" s="30" t="str">
        <f t="shared" si="147"/>
        <v/>
      </c>
      <c r="I1370" s="31" t="str">
        <f>IF(OR(B1370="",C1370=""),"",IFERROR(E1370*IF(E1370="",0,VLOOKUP(C1370,'📦 Precios Proforma'!$B$5:$D$104,IF(D1370="DIA",2,3),FALSE)),0))</f>
        <v/>
      </c>
      <c r="J1370" s="31" t="str">
        <f t="shared" si="148"/>
        <v/>
      </c>
      <c r="K1370" s="31" t="str">
        <f t="shared" si="149"/>
        <v/>
      </c>
      <c r="L1370" s="31" t="str">
        <f>IF(OR(B1370="",C1370=""),"",IFERROR(E1370 / SUMIFS('📅 Resumen Diario'!$D$5:$D$504, '📅 Resumen Diario'!$B$5:$B$504, B1370, '📅 Resumen Diario'!$C$5:$C$504, D1370) * SUMIFS('📅 Resumen Diario'!$K$5:$K$504, '📅 Resumen Diario'!$B$5:$B$504, B1370, '📅 Resumen Diario'!$C$5:$C$504, D1370), 0))</f>
        <v/>
      </c>
      <c r="M1370" s="31" t="str">
        <f t="shared" si="150"/>
        <v/>
      </c>
      <c r="N1370" s="31" t="str">
        <f t="shared" si="151"/>
        <v/>
      </c>
      <c r="O1370" s="31" t="str">
        <f>IF(OR(B1370="",C1370=""),"",K1370-N1370 + IFERROR(E1370 / SUMIFS('📅 Resumen Diario'!$D$5:$D$504, '📅 Resumen Diario'!$B$5:$B$504, B1370, '📅 Resumen Diario'!$C$5:$C$504, D1370) * (SUMIFS('📋 Detalle Diario'!$E$5:$E$489, '📋 Detalle Diario'!$B$5:$B$489, B1370, '📋 Detalle Diario'!$C$5:$C$489, D1370) * 135 + SUMIFS('📋 Detalle Diario'!$I$5:$I$489, '📋 Detalle Diario'!$B$5:$B$489, B1370, '📋 Detalle Diario'!$C$5:$C$489, D1370) * 200), 0))</f>
        <v/>
      </c>
      <c r="P1370" s="32" t="str">
        <f t="shared" si="152"/>
        <v/>
      </c>
      <c r="Q1370" s="33" t="str">
        <f t="shared" si="153"/>
        <v/>
      </c>
    </row>
    <row r="1371" spans="2:17" ht="18" customHeight="1" x14ac:dyDescent="0.3">
      <c r="B1371" s="26"/>
      <c r="C1371" s="28"/>
      <c r="D1371" s="27"/>
      <c r="E1371" s="29"/>
      <c r="F1371" s="29"/>
      <c r="G1371" s="29"/>
      <c r="H1371" s="30" t="str">
        <f t="shared" si="147"/>
        <v/>
      </c>
      <c r="I1371" s="31" t="str">
        <f>IF(OR(B1371="",C1371=""),"",IFERROR(E1371*IF(E1371="",0,VLOOKUP(C1371,'📦 Precios Proforma'!$B$5:$D$104,IF(D1371="DIA",2,3),FALSE)),0))</f>
        <v/>
      </c>
      <c r="J1371" s="31" t="str">
        <f t="shared" si="148"/>
        <v/>
      </c>
      <c r="K1371" s="31" t="str">
        <f t="shared" si="149"/>
        <v/>
      </c>
      <c r="L1371" s="31" t="str">
        <f>IF(OR(B1371="",C1371=""),"",IFERROR(E1371 / SUMIFS('📅 Resumen Diario'!$D$5:$D$504, '📅 Resumen Diario'!$B$5:$B$504, B1371, '📅 Resumen Diario'!$C$5:$C$504, D1371) * SUMIFS('📅 Resumen Diario'!$K$5:$K$504, '📅 Resumen Diario'!$B$5:$B$504, B1371, '📅 Resumen Diario'!$C$5:$C$504, D1371), 0))</f>
        <v/>
      </c>
      <c r="M1371" s="31" t="str">
        <f t="shared" si="150"/>
        <v/>
      </c>
      <c r="N1371" s="31" t="str">
        <f t="shared" si="151"/>
        <v/>
      </c>
      <c r="O1371" s="31" t="str">
        <f>IF(OR(B1371="",C1371=""),"",K1371-N1371 + IFERROR(E1371 / SUMIFS('📅 Resumen Diario'!$D$5:$D$504, '📅 Resumen Diario'!$B$5:$B$504, B1371, '📅 Resumen Diario'!$C$5:$C$504, D1371) * (SUMIFS('📋 Detalle Diario'!$E$5:$E$489, '📋 Detalle Diario'!$B$5:$B$489, B1371, '📋 Detalle Diario'!$C$5:$C$489, D1371) * 135 + SUMIFS('📋 Detalle Diario'!$I$5:$I$489, '📋 Detalle Diario'!$B$5:$B$489, B1371, '📋 Detalle Diario'!$C$5:$C$489, D1371) * 200), 0))</f>
        <v/>
      </c>
      <c r="P1371" s="32" t="str">
        <f t="shared" si="152"/>
        <v/>
      </c>
      <c r="Q1371" s="33" t="str">
        <f t="shared" si="153"/>
        <v/>
      </c>
    </row>
    <row r="1372" spans="2:17" ht="18" customHeight="1" x14ac:dyDescent="0.3">
      <c r="B1372" s="26"/>
      <c r="C1372" s="17"/>
      <c r="D1372" s="27"/>
      <c r="E1372" s="18"/>
      <c r="F1372" s="18"/>
      <c r="G1372" s="18"/>
      <c r="H1372" s="30" t="str">
        <f t="shared" si="147"/>
        <v/>
      </c>
      <c r="I1372" s="31" t="str">
        <f>IF(OR(B1372="",C1372=""),"",IFERROR(E1372*IF(E1372="",0,VLOOKUP(C1372,'📦 Precios Proforma'!$B$5:$D$104,IF(D1372="DIA",2,3),FALSE)),0))</f>
        <v/>
      </c>
      <c r="J1372" s="31" t="str">
        <f t="shared" si="148"/>
        <v/>
      </c>
      <c r="K1372" s="31" t="str">
        <f t="shared" si="149"/>
        <v/>
      </c>
      <c r="L1372" s="31" t="str">
        <f>IF(OR(B1372="",C1372=""),"",IFERROR(E1372 / SUMIFS('📅 Resumen Diario'!$D$5:$D$504, '📅 Resumen Diario'!$B$5:$B$504, B1372, '📅 Resumen Diario'!$C$5:$C$504, D1372) * SUMIFS('📅 Resumen Diario'!$K$5:$K$504, '📅 Resumen Diario'!$B$5:$B$504, B1372, '📅 Resumen Diario'!$C$5:$C$504, D1372), 0))</f>
        <v/>
      </c>
      <c r="M1372" s="31" t="str">
        <f t="shared" si="150"/>
        <v/>
      </c>
      <c r="N1372" s="31" t="str">
        <f t="shared" si="151"/>
        <v/>
      </c>
      <c r="O1372" s="31" t="str">
        <f>IF(OR(B1372="",C1372=""),"",K1372-N1372 + IFERROR(E1372 / SUMIFS('📅 Resumen Diario'!$D$5:$D$504, '📅 Resumen Diario'!$B$5:$B$504, B1372, '📅 Resumen Diario'!$C$5:$C$504, D1372) * (SUMIFS('📋 Detalle Diario'!$E$5:$E$489, '📋 Detalle Diario'!$B$5:$B$489, B1372, '📋 Detalle Diario'!$C$5:$C$489, D1372) * 135 + SUMIFS('📋 Detalle Diario'!$I$5:$I$489, '📋 Detalle Diario'!$B$5:$B$489, B1372, '📋 Detalle Diario'!$C$5:$C$489, D1372) * 200), 0))</f>
        <v/>
      </c>
      <c r="P1372" s="32" t="str">
        <f t="shared" si="152"/>
        <v/>
      </c>
      <c r="Q1372" s="33" t="str">
        <f t="shared" si="153"/>
        <v/>
      </c>
    </row>
    <row r="1373" spans="2:17" ht="18" customHeight="1" x14ac:dyDescent="0.3">
      <c r="B1373" s="26"/>
      <c r="C1373" s="28"/>
      <c r="D1373" s="27"/>
      <c r="E1373" s="29"/>
      <c r="F1373" s="29"/>
      <c r="G1373" s="29"/>
      <c r="H1373" s="30" t="str">
        <f t="shared" si="147"/>
        <v/>
      </c>
      <c r="I1373" s="31" t="str">
        <f>IF(OR(B1373="",C1373=""),"",IFERROR(E1373*IF(E1373="",0,VLOOKUP(C1373,'📦 Precios Proforma'!$B$5:$D$104,IF(D1373="DIA",2,3),FALSE)),0))</f>
        <v/>
      </c>
      <c r="J1373" s="31" t="str">
        <f t="shared" si="148"/>
        <v/>
      </c>
      <c r="K1373" s="31" t="str">
        <f t="shared" si="149"/>
        <v/>
      </c>
      <c r="L1373" s="31" t="str">
        <f>IF(OR(B1373="",C1373=""),"",IFERROR(E1373 / SUMIFS('📅 Resumen Diario'!$D$5:$D$504, '📅 Resumen Diario'!$B$5:$B$504, B1373, '📅 Resumen Diario'!$C$5:$C$504, D1373) * SUMIFS('📅 Resumen Diario'!$K$5:$K$504, '📅 Resumen Diario'!$B$5:$B$504, B1373, '📅 Resumen Diario'!$C$5:$C$504, D1373), 0))</f>
        <v/>
      </c>
      <c r="M1373" s="31" t="str">
        <f t="shared" si="150"/>
        <v/>
      </c>
      <c r="N1373" s="31" t="str">
        <f t="shared" si="151"/>
        <v/>
      </c>
      <c r="O1373" s="31" t="str">
        <f>IF(OR(B1373="",C1373=""),"",K1373-N1373 + IFERROR(E1373 / SUMIFS('📅 Resumen Diario'!$D$5:$D$504, '📅 Resumen Diario'!$B$5:$B$504, B1373, '📅 Resumen Diario'!$C$5:$C$504, D1373) * (SUMIFS('📋 Detalle Diario'!$E$5:$E$489, '📋 Detalle Diario'!$B$5:$B$489, B1373, '📋 Detalle Diario'!$C$5:$C$489, D1373) * 135 + SUMIFS('📋 Detalle Diario'!$I$5:$I$489, '📋 Detalle Diario'!$B$5:$B$489, B1373, '📋 Detalle Diario'!$C$5:$C$489, D1373) * 200), 0))</f>
        <v/>
      </c>
      <c r="P1373" s="32" t="str">
        <f t="shared" si="152"/>
        <v/>
      </c>
      <c r="Q1373" s="33" t="str">
        <f t="shared" si="153"/>
        <v/>
      </c>
    </row>
    <row r="1374" spans="2:17" ht="18" customHeight="1" x14ac:dyDescent="0.3">
      <c r="B1374" s="26"/>
      <c r="C1374" s="17"/>
      <c r="D1374" s="27"/>
      <c r="E1374" s="18"/>
      <c r="F1374" s="18"/>
      <c r="G1374" s="18"/>
      <c r="H1374" s="30" t="str">
        <f t="shared" si="147"/>
        <v/>
      </c>
      <c r="I1374" s="31" t="str">
        <f>IF(OR(B1374="",C1374=""),"",IFERROR(E1374*IF(E1374="",0,VLOOKUP(C1374,'📦 Precios Proforma'!$B$5:$D$104,IF(D1374="DIA",2,3),FALSE)),0))</f>
        <v/>
      </c>
      <c r="J1374" s="31" t="str">
        <f t="shared" si="148"/>
        <v/>
      </c>
      <c r="K1374" s="31" t="str">
        <f t="shared" si="149"/>
        <v/>
      </c>
      <c r="L1374" s="31" t="str">
        <f>IF(OR(B1374="",C1374=""),"",IFERROR(E1374 / SUMIFS('📅 Resumen Diario'!$D$5:$D$504, '📅 Resumen Diario'!$B$5:$B$504, B1374, '📅 Resumen Diario'!$C$5:$C$504, D1374) * SUMIFS('📅 Resumen Diario'!$K$5:$K$504, '📅 Resumen Diario'!$B$5:$B$504, B1374, '📅 Resumen Diario'!$C$5:$C$504, D1374), 0))</f>
        <v/>
      </c>
      <c r="M1374" s="31" t="str">
        <f t="shared" si="150"/>
        <v/>
      </c>
      <c r="N1374" s="31" t="str">
        <f t="shared" si="151"/>
        <v/>
      </c>
      <c r="O1374" s="31" t="str">
        <f>IF(OR(B1374="",C1374=""),"",K1374-N1374 + IFERROR(E1374 / SUMIFS('📅 Resumen Diario'!$D$5:$D$504, '📅 Resumen Diario'!$B$5:$B$504, B1374, '📅 Resumen Diario'!$C$5:$C$504, D1374) * (SUMIFS('📋 Detalle Diario'!$E$5:$E$489, '📋 Detalle Diario'!$B$5:$B$489, B1374, '📋 Detalle Diario'!$C$5:$C$489, D1374) * 135 + SUMIFS('📋 Detalle Diario'!$I$5:$I$489, '📋 Detalle Diario'!$B$5:$B$489, B1374, '📋 Detalle Diario'!$C$5:$C$489, D1374) * 200), 0))</f>
        <v/>
      </c>
      <c r="P1374" s="32" t="str">
        <f t="shared" si="152"/>
        <v/>
      </c>
      <c r="Q1374" s="33" t="str">
        <f t="shared" si="153"/>
        <v/>
      </c>
    </row>
    <row r="1375" spans="2:17" ht="18" customHeight="1" x14ac:dyDescent="0.3">
      <c r="B1375" s="26"/>
      <c r="C1375" s="28"/>
      <c r="D1375" s="27"/>
      <c r="E1375" s="29"/>
      <c r="F1375" s="29"/>
      <c r="G1375" s="29"/>
      <c r="H1375" s="30" t="str">
        <f t="shared" si="147"/>
        <v/>
      </c>
      <c r="I1375" s="31" t="str">
        <f>IF(OR(B1375="",C1375=""),"",IFERROR(E1375*IF(E1375="",0,VLOOKUP(C1375,'📦 Precios Proforma'!$B$5:$D$104,IF(D1375="DIA",2,3),FALSE)),0))</f>
        <v/>
      </c>
      <c r="J1375" s="31" t="str">
        <f t="shared" si="148"/>
        <v/>
      </c>
      <c r="K1375" s="31" t="str">
        <f t="shared" si="149"/>
        <v/>
      </c>
      <c r="L1375" s="31" t="str">
        <f>IF(OR(B1375="",C1375=""),"",IFERROR(E1375 / SUMIFS('📅 Resumen Diario'!$D$5:$D$504, '📅 Resumen Diario'!$B$5:$B$504, B1375, '📅 Resumen Diario'!$C$5:$C$504, D1375) * SUMIFS('📅 Resumen Diario'!$K$5:$K$504, '📅 Resumen Diario'!$B$5:$B$504, B1375, '📅 Resumen Diario'!$C$5:$C$504, D1375), 0))</f>
        <v/>
      </c>
      <c r="M1375" s="31" t="str">
        <f t="shared" si="150"/>
        <v/>
      </c>
      <c r="N1375" s="31" t="str">
        <f t="shared" si="151"/>
        <v/>
      </c>
      <c r="O1375" s="31" t="str">
        <f>IF(OR(B1375="",C1375=""),"",K1375-N1375 + IFERROR(E1375 / SUMIFS('📅 Resumen Diario'!$D$5:$D$504, '📅 Resumen Diario'!$B$5:$B$504, B1375, '📅 Resumen Diario'!$C$5:$C$504, D1375) * (SUMIFS('📋 Detalle Diario'!$E$5:$E$489, '📋 Detalle Diario'!$B$5:$B$489, B1375, '📋 Detalle Diario'!$C$5:$C$489, D1375) * 135 + SUMIFS('📋 Detalle Diario'!$I$5:$I$489, '📋 Detalle Diario'!$B$5:$B$489, B1375, '📋 Detalle Diario'!$C$5:$C$489, D1375) * 200), 0))</f>
        <v/>
      </c>
      <c r="P1375" s="32" t="str">
        <f t="shared" si="152"/>
        <v/>
      </c>
      <c r="Q1375" s="33" t="str">
        <f t="shared" si="153"/>
        <v/>
      </c>
    </row>
    <row r="1376" spans="2:17" ht="18" customHeight="1" x14ac:dyDescent="0.3">
      <c r="B1376" s="26"/>
      <c r="C1376" s="17"/>
      <c r="D1376" s="27"/>
      <c r="E1376" s="18"/>
      <c r="F1376" s="18"/>
      <c r="G1376" s="18"/>
      <c r="H1376" s="30" t="str">
        <f t="shared" si="147"/>
        <v/>
      </c>
      <c r="I1376" s="31" t="str">
        <f>IF(OR(B1376="",C1376=""),"",IFERROR(E1376*IF(E1376="",0,VLOOKUP(C1376,'📦 Precios Proforma'!$B$5:$D$104,IF(D1376="DIA",2,3),FALSE)),0))</f>
        <v/>
      </c>
      <c r="J1376" s="31" t="str">
        <f t="shared" si="148"/>
        <v/>
      </c>
      <c r="K1376" s="31" t="str">
        <f t="shared" si="149"/>
        <v/>
      </c>
      <c r="L1376" s="31" t="str">
        <f>IF(OR(B1376="",C1376=""),"",IFERROR(E1376 / SUMIFS('📅 Resumen Diario'!$D$5:$D$504, '📅 Resumen Diario'!$B$5:$B$504, B1376, '📅 Resumen Diario'!$C$5:$C$504, D1376) * SUMIFS('📅 Resumen Diario'!$K$5:$K$504, '📅 Resumen Diario'!$B$5:$B$504, B1376, '📅 Resumen Diario'!$C$5:$C$504, D1376), 0))</f>
        <v/>
      </c>
      <c r="M1376" s="31" t="str">
        <f t="shared" si="150"/>
        <v/>
      </c>
      <c r="N1376" s="31" t="str">
        <f t="shared" si="151"/>
        <v/>
      </c>
      <c r="O1376" s="31" t="str">
        <f>IF(OR(B1376="",C1376=""),"",K1376-N1376 + IFERROR(E1376 / SUMIFS('📅 Resumen Diario'!$D$5:$D$504, '📅 Resumen Diario'!$B$5:$B$504, B1376, '📅 Resumen Diario'!$C$5:$C$504, D1376) * (SUMIFS('📋 Detalle Diario'!$E$5:$E$489, '📋 Detalle Diario'!$B$5:$B$489, B1376, '📋 Detalle Diario'!$C$5:$C$489, D1376) * 135 + SUMIFS('📋 Detalle Diario'!$I$5:$I$489, '📋 Detalle Diario'!$B$5:$B$489, B1376, '📋 Detalle Diario'!$C$5:$C$489, D1376) * 200), 0))</f>
        <v/>
      </c>
      <c r="P1376" s="32" t="str">
        <f t="shared" si="152"/>
        <v/>
      </c>
      <c r="Q1376" s="33" t="str">
        <f t="shared" si="153"/>
        <v/>
      </c>
    </row>
    <row r="1377" spans="2:17" ht="18" customHeight="1" x14ac:dyDescent="0.3">
      <c r="B1377" s="26"/>
      <c r="C1377" s="28"/>
      <c r="D1377" s="27"/>
      <c r="E1377" s="29"/>
      <c r="F1377" s="29"/>
      <c r="G1377" s="29"/>
      <c r="H1377" s="30" t="str">
        <f t="shared" si="147"/>
        <v/>
      </c>
      <c r="I1377" s="31" t="str">
        <f>IF(OR(B1377="",C1377=""),"",IFERROR(E1377*IF(E1377="",0,VLOOKUP(C1377,'📦 Precios Proforma'!$B$5:$D$104,IF(D1377="DIA",2,3),FALSE)),0))</f>
        <v/>
      </c>
      <c r="J1377" s="31" t="str">
        <f t="shared" si="148"/>
        <v/>
      </c>
      <c r="K1377" s="31" t="str">
        <f t="shared" si="149"/>
        <v/>
      </c>
      <c r="L1377" s="31" t="str">
        <f>IF(OR(B1377="",C1377=""),"",IFERROR(E1377 / SUMIFS('📅 Resumen Diario'!$D$5:$D$504, '📅 Resumen Diario'!$B$5:$B$504, B1377, '📅 Resumen Diario'!$C$5:$C$504, D1377) * SUMIFS('📅 Resumen Diario'!$K$5:$K$504, '📅 Resumen Diario'!$B$5:$B$504, B1377, '📅 Resumen Diario'!$C$5:$C$504, D1377), 0))</f>
        <v/>
      </c>
      <c r="M1377" s="31" t="str">
        <f t="shared" si="150"/>
        <v/>
      </c>
      <c r="N1377" s="31" t="str">
        <f t="shared" si="151"/>
        <v/>
      </c>
      <c r="O1377" s="31" t="str">
        <f>IF(OR(B1377="",C1377=""),"",K1377-N1377 + IFERROR(E1377 / SUMIFS('📅 Resumen Diario'!$D$5:$D$504, '📅 Resumen Diario'!$B$5:$B$504, B1377, '📅 Resumen Diario'!$C$5:$C$504, D1377) * (SUMIFS('📋 Detalle Diario'!$E$5:$E$489, '📋 Detalle Diario'!$B$5:$B$489, B1377, '📋 Detalle Diario'!$C$5:$C$489, D1377) * 135 + SUMIFS('📋 Detalle Diario'!$I$5:$I$489, '📋 Detalle Diario'!$B$5:$B$489, B1377, '📋 Detalle Diario'!$C$5:$C$489, D1377) * 200), 0))</f>
        <v/>
      </c>
      <c r="P1377" s="32" t="str">
        <f t="shared" si="152"/>
        <v/>
      </c>
      <c r="Q1377" s="33" t="str">
        <f t="shared" si="153"/>
        <v/>
      </c>
    </row>
    <row r="1378" spans="2:17" ht="18" customHeight="1" x14ac:dyDescent="0.3">
      <c r="B1378" s="26"/>
      <c r="C1378" s="17"/>
      <c r="D1378" s="27"/>
      <c r="E1378" s="18"/>
      <c r="F1378" s="18"/>
      <c r="G1378" s="18"/>
      <c r="H1378" s="30" t="str">
        <f t="shared" si="147"/>
        <v/>
      </c>
      <c r="I1378" s="31" t="str">
        <f>IF(OR(B1378="",C1378=""),"",IFERROR(E1378*IF(E1378="",0,VLOOKUP(C1378,'📦 Precios Proforma'!$B$5:$D$104,IF(D1378="DIA",2,3),FALSE)),0))</f>
        <v/>
      </c>
      <c r="J1378" s="31" t="str">
        <f t="shared" si="148"/>
        <v/>
      </c>
      <c r="K1378" s="31" t="str">
        <f t="shared" si="149"/>
        <v/>
      </c>
      <c r="L1378" s="31" t="str">
        <f>IF(OR(B1378="",C1378=""),"",IFERROR(E1378 / SUMIFS('📅 Resumen Diario'!$D$5:$D$504, '📅 Resumen Diario'!$B$5:$B$504, B1378, '📅 Resumen Diario'!$C$5:$C$504, D1378) * SUMIFS('📅 Resumen Diario'!$K$5:$K$504, '📅 Resumen Diario'!$B$5:$B$504, B1378, '📅 Resumen Diario'!$C$5:$C$504, D1378), 0))</f>
        <v/>
      </c>
      <c r="M1378" s="31" t="str">
        <f t="shared" si="150"/>
        <v/>
      </c>
      <c r="N1378" s="31" t="str">
        <f t="shared" si="151"/>
        <v/>
      </c>
      <c r="O1378" s="31" t="str">
        <f>IF(OR(B1378="",C1378=""),"",K1378-N1378 + IFERROR(E1378 / SUMIFS('📅 Resumen Diario'!$D$5:$D$504, '📅 Resumen Diario'!$B$5:$B$504, B1378, '📅 Resumen Diario'!$C$5:$C$504, D1378) * (SUMIFS('📋 Detalle Diario'!$E$5:$E$489, '📋 Detalle Diario'!$B$5:$B$489, B1378, '📋 Detalle Diario'!$C$5:$C$489, D1378) * 135 + SUMIFS('📋 Detalle Diario'!$I$5:$I$489, '📋 Detalle Diario'!$B$5:$B$489, B1378, '📋 Detalle Diario'!$C$5:$C$489, D1378) * 200), 0))</f>
        <v/>
      </c>
      <c r="P1378" s="32" t="str">
        <f t="shared" si="152"/>
        <v/>
      </c>
      <c r="Q1378" s="33" t="str">
        <f t="shared" si="153"/>
        <v/>
      </c>
    </row>
    <row r="1379" spans="2:17" ht="18" customHeight="1" x14ac:dyDescent="0.3">
      <c r="B1379" s="26"/>
      <c r="C1379" s="28"/>
      <c r="D1379" s="27"/>
      <c r="E1379" s="29"/>
      <c r="F1379" s="29"/>
      <c r="G1379" s="29"/>
      <c r="H1379" s="30" t="str">
        <f t="shared" si="147"/>
        <v/>
      </c>
      <c r="I1379" s="31" t="str">
        <f>IF(OR(B1379="",C1379=""),"",IFERROR(E1379*IF(E1379="",0,VLOOKUP(C1379,'📦 Precios Proforma'!$B$5:$D$104,IF(D1379="DIA",2,3),FALSE)),0))</f>
        <v/>
      </c>
      <c r="J1379" s="31" t="str">
        <f t="shared" si="148"/>
        <v/>
      </c>
      <c r="K1379" s="31" t="str">
        <f t="shared" si="149"/>
        <v/>
      </c>
      <c r="L1379" s="31" t="str">
        <f>IF(OR(B1379="",C1379=""),"",IFERROR(E1379 / SUMIFS('📅 Resumen Diario'!$D$5:$D$504, '📅 Resumen Diario'!$B$5:$B$504, B1379, '📅 Resumen Diario'!$C$5:$C$504, D1379) * SUMIFS('📅 Resumen Diario'!$K$5:$K$504, '📅 Resumen Diario'!$B$5:$B$504, B1379, '📅 Resumen Diario'!$C$5:$C$504, D1379), 0))</f>
        <v/>
      </c>
      <c r="M1379" s="31" t="str">
        <f t="shared" si="150"/>
        <v/>
      </c>
      <c r="N1379" s="31" t="str">
        <f t="shared" si="151"/>
        <v/>
      </c>
      <c r="O1379" s="31" t="str">
        <f>IF(OR(B1379="",C1379=""),"",K1379-N1379 + IFERROR(E1379 / SUMIFS('📅 Resumen Diario'!$D$5:$D$504, '📅 Resumen Diario'!$B$5:$B$504, B1379, '📅 Resumen Diario'!$C$5:$C$504, D1379) * (SUMIFS('📋 Detalle Diario'!$E$5:$E$489, '📋 Detalle Diario'!$B$5:$B$489, B1379, '📋 Detalle Diario'!$C$5:$C$489, D1379) * 135 + SUMIFS('📋 Detalle Diario'!$I$5:$I$489, '📋 Detalle Diario'!$B$5:$B$489, B1379, '📋 Detalle Diario'!$C$5:$C$489, D1379) * 200), 0))</f>
        <v/>
      </c>
      <c r="P1379" s="32" t="str">
        <f t="shared" si="152"/>
        <v/>
      </c>
      <c r="Q1379" s="33" t="str">
        <f t="shared" si="153"/>
        <v/>
      </c>
    </row>
    <row r="1380" spans="2:17" ht="18" customHeight="1" x14ac:dyDescent="0.3">
      <c r="B1380" s="26"/>
      <c r="C1380" s="17"/>
      <c r="D1380" s="27"/>
      <c r="E1380" s="18"/>
      <c r="F1380" s="18"/>
      <c r="G1380" s="18"/>
      <c r="H1380" s="30" t="str">
        <f t="shared" si="147"/>
        <v/>
      </c>
      <c r="I1380" s="31" t="str">
        <f>IF(OR(B1380="",C1380=""),"",IFERROR(E1380*IF(E1380="",0,VLOOKUP(C1380,'📦 Precios Proforma'!$B$5:$D$104,IF(D1380="DIA",2,3),FALSE)),0))</f>
        <v/>
      </c>
      <c r="J1380" s="31" t="str">
        <f t="shared" si="148"/>
        <v/>
      </c>
      <c r="K1380" s="31" t="str">
        <f t="shared" si="149"/>
        <v/>
      </c>
      <c r="L1380" s="31" t="str">
        <f>IF(OR(B1380="",C1380=""),"",IFERROR(E1380 / SUMIFS('📅 Resumen Diario'!$D$5:$D$504, '📅 Resumen Diario'!$B$5:$B$504, B1380, '📅 Resumen Diario'!$C$5:$C$504, D1380) * SUMIFS('📅 Resumen Diario'!$K$5:$K$504, '📅 Resumen Diario'!$B$5:$B$504, B1380, '📅 Resumen Diario'!$C$5:$C$504, D1380), 0))</f>
        <v/>
      </c>
      <c r="M1380" s="31" t="str">
        <f t="shared" si="150"/>
        <v/>
      </c>
      <c r="N1380" s="31" t="str">
        <f t="shared" si="151"/>
        <v/>
      </c>
      <c r="O1380" s="31" t="str">
        <f>IF(OR(B1380="",C1380=""),"",K1380-N1380 + IFERROR(E1380 / SUMIFS('📅 Resumen Diario'!$D$5:$D$504, '📅 Resumen Diario'!$B$5:$B$504, B1380, '📅 Resumen Diario'!$C$5:$C$504, D1380) * (SUMIFS('📋 Detalle Diario'!$E$5:$E$489, '📋 Detalle Diario'!$B$5:$B$489, B1380, '📋 Detalle Diario'!$C$5:$C$489, D1380) * 135 + SUMIFS('📋 Detalle Diario'!$I$5:$I$489, '📋 Detalle Diario'!$B$5:$B$489, B1380, '📋 Detalle Diario'!$C$5:$C$489, D1380) * 200), 0))</f>
        <v/>
      </c>
      <c r="P1380" s="32" t="str">
        <f t="shared" si="152"/>
        <v/>
      </c>
      <c r="Q1380" s="33" t="str">
        <f t="shared" si="153"/>
        <v/>
      </c>
    </row>
    <row r="1381" spans="2:17" ht="18" customHeight="1" x14ac:dyDescent="0.3">
      <c r="B1381" s="26"/>
      <c r="C1381" s="28"/>
      <c r="D1381" s="27"/>
      <c r="E1381" s="29"/>
      <c r="F1381" s="29"/>
      <c r="G1381" s="29"/>
      <c r="H1381" s="30" t="str">
        <f t="shared" si="147"/>
        <v/>
      </c>
      <c r="I1381" s="31" t="str">
        <f>IF(OR(B1381="",C1381=""),"",IFERROR(E1381*IF(E1381="",0,VLOOKUP(C1381,'📦 Precios Proforma'!$B$5:$D$104,IF(D1381="DIA",2,3),FALSE)),0))</f>
        <v/>
      </c>
      <c r="J1381" s="31" t="str">
        <f t="shared" si="148"/>
        <v/>
      </c>
      <c r="K1381" s="31" t="str">
        <f t="shared" si="149"/>
        <v/>
      </c>
      <c r="L1381" s="31" t="str">
        <f>IF(OR(B1381="",C1381=""),"",IFERROR(E1381 / SUMIFS('📅 Resumen Diario'!$D$5:$D$504, '📅 Resumen Diario'!$B$5:$B$504, B1381, '📅 Resumen Diario'!$C$5:$C$504, D1381) * SUMIFS('📅 Resumen Diario'!$K$5:$K$504, '📅 Resumen Diario'!$B$5:$B$504, B1381, '📅 Resumen Diario'!$C$5:$C$504, D1381), 0))</f>
        <v/>
      </c>
      <c r="M1381" s="31" t="str">
        <f t="shared" si="150"/>
        <v/>
      </c>
      <c r="N1381" s="31" t="str">
        <f t="shared" si="151"/>
        <v/>
      </c>
      <c r="O1381" s="31" t="str">
        <f>IF(OR(B1381="",C1381=""),"",K1381-N1381 + IFERROR(E1381 / SUMIFS('📅 Resumen Diario'!$D$5:$D$504, '📅 Resumen Diario'!$B$5:$B$504, B1381, '📅 Resumen Diario'!$C$5:$C$504, D1381) * (SUMIFS('📋 Detalle Diario'!$E$5:$E$489, '📋 Detalle Diario'!$B$5:$B$489, B1381, '📋 Detalle Diario'!$C$5:$C$489, D1381) * 135 + SUMIFS('📋 Detalle Diario'!$I$5:$I$489, '📋 Detalle Diario'!$B$5:$B$489, B1381, '📋 Detalle Diario'!$C$5:$C$489, D1381) * 200), 0))</f>
        <v/>
      </c>
      <c r="P1381" s="32" t="str">
        <f t="shared" si="152"/>
        <v/>
      </c>
      <c r="Q1381" s="33" t="str">
        <f t="shared" si="153"/>
        <v/>
      </c>
    </row>
    <row r="1382" spans="2:17" ht="18" customHeight="1" x14ac:dyDescent="0.3">
      <c r="B1382" s="26"/>
      <c r="C1382" s="17"/>
      <c r="D1382" s="27"/>
      <c r="E1382" s="18"/>
      <c r="F1382" s="18"/>
      <c r="G1382" s="18"/>
      <c r="H1382" s="30" t="str">
        <f t="shared" si="147"/>
        <v/>
      </c>
      <c r="I1382" s="31" t="str">
        <f>IF(OR(B1382="",C1382=""),"",IFERROR(E1382*IF(E1382="",0,VLOOKUP(C1382,'📦 Precios Proforma'!$B$5:$D$104,IF(D1382="DIA",2,3),FALSE)),0))</f>
        <v/>
      </c>
      <c r="J1382" s="31" t="str">
        <f t="shared" si="148"/>
        <v/>
      </c>
      <c r="K1382" s="31" t="str">
        <f t="shared" si="149"/>
        <v/>
      </c>
      <c r="L1382" s="31" t="str">
        <f>IF(OR(B1382="",C1382=""),"",IFERROR(E1382 / SUMIFS('📅 Resumen Diario'!$D$5:$D$504, '📅 Resumen Diario'!$B$5:$B$504, B1382, '📅 Resumen Diario'!$C$5:$C$504, D1382) * SUMIFS('📅 Resumen Diario'!$K$5:$K$504, '📅 Resumen Diario'!$B$5:$B$504, B1382, '📅 Resumen Diario'!$C$5:$C$504, D1382), 0))</f>
        <v/>
      </c>
      <c r="M1382" s="31" t="str">
        <f t="shared" si="150"/>
        <v/>
      </c>
      <c r="N1382" s="31" t="str">
        <f t="shared" si="151"/>
        <v/>
      </c>
      <c r="O1382" s="31" t="str">
        <f>IF(OR(B1382="",C1382=""),"",K1382-N1382 + IFERROR(E1382 / SUMIFS('📅 Resumen Diario'!$D$5:$D$504, '📅 Resumen Diario'!$B$5:$B$504, B1382, '📅 Resumen Diario'!$C$5:$C$504, D1382) * (SUMIFS('📋 Detalle Diario'!$E$5:$E$489, '📋 Detalle Diario'!$B$5:$B$489, B1382, '📋 Detalle Diario'!$C$5:$C$489, D1382) * 135 + SUMIFS('📋 Detalle Diario'!$I$5:$I$489, '📋 Detalle Diario'!$B$5:$B$489, B1382, '📋 Detalle Diario'!$C$5:$C$489, D1382) * 200), 0))</f>
        <v/>
      </c>
      <c r="P1382" s="32" t="str">
        <f t="shared" si="152"/>
        <v/>
      </c>
      <c r="Q1382" s="33" t="str">
        <f t="shared" si="153"/>
        <v/>
      </c>
    </row>
    <row r="1383" spans="2:17" ht="18" customHeight="1" x14ac:dyDescent="0.3">
      <c r="B1383" s="26"/>
      <c r="C1383" s="28"/>
      <c r="D1383" s="27"/>
      <c r="E1383" s="29"/>
      <c r="F1383" s="29"/>
      <c r="G1383" s="29"/>
      <c r="H1383" s="30" t="str">
        <f t="shared" si="147"/>
        <v/>
      </c>
      <c r="I1383" s="31" t="str">
        <f>IF(OR(B1383="",C1383=""),"",IFERROR(E1383*IF(E1383="",0,VLOOKUP(C1383,'📦 Precios Proforma'!$B$5:$D$104,IF(D1383="DIA",2,3),FALSE)),0))</f>
        <v/>
      </c>
      <c r="J1383" s="31" t="str">
        <f t="shared" si="148"/>
        <v/>
      </c>
      <c r="K1383" s="31" t="str">
        <f t="shared" si="149"/>
        <v/>
      </c>
      <c r="L1383" s="31" t="str">
        <f>IF(OR(B1383="",C1383=""),"",IFERROR(E1383 / SUMIFS('📅 Resumen Diario'!$D$5:$D$504, '📅 Resumen Diario'!$B$5:$B$504, B1383, '📅 Resumen Diario'!$C$5:$C$504, D1383) * SUMIFS('📅 Resumen Diario'!$K$5:$K$504, '📅 Resumen Diario'!$B$5:$B$504, B1383, '📅 Resumen Diario'!$C$5:$C$504, D1383), 0))</f>
        <v/>
      </c>
      <c r="M1383" s="31" t="str">
        <f t="shared" si="150"/>
        <v/>
      </c>
      <c r="N1383" s="31" t="str">
        <f t="shared" si="151"/>
        <v/>
      </c>
      <c r="O1383" s="31" t="str">
        <f>IF(OR(B1383="",C1383=""),"",K1383-N1383 + IFERROR(E1383 / SUMIFS('📅 Resumen Diario'!$D$5:$D$504, '📅 Resumen Diario'!$B$5:$B$504, B1383, '📅 Resumen Diario'!$C$5:$C$504, D1383) * (SUMIFS('📋 Detalle Diario'!$E$5:$E$489, '📋 Detalle Diario'!$B$5:$B$489, B1383, '📋 Detalle Diario'!$C$5:$C$489, D1383) * 135 + SUMIFS('📋 Detalle Diario'!$I$5:$I$489, '📋 Detalle Diario'!$B$5:$B$489, B1383, '📋 Detalle Diario'!$C$5:$C$489, D1383) * 200), 0))</f>
        <v/>
      </c>
      <c r="P1383" s="32" t="str">
        <f t="shared" si="152"/>
        <v/>
      </c>
      <c r="Q1383" s="33" t="str">
        <f t="shared" si="153"/>
        <v/>
      </c>
    </row>
    <row r="1384" spans="2:17" ht="18" customHeight="1" x14ac:dyDescent="0.3">
      <c r="B1384" s="26"/>
      <c r="C1384" s="17"/>
      <c r="D1384" s="27"/>
      <c r="E1384" s="18"/>
      <c r="F1384" s="18"/>
      <c r="G1384" s="18"/>
      <c r="H1384" s="30" t="str">
        <f t="shared" si="147"/>
        <v/>
      </c>
      <c r="I1384" s="31" t="str">
        <f>IF(OR(B1384="",C1384=""),"",IFERROR(E1384*IF(E1384="",0,VLOOKUP(C1384,'📦 Precios Proforma'!$B$5:$D$104,IF(D1384="DIA",2,3),FALSE)),0))</f>
        <v/>
      </c>
      <c r="J1384" s="31" t="str">
        <f t="shared" si="148"/>
        <v/>
      </c>
      <c r="K1384" s="31" t="str">
        <f t="shared" si="149"/>
        <v/>
      </c>
      <c r="L1384" s="31" t="str">
        <f>IF(OR(B1384="",C1384=""),"",IFERROR(E1384 / SUMIFS('📅 Resumen Diario'!$D$5:$D$504, '📅 Resumen Diario'!$B$5:$B$504, B1384, '📅 Resumen Diario'!$C$5:$C$504, D1384) * SUMIFS('📅 Resumen Diario'!$K$5:$K$504, '📅 Resumen Diario'!$B$5:$B$504, B1384, '📅 Resumen Diario'!$C$5:$C$504, D1384), 0))</f>
        <v/>
      </c>
      <c r="M1384" s="31" t="str">
        <f t="shared" si="150"/>
        <v/>
      </c>
      <c r="N1384" s="31" t="str">
        <f t="shared" si="151"/>
        <v/>
      </c>
      <c r="O1384" s="31" t="str">
        <f>IF(OR(B1384="",C1384=""),"",K1384-N1384 + IFERROR(E1384 / SUMIFS('📅 Resumen Diario'!$D$5:$D$504, '📅 Resumen Diario'!$B$5:$B$504, B1384, '📅 Resumen Diario'!$C$5:$C$504, D1384) * (SUMIFS('📋 Detalle Diario'!$E$5:$E$489, '📋 Detalle Diario'!$B$5:$B$489, B1384, '📋 Detalle Diario'!$C$5:$C$489, D1384) * 135 + SUMIFS('📋 Detalle Diario'!$I$5:$I$489, '📋 Detalle Diario'!$B$5:$B$489, B1384, '📋 Detalle Diario'!$C$5:$C$489, D1384) * 200), 0))</f>
        <v/>
      </c>
      <c r="P1384" s="32" t="str">
        <f t="shared" si="152"/>
        <v/>
      </c>
      <c r="Q1384" s="33" t="str">
        <f t="shared" si="153"/>
        <v/>
      </c>
    </row>
    <row r="1385" spans="2:17" ht="18" customHeight="1" x14ac:dyDescent="0.3">
      <c r="B1385" s="26"/>
      <c r="C1385" s="28"/>
      <c r="D1385" s="27"/>
      <c r="E1385" s="29"/>
      <c r="F1385" s="29"/>
      <c r="G1385" s="29"/>
      <c r="H1385" s="30" t="str">
        <f t="shared" si="147"/>
        <v/>
      </c>
      <c r="I1385" s="31" t="str">
        <f>IF(OR(B1385="",C1385=""),"",IFERROR(E1385*IF(E1385="",0,VLOOKUP(C1385,'📦 Precios Proforma'!$B$5:$D$104,IF(D1385="DIA",2,3),FALSE)),0))</f>
        <v/>
      </c>
      <c r="J1385" s="31" t="str">
        <f t="shared" si="148"/>
        <v/>
      </c>
      <c r="K1385" s="31" t="str">
        <f t="shared" si="149"/>
        <v/>
      </c>
      <c r="L1385" s="31" t="str">
        <f>IF(OR(B1385="",C1385=""),"",IFERROR(E1385 / SUMIFS('📅 Resumen Diario'!$D$5:$D$504, '📅 Resumen Diario'!$B$5:$B$504, B1385, '📅 Resumen Diario'!$C$5:$C$504, D1385) * SUMIFS('📅 Resumen Diario'!$K$5:$K$504, '📅 Resumen Diario'!$B$5:$B$504, B1385, '📅 Resumen Diario'!$C$5:$C$504, D1385), 0))</f>
        <v/>
      </c>
      <c r="M1385" s="31" t="str">
        <f t="shared" si="150"/>
        <v/>
      </c>
      <c r="N1385" s="31" t="str">
        <f t="shared" si="151"/>
        <v/>
      </c>
      <c r="O1385" s="31" t="str">
        <f>IF(OR(B1385="",C1385=""),"",K1385-N1385 + IFERROR(E1385 / SUMIFS('📅 Resumen Diario'!$D$5:$D$504, '📅 Resumen Diario'!$B$5:$B$504, B1385, '📅 Resumen Diario'!$C$5:$C$504, D1385) * (SUMIFS('📋 Detalle Diario'!$E$5:$E$489, '📋 Detalle Diario'!$B$5:$B$489, B1385, '📋 Detalle Diario'!$C$5:$C$489, D1385) * 135 + SUMIFS('📋 Detalle Diario'!$I$5:$I$489, '📋 Detalle Diario'!$B$5:$B$489, B1385, '📋 Detalle Diario'!$C$5:$C$489, D1385) * 200), 0))</f>
        <v/>
      </c>
      <c r="P1385" s="32" t="str">
        <f t="shared" si="152"/>
        <v/>
      </c>
      <c r="Q1385" s="33" t="str">
        <f t="shared" si="153"/>
        <v/>
      </c>
    </row>
    <row r="1386" spans="2:17" ht="18" customHeight="1" x14ac:dyDescent="0.3">
      <c r="B1386" s="26"/>
      <c r="C1386" s="17"/>
      <c r="D1386" s="27"/>
      <c r="E1386" s="18"/>
      <c r="F1386" s="18"/>
      <c r="G1386" s="18"/>
      <c r="H1386" s="30" t="str">
        <f t="shared" si="147"/>
        <v/>
      </c>
      <c r="I1386" s="31" t="str">
        <f>IF(OR(B1386="",C1386=""),"",IFERROR(E1386*IF(E1386="",0,VLOOKUP(C1386,'📦 Precios Proforma'!$B$5:$D$104,IF(D1386="DIA",2,3),FALSE)),0))</f>
        <v/>
      </c>
      <c r="J1386" s="31" t="str">
        <f t="shared" si="148"/>
        <v/>
      </c>
      <c r="K1386" s="31" t="str">
        <f t="shared" si="149"/>
        <v/>
      </c>
      <c r="L1386" s="31" t="str">
        <f>IF(OR(B1386="",C1386=""),"",IFERROR(E1386 / SUMIFS('📅 Resumen Diario'!$D$5:$D$504, '📅 Resumen Diario'!$B$5:$B$504, B1386, '📅 Resumen Diario'!$C$5:$C$504, D1386) * SUMIFS('📅 Resumen Diario'!$K$5:$K$504, '📅 Resumen Diario'!$B$5:$B$504, B1386, '📅 Resumen Diario'!$C$5:$C$504, D1386), 0))</f>
        <v/>
      </c>
      <c r="M1386" s="31" t="str">
        <f t="shared" si="150"/>
        <v/>
      </c>
      <c r="N1386" s="31" t="str">
        <f t="shared" si="151"/>
        <v/>
      </c>
      <c r="O1386" s="31" t="str">
        <f>IF(OR(B1386="",C1386=""),"",K1386-N1386 + IFERROR(E1386 / SUMIFS('📅 Resumen Diario'!$D$5:$D$504, '📅 Resumen Diario'!$B$5:$B$504, B1386, '📅 Resumen Diario'!$C$5:$C$504, D1386) * (SUMIFS('📋 Detalle Diario'!$E$5:$E$489, '📋 Detalle Diario'!$B$5:$B$489, B1386, '📋 Detalle Diario'!$C$5:$C$489, D1386) * 135 + SUMIFS('📋 Detalle Diario'!$I$5:$I$489, '📋 Detalle Diario'!$B$5:$B$489, B1386, '📋 Detalle Diario'!$C$5:$C$489, D1386) * 200), 0))</f>
        <v/>
      </c>
      <c r="P1386" s="32" t="str">
        <f t="shared" si="152"/>
        <v/>
      </c>
      <c r="Q1386" s="33" t="str">
        <f t="shared" si="153"/>
        <v/>
      </c>
    </row>
    <row r="1387" spans="2:17" ht="18" customHeight="1" x14ac:dyDescent="0.3">
      <c r="B1387" s="26"/>
      <c r="C1387" s="28"/>
      <c r="D1387" s="27"/>
      <c r="E1387" s="29"/>
      <c r="F1387" s="29"/>
      <c r="G1387" s="29"/>
      <c r="H1387" s="30" t="str">
        <f t="shared" si="147"/>
        <v/>
      </c>
      <c r="I1387" s="31" t="str">
        <f>IF(OR(B1387="",C1387=""),"",IFERROR(E1387*IF(E1387="",0,VLOOKUP(C1387,'📦 Precios Proforma'!$B$5:$D$104,IF(D1387="DIA",2,3),FALSE)),0))</f>
        <v/>
      </c>
      <c r="J1387" s="31" t="str">
        <f t="shared" si="148"/>
        <v/>
      </c>
      <c r="K1387" s="31" t="str">
        <f t="shared" si="149"/>
        <v/>
      </c>
      <c r="L1387" s="31" t="str">
        <f>IF(OR(B1387="",C1387=""),"",IFERROR(E1387 / SUMIFS('📅 Resumen Diario'!$D$5:$D$504, '📅 Resumen Diario'!$B$5:$B$504, B1387, '📅 Resumen Diario'!$C$5:$C$504, D1387) * SUMIFS('📅 Resumen Diario'!$K$5:$K$504, '📅 Resumen Diario'!$B$5:$B$504, B1387, '📅 Resumen Diario'!$C$5:$C$504, D1387), 0))</f>
        <v/>
      </c>
      <c r="M1387" s="31" t="str">
        <f t="shared" si="150"/>
        <v/>
      </c>
      <c r="N1387" s="31" t="str">
        <f t="shared" si="151"/>
        <v/>
      </c>
      <c r="O1387" s="31" t="str">
        <f>IF(OR(B1387="",C1387=""),"",K1387-N1387 + IFERROR(E1387 / SUMIFS('📅 Resumen Diario'!$D$5:$D$504, '📅 Resumen Diario'!$B$5:$B$504, B1387, '📅 Resumen Diario'!$C$5:$C$504, D1387) * (SUMIFS('📋 Detalle Diario'!$E$5:$E$489, '📋 Detalle Diario'!$B$5:$B$489, B1387, '📋 Detalle Diario'!$C$5:$C$489, D1387) * 135 + SUMIFS('📋 Detalle Diario'!$I$5:$I$489, '📋 Detalle Diario'!$B$5:$B$489, B1387, '📋 Detalle Diario'!$C$5:$C$489, D1387) * 200), 0))</f>
        <v/>
      </c>
      <c r="P1387" s="32" t="str">
        <f t="shared" si="152"/>
        <v/>
      </c>
      <c r="Q1387" s="33" t="str">
        <f t="shared" si="153"/>
        <v/>
      </c>
    </row>
    <row r="1388" spans="2:17" ht="18" customHeight="1" x14ac:dyDescent="0.3">
      <c r="B1388" s="26"/>
      <c r="C1388" s="17"/>
      <c r="D1388" s="27"/>
      <c r="E1388" s="18"/>
      <c r="F1388" s="18"/>
      <c r="G1388" s="18"/>
      <c r="H1388" s="30" t="str">
        <f t="shared" si="147"/>
        <v/>
      </c>
      <c r="I1388" s="31" t="str">
        <f>IF(OR(B1388="",C1388=""),"",IFERROR(E1388*IF(E1388="",0,VLOOKUP(C1388,'📦 Precios Proforma'!$B$5:$D$104,IF(D1388="DIA",2,3),FALSE)),0))</f>
        <v/>
      </c>
      <c r="J1388" s="31" t="str">
        <f t="shared" si="148"/>
        <v/>
      </c>
      <c r="K1388" s="31" t="str">
        <f t="shared" si="149"/>
        <v/>
      </c>
      <c r="L1388" s="31" t="str">
        <f>IF(OR(B1388="",C1388=""),"",IFERROR(E1388 / SUMIFS('📅 Resumen Diario'!$D$5:$D$504, '📅 Resumen Diario'!$B$5:$B$504, B1388, '📅 Resumen Diario'!$C$5:$C$504, D1388) * SUMIFS('📅 Resumen Diario'!$K$5:$K$504, '📅 Resumen Diario'!$B$5:$B$504, B1388, '📅 Resumen Diario'!$C$5:$C$504, D1388), 0))</f>
        <v/>
      </c>
      <c r="M1388" s="31" t="str">
        <f t="shared" si="150"/>
        <v/>
      </c>
      <c r="N1388" s="31" t="str">
        <f t="shared" si="151"/>
        <v/>
      </c>
      <c r="O1388" s="31" t="str">
        <f>IF(OR(B1388="",C1388=""),"",K1388-N1388 + IFERROR(E1388 / SUMIFS('📅 Resumen Diario'!$D$5:$D$504, '📅 Resumen Diario'!$B$5:$B$504, B1388, '📅 Resumen Diario'!$C$5:$C$504, D1388) * (SUMIFS('📋 Detalle Diario'!$E$5:$E$489, '📋 Detalle Diario'!$B$5:$B$489, B1388, '📋 Detalle Diario'!$C$5:$C$489, D1388) * 135 + SUMIFS('📋 Detalle Diario'!$I$5:$I$489, '📋 Detalle Diario'!$B$5:$B$489, B1388, '📋 Detalle Diario'!$C$5:$C$489, D1388) * 200), 0))</f>
        <v/>
      </c>
      <c r="P1388" s="32" t="str">
        <f t="shared" si="152"/>
        <v/>
      </c>
      <c r="Q1388" s="33" t="str">
        <f t="shared" si="153"/>
        <v/>
      </c>
    </row>
    <row r="1389" spans="2:17" ht="18" customHeight="1" x14ac:dyDescent="0.3">
      <c r="B1389" s="26"/>
      <c r="C1389" s="28"/>
      <c r="D1389" s="27"/>
      <c r="E1389" s="29"/>
      <c r="F1389" s="29"/>
      <c r="G1389" s="29"/>
      <c r="H1389" s="30" t="str">
        <f t="shared" si="147"/>
        <v/>
      </c>
      <c r="I1389" s="31" t="str">
        <f>IF(OR(B1389="",C1389=""),"",IFERROR(E1389*IF(E1389="",0,VLOOKUP(C1389,'📦 Precios Proforma'!$B$5:$D$104,IF(D1389="DIA",2,3),FALSE)),0))</f>
        <v/>
      </c>
      <c r="J1389" s="31" t="str">
        <f t="shared" si="148"/>
        <v/>
      </c>
      <c r="K1389" s="31" t="str">
        <f t="shared" si="149"/>
        <v/>
      </c>
      <c r="L1389" s="31" t="str">
        <f>IF(OR(B1389="",C1389=""),"",IFERROR(E1389 / SUMIFS('📅 Resumen Diario'!$D$5:$D$504, '📅 Resumen Diario'!$B$5:$B$504, B1389, '📅 Resumen Diario'!$C$5:$C$504, D1389) * SUMIFS('📅 Resumen Diario'!$K$5:$K$504, '📅 Resumen Diario'!$B$5:$B$504, B1389, '📅 Resumen Diario'!$C$5:$C$504, D1389), 0))</f>
        <v/>
      </c>
      <c r="M1389" s="31" t="str">
        <f t="shared" si="150"/>
        <v/>
      </c>
      <c r="N1389" s="31" t="str">
        <f t="shared" si="151"/>
        <v/>
      </c>
      <c r="O1389" s="31" t="str">
        <f>IF(OR(B1389="",C1389=""),"",K1389-N1389 + IFERROR(E1389 / SUMIFS('📅 Resumen Diario'!$D$5:$D$504, '📅 Resumen Diario'!$B$5:$B$504, B1389, '📅 Resumen Diario'!$C$5:$C$504, D1389) * (SUMIFS('📋 Detalle Diario'!$E$5:$E$489, '📋 Detalle Diario'!$B$5:$B$489, B1389, '📋 Detalle Diario'!$C$5:$C$489, D1389) * 135 + SUMIFS('📋 Detalle Diario'!$I$5:$I$489, '📋 Detalle Diario'!$B$5:$B$489, B1389, '📋 Detalle Diario'!$C$5:$C$489, D1389) * 200), 0))</f>
        <v/>
      </c>
      <c r="P1389" s="32" t="str">
        <f t="shared" si="152"/>
        <v/>
      </c>
      <c r="Q1389" s="33" t="str">
        <f t="shared" si="153"/>
        <v/>
      </c>
    </row>
    <row r="1390" spans="2:17" ht="18" customHeight="1" x14ac:dyDescent="0.3">
      <c r="B1390" s="26"/>
      <c r="C1390" s="17"/>
      <c r="D1390" s="27"/>
      <c r="E1390" s="18"/>
      <c r="F1390" s="18"/>
      <c r="G1390" s="18"/>
      <c r="H1390" s="30" t="str">
        <f t="shared" si="147"/>
        <v/>
      </c>
      <c r="I1390" s="31" t="str">
        <f>IF(OR(B1390="",C1390=""),"",IFERROR(E1390*IF(E1390="",0,VLOOKUP(C1390,'📦 Precios Proforma'!$B$5:$D$104,IF(D1390="DIA",2,3),FALSE)),0))</f>
        <v/>
      </c>
      <c r="J1390" s="31" t="str">
        <f t="shared" si="148"/>
        <v/>
      </c>
      <c r="K1390" s="31" t="str">
        <f t="shared" si="149"/>
        <v/>
      </c>
      <c r="L1390" s="31" t="str">
        <f>IF(OR(B1390="",C1390=""),"",IFERROR(E1390 / SUMIFS('📅 Resumen Diario'!$D$5:$D$504, '📅 Resumen Diario'!$B$5:$B$504, B1390, '📅 Resumen Diario'!$C$5:$C$504, D1390) * SUMIFS('📅 Resumen Diario'!$K$5:$K$504, '📅 Resumen Diario'!$B$5:$B$504, B1390, '📅 Resumen Diario'!$C$5:$C$504, D1390), 0))</f>
        <v/>
      </c>
      <c r="M1390" s="31" t="str">
        <f t="shared" si="150"/>
        <v/>
      </c>
      <c r="N1390" s="31" t="str">
        <f t="shared" si="151"/>
        <v/>
      </c>
      <c r="O1390" s="31" t="str">
        <f>IF(OR(B1390="",C1390=""),"",K1390-N1390 + IFERROR(E1390 / SUMIFS('📅 Resumen Diario'!$D$5:$D$504, '📅 Resumen Diario'!$B$5:$B$504, B1390, '📅 Resumen Diario'!$C$5:$C$504, D1390) * (SUMIFS('📋 Detalle Diario'!$E$5:$E$489, '📋 Detalle Diario'!$B$5:$B$489, B1390, '📋 Detalle Diario'!$C$5:$C$489, D1390) * 135 + SUMIFS('📋 Detalle Diario'!$I$5:$I$489, '📋 Detalle Diario'!$B$5:$B$489, B1390, '📋 Detalle Diario'!$C$5:$C$489, D1390) * 200), 0))</f>
        <v/>
      </c>
      <c r="P1390" s="32" t="str">
        <f t="shared" si="152"/>
        <v/>
      </c>
      <c r="Q1390" s="33" t="str">
        <f t="shared" si="153"/>
        <v/>
      </c>
    </row>
    <row r="1391" spans="2:17" ht="18" customHeight="1" x14ac:dyDescent="0.3">
      <c r="B1391" s="26"/>
      <c r="C1391" s="28"/>
      <c r="D1391" s="27"/>
      <c r="E1391" s="29"/>
      <c r="F1391" s="29"/>
      <c r="G1391" s="29"/>
      <c r="H1391" s="30" t="str">
        <f t="shared" si="147"/>
        <v/>
      </c>
      <c r="I1391" s="31" t="str">
        <f>IF(OR(B1391="",C1391=""),"",IFERROR(E1391*IF(E1391="",0,VLOOKUP(C1391,'📦 Precios Proforma'!$B$5:$D$104,IF(D1391="DIA",2,3),FALSE)),0))</f>
        <v/>
      </c>
      <c r="J1391" s="31" t="str">
        <f t="shared" si="148"/>
        <v/>
      </c>
      <c r="K1391" s="31" t="str">
        <f t="shared" si="149"/>
        <v/>
      </c>
      <c r="L1391" s="31" t="str">
        <f>IF(OR(B1391="",C1391=""),"",IFERROR(E1391 / SUMIFS('📅 Resumen Diario'!$D$5:$D$504, '📅 Resumen Diario'!$B$5:$B$504, B1391, '📅 Resumen Diario'!$C$5:$C$504, D1391) * SUMIFS('📅 Resumen Diario'!$K$5:$K$504, '📅 Resumen Diario'!$B$5:$B$504, B1391, '📅 Resumen Diario'!$C$5:$C$504, D1391), 0))</f>
        <v/>
      </c>
      <c r="M1391" s="31" t="str">
        <f t="shared" si="150"/>
        <v/>
      </c>
      <c r="N1391" s="31" t="str">
        <f t="shared" si="151"/>
        <v/>
      </c>
      <c r="O1391" s="31" t="str">
        <f>IF(OR(B1391="",C1391=""),"",K1391-N1391 + IFERROR(E1391 / SUMIFS('📅 Resumen Diario'!$D$5:$D$504, '📅 Resumen Diario'!$B$5:$B$504, B1391, '📅 Resumen Diario'!$C$5:$C$504, D1391) * (SUMIFS('📋 Detalle Diario'!$E$5:$E$489, '📋 Detalle Diario'!$B$5:$B$489, B1391, '📋 Detalle Diario'!$C$5:$C$489, D1391) * 135 + SUMIFS('📋 Detalle Diario'!$I$5:$I$489, '📋 Detalle Diario'!$B$5:$B$489, B1391, '📋 Detalle Diario'!$C$5:$C$489, D1391) * 200), 0))</f>
        <v/>
      </c>
      <c r="P1391" s="32" t="str">
        <f t="shared" si="152"/>
        <v/>
      </c>
      <c r="Q1391" s="33" t="str">
        <f t="shared" si="153"/>
        <v/>
      </c>
    </row>
    <row r="1392" spans="2:17" ht="18" customHeight="1" x14ac:dyDescent="0.3">
      <c r="B1392" s="26"/>
      <c r="C1392" s="17"/>
      <c r="D1392" s="27"/>
      <c r="E1392" s="18"/>
      <c r="F1392" s="18"/>
      <c r="G1392" s="18"/>
      <c r="H1392" s="30" t="str">
        <f t="shared" si="147"/>
        <v/>
      </c>
      <c r="I1392" s="31" t="str">
        <f>IF(OR(B1392="",C1392=""),"",IFERROR(E1392*IF(E1392="",0,VLOOKUP(C1392,'📦 Precios Proforma'!$B$5:$D$104,IF(D1392="DIA",2,3),FALSE)),0))</f>
        <v/>
      </c>
      <c r="J1392" s="31" t="str">
        <f t="shared" si="148"/>
        <v/>
      </c>
      <c r="K1392" s="31" t="str">
        <f t="shared" si="149"/>
        <v/>
      </c>
      <c r="L1392" s="31" t="str">
        <f>IF(OR(B1392="",C1392=""),"",IFERROR(E1392 / SUMIFS('📅 Resumen Diario'!$D$5:$D$504, '📅 Resumen Diario'!$B$5:$B$504, B1392, '📅 Resumen Diario'!$C$5:$C$504, D1392) * SUMIFS('📅 Resumen Diario'!$K$5:$K$504, '📅 Resumen Diario'!$B$5:$B$504, B1392, '📅 Resumen Diario'!$C$5:$C$504, D1392), 0))</f>
        <v/>
      </c>
      <c r="M1392" s="31" t="str">
        <f t="shared" si="150"/>
        <v/>
      </c>
      <c r="N1392" s="31" t="str">
        <f t="shared" si="151"/>
        <v/>
      </c>
      <c r="O1392" s="31" t="str">
        <f>IF(OR(B1392="",C1392=""),"",K1392-N1392 + IFERROR(E1392 / SUMIFS('📅 Resumen Diario'!$D$5:$D$504, '📅 Resumen Diario'!$B$5:$B$504, B1392, '📅 Resumen Diario'!$C$5:$C$504, D1392) * (SUMIFS('📋 Detalle Diario'!$E$5:$E$489, '📋 Detalle Diario'!$B$5:$B$489, B1392, '📋 Detalle Diario'!$C$5:$C$489, D1392) * 135 + SUMIFS('📋 Detalle Diario'!$I$5:$I$489, '📋 Detalle Diario'!$B$5:$B$489, B1392, '📋 Detalle Diario'!$C$5:$C$489, D1392) * 200), 0))</f>
        <v/>
      </c>
      <c r="P1392" s="32" t="str">
        <f t="shared" si="152"/>
        <v/>
      </c>
      <c r="Q1392" s="33" t="str">
        <f t="shared" si="153"/>
        <v/>
      </c>
    </row>
    <row r="1393" spans="2:17" ht="18" customHeight="1" x14ac:dyDescent="0.3">
      <c r="B1393" s="26"/>
      <c r="C1393" s="28"/>
      <c r="D1393" s="27"/>
      <c r="E1393" s="29"/>
      <c r="F1393" s="29"/>
      <c r="G1393" s="29"/>
      <c r="H1393" s="30" t="str">
        <f t="shared" si="147"/>
        <v/>
      </c>
      <c r="I1393" s="31" t="str">
        <f>IF(OR(B1393="",C1393=""),"",IFERROR(E1393*IF(E1393="",0,VLOOKUP(C1393,'📦 Precios Proforma'!$B$5:$D$104,IF(D1393="DIA",2,3),FALSE)),0))</f>
        <v/>
      </c>
      <c r="J1393" s="31" t="str">
        <f t="shared" si="148"/>
        <v/>
      </c>
      <c r="K1393" s="31" t="str">
        <f t="shared" si="149"/>
        <v/>
      </c>
      <c r="L1393" s="31" t="str">
        <f>IF(OR(B1393="",C1393=""),"",IFERROR(E1393 / SUMIFS('📅 Resumen Diario'!$D$5:$D$504, '📅 Resumen Diario'!$B$5:$B$504, B1393, '📅 Resumen Diario'!$C$5:$C$504, D1393) * SUMIFS('📅 Resumen Diario'!$K$5:$K$504, '📅 Resumen Diario'!$B$5:$B$504, B1393, '📅 Resumen Diario'!$C$5:$C$504, D1393), 0))</f>
        <v/>
      </c>
      <c r="M1393" s="31" t="str">
        <f t="shared" si="150"/>
        <v/>
      </c>
      <c r="N1393" s="31" t="str">
        <f t="shared" si="151"/>
        <v/>
      </c>
      <c r="O1393" s="31" t="str">
        <f>IF(OR(B1393="",C1393=""),"",K1393-N1393 + IFERROR(E1393 / SUMIFS('📅 Resumen Diario'!$D$5:$D$504, '📅 Resumen Diario'!$B$5:$B$504, B1393, '📅 Resumen Diario'!$C$5:$C$504, D1393) * (SUMIFS('📋 Detalle Diario'!$E$5:$E$489, '📋 Detalle Diario'!$B$5:$B$489, B1393, '📋 Detalle Diario'!$C$5:$C$489, D1393) * 135 + SUMIFS('📋 Detalle Diario'!$I$5:$I$489, '📋 Detalle Diario'!$B$5:$B$489, B1393, '📋 Detalle Diario'!$C$5:$C$489, D1393) * 200), 0))</f>
        <v/>
      </c>
      <c r="P1393" s="32" t="str">
        <f t="shared" si="152"/>
        <v/>
      </c>
      <c r="Q1393" s="33" t="str">
        <f t="shared" si="153"/>
        <v/>
      </c>
    </row>
    <row r="1394" spans="2:17" ht="18" customHeight="1" x14ac:dyDescent="0.3">
      <c r="B1394" s="26"/>
      <c r="C1394" s="17"/>
      <c r="D1394" s="27"/>
      <c r="E1394" s="18"/>
      <c r="F1394" s="18"/>
      <c r="G1394" s="18"/>
      <c r="H1394" s="30" t="str">
        <f t="shared" si="147"/>
        <v/>
      </c>
      <c r="I1394" s="31" t="str">
        <f>IF(OR(B1394="",C1394=""),"",IFERROR(E1394*IF(E1394="",0,VLOOKUP(C1394,'📦 Precios Proforma'!$B$5:$D$104,IF(D1394="DIA",2,3),FALSE)),0))</f>
        <v/>
      </c>
      <c r="J1394" s="31" t="str">
        <f t="shared" si="148"/>
        <v/>
      </c>
      <c r="K1394" s="31" t="str">
        <f t="shared" si="149"/>
        <v/>
      </c>
      <c r="L1394" s="31" t="str">
        <f>IF(OR(B1394="",C1394=""),"",IFERROR(E1394 / SUMIFS('📅 Resumen Diario'!$D$5:$D$504, '📅 Resumen Diario'!$B$5:$B$504, B1394, '📅 Resumen Diario'!$C$5:$C$504, D1394) * SUMIFS('📅 Resumen Diario'!$K$5:$K$504, '📅 Resumen Diario'!$B$5:$B$504, B1394, '📅 Resumen Diario'!$C$5:$C$504, D1394), 0))</f>
        <v/>
      </c>
      <c r="M1394" s="31" t="str">
        <f t="shared" si="150"/>
        <v/>
      </c>
      <c r="N1394" s="31" t="str">
        <f t="shared" si="151"/>
        <v/>
      </c>
      <c r="O1394" s="31" t="str">
        <f>IF(OR(B1394="",C1394=""),"",K1394-N1394 + IFERROR(E1394 / SUMIFS('📅 Resumen Diario'!$D$5:$D$504, '📅 Resumen Diario'!$B$5:$B$504, B1394, '📅 Resumen Diario'!$C$5:$C$504, D1394) * (SUMIFS('📋 Detalle Diario'!$E$5:$E$489, '📋 Detalle Diario'!$B$5:$B$489, B1394, '📋 Detalle Diario'!$C$5:$C$489, D1394) * 135 + SUMIFS('📋 Detalle Diario'!$I$5:$I$489, '📋 Detalle Diario'!$B$5:$B$489, B1394, '📋 Detalle Diario'!$C$5:$C$489, D1394) * 200), 0))</f>
        <v/>
      </c>
      <c r="P1394" s="32" t="str">
        <f t="shared" si="152"/>
        <v/>
      </c>
      <c r="Q1394" s="33" t="str">
        <f t="shared" si="153"/>
        <v/>
      </c>
    </row>
    <row r="1395" spans="2:17" ht="18" customHeight="1" x14ac:dyDescent="0.3">
      <c r="B1395" s="26"/>
      <c r="C1395" s="28"/>
      <c r="D1395" s="27"/>
      <c r="E1395" s="29"/>
      <c r="F1395" s="29"/>
      <c r="G1395" s="29"/>
      <c r="H1395" s="30" t="str">
        <f t="shared" si="147"/>
        <v/>
      </c>
      <c r="I1395" s="31" t="str">
        <f>IF(OR(B1395="",C1395=""),"",IFERROR(E1395*IF(E1395="",0,VLOOKUP(C1395,'📦 Precios Proforma'!$B$5:$D$104,IF(D1395="DIA",2,3),FALSE)),0))</f>
        <v/>
      </c>
      <c r="J1395" s="31" t="str">
        <f t="shared" si="148"/>
        <v/>
      </c>
      <c r="K1395" s="31" t="str">
        <f t="shared" si="149"/>
        <v/>
      </c>
      <c r="L1395" s="31" t="str">
        <f>IF(OR(B1395="",C1395=""),"",IFERROR(E1395 / SUMIFS('📅 Resumen Diario'!$D$5:$D$504, '📅 Resumen Diario'!$B$5:$B$504, B1395, '📅 Resumen Diario'!$C$5:$C$504, D1395) * SUMIFS('📅 Resumen Diario'!$K$5:$K$504, '📅 Resumen Diario'!$B$5:$B$504, B1395, '📅 Resumen Diario'!$C$5:$C$504, D1395), 0))</f>
        <v/>
      </c>
      <c r="M1395" s="31" t="str">
        <f t="shared" si="150"/>
        <v/>
      </c>
      <c r="N1395" s="31" t="str">
        <f t="shared" si="151"/>
        <v/>
      </c>
      <c r="O1395" s="31" t="str">
        <f>IF(OR(B1395="",C1395=""),"",K1395-N1395 + IFERROR(E1395 / SUMIFS('📅 Resumen Diario'!$D$5:$D$504, '📅 Resumen Diario'!$B$5:$B$504, B1395, '📅 Resumen Diario'!$C$5:$C$504, D1395) * (SUMIFS('📋 Detalle Diario'!$E$5:$E$489, '📋 Detalle Diario'!$B$5:$B$489, B1395, '📋 Detalle Diario'!$C$5:$C$489, D1395) * 135 + SUMIFS('📋 Detalle Diario'!$I$5:$I$489, '📋 Detalle Diario'!$B$5:$B$489, B1395, '📋 Detalle Diario'!$C$5:$C$489, D1395) * 200), 0))</f>
        <v/>
      </c>
      <c r="P1395" s="32" t="str">
        <f t="shared" si="152"/>
        <v/>
      </c>
      <c r="Q1395" s="33" t="str">
        <f t="shared" si="153"/>
        <v/>
      </c>
    </row>
    <row r="1396" spans="2:17" ht="18" customHeight="1" x14ac:dyDescent="0.3">
      <c r="B1396" s="26"/>
      <c r="C1396" s="17"/>
      <c r="D1396" s="27"/>
      <c r="E1396" s="18"/>
      <c r="F1396" s="18"/>
      <c r="G1396" s="18"/>
      <c r="H1396" s="30" t="str">
        <f t="shared" si="147"/>
        <v/>
      </c>
      <c r="I1396" s="31" t="str">
        <f>IF(OR(B1396="",C1396=""),"",IFERROR(E1396*IF(E1396="",0,VLOOKUP(C1396,'📦 Precios Proforma'!$B$5:$D$104,IF(D1396="DIA",2,3),FALSE)),0))</f>
        <v/>
      </c>
      <c r="J1396" s="31" t="str">
        <f t="shared" si="148"/>
        <v/>
      </c>
      <c r="K1396" s="31" t="str">
        <f t="shared" si="149"/>
        <v/>
      </c>
      <c r="L1396" s="31" t="str">
        <f>IF(OR(B1396="",C1396=""),"",IFERROR(E1396 / SUMIFS('📅 Resumen Diario'!$D$5:$D$504, '📅 Resumen Diario'!$B$5:$B$504, B1396, '📅 Resumen Diario'!$C$5:$C$504, D1396) * SUMIFS('📅 Resumen Diario'!$K$5:$K$504, '📅 Resumen Diario'!$B$5:$B$504, B1396, '📅 Resumen Diario'!$C$5:$C$504, D1396), 0))</f>
        <v/>
      </c>
      <c r="M1396" s="31" t="str">
        <f t="shared" si="150"/>
        <v/>
      </c>
      <c r="N1396" s="31" t="str">
        <f t="shared" si="151"/>
        <v/>
      </c>
      <c r="O1396" s="31" t="str">
        <f>IF(OR(B1396="",C1396=""),"",K1396-N1396 + IFERROR(E1396 / SUMIFS('📅 Resumen Diario'!$D$5:$D$504, '📅 Resumen Diario'!$B$5:$B$504, B1396, '📅 Resumen Diario'!$C$5:$C$504, D1396) * (SUMIFS('📋 Detalle Diario'!$E$5:$E$489, '📋 Detalle Diario'!$B$5:$B$489, B1396, '📋 Detalle Diario'!$C$5:$C$489, D1396) * 135 + SUMIFS('📋 Detalle Diario'!$I$5:$I$489, '📋 Detalle Diario'!$B$5:$B$489, B1396, '📋 Detalle Diario'!$C$5:$C$489, D1396) * 200), 0))</f>
        <v/>
      </c>
      <c r="P1396" s="32" t="str">
        <f t="shared" si="152"/>
        <v/>
      </c>
      <c r="Q1396" s="33" t="str">
        <f t="shared" si="153"/>
        <v/>
      </c>
    </row>
    <row r="1397" spans="2:17" ht="18" customHeight="1" x14ac:dyDescent="0.3">
      <c r="B1397" s="26"/>
      <c r="C1397" s="28"/>
      <c r="D1397" s="27"/>
      <c r="E1397" s="29"/>
      <c r="F1397" s="29"/>
      <c r="G1397" s="29"/>
      <c r="H1397" s="30" t="str">
        <f t="shared" si="147"/>
        <v/>
      </c>
      <c r="I1397" s="31" t="str">
        <f>IF(OR(B1397="",C1397=""),"",IFERROR(E1397*IF(E1397="",0,VLOOKUP(C1397,'📦 Precios Proforma'!$B$5:$D$104,IF(D1397="DIA",2,3),FALSE)),0))</f>
        <v/>
      </c>
      <c r="J1397" s="31" t="str">
        <f t="shared" si="148"/>
        <v/>
      </c>
      <c r="K1397" s="31" t="str">
        <f t="shared" si="149"/>
        <v/>
      </c>
      <c r="L1397" s="31" t="str">
        <f>IF(OR(B1397="",C1397=""),"",IFERROR(E1397 / SUMIFS('📅 Resumen Diario'!$D$5:$D$504, '📅 Resumen Diario'!$B$5:$B$504, B1397, '📅 Resumen Diario'!$C$5:$C$504, D1397) * SUMIFS('📅 Resumen Diario'!$K$5:$K$504, '📅 Resumen Diario'!$B$5:$B$504, B1397, '📅 Resumen Diario'!$C$5:$C$504, D1397), 0))</f>
        <v/>
      </c>
      <c r="M1397" s="31" t="str">
        <f t="shared" si="150"/>
        <v/>
      </c>
      <c r="N1397" s="31" t="str">
        <f t="shared" si="151"/>
        <v/>
      </c>
      <c r="O1397" s="31" t="str">
        <f>IF(OR(B1397="",C1397=""),"",K1397-N1397 + IFERROR(E1397 / SUMIFS('📅 Resumen Diario'!$D$5:$D$504, '📅 Resumen Diario'!$B$5:$B$504, B1397, '📅 Resumen Diario'!$C$5:$C$504, D1397) * (SUMIFS('📋 Detalle Diario'!$E$5:$E$489, '📋 Detalle Diario'!$B$5:$B$489, B1397, '📋 Detalle Diario'!$C$5:$C$489, D1397) * 135 + SUMIFS('📋 Detalle Diario'!$I$5:$I$489, '📋 Detalle Diario'!$B$5:$B$489, B1397, '📋 Detalle Diario'!$C$5:$C$489, D1397) * 200), 0))</f>
        <v/>
      </c>
      <c r="P1397" s="32" t="str">
        <f t="shared" si="152"/>
        <v/>
      </c>
      <c r="Q1397" s="33" t="str">
        <f t="shared" si="153"/>
        <v/>
      </c>
    </row>
    <row r="1398" spans="2:17" ht="18" customHeight="1" x14ac:dyDescent="0.3">
      <c r="B1398" s="26"/>
      <c r="C1398" s="17"/>
      <c r="D1398" s="27"/>
      <c r="E1398" s="18"/>
      <c r="F1398" s="18"/>
      <c r="G1398" s="18"/>
      <c r="H1398" s="30" t="str">
        <f t="shared" si="147"/>
        <v/>
      </c>
      <c r="I1398" s="31" t="str">
        <f>IF(OR(B1398="",C1398=""),"",IFERROR(E1398*IF(E1398="",0,VLOOKUP(C1398,'📦 Precios Proforma'!$B$5:$D$104,IF(D1398="DIA",2,3),FALSE)),0))</f>
        <v/>
      </c>
      <c r="J1398" s="31" t="str">
        <f t="shared" si="148"/>
        <v/>
      </c>
      <c r="K1398" s="31" t="str">
        <f t="shared" si="149"/>
        <v/>
      </c>
      <c r="L1398" s="31" t="str">
        <f>IF(OR(B1398="",C1398=""),"",IFERROR(E1398 / SUMIFS('📅 Resumen Diario'!$D$5:$D$504, '📅 Resumen Diario'!$B$5:$B$504, B1398, '📅 Resumen Diario'!$C$5:$C$504, D1398) * SUMIFS('📅 Resumen Diario'!$K$5:$K$504, '📅 Resumen Diario'!$B$5:$B$504, B1398, '📅 Resumen Diario'!$C$5:$C$504, D1398), 0))</f>
        <v/>
      </c>
      <c r="M1398" s="31" t="str">
        <f t="shared" si="150"/>
        <v/>
      </c>
      <c r="N1398" s="31" t="str">
        <f t="shared" si="151"/>
        <v/>
      </c>
      <c r="O1398" s="31" t="str">
        <f>IF(OR(B1398="",C1398=""),"",K1398-N1398 + IFERROR(E1398 / SUMIFS('📅 Resumen Diario'!$D$5:$D$504, '📅 Resumen Diario'!$B$5:$B$504, B1398, '📅 Resumen Diario'!$C$5:$C$504, D1398) * (SUMIFS('📋 Detalle Diario'!$E$5:$E$489, '📋 Detalle Diario'!$B$5:$B$489, B1398, '📋 Detalle Diario'!$C$5:$C$489, D1398) * 135 + SUMIFS('📋 Detalle Diario'!$I$5:$I$489, '📋 Detalle Diario'!$B$5:$B$489, B1398, '📋 Detalle Diario'!$C$5:$C$489, D1398) * 200), 0))</f>
        <v/>
      </c>
      <c r="P1398" s="32" t="str">
        <f t="shared" si="152"/>
        <v/>
      </c>
      <c r="Q1398" s="33" t="str">
        <f t="shared" si="153"/>
        <v/>
      </c>
    </row>
    <row r="1399" spans="2:17" ht="18" customHeight="1" x14ac:dyDescent="0.3">
      <c r="B1399" s="26"/>
      <c r="C1399" s="28"/>
      <c r="D1399" s="27"/>
      <c r="E1399" s="29"/>
      <c r="F1399" s="29"/>
      <c r="G1399" s="29"/>
      <c r="H1399" s="30" t="str">
        <f t="shared" si="147"/>
        <v/>
      </c>
      <c r="I1399" s="31" t="str">
        <f>IF(OR(B1399="",C1399=""),"",IFERROR(E1399*IF(E1399="",0,VLOOKUP(C1399,'📦 Precios Proforma'!$B$5:$D$104,IF(D1399="DIA",2,3),FALSE)),0))</f>
        <v/>
      </c>
      <c r="J1399" s="31" t="str">
        <f t="shared" si="148"/>
        <v/>
      </c>
      <c r="K1399" s="31" t="str">
        <f t="shared" si="149"/>
        <v/>
      </c>
      <c r="L1399" s="31" t="str">
        <f>IF(OR(B1399="",C1399=""),"",IFERROR(E1399 / SUMIFS('📅 Resumen Diario'!$D$5:$D$504, '📅 Resumen Diario'!$B$5:$B$504, B1399, '📅 Resumen Diario'!$C$5:$C$504, D1399) * SUMIFS('📅 Resumen Diario'!$K$5:$K$504, '📅 Resumen Diario'!$B$5:$B$504, B1399, '📅 Resumen Diario'!$C$5:$C$504, D1399), 0))</f>
        <v/>
      </c>
      <c r="M1399" s="31" t="str">
        <f t="shared" si="150"/>
        <v/>
      </c>
      <c r="N1399" s="31" t="str">
        <f t="shared" si="151"/>
        <v/>
      </c>
      <c r="O1399" s="31" t="str">
        <f>IF(OR(B1399="",C1399=""),"",K1399-N1399 + IFERROR(E1399 / SUMIFS('📅 Resumen Diario'!$D$5:$D$504, '📅 Resumen Diario'!$B$5:$B$504, B1399, '📅 Resumen Diario'!$C$5:$C$504, D1399) * (SUMIFS('📋 Detalle Diario'!$E$5:$E$489, '📋 Detalle Diario'!$B$5:$B$489, B1399, '📋 Detalle Diario'!$C$5:$C$489, D1399) * 135 + SUMIFS('📋 Detalle Diario'!$I$5:$I$489, '📋 Detalle Diario'!$B$5:$B$489, B1399, '📋 Detalle Diario'!$C$5:$C$489, D1399) * 200), 0))</f>
        <v/>
      </c>
      <c r="P1399" s="32" t="str">
        <f t="shared" si="152"/>
        <v/>
      </c>
      <c r="Q1399" s="33" t="str">
        <f t="shared" si="153"/>
        <v/>
      </c>
    </row>
    <row r="1400" spans="2:17" ht="18" customHeight="1" x14ac:dyDescent="0.3">
      <c r="B1400" s="26"/>
      <c r="C1400" s="17"/>
      <c r="D1400" s="27"/>
      <c r="E1400" s="18"/>
      <c r="F1400" s="18"/>
      <c r="G1400" s="18"/>
      <c r="H1400" s="30" t="str">
        <f t="shared" si="147"/>
        <v/>
      </c>
      <c r="I1400" s="31" t="str">
        <f>IF(OR(B1400="",C1400=""),"",IFERROR(E1400*IF(E1400="",0,VLOOKUP(C1400,'📦 Precios Proforma'!$B$5:$D$104,IF(D1400="DIA",2,3),FALSE)),0))</f>
        <v/>
      </c>
      <c r="J1400" s="31" t="str">
        <f t="shared" si="148"/>
        <v/>
      </c>
      <c r="K1400" s="31" t="str">
        <f t="shared" si="149"/>
        <v/>
      </c>
      <c r="L1400" s="31" t="str">
        <f>IF(OR(B1400="",C1400=""),"",IFERROR(E1400 / SUMIFS('📅 Resumen Diario'!$D$5:$D$504, '📅 Resumen Diario'!$B$5:$B$504, B1400, '📅 Resumen Diario'!$C$5:$C$504, D1400) * SUMIFS('📅 Resumen Diario'!$K$5:$K$504, '📅 Resumen Diario'!$B$5:$B$504, B1400, '📅 Resumen Diario'!$C$5:$C$504, D1400), 0))</f>
        <v/>
      </c>
      <c r="M1400" s="31" t="str">
        <f t="shared" si="150"/>
        <v/>
      </c>
      <c r="N1400" s="31" t="str">
        <f t="shared" si="151"/>
        <v/>
      </c>
      <c r="O1400" s="31" t="str">
        <f>IF(OR(B1400="",C1400=""),"",K1400-N1400 + IFERROR(E1400 / SUMIFS('📅 Resumen Diario'!$D$5:$D$504, '📅 Resumen Diario'!$B$5:$B$504, B1400, '📅 Resumen Diario'!$C$5:$C$504, D1400) * (SUMIFS('📋 Detalle Diario'!$E$5:$E$489, '📋 Detalle Diario'!$B$5:$B$489, B1400, '📋 Detalle Diario'!$C$5:$C$489, D1400) * 135 + SUMIFS('📋 Detalle Diario'!$I$5:$I$489, '📋 Detalle Diario'!$B$5:$B$489, B1400, '📋 Detalle Diario'!$C$5:$C$489, D1400) * 200), 0))</f>
        <v/>
      </c>
      <c r="P1400" s="32" t="str">
        <f t="shared" si="152"/>
        <v/>
      </c>
      <c r="Q1400" s="33" t="str">
        <f t="shared" si="153"/>
        <v/>
      </c>
    </row>
    <row r="1401" spans="2:17" ht="18" customHeight="1" x14ac:dyDescent="0.3">
      <c r="B1401" s="26"/>
      <c r="C1401" s="28"/>
      <c r="D1401" s="27"/>
      <c r="E1401" s="29"/>
      <c r="F1401" s="29"/>
      <c r="G1401" s="29"/>
      <c r="H1401" s="30" t="str">
        <f t="shared" si="147"/>
        <v/>
      </c>
      <c r="I1401" s="31" t="str">
        <f>IF(OR(B1401="",C1401=""),"",IFERROR(E1401*IF(E1401="",0,VLOOKUP(C1401,'📦 Precios Proforma'!$B$5:$D$104,IF(D1401="DIA",2,3),FALSE)),0))</f>
        <v/>
      </c>
      <c r="J1401" s="31" t="str">
        <f t="shared" si="148"/>
        <v/>
      </c>
      <c r="K1401" s="31" t="str">
        <f t="shared" si="149"/>
        <v/>
      </c>
      <c r="L1401" s="31" t="str">
        <f>IF(OR(B1401="",C1401=""),"",IFERROR(E1401 / SUMIFS('📅 Resumen Diario'!$D$5:$D$504, '📅 Resumen Diario'!$B$5:$B$504, B1401, '📅 Resumen Diario'!$C$5:$C$504, D1401) * SUMIFS('📅 Resumen Diario'!$K$5:$K$504, '📅 Resumen Diario'!$B$5:$B$504, B1401, '📅 Resumen Diario'!$C$5:$C$504, D1401), 0))</f>
        <v/>
      </c>
      <c r="M1401" s="31" t="str">
        <f t="shared" si="150"/>
        <v/>
      </c>
      <c r="N1401" s="31" t="str">
        <f t="shared" si="151"/>
        <v/>
      </c>
      <c r="O1401" s="31" t="str">
        <f>IF(OR(B1401="",C1401=""),"",K1401-N1401 + IFERROR(E1401 / SUMIFS('📅 Resumen Diario'!$D$5:$D$504, '📅 Resumen Diario'!$B$5:$B$504, B1401, '📅 Resumen Diario'!$C$5:$C$504, D1401) * (SUMIFS('📋 Detalle Diario'!$E$5:$E$489, '📋 Detalle Diario'!$B$5:$B$489, B1401, '📋 Detalle Diario'!$C$5:$C$489, D1401) * 135 + SUMIFS('📋 Detalle Diario'!$I$5:$I$489, '📋 Detalle Diario'!$B$5:$B$489, B1401, '📋 Detalle Diario'!$C$5:$C$489, D1401) * 200), 0))</f>
        <v/>
      </c>
      <c r="P1401" s="32" t="str">
        <f t="shared" si="152"/>
        <v/>
      </c>
      <c r="Q1401" s="33" t="str">
        <f t="shared" si="153"/>
        <v/>
      </c>
    </row>
    <row r="1402" spans="2:17" ht="18" customHeight="1" x14ac:dyDescent="0.3">
      <c r="B1402" s="26"/>
      <c r="C1402" s="17"/>
      <c r="D1402" s="27"/>
      <c r="E1402" s="18"/>
      <c r="F1402" s="18"/>
      <c r="G1402" s="18"/>
      <c r="H1402" s="30" t="str">
        <f t="shared" si="147"/>
        <v/>
      </c>
      <c r="I1402" s="31" t="str">
        <f>IF(OR(B1402="",C1402=""),"",IFERROR(E1402*IF(E1402="",0,VLOOKUP(C1402,'📦 Precios Proforma'!$B$5:$D$104,IF(D1402="DIA",2,3),FALSE)),0))</f>
        <v/>
      </c>
      <c r="J1402" s="31" t="str">
        <f t="shared" si="148"/>
        <v/>
      </c>
      <c r="K1402" s="31" t="str">
        <f t="shared" si="149"/>
        <v/>
      </c>
      <c r="L1402" s="31" t="str">
        <f>IF(OR(B1402="",C1402=""),"",IFERROR(E1402 / SUMIFS('📅 Resumen Diario'!$D$5:$D$504, '📅 Resumen Diario'!$B$5:$B$504, B1402, '📅 Resumen Diario'!$C$5:$C$504, D1402) * SUMIFS('📅 Resumen Diario'!$K$5:$K$504, '📅 Resumen Diario'!$B$5:$B$504, B1402, '📅 Resumen Diario'!$C$5:$C$504, D1402), 0))</f>
        <v/>
      </c>
      <c r="M1402" s="31" t="str">
        <f t="shared" si="150"/>
        <v/>
      </c>
      <c r="N1402" s="31" t="str">
        <f t="shared" si="151"/>
        <v/>
      </c>
      <c r="O1402" s="31" t="str">
        <f>IF(OR(B1402="",C1402=""),"",K1402-N1402 + IFERROR(E1402 / SUMIFS('📅 Resumen Diario'!$D$5:$D$504, '📅 Resumen Diario'!$B$5:$B$504, B1402, '📅 Resumen Diario'!$C$5:$C$504, D1402) * (SUMIFS('📋 Detalle Diario'!$E$5:$E$489, '📋 Detalle Diario'!$B$5:$B$489, B1402, '📋 Detalle Diario'!$C$5:$C$489, D1402) * 135 + SUMIFS('📋 Detalle Diario'!$I$5:$I$489, '📋 Detalle Diario'!$B$5:$B$489, B1402, '📋 Detalle Diario'!$C$5:$C$489, D1402) * 200), 0))</f>
        <v/>
      </c>
      <c r="P1402" s="32" t="str">
        <f t="shared" si="152"/>
        <v/>
      </c>
      <c r="Q1402" s="33" t="str">
        <f t="shared" si="153"/>
        <v/>
      </c>
    </row>
    <row r="1403" spans="2:17" ht="18" customHeight="1" x14ac:dyDescent="0.3">
      <c r="B1403" s="26"/>
      <c r="C1403" s="28"/>
      <c r="D1403" s="27"/>
      <c r="E1403" s="29"/>
      <c r="F1403" s="29"/>
      <c r="G1403" s="29"/>
      <c r="H1403" s="30" t="str">
        <f t="shared" si="147"/>
        <v/>
      </c>
      <c r="I1403" s="31" t="str">
        <f>IF(OR(B1403="",C1403=""),"",IFERROR(E1403*IF(E1403="",0,VLOOKUP(C1403,'📦 Precios Proforma'!$B$5:$D$104,IF(D1403="DIA",2,3),FALSE)),0))</f>
        <v/>
      </c>
      <c r="J1403" s="31" t="str">
        <f t="shared" si="148"/>
        <v/>
      </c>
      <c r="K1403" s="31" t="str">
        <f t="shared" si="149"/>
        <v/>
      </c>
      <c r="L1403" s="31" t="str">
        <f>IF(OR(B1403="",C1403=""),"",IFERROR(E1403 / SUMIFS('📅 Resumen Diario'!$D$5:$D$504, '📅 Resumen Diario'!$B$5:$B$504, B1403, '📅 Resumen Diario'!$C$5:$C$504, D1403) * SUMIFS('📅 Resumen Diario'!$K$5:$K$504, '📅 Resumen Diario'!$B$5:$B$504, B1403, '📅 Resumen Diario'!$C$5:$C$504, D1403), 0))</f>
        <v/>
      </c>
      <c r="M1403" s="31" t="str">
        <f t="shared" si="150"/>
        <v/>
      </c>
      <c r="N1403" s="31" t="str">
        <f t="shared" si="151"/>
        <v/>
      </c>
      <c r="O1403" s="31" t="str">
        <f>IF(OR(B1403="",C1403=""),"",K1403-N1403 + IFERROR(E1403 / SUMIFS('📅 Resumen Diario'!$D$5:$D$504, '📅 Resumen Diario'!$B$5:$B$504, B1403, '📅 Resumen Diario'!$C$5:$C$504, D1403) * (SUMIFS('📋 Detalle Diario'!$E$5:$E$489, '📋 Detalle Diario'!$B$5:$B$489, B1403, '📋 Detalle Diario'!$C$5:$C$489, D1403) * 135 + SUMIFS('📋 Detalle Diario'!$I$5:$I$489, '📋 Detalle Diario'!$B$5:$B$489, B1403, '📋 Detalle Diario'!$C$5:$C$489, D1403) * 200), 0))</f>
        <v/>
      </c>
      <c r="P1403" s="32" t="str">
        <f t="shared" si="152"/>
        <v/>
      </c>
      <c r="Q1403" s="33" t="str">
        <f t="shared" si="153"/>
        <v/>
      </c>
    </row>
    <row r="1404" spans="2:17" ht="18" customHeight="1" x14ac:dyDescent="0.3">
      <c r="B1404" s="26"/>
      <c r="C1404" s="17"/>
      <c r="D1404" s="27"/>
      <c r="E1404" s="18"/>
      <c r="F1404" s="18"/>
      <c r="G1404" s="18"/>
      <c r="H1404" s="30" t="str">
        <f t="shared" si="147"/>
        <v/>
      </c>
      <c r="I1404" s="31" t="str">
        <f>IF(OR(B1404="",C1404=""),"",IFERROR(E1404*IF(E1404="",0,VLOOKUP(C1404,'📦 Precios Proforma'!$B$5:$D$104,IF(D1404="DIA",2,3),FALSE)),0))</f>
        <v/>
      </c>
      <c r="J1404" s="31" t="str">
        <f t="shared" si="148"/>
        <v/>
      </c>
      <c r="K1404" s="31" t="str">
        <f t="shared" si="149"/>
        <v/>
      </c>
      <c r="L1404" s="31" t="str">
        <f>IF(OR(B1404="",C1404=""),"",IFERROR(E1404 / SUMIFS('📅 Resumen Diario'!$D$5:$D$504, '📅 Resumen Diario'!$B$5:$B$504, B1404, '📅 Resumen Diario'!$C$5:$C$504, D1404) * SUMIFS('📅 Resumen Diario'!$K$5:$K$504, '📅 Resumen Diario'!$B$5:$B$504, B1404, '📅 Resumen Diario'!$C$5:$C$504, D1404), 0))</f>
        <v/>
      </c>
      <c r="M1404" s="31" t="str">
        <f t="shared" si="150"/>
        <v/>
      </c>
      <c r="N1404" s="31" t="str">
        <f t="shared" si="151"/>
        <v/>
      </c>
      <c r="O1404" s="31" t="str">
        <f>IF(OR(B1404="",C1404=""),"",K1404-N1404 + IFERROR(E1404 / SUMIFS('📅 Resumen Diario'!$D$5:$D$504, '📅 Resumen Diario'!$B$5:$B$504, B1404, '📅 Resumen Diario'!$C$5:$C$504, D1404) * (SUMIFS('📋 Detalle Diario'!$E$5:$E$489, '📋 Detalle Diario'!$B$5:$B$489, B1404, '📋 Detalle Diario'!$C$5:$C$489, D1404) * 135 + SUMIFS('📋 Detalle Diario'!$I$5:$I$489, '📋 Detalle Diario'!$B$5:$B$489, B1404, '📋 Detalle Diario'!$C$5:$C$489, D1404) * 200), 0))</f>
        <v/>
      </c>
      <c r="P1404" s="32" t="str">
        <f t="shared" si="152"/>
        <v/>
      </c>
      <c r="Q1404" s="33" t="str">
        <f t="shared" si="153"/>
        <v/>
      </c>
    </row>
    <row r="1405" spans="2:17" ht="18" customHeight="1" x14ac:dyDescent="0.3">
      <c r="B1405" s="26"/>
      <c r="C1405" s="28"/>
      <c r="D1405" s="27"/>
      <c r="E1405" s="29"/>
      <c r="F1405" s="29"/>
      <c r="G1405" s="29"/>
      <c r="H1405" s="30" t="str">
        <f t="shared" si="147"/>
        <v/>
      </c>
      <c r="I1405" s="31" t="str">
        <f>IF(OR(B1405="",C1405=""),"",IFERROR(E1405*IF(E1405="",0,VLOOKUP(C1405,'📦 Precios Proforma'!$B$5:$D$104,IF(D1405="DIA",2,3),FALSE)),0))</f>
        <v/>
      </c>
      <c r="J1405" s="31" t="str">
        <f t="shared" si="148"/>
        <v/>
      </c>
      <c r="K1405" s="31" t="str">
        <f t="shared" si="149"/>
        <v/>
      </c>
      <c r="L1405" s="31" t="str">
        <f>IF(OR(B1405="",C1405=""),"",IFERROR(E1405 / SUMIFS('📅 Resumen Diario'!$D$5:$D$504, '📅 Resumen Diario'!$B$5:$B$504, B1405, '📅 Resumen Diario'!$C$5:$C$504, D1405) * SUMIFS('📅 Resumen Diario'!$K$5:$K$504, '📅 Resumen Diario'!$B$5:$B$504, B1405, '📅 Resumen Diario'!$C$5:$C$504, D1405), 0))</f>
        <v/>
      </c>
      <c r="M1405" s="31" t="str">
        <f t="shared" si="150"/>
        <v/>
      </c>
      <c r="N1405" s="31" t="str">
        <f t="shared" si="151"/>
        <v/>
      </c>
      <c r="O1405" s="31" t="str">
        <f>IF(OR(B1405="",C1405=""),"",K1405-N1405 + IFERROR(E1405 / SUMIFS('📅 Resumen Diario'!$D$5:$D$504, '📅 Resumen Diario'!$B$5:$B$504, B1405, '📅 Resumen Diario'!$C$5:$C$504, D1405) * (SUMIFS('📋 Detalle Diario'!$E$5:$E$489, '📋 Detalle Diario'!$B$5:$B$489, B1405, '📋 Detalle Diario'!$C$5:$C$489, D1405) * 135 + SUMIFS('📋 Detalle Diario'!$I$5:$I$489, '📋 Detalle Diario'!$B$5:$B$489, B1405, '📋 Detalle Diario'!$C$5:$C$489, D1405) * 200), 0))</f>
        <v/>
      </c>
      <c r="P1405" s="32" t="str">
        <f t="shared" si="152"/>
        <v/>
      </c>
      <c r="Q1405" s="33" t="str">
        <f t="shared" si="153"/>
        <v/>
      </c>
    </row>
    <row r="1406" spans="2:17" ht="18" customHeight="1" x14ac:dyDescent="0.3">
      <c r="B1406" s="26"/>
      <c r="C1406" s="17"/>
      <c r="D1406" s="27"/>
      <c r="E1406" s="18"/>
      <c r="F1406" s="18"/>
      <c r="G1406" s="18"/>
      <c r="H1406" s="30" t="str">
        <f t="shared" si="147"/>
        <v/>
      </c>
      <c r="I1406" s="31" t="str">
        <f>IF(OR(B1406="",C1406=""),"",IFERROR(E1406*IF(E1406="",0,VLOOKUP(C1406,'📦 Precios Proforma'!$B$5:$D$104,IF(D1406="DIA",2,3),FALSE)),0))</f>
        <v/>
      </c>
      <c r="J1406" s="31" t="str">
        <f t="shared" si="148"/>
        <v/>
      </c>
      <c r="K1406" s="31" t="str">
        <f t="shared" si="149"/>
        <v/>
      </c>
      <c r="L1406" s="31" t="str">
        <f>IF(OR(B1406="",C1406=""),"",IFERROR(E1406 / SUMIFS('📅 Resumen Diario'!$D$5:$D$504, '📅 Resumen Diario'!$B$5:$B$504, B1406, '📅 Resumen Diario'!$C$5:$C$504, D1406) * SUMIFS('📅 Resumen Diario'!$K$5:$K$504, '📅 Resumen Diario'!$B$5:$B$504, B1406, '📅 Resumen Diario'!$C$5:$C$504, D1406), 0))</f>
        <v/>
      </c>
      <c r="M1406" s="31" t="str">
        <f t="shared" si="150"/>
        <v/>
      </c>
      <c r="N1406" s="31" t="str">
        <f t="shared" si="151"/>
        <v/>
      </c>
      <c r="O1406" s="31" t="str">
        <f>IF(OR(B1406="",C1406=""),"",K1406-N1406 + IFERROR(E1406 / SUMIFS('📅 Resumen Diario'!$D$5:$D$504, '📅 Resumen Diario'!$B$5:$B$504, B1406, '📅 Resumen Diario'!$C$5:$C$504, D1406) * (SUMIFS('📋 Detalle Diario'!$E$5:$E$489, '📋 Detalle Diario'!$B$5:$B$489, B1406, '📋 Detalle Diario'!$C$5:$C$489, D1406) * 135 + SUMIFS('📋 Detalle Diario'!$I$5:$I$489, '📋 Detalle Diario'!$B$5:$B$489, B1406, '📋 Detalle Diario'!$C$5:$C$489, D1406) * 200), 0))</f>
        <v/>
      </c>
      <c r="P1406" s="32" t="str">
        <f t="shared" si="152"/>
        <v/>
      </c>
      <c r="Q1406" s="33" t="str">
        <f t="shared" si="153"/>
        <v/>
      </c>
    </row>
    <row r="1407" spans="2:17" ht="18" customHeight="1" x14ac:dyDescent="0.3">
      <c r="B1407" s="26"/>
      <c r="C1407" s="28"/>
      <c r="D1407" s="27"/>
      <c r="E1407" s="29"/>
      <c r="F1407" s="29"/>
      <c r="G1407" s="29"/>
      <c r="H1407" s="30" t="str">
        <f t="shared" si="147"/>
        <v/>
      </c>
      <c r="I1407" s="31" t="str">
        <f>IF(OR(B1407="",C1407=""),"",IFERROR(E1407*IF(E1407="",0,VLOOKUP(C1407,'📦 Precios Proforma'!$B$5:$D$104,IF(D1407="DIA",2,3),FALSE)),0))</f>
        <v/>
      </c>
      <c r="J1407" s="31" t="str">
        <f t="shared" si="148"/>
        <v/>
      </c>
      <c r="K1407" s="31" t="str">
        <f t="shared" si="149"/>
        <v/>
      </c>
      <c r="L1407" s="31" t="str">
        <f>IF(OR(B1407="",C1407=""),"",IFERROR(E1407 / SUMIFS('📅 Resumen Diario'!$D$5:$D$504, '📅 Resumen Diario'!$B$5:$B$504, B1407, '📅 Resumen Diario'!$C$5:$C$504, D1407) * SUMIFS('📅 Resumen Diario'!$K$5:$K$504, '📅 Resumen Diario'!$B$5:$B$504, B1407, '📅 Resumen Diario'!$C$5:$C$504, D1407), 0))</f>
        <v/>
      </c>
      <c r="M1407" s="31" t="str">
        <f t="shared" si="150"/>
        <v/>
      </c>
      <c r="N1407" s="31" t="str">
        <f t="shared" si="151"/>
        <v/>
      </c>
      <c r="O1407" s="31" t="str">
        <f>IF(OR(B1407="",C1407=""),"",K1407-N1407 + IFERROR(E1407 / SUMIFS('📅 Resumen Diario'!$D$5:$D$504, '📅 Resumen Diario'!$B$5:$B$504, B1407, '📅 Resumen Diario'!$C$5:$C$504, D1407) * (SUMIFS('📋 Detalle Diario'!$E$5:$E$489, '📋 Detalle Diario'!$B$5:$B$489, B1407, '📋 Detalle Diario'!$C$5:$C$489, D1407) * 135 + SUMIFS('📋 Detalle Diario'!$I$5:$I$489, '📋 Detalle Diario'!$B$5:$B$489, B1407, '📋 Detalle Diario'!$C$5:$C$489, D1407) * 200), 0))</f>
        <v/>
      </c>
      <c r="P1407" s="32" t="str">
        <f t="shared" si="152"/>
        <v/>
      </c>
      <c r="Q1407" s="33" t="str">
        <f t="shared" si="153"/>
        <v/>
      </c>
    </row>
    <row r="1408" spans="2:17" ht="18" customHeight="1" x14ac:dyDescent="0.3">
      <c r="B1408" s="26"/>
      <c r="C1408" s="17"/>
      <c r="D1408" s="27"/>
      <c r="E1408" s="18"/>
      <c r="F1408" s="18"/>
      <c r="G1408" s="18"/>
      <c r="H1408" s="30" t="str">
        <f t="shared" si="147"/>
        <v/>
      </c>
      <c r="I1408" s="31" t="str">
        <f>IF(OR(B1408="",C1408=""),"",IFERROR(E1408*IF(E1408="",0,VLOOKUP(C1408,'📦 Precios Proforma'!$B$5:$D$104,IF(D1408="DIA",2,3),FALSE)),0))</f>
        <v/>
      </c>
      <c r="J1408" s="31" t="str">
        <f t="shared" si="148"/>
        <v/>
      </c>
      <c r="K1408" s="31" t="str">
        <f t="shared" si="149"/>
        <v/>
      </c>
      <c r="L1408" s="31" t="str">
        <f>IF(OR(B1408="",C1408=""),"",IFERROR(E1408 / SUMIFS('📅 Resumen Diario'!$D$5:$D$504, '📅 Resumen Diario'!$B$5:$B$504, B1408, '📅 Resumen Diario'!$C$5:$C$504, D1408) * SUMIFS('📅 Resumen Diario'!$K$5:$K$504, '📅 Resumen Diario'!$B$5:$B$504, B1408, '📅 Resumen Diario'!$C$5:$C$504, D1408), 0))</f>
        <v/>
      </c>
      <c r="M1408" s="31" t="str">
        <f t="shared" si="150"/>
        <v/>
      </c>
      <c r="N1408" s="31" t="str">
        <f t="shared" si="151"/>
        <v/>
      </c>
      <c r="O1408" s="31" t="str">
        <f>IF(OR(B1408="",C1408=""),"",K1408-N1408 + IFERROR(E1408 / SUMIFS('[2]�� Resumen Diario'!$D$5:$D$504, '📅 Resumen Diario'!$B$5:$B$504, B1408, '📅 Resumen Diario'!$C$5:$C$504, D1408) * (SUMIFS('📋 Detalle Diario'!$E$5:$E$489, '📋 Detalle Diario'!$B$5:$B$489, B1408, '📋 Detalle Diario'!$C$5:$C$489, D1408) * 135 + SUMIFS('📋 Detalle Diario'!$I$5:$I$489, '📋 Detalle Diario'!$B$5:$B$489, B1408, '📋 Detalle Diario'!$C$5:$C$489, D1408) * 200), 0))</f>
        <v/>
      </c>
      <c r="P1408" s="32" t="str">
        <f t="shared" si="152"/>
        <v/>
      </c>
      <c r="Q1408" s="33" t="str">
        <f t="shared" si="153"/>
        <v/>
      </c>
    </row>
    <row r="1409" spans="2:17" ht="18" customHeight="1" x14ac:dyDescent="0.3">
      <c r="B1409" s="26"/>
      <c r="C1409" s="28"/>
      <c r="D1409" s="27"/>
      <c r="E1409" s="29"/>
      <c r="F1409" s="29"/>
      <c r="G1409" s="29"/>
      <c r="H1409" s="30" t="str">
        <f t="shared" si="147"/>
        <v/>
      </c>
      <c r="I1409" s="31" t="str">
        <f>IF(OR(B1409="",C1409=""),"",IFERROR(E1409*IF(E1409="",0,VLOOKUP(C1409,'📦 Precios Proforma'!$B$5:$D$104,IF(D1409="DIA",2,3),FALSE)),0))</f>
        <v/>
      </c>
      <c r="J1409" s="31" t="str">
        <f t="shared" si="148"/>
        <v/>
      </c>
      <c r="K1409" s="31" t="str">
        <f t="shared" si="149"/>
        <v/>
      </c>
      <c r="L1409" s="31" t="str">
        <f>IF(OR(B1409="",C1409=""),"",IFERROR(E1409 / SUMIFS('📅 Resumen Diario'!$D$5:$D$504, '📅 Resumen Diario'!$B$5:$B$504, B1409, '📅 Resumen Diario'!$C$5:$C$504, D1409) * SUMIFS('📅 Resumen Diario'!$K$5:$K$504, '📅 Resumen Diario'!$B$5:$B$504, B1409, '📅 Resumen Diario'!$C$5:$C$504, D1409), 0))</f>
        <v/>
      </c>
      <c r="M1409" s="31" t="str">
        <f t="shared" si="150"/>
        <v/>
      </c>
      <c r="N1409" s="31" t="str">
        <f t="shared" si="151"/>
        <v/>
      </c>
      <c r="O1409" s="31" t="str">
        <f>IF(OR(B1409="",C1409=""),"",K1409-N1409 + IFERROR(E1409 / SUMIFS('📅 Resumen Diario'!$D$5:$D$504, '📅 Resumen Diario'!$B$5:$B$504, B1409, '📅 Resumen Diario'!$C$5:$C$504, D1409) * (SUMIFS('📋 Detalle Diario'!$E$5:$E$489, '📋 Detalle Diario'!$B$5:$B$489, B1409, '📋 Detalle Diario'!$C$5:$C$489, D1409) * 135 + SUMIFS('📋 Detalle Diario'!$I$5:$I$489, '📋 Detalle Diario'!$B$5:$B$489, B1409, '📋 Detalle Diario'!$C$5:$C$489, D1409) * 200), 0))</f>
        <v/>
      </c>
      <c r="P1409" s="32" t="str">
        <f t="shared" si="152"/>
        <v/>
      </c>
      <c r="Q1409" s="33" t="str">
        <f t="shared" si="153"/>
        <v/>
      </c>
    </row>
    <row r="1410" spans="2:17" ht="18" customHeight="1" x14ac:dyDescent="0.3">
      <c r="B1410" s="26"/>
      <c r="C1410" s="17"/>
      <c r="D1410" s="27"/>
      <c r="E1410" s="18"/>
      <c r="F1410" s="18"/>
      <c r="G1410" s="18"/>
      <c r="H1410" s="30" t="str">
        <f t="shared" si="147"/>
        <v/>
      </c>
      <c r="I1410" s="31" t="str">
        <f>IF(OR(B1410="",C1410=""),"",IFERROR(E1410*IF(E1410="",0,VLOOKUP(C1410,'📦 Precios Proforma'!$B$5:$D$104,IF(D1410="DIA",2,3),FALSE)),0))</f>
        <v/>
      </c>
      <c r="J1410" s="31" t="str">
        <f t="shared" si="148"/>
        <v/>
      </c>
      <c r="K1410" s="31" t="str">
        <f t="shared" si="149"/>
        <v/>
      </c>
      <c r="L1410" s="31" t="str">
        <f>IF(OR(B1410="",C1410=""),"",IFERROR(E1410 / SUMIFS('📅 Resumen Diario'!$D$5:$D$504, '📅 Resumen Diario'!$B$5:$B$504, B1410, '📅 Resumen Diario'!$C$5:$C$504, D1410) * SUMIFS('📅 Resumen Diario'!$K$5:$K$504, '📅 Resumen Diario'!$B$5:$B$504, B1410, '📅 Resumen Diario'!$C$5:$C$504, D1410), 0))</f>
        <v/>
      </c>
      <c r="M1410" s="31" t="str">
        <f t="shared" si="150"/>
        <v/>
      </c>
      <c r="N1410" s="31" t="str">
        <f t="shared" si="151"/>
        <v/>
      </c>
      <c r="O1410" s="31" t="str">
        <f>IF(OR(B1410="",C1410=""),"",K1410-N1410 + IFERROR(E1410 / SUMIFS('📅 Resumen Diario'!$D$5:$D$504, '📅 Resumen Diario'!$B$5:$B$504, B1410, '📅 Resumen Diario'!$C$5:$C$504, D1410) * (SUMIFS('📋 Detalle Diario'!$E$5:$E$489, '📋 Detalle Diario'!$B$5:$B$489, B1410, '📋 Detalle Diario'!$C$5:$C$489, D1410) * 135 + SUMIFS('📋 Detalle Diario'!$I$5:$I$489, '📋 Detalle Diario'!$B$5:$B$489, B1410, '📋 Detalle Diario'!$C$5:$C$489, D1410) * 200), 0))</f>
        <v/>
      </c>
      <c r="P1410" s="32" t="str">
        <f t="shared" si="152"/>
        <v/>
      </c>
      <c r="Q1410" s="33" t="str">
        <f t="shared" si="153"/>
        <v/>
      </c>
    </row>
    <row r="1411" spans="2:17" ht="18" customHeight="1" x14ac:dyDescent="0.3">
      <c r="B1411" s="26"/>
      <c r="C1411" s="28"/>
      <c r="D1411" s="27"/>
      <c r="E1411" s="29"/>
      <c r="F1411" s="29"/>
      <c r="G1411" s="29"/>
      <c r="H1411" s="30" t="str">
        <f t="shared" si="147"/>
        <v/>
      </c>
      <c r="I1411" s="31" t="str">
        <f>IF(OR(B1411="",C1411=""),"",IFERROR(E1411*IF(E1411="",0,VLOOKUP(C1411,'📦 Precios Proforma'!$B$5:$D$104,IF(D1411="DIA",2,3),FALSE)),0))</f>
        <v/>
      </c>
      <c r="J1411" s="31" t="str">
        <f t="shared" si="148"/>
        <v/>
      </c>
      <c r="K1411" s="31" t="str">
        <f t="shared" si="149"/>
        <v/>
      </c>
      <c r="L1411" s="31" t="str">
        <f>IF(OR(B1411="",C1411=""),"",IFERROR(E1411 / SUMIFS('📅 Resumen Diario'!$D$5:$D$504, '📅 Resumen Diario'!$B$5:$B$504, B1411, '📅 Resumen Diario'!$C$5:$C$504, D1411) * SUMIFS('📅 Resumen Diario'!$K$5:$K$504, '📅 Resumen Diario'!$B$5:$B$504, B1411, '📅 Resumen Diario'!$C$5:$C$504, D1411), 0))</f>
        <v/>
      </c>
      <c r="M1411" s="31" t="str">
        <f t="shared" si="150"/>
        <v/>
      </c>
      <c r="N1411" s="31" t="str">
        <f t="shared" si="151"/>
        <v/>
      </c>
      <c r="O1411" s="31" t="str">
        <f>IF(OR(B1411="",C1411=""),"",K1411-N1411 + IFERROR(E1411 / SUMIFS('📅 Resumen Diario'!$D$5:$D$504, '📅 Resumen Diario'!$B$5:$B$504, B1411, '📅 Resumen Diario'!$C$5:$C$504, D1411) * (SUMIFS('📋 Detalle Diario'!$E$5:$E$489, '📋 Detalle Diario'!$B$5:$B$489, B1411, '📋 Detalle Diario'!$C$5:$C$489, D1411) * 135 + SUMIFS('📋 Detalle Diario'!$I$5:$I$489, '📋 Detalle Diario'!$B$5:$B$489, B1411, '📋 Detalle Diario'!$C$5:$C$489, D1411) * 200), 0))</f>
        <v/>
      </c>
      <c r="P1411" s="32" t="str">
        <f t="shared" si="152"/>
        <v/>
      </c>
      <c r="Q1411" s="33" t="str">
        <f t="shared" si="153"/>
        <v/>
      </c>
    </row>
    <row r="1412" spans="2:17" ht="18" customHeight="1" x14ac:dyDescent="0.3">
      <c r="B1412" s="26"/>
      <c r="C1412" s="17"/>
      <c r="D1412" s="27"/>
      <c r="E1412" s="18"/>
      <c r="F1412" s="18"/>
      <c r="G1412" s="18"/>
      <c r="H1412" s="30" t="str">
        <f t="shared" si="147"/>
        <v/>
      </c>
      <c r="I1412" s="31" t="str">
        <f>IF(OR(B1412="",C1412=""),"",IFERROR(E1412*IF(E1412="",0,VLOOKUP(C1412,'📦 Precios Proforma'!$B$5:$D$104,IF(D1412="DIA",2,3),FALSE)),0))</f>
        <v/>
      </c>
      <c r="J1412" s="31" t="str">
        <f t="shared" si="148"/>
        <v/>
      </c>
      <c r="K1412" s="31" t="str">
        <f t="shared" si="149"/>
        <v/>
      </c>
      <c r="L1412" s="31" t="str">
        <f>IF(OR(B1412="",C1412=""),"",IFERROR(E1412 / SUMIFS('📅 Resumen Diario'!$D$5:$D$504, '📅 Resumen Diario'!$B$5:$B$504, B1412, '📅 Resumen Diario'!$C$5:$C$504, D1412) * SUMIFS('📅 Resumen Diario'!$K$5:$K$504, '📅 Resumen Diario'!$B$5:$B$504, B1412, '📅 Resumen Diario'!$C$5:$C$504, D1412), 0))</f>
        <v/>
      </c>
      <c r="M1412" s="31" t="str">
        <f t="shared" si="150"/>
        <v/>
      </c>
      <c r="N1412" s="31" t="str">
        <f t="shared" si="151"/>
        <v/>
      </c>
      <c r="O1412" s="31" t="str">
        <f>IF(OR(B1412="",C1412=""),"",K1412-N1412 + IFERROR(E1412 / SUMIFS('📅 Resumen Diario'!$D$5:$D$504, '📅 Resumen Diario'!$B$5:$B$504, B1412, '📅 Resumen Diario'!$C$5:$C$504, D1412) * (SUMIFS('📋 Detalle Diario'!$E$5:$E$489, '📋 Detalle Diario'!$B$5:$B$489, B1412, '📋 Detalle Diario'!$C$5:$C$489, D1412) * 135 + SUMIFS('📋 Detalle Diario'!$I$5:$I$489, '📋 Detalle Diario'!$B$5:$B$489, B1412, '📋 Detalle Diario'!$C$5:$C$489, D1412) * 200), 0))</f>
        <v/>
      </c>
      <c r="P1412" s="32" t="str">
        <f t="shared" si="152"/>
        <v/>
      </c>
      <c r="Q1412" s="33" t="str">
        <f t="shared" si="153"/>
        <v/>
      </c>
    </row>
    <row r="1413" spans="2:17" ht="18" customHeight="1" x14ac:dyDescent="0.3">
      <c r="B1413" s="26"/>
      <c r="C1413" s="28"/>
      <c r="D1413" s="27"/>
      <c r="E1413" s="29"/>
      <c r="F1413" s="29"/>
      <c r="G1413" s="29"/>
      <c r="H1413" s="30" t="str">
        <f t="shared" si="147"/>
        <v/>
      </c>
      <c r="I1413" s="31" t="str">
        <f>IF(OR(B1413="",C1413=""),"",IFERROR(E1413*IF(E1413="",0,VLOOKUP(C1413,'📦 Precios Proforma'!$B$5:$D$104,IF(D1413="DIA",2,3),FALSE)),0))</f>
        <v/>
      </c>
      <c r="J1413" s="31" t="str">
        <f t="shared" si="148"/>
        <v/>
      </c>
      <c r="K1413" s="31" t="str">
        <f t="shared" si="149"/>
        <v/>
      </c>
      <c r="L1413" s="31" t="str">
        <f>IF(OR(B1413="",C1413=""),"",IFERROR(E1413 / SUMIFS('📅 Resumen Diario'!$D$5:$D$504, '📅 Resumen Diario'!$B$5:$B$504, B1413, '📅 Resumen Diario'!$C$5:$C$504, D1413) * SUMIFS('📅 Resumen Diario'!$K$5:$K$504, '📅 Resumen Diario'!$B$5:$B$504, B1413, '📅 Resumen Diario'!$C$5:$C$504, D1413), 0))</f>
        <v/>
      </c>
      <c r="M1413" s="31" t="str">
        <f t="shared" si="150"/>
        <v/>
      </c>
      <c r="N1413" s="31" t="str">
        <f t="shared" si="151"/>
        <v/>
      </c>
      <c r="O1413" s="31" t="str">
        <f>IF(OR(B1413="",C1413=""),"",K1413-N1413 + IFERROR(E1413 / SUMIFS('📅 Resumen Diario'!$D$5:$D$504, '📅 Resumen Diario'!$B$5:$B$504, B1413, '📅 Resumen Diario'!$C$5:$C$504, D1413) * (SUMIFS('📋 Detalle Diario'!$E$5:$E$489, '📋 Detalle Diario'!$B$5:$B$489, B1413, '📋 Detalle Diario'!$C$5:$C$489, D1413) * 135 + SUMIFS('📋 Detalle Diario'!$I$5:$I$489, '📋 Detalle Diario'!$B$5:$B$489, B1413, '📋 Detalle Diario'!$C$5:$C$489, D1413) * 200), 0))</f>
        <v/>
      </c>
      <c r="P1413" s="32" t="str">
        <f t="shared" si="152"/>
        <v/>
      </c>
      <c r="Q1413" s="33" t="str">
        <f t="shared" si="153"/>
        <v/>
      </c>
    </row>
    <row r="1414" spans="2:17" ht="18" customHeight="1" x14ac:dyDescent="0.3">
      <c r="B1414" s="26"/>
      <c r="C1414" s="17"/>
      <c r="D1414" s="27"/>
      <c r="E1414" s="18"/>
      <c r="F1414" s="18"/>
      <c r="G1414" s="18"/>
      <c r="H1414" s="30" t="str">
        <f t="shared" si="147"/>
        <v/>
      </c>
      <c r="I1414" s="31" t="str">
        <f>IF(OR(B1414="",C1414=""),"",IFERROR(E1414*IF(E1414="",0,VLOOKUP(C1414,'📦 Precios Proforma'!$B$5:$D$104,IF(D1414="DIA",2,3),FALSE)),0))</f>
        <v/>
      </c>
      <c r="J1414" s="31" t="str">
        <f t="shared" si="148"/>
        <v/>
      </c>
      <c r="K1414" s="31" t="str">
        <f t="shared" si="149"/>
        <v/>
      </c>
      <c r="L1414" s="31" t="str">
        <f>IF(OR(B1414="",C1414=""),"",IFERROR(E1414 / SUMIFS('📅 Resumen Diario'!$D$5:$D$504, '📅 Resumen Diario'!$B$5:$B$504, B1414, '📅 Resumen Diario'!$C$5:$C$504, D1414) * SUMIFS('📅 Resumen Diario'!$K$5:$K$504, '📅 Resumen Diario'!$B$5:$B$504, B1414, '📅 Resumen Diario'!$C$5:$C$504, D1414), 0))</f>
        <v/>
      </c>
      <c r="M1414" s="31" t="str">
        <f t="shared" si="150"/>
        <v/>
      </c>
      <c r="N1414" s="31" t="str">
        <f t="shared" si="151"/>
        <v/>
      </c>
      <c r="O1414" s="31" t="str">
        <f>IF(OR(B1414="",C1414=""),"",K1414-N1414 + IFERROR(E1414 / SUMIFS('📅 Resumen Diario'!$D$5:$D$504, '📅 Resumen Diario'!$B$5:$B$504, B1414, '📅 Resumen Diario'!$C$5:$C$504, D1414) * (SUMIFS('📋 Detalle Diario'!$E$5:$E$489, '📋 Detalle Diario'!$B$5:$B$489, B1414, '📋 Detalle Diario'!$C$5:$C$489, D1414) * 135 + SUMIFS('📋 Detalle Diario'!$I$5:$I$489, '📋 Detalle Diario'!$B$5:$B$489, B1414, '📋 Detalle Diario'!$C$5:$C$489, D1414) * 200), 0))</f>
        <v/>
      </c>
      <c r="P1414" s="32" t="str">
        <f t="shared" si="152"/>
        <v/>
      </c>
      <c r="Q1414" s="33" t="str">
        <f t="shared" si="153"/>
        <v/>
      </c>
    </row>
    <row r="1415" spans="2:17" ht="18" customHeight="1" x14ac:dyDescent="0.3">
      <c r="B1415" s="26"/>
      <c r="C1415" s="28"/>
      <c r="D1415" s="27"/>
      <c r="E1415" s="29"/>
      <c r="F1415" s="29"/>
      <c r="G1415" s="29"/>
      <c r="H1415" s="30" t="str">
        <f t="shared" ref="H1415:H1478" si="154">IF(OR(B1415="",C1415=""),"",F1415+G1415)</f>
        <v/>
      </c>
      <c r="I1415" s="31" t="str">
        <f>IF(OR(B1415="",C1415=""),"",IFERROR(E1415*IF(E1415="",0,VLOOKUP(C1415,'📦 Precios Proforma'!$B$5:$D$104,IF(D1415="DIA",2,3),FALSE)),0))</f>
        <v/>
      </c>
      <c r="J1415" s="31" t="str">
        <f t="shared" ref="J1415:J1478" si="155">IF(OR(B1415="",C1415=""),"",IF(D1415="DIA",H1415*1.01,H1415*1.35))</f>
        <v/>
      </c>
      <c r="K1415" s="31" t="str">
        <f t="shared" ref="K1415:K1478" si="156">IF(OR(B1415="",C1415=""),"",I1415+J1415)</f>
        <v/>
      </c>
      <c r="L1415" s="31" t="str">
        <f>IF(OR(B1415="",C1415=""),"",IFERROR(E1415 / SUMIFS('📅 Resumen Diario'!$D$5:$D$504, '📅 Resumen Diario'!$B$5:$B$504, B1415, '📅 Resumen Diario'!$C$5:$C$504, D1415) * SUMIFS('📅 Resumen Diario'!$K$5:$K$504, '📅 Resumen Diario'!$B$5:$B$504, B1415, '📅 Resumen Diario'!$C$5:$C$504, D1415), 0))</f>
        <v/>
      </c>
      <c r="M1415" s="31" t="str">
        <f t="shared" ref="M1415:M1478" si="157">IF(OR(B1415="",C1415=""),"",H1415*0.09)</f>
        <v/>
      </c>
      <c r="N1415" s="31" t="str">
        <f t="shared" ref="N1415:N1478" si="158">IF(OR(B1415="",C1415=""),"",L1415+M1415)</f>
        <v/>
      </c>
      <c r="O1415" s="31" t="str">
        <f>IF(OR(B1415="",C1415=""),"",K1415-N1415 + IFERROR(E1415 / SUMIFS('📅 Resumen Diario'!$D$5:$D$504, '📅 Resumen Diario'!$B$5:$B$504, B1415, '📅 Resumen Diario'!$C$5:$C$504, D1415) * (SUMIFS('📋 Detalle Diario'!$E$5:$E$489, '📋 Detalle Diario'!$B$5:$B$489, B1415, '📋 Detalle Diario'!$C$5:$C$489, D1415) * 135 + SUMIFS('📋 Detalle Diario'!$I$5:$I$489, '📋 Detalle Diario'!$B$5:$B$489, B1415, '📋 Detalle Diario'!$C$5:$C$489, D1415) * 200), 0))</f>
        <v/>
      </c>
      <c r="P1415" s="32" t="str">
        <f t="shared" ref="P1415:P1478" si="159">IF(OR(B1415="",C1415=""),"",IF(K1415=0, 0, O1415/K1415))</f>
        <v/>
      </c>
      <c r="Q1415" s="33" t="str">
        <f t="shared" ref="Q1415:Q1478" si="160">IF(B1415="","",IF(ISNUMBER(B1415),YEAR(B1415)&amp;"-"&amp;IF(MONTH(B1415)&lt;10,"0","")&amp;MONTH(B1415),LEFT(B1415,7)))</f>
        <v/>
      </c>
    </row>
    <row r="1416" spans="2:17" ht="18" customHeight="1" x14ac:dyDescent="0.3">
      <c r="B1416" s="26"/>
      <c r="C1416" s="17"/>
      <c r="D1416" s="27"/>
      <c r="E1416" s="18"/>
      <c r="F1416" s="18"/>
      <c r="G1416" s="18"/>
      <c r="H1416" s="30" t="str">
        <f t="shared" si="154"/>
        <v/>
      </c>
      <c r="I1416" s="31" t="str">
        <f>IF(OR(B1416="",C1416=""),"",IFERROR(E1416*IF(E1416="",0,VLOOKUP(C1416,'📦 Precios Proforma'!$B$5:$D$104,IF(D1416="DIA",2,3),FALSE)),0))</f>
        <v/>
      </c>
      <c r="J1416" s="31" t="str">
        <f t="shared" si="155"/>
        <v/>
      </c>
      <c r="K1416" s="31" t="str">
        <f t="shared" si="156"/>
        <v/>
      </c>
      <c r="L1416" s="31" t="str">
        <f>IF(OR(B1416="",C1416=""),"",IFERROR(E1416 / SUMIFS('📅 Resumen Diario'!$D$5:$D$504, '📅 Resumen Diario'!$B$5:$B$504, B1416, '📅 Resumen Diario'!$C$5:$C$504, D1416) * SUMIFS('📅 Resumen Diario'!$K$5:$K$504, '📅 Resumen Diario'!$B$5:$B$504, B1416, '📅 Resumen Diario'!$C$5:$C$504, D1416), 0))</f>
        <v/>
      </c>
      <c r="M1416" s="31" t="str">
        <f t="shared" si="157"/>
        <v/>
      </c>
      <c r="N1416" s="31" t="str">
        <f t="shared" si="158"/>
        <v/>
      </c>
      <c r="O1416" s="31" t="str">
        <f>IF(OR(B1416="",C1416=""),"",K1416-N1416 + IFERROR(E1416 / SUMIFS('📅 Resumen Diario'!$D$5:$D$504, '📅 Resumen Diario'!$B$5:$B$504, B1416, '📅 Resumen Diario'!$C$5:$C$504, D1416) * (SUMIFS('📋 Detalle Diario'!$E$5:$E$489, '📋 Detalle Diario'!$B$5:$B$489, B1416, '📋 Detalle Diario'!$C$5:$C$489, D1416) * 135 + SUMIFS('📋 Detalle Diario'!$I$5:$I$489, '📋 Detalle Diario'!$B$5:$B$489, B1416, '📋 Detalle Diario'!$C$5:$C$489, D1416) * 200), 0))</f>
        <v/>
      </c>
      <c r="P1416" s="32" t="str">
        <f t="shared" si="159"/>
        <v/>
      </c>
      <c r="Q1416" s="33" t="str">
        <f t="shared" si="160"/>
        <v/>
      </c>
    </row>
    <row r="1417" spans="2:17" ht="18" customHeight="1" x14ac:dyDescent="0.3">
      <c r="B1417" s="26"/>
      <c r="C1417" s="28"/>
      <c r="D1417" s="27"/>
      <c r="E1417" s="29"/>
      <c r="F1417" s="29"/>
      <c r="G1417" s="29"/>
      <c r="H1417" s="30" t="str">
        <f t="shared" si="154"/>
        <v/>
      </c>
      <c r="I1417" s="31" t="str">
        <f>IF(OR(B1417="",C1417=""),"",IFERROR(E1417*IF(E1417="",0,VLOOKUP(C1417,'📦 Precios Proforma'!$B$5:$D$104,IF(D1417="DIA",2,3),FALSE)),0))</f>
        <v/>
      </c>
      <c r="J1417" s="31" t="str">
        <f t="shared" si="155"/>
        <v/>
      </c>
      <c r="K1417" s="31" t="str">
        <f t="shared" si="156"/>
        <v/>
      </c>
      <c r="L1417" s="31" t="str">
        <f>IF(OR(B1417="",C1417=""),"",IFERROR(E1417 / SUMIFS('📅 Resumen Diario'!$D$5:$D$504, '📅 Resumen Diario'!$B$5:$B$504, B1417, '📅 Resumen Diario'!$C$5:$C$504, D1417) * SUMIFS('📅 Resumen Diario'!$K$5:$K$504, '📅 Resumen Diario'!$B$5:$B$504, B1417, '📅 Resumen Diario'!$C$5:$C$504, D1417), 0))</f>
        <v/>
      </c>
      <c r="M1417" s="31" t="str">
        <f t="shared" si="157"/>
        <v/>
      </c>
      <c r="N1417" s="31" t="str">
        <f t="shared" si="158"/>
        <v/>
      </c>
      <c r="O1417" s="31" t="str">
        <f>IF(OR(B1417="",C1417=""),"",K1417-N1417 + IFERROR(E1417 / SUMIFS('📅 Resumen Diario'!$D$5:$D$504, '📅 Resumen Diario'!$B$5:$B$504, B1417, '📅 Resumen Diario'!$C$5:$C$504, D1417) * (SUMIFS('📋 Detalle Diario'!$E$5:$E$489, '📋 Detalle Diario'!$B$5:$B$489, B1417, '📋 Detalle Diario'!$C$5:$C$489, D1417) * 135 + SUMIFS('📋 Detalle Diario'!$I$5:$I$489, '📋 Detalle Diario'!$B$5:$B$489, B1417, '📋 Detalle Diario'!$C$5:$C$489, D1417) * 200), 0))</f>
        <v/>
      </c>
      <c r="P1417" s="32" t="str">
        <f t="shared" si="159"/>
        <v/>
      </c>
      <c r="Q1417" s="33" t="str">
        <f t="shared" si="160"/>
        <v/>
      </c>
    </row>
    <row r="1418" spans="2:17" ht="18" customHeight="1" x14ac:dyDescent="0.3">
      <c r="B1418" s="26"/>
      <c r="C1418" s="17"/>
      <c r="D1418" s="27"/>
      <c r="E1418" s="18"/>
      <c r="F1418" s="18"/>
      <c r="G1418" s="18"/>
      <c r="H1418" s="30" t="str">
        <f t="shared" si="154"/>
        <v/>
      </c>
      <c r="I1418" s="31" t="str">
        <f>IF(OR(B1418="",C1418=""),"",IFERROR(E1418*IF(E1418="",0,VLOOKUP(C1418,'📦 Precios Proforma'!$B$5:$D$104,IF(D1418="DIA",2,3),FALSE)),0))</f>
        <v/>
      </c>
      <c r="J1418" s="31" t="str">
        <f t="shared" si="155"/>
        <v/>
      </c>
      <c r="K1418" s="31" t="str">
        <f t="shared" si="156"/>
        <v/>
      </c>
      <c r="L1418" s="31" t="str">
        <f>IF(OR(B1418="",C1418=""),"",IFERROR(E1418 / SUMIFS('📅 Resumen Diario'!$D$5:$D$504, '📅 Resumen Diario'!$B$5:$B$504, B1418, '📅 Resumen Diario'!$C$5:$C$504, D1418) * SUMIFS('📅 Resumen Diario'!$K$5:$K$504, '📅 Resumen Diario'!$B$5:$B$504, B1418, '📅 Resumen Diario'!$C$5:$C$504, D1418), 0))</f>
        <v/>
      </c>
      <c r="M1418" s="31" t="str">
        <f t="shared" si="157"/>
        <v/>
      </c>
      <c r="N1418" s="31" t="str">
        <f t="shared" si="158"/>
        <v/>
      </c>
      <c r="O1418" s="31" t="str">
        <f>IF(OR(B1418="",C1418=""),"",K1418-N1418 + IFERROR(E1418 / SUMIFS('📅 Resumen Diario'!$D$5:$D$504, '📅 Resumen Diario'!$B$5:$B$504, B1418, '📅 Resumen Diario'!$C$5:$C$504, D1418) * (SUMIFS('📋 Detalle Diario'!$E$5:$E$489, '📋 Detalle Diario'!$B$5:$B$489, B1418, '📋 Detalle Diario'!$C$5:$C$489, D1418) * 135 + SUMIFS('📋 Detalle Diario'!$I$5:$I$489, '📋 Detalle Diario'!$B$5:$B$489, B1418, '📋 Detalle Diario'!$C$5:$C$489, D1418) * 200), 0))</f>
        <v/>
      </c>
      <c r="P1418" s="32" t="str">
        <f t="shared" si="159"/>
        <v/>
      </c>
      <c r="Q1418" s="33" t="str">
        <f t="shared" si="160"/>
        <v/>
      </c>
    </row>
    <row r="1419" spans="2:17" ht="18" customHeight="1" x14ac:dyDescent="0.3">
      <c r="B1419" s="26"/>
      <c r="C1419" s="28"/>
      <c r="D1419" s="27"/>
      <c r="E1419" s="29"/>
      <c r="F1419" s="29"/>
      <c r="G1419" s="29"/>
      <c r="H1419" s="30" t="str">
        <f t="shared" si="154"/>
        <v/>
      </c>
      <c r="I1419" s="31" t="str">
        <f>IF(OR(B1419="",C1419=""),"",IFERROR(E1419*IF(E1419="",0,VLOOKUP(C1419,'📦 Precios Proforma'!$B$5:$D$104,IF(D1419="DIA",2,3),FALSE)),0))</f>
        <v/>
      </c>
      <c r="J1419" s="31" t="str">
        <f t="shared" si="155"/>
        <v/>
      </c>
      <c r="K1419" s="31" t="str">
        <f t="shared" si="156"/>
        <v/>
      </c>
      <c r="L1419" s="31" t="str">
        <f>IF(OR(B1419="",C1419=""),"",IFERROR(E1419 / SUMIFS('📅 Resumen Diario'!$D$5:$D$504, '📅 Resumen Diario'!$B$5:$B$504, B1419, '📅 Resumen Diario'!$C$5:$C$504, D1419) * SUMIFS('📅 Resumen Diario'!$K$5:$K$504, '📅 Resumen Diario'!$B$5:$B$504, B1419, '📅 Resumen Diario'!$C$5:$C$504, D1419), 0))</f>
        <v/>
      </c>
      <c r="M1419" s="31" t="str">
        <f t="shared" si="157"/>
        <v/>
      </c>
      <c r="N1419" s="31" t="str">
        <f t="shared" si="158"/>
        <v/>
      </c>
      <c r="O1419" s="31" t="str">
        <f>IF(OR(B1419="",C1419=""),"",K1419-N1419 + IFERROR(E1419 / SUMIFS('📅 Resumen Diario'!$D$5:$D$504, '📅 Resumen Diario'!$B$5:$B$504, B1419, '📅 Resumen Diario'!$C$5:$C$504, D1419) * (SUMIFS('📋 Detalle Diario'!$E$5:$E$489, '📋 Detalle Diario'!$B$5:$B$489, B1419, '📋 Detalle Diario'!$C$5:$C$489, D1419) * 135 + SUMIFS('📋 Detalle Diario'!$I$5:$I$489, '📋 Detalle Diario'!$B$5:$B$489, B1419, '📋 Detalle Diario'!$C$5:$C$489, D1419) * 200), 0))</f>
        <v/>
      </c>
      <c r="P1419" s="32" t="str">
        <f t="shared" si="159"/>
        <v/>
      </c>
      <c r="Q1419" s="33" t="str">
        <f t="shared" si="160"/>
        <v/>
      </c>
    </row>
    <row r="1420" spans="2:17" ht="18" customHeight="1" x14ac:dyDescent="0.3">
      <c r="B1420" s="26"/>
      <c r="C1420" s="17"/>
      <c r="D1420" s="27"/>
      <c r="E1420" s="18"/>
      <c r="F1420" s="18"/>
      <c r="G1420" s="18"/>
      <c r="H1420" s="30" t="str">
        <f t="shared" si="154"/>
        <v/>
      </c>
      <c r="I1420" s="31" t="str">
        <f>IF(OR(B1420="",C1420=""),"",IFERROR(E1420*IF(E1420="",0,VLOOKUP(C1420,'📦 Precios Proforma'!$B$5:$D$104,IF(D1420="DIA",2,3),FALSE)),0))</f>
        <v/>
      </c>
      <c r="J1420" s="31" t="str">
        <f t="shared" si="155"/>
        <v/>
      </c>
      <c r="K1420" s="31" t="str">
        <f t="shared" si="156"/>
        <v/>
      </c>
      <c r="L1420" s="31" t="str">
        <f>IF(OR(B1420="",C1420=""),"",IFERROR(E1420 / SUMIFS('📅 Resumen Diario'!$D$5:$D$504, '📅 Resumen Diario'!$B$5:$B$504, B1420, '📅 Resumen Diario'!$C$5:$C$504, D1420) * SUMIFS('📅 Resumen Diario'!$K$5:$K$504, '📅 Resumen Diario'!$B$5:$B$504, B1420, '📅 Resumen Diario'!$C$5:$C$504, D1420), 0))</f>
        <v/>
      </c>
      <c r="M1420" s="31" t="str">
        <f t="shared" si="157"/>
        <v/>
      </c>
      <c r="N1420" s="31" t="str">
        <f t="shared" si="158"/>
        <v/>
      </c>
      <c r="O1420" s="31" t="str">
        <f>IF(OR(B1420="",C1420=""),"",K1420-N1420 + IFERROR(E1420 / SUMIFS('📅 Resumen Diario'!$D$5:$D$504, '📅 Resumen Diario'!$B$5:$B$504, B1420, '📅 Resumen Diario'!$C$5:$C$504, D1420) * (SUMIFS('📋 Detalle Diario'!$E$5:$E$489, '📋 Detalle Diario'!$B$5:$B$489, B1420, '📋 Detalle Diario'!$C$5:$C$489, D1420) * 135 + SUMIFS('📋 Detalle Diario'!$I$5:$I$489, '📋 Detalle Diario'!$B$5:$B$489, B1420, '📋 Detalle Diario'!$C$5:$C$489, D1420) * 200), 0))</f>
        <v/>
      </c>
      <c r="P1420" s="32" t="str">
        <f t="shared" si="159"/>
        <v/>
      </c>
      <c r="Q1420" s="33" t="str">
        <f t="shared" si="160"/>
        <v/>
      </c>
    </row>
    <row r="1421" spans="2:17" ht="18" customHeight="1" x14ac:dyDescent="0.3">
      <c r="B1421" s="26"/>
      <c r="C1421" s="28"/>
      <c r="D1421" s="27"/>
      <c r="E1421" s="29"/>
      <c r="F1421" s="29"/>
      <c r="G1421" s="29"/>
      <c r="H1421" s="30" t="str">
        <f t="shared" si="154"/>
        <v/>
      </c>
      <c r="I1421" s="31" t="str">
        <f>IF(OR(B1421="",C1421=""),"",IFERROR(E1421*IF(E1421="",0,VLOOKUP(C1421,'📦 Precios Proforma'!$B$5:$D$104,IF(D1421="DIA",2,3),FALSE)),0))</f>
        <v/>
      </c>
      <c r="J1421" s="31" t="str">
        <f t="shared" si="155"/>
        <v/>
      </c>
      <c r="K1421" s="31" t="str">
        <f t="shared" si="156"/>
        <v/>
      </c>
      <c r="L1421" s="31" t="str">
        <f>IF(OR(B1421="",C1421=""),"",IFERROR(E1421 / SUMIFS('📅 Resumen Diario'!$D$5:$D$504, '📅 Resumen Diario'!$B$5:$B$504, B1421, '📅 Resumen Diario'!$C$5:$C$504, D1421) * SUMIFS('📅 Resumen Diario'!$K$5:$K$504, '📅 Resumen Diario'!$B$5:$B$504, B1421, '📅 Resumen Diario'!$C$5:$C$504, D1421), 0))</f>
        <v/>
      </c>
      <c r="M1421" s="31" t="str">
        <f t="shared" si="157"/>
        <v/>
      </c>
      <c r="N1421" s="31" t="str">
        <f t="shared" si="158"/>
        <v/>
      </c>
      <c r="O1421" s="31" t="str">
        <f>IF(OR(B1421="",C1421=""),"",K1421-N1421 + IFERROR(E1421 / SUMIFS('📅 Resumen Diario'!$D$5:$D$504, '📅 Resumen Diario'!$B$5:$B$504, B1421, '📅 Resumen Diario'!$C$5:$C$504, D1421) * (SUMIFS('📋 Detalle Diario'!$E$5:$E$489, '📋 Detalle Diario'!$B$5:$B$489, B1421, '📋 Detalle Diario'!$C$5:$C$489, D1421) * 135 + SUMIFS('📋 Detalle Diario'!$I$5:$I$489, '📋 Detalle Diario'!$B$5:$B$489, B1421, '📋 Detalle Diario'!$C$5:$C$489, D1421) * 200), 0))</f>
        <v/>
      </c>
      <c r="P1421" s="32" t="str">
        <f t="shared" si="159"/>
        <v/>
      </c>
      <c r="Q1421" s="33" t="str">
        <f t="shared" si="160"/>
        <v/>
      </c>
    </row>
    <row r="1422" spans="2:17" ht="18" customHeight="1" x14ac:dyDescent="0.3">
      <c r="B1422" s="26"/>
      <c r="C1422" s="17"/>
      <c r="D1422" s="27"/>
      <c r="E1422" s="18"/>
      <c r="F1422" s="18"/>
      <c r="G1422" s="18"/>
      <c r="H1422" s="30" t="str">
        <f t="shared" si="154"/>
        <v/>
      </c>
      <c r="I1422" s="31" t="str">
        <f>IF(OR(B1422="",C1422=""),"",IFERROR(E1422*IF(E1422="",0,VLOOKUP(C1422,'📦 Precios Proforma'!$B$5:$D$104,IF(D1422="DIA",2,3),FALSE)),0))</f>
        <v/>
      </c>
      <c r="J1422" s="31" t="str">
        <f t="shared" si="155"/>
        <v/>
      </c>
      <c r="K1422" s="31" t="str">
        <f t="shared" si="156"/>
        <v/>
      </c>
      <c r="L1422" s="31" t="str">
        <f>IF(OR(B1422="",C1422=""),"",IFERROR(E1422 / SUMIFS('📅 Resumen Diario'!$D$5:$D$504, '📅 Resumen Diario'!$B$5:$B$504, B1422, '📅 Resumen Diario'!$C$5:$C$504, D1422) * SUMIFS('📅 Resumen Diario'!$K$5:$K$504, '📅 Resumen Diario'!$B$5:$B$504, B1422, '📅 Resumen Diario'!$C$5:$C$504, D1422), 0))</f>
        <v/>
      </c>
      <c r="M1422" s="31" t="str">
        <f t="shared" si="157"/>
        <v/>
      </c>
      <c r="N1422" s="31" t="str">
        <f t="shared" si="158"/>
        <v/>
      </c>
      <c r="O1422" s="31" t="str">
        <f>IF(OR(B1422="",C1422=""),"",K1422-N1422 + IFERROR(E1422 / SUMIFS('📅 Resumen Diario'!$D$5:$D$504, '📅 Resumen Diario'!$B$5:$B$504, B1422, '📅 Resumen Diario'!$C$5:$C$504, D1422) * (SUMIFS('📋 Detalle Diario'!$E$5:$E$489, '📋 Detalle Diario'!$B$5:$B$489, B1422, '📋 Detalle Diario'!$C$5:$C$489, D1422) * 135 + SUMIFS('📋 Detalle Diario'!$I$5:$I$489, '📋 Detalle Diario'!$B$5:$B$489, B1422, '📋 Detalle Diario'!$C$5:$C$489, D1422) * 200), 0))</f>
        <v/>
      </c>
      <c r="P1422" s="32" t="str">
        <f t="shared" si="159"/>
        <v/>
      </c>
      <c r="Q1422" s="33" t="str">
        <f t="shared" si="160"/>
        <v/>
      </c>
    </row>
    <row r="1423" spans="2:17" ht="18" customHeight="1" x14ac:dyDescent="0.3">
      <c r="B1423" s="26"/>
      <c r="C1423" s="28"/>
      <c r="D1423" s="27"/>
      <c r="E1423" s="29"/>
      <c r="F1423" s="29"/>
      <c r="G1423" s="29"/>
      <c r="H1423" s="30" t="str">
        <f t="shared" si="154"/>
        <v/>
      </c>
      <c r="I1423" s="31" t="str">
        <f>IF(OR(B1423="",C1423=""),"",IFERROR(E1423*IF(E1423="",0,VLOOKUP(C1423,'📦 Precios Proforma'!$B$5:$D$104,IF(D1423="DIA",2,3),FALSE)),0))</f>
        <v/>
      </c>
      <c r="J1423" s="31" t="str">
        <f t="shared" si="155"/>
        <v/>
      </c>
      <c r="K1423" s="31" t="str">
        <f t="shared" si="156"/>
        <v/>
      </c>
      <c r="L1423" s="31" t="str">
        <f>IF(OR(B1423="",C1423=""),"",IFERROR(E1423 / SUMIFS('📅 Resumen Diario'!$D$5:$D$504, '📅 Resumen Diario'!$B$5:$B$504, B1423, '📅 Resumen Diario'!$C$5:$C$504, D1423) * SUMIFS('📅 Resumen Diario'!$K$5:$K$504, '📅 Resumen Diario'!$B$5:$B$504, B1423, '📅 Resumen Diario'!$C$5:$C$504, D1423), 0))</f>
        <v/>
      </c>
      <c r="M1423" s="31" t="str">
        <f t="shared" si="157"/>
        <v/>
      </c>
      <c r="N1423" s="31" t="str">
        <f t="shared" si="158"/>
        <v/>
      </c>
      <c r="O1423" s="31" t="str">
        <f>IF(OR(B1423="",C1423=""),"",K1423-N1423 + IFERROR(E1423 / SUMIFS('📅 Resumen Diario'!$D$5:$D$504, '📅 Resumen Diario'!$B$5:$B$504, B1423, '📅 Resumen Diario'!$C$5:$C$504, D1423) * (SUMIFS('📋 Detalle Diario'!$E$5:$E$489, '📋 Detalle Diario'!$B$5:$B$489, B1423, '📋 Detalle Diario'!$C$5:$C$489, D1423) * 135 + SUMIFS('📋 Detalle Diario'!$I$5:$I$489, '📋 Detalle Diario'!$B$5:$B$489, B1423, '📋 Detalle Diario'!$C$5:$C$489, D1423) * 200), 0))</f>
        <v/>
      </c>
      <c r="P1423" s="32" t="str">
        <f t="shared" si="159"/>
        <v/>
      </c>
      <c r="Q1423" s="33" t="str">
        <f t="shared" si="160"/>
        <v/>
      </c>
    </row>
    <row r="1424" spans="2:17" ht="18" customHeight="1" x14ac:dyDescent="0.3">
      <c r="B1424" s="26"/>
      <c r="C1424" s="17"/>
      <c r="D1424" s="27"/>
      <c r="E1424" s="18"/>
      <c r="F1424" s="18"/>
      <c r="G1424" s="18"/>
      <c r="H1424" s="30" t="str">
        <f t="shared" si="154"/>
        <v/>
      </c>
      <c r="I1424" s="31" t="str">
        <f>IF(OR(B1424="",C1424=""),"",IFERROR(E1424*IF(E1424="",0,VLOOKUP(C1424,'📦 Precios Proforma'!$B$5:$D$104,IF(D1424="DIA",2,3),FALSE)),0))</f>
        <v/>
      </c>
      <c r="J1424" s="31" t="str">
        <f t="shared" si="155"/>
        <v/>
      </c>
      <c r="K1424" s="31" t="str">
        <f t="shared" si="156"/>
        <v/>
      </c>
      <c r="L1424" s="31" t="str">
        <f>IF(OR(B1424="",C1424=""),"",IFERROR(E1424 / SUMIFS('📅 Resumen Diario'!$D$5:$D$504, '📅 Resumen Diario'!$B$5:$B$504, B1424, '📅 Resumen Diario'!$C$5:$C$504, D1424) * SUMIFS('📅 Resumen Diario'!$K$5:$K$504, '📅 Resumen Diario'!$B$5:$B$504, B1424, '📅 Resumen Diario'!$C$5:$C$504, D1424), 0))</f>
        <v/>
      </c>
      <c r="M1424" s="31" t="str">
        <f t="shared" si="157"/>
        <v/>
      </c>
      <c r="N1424" s="31" t="str">
        <f t="shared" si="158"/>
        <v/>
      </c>
      <c r="O1424" s="31" t="str">
        <f>IF(OR(B1424="",C1424=""),"",K1424-N1424 + IFERROR(E1424 / SUMIFS('📅 Resumen Diario'!$D$5:$D$504, '📅 Resumen Diario'!$B$5:$B$504, B1424, '📅 Resumen Diario'!$C$5:$C$504, D1424) * (SUMIFS('📋 Detalle Diario'!$E$5:$E$489, '📋 Detalle Diario'!$B$5:$B$489, B1424, '📋 Detalle Diario'!$C$5:$C$489, D1424) * 135 + SUMIFS('📋 Detalle Diario'!$I$5:$I$489, '📋 Detalle Diario'!$B$5:$B$489, B1424, '📋 Detalle Diario'!$C$5:$C$489, D1424) * 200), 0))</f>
        <v/>
      </c>
      <c r="P1424" s="32" t="str">
        <f t="shared" si="159"/>
        <v/>
      </c>
      <c r="Q1424" s="33" t="str">
        <f t="shared" si="160"/>
        <v/>
      </c>
    </row>
    <row r="1425" spans="2:17" ht="18" customHeight="1" x14ac:dyDescent="0.3">
      <c r="B1425" s="26"/>
      <c r="C1425" s="28"/>
      <c r="D1425" s="27"/>
      <c r="E1425" s="29"/>
      <c r="F1425" s="29"/>
      <c r="G1425" s="29"/>
      <c r="H1425" s="30" t="str">
        <f t="shared" si="154"/>
        <v/>
      </c>
      <c r="I1425" s="31" t="str">
        <f>IF(OR(B1425="",C1425=""),"",IFERROR(E1425*IF(E1425="",0,VLOOKUP(C1425,'📦 Precios Proforma'!$B$5:$D$104,IF(D1425="DIA",2,3),FALSE)),0))</f>
        <v/>
      </c>
      <c r="J1425" s="31" t="str">
        <f t="shared" si="155"/>
        <v/>
      </c>
      <c r="K1425" s="31" t="str">
        <f t="shared" si="156"/>
        <v/>
      </c>
      <c r="L1425" s="31" t="str">
        <f>IF(OR(B1425="",C1425=""),"",IFERROR(E1425 / SUMIFS('📅 Resumen Diario'!$D$5:$D$504, '📅 Resumen Diario'!$B$5:$B$504, B1425, '📅 Resumen Diario'!$C$5:$C$504, D1425) * SUMIFS('📅 Resumen Diario'!$K$5:$K$504, '📅 Resumen Diario'!$B$5:$B$504, B1425, '📅 Resumen Diario'!$C$5:$C$504, D1425), 0))</f>
        <v/>
      </c>
      <c r="M1425" s="31" t="str">
        <f t="shared" si="157"/>
        <v/>
      </c>
      <c r="N1425" s="31" t="str">
        <f t="shared" si="158"/>
        <v/>
      </c>
      <c r="O1425" s="31" t="str">
        <f>IF(OR(B1425="",C1425=""),"",K1425-N1425 + IFERROR(E1425 / SUMIFS('📅 Resumen Diario'!$D$5:$D$504, '📅 Resumen Diario'!$B$5:$B$504, B1425, '📅 Resumen Diario'!$C$5:$C$504, D1425) * (SUMIFS('📋 Detalle Diario'!$E$5:$E$489, '📋 Detalle Diario'!$B$5:$B$489, B1425, '📋 Detalle Diario'!$C$5:$C$489, D1425) * 135 + SUMIFS('📋 Detalle Diario'!$I$5:$I$489, '📋 Detalle Diario'!$B$5:$B$489, B1425, '📋 Detalle Diario'!$C$5:$C$489, D1425) * 200), 0))</f>
        <v/>
      </c>
      <c r="P1425" s="32" t="str">
        <f t="shared" si="159"/>
        <v/>
      </c>
      <c r="Q1425" s="33" t="str">
        <f t="shared" si="160"/>
        <v/>
      </c>
    </row>
    <row r="1426" spans="2:17" ht="18" customHeight="1" x14ac:dyDescent="0.3">
      <c r="B1426" s="26"/>
      <c r="C1426" s="17"/>
      <c r="D1426" s="27"/>
      <c r="E1426" s="18"/>
      <c r="F1426" s="18"/>
      <c r="G1426" s="18"/>
      <c r="H1426" s="30" t="str">
        <f t="shared" si="154"/>
        <v/>
      </c>
      <c r="I1426" s="31" t="str">
        <f>IF(OR(B1426="",C1426=""),"",IFERROR(E1426*IF(E1426="",0,VLOOKUP(C1426,'📦 Precios Proforma'!$B$5:$D$104,IF(D1426="DIA",2,3),FALSE)),0))</f>
        <v/>
      </c>
      <c r="J1426" s="31" t="str">
        <f t="shared" si="155"/>
        <v/>
      </c>
      <c r="K1426" s="31" t="str">
        <f t="shared" si="156"/>
        <v/>
      </c>
      <c r="L1426" s="31" t="str">
        <f>IF(OR(B1426="",C1426=""),"",IFERROR(E1426 / SUMIFS('📅 Resumen Diario'!$D$5:$D$504, '📅 Resumen Diario'!$B$5:$B$504, B1426, '📅 Resumen Diario'!$C$5:$C$504, D1426) * SUMIFS('📅 Resumen Diario'!$K$5:$K$504, '📅 Resumen Diario'!$B$5:$B$504, B1426, '📅 Resumen Diario'!$C$5:$C$504, D1426), 0))</f>
        <v/>
      </c>
      <c r="M1426" s="31" t="str">
        <f t="shared" si="157"/>
        <v/>
      </c>
      <c r="N1426" s="31" t="str">
        <f t="shared" si="158"/>
        <v/>
      </c>
      <c r="O1426" s="31" t="str">
        <f>IF(OR(B1426="",C1426=""),"",K1426-N1426 + IFERROR(E1426 / SUMIFS('📅 Resumen Diario'!$D$5:$D$504, '📅 Resumen Diario'!$B$5:$B$504, B1426, '📅 Resumen Diario'!$C$5:$C$504, D1426) * (SUMIFS('📋 Detalle Diario'!$E$5:$E$489, '📋 Detalle Diario'!$B$5:$B$489, B1426, '📋 Detalle Diario'!$C$5:$C$489, D1426) * 135 + SUMIFS('📋 Detalle Diario'!$I$5:$I$489, '📋 Detalle Diario'!$B$5:$B$489, B1426, '📋 Detalle Diario'!$C$5:$C$489, D1426) * 200), 0))</f>
        <v/>
      </c>
      <c r="P1426" s="32" t="str">
        <f t="shared" si="159"/>
        <v/>
      </c>
      <c r="Q1426" s="33" t="str">
        <f t="shared" si="160"/>
        <v/>
      </c>
    </row>
    <row r="1427" spans="2:17" ht="18" customHeight="1" x14ac:dyDescent="0.3">
      <c r="B1427" s="26"/>
      <c r="C1427" s="28"/>
      <c r="D1427" s="27"/>
      <c r="E1427" s="29"/>
      <c r="F1427" s="29"/>
      <c r="G1427" s="29"/>
      <c r="H1427" s="30" t="str">
        <f t="shared" si="154"/>
        <v/>
      </c>
      <c r="I1427" s="31" t="str">
        <f>IF(OR(B1427="",C1427=""),"",IFERROR(E1427*IF(E1427="",0,VLOOKUP(C1427,'📦 Precios Proforma'!$B$5:$D$104,IF(D1427="DIA",2,3),FALSE)),0))</f>
        <v/>
      </c>
      <c r="J1427" s="31" t="str">
        <f t="shared" si="155"/>
        <v/>
      </c>
      <c r="K1427" s="31" t="str">
        <f t="shared" si="156"/>
        <v/>
      </c>
      <c r="L1427" s="31" t="str">
        <f>IF(OR(B1427="",C1427=""),"",IFERROR(E1427 / SUMIFS('📅 Resumen Diario'!$D$5:$D$504, '📅 Resumen Diario'!$B$5:$B$504, B1427, '📅 Resumen Diario'!$C$5:$C$504, D1427) * SUMIFS('📅 Resumen Diario'!$K$5:$K$504, '📅 Resumen Diario'!$B$5:$B$504, B1427, '📅 Resumen Diario'!$C$5:$C$504, D1427), 0))</f>
        <v/>
      </c>
      <c r="M1427" s="31" t="str">
        <f t="shared" si="157"/>
        <v/>
      </c>
      <c r="N1427" s="31" t="str">
        <f t="shared" si="158"/>
        <v/>
      </c>
      <c r="O1427" s="31" t="str">
        <f>IF(OR(B1427="",C1427=""),"",K1427-N1427 + IFERROR(E1427 / SUMIFS('📅 Resumen Diario'!$D$5:$D$504, '📅 Resumen Diario'!$B$5:$B$504, B1427, '📅 Resumen Diario'!$C$5:$C$504, D1427) * (SUMIFS('📋 Detalle Diario'!$E$5:$E$489, '📋 Detalle Diario'!$B$5:$B$489, B1427, '📋 Detalle Diario'!$C$5:$C$489, D1427) * 135 + SUMIFS('📋 Detalle Diario'!$I$5:$I$489, '📋 Detalle Diario'!$B$5:$B$489, B1427, '📋 Detalle Diario'!$C$5:$C$489, D1427) * 200), 0))</f>
        <v/>
      </c>
      <c r="P1427" s="32" t="str">
        <f t="shared" si="159"/>
        <v/>
      </c>
      <c r="Q1427" s="33" t="str">
        <f t="shared" si="160"/>
        <v/>
      </c>
    </row>
    <row r="1428" spans="2:17" ht="18" customHeight="1" x14ac:dyDescent="0.3">
      <c r="B1428" s="26"/>
      <c r="C1428" s="17"/>
      <c r="D1428" s="27"/>
      <c r="E1428" s="18"/>
      <c r="F1428" s="18"/>
      <c r="G1428" s="18"/>
      <c r="H1428" s="30" t="str">
        <f t="shared" si="154"/>
        <v/>
      </c>
      <c r="I1428" s="31" t="str">
        <f>IF(OR(B1428="",C1428=""),"",IFERROR(E1428*IF(E1428="",0,VLOOKUP(C1428,'📦 Precios Proforma'!$B$5:$D$104,IF(D1428="DIA",2,3),FALSE)),0))</f>
        <v/>
      </c>
      <c r="J1428" s="31" t="str">
        <f t="shared" si="155"/>
        <v/>
      </c>
      <c r="K1428" s="31" t="str">
        <f t="shared" si="156"/>
        <v/>
      </c>
      <c r="L1428" s="31" t="str">
        <f>IF(OR(B1428="",C1428=""),"",IFERROR(E1428 / SUMIFS('📅 Resumen Diario'!$D$5:$D$504, '📅 Resumen Diario'!$B$5:$B$504, B1428, '📅 Resumen Diario'!$C$5:$C$504, D1428) * SUMIFS('📅 Resumen Diario'!$K$5:$K$504, '📅 Resumen Diario'!$B$5:$B$504, B1428, '📅 Resumen Diario'!$C$5:$C$504, D1428), 0))</f>
        <v/>
      </c>
      <c r="M1428" s="31" t="str">
        <f t="shared" si="157"/>
        <v/>
      </c>
      <c r="N1428" s="31" t="str">
        <f t="shared" si="158"/>
        <v/>
      </c>
      <c r="O1428" s="31" t="str">
        <f>IF(OR(B1428="",C1428=""),"",K1428-N1428 + IFERROR(E1428 / SUMIFS('📅 Resumen Diario'!$D$5:$D$504, '📅 Resumen Diario'!$B$5:$B$504, B1428, '📅 Resumen Diario'!$C$5:$C$504, D1428) * (SUMIFS('📋 Detalle Diario'!$E$5:$E$489, '📋 Detalle Diario'!$B$5:$B$489, B1428, '📋 Detalle Diario'!$C$5:$C$489, D1428) * 135 + SUMIFS('📋 Detalle Diario'!$I$5:$I$489, '📋 Detalle Diario'!$B$5:$B$489, B1428, '📋 Detalle Diario'!$C$5:$C$489, D1428) * 200), 0))</f>
        <v/>
      </c>
      <c r="P1428" s="32" t="str">
        <f t="shared" si="159"/>
        <v/>
      </c>
      <c r="Q1428" s="33" t="str">
        <f t="shared" si="160"/>
        <v/>
      </c>
    </row>
    <row r="1429" spans="2:17" ht="18" customHeight="1" x14ac:dyDescent="0.3">
      <c r="B1429" s="26"/>
      <c r="C1429" s="28"/>
      <c r="D1429" s="27"/>
      <c r="E1429" s="29"/>
      <c r="F1429" s="29"/>
      <c r="G1429" s="29"/>
      <c r="H1429" s="30" t="str">
        <f t="shared" si="154"/>
        <v/>
      </c>
      <c r="I1429" s="31" t="str">
        <f>IF(OR(B1429="",C1429=""),"",IFERROR(E1429*IF(E1429="",0,VLOOKUP(C1429,'📦 Precios Proforma'!$B$5:$D$104,IF(D1429="DIA",2,3),FALSE)),0))</f>
        <v/>
      </c>
      <c r="J1429" s="31" t="str">
        <f t="shared" si="155"/>
        <v/>
      </c>
      <c r="K1429" s="31" t="str">
        <f t="shared" si="156"/>
        <v/>
      </c>
      <c r="L1429" s="31" t="str">
        <f>IF(OR(B1429="",C1429=""),"",IFERROR(E1429 / SUMIFS('📅 Resumen Diario'!$D$5:$D$504, '📅 Resumen Diario'!$B$5:$B$504, B1429, '📅 Resumen Diario'!$C$5:$C$504, D1429) * SUMIFS('📅 Resumen Diario'!$K$5:$K$504, '📅 Resumen Diario'!$B$5:$B$504, B1429, '📅 Resumen Diario'!$C$5:$C$504, D1429), 0))</f>
        <v/>
      </c>
      <c r="M1429" s="31" t="str">
        <f t="shared" si="157"/>
        <v/>
      </c>
      <c r="N1429" s="31" t="str">
        <f t="shared" si="158"/>
        <v/>
      </c>
      <c r="O1429" s="31" t="str">
        <f>IF(OR(B1429="",C1429=""),"",K1429-N1429 + IFERROR(E1429 / SUMIFS('📅 Resumen Diario'!$D$5:$D$504, '📅 Resumen Diario'!$B$5:$B$504, B1429, '📅 Resumen Diario'!$C$5:$C$504, D1429) * (SUMIFS('📋 Detalle Diario'!$E$5:$E$489, '📋 Detalle Diario'!$B$5:$B$489, B1429, '📋 Detalle Diario'!$C$5:$C$489, D1429) * 135 + SUMIFS('📋 Detalle Diario'!$I$5:$I$489, '📋 Detalle Diario'!$B$5:$B$489, B1429, '📋 Detalle Diario'!$C$5:$C$489, D1429) * 200), 0))</f>
        <v/>
      </c>
      <c r="P1429" s="32" t="str">
        <f t="shared" si="159"/>
        <v/>
      </c>
      <c r="Q1429" s="33" t="str">
        <f t="shared" si="160"/>
        <v/>
      </c>
    </row>
    <row r="1430" spans="2:17" ht="18" customHeight="1" x14ac:dyDescent="0.3">
      <c r="B1430" s="26"/>
      <c r="C1430" s="17"/>
      <c r="D1430" s="27"/>
      <c r="E1430" s="18"/>
      <c r="F1430" s="18"/>
      <c r="G1430" s="18"/>
      <c r="H1430" s="30" t="str">
        <f t="shared" si="154"/>
        <v/>
      </c>
      <c r="I1430" s="31" t="str">
        <f>IF(OR(B1430="",C1430=""),"",IFERROR(E1430*IF(E1430="",0,VLOOKUP(C1430,'📦 Precios Proforma'!$B$5:$D$104,IF(D1430="DIA",2,3),FALSE)),0))</f>
        <v/>
      </c>
      <c r="J1430" s="31" t="str">
        <f t="shared" si="155"/>
        <v/>
      </c>
      <c r="K1430" s="31" t="str">
        <f t="shared" si="156"/>
        <v/>
      </c>
      <c r="L1430" s="31" t="str">
        <f>IF(OR(B1430="",C1430=""),"",IFERROR(E1430 / SUMIFS('📅 Resumen Diario'!$D$5:$D$504, '📅 Resumen Diario'!$B$5:$B$504, B1430, '📅 Resumen Diario'!$C$5:$C$504, D1430) * SUMIFS('📅 Resumen Diario'!$K$5:$K$504, '📅 Resumen Diario'!$B$5:$B$504, B1430, '📅 Resumen Diario'!$C$5:$C$504, D1430), 0))</f>
        <v/>
      </c>
      <c r="M1430" s="31" t="str">
        <f t="shared" si="157"/>
        <v/>
      </c>
      <c r="N1430" s="31" t="str">
        <f t="shared" si="158"/>
        <v/>
      </c>
      <c r="O1430" s="31" t="str">
        <f>IF(OR(B1430="",C1430=""),"",K1430-N1430 + IFERROR(E1430 / SUMIFS('📅 Resumen Diario'!$D$5:$D$504, '📅 Resumen Diario'!$B$5:$B$504, B1430, '📅 Resumen Diario'!$C$5:$C$504, D1430) * (SUMIFS('📋 Detalle Diario'!$E$5:$E$489, '📋 Detalle Diario'!$B$5:$B$489, B1430, '📋 Detalle Diario'!$C$5:$C$489, D1430) * 135 + SUMIFS('📋 Detalle Diario'!$I$5:$I$489, '📋 Detalle Diario'!$B$5:$B$489, B1430, '📋 Detalle Diario'!$C$5:$C$489, D1430) * 200), 0))</f>
        <v/>
      </c>
      <c r="P1430" s="32" t="str">
        <f t="shared" si="159"/>
        <v/>
      </c>
      <c r="Q1430" s="33" t="str">
        <f t="shared" si="160"/>
        <v/>
      </c>
    </row>
    <row r="1431" spans="2:17" ht="18" customHeight="1" x14ac:dyDescent="0.3">
      <c r="B1431" s="26"/>
      <c r="C1431" s="28"/>
      <c r="D1431" s="27"/>
      <c r="E1431" s="29"/>
      <c r="F1431" s="29"/>
      <c r="G1431" s="29"/>
      <c r="H1431" s="30" t="str">
        <f t="shared" si="154"/>
        <v/>
      </c>
      <c r="I1431" s="31" t="str">
        <f>IF(OR(B1431="",C1431=""),"",IFERROR(E1431*IF(E1431="",0,VLOOKUP(C1431,'📦 Precios Proforma'!$B$5:$D$104,IF(D1431="DIA",2,3),FALSE)),0))</f>
        <v/>
      </c>
      <c r="J1431" s="31" t="str">
        <f t="shared" si="155"/>
        <v/>
      </c>
      <c r="K1431" s="31" t="str">
        <f t="shared" si="156"/>
        <v/>
      </c>
      <c r="L1431" s="31" t="str">
        <f>IF(OR(B1431="",C1431=""),"",IFERROR(E1431 / SUMIFS('📅 Resumen Diario'!$D$5:$D$504, '📅 Resumen Diario'!$B$5:$B$504, B1431, '📅 Resumen Diario'!$C$5:$C$504, D1431) * SUMIFS('📅 Resumen Diario'!$K$5:$K$504, '📅 Resumen Diario'!$B$5:$B$504, B1431, '📅 Resumen Diario'!$C$5:$C$504, D1431), 0))</f>
        <v/>
      </c>
      <c r="M1431" s="31" t="str">
        <f t="shared" si="157"/>
        <v/>
      </c>
      <c r="N1431" s="31" t="str">
        <f t="shared" si="158"/>
        <v/>
      </c>
      <c r="O1431" s="31" t="str">
        <f>IF(OR(B1431="",C1431=""),"",K1431-N1431 + IFERROR(E1431 / SUMIFS('📅 Resumen Diario'!$D$5:$D$504, '📅 Resumen Diario'!$B$5:$B$504, B1431, '📅 Resumen Diario'!$C$5:$C$504, D1431) * (SUMIFS('📋 Detalle Diario'!$E$5:$E$489, '📋 Detalle Diario'!$B$5:$B$489, B1431, '📋 Detalle Diario'!$C$5:$C$489, D1431) * 135 + SUMIFS('📋 Detalle Diario'!$I$5:$I$489, '📋 Detalle Diario'!$B$5:$B$489, B1431, '📋 Detalle Diario'!$C$5:$C$489, D1431) * 200), 0))</f>
        <v/>
      </c>
      <c r="P1431" s="32" t="str">
        <f t="shared" si="159"/>
        <v/>
      </c>
      <c r="Q1431" s="33" t="str">
        <f t="shared" si="160"/>
        <v/>
      </c>
    </row>
    <row r="1432" spans="2:17" ht="18" customHeight="1" x14ac:dyDescent="0.3">
      <c r="B1432" s="26"/>
      <c r="C1432" s="17"/>
      <c r="D1432" s="27"/>
      <c r="E1432" s="18"/>
      <c r="F1432" s="18"/>
      <c r="G1432" s="18"/>
      <c r="H1432" s="30" t="str">
        <f t="shared" si="154"/>
        <v/>
      </c>
      <c r="I1432" s="31" t="str">
        <f>IF(OR(B1432="",C1432=""),"",IFERROR(E1432*IF(E1432="",0,VLOOKUP(C1432,'📦 Precios Proforma'!$B$5:$D$104,IF(D1432="DIA",2,3),FALSE)),0))</f>
        <v/>
      </c>
      <c r="J1432" s="31" t="str">
        <f t="shared" si="155"/>
        <v/>
      </c>
      <c r="K1432" s="31" t="str">
        <f t="shared" si="156"/>
        <v/>
      </c>
      <c r="L1432" s="31" t="str">
        <f>IF(OR(B1432="",C1432=""),"",IFERROR(E1432 / SUMIFS('📅 Resumen Diario'!$D$5:$D$504, '📅 Resumen Diario'!$B$5:$B$504, B1432, '📅 Resumen Diario'!$C$5:$C$504, D1432) * SUMIFS('📅 Resumen Diario'!$K$5:$K$504, '📅 Resumen Diario'!$B$5:$B$504, B1432, '📅 Resumen Diario'!$C$5:$C$504, D1432), 0))</f>
        <v/>
      </c>
      <c r="M1432" s="31" t="str">
        <f t="shared" si="157"/>
        <v/>
      </c>
      <c r="N1432" s="31" t="str">
        <f t="shared" si="158"/>
        <v/>
      </c>
      <c r="O1432" s="31" t="str">
        <f>IF(OR(B1432="",C1432=""),"",K1432-N1432 + IFERROR(E1432 / SUMIFS('📅 Resumen Diario'!$D$5:$D$504, '📅 Resumen Diario'!$B$5:$B$504, B1432, '📅 Resumen Diario'!$C$5:$C$504, D1432) * (SUMIFS('📋 Detalle Diario'!$E$5:$E$489, '📋 Detalle Diario'!$B$5:$B$489, B1432, '📋 Detalle Diario'!$C$5:$C$489, D1432) * 135 + SUMIFS('📋 Detalle Diario'!$I$5:$I$489, '📋 Detalle Diario'!$B$5:$B$489, B1432, '📋 Detalle Diario'!$C$5:$C$489, D1432) * 200), 0))</f>
        <v/>
      </c>
      <c r="P1432" s="32" t="str">
        <f t="shared" si="159"/>
        <v/>
      </c>
      <c r="Q1432" s="33" t="str">
        <f t="shared" si="160"/>
        <v/>
      </c>
    </row>
    <row r="1433" spans="2:17" ht="18" customHeight="1" x14ac:dyDescent="0.3">
      <c r="B1433" s="26"/>
      <c r="C1433" s="28"/>
      <c r="D1433" s="27"/>
      <c r="E1433" s="29"/>
      <c r="F1433" s="29"/>
      <c r="G1433" s="29"/>
      <c r="H1433" s="30" t="str">
        <f t="shared" si="154"/>
        <v/>
      </c>
      <c r="I1433" s="31" t="str">
        <f>IF(OR(B1433="",C1433=""),"",IFERROR(E1433*IF(E1433="",0,VLOOKUP(C1433,'📦 Precios Proforma'!$B$5:$D$104,IF(D1433="DIA",2,3),FALSE)),0))</f>
        <v/>
      </c>
      <c r="J1433" s="31" t="str">
        <f t="shared" si="155"/>
        <v/>
      </c>
      <c r="K1433" s="31" t="str">
        <f t="shared" si="156"/>
        <v/>
      </c>
      <c r="L1433" s="31" t="str">
        <f>IF(OR(B1433="",C1433=""),"",IFERROR(E1433 / SUMIFS('📅 Resumen Diario'!$D$5:$D$504, '📅 Resumen Diario'!$B$5:$B$504, B1433, '📅 Resumen Diario'!$C$5:$C$504, D1433) * SUMIFS('📅 Resumen Diario'!$K$5:$K$504, '📅 Resumen Diario'!$B$5:$B$504, B1433, '📅 Resumen Diario'!$C$5:$C$504, D1433), 0))</f>
        <v/>
      </c>
      <c r="M1433" s="31" t="str">
        <f t="shared" si="157"/>
        <v/>
      </c>
      <c r="N1433" s="31" t="str">
        <f t="shared" si="158"/>
        <v/>
      </c>
      <c r="O1433" s="31" t="str">
        <f>IF(OR(B1433="",C1433=""),"",K1433-N1433 + IFERROR(E1433 / SUMIFS('📅 Resumen Diario'!$D$5:$D$504, '📅 Resumen Diario'!$B$5:$B$504, B1433, '📅 Resumen Diario'!$C$5:$C$504, D1433) * (SUMIFS('📋 Detalle Diario'!$E$5:$E$489, '📋 Detalle Diario'!$B$5:$B$489, B1433, '📋 Detalle Diario'!$C$5:$C$489, D1433) * 135 + SUMIFS('📋 Detalle Diario'!$I$5:$I$489, '📋 Detalle Diario'!$B$5:$B$489, B1433, '📋 Detalle Diario'!$C$5:$C$489, D1433) * 200), 0))</f>
        <v/>
      </c>
      <c r="P1433" s="32" t="str">
        <f t="shared" si="159"/>
        <v/>
      </c>
      <c r="Q1433" s="33" t="str">
        <f t="shared" si="160"/>
        <v/>
      </c>
    </row>
    <row r="1434" spans="2:17" ht="18" customHeight="1" x14ac:dyDescent="0.3">
      <c r="B1434" s="26"/>
      <c r="C1434" s="17"/>
      <c r="D1434" s="27"/>
      <c r="E1434" s="18"/>
      <c r="F1434" s="18"/>
      <c r="G1434" s="18"/>
      <c r="H1434" s="30" t="str">
        <f t="shared" si="154"/>
        <v/>
      </c>
      <c r="I1434" s="31" t="str">
        <f>IF(OR(B1434="",C1434=""),"",IFERROR(E1434*IF(E1434="",0,VLOOKUP(C1434,'📦 Precios Proforma'!$B$5:$D$104,IF(D1434="DIA",2,3),FALSE)),0))</f>
        <v/>
      </c>
      <c r="J1434" s="31" t="str">
        <f t="shared" si="155"/>
        <v/>
      </c>
      <c r="K1434" s="31" t="str">
        <f t="shared" si="156"/>
        <v/>
      </c>
      <c r="L1434" s="31" t="str">
        <f>IF(OR(B1434="",C1434=""),"",IFERROR(E1434 / SUMIFS('📅 Resumen Diario'!$D$5:$D$504, '📅 Resumen Diario'!$B$5:$B$504, B1434, '📅 Resumen Diario'!$C$5:$C$504, D1434) * SUMIFS('📅 Resumen Diario'!$K$5:$K$504, '📅 Resumen Diario'!$B$5:$B$504, B1434, '📅 Resumen Diario'!$C$5:$C$504, D1434), 0))</f>
        <v/>
      </c>
      <c r="M1434" s="31" t="str">
        <f t="shared" si="157"/>
        <v/>
      </c>
      <c r="N1434" s="31" t="str">
        <f t="shared" si="158"/>
        <v/>
      </c>
      <c r="O1434" s="31" t="str">
        <f>IF(OR(B1434="",C1434=""),"",K1434-N1434 + IFERROR(E1434 / SUMIFS('📅 Resumen Diario'!$D$5:$D$504, '📅 Resumen Diario'!$B$5:$B$504, B1434, '📅 Resumen Diario'!$C$5:$C$504, D1434) * (SUMIFS('📋 Detalle Diario'!$E$5:$E$489, '📋 Detalle Diario'!$B$5:$B$489, B1434, '📋 Detalle Diario'!$C$5:$C$489, D1434) * 135 + SUMIFS('📋 Detalle Diario'!$I$5:$I$489, '📋 Detalle Diario'!$B$5:$B$489, B1434, '📋 Detalle Diario'!$C$5:$C$489, D1434) * 200), 0))</f>
        <v/>
      </c>
      <c r="P1434" s="32" t="str">
        <f t="shared" si="159"/>
        <v/>
      </c>
      <c r="Q1434" s="33" t="str">
        <f t="shared" si="160"/>
        <v/>
      </c>
    </row>
    <row r="1435" spans="2:17" ht="18" customHeight="1" x14ac:dyDescent="0.3">
      <c r="B1435" s="26"/>
      <c r="C1435" s="28"/>
      <c r="D1435" s="27"/>
      <c r="E1435" s="29"/>
      <c r="F1435" s="29"/>
      <c r="G1435" s="29"/>
      <c r="H1435" s="30" t="str">
        <f t="shared" si="154"/>
        <v/>
      </c>
      <c r="I1435" s="31" t="str">
        <f>IF(OR(B1435="",C1435=""),"",IFERROR(E1435*IF(E1435="",0,VLOOKUP(C1435,'📦 Precios Proforma'!$B$5:$D$104,IF(D1435="DIA",2,3),FALSE)),0))</f>
        <v/>
      </c>
      <c r="J1435" s="31" t="str">
        <f t="shared" si="155"/>
        <v/>
      </c>
      <c r="K1435" s="31" t="str">
        <f t="shared" si="156"/>
        <v/>
      </c>
      <c r="L1435" s="31" t="str">
        <f>IF(OR(B1435="",C1435=""),"",IFERROR(E1435 / SUMIFS('📅 Resumen Diario'!$D$5:$D$504, '📅 Resumen Diario'!$B$5:$B$504, B1435, '📅 Resumen Diario'!$C$5:$C$504, D1435) * SUMIFS('📅 Resumen Diario'!$K$5:$K$504, '📅 Resumen Diario'!$B$5:$B$504, B1435, '📅 Resumen Diario'!$C$5:$C$504, D1435), 0))</f>
        <v/>
      </c>
      <c r="M1435" s="31" t="str">
        <f t="shared" si="157"/>
        <v/>
      </c>
      <c r="N1435" s="31" t="str">
        <f t="shared" si="158"/>
        <v/>
      </c>
      <c r="O1435" s="31" t="str">
        <f>IF(OR(B1435="",C1435=""),"",K1435-N1435 + IFERROR(E1435 / SUMIFS('📅 Resumen Diario'!$D$5:$D$504, '📅 Resumen Diario'!$B$5:$B$504, B1435, '📅 Resumen Diario'!$C$5:$C$504, D1435) * (SUMIFS('📋 Detalle Diario'!$E$5:$E$489, '📋 Detalle Diario'!$B$5:$B$489, B1435, '📋 Detalle Diario'!$C$5:$C$489, D1435) * 135 + SUMIFS('📋 Detalle Diario'!$I$5:$I$489, '📋 Detalle Diario'!$B$5:$B$489, B1435, '📋 Detalle Diario'!$C$5:$C$489, D1435) * 200), 0))</f>
        <v/>
      </c>
      <c r="P1435" s="32" t="str">
        <f t="shared" si="159"/>
        <v/>
      </c>
      <c r="Q1435" s="33" t="str">
        <f t="shared" si="160"/>
        <v/>
      </c>
    </row>
    <row r="1436" spans="2:17" ht="18" customHeight="1" x14ac:dyDescent="0.3">
      <c r="B1436" s="26"/>
      <c r="C1436" s="17"/>
      <c r="D1436" s="27"/>
      <c r="E1436" s="18"/>
      <c r="F1436" s="18"/>
      <c r="G1436" s="18"/>
      <c r="H1436" s="30" t="str">
        <f t="shared" si="154"/>
        <v/>
      </c>
      <c r="I1436" s="31" t="str">
        <f>IF(OR(B1436="",C1436=""),"",IFERROR(E1436*IF(E1436="",0,VLOOKUP(C1436,'📦 Precios Proforma'!$B$5:$D$104,IF(D1436="DIA",2,3),FALSE)),0))</f>
        <v/>
      </c>
      <c r="J1436" s="31" t="str">
        <f t="shared" si="155"/>
        <v/>
      </c>
      <c r="K1436" s="31" t="str">
        <f t="shared" si="156"/>
        <v/>
      </c>
      <c r="L1436" s="31" t="str">
        <f>IF(OR(B1436="",C1436=""),"",IFERROR(E1436 / SUMIFS('📅 Resumen Diario'!$D$5:$D$504, '📅 Resumen Diario'!$B$5:$B$504, B1436, '📅 Resumen Diario'!$C$5:$C$504, D1436) * SUMIFS('📅 Resumen Diario'!$K$5:$K$504, '📅 Resumen Diario'!$B$5:$B$504, B1436, '📅 Resumen Diario'!$C$5:$C$504, D1436), 0))</f>
        <v/>
      </c>
      <c r="M1436" s="31" t="str">
        <f t="shared" si="157"/>
        <v/>
      </c>
      <c r="N1436" s="31" t="str">
        <f t="shared" si="158"/>
        <v/>
      </c>
      <c r="O1436" s="31" t="str">
        <f>IF(OR(B1436="",C1436=""),"",K1436-N1436 + IFERROR(E1436 / SUMIFS('📅 Resumen Diario'!$D$5:$D$504, '📅 Resumen Diario'!$B$5:$B$504, B1436, '📅 Resumen Diario'!$C$5:$C$504, D1436) * (SUMIFS('📋 Detalle Diario'!$E$5:$E$489, '📋 Detalle Diario'!$B$5:$B$489, B1436, '📋 Detalle Diario'!$C$5:$C$489, D1436) * 135 + SUMIFS('📋 Detalle Diario'!$I$5:$I$489, '📋 Detalle Diario'!$B$5:$B$489, B1436, '📋 Detalle Diario'!$C$5:$C$489, D1436) * 200), 0))</f>
        <v/>
      </c>
      <c r="P1436" s="32" t="str">
        <f t="shared" si="159"/>
        <v/>
      </c>
      <c r="Q1436" s="33" t="str">
        <f t="shared" si="160"/>
        <v/>
      </c>
    </row>
    <row r="1437" spans="2:17" ht="18" customHeight="1" x14ac:dyDescent="0.3">
      <c r="B1437" s="26"/>
      <c r="C1437" s="28"/>
      <c r="D1437" s="27"/>
      <c r="E1437" s="29"/>
      <c r="F1437" s="29"/>
      <c r="G1437" s="29"/>
      <c r="H1437" s="30" t="str">
        <f t="shared" si="154"/>
        <v/>
      </c>
      <c r="I1437" s="31" t="str">
        <f>IF(OR(B1437="",C1437=""),"",IFERROR(E1437*IF(E1437="",0,VLOOKUP(C1437,'📦 Precios Proforma'!$B$5:$D$104,IF(D1437="DIA",2,3),FALSE)),0))</f>
        <v/>
      </c>
      <c r="J1437" s="31" t="str">
        <f t="shared" si="155"/>
        <v/>
      </c>
      <c r="K1437" s="31" t="str">
        <f t="shared" si="156"/>
        <v/>
      </c>
      <c r="L1437" s="31" t="str">
        <f>IF(OR(B1437="",C1437=""),"",IFERROR(E1437 / SUMIFS('📅 Resumen Diario'!$D$5:$D$504, '📅 Resumen Diario'!$B$5:$B$504, B1437, '📅 Resumen Diario'!$C$5:$C$504, D1437) * SUMIFS('📅 Resumen Diario'!$K$5:$K$504, '📅 Resumen Diario'!$B$5:$B$504, B1437, '📅 Resumen Diario'!$C$5:$C$504, D1437), 0))</f>
        <v/>
      </c>
      <c r="M1437" s="31" t="str">
        <f t="shared" si="157"/>
        <v/>
      </c>
      <c r="N1437" s="31" t="str">
        <f t="shared" si="158"/>
        <v/>
      </c>
      <c r="O1437" s="31" t="str">
        <f>IF(OR(B1437="",C1437=""),"",K1437-N1437 + IFERROR(E1437 / SUMIFS('📅 Resumen Diario'!$D$5:$D$504, '📅 Resumen Diario'!$B$5:$B$504, B1437, '📅 Resumen Diario'!$C$5:$C$504, D1437) * (SUMIFS('📋 Detalle Diario'!$E$5:$E$489, '📋 Detalle Diario'!$B$5:$B$489, B1437, '📋 Detalle Diario'!$C$5:$C$489, D1437) * 135 + SUMIFS('📋 Detalle Diario'!$I$5:$I$489, '📋 Detalle Diario'!$B$5:$B$489, B1437, '📋 Detalle Diario'!$C$5:$C$489, D1437) * 200), 0))</f>
        <v/>
      </c>
      <c r="P1437" s="32" t="str">
        <f t="shared" si="159"/>
        <v/>
      </c>
      <c r="Q1437" s="33" t="str">
        <f t="shared" si="160"/>
        <v/>
      </c>
    </row>
    <row r="1438" spans="2:17" ht="18" customHeight="1" x14ac:dyDescent="0.3">
      <c r="B1438" s="26"/>
      <c r="C1438" s="17"/>
      <c r="D1438" s="27"/>
      <c r="E1438" s="18"/>
      <c r="F1438" s="18"/>
      <c r="G1438" s="18"/>
      <c r="H1438" s="30" t="str">
        <f t="shared" si="154"/>
        <v/>
      </c>
      <c r="I1438" s="31" t="str">
        <f>IF(OR(B1438="",C1438=""),"",IFERROR(E1438*IF(E1438="",0,VLOOKUP(C1438,'📦 Precios Proforma'!$B$5:$D$104,IF(D1438="DIA",2,3),FALSE)),0))</f>
        <v/>
      </c>
      <c r="J1438" s="31" t="str">
        <f t="shared" si="155"/>
        <v/>
      </c>
      <c r="K1438" s="31" t="str">
        <f t="shared" si="156"/>
        <v/>
      </c>
      <c r="L1438" s="31" t="str">
        <f>IF(OR(B1438="",C1438=""),"",IFERROR(E1438 / SUMIFS('📅 Resumen Diario'!$D$5:$D$504, '📅 Resumen Diario'!$B$5:$B$504, B1438, '📅 Resumen Diario'!$C$5:$C$504, D1438) * SUMIFS('📅 Resumen Diario'!$K$5:$K$504, '📅 Resumen Diario'!$B$5:$B$504, B1438, '📅 Resumen Diario'!$C$5:$C$504, D1438), 0))</f>
        <v/>
      </c>
      <c r="M1438" s="31" t="str">
        <f t="shared" si="157"/>
        <v/>
      </c>
      <c r="N1438" s="31" t="str">
        <f t="shared" si="158"/>
        <v/>
      </c>
      <c r="O1438" s="31" t="str">
        <f>IF(OR(B1438="",C1438=""),"",K1438-N1438 + IFERROR(E1438 / SUMIFS('📅 Resumen Diario'!$D$5:$D$504, '📅 Resumen Diario'!$B$5:$B$504, B1438, '📅 Resumen Diario'!$C$5:$C$504, D1438) * (SUMIFS('📋 Detalle Diario'!$E$5:$E$489, '📋 Detalle Diario'!$B$5:$B$489, B1438, '📋 Detalle Diario'!$C$5:$C$489, D1438) * 135 + SUMIFS('📋 Detalle Diario'!$I$5:$I$489, '📋 Detalle Diario'!$B$5:$B$489, B1438, '📋 Detalle Diario'!$C$5:$C$489, D1438) * 200), 0))</f>
        <v/>
      </c>
      <c r="P1438" s="32" t="str">
        <f t="shared" si="159"/>
        <v/>
      </c>
      <c r="Q1438" s="33" t="str">
        <f t="shared" si="160"/>
        <v/>
      </c>
    </row>
    <row r="1439" spans="2:17" ht="18" customHeight="1" x14ac:dyDescent="0.3">
      <c r="B1439" s="26"/>
      <c r="C1439" s="28"/>
      <c r="D1439" s="27"/>
      <c r="E1439" s="29"/>
      <c r="F1439" s="29"/>
      <c r="G1439" s="29"/>
      <c r="H1439" s="30" t="str">
        <f t="shared" si="154"/>
        <v/>
      </c>
      <c r="I1439" s="31" t="str">
        <f>IF(OR(B1439="",C1439=""),"",IFERROR(E1439*IF(E1439="",0,VLOOKUP(C1439,'📦 Precios Proforma'!$B$5:$D$104,IF(D1439="DIA",2,3),FALSE)),0))</f>
        <v/>
      </c>
      <c r="J1439" s="31" t="str">
        <f t="shared" si="155"/>
        <v/>
      </c>
      <c r="K1439" s="31" t="str">
        <f t="shared" si="156"/>
        <v/>
      </c>
      <c r="L1439" s="31" t="str">
        <f>IF(OR(B1439="",C1439=""),"",IFERROR(E1439 / SUMIFS('📅 Resumen Diario'!$D$5:$D$504, '📅 Resumen Diario'!$B$5:$B$504, B1439, '📅 Resumen Diario'!$C$5:$C$504, D1439) * SUMIFS('📅 Resumen Diario'!$K$5:$K$504, '📅 Resumen Diario'!$B$5:$B$504, B1439, '📅 Resumen Diario'!$C$5:$C$504, D1439), 0))</f>
        <v/>
      </c>
      <c r="M1439" s="31" t="str">
        <f t="shared" si="157"/>
        <v/>
      </c>
      <c r="N1439" s="31" t="str">
        <f t="shared" si="158"/>
        <v/>
      </c>
      <c r="O1439" s="31" t="str">
        <f>IF(OR(B1439="",C1439=""),"",K1439-N1439 + IFERROR(E1439 / SUMIFS('📅 Resumen Diario'!$D$5:$D$504, '📅 Resumen Diario'!$B$5:$B$504, B1439, '📅 Resumen Diario'!$C$5:$C$504, D1439) * (SUMIFS('📋 Detalle Diario'!$E$5:$E$489, '📋 Detalle Diario'!$B$5:$B$489, B1439, '📋 Detalle Diario'!$C$5:$C$489, D1439) * 135 + SUMIFS('📋 Detalle Diario'!$I$5:$I$489, '📋 Detalle Diario'!$B$5:$B$489, B1439, '📋 Detalle Diario'!$C$5:$C$489, D1439) * 200), 0))</f>
        <v/>
      </c>
      <c r="P1439" s="32" t="str">
        <f t="shared" si="159"/>
        <v/>
      </c>
      <c r="Q1439" s="33" t="str">
        <f t="shared" si="160"/>
        <v/>
      </c>
    </row>
    <row r="1440" spans="2:17" ht="18" customHeight="1" x14ac:dyDescent="0.3">
      <c r="B1440" s="26"/>
      <c r="C1440" s="17"/>
      <c r="D1440" s="27"/>
      <c r="E1440" s="18"/>
      <c r="F1440" s="18"/>
      <c r="G1440" s="18"/>
      <c r="H1440" s="30" t="str">
        <f t="shared" si="154"/>
        <v/>
      </c>
      <c r="I1440" s="31" t="str">
        <f>IF(OR(B1440="",C1440=""),"",IFERROR(E1440*IF(E1440="",0,VLOOKUP(C1440,'📦 Precios Proforma'!$B$5:$D$104,IF(D1440="DIA",2,3),FALSE)),0))</f>
        <v/>
      </c>
      <c r="J1440" s="31" t="str">
        <f t="shared" si="155"/>
        <v/>
      </c>
      <c r="K1440" s="31" t="str">
        <f t="shared" si="156"/>
        <v/>
      </c>
      <c r="L1440" s="31" t="str">
        <f>IF(OR(B1440="",C1440=""),"",IFERROR(E1440 / SUMIFS('📅 Resumen Diario'!$D$5:$D$504, '📅 Resumen Diario'!$B$5:$B$504, B1440, '📅 Resumen Diario'!$C$5:$C$504, D1440) * SUMIFS('📅 Resumen Diario'!$K$5:$K$504, '📅 Resumen Diario'!$B$5:$B$504, B1440, '📅 Resumen Diario'!$C$5:$C$504, D1440), 0))</f>
        <v/>
      </c>
      <c r="M1440" s="31" t="str">
        <f t="shared" si="157"/>
        <v/>
      </c>
      <c r="N1440" s="31" t="str">
        <f t="shared" si="158"/>
        <v/>
      </c>
      <c r="O1440" s="31" t="str">
        <f>IF(OR(B1440="",C1440=""),"",K1440-N1440 + IFERROR(E1440 / SUMIFS('📅 Resumen Diario'!$D$5:$D$504, '📅 Resumen Diario'!$B$5:$B$504, B1440, '📅 Resumen Diario'!$C$5:$C$504, D1440) * (SUMIFS('📋 Detalle Diario'!$E$5:$E$489, '📋 Detalle Diario'!$B$5:$B$489, B1440, '📋 Detalle Diario'!$C$5:$C$489, D1440) * 135 + SUMIFS('📋 Detalle Diario'!$I$5:$I$489, '📋 Detalle Diario'!$B$5:$B$489, B1440, '📋 Detalle Diario'!$C$5:$C$489, D1440) * 200), 0))</f>
        <v/>
      </c>
      <c r="P1440" s="32" t="str">
        <f t="shared" si="159"/>
        <v/>
      </c>
      <c r="Q1440" s="33" t="str">
        <f t="shared" si="160"/>
        <v/>
      </c>
    </row>
    <row r="1441" spans="2:17" ht="18" customHeight="1" x14ac:dyDescent="0.3">
      <c r="B1441" s="26"/>
      <c r="C1441" s="28"/>
      <c r="D1441" s="27"/>
      <c r="E1441" s="29"/>
      <c r="F1441" s="29"/>
      <c r="G1441" s="29"/>
      <c r="H1441" s="30" t="str">
        <f t="shared" si="154"/>
        <v/>
      </c>
      <c r="I1441" s="31" t="str">
        <f>IF(OR(B1441="",C1441=""),"",IFERROR(E1441*IF(E1441="",0,VLOOKUP(C1441,'📦 Precios Proforma'!$B$5:$D$104,IF(D1441="DIA",2,3),FALSE)),0))</f>
        <v/>
      </c>
      <c r="J1441" s="31" t="str">
        <f t="shared" si="155"/>
        <v/>
      </c>
      <c r="K1441" s="31" t="str">
        <f t="shared" si="156"/>
        <v/>
      </c>
      <c r="L1441" s="31" t="str">
        <f>IF(OR(B1441="",C1441=""),"",IFERROR(E1441 / SUMIFS('📅 Resumen Diario'!$D$5:$D$504, '📅 Resumen Diario'!$B$5:$B$504, B1441, '📅 Resumen Diario'!$C$5:$C$504, D1441) * SUMIFS('📅 Resumen Diario'!$K$5:$K$504, '📅 Resumen Diario'!$B$5:$B$504, B1441, '📅 Resumen Diario'!$C$5:$C$504, D1441), 0))</f>
        <v/>
      </c>
      <c r="M1441" s="31" t="str">
        <f t="shared" si="157"/>
        <v/>
      </c>
      <c r="N1441" s="31" t="str">
        <f t="shared" si="158"/>
        <v/>
      </c>
      <c r="O1441" s="31" t="str">
        <f>IF(OR(B1441="",C1441=""),"",K1441-N1441 + IFERROR(E1441 / SUMIFS('📅 Resumen Diario'!$D$5:$D$504, '📅 Resumen Diario'!$B$5:$B$504, B1441, '📅 Resumen Diario'!$C$5:$C$504, D1441) * (SUMIFS('📋 Detalle Diario'!$E$5:$E$489, '📋 Detalle Diario'!$B$5:$B$489, B1441, '📋 Detalle Diario'!$C$5:$C$489, D1441) * 135 + SUMIFS('📋 Detalle Diario'!$I$5:$I$489, '📋 Detalle Diario'!$B$5:$B$489, B1441, '📋 Detalle Diario'!$C$5:$C$489, D1441) * 200), 0))</f>
        <v/>
      </c>
      <c r="P1441" s="32" t="str">
        <f t="shared" si="159"/>
        <v/>
      </c>
      <c r="Q1441" s="33" t="str">
        <f t="shared" si="160"/>
        <v/>
      </c>
    </row>
    <row r="1442" spans="2:17" ht="18" customHeight="1" x14ac:dyDescent="0.3">
      <c r="B1442" s="26"/>
      <c r="C1442" s="17"/>
      <c r="D1442" s="27"/>
      <c r="E1442" s="18"/>
      <c r="F1442" s="18"/>
      <c r="G1442" s="18"/>
      <c r="H1442" s="30" t="str">
        <f t="shared" si="154"/>
        <v/>
      </c>
      <c r="I1442" s="31" t="str">
        <f>IF(OR(B1442="",C1442=""),"",IFERROR(E1442*IF(E1442="",0,VLOOKUP(C1442,'📦 Precios Proforma'!$B$5:$D$104,IF(D1442="DIA",2,3),FALSE)),0))</f>
        <v/>
      </c>
      <c r="J1442" s="31" t="str">
        <f t="shared" si="155"/>
        <v/>
      </c>
      <c r="K1442" s="31" t="str">
        <f t="shared" si="156"/>
        <v/>
      </c>
      <c r="L1442" s="31" t="str">
        <f>IF(OR(B1442="",C1442=""),"",IFERROR(E1442 / SUMIFS('📅 Resumen Diario'!$D$5:$D$504, '📅 Resumen Diario'!$B$5:$B$504, B1442, '📅 Resumen Diario'!$C$5:$C$504, D1442) * SUMIFS('📅 Resumen Diario'!$K$5:$K$504, '📅 Resumen Diario'!$B$5:$B$504, B1442, '📅 Resumen Diario'!$C$5:$C$504, D1442), 0))</f>
        <v/>
      </c>
      <c r="M1442" s="31" t="str">
        <f t="shared" si="157"/>
        <v/>
      </c>
      <c r="N1442" s="31" t="str">
        <f t="shared" si="158"/>
        <v/>
      </c>
      <c r="O1442" s="31" t="str">
        <f>IF(OR(B1442="",C1442=""),"",K1442-N1442 + IFERROR(E1442 / SUMIFS('📅 Resumen Diario'!$D$5:$D$504, '📅 Resumen Diario'!$B$5:$B$504, B1442, '📅 Resumen Diario'!$C$5:$C$504, D1442) * (SUMIFS('📋 Detalle Diario'!$E$5:$E$489, '📋 Detalle Diario'!$B$5:$B$489, B1442, '📋 Detalle Diario'!$C$5:$C$489, D1442) * 135 + SUMIFS('📋 Detalle Diario'!$I$5:$I$489, '📋 Detalle Diario'!$B$5:$B$489, B1442, '📋 Detalle Diario'!$C$5:$C$489, D1442) * 200), 0))</f>
        <v/>
      </c>
      <c r="P1442" s="32" t="str">
        <f t="shared" si="159"/>
        <v/>
      </c>
      <c r="Q1442" s="33" t="str">
        <f t="shared" si="160"/>
        <v/>
      </c>
    </row>
    <row r="1443" spans="2:17" ht="18" customHeight="1" x14ac:dyDescent="0.3">
      <c r="B1443" s="26"/>
      <c r="C1443" s="28"/>
      <c r="D1443" s="27"/>
      <c r="E1443" s="29"/>
      <c r="F1443" s="29"/>
      <c r="G1443" s="29"/>
      <c r="H1443" s="30" t="str">
        <f t="shared" si="154"/>
        <v/>
      </c>
      <c r="I1443" s="31" t="str">
        <f>IF(OR(B1443="",C1443=""),"",IFERROR(E1443*IF(E1443="",0,VLOOKUP(C1443,'📦 Precios Proforma'!$B$5:$D$104,IF(D1443="DIA",2,3),FALSE)),0))</f>
        <v/>
      </c>
      <c r="J1443" s="31" t="str">
        <f t="shared" si="155"/>
        <v/>
      </c>
      <c r="K1443" s="31" t="str">
        <f t="shared" si="156"/>
        <v/>
      </c>
      <c r="L1443" s="31" t="str">
        <f>IF(OR(B1443="",C1443=""),"",IFERROR(E1443 / SUMIFS('📅 Resumen Diario'!$D$5:$D$504, '📅 Resumen Diario'!$B$5:$B$504, B1443, '📅 Resumen Diario'!$C$5:$C$504, D1443) * SUMIFS('📅 Resumen Diario'!$K$5:$K$504, '📅 Resumen Diario'!$B$5:$B$504, B1443, '📅 Resumen Diario'!$C$5:$C$504, D1443), 0))</f>
        <v/>
      </c>
      <c r="M1443" s="31" t="str">
        <f t="shared" si="157"/>
        <v/>
      </c>
      <c r="N1443" s="31" t="str">
        <f t="shared" si="158"/>
        <v/>
      </c>
      <c r="O1443" s="31" t="str">
        <f>IF(OR(B1443="",C1443=""),"",K1443-N1443 + IFERROR(E1443 / SUMIFS('📅 Resumen Diario'!$D$5:$D$504, '📅 Resumen Diario'!$B$5:$B$504, B1443, '📅 Resumen Diario'!$C$5:$C$504, D1443) * (SUMIFS('📋 Detalle Diario'!$E$5:$E$489, '📋 Detalle Diario'!$B$5:$B$489, B1443, '📋 Detalle Diario'!$C$5:$C$489, D1443) * 135 + SUMIFS('📋 Detalle Diario'!$I$5:$I$489, '📋 Detalle Diario'!$B$5:$B$489, B1443, '📋 Detalle Diario'!$C$5:$C$489, D1443) * 200), 0))</f>
        <v/>
      </c>
      <c r="P1443" s="32" t="str">
        <f t="shared" si="159"/>
        <v/>
      </c>
      <c r="Q1443" s="33" t="str">
        <f t="shared" si="160"/>
        <v/>
      </c>
    </row>
    <row r="1444" spans="2:17" ht="18" customHeight="1" x14ac:dyDescent="0.3">
      <c r="B1444" s="26"/>
      <c r="C1444" s="17"/>
      <c r="D1444" s="27"/>
      <c r="E1444" s="18"/>
      <c r="F1444" s="18"/>
      <c r="G1444" s="18"/>
      <c r="H1444" s="30" t="str">
        <f t="shared" si="154"/>
        <v/>
      </c>
      <c r="I1444" s="31" t="str">
        <f>IF(OR(B1444="",C1444=""),"",IFERROR(E1444*IF(E1444="",0,VLOOKUP(C1444,'📦 Precios Proforma'!$B$5:$D$104,IF(D1444="DIA",2,3),FALSE)),0))</f>
        <v/>
      </c>
      <c r="J1444" s="31" t="str">
        <f t="shared" si="155"/>
        <v/>
      </c>
      <c r="K1444" s="31" t="str">
        <f t="shared" si="156"/>
        <v/>
      </c>
      <c r="L1444" s="31" t="str">
        <f>IF(OR(B1444="",C1444=""),"",IFERROR(E1444 / SUMIFS('📅 Resumen Diario'!$D$5:$D$504, '📅 Resumen Diario'!$B$5:$B$504, B1444, '📅 Resumen Diario'!$C$5:$C$504, D1444) * SUMIFS('📅 Resumen Diario'!$K$5:$K$504, '📅 Resumen Diario'!$B$5:$B$504, B1444, '📅 Resumen Diario'!$C$5:$C$504, D1444), 0))</f>
        <v/>
      </c>
      <c r="M1444" s="31" t="str">
        <f t="shared" si="157"/>
        <v/>
      </c>
      <c r="N1444" s="31" t="str">
        <f t="shared" si="158"/>
        <v/>
      </c>
      <c r="O1444" s="31" t="str">
        <f>IF(OR(B1444="",C1444=""),"",K1444-N1444 + IFERROR(E1444 / SUMIFS('📅 Resumen Diario'!$D$5:$D$504, '📅 Resumen Diario'!$B$5:$B$504, B1444, '📅 Resumen Diario'!$C$5:$C$504, D1444) * (SUMIFS('📋 Detalle Diario'!$E$5:$E$489, '📋 Detalle Diario'!$B$5:$B$489, B1444, '📋 Detalle Diario'!$C$5:$C$489, D1444) * 135 + SUMIFS('📋 Detalle Diario'!$I$5:$I$489, '📋 Detalle Diario'!$B$5:$B$489, B1444, '📋 Detalle Diario'!$C$5:$C$489, D1444) * 200), 0))</f>
        <v/>
      </c>
      <c r="P1444" s="32" t="str">
        <f t="shared" si="159"/>
        <v/>
      </c>
      <c r="Q1444" s="33" t="str">
        <f t="shared" si="160"/>
        <v/>
      </c>
    </row>
    <row r="1445" spans="2:17" ht="18" customHeight="1" x14ac:dyDescent="0.3">
      <c r="B1445" s="26"/>
      <c r="C1445" s="28"/>
      <c r="D1445" s="27"/>
      <c r="E1445" s="29"/>
      <c r="F1445" s="29"/>
      <c r="G1445" s="29"/>
      <c r="H1445" s="30" t="str">
        <f t="shared" si="154"/>
        <v/>
      </c>
      <c r="I1445" s="31" t="str">
        <f>IF(OR(B1445="",C1445=""),"",IFERROR(E1445*IF(E1445="",0,VLOOKUP(C1445,'📦 Precios Proforma'!$B$5:$D$104,IF(D1445="DIA",2,3),FALSE)),0))</f>
        <v/>
      </c>
      <c r="J1445" s="31" t="str">
        <f t="shared" si="155"/>
        <v/>
      </c>
      <c r="K1445" s="31" t="str">
        <f t="shared" si="156"/>
        <v/>
      </c>
      <c r="L1445" s="31" t="str">
        <f>IF(OR(B1445="",C1445=""),"",IFERROR(E1445 / SUMIFS('📅 Resumen Diario'!$D$5:$D$504, '📅 Resumen Diario'!$B$5:$B$504, B1445, '📅 Resumen Diario'!$C$5:$C$504, D1445) * SUMIFS('📅 Resumen Diario'!$K$5:$K$504, '📅 Resumen Diario'!$B$5:$B$504, B1445, '📅 Resumen Diario'!$C$5:$C$504, D1445), 0))</f>
        <v/>
      </c>
      <c r="M1445" s="31" t="str">
        <f t="shared" si="157"/>
        <v/>
      </c>
      <c r="N1445" s="31" t="str">
        <f t="shared" si="158"/>
        <v/>
      </c>
      <c r="O1445" s="31" t="str">
        <f>IF(OR(B1445="",C1445=""),"",K1445-N1445 + IFERROR(E1445 / SUMIFS('📅 Resumen Diario'!$D$5:$D$504, '📅 Resumen Diario'!$B$5:$B$504, B1445, '📅 Resumen Diario'!$C$5:$C$504, D1445) * (SUMIFS('📋 Detalle Diario'!$E$5:$E$489, '📋 Detalle Diario'!$B$5:$B$489, B1445, '📋 Detalle Diario'!$C$5:$C$489, D1445) * 135 + SUMIFS('📋 Detalle Diario'!$I$5:$I$489, '📋 Detalle Diario'!$B$5:$B$489, B1445, '📋 Detalle Diario'!$C$5:$C$489, D1445) * 200), 0))</f>
        <v/>
      </c>
      <c r="P1445" s="32" t="str">
        <f t="shared" si="159"/>
        <v/>
      </c>
      <c r="Q1445" s="33" t="str">
        <f t="shared" si="160"/>
        <v/>
      </c>
    </row>
    <row r="1446" spans="2:17" ht="18" customHeight="1" x14ac:dyDescent="0.3">
      <c r="B1446" s="26"/>
      <c r="C1446" s="17"/>
      <c r="D1446" s="27"/>
      <c r="E1446" s="18"/>
      <c r="F1446" s="18"/>
      <c r="G1446" s="18"/>
      <c r="H1446" s="30" t="str">
        <f t="shared" si="154"/>
        <v/>
      </c>
      <c r="I1446" s="31" t="str">
        <f>IF(OR(B1446="",C1446=""),"",IFERROR(E1446*IF(E1446="",0,VLOOKUP(C1446,'📦 Precios Proforma'!$B$5:$D$104,IF(D1446="DIA",2,3),FALSE)),0))</f>
        <v/>
      </c>
      <c r="J1446" s="31" t="str">
        <f t="shared" si="155"/>
        <v/>
      </c>
      <c r="K1446" s="31" t="str">
        <f t="shared" si="156"/>
        <v/>
      </c>
      <c r="L1446" s="31" t="str">
        <f>IF(OR(B1446="",C1446=""),"",IFERROR(E1446 / SUMIFS('📅 Resumen Diario'!$D$5:$D$504, '📅 Resumen Diario'!$B$5:$B$504, B1446, '📅 Resumen Diario'!$C$5:$C$504, D1446) * SUMIFS('📅 Resumen Diario'!$K$5:$K$504, '📅 Resumen Diario'!$B$5:$B$504, B1446, '📅 Resumen Diario'!$C$5:$C$504, D1446), 0))</f>
        <v/>
      </c>
      <c r="M1446" s="31" t="str">
        <f t="shared" si="157"/>
        <v/>
      </c>
      <c r="N1446" s="31" t="str">
        <f t="shared" si="158"/>
        <v/>
      </c>
      <c r="O1446" s="31" t="str">
        <f>IF(OR(B1446="",C1446=""),"",K1446-N1446 + IFERROR(E1446 / SUMIFS('📅 Resumen Diario'!$D$5:$D$504, '📅 Resumen Diario'!$B$5:$B$504, B1446, '📅 Resumen Diario'!$C$5:$C$504, D1446) * (SUMIFS('📋 Detalle Diario'!$E$5:$E$489, '📋 Detalle Diario'!$B$5:$B$489, B1446, '📋 Detalle Diario'!$C$5:$C$489, D1446) * 135 + SUMIFS('📋 Detalle Diario'!$I$5:$I$489, '📋 Detalle Diario'!$B$5:$B$489, B1446, '📋 Detalle Diario'!$C$5:$C$489, D1446) * 200), 0))</f>
        <v/>
      </c>
      <c r="P1446" s="32" t="str">
        <f t="shared" si="159"/>
        <v/>
      </c>
      <c r="Q1446" s="33" t="str">
        <f t="shared" si="160"/>
        <v/>
      </c>
    </row>
    <row r="1447" spans="2:17" ht="18" customHeight="1" x14ac:dyDescent="0.3">
      <c r="B1447" s="26"/>
      <c r="C1447" s="28"/>
      <c r="D1447" s="27"/>
      <c r="E1447" s="29"/>
      <c r="F1447" s="29"/>
      <c r="G1447" s="29"/>
      <c r="H1447" s="30" t="str">
        <f t="shared" si="154"/>
        <v/>
      </c>
      <c r="I1447" s="31" t="str">
        <f>IF(OR(B1447="",C1447=""),"",IFERROR(E1447*IF(E1447="",0,VLOOKUP(C1447,'📦 Precios Proforma'!$B$5:$D$104,IF(D1447="DIA",2,3),FALSE)),0))</f>
        <v/>
      </c>
      <c r="J1447" s="31" t="str">
        <f t="shared" si="155"/>
        <v/>
      </c>
      <c r="K1447" s="31" t="str">
        <f t="shared" si="156"/>
        <v/>
      </c>
      <c r="L1447" s="31" t="str">
        <f>IF(OR(B1447="",C1447=""),"",IFERROR(E1447 / SUMIFS('📅 Resumen Diario'!$D$5:$D$504, '📅 Resumen Diario'!$B$5:$B$504, B1447, '📅 Resumen Diario'!$C$5:$C$504, D1447) * SUMIFS('📅 Resumen Diario'!$K$5:$K$504, '📅 Resumen Diario'!$B$5:$B$504, B1447, '📅 Resumen Diario'!$C$5:$C$504, D1447), 0))</f>
        <v/>
      </c>
      <c r="M1447" s="31" t="str">
        <f t="shared" si="157"/>
        <v/>
      </c>
      <c r="N1447" s="31" t="str">
        <f t="shared" si="158"/>
        <v/>
      </c>
      <c r="O1447" s="31" t="str">
        <f>IF(OR(B1447="",C1447=""),"",K1447-N1447 + IFERROR(E1447 / SUMIFS('📅 Resumen Diario'!$D$5:$D$504, '📅 Resumen Diario'!$B$5:$B$504, B1447, '📅 Resumen Diario'!$C$5:$C$504, D1447) * (SUMIFS('📋 Detalle Diario'!$E$5:$E$489, '📋 Detalle Diario'!$B$5:$B$489, B1447, '📋 Detalle Diario'!$C$5:$C$489, D1447) * 135 + SUMIFS('📋 Detalle Diario'!$I$5:$I$489, '📋 Detalle Diario'!$B$5:$B$489, B1447, '📋 Detalle Diario'!$C$5:$C$489, D1447) * 200), 0))</f>
        <v/>
      </c>
      <c r="P1447" s="32" t="str">
        <f t="shared" si="159"/>
        <v/>
      </c>
      <c r="Q1447" s="33" t="str">
        <f t="shared" si="160"/>
        <v/>
      </c>
    </row>
    <row r="1448" spans="2:17" ht="18" customHeight="1" x14ac:dyDescent="0.3">
      <c r="B1448" s="26"/>
      <c r="C1448" s="17"/>
      <c r="D1448" s="27"/>
      <c r="E1448" s="18"/>
      <c r="F1448" s="18"/>
      <c r="G1448" s="18"/>
      <c r="H1448" s="30" t="str">
        <f t="shared" si="154"/>
        <v/>
      </c>
      <c r="I1448" s="31" t="str">
        <f>IF(OR(B1448="",C1448=""),"",IFERROR(E1448*IF(E1448="",0,VLOOKUP(C1448,'📦 Precios Proforma'!$B$5:$D$104,IF(D1448="DIA",2,3),FALSE)),0))</f>
        <v/>
      </c>
      <c r="J1448" s="31" t="str">
        <f t="shared" si="155"/>
        <v/>
      </c>
      <c r="K1448" s="31" t="str">
        <f t="shared" si="156"/>
        <v/>
      </c>
      <c r="L1448" s="31" t="str">
        <f>IF(OR(B1448="",C1448=""),"",IFERROR(E1448 / SUMIFS('📅 Resumen Diario'!$D$5:$D$504, '📅 Resumen Diario'!$B$5:$B$504, B1448, '📅 Resumen Diario'!$C$5:$C$504, D1448) * SUMIFS('📅 Resumen Diario'!$K$5:$K$504, '📅 Resumen Diario'!$B$5:$B$504, B1448, '📅 Resumen Diario'!$C$5:$C$504, D1448), 0))</f>
        <v/>
      </c>
      <c r="M1448" s="31" t="str">
        <f t="shared" si="157"/>
        <v/>
      </c>
      <c r="N1448" s="31" t="str">
        <f t="shared" si="158"/>
        <v/>
      </c>
      <c r="O1448" s="31" t="str">
        <f>IF(OR(B1448="",C1448=""),"",K1448-N1448 + IFERROR(E1448 / SUMIFS('📅 Resumen Diario'!$D$5:$D$504, '📅 Resumen Diario'!$B$5:$B$504, B1448, '📅 Resumen Diario'!$C$5:$C$504, D1448) * (SUMIFS('📋 Detalle Diario'!$E$5:$E$489, '📋 Detalle Diario'!$B$5:$B$489, B1448, '📋 Detalle Diario'!$C$5:$C$489, D1448) * 135 + SUMIFS('📋 Detalle Diario'!$I$5:$I$489, '📋 Detalle Diario'!$B$5:$B$489, B1448, '📋 Detalle Diario'!$C$5:$C$489, D1448) * 200), 0))</f>
        <v/>
      </c>
      <c r="P1448" s="32" t="str">
        <f t="shared" si="159"/>
        <v/>
      </c>
      <c r="Q1448" s="33" t="str">
        <f t="shared" si="160"/>
        <v/>
      </c>
    </row>
    <row r="1449" spans="2:17" ht="18" customHeight="1" x14ac:dyDescent="0.3">
      <c r="B1449" s="26"/>
      <c r="C1449" s="28"/>
      <c r="D1449" s="27"/>
      <c r="E1449" s="29"/>
      <c r="F1449" s="29"/>
      <c r="G1449" s="29"/>
      <c r="H1449" s="30" t="str">
        <f t="shared" si="154"/>
        <v/>
      </c>
      <c r="I1449" s="31" t="str">
        <f>IF(OR(B1449="",C1449=""),"",IFERROR(E1449*IF(E1449="",0,VLOOKUP(C1449,'📦 Precios Proforma'!$B$5:$D$104,IF(D1449="DIA",2,3),FALSE)),0))</f>
        <v/>
      </c>
      <c r="J1449" s="31" t="str">
        <f t="shared" si="155"/>
        <v/>
      </c>
      <c r="K1449" s="31" t="str">
        <f t="shared" si="156"/>
        <v/>
      </c>
      <c r="L1449" s="31" t="str">
        <f>IF(OR(B1449="",C1449=""),"",IFERROR(E1449 / SUMIFS('📅 Resumen Diario'!$D$5:$D$504, '📅 Resumen Diario'!$B$5:$B$504, B1449, '📅 Resumen Diario'!$C$5:$C$504, D1449) * SUMIFS('📅 Resumen Diario'!$K$5:$K$504, '📅 Resumen Diario'!$B$5:$B$504, B1449, '📅 Resumen Diario'!$C$5:$C$504, D1449), 0))</f>
        <v/>
      </c>
      <c r="M1449" s="31" t="str">
        <f t="shared" si="157"/>
        <v/>
      </c>
      <c r="N1449" s="31" t="str">
        <f t="shared" si="158"/>
        <v/>
      </c>
      <c r="O1449" s="31" t="str">
        <f>IF(OR(B1449="",C1449=""),"",K1449-N1449 + IFERROR(E1449 / SUMIFS('📅 Resumen Diario'!$D$5:$D$504, '📅 Resumen Diario'!$B$5:$B$504, B1449, '📅 Resumen Diario'!$C$5:$C$504, D1449) * (SUMIFS('📋 Detalle Diario'!$E$5:$E$489, '📋 Detalle Diario'!$B$5:$B$489, B1449, '📋 Detalle Diario'!$C$5:$C$489, D1449) * 135 + SUMIFS('📋 Detalle Diario'!$I$5:$I$489, '📋 Detalle Diario'!$B$5:$B$489, B1449, '📋 Detalle Diario'!$C$5:$C$489, D1449) * 200), 0))</f>
        <v/>
      </c>
      <c r="P1449" s="32" t="str">
        <f t="shared" si="159"/>
        <v/>
      </c>
      <c r="Q1449" s="33" t="str">
        <f t="shared" si="160"/>
        <v/>
      </c>
    </row>
    <row r="1450" spans="2:17" ht="18" customHeight="1" x14ac:dyDescent="0.3">
      <c r="B1450" s="26"/>
      <c r="C1450" s="17"/>
      <c r="D1450" s="27"/>
      <c r="E1450" s="18"/>
      <c r="F1450" s="18"/>
      <c r="G1450" s="18"/>
      <c r="H1450" s="30" t="str">
        <f t="shared" si="154"/>
        <v/>
      </c>
      <c r="I1450" s="31" t="str">
        <f>IF(OR(B1450="",C1450=""),"",IFERROR(E1450*IF(E1450="",0,VLOOKUP(C1450,'📦 Precios Proforma'!$B$5:$D$104,IF(D1450="DIA",2,3),FALSE)),0))</f>
        <v/>
      </c>
      <c r="J1450" s="31" t="str">
        <f t="shared" si="155"/>
        <v/>
      </c>
      <c r="K1450" s="31" t="str">
        <f t="shared" si="156"/>
        <v/>
      </c>
      <c r="L1450" s="31" t="str">
        <f>IF(OR(B1450="",C1450=""),"",IFERROR(E1450 / SUMIFS('📅 Resumen Diario'!$D$5:$D$504, '📅 Resumen Diario'!$B$5:$B$504, B1450, '📅 Resumen Diario'!$C$5:$C$504, D1450) * SUMIFS('📅 Resumen Diario'!$K$5:$K$504, '📅 Resumen Diario'!$B$5:$B$504, B1450, '📅 Resumen Diario'!$C$5:$C$504, D1450), 0))</f>
        <v/>
      </c>
      <c r="M1450" s="31" t="str">
        <f t="shared" si="157"/>
        <v/>
      </c>
      <c r="N1450" s="31" t="str">
        <f t="shared" si="158"/>
        <v/>
      </c>
      <c r="O1450" s="31" t="str">
        <f>IF(OR(B1450="",C1450=""),"",K1450-N1450 + IFERROR(E1450 / SUMIFS('📅 Resumen Diario'!$D$5:$D$504, '📅 Resumen Diario'!$B$5:$B$504, B1450, '📅 Resumen Diario'!$C$5:$C$504, D1450) * (SUMIFS('📋 Detalle Diario'!$E$5:$E$489, '📋 Detalle Diario'!$B$5:$B$489, B1450, '📋 Detalle Diario'!$C$5:$C$489, D1450) * 135 + SUMIFS('📋 Detalle Diario'!$I$5:$I$489, '📋 Detalle Diario'!$B$5:$B$489, B1450, '📋 Detalle Diario'!$C$5:$C$489, D1450) * 200), 0))</f>
        <v/>
      </c>
      <c r="P1450" s="32" t="str">
        <f t="shared" si="159"/>
        <v/>
      </c>
      <c r="Q1450" s="33" t="str">
        <f t="shared" si="160"/>
        <v/>
      </c>
    </row>
    <row r="1451" spans="2:17" ht="18" customHeight="1" x14ac:dyDescent="0.3">
      <c r="B1451" s="26"/>
      <c r="C1451" s="28"/>
      <c r="D1451" s="27"/>
      <c r="E1451" s="29"/>
      <c r="F1451" s="29"/>
      <c r="G1451" s="29"/>
      <c r="H1451" s="30" t="str">
        <f t="shared" si="154"/>
        <v/>
      </c>
      <c r="I1451" s="31" t="str">
        <f>IF(OR(B1451="",C1451=""),"",IFERROR(E1451*IF(E1451="",0,VLOOKUP(C1451,'📦 Precios Proforma'!$B$5:$D$104,IF(D1451="DIA",2,3),FALSE)),0))</f>
        <v/>
      </c>
      <c r="J1451" s="31" t="str">
        <f t="shared" si="155"/>
        <v/>
      </c>
      <c r="K1451" s="31" t="str">
        <f t="shared" si="156"/>
        <v/>
      </c>
      <c r="L1451" s="31" t="str">
        <f>IF(OR(B1451="",C1451=""),"",IFERROR(E1451 / SUMIFS('📅 Resumen Diario'!$D$5:$D$504, '📅 Resumen Diario'!$B$5:$B$504, B1451, '📅 Resumen Diario'!$C$5:$C$504, D1451) * SUMIFS('📅 Resumen Diario'!$K$5:$K$504, '📅 Resumen Diario'!$B$5:$B$504, B1451, '📅 Resumen Diario'!$C$5:$C$504, D1451), 0))</f>
        <v/>
      </c>
      <c r="M1451" s="31" t="str">
        <f t="shared" si="157"/>
        <v/>
      </c>
      <c r="N1451" s="31" t="str">
        <f t="shared" si="158"/>
        <v/>
      </c>
      <c r="O1451" s="31" t="str">
        <f>IF(OR(B1451="",C1451=""),"",K1451-N1451 + IFERROR(E1451 / SUMIFS('📅 Resumen Diario'!$D$5:$D$504, '📅 Resumen Diario'!$B$5:$B$504, B1451, '📅 Resumen Diario'!$C$5:$C$504, D1451) * (SUMIFS('📋 Detalle Diario'!$E$5:$E$489, '📋 Detalle Diario'!$B$5:$B$489, B1451, '📋 Detalle Diario'!$C$5:$C$489, D1451) * 135 + SUMIFS('📋 Detalle Diario'!$I$5:$I$489, '📋 Detalle Diario'!$B$5:$B$489, B1451, '📋 Detalle Diario'!$C$5:$C$489, D1451) * 200), 0))</f>
        <v/>
      </c>
      <c r="P1451" s="32" t="str">
        <f t="shared" si="159"/>
        <v/>
      </c>
      <c r="Q1451" s="33" t="str">
        <f t="shared" si="160"/>
        <v/>
      </c>
    </row>
    <row r="1452" spans="2:17" ht="18" customHeight="1" x14ac:dyDescent="0.3">
      <c r="B1452" s="26"/>
      <c r="C1452" s="17"/>
      <c r="D1452" s="27"/>
      <c r="E1452" s="18"/>
      <c r="F1452" s="18"/>
      <c r="G1452" s="18"/>
      <c r="H1452" s="30" t="str">
        <f t="shared" si="154"/>
        <v/>
      </c>
      <c r="I1452" s="31" t="str">
        <f>IF(OR(B1452="",C1452=""),"",IFERROR(E1452*IF(E1452="",0,VLOOKUP(C1452,'📦 Precios Proforma'!$B$5:$D$104,IF(D1452="DIA",2,3),FALSE)),0))</f>
        <v/>
      </c>
      <c r="J1452" s="31" t="str">
        <f t="shared" si="155"/>
        <v/>
      </c>
      <c r="K1452" s="31" t="str">
        <f t="shared" si="156"/>
        <v/>
      </c>
      <c r="L1452" s="31" t="str">
        <f>IF(OR(B1452="",C1452=""),"",IFERROR(E1452 / SUMIFS('📅 Resumen Diario'!$D$5:$D$504, '📅 Resumen Diario'!$B$5:$B$504, B1452, '📅 Resumen Diario'!$C$5:$C$504, D1452) * SUMIFS('📅 Resumen Diario'!$K$5:$K$504, '📅 Resumen Diario'!$B$5:$B$504, B1452, '📅 Resumen Diario'!$C$5:$C$504, D1452), 0))</f>
        <v/>
      </c>
      <c r="M1452" s="31" t="str">
        <f t="shared" si="157"/>
        <v/>
      </c>
      <c r="N1452" s="31" t="str">
        <f t="shared" si="158"/>
        <v/>
      </c>
      <c r="O1452" s="31" t="str">
        <f>IF(OR(B1452="",C1452=""),"",K1452-N1452 + IFERROR(E1452 / SUMIFS('📅 Resumen Diario'!$D$5:$D$504, '📅 Resumen Diario'!$B$5:$B$504, B1452, '📅 Resumen Diario'!$C$5:$C$504, D1452) * (SUMIFS('📋 Detalle Diario'!$E$5:$E$489, '📋 Detalle Diario'!$B$5:$B$489, B1452, '📋 Detalle Diario'!$C$5:$C$489, D1452) * 135 + SUMIFS('📋 Detalle Diario'!$I$5:$I$489, '📋 Detalle Diario'!$B$5:$B$489, B1452, '📋 Detalle Diario'!$C$5:$C$489, D1452) * 200), 0))</f>
        <v/>
      </c>
      <c r="P1452" s="32" t="str">
        <f t="shared" si="159"/>
        <v/>
      </c>
      <c r="Q1452" s="33" t="str">
        <f t="shared" si="160"/>
        <v/>
      </c>
    </row>
    <row r="1453" spans="2:17" ht="18" customHeight="1" x14ac:dyDescent="0.3">
      <c r="B1453" s="26"/>
      <c r="C1453" s="28"/>
      <c r="D1453" s="27"/>
      <c r="E1453" s="29"/>
      <c r="F1453" s="29"/>
      <c r="G1453" s="29"/>
      <c r="H1453" s="30" t="str">
        <f t="shared" si="154"/>
        <v/>
      </c>
      <c r="I1453" s="31" t="str">
        <f>IF(OR(B1453="",C1453=""),"",IFERROR(E1453*IF(E1453="",0,VLOOKUP(C1453,'📦 Precios Proforma'!$B$5:$D$104,IF(D1453="DIA",2,3),FALSE)),0))</f>
        <v/>
      </c>
      <c r="J1453" s="31" t="str">
        <f t="shared" si="155"/>
        <v/>
      </c>
      <c r="K1453" s="31" t="str">
        <f t="shared" si="156"/>
        <v/>
      </c>
      <c r="L1453" s="31" t="str">
        <f>IF(OR(B1453="",C1453=""),"",IFERROR(E1453 / SUMIFS('📅 Resumen Diario'!$D$5:$D$504, '📅 Resumen Diario'!$B$5:$B$504, B1453, '📅 Resumen Diario'!$C$5:$C$504, D1453) * SUMIFS('📅 Resumen Diario'!$K$5:$K$504, '📅 Resumen Diario'!$B$5:$B$504, B1453, '📅 Resumen Diario'!$C$5:$C$504, D1453), 0))</f>
        <v/>
      </c>
      <c r="M1453" s="31" t="str">
        <f t="shared" si="157"/>
        <v/>
      </c>
      <c r="N1453" s="31" t="str">
        <f t="shared" si="158"/>
        <v/>
      </c>
      <c r="O1453" s="31" t="str">
        <f>IF(OR(B1453="",C1453=""),"",K1453-N1453 + IFERROR(E1453 / SUMIFS('📅 Resumen Diario'!$D$5:$D$504, '📅 Resumen Diario'!$B$5:$B$504, B1453, '📅 Resumen Diario'!$C$5:$C$504, D1453) * (SUMIFS('📋 Detalle Diario'!$E$5:$E$489, '📋 Detalle Diario'!$B$5:$B$489, B1453, '📋 Detalle Diario'!$C$5:$C$489, D1453) * 135 + SUMIFS('📋 Detalle Diario'!$I$5:$I$489, '📋 Detalle Diario'!$B$5:$B$489, B1453, '📋 Detalle Diario'!$C$5:$C$489, D1453) * 200), 0))</f>
        <v/>
      </c>
      <c r="P1453" s="32" t="str">
        <f t="shared" si="159"/>
        <v/>
      </c>
      <c r="Q1453" s="33" t="str">
        <f t="shared" si="160"/>
        <v/>
      </c>
    </row>
    <row r="1454" spans="2:17" ht="18" customHeight="1" x14ac:dyDescent="0.3">
      <c r="B1454" s="26"/>
      <c r="C1454" s="17"/>
      <c r="D1454" s="27"/>
      <c r="E1454" s="18"/>
      <c r="F1454" s="18"/>
      <c r="G1454" s="18"/>
      <c r="H1454" s="30" t="str">
        <f t="shared" si="154"/>
        <v/>
      </c>
      <c r="I1454" s="31" t="str">
        <f>IF(OR(B1454="",C1454=""),"",IFERROR(E1454*IF(E1454="",0,VLOOKUP(C1454,'📦 Precios Proforma'!$B$5:$D$104,IF(D1454="DIA",2,3),FALSE)),0))</f>
        <v/>
      </c>
      <c r="J1454" s="31" t="str">
        <f t="shared" si="155"/>
        <v/>
      </c>
      <c r="K1454" s="31" t="str">
        <f t="shared" si="156"/>
        <v/>
      </c>
      <c r="L1454" s="31" t="str">
        <f>IF(OR(B1454="",C1454=""),"",IFERROR(E1454 / SUMIFS('📅 Resumen Diario'!$D$5:$D$504, '📅 Resumen Diario'!$B$5:$B$504, B1454, '📅 Resumen Diario'!$C$5:$C$504, D1454) * SUMIFS('📅 Resumen Diario'!$K$5:$K$504, '📅 Resumen Diario'!$B$5:$B$504, B1454, '📅 Resumen Diario'!$C$5:$C$504, D1454), 0))</f>
        <v/>
      </c>
      <c r="M1454" s="31" t="str">
        <f t="shared" si="157"/>
        <v/>
      </c>
      <c r="N1454" s="31" t="str">
        <f t="shared" si="158"/>
        <v/>
      </c>
      <c r="O1454" s="31" t="str">
        <f>IF(OR(B1454="",C1454=""),"",K1454-N1454 + IFERROR(E1454 / SUMIFS('📅 Resumen Diario'!$D$5:$D$504, '📅 Resumen Diario'!$B$5:$B$504, B1454, '📅 Resumen Diario'!$C$5:$C$504, D1454) * (SUMIFS('📋 Detalle Diario'!$E$5:$E$489, '📋 Detalle Diario'!$B$5:$B$489, B1454, '📋 Detalle Diario'!$C$5:$C$489, D1454) * 135 + SUMIFS('📋 Detalle Diario'!$I$5:$I$489, '📋 Detalle Diario'!$B$5:$B$489, B1454, '📋 Detalle Diario'!$C$5:$C$489, D1454) * 200), 0))</f>
        <v/>
      </c>
      <c r="P1454" s="32" t="str">
        <f t="shared" si="159"/>
        <v/>
      </c>
      <c r="Q1454" s="33" t="str">
        <f t="shared" si="160"/>
        <v/>
      </c>
    </row>
    <row r="1455" spans="2:17" ht="18" customHeight="1" x14ac:dyDescent="0.3">
      <c r="B1455" s="26"/>
      <c r="C1455" s="28"/>
      <c r="D1455" s="27"/>
      <c r="E1455" s="29"/>
      <c r="F1455" s="29"/>
      <c r="G1455" s="29"/>
      <c r="H1455" s="30" t="str">
        <f t="shared" si="154"/>
        <v/>
      </c>
      <c r="I1455" s="31" t="str">
        <f>IF(OR(B1455="",C1455=""),"",IFERROR(E1455*IF(E1455="",0,VLOOKUP(C1455,'📦 Precios Proforma'!$B$5:$D$104,IF(D1455="DIA",2,3),FALSE)),0))</f>
        <v/>
      </c>
      <c r="J1455" s="31" t="str">
        <f t="shared" si="155"/>
        <v/>
      </c>
      <c r="K1455" s="31" t="str">
        <f t="shared" si="156"/>
        <v/>
      </c>
      <c r="L1455" s="31" t="str">
        <f>IF(OR(B1455="",C1455=""),"",IFERROR(E1455 / SUMIFS('📅 Resumen Diario'!$D$5:$D$504, '📅 Resumen Diario'!$B$5:$B$504, B1455, '📅 Resumen Diario'!$C$5:$C$504, D1455) * SUMIFS('📅 Resumen Diario'!$K$5:$K$504, '📅 Resumen Diario'!$B$5:$B$504, B1455, '📅 Resumen Diario'!$C$5:$C$504, D1455), 0))</f>
        <v/>
      </c>
      <c r="M1455" s="31" t="str">
        <f t="shared" si="157"/>
        <v/>
      </c>
      <c r="N1455" s="31" t="str">
        <f t="shared" si="158"/>
        <v/>
      </c>
      <c r="O1455" s="31" t="str">
        <f>IF(OR(B1455="",C1455=""),"",K1455-N1455 + IFERROR(E1455 / SUMIFS('📅 Resumen Diario'!$D$5:$D$504, '📅 Resumen Diario'!$B$5:$B$504, B1455, '📅 Resumen Diario'!$C$5:$C$504, D1455) * (SUMIFS('📋 Detalle Diario'!$E$5:$E$489, '📋 Detalle Diario'!$B$5:$B$489, B1455, '📋 Detalle Diario'!$C$5:$C$489, D1455) * 135 + SUMIFS('📋 Detalle Diario'!$I$5:$I$489, '📋 Detalle Diario'!$B$5:$B$489, B1455, '📋 Detalle Diario'!$C$5:$C$489, D1455) * 200), 0))</f>
        <v/>
      </c>
      <c r="P1455" s="32" t="str">
        <f t="shared" si="159"/>
        <v/>
      </c>
      <c r="Q1455" s="33" t="str">
        <f t="shared" si="160"/>
        <v/>
      </c>
    </row>
    <row r="1456" spans="2:17" ht="18" customHeight="1" x14ac:dyDescent="0.3">
      <c r="B1456" s="26"/>
      <c r="C1456" s="17"/>
      <c r="D1456" s="27"/>
      <c r="E1456" s="18"/>
      <c r="F1456" s="18"/>
      <c r="G1456" s="18"/>
      <c r="H1456" s="30" t="str">
        <f t="shared" si="154"/>
        <v/>
      </c>
      <c r="I1456" s="31" t="str">
        <f>IF(OR(B1456="",C1456=""),"",IFERROR(E1456*IF(E1456="",0,VLOOKUP(C1456,'📦 Precios Proforma'!$B$5:$D$104,IF(D1456="DIA",2,3),FALSE)),0))</f>
        <v/>
      </c>
      <c r="J1456" s="31" t="str">
        <f t="shared" si="155"/>
        <v/>
      </c>
      <c r="K1456" s="31" t="str">
        <f t="shared" si="156"/>
        <v/>
      </c>
      <c r="L1456" s="31" t="str">
        <f>IF(OR(B1456="",C1456=""),"",IFERROR(E1456 / SUMIFS('📅 Resumen Diario'!$D$5:$D$504, '📅 Resumen Diario'!$B$5:$B$504, B1456, '📅 Resumen Diario'!$C$5:$C$504, D1456) * SUMIFS('📅 Resumen Diario'!$K$5:$K$504, '📅 Resumen Diario'!$B$5:$B$504, B1456, '📅 Resumen Diario'!$C$5:$C$504, D1456), 0))</f>
        <v/>
      </c>
      <c r="M1456" s="31" t="str">
        <f t="shared" si="157"/>
        <v/>
      </c>
      <c r="N1456" s="31" t="str">
        <f t="shared" si="158"/>
        <v/>
      </c>
      <c r="O1456" s="31" t="str">
        <f>IF(OR(B1456="",C1456=""),"",K1456-N1456 + IFERROR(E1456 / SUMIFS('📅 Resumen Diario'!$D$5:$D$504, '📅 Resumen Diario'!$B$5:$B$504, B1456, '📅 Resumen Diario'!$C$5:$C$504, D1456) * (SUMIFS('📋 Detalle Diario'!$E$5:$E$489, '📋 Detalle Diario'!$B$5:$B$489, B1456, '📋 Detalle Diario'!$C$5:$C$489, D1456) * 135 + SUMIFS('📋 Detalle Diario'!$I$5:$I$489, '📋 Detalle Diario'!$B$5:$B$489, B1456, '📋 Detalle Diario'!$C$5:$C$489, D1456) * 200), 0))</f>
        <v/>
      </c>
      <c r="P1456" s="32" t="str">
        <f t="shared" si="159"/>
        <v/>
      </c>
      <c r="Q1456" s="33" t="str">
        <f t="shared" si="160"/>
        <v/>
      </c>
    </row>
    <row r="1457" spans="2:17" ht="18" customHeight="1" x14ac:dyDescent="0.3">
      <c r="B1457" s="26"/>
      <c r="C1457" s="28"/>
      <c r="D1457" s="27"/>
      <c r="E1457" s="29"/>
      <c r="F1457" s="29"/>
      <c r="G1457" s="29"/>
      <c r="H1457" s="30" t="str">
        <f t="shared" si="154"/>
        <v/>
      </c>
      <c r="I1457" s="31" t="str">
        <f>IF(OR(B1457="",C1457=""),"",IFERROR(E1457*IF(E1457="",0,VLOOKUP(C1457,'📦 Precios Proforma'!$B$5:$D$104,IF(D1457="DIA",2,3),FALSE)),0))</f>
        <v/>
      </c>
      <c r="J1457" s="31" t="str">
        <f t="shared" si="155"/>
        <v/>
      </c>
      <c r="K1457" s="31" t="str">
        <f t="shared" si="156"/>
        <v/>
      </c>
      <c r="L1457" s="31" t="str">
        <f>IF(OR(B1457="",C1457=""),"",IFERROR(E1457 / SUMIFS('📅 Resumen Diario'!$D$5:$D$504, '📅 Resumen Diario'!$B$5:$B$504, B1457, '📅 Resumen Diario'!$C$5:$C$504, D1457) * SUMIFS('📅 Resumen Diario'!$K$5:$K$504, '📅 Resumen Diario'!$B$5:$B$504, B1457, '📅 Resumen Diario'!$C$5:$C$504, D1457), 0))</f>
        <v/>
      </c>
      <c r="M1457" s="31" t="str">
        <f t="shared" si="157"/>
        <v/>
      </c>
      <c r="N1457" s="31" t="str">
        <f t="shared" si="158"/>
        <v/>
      </c>
      <c r="O1457" s="31" t="str">
        <f>IF(OR(B1457="",C1457=""),"",K1457-N1457 + IFERROR(E1457 / SUMIFS('📅 Resumen Diario'!$D$5:$D$504, '📅 Resumen Diario'!$B$5:$B$504, B1457, '📅 Resumen Diario'!$C$5:$C$504, D1457) * (SUMIFS('📋 Detalle Diario'!$E$5:$E$489, '📋 Detalle Diario'!$B$5:$B$489, B1457, '📋 Detalle Diario'!$C$5:$C$489, D1457) * 135 + SUMIFS('📋 Detalle Diario'!$I$5:$I$489, '📋 Detalle Diario'!$B$5:$B$489, B1457, '📋 Detalle Diario'!$C$5:$C$489, D1457) * 200), 0))</f>
        <v/>
      </c>
      <c r="P1457" s="32" t="str">
        <f t="shared" si="159"/>
        <v/>
      </c>
      <c r="Q1457" s="33" t="str">
        <f t="shared" si="160"/>
        <v/>
      </c>
    </row>
    <row r="1458" spans="2:17" ht="18" customHeight="1" x14ac:dyDescent="0.3">
      <c r="B1458" s="26"/>
      <c r="C1458" s="17"/>
      <c r="D1458" s="27"/>
      <c r="E1458" s="18"/>
      <c r="F1458" s="18"/>
      <c r="G1458" s="18"/>
      <c r="H1458" s="30" t="str">
        <f t="shared" si="154"/>
        <v/>
      </c>
      <c r="I1458" s="31" t="str">
        <f>IF(OR(B1458="",C1458=""),"",IFERROR(E1458*IF(E1458="",0,VLOOKUP(C1458,'📦 Precios Proforma'!$B$5:$D$104,IF(D1458="DIA",2,3),FALSE)),0))</f>
        <v/>
      </c>
      <c r="J1458" s="31" t="str">
        <f t="shared" si="155"/>
        <v/>
      </c>
      <c r="K1458" s="31" t="str">
        <f t="shared" si="156"/>
        <v/>
      </c>
      <c r="L1458" s="31" t="str">
        <f>IF(OR(B1458="",C1458=""),"",IFERROR(E1458 / SUMIFS('📅 Resumen Diario'!$D$5:$D$504, '📅 Resumen Diario'!$B$5:$B$504, B1458, '📅 Resumen Diario'!$C$5:$C$504, D1458) * SUMIFS('📅 Resumen Diario'!$K$5:$K$504, '📅 Resumen Diario'!$B$5:$B$504, B1458, '📅 Resumen Diario'!$C$5:$C$504, D1458), 0))</f>
        <v/>
      </c>
      <c r="M1458" s="31" t="str">
        <f t="shared" si="157"/>
        <v/>
      </c>
      <c r="N1458" s="31" t="str">
        <f t="shared" si="158"/>
        <v/>
      </c>
      <c r="O1458" s="31" t="str">
        <f>IF(OR(B1458="",C1458=""),"",K1458-N1458 + IFERROR(E1458 / SUMIFS('📅 Resumen Diario'!$D$5:$D$504, '📅 Resumen Diario'!$B$5:$B$504, B1458, '📅 Resumen Diario'!$C$5:$C$504, D1458) * (SUMIFS('📋 Detalle Diario'!$E$5:$E$489, '📋 Detalle Diario'!$B$5:$B$489, B1458, '📋 Detalle Diario'!$C$5:$C$489, D1458) * 135 + SUMIFS('📋 Detalle Diario'!$I$5:$I$489, '📋 Detalle Diario'!$B$5:$B$489, B1458, '📋 Detalle Diario'!$C$5:$C$489, D1458) * 200), 0))</f>
        <v/>
      </c>
      <c r="P1458" s="32" t="str">
        <f t="shared" si="159"/>
        <v/>
      </c>
      <c r="Q1458" s="33" t="str">
        <f t="shared" si="160"/>
        <v/>
      </c>
    </row>
    <row r="1459" spans="2:17" ht="18" customHeight="1" x14ac:dyDescent="0.3">
      <c r="B1459" s="26"/>
      <c r="C1459" s="28"/>
      <c r="D1459" s="27"/>
      <c r="E1459" s="29"/>
      <c r="F1459" s="29"/>
      <c r="G1459" s="29"/>
      <c r="H1459" s="30" t="str">
        <f t="shared" si="154"/>
        <v/>
      </c>
      <c r="I1459" s="31" t="str">
        <f>IF(OR(B1459="",C1459=""),"",IFERROR(E1459*IF(E1459="",0,VLOOKUP(C1459,'📦 Precios Proforma'!$B$5:$D$104,IF(D1459="DIA",2,3),FALSE)),0))</f>
        <v/>
      </c>
      <c r="J1459" s="31" t="str">
        <f t="shared" si="155"/>
        <v/>
      </c>
      <c r="K1459" s="31" t="str">
        <f t="shared" si="156"/>
        <v/>
      </c>
      <c r="L1459" s="31" t="str">
        <f>IF(OR(B1459="",C1459=""),"",IFERROR(E1459 / SUMIFS('📅 Resumen Diario'!$D$5:$D$504, '📅 Resumen Diario'!$B$5:$B$504, B1459, '📅 Resumen Diario'!$C$5:$C$504, D1459) * SUMIFS('📅 Resumen Diario'!$K$5:$K$504, '📅 Resumen Diario'!$B$5:$B$504, B1459, '📅 Resumen Diario'!$C$5:$C$504, D1459), 0))</f>
        <v/>
      </c>
      <c r="M1459" s="31" t="str">
        <f t="shared" si="157"/>
        <v/>
      </c>
      <c r="N1459" s="31" t="str">
        <f t="shared" si="158"/>
        <v/>
      </c>
      <c r="O1459" s="31" t="str">
        <f>IF(OR(B1459="",C1459=""),"",K1459-N1459 + IFERROR(E1459 / SUMIFS('📅 Resumen Diario'!$D$5:$D$504, '📅 Resumen Diario'!$B$5:$B$504, B1459, '📅 Resumen Diario'!$C$5:$C$504, D1459) * (SUMIFS('📋 Detalle Diario'!$E$5:$E$489, '📋 Detalle Diario'!$B$5:$B$489, B1459, '📋 Detalle Diario'!$C$5:$C$489, D1459) * 135 + SUMIFS('📋 Detalle Diario'!$I$5:$I$489, '📋 Detalle Diario'!$B$5:$B$489, B1459, '📋 Detalle Diario'!$C$5:$C$489, D1459) * 200), 0))</f>
        <v/>
      </c>
      <c r="P1459" s="32" t="str">
        <f t="shared" si="159"/>
        <v/>
      </c>
      <c r="Q1459" s="33" t="str">
        <f t="shared" si="160"/>
        <v/>
      </c>
    </row>
    <row r="1460" spans="2:17" ht="18" customHeight="1" x14ac:dyDescent="0.3">
      <c r="B1460" s="26"/>
      <c r="C1460" s="17"/>
      <c r="D1460" s="27"/>
      <c r="E1460" s="18"/>
      <c r="F1460" s="18"/>
      <c r="G1460" s="18"/>
      <c r="H1460" s="30" t="str">
        <f t="shared" si="154"/>
        <v/>
      </c>
      <c r="I1460" s="31" t="str">
        <f>IF(OR(B1460="",C1460=""),"",IFERROR(E1460*IF(E1460="",0,VLOOKUP(C1460,'📦 Precios Proforma'!$B$5:$D$104,IF(D1460="DIA",2,3),FALSE)),0))</f>
        <v/>
      </c>
      <c r="J1460" s="31" t="str">
        <f t="shared" si="155"/>
        <v/>
      </c>
      <c r="K1460" s="31" t="str">
        <f t="shared" si="156"/>
        <v/>
      </c>
      <c r="L1460" s="31" t="str">
        <f>IF(OR(B1460="",C1460=""),"",IFERROR(E1460 / SUMIFS('📅 Resumen Diario'!$D$5:$D$504, '📅 Resumen Diario'!$B$5:$B$504, B1460, '📅 Resumen Diario'!$C$5:$C$504, D1460) * SUMIFS('📅 Resumen Diario'!$K$5:$K$504, '📅 Resumen Diario'!$B$5:$B$504, B1460, '📅 Resumen Diario'!$C$5:$C$504, D1460), 0))</f>
        <v/>
      </c>
      <c r="M1460" s="31" t="str">
        <f t="shared" si="157"/>
        <v/>
      </c>
      <c r="N1460" s="31" t="str">
        <f t="shared" si="158"/>
        <v/>
      </c>
      <c r="O1460" s="31" t="str">
        <f>IF(OR(B1460="",C1460=""),"",K1460-N1460 + IFERROR(E1460 / SUMIFS('📅 Resumen Diario'!$D$5:$D$504, '📅 Resumen Diario'!$B$5:$B$504, B1460, '📅 Resumen Diario'!$C$5:$C$504, D1460) * (SUMIFS('📋 Detalle Diario'!$E$5:$E$489, '📋 Detalle Diario'!$B$5:$B$489, B1460, '📋 Detalle Diario'!$C$5:$C$489, D1460) * 135 + SUMIFS('📋 Detalle Diario'!$I$5:$I$489, '📋 Detalle Diario'!$B$5:$B$489, B1460, '📋 Detalle Diario'!$C$5:$C$489, D1460) * 200), 0))</f>
        <v/>
      </c>
      <c r="P1460" s="32" t="str">
        <f t="shared" si="159"/>
        <v/>
      </c>
      <c r="Q1460" s="33" t="str">
        <f t="shared" si="160"/>
        <v/>
      </c>
    </row>
    <row r="1461" spans="2:17" ht="18" customHeight="1" x14ac:dyDescent="0.3">
      <c r="B1461" s="26"/>
      <c r="C1461" s="28"/>
      <c r="D1461" s="27"/>
      <c r="E1461" s="29"/>
      <c r="F1461" s="29"/>
      <c r="G1461" s="29"/>
      <c r="H1461" s="30" t="str">
        <f t="shared" si="154"/>
        <v/>
      </c>
      <c r="I1461" s="31" t="str">
        <f>IF(OR(B1461="",C1461=""),"",IFERROR(E1461*IF(E1461="",0,VLOOKUP(C1461,'📦 Precios Proforma'!$B$5:$D$104,IF(D1461="DIA",2,3),FALSE)),0))</f>
        <v/>
      </c>
      <c r="J1461" s="31" t="str">
        <f t="shared" si="155"/>
        <v/>
      </c>
      <c r="K1461" s="31" t="str">
        <f t="shared" si="156"/>
        <v/>
      </c>
      <c r="L1461" s="31" t="str">
        <f>IF(OR(B1461="",C1461=""),"",IFERROR(E1461 / SUMIFS('📅 Resumen Diario'!$D$5:$D$504, '📅 Resumen Diario'!$B$5:$B$504, B1461, '📅 Resumen Diario'!$C$5:$C$504, D1461) * SUMIFS('📅 Resumen Diario'!$K$5:$K$504, '📅 Resumen Diario'!$B$5:$B$504, B1461, '📅 Resumen Diario'!$C$5:$C$504, D1461), 0))</f>
        <v/>
      </c>
      <c r="M1461" s="31" t="str">
        <f t="shared" si="157"/>
        <v/>
      </c>
      <c r="N1461" s="31" t="str">
        <f t="shared" si="158"/>
        <v/>
      </c>
      <c r="O1461" s="31" t="str">
        <f>IF(OR(B1461="",C1461=""),"",K1461-N1461 + IFERROR(E1461 / SUMIFS('📅 Resumen Diario'!$D$5:$D$504, '📅 Resumen Diario'!$B$5:$B$504, B1461, '📅 Resumen Diario'!$C$5:$C$504, D1461) * (SUMIFS('📋 Detalle Diario'!$E$5:$E$489, '📋 Detalle Diario'!$B$5:$B$489, B1461, '📋 Detalle Diario'!$C$5:$C$489, D1461) * 135 + SUMIFS('📋 Detalle Diario'!$I$5:$I$489, '📋 Detalle Diario'!$B$5:$B$489, B1461, '📋 Detalle Diario'!$C$5:$C$489, D1461) * 200), 0))</f>
        <v/>
      </c>
      <c r="P1461" s="32" t="str">
        <f t="shared" si="159"/>
        <v/>
      </c>
      <c r="Q1461" s="33" t="str">
        <f t="shared" si="160"/>
        <v/>
      </c>
    </row>
    <row r="1462" spans="2:17" ht="18" customHeight="1" x14ac:dyDescent="0.3">
      <c r="B1462" s="26"/>
      <c r="C1462" s="17"/>
      <c r="D1462" s="27"/>
      <c r="E1462" s="18"/>
      <c r="F1462" s="18"/>
      <c r="G1462" s="18"/>
      <c r="H1462" s="30" t="str">
        <f t="shared" si="154"/>
        <v/>
      </c>
      <c r="I1462" s="31" t="str">
        <f>IF(OR(B1462="",C1462=""),"",IFERROR(E1462*IF(E1462="",0,VLOOKUP(C1462,'📦 Precios Proforma'!$B$5:$D$104,IF(D1462="DIA",2,3),FALSE)),0))</f>
        <v/>
      </c>
      <c r="J1462" s="31" t="str">
        <f t="shared" si="155"/>
        <v/>
      </c>
      <c r="K1462" s="31" t="str">
        <f t="shared" si="156"/>
        <v/>
      </c>
      <c r="L1462" s="31" t="str">
        <f>IF(OR(B1462="",C1462=""),"",IFERROR(E1462 / SUMIFS('📅 Resumen Diario'!$D$5:$D$504, '📅 Resumen Diario'!$B$5:$B$504, B1462, '📅 Resumen Diario'!$C$5:$C$504, D1462) * SUMIFS('📅 Resumen Diario'!$K$5:$K$504, '📅 Resumen Diario'!$B$5:$B$504, B1462, '📅 Resumen Diario'!$C$5:$C$504, D1462), 0))</f>
        <v/>
      </c>
      <c r="M1462" s="31" t="str">
        <f t="shared" si="157"/>
        <v/>
      </c>
      <c r="N1462" s="31" t="str">
        <f t="shared" si="158"/>
        <v/>
      </c>
      <c r="O1462" s="31" t="str">
        <f>IF(OR(B1462="",C1462=""),"",K1462-N1462 + IFERROR(E1462 / SUMIFS('📅 Resumen Diario'!$D$5:$D$504, '📅 Resumen Diario'!$B$5:$B$504, B1462, '📅 Resumen Diario'!$C$5:$C$504, D1462) * (SUMIFS('📋 Detalle Diario'!$E$5:$E$489, '📋 Detalle Diario'!$B$5:$B$489, B1462, '📋 Detalle Diario'!$C$5:$C$489, D1462) * 135 + SUMIFS('📋 Detalle Diario'!$I$5:$I$489, '📋 Detalle Diario'!$B$5:$B$489, B1462, '📋 Detalle Diario'!$C$5:$C$489, D1462) * 200), 0))</f>
        <v/>
      </c>
      <c r="P1462" s="32" t="str">
        <f t="shared" si="159"/>
        <v/>
      </c>
      <c r="Q1462" s="33" t="str">
        <f t="shared" si="160"/>
        <v/>
      </c>
    </row>
    <row r="1463" spans="2:17" ht="18" customHeight="1" x14ac:dyDescent="0.3">
      <c r="B1463" s="26"/>
      <c r="C1463" s="28"/>
      <c r="D1463" s="27"/>
      <c r="E1463" s="29"/>
      <c r="F1463" s="29"/>
      <c r="G1463" s="29"/>
      <c r="H1463" s="30" t="str">
        <f t="shared" si="154"/>
        <v/>
      </c>
      <c r="I1463" s="31" t="str">
        <f>IF(OR(B1463="",C1463=""),"",IFERROR(E1463*IF(E1463="",0,VLOOKUP(C1463,'📦 Precios Proforma'!$B$5:$D$104,IF(D1463="DIA",2,3),FALSE)),0))</f>
        <v/>
      </c>
      <c r="J1463" s="31" t="str">
        <f t="shared" si="155"/>
        <v/>
      </c>
      <c r="K1463" s="31" t="str">
        <f t="shared" si="156"/>
        <v/>
      </c>
      <c r="L1463" s="31" t="str">
        <f>IF(OR(B1463="",C1463=""),"",IFERROR(E1463 / SUMIFS('📅 Resumen Diario'!$D$5:$D$504, '📅 Resumen Diario'!$B$5:$B$504, B1463, '📅 Resumen Diario'!$C$5:$C$504, D1463) * SUMIFS('📅 Resumen Diario'!$K$5:$K$504, '📅 Resumen Diario'!$B$5:$B$504, B1463, '📅 Resumen Diario'!$C$5:$C$504, D1463), 0))</f>
        <v/>
      </c>
      <c r="M1463" s="31" t="str">
        <f t="shared" si="157"/>
        <v/>
      </c>
      <c r="N1463" s="31" t="str">
        <f t="shared" si="158"/>
        <v/>
      </c>
      <c r="O1463" s="31" t="str">
        <f>IF(OR(B1463="",C1463=""),"",K1463-N1463 + IFERROR(E1463 / SUMIFS('📅 Resumen Diario'!$D$5:$D$504, '📅 Resumen Diario'!$B$5:$B$504, B1463, '📅 Resumen Diario'!$C$5:$C$504, D1463) * (SUMIFS('📋 Detalle Diario'!$E$5:$E$489, '📋 Detalle Diario'!$B$5:$B$489, B1463, '📋 Detalle Diario'!$C$5:$C$489, D1463) * 135 + SUMIFS('📋 Detalle Diario'!$I$5:$I$489, '📋 Detalle Diario'!$B$5:$B$489, B1463, '📋 Detalle Diario'!$C$5:$C$489, D1463) * 200), 0))</f>
        <v/>
      </c>
      <c r="P1463" s="32" t="str">
        <f t="shared" si="159"/>
        <v/>
      </c>
      <c r="Q1463" s="33" t="str">
        <f t="shared" si="160"/>
        <v/>
      </c>
    </row>
    <row r="1464" spans="2:17" ht="18" customHeight="1" x14ac:dyDescent="0.3">
      <c r="B1464" s="26"/>
      <c r="C1464" s="17"/>
      <c r="D1464" s="27"/>
      <c r="E1464" s="18"/>
      <c r="F1464" s="18"/>
      <c r="G1464" s="18"/>
      <c r="H1464" s="30" t="str">
        <f t="shared" si="154"/>
        <v/>
      </c>
      <c r="I1464" s="31" t="str">
        <f>IF(OR(B1464="",C1464=""),"",IFERROR(E1464*IF(E1464="",0,VLOOKUP(C1464,'📦 Precios Proforma'!$B$5:$D$104,IF(D1464="DIA",2,3),FALSE)),0))</f>
        <v/>
      </c>
      <c r="J1464" s="31" t="str">
        <f t="shared" si="155"/>
        <v/>
      </c>
      <c r="K1464" s="31" t="str">
        <f t="shared" si="156"/>
        <v/>
      </c>
      <c r="L1464" s="31" t="str">
        <f>IF(OR(B1464="",C1464=""),"",IFERROR(E1464 / SUMIFS('📅 Resumen Diario'!$D$5:$D$504, '📅 Resumen Diario'!$B$5:$B$504, B1464, '📅 Resumen Diario'!$C$5:$C$504, D1464) * SUMIFS('📅 Resumen Diario'!$K$5:$K$504, '📅 Resumen Diario'!$B$5:$B$504, B1464, '📅 Resumen Diario'!$C$5:$C$504, D1464), 0))</f>
        <v/>
      </c>
      <c r="M1464" s="31" t="str">
        <f t="shared" si="157"/>
        <v/>
      </c>
      <c r="N1464" s="31" t="str">
        <f t="shared" si="158"/>
        <v/>
      </c>
      <c r="O1464" s="31" t="str">
        <f>IF(OR(B1464="",C1464=""),"",K1464-N1464 + IFERROR(E1464 / SUMIFS('📅 Resumen Diario'!$D$5:$D$504, '📅 Resumen Diario'!$B$5:$B$504, B1464, '📅 Resumen Diario'!$C$5:$C$504, D1464) * (SUMIFS('📋 Detalle Diario'!$E$5:$E$489, '📋 Detalle Diario'!$B$5:$B$489, B1464, '📋 Detalle Diario'!$C$5:$C$489, D1464) * 135 + SUMIFS('📋 Detalle Diario'!$I$5:$I$489, '📋 Detalle Diario'!$B$5:$B$489, B1464, '📋 Detalle Diario'!$C$5:$C$489, D1464) * 200), 0))</f>
        <v/>
      </c>
      <c r="P1464" s="32" t="str">
        <f t="shared" si="159"/>
        <v/>
      </c>
      <c r="Q1464" s="33" t="str">
        <f t="shared" si="160"/>
        <v/>
      </c>
    </row>
    <row r="1465" spans="2:17" ht="18" customHeight="1" x14ac:dyDescent="0.3">
      <c r="B1465" s="26"/>
      <c r="C1465" s="28"/>
      <c r="D1465" s="27"/>
      <c r="E1465" s="29"/>
      <c r="F1465" s="29"/>
      <c r="G1465" s="29"/>
      <c r="H1465" s="30" t="str">
        <f t="shared" si="154"/>
        <v/>
      </c>
      <c r="I1465" s="31" t="str">
        <f>IF(OR(B1465="",C1465=""),"",IFERROR(E1465*IF(E1465="",0,VLOOKUP(C1465,'📦 Precios Proforma'!$B$5:$D$104,IF(D1465="DIA",2,3),FALSE)),0))</f>
        <v/>
      </c>
      <c r="J1465" s="31" t="str">
        <f t="shared" si="155"/>
        <v/>
      </c>
      <c r="K1465" s="31" t="str">
        <f t="shared" si="156"/>
        <v/>
      </c>
      <c r="L1465" s="31" t="str">
        <f>IF(OR(B1465="",C1465=""),"",IFERROR(E1465 / SUMIFS('📅 Resumen Diario'!$D$5:$D$504, '📅 Resumen Diario'!$B$5:$B$504, B1465, '📅 Resumen Diario'!$C$5:$C$504, D1465) * SUMIFS('📅 Resumen Diario'!$K$5:$K$504, '📅 Resumen Diario'!$B$5:$B$504, B1465, '📅 Resumen Diario'!$C$5:$C$504, D1465), 0))</f>
        <v/>
      </c>
      <c r="M1465" s="31" t="str">
        <f t="shared" si="157"/>
        <v/>
      </c>
      <c r="N1465" s="31" t="str">
        <f t="shared" si="158"/>
        <v/>
      </c>
      <c r="O1465" s="31" t="str">
        <f>IF(OR(B1465="",C1465=""),"",K1465-N1465 + IFERROR(E1465 / SUMIFS('📅 Resumen Diario'!$D$5:$D$504, '📅 Resumen Diario'!$B$5:$B$504, B1465, '📅 Resumen Diario'!$C$5:$C$504, D1465) * (SUMIFS('📋 Detalle Diario'!$E$5:$E$489, '📋 Detalle Diario'!$B$5:$B$489, B1465, '📋 Detalle Diario'!$C$5:$C$489, D1465) * 135 + SUMIFS('📋 Detalle Diario'!$I$5:$I$489, '📋 Detalle Diario'!$B$5:$B$489, B1465, '📋 Detalle Diario'!$C$5:$C$489, D1465) * 200), 0))</f>
        <v/>
      </c>
      <c r="P1465" s="32" t="str">
        <f t="shared" si="159"/>
        <v/>
      </c>
      <c r="Q1465" s="33" t="str">
        <f t="shared" si="160"/>
        <v/>
      </c>
    </row>
    <row r="1466" spans="2:17" ht="18" customHeight="1" x14ac:dyDescent="0.3">
      <c r="B1466" s="26"/>
      <c r="C1466" s="17"/>
      <c r="D1466" s="27"/>
      <c r="E1466" s="18"/>
      <c r="F1466" s="18"/>
      <c r="G1466" s="18"/>
      <c r="H1466" s="30" t="str">
        <f t="shared" si="154"/>
        <v/>
      </c>
      <c r="I1466" s="31" t="str">
        <f>IF(OR(B1466="",C1466=""),"",IFERROR(E1466*IF(E1466="",0,VLOOKUP(C1466,'📦 Precios Proforma'!$B$5:$D$104,IF(D1466="DIA",2,3),FALSE)),0))</f>
        <v/>
      </c>
      <c r="J1466" s="31" t="str">
        <f t="shared" si="155"/>
        <v/>
      </c>
      <c r="K1466" s="31" t="str">
        <f t="shared" si="156"/>
        <v/>
      </c>
      <c r="L1466" s="31" t="str">
        <f>IF(OR(B1466="",C1466=""),"",IFERROR(E1466 / SUMIFS('📅 Resumen Diario'!$D$5:$D$504, '📅 Resumen Diario'!$B$5:$B$504, B1466, '📅 Resumen Diario'!$C$5:$C$504, D1466) * SUMIFS('📅 Resumen Diario'!$K$5:$K$504, '📅 Resumen Diario'!$B$5:$B$504, B1466, '📅 Resumen Diario'!$C$5:$C$504, D1466), 0))</f>
        <v/>
      </c>
      <c r="M1466" s="31" t="str">
        <f t="shared" si="157"/>
        <v/>
      </c>
      <c r="N1466" s="31" t="str">
        <f t="shared" si="158"/>
        <v/>
      </c>
      <c r="O1466" s="31" t="str">
        <f>IF(OR(B1466="",C1466=""),"",K1466-N1466 + IFERROR(E1466 / SUMIFS('📅 Resumen Diario'!$D$5:$D$504, '📅 Resumen Diario'!$B$5:$B$504, B1466, '📅 Resumen Diario'!$C$5:$C$504, D1466) * (SUMIFS('📋 Detalle Diario'!$E$5:$E$489, '📋 Detalle Diario'!$B$5:$B$489, B1466, '📋 Detalle Diario'!$C$5:$C$489, D1466) * 135 + SUMIFS('📋 Detalle Diario'!$I$5:$I$489, '📋 Detalle Diario'!$B$5:$B$489, B1466, '📋 Detalle Diario'!$C$5:$C$489, D1466) * 200), 0))</f>
        <v/>
      </c>
      <c r="P1466" s="32" t="str">
        <f t="shared" si="159"/>
        <v/>
      </c>
      <c r="Q1466" s="33" t="str">
        <f t="shared" si="160"/>
        <v/>
      </c>
    </row>
    <row r="1467" spans="2:17" ht="18" customHeight="1" x14ac:dyDescent="0.3">
      <c r="B1467" s="26"/>
      <c r="C1467" s="28"/>
      <c r="D1467" s="27"/>
      <c r="E1467" s="29"/>
      <c r="F1467" s="29"/>
      <c r="G1467" s="29"/>
      <c r="H1467" s="30" t="str">
        <f t="shared" si="154"/>
        <v/>
      </c>
      <c r="I1467" s="31" t="str">
        <f>IF(OR(B1467="",C1467=""),"",IFERROR(E1467*IF(E1467="",0,VLOOKUP(C1467,'📦 Precios Proforma'!$B$5:$D$104,IF(D1467="DIA",2,3),FALSE)),0))</f>
        <v/>
      </c>
      <c r="J1467" s="31" t="str">
        <f t="shared" si="155"/>
        <v/>
      </c>
      <c r="K1467" s="31" t="str">
        <f t="shared" si="156"/>
        <v/>
      </c>
      <c r="L1467" s="31" t="str">
        <f>IF(OR(B1467="",C1467=""),"",IFERROR(E1467 / SUMIFS('📅 Resumen Diario'!$D$5:$D$504, '📅 Resumen Diario'!$B$5:$B$504, B1467, '📅 Resumen Diario'!$C$5:$C$504, D1467) * SUMIFS('📅 Resumen Diario'!$K$5:$K$504, '📅 Resumen Diario'!$B$5:$B$504, B1467, '📅 Resumen Diario'!$C$5:$C$504, D1467), 0))</f>
        <v/>
      </c>
      <c r="M1467" s="31" t="str">
        <f t="shared" si="157"/>
        <v/>
      </c>
      <c r="N1467" s="31" t="str">
        <f t="shared" si="158"/>
        <v/>
      </c>
      <c r="O1467" s="31" t="str">
        <f>IF(OR(B1467="",C1467=""),"",K1467-N1467 + IFERROR(E1467 / SUMIFS('📅 Resumen Diario'!$D$5:$D$504, '📅 Resumen Diario'!$B$5:$B$504, B1467, '📅 Resumen Diario'!$C$5:$C$504, D1467) * (SUMIFS('📋 Detalle Diario'!$E$5:$E$489, '📋 Detalle Diario'!$B$5:$B$489, B1467, '📋 Detalle Diario'!$C$5:$C$489, D1467) * 135 + SUMIFS('📋 Detalle Diario'!$I$5:$I$489, '📋 Detalle Diario'!$B$5:$B$489, B1467, '📋 Detalle Diario'!$C$5:$C$489, D1467) * 200), 0))</f>
        <v/>
      </c>
      <c r="P1467" s="32" t="str">
        <f t="shared" si="159"/>
        <v/>
      </c>
      <c r="Q1467" s="33" t="str">
        <f t="shared" si="160"/>
        <v/>
      </c>
    </row>
    <row r="1468" spans="2:17" ht="18" customHeight="1" x14ac:dyDescent="0.3">
      <c r="B1468" s="26"/>
      <c r="C1468" s="17"/>
      <c r="D1468" s="27"/>
      <c r="E1468" s="18"/>
      <c r="F1468" s="18"/>
      <c r="G1468" s="18"/>
      <c r="H1468" s="30" t="str">
        <f t="shared" si="154"/>
        <v/>
      </c>
      <c r="I1468" s="31" t="str">
        <f>IF(OR(B1468="",C1468=""),"",IFERROR(E1468*IF(E1468="",0,VLOOKUP(C1468,'📦 Precios Proforma'!$B$5:$D$104,IF(D1468="DIA",2,3),FALSE)),0))</f>
        <v/>
      </c>
      <c r="J1468" s="31" t="str">
        <f t="shared" si="155"/>
        <v/>
      </c>
      <c r="K1468" s="31" t="str">
        <f t="shared" si="156"/>
        <v/>
      </c>
      <c r="L1468" s="31" t="str">
        <f>IF(OR(B1468="",C1468=""),"",IFERROR(E1468 / SUMIFS('📅 Resumen Diario'!$D$5:$D$504, '📅 Resumen Diario'!$B$5:$B$504, B1468, '📅 Resumen Diario'!$C$5:$C$504, D1468) * SUMIFS('📅 Resumen Diario'!$K$5:$K$504, '📅 Resumen Diario'!$B$5:$B$504, B1468, '📅 Resumen Diario'!$C$5:$C$504, D1468), 0))</f>
        <v/>
      </c>
      <c r="M1468" s="31" t="str">
        <f t="shared" si="157"/>
        <v/>
      </c>
      <c r="N1468" s="31" t="str">
        <f t="shared" si="158"/>
        <v/>
      </c>
      <c r="O1468" s="31" t="str">
        <f>IF(OR(B1468="",C1468=""),"",K1468-N1468 + IFERROR(E1468 / SUMIFS('📅 Resumen Diario'!$D$5:$D$504, '📅 Resumen Diario'!$B$5:$B$504, B1468, '📅 Resumen Diario'!$C$5:$C$504, D1468) * (SUMIFS('📋 Detalle Diario'!$E$5:$E$489, '📋 Detalle Diario'!$B$5:$B$489, B1468, '📋 Detalle Diario'!$C$5:$C$489, D1468) * 135 + SUMIFS('📋 Detalle Diario'!$I$5:$I$489, '📋 Detalle Diario'!$B$5:$B$489, B1468, '📋 Detalle Diario'!$C$5:$C$489, D1468) * 200), 0))</f>
        <v/>
      </c>
      <c r="P1468" s="32" t="str">
        <f t="shared" si="159"/>
        <v/>
      </c>
      <c r="Q1468" s="33" t="str">
        <f t="shared" si="160"/>
        <v/>
      </c>
    </row>
    <row r="1469" spans="2:17" ht="18" customHeight="1" x14ac:dyDescent="0.3">
      <c r="B1469" s="26"/>
      <c r="C1469" s="28"/>
      <c r="D1469" s="27"/>
      <c r="E1469" s="29"/>
      <c r="F1469" s="29"/>
      <c r="G1469" s="29"/>
      <c r="H1469" s="30" t="str">
        <f t="shared" si="154"/>
        <v/>
      </c>
      <c r="I1469" s="31" t="str">
        <f>IF(OR(B1469="",C1469=""),"",IFERROR(E1469*IF(E1469="",0,VLOOKUP(C1469,'📦 Precios Proforma'!$B$5:$D$104,IF(D1469="DIA",2,3),FALSE)),0))</f>
        <v/>
      </c>
      <c r="J1469" s="31" t="str">
        <f t="shared" si="155"/>
        <v/>
      </c>
      <c r="K1469" s="31" t="str">
        <f t="shared" si="156"/>
        <v/>
      </c>
      <c r="L1469" s="31" t="str">
        <f>IF(OR(B1469="",C1469=""),"",IFERROR(E1469 / SUMIFS('📅 Resumen Diario'!$D$5:$D$504, '📅 Resumen Diario'!$B$5:$B$504, B1469, '📅 Resumen Diario'!$C$5:$C$504, D1469) * SUMIFS('📅 Resumen Diario'!$K$5:$K$504, '📅 Resumen Diario'!$B$5:$B$504, B1469, '📅 Resumen Diario'!$C$5:$C$504, D1469), 0))</f>
        <v/>
      </c>
      <c r="M1469" s="31" t="str">
        <f t="shared" si="157"/>
        <v/>
      </c>
      <c r="N1469" s="31" t="str">
        <f t="shared" si="158"/>
        <v/>
      </c>
      <c r="O1469" s="31" t="str">
        <f>IF(OR(B1469="",C1469=""),"",K1469-N1469 + IFERROR(E1469 / SUMIFS('📅 Resumen Diario'!$D$5:$D$504, '📅 Resumen Diario'!$B$5:$B$504, B1469, '📅 Resumen Diario'!$C$5:$C$504, D1469) * (SUMIFS('📋 Detalle Diario'!$E$5:$E$489, '📋 Detalle Diario'!$B$5:$B$489, B1469, '📋 Detalle Diario'!$C$5:$C$489, D1469) * 135 + SUMIFS('📋 Detalle Diario'!$I$5:$I$489, '📋 Detalle Diario'!$B$5:$B$489, B1469, '📋 Detalle Diario'!$C$5:$C$489, D1469) * 200), 0))</f>
        <v/>
      </c>
      <c r="P1469" s="32" t="str">
        <f t="shared" si="159"/>
        <v/>
      </c>
      <c r="Q1469" s="33" t="str">
        <f t="shared" si="160"/>
        <v/>
      </c>
    </row>
    <row r="1470" spans="2:17" ht="18" customHeight="1" x14ac:dyDescent="0.3">
      <c r="B1470" s="26"/>
      <c r="C1470" s="17"/>
      <c r="D1470" s="27"/>
      <c r="E1470" s="18"/>
      <c r="F1470" s="18"/>
      <c r="G1470" s="18"/>
      <c r="H1470" s="30" t="str">
        <f t="shared" si="154"/>
        <v/>
      </c>
      <c r="I1470" s="31" t="str">
        <f>IF(OR(B1470="",C1470=""),"",IFERROR(E1470*IF(E1470="",0,VLOOKUP(C1470,'📦 Precios Proforma'!$B$5:$D$104,IF(D1470="DIA",2,3),FALSE)),0))</f>
        <v/>
      </c>
      <c r="J1470" s="31" t="str">
        <f t="shared" si="155"/>
        <v/>
      </c>
      <c r="K1470" s="31" t="str">
        <f t="shared" si="156"/>
        <v/>
      </c>
      <c r="L1470" s="31" t="str">
        <f>IF(OR(B1470="",C1470=""),"",IFERROR(E1470 / SUMIFS('📅 Resumen Diario'!$D$5:$D$504, '📅 Resumen Diario'!$B$5:$B$504, B1470, '📅 Resumen Diario'!$C$5:$C$504, D1470) * SUMIFS('📅 Resumen Diario'!$K$5:$K$504, '📅 Resumen Diario'!$B$5:$B$504, B1470, '📅 Resumen Diario'!$C$5:$C$504, D1470), 0))</f>
        <v/>
      </c>
      <c r="M1470" s="31" t="str">
        <f t="shared" si="157"/>
        <v/>
      </c>
      <c r="N1470" s="31" t="str">
        <f t="shared" si="158"/>
        <v/>
      </c>
      <c r="O1470" s="31" t="str">
        <f>IF(OR(B1470="",C1470=""),"",K1470-N1470 + IFERROR(E1470 / SUMIFS('📅 Resumen Diario'!$D$5:$D$504, '📅 Resumen Diario'!$B$5:$B$504, B1470, '📅 Resumen Diario'!$C$5:$C$504, D1470) * (SUMIFS('📋 Detalle Diario'!$E$5:$E$489, '📋 Detalle Diario'!$B$5:$B$489, B1470, '📋 Detalle Diario'!$C$5:$C$489, D1470) * 135 + SUMIFS('📋 Detalle Diario'!$I$5:$I$489, '📋 Detalle Diario'!$B$5:$B$489, B1470, '📋 Detalle Diario'!$C$5:$C$489, D1470) * 200), 0))</f>
        <v/>
      </c>
      <c r="P1470" s="32" t="str">
        <f t="shared" si="159"/>
        <v/>
      </c>
      <c r="Q1470" s="33" t="str">
        <f t="shared" si="160"/>
        <v/>
      </c>
    </row>
    <row r="1471" spans="2:17" ht="18" customHeight="1" x14ac:dyDescent="0.3">
      <c r="B1471" s="26"/>
      <c r="C1471" s="28"/>
      <c r="D1471" s="27"/>
      <c r="E1471" s="29"/>
      <c r="F1471" s="29"/>
      <c r="G1471" s="29"/>
      <c r="H1471" s="30" t="str">
        <f t="shared" si="154"/>
        <v/>
      </c>
      <c r="I1471" s="31" t="str">
        <f>IF(OR(B1471="",C1471=""),"",IFERROR(E1471*IF(E1471="",0,VLOOKUP(C1471,'📦 Precios Proforma'!$B$5:$D$104,IF(D1471="DIA",2,3),FALSE)),0))</f>
        <v/>
      </c>
      <c r="J1471" s="31" t="str">
        <f t="shared" si="155"/>
        <v/>
      </c>
      <c r="K1471" s="31" t="str">
        <f t="shared" si="156"/>
        <v/>
      </c>
      <c r="L1471" s="31" t="str">
        <f>IF(OR(B1471="",C1471=""),"",IFERROR(E1471 / SUMIFS('📅 Resumen Diario'!$D$5:$D$504, '📅 Resumen Diario'!$B$5:$B$504, B1471, '📅 Resumen Diario'!$C$5:$C$504, D1471) * SUMIFS('📅 Resumen Diario'!$K$5:$K$504, '📅 Resumen Diario'!$B$5:$B$504, B1471, '📅 Resumen Diario'!$C$5:$C$504, D1471), 0))</f>
        <v/>
      </c>
      <c r="M1471" s="31" t="str">
        <f t="shared" si="157"/>
        <v/>
      </c>
      <c r="N1471" s="31" t="str">
        <f t="shared" si="158"/>
        <v/>
      </c>
      <c r="O1471" s="31" t="str">
        <f>IF(OR(B1471="",C1471=""),"",K1471-N1471 + IFERROR(E1471 / SUMIFS('📅 Resumen Diario'!$D$5:$D$504, '📅 Resumen Diario'!$B$5:$B$504, B1471, '📅 Resumen Diario'!$C$5:$C$504, D1471) * (SUMIFS('📋 Detalle Diario'!$E$5:$E$489, '📋 Detalle Diario'!$B$5:$B$489, B1471, '📋 Detalle Diario'!$C$5:$C$489, D1471) * 135 + SUMIFS('📋 Detalle Diario'!$I$5:$I$489, '📋 Detalle Diario'!$B$5:$B$489, B1471, '📋 Detalle Diario'!$C$5:$C$489, D1471) * 200), 0))</f>
        <v/>
      </c>
      <c r="P1471" s="32" t="str">
        <f t="shared" si="159"/>
        <v/>
      </c>
      <c r="Q1471" s="33" t="str">
        <f t="shared" si="160"/>
        <v/>
      </c>
    </row>
    <row r="1472" spans="2:17" ht="18" customHeight="1" x14ac:dyDescent="0.3">
      <c r="B1472" s="26"/>
      <c r="C1472" s="17"/>
      <c r="D1472" s="27"/>
      <c r="E1472" s="18"/>
      <c r="F1472" s="18"/>
      <c r="G1472" s="18"/>
      <c r="H1472" s="30" t="str">
        <f t="shared" si="154"/>
        <v/>
      </c>
      <c r="I1472" s="31" t="str">
        <f>IF(OR(B1472="",C1472=""),"",IFERROR(E1472*IF(E1472="",0,VLOOKUP(C1472,'📦 Precios Proforma'!$B$5:$D$104,IF(D1472="DIA",2,3),FALSE)),0))</f>
        <v/>
      </c>
      <c r="J1472" s="31" t="str">
        <f t="shared" si="155"/>
        <v/>
      </c>
      <c r="K1472" s="31" t="str">
        <f t="shared" si="156"/>
        <v/>
      </c>
      <c r="L1472" s="31" t="str">
        <f>IF(OR(B1472="",C1472=""),"",IFERROR(E1472 / SUMIFS('📅 Resumen Diario'!$D$5:$D$504, '📅 Resumen Diario'!$B$5:$B$504, B1472, '📅 Resumen Diario'!$C$5:$C$504, D1472) * SUMIFS('📅 Resumen Diario'!$K$5:$K$504, '📅 Resumen Diario'!$B$5:$B$504, B1472, '📅 Resumen Diario'!$C$5:$C$504, D1472), 0))</f>
        <v/>
      </c>
      <c r="M1472" s="31" t="str">
        <f t="shared" si="157"/>
        <v/>
      </c>
      <c r="N1472" s="31" t="str">
        <f t="shared" si="158"/>
        <v/>
      </c>
      <c r="O1472" s="31" t="str">
        <f>IF(OR(B1472="",C1472=""),"",K1472-N1472 + IFERROR(E1472 / SUMIFS('📅 Resumen Diario'!$D$5:$D$504, '📅 Resumen Diario'!$B$5:$B$504, B1472, '📅 Resumen Diario'!$C$5:$C$504, D1472) * (SUMIFS('📋 Detalle Diario'!$E$5:$E$489, '📋 Detalle Diario'!$B$5:$B$489, B1472, '📋 Detalle Diario'!$C$5:$C$489, D1472) * 135 + SUMIFS('📋 Detalle Diario'!$I$5:$I$489, '📋 Detalle Diario'!$B$5:$B$489, B1472, '📋 Detalle Diario'!$C$5:$C$489, D1472) * 200), 0))</f>
        <v/>
      </c>
      <c r="P1472" s="32" t="str">
        <f t="shared" si="159"/>
        <v/>
      </c>
      <c r="Q1472" s="33" t="str">
        <f t="shared" si="160"/>
        <v/>
      </c>
    </row>
    <row r="1473" spans="2:17" ht="18" customHeight="1" x14ac:dyDescent="0.3">
      <c r="B1473" s="26"/>
      <c r="C1473" s="28"/>
      <c r="D1473" s="27"/>
      <c r="E1473" s="29"/>
      <c r="F1473" s="29"/>
      <c r="G1473" s="29"/>
      <c r="H1473" s="30" t="str">
        <f t="shared" si="154"/>
        <v/>
      </c>
      <c r="I1473" s="31" t="str">
        <f>IF(OR(B1473="",C1473=""),"",IFERROR(E1473*IF(E1473="",0,VLOOKUP(C1473,'📦 Precios Proforma'!$B$5:$D$104,IF(D1473="DIA",2,3),FALSE)),0))</f>
        <v/>
      </c>
      <c r="J1473" s="31" t="str">
        <f t="shared" si="155"/>
        <v/>
      </c>
      <c r="K1473" s="31" t="str">
        <f t="shared" si="156"/>
        <v/>
      </c>
      <c r="L1473" s="31" t="str">
        <f>IF(OR(B1473="",C1473=""),"",IFERROR(E1473 / SUMIFS('📅 Resumen Diario'!$D$5:$D$504, '📅 Resumen Diario'!$B$5:$B$504, B1473, '📅 Resumen Diario'!$C$5:$C$504, D1473) * SUMIFS('📅 Resumen Diario'!$K$5:$K$504, '📅 Resumen Diario'!$B$5:$B$504, B1473, '📅 Resumen Diario'!$C$5:$C$504, D1473), 0))</f>
        <v/>
      </c>
      <c r="M1473" s="31" t="str">
        <f t="shared" si="157"/>
        <v/>
      </c>
      <c r="N1473" s="31" t="str">
        <f t="shared" si="158"/>
        <v/>
      </c>
      <c r="O1473" s="31" t="str">
        <f>IF(OR(B1473="",C1473=""),"",K1473-N1473 + IFERROR(E1473 / SUMIFS('📅 Resumen Diario'!$D$5:$D$504, '📅 Resumen Diario'!$B$5:$B$504, B1473, '📅 Resumen Diario'!$C$5:$C$504, D1473) * (SUMIFS('📋 Detalle Diario'!$E$5:$E$489, '📋 Detalle Diario'!$B$5:$B$489, B1473, '📋 Detalle Diario'!$C$5:$C$489, D1473) * 135 + SUMIFS('📋 Detalle Diario'!$I$5:$I$489, '📋 Detalle Diario'!$B$5:$B$489, B1473, '📋 Detalle Diario'!$C$5:$C$489, D1473) * 200), 0))</f>
        <v/>
      </c>
      <c r="P1473" s="32" t="str">
        <f t="shared" si="159"/>
        <v/>
      </c>
      <c r="Q1473" s="33" t="str">
        <f t="shared" si="160"/>
        <v/>
      </c>
    </row>
    <row r="1474" spans="2:17" ht="18" customHeight="1" x14ac:dyDescent="0.3">
      <c r="B1474" s="26"/>
      <c r="C1474" s="17"/>
      <c r="D1474" s="27"/>
      <c r="E1474" s="18"/>
      <c r="F1474" s="18"/>
      <c r="G1474" s="18"/>
      <c r="H1474" s="30" t="str">
        <f t="shared" si="154"/>
        <v/>
      </c>
      <c r="I1474" s="31" t="str">
        <f>IF(OR(B1474="",C1474=""),"",IFERROR(E1474*IF(E1474="",0,VLOOKUP(C1474,'📦 Precios Proforma'!$B$5:$D$104,IF(D1474="DIA",2,3),FALSE)),0))</f>
        <v/>
      </c>
      <c r="J1474" s="31" t="str">
        <f t="shared" si="155"/>
        <v/>
      </c>
      <c r="K1474" s="31" t="str">
        <f t="shared" si="156"/>
        <v/>
      </c>
      <c r="L1474" s="31" t="str">
        <f>IF(OR(B1474="",C1474=""),"",IFERROR(E1474 / SUMIFS('📅 Resumen Diario'!$D$5:$D$504, '📅 Resumen Diario'!$B$5:$B$504, B1474, '📅 Resumen Diario'!$C$5:$C$504, D1474) * SUMIFS('📅 Resumen Diario'!$K$5:$K$504, '📅 Resumen Diario'!$B$5:$B$504, B1474, '📅 Resumen Diario'!$C$5:$C$504, D1474), 0))</f>
        <v/>
      </c>
      <c r="M1474" s="31" t="str">
        <f t="shared" si="157"/>
        <v/>
      </c>
      <c r="N1474" s="31" t="str">
        <f t="shared" si="158"/>
        <v/>
      </c>
      <c r="O1474" s="31" t="str">
        <f>IF(OR(B1474="",C1474=""),"",K1474-N1474 + IFERROR(E1474 / SUMIFS('📅 Resumen Diario'!$D$5:$D$504, '📅 Resumen Diario'!$B$5:$B$504, B1474, '📅 Resumen Diario'!$C$5:$C$504, D1474) * (SUMIFS('📋 Detalle Diario'!$E$5:$E$489, '📋 Detalle Diario'!$B$5:$B$489, B1474, '📋 Detalle Diario'!$C$5:$C$489, D1474) * 135 + SUMIFS('📋 Detalle Diario'!$I$5:$I$489, '📋 Detalle Diario'!$B$5:$B$489, B1474, '📋 Detalle Diario'!$C$5:$C$489, D1474) * 200), 0))</f>
        <v/>
      </c>
      <c r="P1474" s="32" t="str">
        <f t="shared" si="159"/>
        <v/>
      </c>
      <c r="Q1474" s="33" t="str">
        <f t="shared" si="160"/>
        <v/>
      </c>
    </row>
    <row r="1475" spans="2:17" ht="18" customHeight="1" x14ac:dyDescent="0.3">
      <c r="B1475" s="26"/>
      <c r="C1475" s="28"/>
      <c r="D1475" s="27"/>
      <c r="E1475" s="29"/>
      <c r="F1475" s="29"/>
      <c r="G1475" s="29"/>
      <c r="H1475" s="30" t="str">
        <f t="shared" si="154"/>
        <v/>
      </c>
      <c r="I1475" s="31" t="str">
        <f>IF(OR(B1475="",C1475=""),"",IFERROR(E1475*IF(E1475="",0,VLOOKUP(C1475,'📦 Precios Proforma'!$B$5:$D$104,IF(D1475="DIA",2,3),FALSE)),0))</f>
        <v/>
      </c>
      <c r="J1475" s="31" t="str">
        <f t="shared" si="155"/>
        <v/>
      </c>
      <c r="K1475" s="31" t="str">
        <f t="shared" si="156"/>
        <v/>
      </c>
      <c r="L1475" s="31" t="str">
        <f>IF(OR(B1475="",C1475=""),"",IFERROR(E1475 / SUMIFS('📅 Resumen Diario'!$D$5:$D$504, '📅 Resumen Diario'!$B$5:$B$504, B1475, '📅 Resumen Diario'!$C$5:$C$504, D1475) * SUMIFS('📅 Resumen Diario'!$K$5:$K$504, '📅 Resumen Diario'!$B$5:$B$504, B1475, '📅 Resumen Diario'!$C$5:$C$504, D1475), 0))</f>
        <v/>
      </c>
      <c r="M1475" s="31" t="str">
        <f t="shared" si="157"/>
        <v/>
      </c>
      <c r="N1475" s="31" t="str">
        <f t="shared" si="158"/>
        <v/>
      </c>
      <c r="O1475" s="31" t="str">
        <f>IF(OR(B1475="",C1475=""),"",K1475-N1475 + IFERROR(E1475 / SUMIFS('📅 Resumen Diario'!$D$5:$D$504, '📅 Resumen Diario'!$B$5:$B$504, B1475, '📅 Resumen Diario'!$C$5:$C$504, D1475) * (SUMIFS('📋 Detalle Diario'!$E$5:$E$489, '📋 Detalle Diario'!$B$5:$B$489, B1475, '📋 Detalle Diario'!$C$5:$C$489, D1475) * 135 + SUMIFS('📋 Detalle Diario'!$I$5:$I$489, '📋 Detalle Diario'!$B$5:$B$489, B1475, '📋 Detalle Diario'!$C$5:$C$489, D1475) * 200), 0))</f>
        <v/>
      </c>
      <c r="P1475" s="32" t="str">
        <f t="shared" si="159"/>
        <v/>
      </c>
      <c r="Q1475" s="33" t="str">
        <f t="shared" si="160"/>
        <v/>
      </c>
    </row>
    <row r="1476" spans="2:17" ht="18" customHeight="1" x14ac:dyDescent="0.3">
      <c r="B1476" s="26"/>
      <c r="C1476" s="17"/>
      <c r="D1476" s="27"/>
      <c r="E1476" s="18"/>
      <c r="F1476" s="18"/>
      <c r="G1476" s="18"/>
      <c r="H1476" s="30" t="str">
        <f t="shared" si="154"/>
        <v/>
      </c>
      <c r="I1476" s="31" t="str">
        <f>IF(OR(B1476="",C1476=""),"",IFERROR(E1476*IF(E1476="",0,VLOOKUP(C1476,'📦 Precios Proforma'!$B$5:$D$104,IF(D1476="DIA",2,3),FALSE)),0))</f>
        <v/>
      </c>
      <c r="J1476" s="31" t="str">
        <f t="shared" si="155"/>
        <v/>
      </c>
      <c r="K1476" s="31" t="str">
        <f t="shared" si="156"/>
        <v/>
      </c>
      <c r="L1476" s="31" t="str">
        <f>IF(OR(B1476="",C1476=""),"",IFERROR(E1476 / SUMIFS('📅 Resumen Diario'!$D$5:$D$504, '📅 Resumen Diario'!$B$5:$B$504, B1476, '📅 Resumen Diario'!$C$5:$C$504, D1476) * SUMIFS('📅 Resumen Diario'!$K$5:$K$504, '📅 Resumen Diario'!$B$5:$B$504, B1476, '📅 Resumen Diario'!$C$5:$C$504, D1476), 0))</f>
        <v/>
      </c>
      <c r="M1476" s="31" t="str">
        <f t="shared" si="157"/>
        <v/>
      </c>
      <c r="N1476" s="31" t="str">
        <f t="shared" si="158"/>
        <v/>
      </c>
      <c r="O1476" s="31" t="str">
        <f>IF(OR(B1476="",C1476=""),"",K1476-N1476 + IFERROR(E1476 / SUMIFS('📅 Resumen Diario'!$D$5:$D$504, '📅 Resumen Diario'!$B$5:$B$504, B1476, '📅 Resumen Diario'!$C$5:$C$504, D1476) * (SUMIFS('📋 Detalle Diario'!$E$5:$E$489, '📋 Detalle Diario'!$B$5:$B$489, B1476, '📋 Detalle Diario'!$C$5:$C$489, D1476) * 135 + SUMIFS('📋 Detalle Diario'!$I$5:$I$489, '📋 Detalle Diario'!$B$5:$B$489, B1476, '📋 Detalle Diario'!$C$5:$C$489, D1476) * 200), 0))</f>
        <v/>
      </c>
      <c r="P1476" s="32" t="str">
        <f t="shared" si="159"/>
        <v/>
      </c>
      <c r="Q1476" s="33" t="str">
        <f t="shared" si="160"/>
        <v/>
      </c>
    </row>
    <row r="1477" spans="2:17" ht="18" customHeight="1" x14ac:dyDescent="0.3">
      <c r="B1477" s="26"/>
      <c r="C1477" s="28"/>
      <c r="D1477" s="27"/>
      <c r="E1477" s="29"/>
      <c r="F1477" s="29"/>
      <c r="G1477" s="29"/>
      <c r="H1477" s="30" t="str">
        <f t="shared" si="154"/>
        <v/>
      </c>
      <c r="I1477" s="31" t="str">
        <f>IF(OR(B1477="",C1477=""),"",IFERROR(E1477*IF(E1477="",0,VLOOKUP(C1477,'📦 Precios Proforma'!$B$5:$D$104,IF(D1477="DIA",2,3),FALSE)),0))</f>
        <v/>
      </c>
      <c r="J1477" s="31" t="str">
        <f t="shared" si="155"/>
        <v/>
      </c>
      <c r="K1477" s="31" t="str">
        <f t="shared" si="156"/>
        <v/>
      </c>
      <c r="L1477" s="31" t="str">
        <f>IF(OR(B1477="",C1477=""),"",IFERROR(E1477 / SUMIFS('📅 Resumen Diario'!$D$5:$D$504, '📅 Resumen Diario'!$B$5:$B$504, B1477, '📅 Resumen Diario'!$C$5:$C$504, D1477) * SUMIFS('📅 Resumen Diario'!$K$5:$K$504, '📅 Resumen Diario'!$B$5:$B$504, B1477, '📅 Resumen Diario'!$C$5:$C$504, D1477), 0))</f>
        <v/>
      </c>
      <c r="M1477" s="31" t="str">
        <f t="shared" si="157"/>
        <v/>
      </c>
      <c r="N1477" s="31" t="str">
        <f t="shared" si="158"/>
        <v/>
      </c>
      <c r="O1477" s="31" t="str">
        <f>IF(OR(B1477="",C1477=""),"",K1477-N1477 + IFERROR(E1477 / SUMIFS('📅 Resumen Diario'!$D$5:$D$504, '📅 Resumen Diario'!$B$5:$B$504, B1477, '📅 Resumen Diario'!$C$5:$C$504, D1477) * (SUMIFS('📋 Detalle Diario'!$E$5:$E$489, '📋 Detalle Diario'!$B$5:$B$489, B1477, '📋 Detalle Diario'!$C$5:$C$489, D1477) * 135 + SUMIFS('📋 Detalle Diario'!$I$5:$I$489, '📋 Detalle Diario'!$B$5:$B$489, B1477, '📋 Detalle Diario'!$C$5:$C$489, D1477) * 200), 0))</f>
        <v/>
      </c>
      <c r="P1477" s="32" t="str">
        <f t="shared" si="159"/>
        <v/>
      </c>
      <c r="Q1477" s="33" t="str">
        <f t="shared" si="160"/>
        <v/>
      </c>
    </row>
    <row r="1478" spans="2:17" ht="18" customHeight="1" x14ac:dyDescent="0.3">
      <c r="B1478" s="26"/>
      <c r="C1478" s="17"/>
      <c r="D1478" s="27"/>
      <c r="E1478" s="18"/>
      <c r="F1478" s="18"/>
      <c r="G1478" s="18"/>
      <c r="H1478" s="30" t="str">
        <f t="shared" si="154"/>
        <v/>
      </c>
      <c r="I1478" s="31" t="str">
        <f>IF(OR(B1478="",C1478=""),"",IFERROR(E1478*IF(E1478="",0,VLOOKUP(C1478,'📦 Precios Proforma'!$B$5:$D$104,IF(D1478="DIA",2,3),FALSE)),0))</f>
        <v/>
      </c>
      <c r="J1478" s="31" t="str">
        <f t="shared" si="155"/>
        <v/>
      </c>
      <c r="K1478" s="31" t="str">
        <f t="shared" si="156"/>
        <v/>
      </c>
      <c r="L1478" s="31" t="str">
        <f>IF(OR(B1478="",C1478=""),"",IFERROR(E1478 / SUMIFS('📅 Resumen Diario'!$D$5:$D$504, '📅 Resumen Diario'!$B$5:$B$504, B1478, '📅 Resumen Diario'!$C$5:$C$504, D1478) * SUMIFS('📅 Resumen Diario'!$K$5:$K$504, '📅 Resumen Diario'!$B$5:$B$504, B1478, '📅 Resumen Diario'!$C$5:$C$504, D1478), 0))</f>
        <v/>
      </c>
      <c r="M1478" s="31" t="str">
        <f t="shared" si="157"/>
        <v/>
      </c>
      <c r="N1478" s="31" t="str">
        <f t="shared" si="158"/>
        <v/>
      </c>
      <c r="O1478" s="31" t="str">
        <f>IF(OR(B1478="",C1478=""),"",K1478-N1478 + IFERROR(E1478 / SUMIFS('📅 Resumen Diario'!$D$5:$D$504, '📅 Resumen Diario'!$B$5:$B$504, B1478, '📅 Resumen Diario'!$C$5:$C$504, D1478) * (SUMIFS('📋 Detalle Diario'!$E$5:$E$489, '📋 Detalle Diario'!$B$5:$B$489, B1478, '📋 Detalle Diario'!$C$5:$C$489, D1478) * 135 + SUMIFS('📋 Detalle Diario'!$I$5:$I$489, '📋 Detalle Diario'!$B$5:$B$489, B1478, '📋 Detalle Diario'!$C$5:$C$489, D1478) * 200), 0))</f>
        <v/>
      </c>
      <c r="P1478" s="32" t="str">
        <f t="shared" si="159"/>
        <v/>
      </c>
      <c r="Q1478" s="33" t="str">
        <f t="shared" si="160"/>
        <v/>
      </c>
    </row>
    <row r="1479" spans="2:17" ht="18" customHeight="1" x14ac:dyDescent="0.3">
      <c r="B1479" s="26"/>
      <c r="C1479" s="28"/>
      <c r="D1479" s="27"/>
      <c r="E1479" s="29"/>
      <c r="F1479" s="29"/>
      <c r="G1479" s="29"/>
      <c r="H1479" s="30" t="str">
        <f t="shared" ref="H1479:H1542" si="161">IF(OR(B1479="",C1479=""),"",F1479+G1479)</f>
        <v/>
      </c>
      <c r="I1479" s="31" t="str">
        <f>IF(OR(B1479="",C1479=""),"",IFERROR(E1479*IF(E1479="",0,VLOOKUP(C1479,'📦 Precios Proforma'!$B$5:$D$104,IF(D1479="DIA",2,3),FALSE)),0))</f>
        <v/>
      </c>
      <c r="J1479" s="31" t="str">
        <f t="shared" ref="J1479:J1542" si="162">IF(OR(B1479="",C1479=""),"",IF(D1479="DIA",H1479*1.01,H1479*1.35))</f>
        <v/>
      </c>
      <c r="K1479" s="31" t="str">
        <f t="shared" ref="K1479:K1542" si="163">IF(OR(B1479="",C1479=""),"",I1479+J1479)</f>
        <v/>
      </c>
      <c r="L1479" s="31" t="str">
        <f>IF(OR(B1479="",C1479=""),"",IFERROR(E1479 / SUMIFS('📅 Resumen Diario'!$D$5:$D$504, '📅 Resumen Diario'!$B$5:$B$504, B1479, '📅 Resumen Diario'!$C$5:$C$504, D1479) * SUMIFS('📅 Resumen Diario'!$K$5:$K$504, '📅 Resumen Diario'!$B$5:$B$504, B1479, '📅 Resumen Diario'!$C$5:$C$504, D1479), 0))</f>
        <v/>
      </c>
      <c r="M1479" s="31" t="str">
        <f t="shared" ref="M1479:M1542" si="164">IF(OR(B1479="",C1479=""),"",H1479*0.09)</f>
        <v/>
      </c>
      <c r="N1479" s="31" t="str">
        <f t="shared" ref="N1479:N1542" si="165">IF(OR(B1479="",C1479=""),"",L1479+M1479)</f>
        <v/>
      </c>
      <c r="O1479" s="31" t="str">
        <f>IF(OR(B1479="",C1479=""),"",K1479-N1479 + IFERROR(E1479 / SUMIFS('📅 Resumen Diario'!$D$5:$D$504, '📅 Resumen Diario'!$B$5:$B$504, B1479, '📅 Resumen Diario'!$C$5:$C$504, D1479) * (SUMIFS('📋 Detalle Diario'!$E$5:$E$489, '📋 Detalle Diario'!$B$5:$B$489, B1479, '📋 Detalle Diario'!$C$5:$C$489, D1479) * 135 + SUMIFS('📋 Detalle Diario'!$I$5:$I$489, '📋 Detalle Diario'!$B$5:$B$489, B1479, '📋 Detalle Diario'!$C$5:$C$489, D1479) * 200), 0))</f>
        <v/>
      </c>
      <c r="P1479" s="32" t="str">
        <f t="shared" ref="P1479:P1542" si="166">IF(OR(B1479="",C1479=""),"",IF(K1479=0, 0, O1479/K1479))</f>
        <v/>
      </c>
      <c r="Q1479" s="33" t="str">
        <f t="shared" ref="Q1479:Q1542" si="167">IF(B1479="","",IF(ISNUMBER(B1479),YEAR(B1479)&amp;"-"&amp;IF(MONTH(B1479)&lt;10,"0","")&amp;MONTH(B1479),LEFT(B1479,7)))</f>
        <v/>
      </c>
    </row>
    <row r="1480" spans="2:17" ht="18" customHeight="1" x14ac:dyDescent="0.3">
      <c r="B1480" s="26"/>
      <c r="C1480" s="17"/>
      <c r="D1480" s="27"/>
      <c r="E1480" s="18"/>
      <c r="F1480" s="18"/>
      <c r="G1480" s="18"/>
      <c r="H1480" s="30" t="str">
        <f t="shared" si="161"/>
        <v/>
      </c>
      <c r="I1480" s="31" t="str">
        <f>IF(OR(B1480="",C1480=""),"",IFERROR(E1480*IF(E1480="",0,VLOOKUP(C1480,'📦 Precios Proforma'!$B$5:$D$104,IF(D1480="DIA",2,3),FALSE)),0))</f>
        <v/>
      </c>
      <c r="J1480" s="31" t="str">
        <f t="shared" si="162"/>
        <v/>
      </c>
      <c r="K1480" s="31" t="str">
        <f t="shared" si="163"/>
        <v/>
      </c>
      <c r="L1480" s="31" t="str">
        <f>IF(OR(B1480="",C1480=""),"",IFERROR(E1480 / SUMIFS('📅 Resumen Diario'!$D$5:$D$504, '📅 Resumen Diario'!$B$5:$B$504, B1480, '📅 Resumen Diario'!$C$5:$C$504, D1480) * SUMIFS('📅 Resumen Diario'!$K$5:$K$504, '📅 Resumen Diario'!$B$5:$B$504, B1480, '📅 Resumen Diario'!$C$5:$C$504, D1480), 0))</f>
        <v/>
      </c>
      <c r="M1480" s="31" t="str">
        <f t="shared" si="164"/>
        <v/>
      </c>
      <c r="N1480" s="31" t="str">
        <f t="shared" si="165"/>
        <v/>
      </c>
      <c r="O1480" s="31" t="str">
        <f>IF(OR(B1480="",C1480=""),"",K1480-N1480 + IFERROR(E1480 / SUMIFS('📅 Resumen Diario'!$D$5:$D$504, '📅 Resumen Diario'!$B$5:$B$504, B1480, '📅 Resumen Diario'!$C$5:$C$504, D1480) * (SUMIFS('📋 Detalle Diario'!$E$5:$E$489, '📋 Detalle Diario'!$B$5:$B$489, B1480, '📋 Detalle Diario'!$C$5:$C$489, D1480) * 135 + SUMIFS('📋 Detalle Diario'!$I$5:$I$489, '📋 Detalle Diario'!$B$5:$B$489, B1480, '📋 Detalle Diario'!$C$5:$C$489, D1480) * 200), 0))</f>
        <v/>
      </c>
      <c r="P1480" s="32" t="str">
        <f t="shared" si="166"/>
        <v/>
      </c>
      <c r="Q1480" s="33" t="str">
        <f t="shared" si="167"/>
        <v/>
      </c>
    </row>
    <row r="1481" spans="2:17" ht="18" customHeight="1" x14ac:dyDescent="0.3">
      <c r="B1481" s="26"/>
      <c r="C1481" s="28"/>
      <c r="D1481" s="27"/>
      <c r="E1481" s="29"/>
      <c r="F1481" s="29"/>
      <c r="G1481" s="29"/>
      <c r="H1481" s="30" t="str">
        <f t="shared" si="161"/>
        <v/>
      </c>
      <c r="I1481" s="31" t="str">
        <f>IF(OR(B1481="",C1481=""),"",IFERROR(E1481*IF(E1481="",0,VLOOKUP(C1481,'📦 Precios Proforma'!$B$5:$D$104,IF(D1481="DIA",2,3),FALSE)),0))</f>
        <v/>
      </c>
      <c r="J1481" s="31" t="str">
        <f t="shared" si="162"/>
        <v/>
      </c>
      <c r="K1481" s="31" t="str">
        <f t="shared" si="163"/>
        <v/>
      </c>
      <c r="L1481" s="31" t="str">
        <f>IF(OR(B1481="",C1481=""),"",IFERROR(E1481 / SUMIFS('📅 Resumen Diario'!$D$5:$D$504, '📅 Resumen Diario'!$B$5:$B$504, B1481, '📅 Resumen Diario'!$C$5:$C$504, D1481) * SUMIFS('📅 Resumen Diario'!$K$5:$K$504, '📅 Resumen Diario'!$B$5:$B$504, B1481, '📅 Resumen Diario'!$C$5:$C$504, D1481), 0))</f>
        <v/>
      </c>
      <c r="M1481" s="31" t="str">
        <f t="shared" si="164"/>
        <v/>
      </c>
      <c r="N1481" s="31" t="str">
        <f t="shared" si="165"/>
        <v/>
      </c>
      <c r="O1481" s="31" t="str">
        <f>IF(OR(B1481="",C1481=""),"",K1481-N1481 + IFERROR(E1481 / SUMIFS('📅 Resumen Diario'!$D$5:$D$504, '📅 Resumen Diario'!$B$5:$B$504, B1481, '📅 Resumen Diario'!$C$5:$C$504, D1481) * (SUMIFS('📋 Detalle Diario'!$E$5:$E$489, '📋 Detalle Diario'!$B$5:$B$489, B1481, '📋 Detalle Diario'!$C$5:$C$489, D1481) * 135 + SUMIFS('📋 Detalle Diario'!$I$5:$I$489, '📋 Detalle Diario'!$B$5:$B$489, B1481, '📋 Detalle Diario'!$C$5:$C$489, D1481) * 200), 0))</f>
        <v/>
      </c>
      <c r="P1481" s="32" t="str">
        <f t="shared" si="166"/>
        <v/>
      </c>
      <c r="Q1481" s="33" t="str">
        <f t="shared" si="167"/>
        <v/>
      </c>
    </row>
    <row r="1482" spans="2:17" ht="18" customHeight="1" x14ac:dyDescent="0.3">
      <c r="B1482" s="26"/>
      <c r="C1482" s="17"/>
      <c r="D1482" s="27"/>
      <c r="E1482" s="18"/>
      <c r="F1482" s="18"/>
      <c r="G1482" s="18"/>
      <c r="H1482" s="30" t="str">
        <f t="shared" si="161"/>
        <v/>
      </c>
      <c r="I1482" s="31" t="str">
        <f>IF(OR(B1482="",C1482=""),"",IFERROR(E1482*IF(E1482="",0,VLOOKUP(C1482,'📦 Precios Proforma'!$B$5:$D$104,IF(D1482="DIA",2,3),FALSE)),0))</f>
        <v/>
      </c>
      <c r="J1482" s="31" t="str">
        <f t="shared" si="162"/>
        <v/>
      </c>
      <c r="K1482" s="31" t="str">
        <f t="shared" si="163"/>
        <v/>
      </c>
      <c r="L1482" s="31" t="str">
        <f>IF(OR(B1482="",C1482=""),"",IFERROR(E1482 / SUMIFS('📅 Resumen Diario'!$D$5:$D$504, '📅 Resumen Diario'!$B$5:$B$504, B1482, '📅 Resumen Diario'!$C$5:$C$504, D1482) * SUMIFS('📅 Resumen Diario'!$K$5:$K$504, '📅 Resumen Diario'!$B$5:$B$504, B1482, '📅 Resumen Diario'!$C$5:$C$504, D1482), 0))</f>
        <v/>
      </c>
      <c r="M1482" s="31" t="str">
        <f t="shared" si="164"/>
        <v/>
      </c>
      <c r="N1482" s="31" t="str">
        <f t="shared" si="165"/>
        <v/>
      </c>
      <c r="O1482" s="31" t="str">
        <f>IF(OR(B1482="",C1482=""),"",K1482-N1482 + IFERROR(E1482 / SUMIFS('📅 Resumen Diario'!$D$5:$D$504, '📅 Resumen Diario'!$B$5:$B$504, B1482, '📅 Resumen Diario'!$C$5:$C$504, D1482) * (SUMIFS('📋 Detalle Diario'!$E$5:$E$489, '📋 Detalle Diario'!$B$5:$B$489, B1482, '📋 Detalle Diario'!$C$5:$C$489, D1482) * 135 + SUMIFS('📋 Detalle Diario'!$I$5:$I$489, '📋 Detalle Diario'!$B$5:$B$489, B1482, '📋 Detalle Diario'!$C$5:$C$489, D1482) * 200), 0))</f>
        <v/>
      </c>
      <c r="P1482" s="32" t="str">
        <f t="shared" si="166"/>
        <v/>
      </c>
      <c r="Q1482" s="33" t="str">
        <f t="shared" si="167"/>
        <v/>
      </c>
    </row>
    <row r="1483" spans="2:17" ht="18" customHeight="1" x14ac:dyDescent="0.3">
      <c r="B1483" s="26"/>
      <c r="C1483" s="28"/>
      <c r="D1483" s="27"/>
      <c r="E1483" s="29"/>
      <c r="F1483" s="29"/>
      <c r="G1483" s="29"/>
      <c r="H1483" s="30" t="str">
        <f t="shared" si="161"/>
        <v/>
      </c>
      <c r="I1483" s="31" t="str">
        <f>IF(OR(B1483="",C1483=""),"",IFERROR(E1483*IF(E1483="",0,VLOOKUP(C1483,'📦 Precios Proforma'!$B$5:$D$104,IF(D1483="DIA",2,3),FALSE)),0))</f>
        <v/>
      </c>
      <c r="J1483" s="31" t="str">
        <f t="shared" si="162"/>
        <v/>
      </c>
      <c r="K1483" s="31" t="str">
        <f t="shared" si="163"/>
        <v/>
      </c>
      <c r="L1483" s="31" t="str">
        <f>IF(OR(B1483="",C1483=""),"",IFERROR(E1483 / SUMIFS('📅 Resumen Diario'!$D$5:$D$504, '📅 Resumen Diario'!$B$5:$B$504, B1483, '📅 Resumen Diario'!$C$5:$C$504, D1483) * SUMIFS('📅 Resumen Diario'!$K$5:$K$504, '📅 Resumen Diario'!$B$5:$B$504, B1483, '📅 Resumen Diario'!$C$5:$C$504, D1483), 0))</f>
        <v/>
      </c>
      <c r="M1483" s="31" t="str">
        <f t="shared" si="164"/>
        <v/>
      </c>
      <c r="N1483" s="31" t="str">
        <f t="shared" si="165"/>
        <v/>
      </c>
      <c r="O1483" s="31" t="str">
        <f>IF(OR(B1483="",C1483=""),"",K1483-N1483 + IFERROR(E1483 / SUMIFS('📅 Resumen Diario'!$D$5:$D$504, '📅 Resumen Diario'!$B$5:$B$504, B1483, '📅 Resumen Diario'!$C$5:$C$504, D1483) * (SUMIFS('📋 Detalle Diario'!$E$5:$E$489, '📋 Detalle Diario'!$B$5:$B$489, B1483, '📋 Detalle Diario'!$C$5:$C$489, D1483) * 135 + SUMIFS('📋 Detalle Diario'!$I$5:$I$489, '📋 Detalle Diario'!$B$5:$B$489, B1483, '📋 Detalle Diario'!$C$5:$C$489, D1483) * 200), 0))</f>
        <v/>
      </c>
      <c r="P1483" s="32" t="str">
        <f t="shared" si="166"/>
        <v/>
      </c>
      <c r="Q1483" s="33" t="str">
        <f t="shared" si="167"/>
        <v/>
      </c>
    </row>
    <row r="1484" spans="2:17" ht="18" customHeight="1" x14ac:dyDescent="0.3">
      <c r="B1484" s="26"/>
      <c r="C1484" s="17"/>
      <c r="D1484" s="27"/>
      <c r="E1484" s="18"/>
      <c r="F1484" s="18"/>
      <c r="G1484" s="18"/>
      <c r="H1484" s="30" t="str">
        <f t="shared" si="161"/>
        <v/>
      </c>
      <c r="I1484" s="31" t="str">
        <f>IF(OR(B1484="",C1484=""),"",IFERROR(E1484*IF(E1484="",0,VLOOKUP(C1484,'📦 Precios Proforma'!$B$5:$D$104,IF(D1484="DIA",2,3),FALSE)),0))</f>
        <v/>
      </c>
      <c r="J1484" s="31" t="str">
        <f t="shared" si="162"/>
        <v/>
      </c>
      <c r="K1484" s="31" t="str">
        <f t="shared" si="163"/>
        <v/>
      </c>
      <c r="L1484" s="31" t="str">
        <f>IF(OR(B1484="",C1484=""),"",IFERROR(E1484 / SUMIFS('📅 Resumen Diario'!$D$5:$D$504, '📅 Resumen Diario'!$B$5:$B$504, B1484, '📅 Resumen Diario'!$C$5:$C$504, D1484) * SUMIFS('📅 Resumen Diario'!$K$5:$K$504, '📅 Resumen Diario'!$B$5:$B$504, B1484, '📅 Resumen Diario'!$C$5:$C$504, D1484), 0))</f>
        <v/>
      </c>
      <c r="M1484" s="31" t="str">
        <f t="shared" si="164"/>
        <v/>
      </c>
      <c r="N1484" s="31" t="str">
        <f t="shared" si="165"/>
        <v/>
      </c>
      <c r="O1484" s="31" t="str">
        <f>IF(OR(B1484="",C1484=""),"",K1484-N1484 + IFERROR(E1484 / SUMIFS('📅 Resumen Diario'!$D$5:$D$504, '📅 Resumen Diario'!$B$5:$B$504, B1484, '📅 Resumen Diario'!$C$5:$C$504, D1484) * (SUMIFS('📋 Detalle Diario'!$E$5:$E$489, '📋 Detalle Diario'!$B$5:$B$489, B1484, '📋 Detalle Diario'!$C$5:$C$489, D1484) * 135 + SUMIFS('📋 Detalle Diario'!$I$5:$I$489, '📋 Detalle Diario'!$B$5:$B$489, B1484, '📋 Detalle Diario'!$C$5:$C$489, D1484) * 200), 0))</f>
        <v/>
      </c>
      <c r="P1484" s="32" t="str">
        <f t="shared" si="166"/>
        <v/>
      </c>
      <c r="Q1484" s="33" t="str">
        <f t="shared" si="167"/>
        <v/>
      </c>
    </row>
    <row r="1485" spans="2:17" ht="18" customHeight="1" x14ac:dyDescent="0.3">
      <c r="B1485" s="26"/>
      <c r="C1485" s="28"/>
      <c r="D1485" s="27"/>
      <c r="E1485" s="29"/>
      <c r="F1485" s="29"/>
      <c r="G1485" s="29"/>
      <c r="H1485" s="30" t="str">
        <f t="shared" si="161"/>
        <v/>
      </c>
      <c r="I1485" s="31" t="str">
        <f>IF(OR(B1485="",C1485=""),"",IFERROR(E1485*IF(E1485="",0,VLOOKUP(C1485,'📦 Precios Proforma'!$B$5:$D$104,IF(D1485="DIA",2,3),FALSE)),0))</f>
        <v/>
      </c>
      <c r="J1485" s="31" t="str">
        <f t="shared" si="162"/>
        <v/>
      </c>
      <c r="K1485" s="31" t="str">
        <f t="shared" si="163"/>
        <v/>
      </c>
      <c r="L1485" s="31" t="str">
        <f>IF(OR(B1485="",C1485=""),"",IFERROR(E1485 / SUMIFS('📅 Resumen Diario'!$D$5:$D$504, '📅 Resumen Diario'!$B$5:$B$504, B1485, '📅 Resumen Diario'!$C$5:$C$504, D1485) * SUMIFS('📅 Resumen Diario'!$K$5:$K$504, '📅 Resumen Diario'!$B$5:$B$504, B1485, '📅 Resumen Diario'!$C$5:$C$504, D1485), 0))</f>
        <v/>
      </c>
      <c r="M1485" s="31" t="str">
        <f t="shared" si="164"/>
        <v/>
      </c>
      <c r="N1485" s="31" t="str">
        <f t="shared" si="165"/>
        <v/>
      </c>
      <c r="O1485" s="31" t="str">
        <f>IF(OR(B1485="",C1485=""),"",K1485-N1485 + IFERROR(E1485 / SUMIFS('📅 Resumen Diario'!$D$5:$D$504, '📅 Resumen Diario'!$B$5:$B$504, B1485, '📅 Resumen Diario'!$C$5:$C$504, D1485) * (SUMIFS('📋 Detalle Diario'!$E$5:$E$489, '📋 Detalle Diario'!$B$5:$B$489, B1485, '📋 Detalle Diario'!$C$5:$C$489, D1485) * 135 + SUMIFS('📋 Detalle Diario'!$I$5:$I$489, '📋 Detalle Diario'!$B$5:$B$489, B1485, '📋 Detalle Diario'!$C$5:$C$489, D1485) * 200), 0))</f>
        <v/>
      </c>
      <c r="P1485" s="32" t="str">
        <f t="shared" si="166"/>
        <v/>
      </c>
      <c r="Q1485" s="33" t="str">
        <f t="shared" si="167"/>
        <v/>
      </c>
    </row>
    <row r="1486" spans="2:17" ht="18" customHeight="1" x14ac:dyDescent="0.3">
      <c r="B1486" s="26"/>
      <c r="C1486" s="17"/>
      <c r="D1486" s="27"/>
      <c r="E1486" s="18"/>
      <c r="F1486" s="18"/>
      <c r="G1486" s="18"/>
      <c r="H1486" s="30" t="str">
        <f t="shared" si="161"/>
        <v/>
      </c>
      <c r="I1486" s="31" t="str">
        <f>IF(OR(B1486="",C1486=""),"",IFERROR(E1486*IF(E1486="",0,VLOOKUP(C1486,'📦 Precios Proforma'!$B$5:$D$104,IF(D1486="DIA",2,3),FALSE)),0))</f>
        <v/>
      </c>
      <c r="J1486" s="31" t="str">
        <f t="shared" si="162"/>
        <v/>
      </c>
      <c r="K1486" s="31" t="str">
        <f t="shared" si="163"/>
        <v/>
      </c>
      <c r="L1486" s="31" t="str">
        <f>IF(OR(B1486="",C1486=""),"",IFERROR(E1486 / SUMIFS('📅 Resumen Diario'!$D$5:$D$504, '📅 Resumen Diario'!$B$5:$B$504, B1486, '📅 Resumen Diario'!$C$5:$C$504, D1486) * SUMIFS('📅 Resumen Diario'!$K$5:$K$504, '📅 Resumen Diario'!$B$5:$B$504, B1486, '📅 Resumen Diario'!$C$5:$C$504, D1486), 0))</f>
        <v/>
      </c>
      <c r="M1486" s="31" t="str">
        <f t="shared" si="164"/>
        <v/>
      </c>
      <c r="N1486" s="31" t="str">
        <f t="shared" si="165"/>
        <v/>
      </c>
      <c r="O1486" s="31" t="str">
        <f>IF(OR(B1486="",C1486=""),"",K1486-N1486 + IFERROR(E1486 / SUMIFS('📅 Resumen Diario'!$D$5:$D$504, '📅 Resumen Diario'!$B$5:$B$504, B1486, '📅 Resumen Diario'!$C$5:$C$504, D1486) * (SUMIFS('📋 Detalle Diario'!$E$5:$E$489, '📋 Detalle Diario'!$B$5:$B$489, B1486, '📋 Detalle Diario'!$C$5:$C$489, D1486) * 135 + SUMIFS('📋 Detalle Diario'!$I$5:$I$489, '📋 Detalle Diario'!$B$5:$B$489, B1486, '📋 Detalle Diario'!$C$5:$C$489, D1486) * 200), 0))</f>
        <v/>
      </c>
      <c r="P1486" s="32" t="str">
        <f t="shared" si="166"/>
        <v/>
      </c>
      <c r="Q1486" s="33" t="str">
        <f t="shared" si="167"/>
        <v/>
      </c>
    </row>
    <row r="1487" spans="2:17" ht="18" customHeight="1" x14ac:dyDescent="0.3">
      <c r="B1487" s="26"/>
      <c r="C1487" s="28"/>
      <c r="D1487" s="27"/>
      <c r="E1487" s="29"/>
      <c r="F1487" s="29"/>
      <c r="G1487" s="29"/>
      <c r="H1487" s="30" t="str">
        <f t="shared" si="161"/>
        <v/>
      </c>
      <c r="I1487" s="31" t="str">
        <f>IF(OR(B1487="",C1487=""),"",IFERROR(E1487*IF(E1487="",0,VLOOKUP(C1487,'📦 Precios Proforma'!$B$5:$D$104,IF(D1487="DIA",2,3),FALSE)),0))</f>
        <v/>
      </c>
      <c r="J1487" s="31" t="str">
        <f t="shared" si="162"/>
        <v/>
      </c>
      <c r="K1487" s="31" t="str">
        <f t="shared" si="163"/>
        <v/>
      </c>
      <c r="L1487" s="31" t="str">
        <f>IF(OR(B1487="",C1487=""),"",IFERROR(E1487 / SUMIFS('📅 Resumen Diario'!$D$5:$D$504, '📅 Resumen Diario'!$B$5:$B$504, B1487, '📅 Resumen Diario'!$C$5:$C$504, D1487) * SUMIFS('📅 Resumen Diario'!$K$5:$K$504, '📅 Resumen Diario'!$B$5:$B$504, B1487, '📅 Resumen Diario'!$C$5:$C$504, D1487), 0))</f>
        <v/>
      </c>
      <c r="M1487" s="31" t="str">
        <f t="shared" si="164"/>
        <v/>
      </c>
      <c r="N1487" s="31" t="str">
        <f t="shared" si="165"/>
        <v/>
      </c>
      <c r="O1487" s="31" t="str">
        <f>IF(OR(B1487="",C1487=""),"",K1487-N1487 + IFERROR(E1487 / SUMIFS('📅 Resumen Diario'!$D$5:$D$504, '📅 Resumen Diario'!$B$5:$B$504, B1487, '📅 Resumen Diario'!$C$5:$C$504, D1487) * (SUMIFS('📋 Detalle Diario'!$E$5:$E$489, '📋 Detalle Diario'!$B$5:$B$489, B1487, '📋 Detalle Diario'!$C$5:$C$489, D1487) * 135 + SUMIFS('📋 Detalle Diario'!$I$5:$I$489, '📋 Detalle Diario'!$B$5:$B$489, B1487, '📋 Detalle Diario'!$C$5:$C$489, D1487) * 200), 0))</f>
        <v/>
      </c>
      <c r="P1487" s="32" t="str">
        <f t="shared" si="166"/>
        <v/>
      </c>
      <c r="Q1487" s="33" t="str">
        <f t="shared" si="167"/>
        <v/>
      </c>
    </row>
    <row r="1488" spans="2:17" ht="18" customHeight="1" x14ac:dyDescent="0.3">
      <c r="B1488" s="26"/>
      <c r="C1488" s="17"/>
      <c r="D1488" s="27"/>
      <c r="E1488" s="18"/>
      <c r="F1488" s="18"/>
      <c r="G1488" s="18"/>
      <c r="H1488" s="30" t="str">
        <f t="shared" si="161"/>
        <v/>
      </c>
      <c r="I1488" s="31" t="str">
        <f>IF(OR(B1488="",C1488=""),"",IFERROR(E1488*IF(E1488="",0,VLOOKUP(C1488,'📦 Precios Proforma'!$B$5:$D$104,IF(D1488="DIA",2,3),FALSE)),0))</f>
        <v/>
      </c>
      <c r="J1488" s="31" t="str">
        <f t="shared" si="162"/>
        <v/>
      </c>
      <c r="K1488" s="31" t="str">
        <f t="shared" si="163"/>
        <v/>
      </c>
      <c r="L1488" s="31" t="str">
        <f>IF(OR(B1488="",C1488=""),"",IFERROR(E1488 / SUMIFS('📅 Resumen Diario'!$D$5:$D$504, '📅 Resumen Diario'!$B$5:$B$504, B1488, '📅 Resumen Diario'!$C$5:$C$504, D1488) * SUMIFS('📅 Resumen Diario'!$K$5:$K$504, '📅 Resumen Diario'!$B$5:$B$504, B1488, '📅 Resumen Diario'!$C$5:$C$504, D1488), 0))</f>
        <v/>
      </c>
      <c r="M1488" s="31" t="str">
        <f t="shared" si="164"/>
        <v/>
      </c>
      <c r="N1488" s="31" t="str">
        <f t="shared" si="165"/>
        <v/>
      </c>
      <c r="O1488" s="31" t="str">
        <f>IF(OR(B1488="",C1488=""),"",K1488-N1488 + IFERROR(E1488 / SUMIFS('📅 Resumen Diario'!$D$5:$D$504, '📅 Resumen Diario'!$B$5:$B$504, B1488, '📅 Resumen Diario'!$C$5:$C$504, D1488) * (SUMIFS('📋 Detalle Diario'!$E$5:$E$489, '📋 Detalle Diario'!$B$5:$B$489, B1488, '📋 Detalle Diario'!$C$5:$C$489, D1488) * 135 + SUMIFS('📋 Detalle Diario'!$I$5:$I$489, '📋 Detalle Diario'!$B$5:$B$489, B1488, '📋 Detalle Diario'!$C$5:$C$489, D1488) * 200), 0))</f>
        <v/>
      </c>
      <c r="P1488" s="32" t="str">
        <f t="shared" si="166"/>
        <v/>
      </c>
      <c r="Q1488" s="33" t="str">
        <f t="shared" si="167"/>
        <v/>
      </c>
    </row>
    <row r="1489" spans="2:17" ht="18" customHeight="1" x14ac:dyDescent="0.3">
      <c r="B1489" s="26"/>
      <c r="C1489" s="28"/>
      <c r="D1489" s="27"/>
      <c r="E1489" s="29"/>
      <c r="F1489" s="29"/>
      <c r="G1489" s="29"/>
      <c r="H1489" s="30" t="str">
        <f t="shared" si="161"/>
        <v/>
      </c>
      <c r="I1489" s="31" t="str">
        <f>IF(OR(B1489="",C1489=""),"",IFERROR(E1489*IF(E1489="",0,VLOOKUP(C1489,'📦 Precios Proforma'!$B$5:$D$104,IF(D1489="DIA",2,3),FALSE)),0))</f>
        <v/>
      </c>
      <c r="J1489" s="31" t="str">
        <f t="shared" si="162"/>
        <v/>
      </c>
      <c r="K1489" s="31" t="str">
        <f t="shared" si="163"/>
        <v/>
      </c>
      <c r="L1489" s="31" t="str">
        <f>IF(OR(B1489="",C1489=""),"",IFERROR(E1489 / SUMIFS('📅 Resumen Diario'!$D$5:$D$504, '📅 Resumen Diario'!$B$5:$B$504, B1489, '📅 Resumen Diario'!$C$5:$C$504, D1489) * SUMIFS('📅 Resumen Diario'!$K$5:$K$504, '📅 Resumen Diario'!$B$5:$B$504, B1489, '📅 Resumen Diario'!$C$5:$C$504, D1489), 0))</f>
        <v/>
      </c>
      <c r="M1489" s="31" t="str">
        <f t="shared" si="164"/>
        <v/>
      </c>
      <c r="N1489" s="31" t="str">
        <f t="shared" si="165"/>
        <v/>
      </c>
      <c r="O1489" s="31" t="str">
        <f>IF(OR(B1489="",C1489=""),"",K1489-N1489 + IFERROR(E1489 / SUMIFS('📅 Resumen Diario'!$D$5:$D$504, '📅 Resumen Diario'!$B$5:$B$504, B1489, '📅 Resumen Diario'!$C$5:$C$504, D1489) * (SUMIFS('📋 Detalle Diario'!$E$5:$E$489, '📋 Detalle Diario'!$B$5:$B$489, B1489, '📋 Detalle Diario'!$C$5:$C$489, D1489) * 135 + SUMIFS('📋 Detalle Diario'!$I$5:$I$489, '📋 Detalle Diario'!$B$5:$B$489, B1489, '📋 Detalle Diario'!$C$5:$C$489, D1489) * 200), 0))</f>
        <v/>
      </c>
      <c r="P1489" s="32" t="str">
        <f t="shared" si="166"/>
        <v/>
      </c>
      <c r="Q1489" s="33" t="str">
        <f t="shared" si="167"/>
        <v/>
      </c>
    </row>
    <row r="1490" spans="2:17" ht="18" customHeight="1" x14ac:dyDescent="0.3">
      <c r="B1490" s="26"/>
      <c r="C1490" s="17"/>
      <c r="D1490" s="27"/>
      <c r="E1490" s="18"/>
      <c r="F1490" s="18"/>
      <c r="G1490" s="18"/>
      <c r="H1490" s="30" t="str">
        <f t="shared" si="161"/>
        <v/>
      </c>
      <c r="I1490" s="31" t="str">
        <f>IF(OR(B1490="",C1490=""),"",IFERROR(E1490*IF(E1490="",0,VLOOKUP(C1490,'📦 Precios Proforma'!$B$5:$D$104,IF(D1490="DIA",2,3),FALSE)),0))</f>
        <v/>
      </c>
      <c r="J1490" s="31" t="str">
        <f t="shared" si="162"/>
        <v/>
      </c>
      <c r="K1490" s="31" t="str">
        <f t="shared" si="163"/>
        <v/>
      </c>
      <c r="L1490" s="31" t="str">
        <f>IF(OR(B1490="",C1490=""),"",IFERROR(E1490 / SUMIFS('📅 Resumen Diario'!$D$5:$D$504, '📅 Resumen Diario'!$B$5:$B$504, B1490, '📅 Resumen Diario'!$C$5:$C$504, D1490) * SUMIFS('📅 Resumen Diario'!$K$5:$K$504, '📅 Resumen Diario'!$B$5:$B$504, B1490, '📅 Resumen Diario'!$C$5:$C$504, D1490), 0))</f>
        <v/>
      </c>
      <c r="M1490" s="31" t="str">
        <f t="shared" si="164"/>
        <v/>
      </c>
      <c r="N1490" s="31" t="str">
        <f t="shared" si="165"/>
        <v/>
      </c>
      <c r="O1490" s="31" t="str">
        <f>IF(OR(B1490="",C1490=""),"",K1490-N1490 + IFERROR(E1490 / SUMIFS('📅 Resumen Diario'!$D$5:$D$504, '📅 Resumen Diario'!$B$5:$B$504, B1490, '📅 Resumen Diario'!$C$5:$C$504, D1490) * (SUMIFS('📋 Detalle Diario'!$E$5:$E$489, '📋 Detalle Diario'!$B$5:$B$489, B1490, '📋 Detalle Diario'!$C$5:$C$489, D1490) * 135 + SUMIFS('📋 Detalle Diario'!$I$5:$I$489, '📋 Detalle Diario'!$B$5:$B$489, B1490, '📋 Detalle Diario'!$C$5:$C$489, D1490) * 200), 0))</f>
        <v/>
      </c>
      <c r="P1490" s="32" t="str">
        <f t="shared" si="166"/>
        <v/>
      </c>
      <c r="Q1490" s="33" t="str">
        <f t="shared" si="167"/>
        <v/>
      </c>
    </row>
    <row r="1491" spans="2:17" ht="18" customHeight="1" x14ac:dyDescent="0.3">
      <c r="B1491" s="26"/>
      <c r="C1491" s="28"/>
      <c r="D1491" s="27"/>
      <c r="E1491" s="29"/>
      <c r="F1491" s="29"/>
      <c r="G1491" s="29"/>
      <c r="H1491" s="30" t="str">
        <f t="shared" si="161"/>
        <v/>
      </c>
      <c r="I1491" s="31" t="str">
        <f>IF(OR(B1491="",C1491=""),"",IFERROR(E1491*IF(E1491="",0,VLOOKUP(C1491,'📦 Precios Proforma'!$B$5:$D$104,IF(D1491="DIA",2,3),FALSE)),0))</f>
        <v/>
      </c>
      <c r="J1491" s="31" t="str">
        <f t="shared" si="162"/>
        <v/>
      </c>
      <c r="K1491" s="31" t="str">
        <f t="shared" si="163"/>
        <v/>
      </c>
      <c r="L1491" s="31" t="str">
        <f>IF(OR(B1491="",C1491=""),"",IFERROR(E1491 / SUMIFS('📅 Resumen Diario'!$D$5:$D$504, '📅 Resumen Diario'!$B$5:$B$504, B1491, '📅 Resumen Diario'!$C$5:$C$504, D1491) * SUMIFS('📅 Resumen Diario'!$K$5:$K$504, '📅 Resumen Diario'!$B$5:$B$504, B1491, '📅 Resumen Diario'!$C$5:$C$504, D1491), 0))</f>
        <v/>
      </c>
      <c r="M1491" s="31" t="str">
        <f t="shared" si="164"/>
        <v/>
      </c>
      <c r="N1491" s="31" t="str">
        <f t="shared" si="165"/>
        <v/>
      </c>
      <c r="O1491" s="31" t="str">
        <f>IF(OR(B1491="",C1491=""),"",K1491-N1491 + IFERROR(E1491 / SUMIFS('📅 Resumen Diario'!$D$5:$D$504, '📅 Resumen Diario'!$B$5:$B$504, B1491, '📅 Resumen Diario'!$C$5:$C$504, D1491) * (SUMIFS('📋 Detalle Diario'!$E$5:$E$489, '📋 Detalle Diario'!$B$5:$B$489, B1491, '📋 Detalle Diario'!$C$5:$C$489, D1491) * 135 + SUMIFS('📋 Detalle Diario'!$I$5:$I$489, '📋 Detalle Diario'!$B$5:$B$489, B1491, '📋 Detalle Diario'!$C$5:$C$489, D1491) * 200), 0))</f>
        <v/>
      </c>
      <c r="P1491" s="32" t="str">
        <f t="shared" si="166"/>
        <v/>
      </c>
      <c r="Q1491" s="33" t="str">
        <f t="shared" si="167"/>
        <v/>
      </c>
    </row>
    <row r="1492" spans="2:17" ht="18" customHeight="1" x14ac:dyDescent="0.3">
      <c r="B1492" s="26"/>
      <c r="C1492" s="17"/>
      <c r="D1492" s="27"/>
      <c r="E1492" s="18"/>
      <c r="F1492" s="18"/>
      <c r="G1492" s="18"/>
      <c r="H1492" s="30" t="str">
        <f t="shared" si="161"/>
        <v/>
      </c>
      <c r="I1492" s="31" t="str">
        <f>IF(OR(B1492="",C1492=""),"",IFERROR(E1492*IF(E1492="",0,VLOOKUP(C1492,'📦 Precios Proforma'!$B$5:$D$104,IF(D1492="DIA",2,3),FALSE)),0))</f>
        <v/>
      </c>
      <c r="J1492" s="31" t="str">
        <f t="shared" si="162"/>
        <v/>
      </c>
      <c r="K1492" s="31" t="str">
        <f t="shared" si="163"/>
        <v/>
      </c>
      <c r="L1492" s="31" t="str">
        <f>IF(OR(B1492="",C1492=""),"",IFERROR(E1492 / SUMIFS('📅 Resumen Diario'!$D$5:$D$504, '📅 Resumen Diario'!$B$5:$B$504, B1492, '📅 Resumen Diario'!$C$5:$C$504, D1492) * SUMIFS('📅 Resumen Diario'!$K$5:$K$504, '📅 Resumen Diario'!$B$5:$B$504, B1492, '📅 Resumen Diario'!$C$5:$C$504, D1492), 0))</f>
        <v/>
      </c>
      <c r="M1492" s="31" t="str">
        <f t="shared" si="164"/>
        <v/>
      </c>
      <c r="N1492" s="31" t="str">
        <f t="shared" si="165"/>
        <v/>
      </c>
      <c r="O1492" s="31" t="str">
        <f>IF(OR(B1492="",C1492=""),"",K1492-N1492 + IFERROR(E1492 / SUMIFS('📅 Resumen Diario'!$D$5:$D$504, '📅 Resumen Diario'!$B$5:$B$504, B1492, '📅 Resumen Diario'!$C$5:$C$504, D1492) * (SUMIFS('📋 Detalle Diario'!$E$5:$E$489, '📋 Detalle Diario'!$B$5:$B$489, B1492, '📋 Detalle Diario'!$C$5:$C$489, D1492) * 135 + SUMIFS('📋 Detalle Diario'!$I$5:$I$489, '📋 Detalle Diario'!$B$5:$B$489, B1492, '📋 Detalle Diario'!$C$5:$C$489, D1492) * 200), 0))</f>
        <v/>
      </c>
      <c r="P1492" s="32" t="str">
        <f t="shared" si="166"/>
        <v/>
      </c>
      <c r="Q1492" s="33" t="str">
        <f t="shared" si="167"/>
        <v/>
      </c>
    </row>
    <row r="1493" spans="2:17" ht="18" customHeight="1" x14ac:dyDescent="0.3">
      <c r="B1493" s="26"/>
      <c r="C1493" s="28"/>
      <c r="D1493" s="27"/>
      <c r="E1493" s="29"/>
      <c r="F1493" s="29"/>
      <c r="G1493" s="29"/>
      <c r="H1493" s="30" t="str">
        <f t="shared" si="161"/>
        <v/>
      </c>
      <c r="I1493" s="31" t="str">
        <f>IF(OR(B1493="",C1493=""),"",IFERROR(E1493*IF(E1493="",0,VLOOKUP(C1493,'📦 Precios Proforma'!$B$5:$D$104,IF(D1493="DIA",2,3),FALSE)),0))</f>
        <v/>
      </c>
      <c r="J1493" s="31" t="str">
        <f t="shared" si="162"/>
        <v/>
      </c>
      <c r="K1493" s="31" t="str">
        <f t="shared" si="163"/>
        <v/>
      </c>
      <c r="L1493" s="31" t="str">
        <f>IF(OR(B1493="",C1493=""),"",IFERROR(E1493 / SUMIFS('📅 Resumen Diario'!$D$5:$D$504, '📅 Resumen Diario'!$B$5:$B$504, B1493, '📅 Resumen Diario'!$C$5:$C$504, D1493) * SUMIFS('📅 Resumen Diario'!$K$5:$K$504, '📅 Resumen Diario'!$B$5:$B$504, B1493, '📅 Resumen Diario'!$C$5:$C$504, D1493), 0))</f>
        <v/>
      </c>
      <c r="M1493" s="31" t="str">
        <f t="shared" si="164"/>
        <v/>
      </c>
      <c r="N1493" s="31" t="str">
        <f t="shared" si="165"/>
        <v/>
      </c>
      <c r="O1493" s="31" t="str">
        <f>IF(OR(B1493="",C1493=""),"",K1493-N1493 + IFERROR(E1493 / SUMIFS('📅 Resumen Diario'!$D$5:$D$504, '📅 Resumen Diario'!$B$5:$B$504, B1493, '📅 Resumen Diario'!$C$5:$C$504, D1493) * (SUMIFS('📋 Detalle Diario'!$E$5:$E$489, '📋 Detalle Diario'!$B$5:$B$489, B1493, '📋 Detalle Diario'!$C$5:$C$489, D1493) * 135 + SUMIFS('📋 Detalle Diario'!$I$5:$I$489, '📋 Detalle Diario'!$B$5:$B$489, B1493, '📋 Detalle Diario'!$C$5:$C$489, D1493) * 200), 0))</f>
        <v/>
      </c>
      <c r="P1493" s="32" t="str">
        <f t="shared" si="166"/>
        <v/>
      </c>
      <c r="Q1493" s="33" t="str">
        <f t="shared" si="167"/>
        <v/>
      </c>
    </row>
    <row r="1494" spans="2:17" ht="18" customHeight="1" x14ac:dyDescent="0.3">
      <c r="B1494" s="26"/>
      <c r="C1494" s="17"/>
      <c r="D1494" s="27"/>
      <c r="E1494" s="18"/>
      <c r="F1494" s="18"/>
      <c r="G1494" s="18"/>
      <c r="H1494" s="30" t="str">
        <f t="shared" si="161"/>
        <v/>
      </c>
      <c r="I1494" s="31" t="str">
        <f>IF(OR(B1494="",C1494=""),"",IFERROR(E1494*IF(E1494="",0,VLOOKUP(C1494,'📦 Precios Proforma'!$B$5:$D$104,IF(D1494="DIA",2,3),FALSE)),0))</f>
        <v/>
      </c>
      <c r="J1494" s="31" t="str">
        <f t="shared" si="162"/>
        <v/>
      </c>
      <c r="K1494" s="31" t="str">
        <f t="shared" si="163"/>
        <v/>
      </c>
      <c r="L1494" s="31" t="str">
        <f>IF(OR(B1494="",C1494=""),"",IFERROR(E1494 / SUMIFS('📅 Resumen Diario'!$D$5:$D$504, '📅 Resumen Diario'!$B$5:$B$504, B1494, '📅 Resumen Diario'!$C$5:$C$504, D1494) * SUMIFS('📅 Resumen Diario'!$K$5:$K$504, '📅 Resumen Diario'!$B$5:$B$504, B1494, '📅 Resumen Diario'!$C$5:$C$504, D1494), 0))</f>
        <v/>
      </c>
      <c r="M1494" s="31" t="str">
        <f t="shared" si="164"/>
        <v/>
      </c>
      <c r="N1494" s="31" t="str">
        <f t="shared" si="165"/>
        <v/>
      </c>
      <c r="O1494" s="31" t="str">
        <f>IF(OR(B1494="",C1494=""),"",K1494-N1494 + IFERROR(E1494 / SUMIFS('📅 Resumen Diario'!$D$5:$D$504, '📅 Resumen Diario'!$B$5:$B$504, B1494, '📅 Resumen Diario'!$C$5:$C$504, D1494) * (SUMIFS('📋 Detalle Diario'!$E$5:$E$489, '📋 Detalle Diario'!$B$5:$B$489, B1494, '📋 Detalle Diario'!$C$5:$C$489, D1494) * 135 + SUMIFS('📋 Detalle Diario'!$I$5:$I$489, '📋 Detalle Diario'!$B$5:$B$489, B1494, '📋 Detalle Diario'!$C$5:$C$489, D1494) * 200), 0))</f>
        <v/>
      </c>
      <c r="P1494" s="32" t="str">
        <f t="shared" si="166"/>
        <v/>
      </c>
      <c r="Q1494" s="33" t="str">
        <f t="shared" si="167"/>
        <v/>
      </c>
    </row>
    <row r="1495" spans="2:17" ht="18" customHeight="1" x14ac:dyDescent="0.3">
      <c r="B1495" s="26"/>
      <c r="C1495" s="28"/>
      <c r="D1495" s="27"/>
      <c r="E1495" s="29"/>
      <c r="F1495" s="29"/>
      <c r="G1495" s="29"/>
      <c r="H1495" s="30" t="str">
        <f t="shared" si="161"/>
        <v/>
      </c>
      <c r="I1495" s="31" t="str">
        <f>IF(OR(B1495="",C1495=""),"",IFERROR(E1495*IF(E1495="",0,VLOOKUP(C1495,'📦 Precios Proforma'!$B$5:$D$104,IF(D1495="DIA",2,3),FALSE)),0))</f>
        <v/>
      </c>
      <c r="J1495" s="31" t="str">
        <f t="shared" si="162"/>
        <v/>
      </c>
      <c r="K1495" s="31" t="str">
        <f t="shared" si="163"/>
        <v/>
      </c>
      <c r="L1495" s="31" t="str">
        <f>IF(OR(B1495="",C1495=""),"",IFERROR(E1495 / SUMIFS('📅 Resumen Diario'!$D$5:$D$504, '📅 Resumen Diario'!$B$5:$B$504, B1495, '📅 Resumen Diario'!$C$5:$C$504, D1495) * SUMIFS('📅 Resumen Diario'!$K$5:$K$504, '📅 Resumen Diario'!$B$5:$B$504, B1495, '📅 Resumen Diario'!$C$5:$C$504, D1495), 0))</f>
        <v/>
      </c>
      <c r="M1495" s="31" t="str">
        <f t="shared" si="164"/>
        <v/>
      </c>
      <c r="N1495" s="31" t="str">
        <f t="shared" si="165"/>
        <v/>
      </c>
      <c r="O1495" s="31" t="str">
        <f>IF(OR(B1495="",C1495=""),"",K1495-N1495 + IFERROR(E1495 / SUMIFS('📅 Resumen Diario'!$D$5:$D$504, '📅 Resumen Diario'!$B$5:$B$504, B1495, '📅 Resumen Diario'!$C$5:$C$504, D1495) * (SUMIFS('📋 Detalle Diario'!$E$5:$E$489, '📋 Detalle Diario'!$B$5:$B$489, B1495, '📋 Detalle Diario'!$C$5:$C$489, D1495) * 135 + SUMIFS('📋 Detalle Diario'!$I$5:$I$489, '📋 Detalle Diario'!$B$5:$B$489, B1495, '📋 Detalle Diario'!$C$5:$C$489, D1495) * 200), 0))</f>
        <v/>
      </c>
      <c r="P1495" s="32" t="str">
        <f t="shared" si="166"/>
        <v/>
      </c>
      <c r="Q1495" s="33" t="str">
        <f t="shared" si="167"/>
        <v/>
      </c>
    </row>
    <row r="1496" spans="2:17" ht="18" customHeight="1" x14ac:dyDescent="0.3">
      <c r="B1496" s="26"/>
      <c r="C1496" s="17"/>
      <c r="D1496" s="27"/>
      <c r="E1496" s="18"/>
      <c r="F1496" s="18"/>
      <c r="G1496" s="18"/>
      <c r="H1496" s="30" t="str">
        <f t="shared" si="161"/>
        <v/>
      </c>
      <c r="I1496" s="31" t="str">
        <f>IF(OR(B1496="",C1496=""),"",IFERROR(E1496*IF(E1496="",0,VLOOKUP(C1496,'📦 Precios Proforma'!$B$5:$D$104,IF(D1496="DIA",2,3),FALSE)),0))</f>
        <v/>
      </c>
      <c r="J1496" s="31" t="str">
        <f t="shared" si="162"/>
        <v/>
      </c>
      <c r="K1496" s="31" t="str">
        <f t="shared" si="163"/>
        <v/>
      </c>
      <c r="L1496" s="31" t="str">
        <f>IF(OR(B1496="",C1496=""),"",IFERROR(E1496 / SUMIFS('📅 Resumen Diario'!$D$5:$D$504, '📅 Resumen Diario'!$B$5:$B$504, B1496, '📅 Resumen Diario'!$C$5:$C$504, D1496) * SUMIFS('📅 Resumen Diario'!$K$5:$K$504, '📅 Resumen Diario'!$B$5:$B$504, B1496, '📅 Resumen Diario'!$C$5:$C$504, D1496), 0))</f>
        <v/>
      </c>
      <c r="M1496" s="31" t="str">
        <f t="shared" si="164"/>
        <v/>
      </c>
      <c r="N1496" s="31" t="str">
        <f t="shared" si="165"/>
        <v/>
      </c>
      <c r="O1496" s="31" t="str">
        <f>IF(OR(B1496="",C1496=""),"",K1496-N1496 + IFERROR(E1496 / SUMIFS('📅 Resumen Diario'!$D$5:$D$504, '📅 Resumen Diario'!$B$5:$B$504, B1496, '📅 Resumen Diario'!$C$5:$C$504, D1496) * (SUMIFS('📋 Detalle Diario'!$E$5:$E$489, '📋 Detalle Diario'!$B$5:$B$489, B1496, '📋 Detalle Diario'!$C$5:$C$489, D1496) * 135 + SUMIFS('📋 Detalle Diario'!$I$5:$I$489, '📋 Detalle Diario'!$B$5:$B$489, B1496, '📋 Detalle Diario'!$C$5:$C$489, D1496) * 200), 0))</f>
        <v/>
      </c>
      <c r="P1496" s="32" t="str">
        <f t="shared" si="166"/>
        <v/>
      </c>
      <c r="Q1496" s="33" t="str">
        <f t="shared" si="167"/>
        <v/>
      </c>
    </row>
    <row r="1497" spans="2:17" ht="18" customHeight="1" x14ac:dyDescent="0.3">
      <c r="B1497" s="26"/>
      <c r="C1497" s="28"/>
      <c r="D1497" s="27"/>
      <c r="E1497" s="29"/>
      <c r="F1497" s="29"/>
      <c r="G1497" s="29"/>
      <c r="H1497" s="30" t="str">
        <f t="shared" si="161"/>
        <v/>
      </c>
      <c r="I1497" s="31" t="str">
        <f>IF(OR(B1497="",C1497=""),"",IFERROR(E1497*IF(E1497="",0,VLOOKUP(C1497,'📦 Precios Proforma'!$B$5:$D$104,IF(D1497="DIA",2,3),FALSE)),0))</f>
        <v/>
      </c>
      <c r="J1497" s="31" t="str">
        <f t="shared" si="162"/>
        <v/>
      </c>
      <c r="K1497" s="31" t="str">
        <f t="shared" si="163"/>
        <v/>
      </c>
      <c r="L1497" s="31" t="str">
        <f>IF(OR(B1497="",C1497=""),"",IFERROR(E1497 / SUMIFS('📅 Resumen Diario'!$D$5:$D$504, '📅 Resumen Diario'!$B$5:$B$504, B1497, '📅 Resumen Diario'!$C$5:$C$504, D1497) * SUMIFS('📅 Resumen Diario'!$K$5:$K$504, '📅 Resumen Diario'!$B$5:$B$504, B1497, '📅 Resumen Diario'!$C$5:$C$504, D1497), 0))</f>
        <v/>
      </c>
      <c r="M1497" s="31" t="str">
        <f t="shared" si="164"/>
        <v/>
      </c>
      <c r="N1497" s="31" t="str">
        <f t="shared" si="165"/>
        <v/>
      </c>
      <c r="O1497" s="31" t="str">
        <f>IF(OR(B1497="",C1497=""),"",K1497-N1497 + IFERROR(E1497 / SUMIFS('📅 Resumen Diario'!$D$5:$D$504, '📅 Resumen Diario'!$B$5:$B$504, B1497, '📅 Resumen Diario'!$C$5:$C$504, D1497) * (SUMIFS('📋 Detalle Diario'!$E$5:$E$489, '📋 Detalle Diario'!$B$5:$B$489, B1497, '📋 Detalle Diario'!$C$5:$C$489, D1497) * 135 + SUMIFS('📋 Detalle Diario'!$I$5:$I$489, '📋 Detalle Diario'!$B$5:$B$489, B1497, '📋 Detalle Diario'!$C$5:$C$489, D1497) * 200), 0))</f>
        <v/>
      </c>
      <c r="P1497" s="32" t="str">
        <f t="shared" si="166"/>
        <v/>
      </c>
      <c r="Q1497" s="33" t="str">
        <f t="shared" si="167"/>
        <v/>
      </c>
    </row>
    <row r="1498" spans="2:17" ht="18" customHeight="1" x14ac:dyDescent="0.3">
      <c r="B1498" s="26"/>
      <c r="C1498" s="17"/>
      <c r="D1498" s="27"/>
      <c r="E1498" s="18"/>
      <c r="F1498" s="18"/>
      <c r="G1498" s="18"/>
      <c r="H1498" s="30" t="str">
        <f t="shared" si="161"/>
        <v/>
      </c>
      <c r="I1498" s="31" t="str">
        <f>IF(OR(B1498="",C1498=""),"",IFERROR(E1498*IF(E1498="",0,VLOOKUP(C1498,'📦 Precios Proforma'!$B$5:$D$104,IF(D1498="DIA",2,3),FALSE)),0))</f>
        <v/>
      </c>
      <c r="J1498" s="31" t="str">
        <f t="shared" si="162"/>
        <v/>
      </c>
      <c r="K1498" s="31" t="str">
        <f t="shared" si="163"/>
        <v/>
      </c>
      <c r="L1498" s="31" t="str">
        <f>IF(OR(B1498="",C1498=""),"",IFERROR(E1498 / SUMIFS('📅 Resumen Diario'!$D$5:$D$504, '📅 Resumen Diario'!$B$5:$B$504, B1498, '📅 Resumen Diario'!$C$5:$C$504, D1498) * SUMIFS('📅 Resumen Diario'!$K$5:$K$504, '📅 Resumen Diario'!$B$5:$B$504, B1498, '📅 Resumen Diario'!$C$5:$C$504, D1498), 0))</f>
        <v/>
      </c>
      <c r="M1498" s="31" t="str">
        <f t="shared" si="164"/>
        <v/>
      </c>
      <c r="N1498" s="31" t="str">
        <f t="shared" si="165"/>
        <v/>
      </c>
      <c r="O1498" s="31" t="str">
        <f>IF(OR(B1498="",C1498=""),"",K1498-N1498 + IFERROR(E1498 / SUMIFS('📅 Resumen Diario'!$D$5:$D$504, '📅 Resumen Diario'!$B$5:$B$504, B1498, '📅 Resumen Diario'!$C$5:$C$504, D1498) * (SUMIFS('📋 Detalle Diario'!$E$5:$E$489, '📋 Detalle Diario'!$B$5:$B$489, B1498, '📋 Detalle Diario'!$C$5:$C$489, D1498) * 135 + SUMIFS('📋 Detalle Diario'!$I$5:$I$489, '📋 Detalle Diario'!$B$5:$B$489, B1498, '📋 Detalle Diario'!$C$5:$C$489, D1498) * 200), 0))</f>
        <v/>
      </c>
      <c r="P1498" s="32" t="str">
        <f t="shared" si="166"/>
        <v/>
      </c>
      <c r="Q1498" s="33" t="str">
        <f t="shared" si="167"/>
        <v/>
      </c>
    </row>
    <row r="1499" spans="2:17" ht="18" customHeight="1" x14ac:dyDescent="0.3">
      <c r="B1499" s="26"/>
      <c r="C1499" s="28"/>
      <c r="D1499" s="27"/>
      <c r="E1499" s="29"/>
      <c r="F1499" s="29"/>
      <c r="G1499" s="29"/>
      <c r="H1499" s="30" t="str">
        <f t="shared" si="161"/>
        <v/>
      </c>
      <c r="I1499" s="31" t="str">
        <f>IF(OR(B1499="",C1499=""),"",IFERROR(E1499*IF(E1499="",0,VLOOKUP(C1499,'📦 Precios Proforma'!$B$5:$D$104,IF(D1499="DIA",2,3),FALSE)),0))</f>
        <v/>
      </c>
      <c r="J1499" s="31" t="str">
        <f t="shared" si="162"/>
        <v/>
      </c>
      <c r="K1499" s="31" t="str">
        <f t="shared" si="163"/>
        <v/>
      </c>
      <c r="L1499" s="31" t="str">
        <f>IF(OR(B1499="",C1499=""),"",IFERROR(E1499 / SUMIFS('📅 Resumen Diario'!$D$5:$D$504, '📅 Resumen Diario'!$B$5:$B$504, B1499, '📅 Resumen Diario'!$C$5:$C$504, D1499) * SUMIFS('📅 Resumen Diario'!$K$5:$K$504, '📅 Resumen Diario'!$B$5:$B$504, B1499, '📅 Resumen Diario'!$C$5:$C$504, D1499), 0))</f>
        <v/>
      </c>
      <c r="M1499" s="31" t="str">
        <f t="shared" si="164"/>
        <v/>
      </c>
      <c r="N1499" s="31" t="str">
        <f t="shared" si="165"/>
        <v/>
      </c>
      <c r="O1499" s="31" t="str">
        <f>IF(OR(B1499="",C1499=""),"",K1499-N1499 + IFERROR(E1499 / SUMIFS('📅 Resumen Diario'!$D$5:$D$504, '📅 Resumen Diario'!$B$5:$B$504, B1499, '📅 Resumen Diario'!$C$5:$C$504, D1499) * (SUMIFS('📋 Detalle Diario'!$E$5:$E$489, '📋 Detalle Diario'!$B$5:$B$489, B1499, '📋 Detalle Diario'!$C$5:$C$489, D1499) * 135 + SUMIFS('📋 Detalle Diario'!$I$5:$I$489, '📋 Detalle Diario'!$B$5:$B$489, B1499, '📋 Detalle Diario'!$C$5:$C$489, D1499) * 200), 0))</f>
        <v/>
      </c>
      <c r="P1499" s="32" t="str">
        <f t="shared" si="166"/>
        <v/>
      </c>
      <c r="Q1499" s="33" t="str">
        <f t="shared" si="167"/>
        <v/>
      </c>
    </row>
    <row r="1500" spans="2:17" ht="18" customHeight="1" x14ac:dyDescent="0.3">
      <c r="B1500" s="26"/>
      <c r="C1500" s="17"/>
      <c r="D1500" s="27"/>
      <c r="E1500" s="18"/>
      <c r="F1500" s="18"/>
      <c r="G1500" s="18"/>
      <c r="H1500" s="30" t="str">
        <f t="shared" si="161"/>
        <v/>
      </c>
      <c r="I1500" s="31" t="str">
        <f>IF(OR(B1500="",C1500=""),"",IFERROR(E1500*IF(E1500="",0,VLOOKUP(C1500,'📦 Precios Proforma'!$B$5:$D$104,IF(D1500="DIA",2,3),FALSE)),0))</f>
        <v/>
      </c>
      <c r="J1500" s="31" t="str">
        <f t="shared" si="162"/>
        <v/>
      </c>
      <c r="K1500" s="31" t="str">
        <f t="shared" si="163"/>
        <v/>
      </c>
      <c r="L1500" s="31" t="str">
        <f>IF(OR(B1500="",C1500=""),"",IFERROR(E1500 / SUMIFS('📅 Resumen Diario'!$D$5:$D$504, '📅 Resumen Diario'!$B$5:$B$504, B1500, '📅 Resumen Diario'!$C$5:$C$504, D1500) * SUMIFS('📅 Resumen Diario'!$K$5:$K$504, '📅 Resumen Diario'!$B$5:$B$504, B1500, '📅 Resumen Diario'!$C$5:$C$504, D1500), 0))</f>
        <v/>
      </c>
      <c r="M1500" s="31" t="str">
        <f t="shared" si="164"/>
        <v/>
      </c>
      <c r="N1500" s="31" t="str">
        <f t="shared" si="165"/>
        <v/>
      </c>
      <c r="O1500" s="31" t="str">
        <f>IF(OR(B1500="",C1500=""),"",K1500-N1500 + IFERROR(E1500 / SUMIFS('📅 Resumen Diario'!$D$5:$D$504, '📅 Resumen Diario'!$B$5:$B$504, B1500, '📅 Resumen Diario'!$C$5:$C$504, D1500) * (SUMIFS('📋 Detalle Diario'!$E$5:$E$489, '📋 Detalle Diario'!$B$5:$B$489, B1500, '📋 Detalle Diario'!$C$5:$C$489, D1500) * 135 + SUMIFS('📋 Detalle Diario'!$I$5:$I$489, '📋 Detalle Diario'!$B$5:$B$489, B1500, '📋 Detalle Diario'!$C$5:$C$489, D1500) * 200), 0))</f>
        <v/>
      </c>
      <c r="P1500" s="32" t="str">
        <f t="shared" si="166"/>
        <v/>
      </c>
      <c r="Q1500" s="33" t="str">
        <f t="shared" si="167"/>
        <v/>
      </c>
    </row>
    <row r="1501" spans="2:17" ht="18" customHeight="1" x14ac:dyDescent="0.3">
      <c r="B1501" s="26"/>
      <c r="C1501" s="28"/>
      <c r="D1501" s="27"/>
      <c r="E1501" s="29"/>
      <c r="F1501" s="29"/>
      <c r="G1501" s="29"/>
      <c r="H1501" s="30" t="str">
        <f t="shared" si="161"/>
        <v/>
      </c>
      <c r="I1501" s="31" t="str">
        <f>IF(OR(B1501="",C1501=""),"",IFERROR(E1501*IF(E1501="",0,VLOOKUP(C1501,'📦 Precios Proforma'!$B$5:$D$104,IF(D1501="DIA",2,3),FALSE)),0))</f>
        <v/>
      </c>
      <c r="J1501" s="31" t="str">
        <f t="shared" si="162"/>
        <v/>
      </c>
      <c r="K1501" s="31" t="str">
        <f t="shared" si="163"/>
        <v/>
      </c>
      <c r="L1501" s="31" t="str">
        <f>IF(OR(B1501="",C1501=""),"",IFERROR(E1501 / SUMIFS('📅 Resumen Diario'!$D$5:$D$504, '📅 Resumen Diario'!$B$5:$B$504, B1501, '📅 Resumen Diario'!$C$5:$C$504, D1501) * SUMIFS('📅 Resumen Diario'!$K$5:$K$504, '📅 Resumen Diario'!$B$5:$B$504, B1501, '📅 Resumen Diario'!$C$5:$C$504, D1501), 0))</f>
        <v/>
      </c>
      <c r="M1501" s="31" t="str">
        <f t="shared" si="164"/>
        <v/>
      </c>
      <c r="N1501" s="31" t="str">
        <f t="shared" si="165"/>
        <v/>
      </c>
      <c r="O1501" s="31" t="str">
        <f>IF(OR(B1501="",C1501=""),"",K1501-N1501 + IFERROR(E1501 / SUMIFS('📅 Resumen Diario'!$D$5:$D$504, '📅 Resumen Diario'!$B$5:$B$504, B1501, '📅 Resumen Diario'!$C$5:$C$504, D1501) * (SUMIFS('📋 Detalle Diario'!$E$5:$E$489, '📋 Detalle Diario'!$B$5:$B$489, B1501, '📋 Detalle Diario'!$C$5:$C$489, D1501) * 135 + SUMIFS('📋 Detalle Diario'!$I$5:$I$489, '📋 Detalle Diario'!$B$5:$B$489, B1501, '📋 Detalle Diario'!$C$5:$C$489, D1501) * 200), 0))</f>
        <v/>
      </c>
      <c r="P1501" s="32" t="str">
        <f t="shared" si="166"/>
        <v/>
      </c>
      <c r="Q1501" s="33" t="str">
        <f t="shared" si="167"/>
        <v/>
      </c>
    </row>
    <row r="1502" spans="2:17" ht="18" customHeight="1" x14ac:dyDescent="0.3">
      <c r="B1502" s="26"/>
      <c r="C1502" s="17"/>
      <c r="D1502" s="27"/>
      <c r="E1502" s="18"/>
      <c r="F1502" s="18"/>
      <c r="G1502" s="18"/>
      <c r="H1502" s="30" t="str">
        <f t="shared" si="161"/>
        <v/>
      </c>
      <c r="I1502" s="31" t="str">
        <f>IF(OR(B1502="",C1502=""),"",IFERROR(E1502*IF(E1502="",0,VLOOKUP(C1502,'📦 Precios Proforma'!$B$5:$D$104,IF(D1502="DIA",2,3),FALSE)),0))</f>
        <v/>
      </c>
      <c r="J1502" s="31" t="str">
        <f t="shared" si="162"/>
        <v/>
      </c>
      <c r="K1502" s="31" t="str">
        <f t="shared" si="163"/>
        <v/>
      </c>
      <c r="L1502" s="31" t="str">
        <f>IF(OR(B1502="",C1502=""),"",IFERROR(E1502 / SUMIFS('📅 Resumen Diario'!$D$5:$D$504, '📅 Resumen Diario'!$B$5:$B$504, B1502, '📅 Resumen Diario'!$C$5:$C$504, D1502) * SUMIFS('📅 Resumen Diario'!$K$5:$K$504, '📅 Resumen Diario'!$B$5:$B$504, B1502, '📅 Resumen Diario'!$C$5:$C$504, D1502), 0))</f>
        <v/>
      </c>
      <c r="M1502" s="31" t="str">
        <f t="shared" si="164"/>
        <v/>
      </c>
      <c r="N1502" s="31" t="str">
        <f t="shared" si="165"/>
        <v/>
      </c>
      <c r="O1502" s="31" t="str">
        <f>IF(OR(B1502="",C1502=""),"",K1502-N1502 + IFERROR(E1502 / SUMIFS('📅 Resumen Diario'!$D$5:$D$504, '📅 Resumen Diario'!$B$5:$B$504, B1502, '📅 Resumen Diario'!$C$5:$C$504, D1502) * (SUMIFS('📋 Detalle Diario'!$E$5:$E$489, '📋 Detalle Diario'!$B$5:$B$489, B1502, '📋 Detalle Diario'!$C$5:$C$489, D1502) * 135 + SUMIFS('📋 Detalle Diario'!$I$5:$I$489, '📋 Detalle Diario'!$B$5:$B$489, B1502, '📋 Detalle Diario'!$C$5:$C$489, D1502) * 200), 0))</f>
        <v/>
      </c>
      <c r="P1502" s="32" t="str">
        <f t="shared" si="166"/>
        <v/>
      </c>
      <c r="Q1502" s="33" t="str">
        <f t="shared" si="167"/>
        <v/>
      </c>
    </row>
    <row r="1503" spans="2:17" ht="18" customHeight="1" x14ac:dyDescent="0.3">
      <c r="B1503" s="26"/>
      <c r="C1503" s="28"/>
      <c r="D1503" s="27"/>
      <c r="E1503" s="29"/>
      <c r="F1503" s="29"/>
      <c r="G1503" s="29"/>
      <c r="H1503" s="30" t="str">
        <f t="shared" si="161"/>
        <v/>
      </c>
      <c r="I1503" s="31" t="str">
        <f>IF(OR(B1503="",C1503=""),"",IFERROR(E1503*IF(E1503="",0,VLOOKUP(C1503,'📦 Precios Proforma'!$B$5:$D$104,IF(D1503="DIA",2,3),FALSE)),0))</f>
        <v/>
      </c>
      <c r="J1503" s="31" t="str">
        <f t="shared" si="162"/>
        <v/>
      </c>
      <c r="K1503" s="31" t="str">
        <f t="shared" si="163"/>
        <v/>
      </c>
      <c r="L1503" s="31" t="str">
        <f>IF(OR(B1503="",C1503=""),"",IFERROR(E1503 / SUMIFS('📅 Resumen Diario'!$D$5:$D$504, '📅 Resumen Diario'!$B$5:$B$504, B1503, '📅 Resumen Diario'!$C$5:$C$504, D1503) * SUMIFS('📅 Resumen Diario'!$K$5:$K$504, '📅 Resumen Diario'!$B$5:$B$504, B1503, '📅 Resumen Diario'!$C$5:$C$504, D1503), 0))</f>
        <v/>
      </c>
      <c r="M1503" s="31" t="str">
        <f t="shared" si="164"/>
        <v/>
      </c>
      <c r="N1503" s="31" t="str">
        <f t="shared" si="165"/>
        <v/>
      </c>
      <c r="O1503" s="31" t="str">
        <f>IF(OR(B1503="",C1503=""),"",K1503-N1503 + IFERROR(E1503 / SUMIFS('📅 Resumen Diario'!$D$5:$D$504, '📅 Resumen Diario'!$B$5:$B$504, B1503, '📅 Resumen Diario'!$C$5:$C$504, D1503) * (SUMIFS('📋 Detalle Diario'!$E$5:$E$489, '📋 Detalle Diario'!$B$5:$B$489, B1503, '📋 Detalle Diario'!$C$5:$C$489, D1503) * 135 + SUMIFS('📋 Detalle Diario'!$I$5:$I$489, '📋 Detalle Diario'!$B$5:$B$489, B1503, '📋 Detalle Diario'!$C$5:$C$489, D1503) * 200), 0))</f>
        <v/>
      </c>
      <c r="P1503" s="32" t="str">
        <f t="shared" si="166"/>
        <v/>
      </c>
      <c r="Q1503" s="33" t="str">
        <f t="shared" si="167"/>
        <v/>
      </c>
    </row>
    <row r="1504" spans="2:17" ht="18" customHeight="1" x14ac:dyDescent="0.3">
      <c r="B1504" s="26"/>
      <c r="C1504" s="17"/>
      <c r="D1504" s="27"/>
      <c r="E1504" s="18"/>
      <c r="F1504" s="18"/>
      <c r="G1504" s="18"/>
      <c r="H1504" s="30" t="str">
        <f t="shared" si="161"/>
        <v/>
      </c>
      <c r="I1504" s="31" t="str">
        <f>IF(OR(B1504="",C1504=""),"",IFERROR(E1504*IF(E1504="",0,VLOOKUP(C1504,'📦 Precios Proforma'!$B$5:$D$104,IF(D1504="DIA",2,3),FALSE)),0))</f>
        <v/>
      </c>
      <c r="J1504" s="31" t="str">
        <f t="shared" si="162"/>
        <v/>
      </c>
      <c r="K1504" s="31" t="str">
        <f t="shared" si="163"/>
        <v/>
      </c>
      <c r="L1504" s="31" t="str">
        <f>IF(OR(B1504="",C1504=""),"",IFERROR(E1504 / SUMIFS('📅 Resumen Diario'!$D$5:$D$504, '📅 Resumen Diario'!$B$5:$B$504, B1504, '📅 Resumen Diario'!$C$5:$C$504, D1504) * SUMIFS('📅 Resumen Diario'!$K$5:$K$504, '📅 Resumen Diario'!$B$5:$B$504, B1504, '📅 Resumen Diario'!$C$5:$C$504, D1504), 0))</f>
        <v/>
      </c>
      <c r="M1504" s="31" t="str">
        <f t="shared" si="164"/>
        <v/>
      </c>
      <c r="N1504" s="31" t="str">
        <f t="shared" si="165"/>
        <v/>
      </c>
      <c r="O1504" s="31" t="str">
        <f>IF(OR(B1504="",C1504=""),"",K1504-N1504 + IFERROR(E1504 / SUMIFS('📅 Resumen Diario'!$D$5:$D$504, '📅 Resumen Diario'!$B$5:$B$504, B1504, '📅 Resumen Diario'!$C$5:$C$504, D1504) * (SUMIFS('📋 Detalle Diario'!$E$5:$E$489, '📋 Detalle Diario'!$B$5:$B$489, B1504, '📋 Detalle Diario'!$C$5:$C$489, D1504) * 135 + SUMIFS('📋 Detalle Diario'!$I$5:$I$489, '📋 Detalle Diario'!$B$5:$B$489, B1504, '📋 Detalle Diario'!$C$5:$C$489, D1504) * 200), 0))</f>
        <v/>
      </c>
      <c r="P1504" s="32" t="str">
        <f t="shared" si="166"/>
        <v/>
      </c>
      <c r="Q1504" s="33" t="str">
        <f t="shared" si="167"/>
        <v/>
      </c>
    </row>
    <row r="1505" spans="2:17" ht="18" customHeight="1" x14ac:dyDescent="0.3">
      <c r="B1505" s="26"/>
      <c r="C1505" s="28"/>
      <c r="D1505" s="27"/>
      <c r="E1505" s="29"/>
      <c r="F1505" s="29"/>
      <c r="G1505" s="29"/>
      <c r="H1505" s="30" t="str">
        <f t="shared" si="161"/>
        <v/>
      </c>
      <c r="I1505" s="31" t="str">
        <f>IF(OR(B1505="",C1505=""),"",IFERROR(E1505*IF(E1505="",0,VLOOKUP(C1505,'📦 Precios Proforma'!$B$5:$D$104,IF(D1505="DIA",2,3),FALSE)),0))</f>
        <v/>
      </c>
      <c r="J1505" s="31" t="str">
        <f t="shared" si="162"/>
        <v/>
      </c>
      <c r="K1505" s="31" t="str">
        <f t="shared" si="163"/>
        <v/>
      </c>
      <c r="L1505" s="31" t="str">
        <f>IF(OR(B1505="",C1505=""),"",IFERROR(E1505 / SUMIFS('📅 Resumen Diario'!$D$5:$D$504, '📅 Resumen Diario'!$B$5:$B$504, B1505, '📅 Resumen Diario'!$C$5:$C$504, D1505) * SUMIFS('📅 Resumen Diario'!$K$5:$K$504, '📅 Resumen Diario'!$B$5:$B$504, B1505, '📅 Resumen Diario'!$C$5:$C$504, D1505), 0))</f>
        <v/>
      </c>
      <c r="M1505" s="31" t="str">
        <f t="shared" si="164"/>
        <v/>
      </c>
      <c r="N1505" s="31" t="str">
        <f t="shared" si="165"/>
        <v/>
      </c>
      <c r="O1505" s="31" t="str">
        <f>IF(OR(B1505="",C1505=""),"",K1505-N1505 + IFERROR(E1505 / SUMIFS('📅 Resumen Diario'!$D$5:$D$504, '📅 Resumen Diario'!$B$5:$B$504, B1505, '📅 Resumen Diario'!$C$5:$C$504, D1505) * (SUMIFS('📋 Detalle Diario'!$E$5:$E$489, '📋 Detalle Diario'!$B$5:$B$489, B1505, '📋 Detalle Diario'!$C$5:$C$489, D1505) * 135 + SUMIFS('📋 Detalle Diario'!$I$5:$I$489, '📋 Detalle Diario'!$B$5:$B$489, B1505, '📋 Detalle Diario'!$C$5:$C$489, D1505) * 200), 0))</f>
        <v/>
      </c>
      <c r="P1505" s="32" t="str">
        <f t="shared" si="166"/>
        <v/>
      </c>
      <c r="Q1505" s="33" t="str">
        <f t="shared" si="167"/>
        <v/>
      </c>
    </row>
    <row r="1506" spans="2:17" ht="18" customHeight="1" x14ac:dyDescent="0.3">
      <c r="B1506" s="26"/>
      <c r="C1506" s="17"/>
      <c r="D1506" s="27"/>
      <c r="E1506" s="18"/>
      <c r="F1506" s="18"/>
      <c r="G1506" s="18"/>
      <c r="H1506" s="30" t="str">
        <f t="shared" si="161"/>
        <v/>
      </c>
      <c r="I1506" s="31" t="str">
        <f>IF(OR(B1506="",C1506=""),"",IFERROR(E1506*IF(E1506="",0,VLOOKUP(C1506,'📦 Precios Proforma'!$B$5:$D$104,IF(D1506="DIA",2,3),FALSE)),0))</f>
        <v/>
      </c>
      <c r="J1506" s="31" t="str">
        <f t="shared" si="162"/>
        <v/>
      </c>
      <c r="K1506" s="31" t="str">
        <f t="shared" si="163"/>
        <v/>
      </c>
      <c r="L1506" s="31" t="str">
        <f>IF(OR(B1506="",C1506=""),"",IFERROR(E1506 / SUMIFS('📅 Resumen Diario'!$D$5:$D$504, '📅 Resumen Diario'!$B$5:$B$504, B1506, '📅 Resumen Diario'!$C$5:$C$504, D1506) * SUMIFS('📅 Resumen Diario'!$K$5:$K$504, '📅 Resumen Diario'!$B$5:$B$504, B1506, '📅 Resumen Diario'!$C$5:$C$504, D1506), 0))</f>
        <v/>
      </c>
      <c r="M1506" s="31" t="str">
        <f t="shared" si="164"/>
        <v/>
      </c>
      <c r="N1506" s="31" t="str">
        <f t="shared" si="165"/>
        <v/>
      </c>
      <c r="O1506" s="31" t="str">
        <f>IF(OR(B1506="",C1506=""),"",K1506-N1506 + IFERROR(E1506 / SUMIFS('📅 Resumen Diario'!$D$5:$D$504, '📅 Resumen Diario'!$B$5:$B$504, B1506, '📅 Resumen Diario'!$C$5:$C$504, D1506) * (SUMIFS('📋 Detalle Diario'!$E$5:$E$489, '📋 Detalle Diario'!$B$5:$B$489, B1506, '📋 Detalle Diario'!$C$5:$C$489, D1506) * 135 + SUMIFS('📋 Detalle Diario'!$I$5:$I$489, '📋 Detalle Diario'!$B$5:$B$489, B1506, '📋 Detalle Diario'!$C$5:$C$489, D1506) * 200), 0))</f>
        <v/>
      </c>
      <c r="P1506" s="32" t="str">
        <f t="shared" si="166"/>
        <v/>
      </c>
      <c r="Q1506" s="33" t="str">
        <f t="shared" si="167"/>
        <v/>
      </c>
    </row>
    <row r="1507" spans="2:17" ht="18" customHeight="1" x14ac:dyDescent="0.3">
      <c r="B1507" s="26"/>
      <c r="C1507" s="28"/>
      <c r="D1507" s="27"/>
      <c r="E1507" s="29"/>
      <c r="F1507" s="29"/>
      <c r="G1507" s="29"/>
      <c r="H1507" s="30" t="str">
        <f t="shared" si="161"/>
        <v/>
      </c>
      <c r="I1507" s="31" t="str">
        <f>IF(OR(B1507="",C1507=""),"",IFERROR(E1507*IF(E1507="",0,VLOOKUP(C1507,'📦 Precios Proforma'!$B$5:$D$104,IF(D1507="DIA",2,3),FALSE)),0))</f>
        <v/>
      </c>
      <c r="J1507" s="31" t="str">
        <f t="shared" si="162"/>
        <v/>
      </c>
      <c r="K1507" s="31" t="str">
        <f t="shared" si="163"/>
        <v/>
      </c>
      <c r="L1507" s="31" t="str">
        <f>IF(OR(B1507="",C1507=""),"",IFERROR(E1507 / SUMIFS('📅 Resumen Diario'!$D$5:$D$504, '📅 Resumen Diario'!$B$5:$B$504, B1507, '📅 Resumen Diario'!$C$5:$C$504, D1507) * SUMIFS('📅 Resumen Diario'!$K$5:$K$504, '📅 Resumen Diario'!$B$5:$B$504, B1507, '📅 Resumen Diario'!$C$5:$C$504, D1507), 0))</f>
        <v/>
      </c>
      <c r="M1507" s="31" t="str">
        <f t="shared" si="164"/>
        <v/>
      </c>
      <c r="N1507" s="31" t="str">
        <f t="shared" si="165"/>
        <v/>
      </c>
      <c r="O1507" s="31" t="str">
        <f>IF(OR(B1507="",C1507=""),"",K1507-N1507 + IFERROR(E1507 / SUMIFS('📅 Resumen Diario'!$D$5:$D$504, '📅 Resumen Diario'!$B$5:$B$504, B1507, '📅 Resumen Diario'!$C$5:$C$504, D1507) * (SUMIFS('📋 Detalle Diario'!$E$5:$E$489, '📋 Detalle Diario'!$B$5:$B$489, B1507, '📋 Detalle Diario'!$C$5:$C$489, D1507) * 135 + SUMIFS('📋 Detalle Diario'!$I$5:$I$489, '📋 Detalle Diario'!$B$5:$B$489, B1507, '📋 Detalle Diario'!$C$5:$C$489, D1507) * 200), 0))</f>
        <v/>
      </c>
      <c r="P1507" s="32" t="str">
        <f t="shared" si="166"/>
        <v/>
      </c>
      <c r="Q1507" s="33" t="str">
        <f t="shared" si="167"/>
        <v/>
      </c>
    </row>
    <row r="1508" spans="2:17" ht="18" customHeight="1" x14ac:dyDescent="0.3">
      <c r="B1508" s="26"/>
      <c r="C1508" s="17"/>
      <c r="D1508" s="27"/>
      <c r="E1508" s="18"/>
      <c r="F1508" s="18"/>
      <c r="G1508" s="18"/>
      <c r="H1508" s="30" t="str">
        <f t="shared" si="161"/>
        <v/>
      </c>
      <c r="I1508" s="31" t="str">
        <f>IF(OR(B1508="",C1508=""),"",IFERROR(E1508*IF(E1508="",0,VLOOKUP(C1508,'📦 Precios Proforma'!$B$5:$D$104,IF(D1508="DIA",2,3),FALSE)),0))</f>
        <v/>
      </c>
      <c r="J1508" s="31" t="str">
        <f t="shared" si="162"/>
        <v/>
      </c>
      <c r="K1508" s="31" t="str">
        <f t="shared" si="163"/>
        <v/>
      </c>
      <c r="L1508" s="31" t="str">
        <f>IF(OR(B1508="",C1508=""),"",IFERROR(E1508 / SUMIFS('📅 Resumen Diario'!$D$5:$D$504, '📅 Resumen Diario'!$B$5:$B$504, B1508, '📅 Resumen Diario'!$C$5:$C$504, D1508) * SUMIFS('📅 Resumen Diario'!$K$5:$K$504, '📅 Resumen Diario'!$B$5:$B$504, B1508, '📅 Resumen Diario'!$C$5:$C$504, D1508), 0))</f>
        <v/>
      </c>
      <c r="M1508" s="31" t="str">
        <f t="shared" si="164"/>
        <v/>
      </c>
      <c r="N1508" s="31" t="str">
        <f t="shared" si="165"/>
        <v/>
      </c>
      <c r="O1508" s="31" t="str">
        <f>IF(OR(B1508="",C1508=""),"",K1508-N1508 + IFERROR(E1508 / SUMIFS('📅 Resumen Diario'!$D$5:$D$504, '📅 Resumen Diario'!$B$5:$B$504, B1508, '📅 Resumen Diario'!$C$5:$C$504, D1508) * (SUMIFS('📋 Detalle Diario'!$E$5:$E$489, '📋 Detalle Diario'!$B$5:$B$489, B1508, '📋 Detalle Diario'!$C$5:$C$489, D1508) * 135 + SUMIFS('📋 Detalle Diario'!$I$5:$I$489, '📋 Detalle Diario'!$B$5:$B$489, B1508, '📋 Detalle Diario'!$C$5:$C$489, D1508) * 200), 0))</f>
        <v/>
      </c>
      <c r="P1508" s="32" t="str">
        <f t="shared" si="166"/>
        <v/>
      </c>
      <c r="Q1508" s="33" t="str">
        <f t="shared" si="167"/>
        <v/>
      </c>
    </row>
    <row r="1509" spans="2:17" ht="18" customHeight="1" x14ac:dyDescent="0.3">
      <c r="B1509" s="26"/>
      <c r="C1509" s="28"/>
      <c r="D1509" s="27"/>
      <c r="E1509" s="29"/>
      <c r="F1509" s="29"/>
      <c r="G1509" s="29"/>
      <c r="H1509" s="30" t="str">
        <f t="shared" si="161"/>
        <v/>
      </c>
      <c r="I1509" s="31" t="str">
        <f>IF(OR(B1509="",C1509=""),"",IFERROR(E1509*IF(E1509="",0,VLOOKUP(C1509,'📦 Precios Proforma'!$B$5:$D$104,IF(D1509="DIA",2,3),FALSE)),0))</f>
        <v/>
      </c>
      <c r="J1509" s="31" t="str">
        <f t="shared" si="162"/>
        <v/>
      </c>
      <c r="K1509" s="31" t="str">
        <f t="shared" si="163"/>
        <v/>
      </c>
      <c r="L1509" s="31" t="str">
        <f>IF(OR(B1509="",C1509=""),"",IFERROR(E1509 / SUMIFS('📅 Resumen Diario'!$D$5:$D$504, '📅 Resumen Diario'!$B$5:$B$504, B1509, '📅 Resumen Diario'!$C$5:$C$504, D1509) * SUMIFS('📅 Resumen Diario'!$K$5:$K$504, '📅 Resumen Diario'!$B$5:$B$504, B1509, '📅 Resumen Diario'!$C$5:$C$504, D1509), 0))</f>
        <v/>
      </c>
      <c r="M1509" s="31" t="str">
        <f t="shared" si="164"/>
        <v/>
      </c>
      <c r="N1509" s="31" t="str">
        <f t="shared" si="165"/>
        <v/>
      </c>
      <c r="O1509" s="31" t="str">
        <f>IF(OR(B1509="",C1509=""),"",K1509-N1509 + IFERROR(E1509 / SUMIFS('📅 Resumen Diario'!$D$5:$D$504, '📅 Resumen Diario'!$B$5:$B$504, B1509, '📅 Resumen Diario'!$C$5:$C$504, D1509) * (SUMIFS('📋 Detalle Diario'!$E$5:$E$489, '📋 Detalle Diario'!$B$5:$B$489, B1509, '📋 Detalle Diario'!$C$5:$C$489, D1509) * 135 + SUMIFS('📋 Detalle Diario'!$I$5:$I$489, '📋 Detalle Diario'!$B$5:$B$489, B1509, '📋 Detalle Diario'!$C$5:$C$489, D1509) * 200), 0))</f>
        <v/>
      </c>
      <c r="P1509" s="32" t="str">
        <f t="shared" si="166"/>
        <v/>
      </c>
      <c r="Q1509" s="33" t="str">
        <f t="shared" si="167"/>
        <v/>
      </c>
    </row>
    <row r="1510" spans="2:17" ht="18" customHeight="1" x14ac:dyDescent="0.3">
      <c r="B1510" s="26"/>
      <c r="C1510" s="17"/>
      <c r="D1510" s="27"/>
      <c r="E1510" s="18"/>
      <c r="F1510" s="18"/>
      <c r="G1510" s="18"/>
      <c r="H1510" s="30" t="str">
        <f t="shared" si="161"/>
        <v/>
      </c>
      <c r="I1510" s="31" t="str">
        <f>IF(OR(B1510="",C1510=""),"",IFERROR(E1510*IF(E1510="",0,VLOOKUP(C1510,'📦 Precios Proforma'!$B$5:$D$104,IF(D1510="DIA",2,3),FALSE)),0))</f>
        <v/>
      </c>
      <c r="J1510" s="31" t="str">
        <f t="shared" si="162"/>
        <v/>
      </c>
      <c r="K1510" s="31" t="str">
        <f t="shared" si="163"/>
        <v/>
      </c>
      <c r="L1510" s="31" t="str">
        <f>IF(OR(B1510="",C1510=""),"",IFERROR(E1510 / SUMIFS('📅 Resumen Diario'!$D$5:$D$504, '📅 Resumen Diario'!$B$5:$B$504, B1510, '📅 Resumen Diario'!$C$5:$C$504, D1510) * SUMIFS('📅 Resumen Diario'!$K$5:$K$504, '📅 Resumen Diario'!$B$5:$B$504, B1510, '📅 Resumen Diario'!$C$5:$C$504, D1510), 0))</f>
        <v/>
      </c>
      <c r="M1510" s="31" t="str">
        <f t="shared" si="164"/>
        <v/>
      </c>
      <c r="N1510" s="31" t="str">
        <f t="shared" si="165"/>
        <v/>
      </c>
      <c r="O1510" s="31" t="str">
        <f>IF(OR(B1510="",C1510=""),"",K1510-N1510 + IFERROR(E1510 / SUMIFS('📅 Resumen Diario'!$D$5:$D$504, '📅 Resumen Diario'!$B$5:$B$504, B1510, '📅 Resumen Diario'!$C$5:$C$504, D1510) * (SUMIFS('📋 Detalle Diario'!$E$5:$E$489, '📋 Detalle Diario'!$B$5:$B$489, B1510, '📋 Detalle Diario'!$C$5:$C$489, D1510) * 135 + SUMIFS('📋 Detalle Diario'!$I$5:$I$489, '📋 Detalle Diario'!$B$5:$B$489, B1510, '📋 Detalle Diario'!$C$5:$C$489, D1510) * 200), 0))</f>
        <v/>
      </c>
      <c r="P1510" s="32" t="str">
        <f t="shared" si="166"/>
        <v/>
      </c>
      <c r="Q1510" s="33" t="str">
        <f t="shared" si="167"/>
        <v/>
      </c>
    </row>
    <row r="1511" spans="2:17" ht="18" customHeight="1" x14ac:dyDescent="0.3">
      <c r="B1511" s="26"/>
      <c r="C1511" s="28"/>
      <c r="D1511" s="27"/>
      <c r="E1511" s="29"/>
      <c r="F1511" s="29"/>
      <c r="G1511" s="29"/>
      <c r="H1511" s="30" t="str">
        <f t="shared" si="161"/>
        <v/>
      </c>
      <c r="I1511" s="31" t="str">
        <f>IF(OR(B1511="",C1511=""),"",IFERROR(E1511*IF(E1511="",0,VLOOKUP(C1511,'📦 Precios Proforma'!$B$5:$D$104,IF(D1511="DIA",2,3),FALSE)),0))</f>
        <v/>
      </c>
      <c r="J1511" s="31" t="str">
        <f t="shared" si="162"/>
        <v/>
      </c>
      <c r="K1511" s="31" t="str">
        <f t="shared" si="163"/>
        <v/>
      </c>
      <c r="L1511" s="31" t="str">
        <f>IF(OR(B1511="",C1511=""),"",IFERROR(E1511 / SUMIFS('📅 Resumen Diario'!$D$5:$D$504, '📅 Resumen Diario'!$B$5:$B$504, B1511, '📅 Resumen Diario'!$C$5:$C$504, D1511) * SUMIFS('📅 Resumen Diario'!$K$5:$K$504, '📅 Resumen Diario'!$B$5:$B$504, B1511, '📅 Resumen Diario'!$C$5:$C$504, D1511), 0))</f>
        <v/>
      </c>
      <c r="M1511" s="31" t="str">
        <f t="shared" si="164"/>
        <v/>
      </c>
      <c r="N1511" s="31" t="str">
        <f t="shared" si="165"/>
        <v/>
      </c>
      <c r="O1511" s="31" t="str">
        <f>IF(OR(B1511="",C1511=""),"",K1511-N1511 + IFERROR(E1511 / SUMIFS('📅 Resumen Diario'!$D$5:$D$504, '📅 Resumen Diario'!$B$5:$B$504, B1511, '📅 Resumen Diario'!$C$5:$C$504, D1511) * (SUMIFS('📋 Detalle Diario'!$E$5:$E$489, '📋 Detalle Diario'!$B$5:$B$489, B1511, '📋 Detalle Diario'!$C$5:$C$489, D1511) * 135 + SUMIFS('📋 Detalle Diario'!$I$5:$I$489, '📋 Detalle Diario'!$B$5:$B$489, B1511, '📋 Detalle Diario'!$C$5:$C$489, D1511) * 200), 0))</f>
        <v/>
      </c>
      <c r="P1511" s="32" t="str">
        <f t="shared" si="166"/>
        <v/>
      </c>
      <c r="Q1511" s="33" t="str">
        <f t="shared" si="167"/>
        <v/>
      </c>
    </row>
    <row r="1512" spans="2:17" ht="18" customHeight="1" x14ac:dyDescent="0.3">
      <c r="B1512" s="26"/>
      <c r="C1512" s="17"/>
      <c r="D1512" s="27"/>
      <c r="E1512" s="18"/>
      <c r="F1512" s="18"/>
      <c r="G1512" s="18"/>
      <c r="H1512" s="30" t="str">
        <f t="shared" si="161"/>
        <v/>
      </c>
      <c r="I1512" s="31" t="str">
        <f>IF(OR(B1512="",C1512=""),"",IFERROR(E1512*IF(E1512="",0,VLOOKUP(C1512,'📦 Precios Proforma'!$B$5:$D$104,IF(D1512="DIA",2,3),FALSE)),0))</f>
        <v/>
      </c>
      <c r="J1512" s="31" t="str">
        <f t="shared" si="162"/>
        <v/>
      </c>
      <c r="K1512" s="31" t="str">
        <f t="shared" si="163"/>
        <v/>
      </c>
      <c r="L1512" s="31" t="str">
        <f>IF(OR(B1512="",C1512=""),"",IFERROR(E1512 / SUMIFS('📅 Resumen Diario'!$D$5:$D$504, '📅 Resumen Diario'!$B$5:$B$504, B1512, '📅 Resumen Diario'!$C$5:$C$504, D1512) * SUMIFS('📅 Resumen Diario'!$K$5:$K$504, '📅 Resumen Diario'!$B$5:$B$504, B1512, '📅 Resumen Diario'!$C$5:$C$504, D1512), 0))</f>
        <v/>
      </c>
      <c r="M1512" s="31" t="str">
        <f t="shared" si="164"/>
        <v/>
      </c>
      <c r="N1512" s="31" t="str">
        <f t="shared" si="165"/>
        <v/>
      </c>
      <c r="O1512" s="31" t="str">
        <f>IF(OR(B1512="",C1512=""),"",K1512-N1512 + IFERROR(E1512 / SUMIFS('📅 Resumen Diario'!$D$5:$D$504, '📅 Resumen Diario'!$B$5:$B$504, B1512, '📅 Resumen Diario'!$C$5:$C$504, D1512) * (SUMIFS('📋 Detalle Diario'!$E$5:$E$489, '📋 Detalle Diario'!$B$5:$B$489, B1512, '📋 Detalle Diario'!$C$5:$C$489, D1512) * 135 + SUMIFS('📋 Detalle Diario'!$I$5:$I$489, '📋 Detalle Diario'!$B$5:$B$489, B1512, '📋 Detalle Diario'!$C$5:$C$489, D1512) * 200), 0))</f>
        <v/>
      </c>
      <c r="P1512" s="32" t="str">
        <f t="shared" si="166"/>
        <v/>
      </c>
      <c r="Q1512" s="33" t="str">
        <f t="shared" si="167"/>
        <v/>
      </c>
    </row>
    <row r="1513" spans="2:17" ht="18" customHeight="1" x14ac:dyDescent="0.3">
      <c r="B1513" s="26"/>
      <c r="C1513" s="28"/>
      <c r="D1513" s="27"/>
      <c r="E1513" s="29"/>
      <c r="F1513" s="29"/>
      <c r="G1513" s="29"/>
      <c r="H1513" s="30" t="str">
        <f t="shared" si="161"/>
        <v/>
      </c>
      <c r="I1513" s="31" t="str">
        <f>IF(OR(B1513="",C1513=""),"",IFERROR(E1513*IF(E1513="",0,VLOOKUP(C1513,'📦 Precios Proforma'!$B$5:$D$104,IF(D1513="DIA",2,3),FALSE)),0))</f>
        <v/>
      </c>
      <c r="J1513" s="31" t="str">
        <f t="shared" si="162"/>
        <v/>
      </c>
      <c r="K1513" s="31" t="str">
        <f t="shared" si="163"/>
        <v/>
      </c>
      <c r="L1513" s="31" t="str">
        <f>IF(OR(B1513="",C1513=""),"",IFERROR(E1513 / SUMIFS('📅 Resumen Diario'!$D$5:$D$504, '📅 Resumen Diario'!$B$5:$B$504, B1513, '📅 Resumen Diario'!$C$5:$C$504, D1513) * SUMIFS('📅 Resumen Diario'!$K$5:$K$504, '📅 Resumen Diario'!$B$5:$B$504, B1513, '📅 Resumen Diario'!$C$5:$C$504, D1513), 0))</f>
        <v/>
      </c>
      <c r="M1513" s="31" t="str">
        <f t="shared" si="164"/>
        <v/>
      </c>
      <c r="N1513" s="31" t="str">
        <f t="shared" si="165"/>
        <v/>
      </c>
      <c r="O1513" s="31" t="str">
        <f>IF(OR(B1513="",C1513=""),"",K1513-N1513 + IFERROR(E1513 / SUMIFS('📅 Resumen Diario'!$D$5:$D$504, '📅 Resumen Diario'!$B$5:$B$504, B1513, '📅 Resumen Diario'!$C$5:$C$504, D1513) * (SUMIFS('📋 Detalle Diario'!$E$5:$E$489, '📋 Detalle Diario'!$B$5:$B$489, B1513, '📋 Detalle Diario'!$C$5:$C$489, D1513) * 135 + SUMIFS('📋 Detalle Diario'!$I$5:$I$489, '📋 Detalle Diario'!$B$5:$B$489, B1513, '📋 Detalle Diario'!$C$5:$C$489, D1513) * 200), 0))</f>
        <v/>
      </c>
      <c r="P1513" s="32" t="str">
        <f t="shared" si="166"/>
        <v/>
      </c>
      <c r="Q1513" s="33" t="str">
        <f t="shared" si="167"/>
        <v/>
      </c>
    </row>
    <row r="1514" spans="2:17" ht="18" customHeight="1" x14ac:dyDescent="0.3">
      <c r="B1514" s="26"/>
      <c r="C1514" s="17"/>
      <c r="D1514" s="27"/>
      <c r="E1514" s="18"/>
      <c r="F1514" s="18"/>
      <c r="G1514" s="18"/>
      <c r="H1514" s="30" t="str">
        <f t="shared" si="161"/>
        <v/>
      </c>
      <c r="I1514" s="31" t="str">
        <f>IF(OR(B1514="",C1514=""),"",IFERROR(E1514*IF(E1514="",0,VLOOKUP(C1514,'📦 Precios Proforma'!$B$5:$D$104,IF(D1514="DIA",2,3),FALSE)),0))</f>
        <v/>
      </c>
      <c r="J1514" s="31" t="str">
        <f t="shared" si="162"/>
        <v/>
      </c>
      <c r="K1514" s="31" t="str">
        <f t="shared" si="163"/>
        <v/>
      </c>
      <c r="L1514" s="31" t="str">
        <f>IF(OR(B1514="",C1514=""),"",IFERROR(E1514 / SUMIFS('📅 Resumen Diario'!$D$5:$D$504, '📅 Resumen Diario'!$B$5:$B$504, B1514, '📅 Resumen Diario'!$C$5:$C$504, D1514) * SUMIFS('📅 Resumen Diario'!$K$5:$K$504, '📅 Resumen Diario'!$B$5:$B$504, B1514, '📅 Resumen Diario'!$C$5:$C$504, D1514), 0))</f>
        <v/>
      </c>
      <c r="M1514" s="31" t="str">
        <f t="shared" si="164"/>
        <v/>
      </c>
      <c r="N1514" s="31" t="str">
        <f t="shared" si="165"/>
        <v/>
      </c>
      <c r="O1514" s="31" t="str">
        <f>IF(OR(B1514="",C1514=""),"",K1514-N1514 + IFERROR(E1514 / SUMIFS('📅 Resumen Diario'!$D$5:$D$504, '📅 Resumen Diario'!$B$5:$B$504, B1514, '📅 Resumen Diario'!$C$5:$C$504, D1514) * (SUMIFS('📋 Detalle Diario'!$E$5:$E$489, '📋 Detalle Diario'!$B$5:$B$489, B1514, '📋 Detalle Diario'!$C$5:$C$489, D1514) * 135 + SUMIFS('📋 Detalle Diario'!$I$5:$I$489, '📋 Detalle Diario'!$B$5:$B$489, B1514, '📋 Detalle Diario'!$C$5:$C$489, D1514) * 200), 0))</f>
        <v/>
      </c>
      <c r="P1514" s="32" t="str">
        <f t="shared" si="166"/>
        <v/>
      </c>
      <c r="Q1514" s="33" t="str">
        <f t="shared" si="167"/>
        <v/>
      </c>
    </row>
    <row r="1515" spans="2:17" ht="18" customHeight="1" x14ac:dyDescent="0.3">
      <c r="B1515" s="26"/>
      <c r="C1515" s="28"/>
      <c r="D1515" s="27"/>
      <c r="E1515" s="29"/>
      <c r="F1515" s="29"/>
      <c r="G1515" s="29"/>
      <c r="H1515" s="30" t="str">
        <f t="shared" si="161"/>
        <v/>
      </c>
      <c r="I1515" s="31" t="str">
        <f>IF(OR(B1515="",C1515=""),"",IFERROR(E1515*IF(E1515="",0,VLOOKUP(C1515,'📦 Precios Proforma'!$B$5:$D$104,IF(D1515="DIA",2,3),FALSE)),0))</f>
        <v/>
      </c>
      <c r="J1515" s="31" t="str">
        <f t="shared" si="162"/>
        <v/>
      </c>
      <c r="K1515" s="31" t="str">
        <f t="shared" si="163"/>
        <v/>
      </c>
      <c r="L1515" s="31" t="str">
        <f>IF(OR(B1515="",C1515=""),"",IFERROR(E1515 / SUMIFS('📅 Resumen Diario'!$D$5:$D$504, '📅 Resumen Diario'!$B$5:$B$504, B1515, '📅 Resumen Diario'!$C$5:$C$504, D1515) * SUMIFS('📅 Resumen Diario'!$K$5:$K$504, '📅 Resumen Diario'!$B$5:$B$504, B1515, '📅 Resumen Diario'!$C$5:$C$504, D1515), 0))</f>
        <v/>
      </c>
      <c r="M1515" s="31" t="str">
        <f t="shared" si="164"/>
        <v/>
      </c>
      <c r="N1515" s="31" t="str">
        <f t="shared" si="165"/>
        <v/>
      </c>
      <c r="O1515" s="31" t="str">
        <f>IF(OR(B1515="",C1515=""),"",K1515-N1515 + IFERROR(E1515 / SUMIFS('📅 Resumen Diario'!$D$5:$D$504, '📅 Resumen Diario'!$B$5:$B$504, B1515, '📅 Resumen Diario'!$C$5:$C$504, D1515) * (SUMIFS('📋 Detalle Diario'!$E$5:$E$489, '📋 Detalle Diario'!$B$5:$B$489, B1515, '📋 Detalle Diario'!$C$5:$C$489, D1515) * 135 + SUMIFS('📋 Detalle Diario'!$I$5:$I$489, '📋 Detalle Diario'!$B$5:$B$489, B1515, '📋 Detalle Diario'!$C$5:$C$489, D1515) * 200), 0))</f>
        <v/>
      </c>
      <c r="P1515" s="32" t="str">
        <f t="shared" si="166"/>
        <v/>
      </c>
      <c r="Q1515" s="33" t="str">
        <f t="shared" si="167"/>
        <v/>
      </c>
    </row>
    <row r="1516" spans="2:17" ht="18" customHeight="1" x14ac:dyDescent="0.3">
      <c r="B1516" s="26"/>
      <c r="C1516" s="17"/>
      <c r="D1516" s="27"/>
      <c r="E1516" s="18"/>
      <c r="F1516" s="18"/>
      <c r="G1516" s="18"/>
      <c r="H1516" s="30" t="str">
        <f t="shared" si="161"/>
        <v/>
      </c>
      <c r="I1516" s="31" t="str">
        <f>IF(OR(B1516="",C1516=""),"",IFERROR(E1516*IF(E1516="",0,VLOOKUP(C1516,'📦 Precios Proforma'!$B$5:$D$104,IF(D1516="DIA",2,3),FALSE)),0))</f>
        <v/>
      </c>
      <c r="J1516" s="31" t="str">
        <f t="shared" si="162"/>
        <v/>
      </c>
      <c r="K1516" s="31" t="str">
        <f t="shared" si="163"/>
        <v/>
      </c>
      <c r="L1516" s="31" t="str">
        <f>IF(OR(B1516="",C1516=""),"",IFERROR(E1516 / SUMIFS('📅 Resumen Diario'!$D$5:$D$504, '📅 Resumen Diario'!$B$5:$B$504, B1516, '📅 Resumen Diario'!$C$5:$C$504, D1516) * SUMIFS('📅 Resumen Diario'!$K$5:$K$504, '📅 Resumen Diario'!$B$5:$B$504, B1516, '📅 Resumen Diario'!$C$5:$C$504, D1516), 0))</f>
        <v/>
      </c>
      <c r="M1516" s="31" t="str">
        <f t="shared" si="164"/>
        <v/>
      </c>
      <c r="N1516" s="31" t="str">
        <f t="shared" si="165"/>
        <v/>
      </c>
      <c r="O1516" s="31" t="str">
        <f>IF(OR(B1516="",C1516=""),"",K1516-N1516 + IFERROR(E1516 / SUMIFS('📅 Resumen Diario'!$D$5:$D$504, '📅 Resumen Diario'!$B$5:$B$504, B1516, '📅 Resumen Diario'!$C$5:$C$504, D1516) * (SUMIFS('📋 Detalle Diario'!$E$5:$E$489, '📋 Detalle Diario'!$B$5:$B$489, B1516, '📋 Detalle Diario'!$C$5:$C$489, D1516) * 135 + SUMIFS('📋 Detalle Diario'!$I$5:$I$489, '📋 Detalle Diario'!$B$5:$B$489, B1516, '📋 Detalle Diario'!$C$5:$C$489, D1516) * 200), 0))</f>
        <v/>
      </c>
      <c r="P1516" s="32" t="str">
        <f t="shared" si="166"/>
        <v/>
      </c>
      <c r="Q1516" s="33" t="str">
        <f t="shared" si="167"/>
        <v/>
      </c>
    </row>
    <row r="1517" spans="2:17" ht="18" customHeight="1" x14ac:dyDescent="0.3">
      <c r="B1517" s="26"/>
      <c r="C1517" s="28"/>
      <c r="D1517" s="27"/>
      <c r="E1517" s="29"/>
      <c r="F1517" s="29"/>
      <c r="G1517" s="29"/>
      <c r="H1517" s="30" t="str">
        <f t="shared" si="161"/>
        <v/>
      </c>
      <c r="I1517" s="31" t="str">
        <f>IF(OR(B1517="",C1517=""),"",IFERROR(E1517*IF(E1517="",0,VLOOKUP(C1517,'📦 Precios Proforma'!$B$5:$D$104,IF(D1517="DIA",2,3),FALSE)),0))</f>
        <v/>
      </c>
      <c r="J1517" s="31" t="str">
        <f t="shared" si="162"/>
        <v/>
      </c>
      <c r="K1517" s="31" t="str">
        <f t="shared" si="163"/>
        <v/>
      </c>
      <c r="L1517" s="31" t="str">
        <f>IF(OR(B1517="",C1517=""),"",IFERROR(E1517 / SUMIFS('📅 Resumen Diario'!$D$5:$D$504, '📅 Resumen Diario'!$B$5:$B$504, B1517, '📅 Resumen Diario'!$C$5:$C$504, D1517) * SUMIFS('📅 Resumen Diario'!$K$5:$K$504, '📅 Resumen Diario'!$B$5:$B$504, B1517, '📅 Resumen Diario'!$C$5:$C$504, D1517), 0))</f>
        <v/>
      </c>
      <c r="M1517" s="31" t="str">
        <f t="shared" si="164"/>
        <v/>
      </c>
      <c r="N1517" s="31" t="str">
        <f t="shared" si="165"/>
        <v/>
      </c>
      <c r="O1517" s="31" t="str">
        <f>IF(OR(B1517="",C1517=""),"",K1517-N1517 + IFERROR(E1517 / SUMIFS('📅 Resumen Diario'!$D$5:$D$504, '📅 Resumen Diario'!$B$5:$B$504, B1517, '📅 Resumen Diario'!$C$5:$C$504, D1517) * (SUMIFS('📋 Detalle Diario'!$E$5:$E$489, '📋 Detalle Diario'!$B$5:$B$489, B1517, '📋 Detalle Diario'!$C$5:$C$489, D1517) * 135 + SUMIFS('📋 Detalle Diario'!$I$5:$I$489, '📋 Detalle Diario'!$B$5:$B$489, B1517, '📋 Detalle Diario'!$C$5:$C$489, D1517) * 200), 0))</f>
        <v/>
      </c>
      <c r="P1517" s="32" t="str">
        <f t="shared" si="166"/>
        <v/>
      </c>
      <c r="Q1517" s="33" t="str">
        <f t="shared" si="167"/>
        <v/>
      </c>
    </row>
    <row r="1518" spans="2:17" ht="18" customHeight="1" x14ac:dyDescent="0.3">
      <c r="B1518" s="26"/>
      <c r="C1518" s="17"/>
      <c r="D1518" s="27"/>
      <c r="E1518" s="18"/>
      <c r="F1518" s="18"/>
      <c r="G1518" s="18"/>
      <c r="H1518" s="30" t="str">
        <f t="shared" si="161"/>
        <v/>
      </c>
      <c r="I1518" s="31" t="str">
        <f>IF(OR(B1518="",C1518=""),"",IFERROR(E1518*IF(E1518="",0,VLOOKUP(C1518,'📦 Precios Proforma'!$B$5:$D$104,IF(D1518="DIA",2,3),FALSE)),0))</f>
        <v/>
      </c>
      <c r="J1518" s="31" t="str">
        <f t="shared" si="162"/>
        <v/>
      </c>
      <c r="K1518" s="31" t="str">
        <f t="shared" si="163"/>
        <v/>
      </c>
      <c r="L1518" s="31" t="str">
        <f>IF(OR(B1518="",C1518=""),"",IFERROR(E1518 / SUMIFS('📅 Resumen Diario'!$D$5:$D$504, '📅 Resumen Diario'!$B$5:$B$504, B1518, '📅 Resumen Diario'!$C$5:$C$504, D1518) * SUMIFS('📅 Resumen Diario'!$K$5:$K$504, '📅 Resumen Diario'!$B$5:$B$504, B1518, '📅 Resumen Diario'!$C$5:$C$504, D1518), 0))</f>
        <v/>
      </c>
      <c r="M1518" s="31" t="str">
        <f t="shared" si="164"/>
        <v/>
      </c>
      <c r="N1518" s="31" t="str">
        <f t="shared" si="165"/>
        <v/>
      </c>
      <c r="O1518" s="31" t="str">
        <f>IF(OR(B1518="",C1518=""),"",K1518-N1518 + IFERROR(E1518 / SUMIFS('📅 Resumen Diario'!$D$5:$D$504, '📅 Resumen Diario'!$B$5:$B$504, B1518, '📅 Resumen Diario'!$C$5:$C$504, D1518) * (SUMIFS('📋 Detalle Diario'!$E$5:$E$489, '📋 Detalle Diario'!$B$5:$B$489, B1518, '📋 Detalle Diario'!$C$5:$C$489, D1518) * 135 + SUMIFS('📋 Detalle Diario'!$I$5:$I$489, '📋 Detalle Diario'!$B$5:$B$489, B1518, '📋 Detalle Diario'!$C$5:$C$489, D1518) * 200), 0))</f>
        <v/>
      </c>
      <c r="P1518" s="32" t="str">
        <f t="shared" si="166"/>
        <v/>
      </c>
      <c r="Q1518" s="33" t="str">
        <f t="shared" si="167"/>
        <v/>
      </c>
    </row>
    <row r="1519" spans="2:17" ht="18" customHeight="1" x14ac:dyDescent="0.3">
      <c r="B1519" s="26"/>
      <c r="C1519" s="28"/>
      <c r="D1519" s="27"/>
      <c r="E1519" s="29"/>
      <c r="F1519" s="29"/>
      <c r="G1519" s="29"/>
      <c r="H1519" s="30" t="str">
        <f t="shared" si="161"/>
        <v/>
      </c>
      <c r="I1519" s="31" t="str">
        <f>IF(OR(B1519="",C1519=""),"",IFERROR(E1519*IF(E1519="",0,VLOOKUP(C1519,'📦 Precios Proforma'!$B$5:$D$104,IF(D1519="DIA",2,3),FALSE)),0))</f>
        <v/>
      </c>
      <c r="J1519" s="31" t="str">
        <f t="shared" si="162"/>
        <v/>
      </c>
      <c r="K1519" s="31" t="str">
        <f t="shared" si="163"/>
        <v/>
      </c>
      <c r="L1519" s="31" t="str">
        <f>IF(OR(B1519="",C1519=""),"",IFERROR(E1519 / SUMIFS('📅 Resumen Diario'!$D$5:$D$504, '📅 Resumen Diario'!$B$5:$B$504, B1519, '📅 Resumen Diario'!$C$5:$C$504, D1519) * SUMIFS('📅 Resumen Diario'!$K$5:$K$504, '📅 Resumen Diario'!$B$5:$B$504, B1519, '📅 Resumen Diario'!$C$5:$C$504, D1519), 0))</f>
        <v/>
      </c>
      <c r="M1519" s="31" t="str">
        <f t="shared" si="164"/>
        <v/>
      </c>
      <c r="N1519" s="31" t="str">
        <f t="shared" si="165"/>
        <v/>
      </c>
      <c r="O1519" s="31" t="str">
        <f>IF(OR(B1519="",C1519=""),"",K1519-N1519 + IFERROR(E1519 / SUMIFS('📅 Resumen Diario'!$D$5:$D$504, '📅 Resumen Diario'!$B$5:$B$504, B1519, '📅 Resumen Diario'!$C$5:$C$504, D1519) * (SUMIFS('📋 Detalle Diario'!$E$5:$E$489, '📋 Detalle Diario'!$B$5:$B$489, B1519, '📋 Detalle Diario'!$C$5:$C$489, D1519) * 135 + SUMIFS('📋 Detalle Diario'!$I$5:$I$489, '📋 Detalle Diario'!$B$5:$B$489, B1519, '📋 Detalle Diario'!$C$5:$C$489, D1519) * 200), 0))</f>
        <v/>
      </c>
      <c r="P1519" s="32" t="str">
        <f t="shared" si="166"/>
        <v/>
      </c>
      <c r="Q1519" s="33" t="str">
        <f t="shared" si="167"/>
        <v/>
      </c>
    </row>
    <row r="1520" spans="2:17" ht="18" customHeight="1" x14ac:dyDescent="0.3">
      <c r="B1520" s="26"/>
      <c r="C1520" s="17"/>
      <c r="D1520" s="27"/>
      <c r="E1520" s="18"/>
      <c r="F1520" s="18"/>
      <c r="G1520" s="18"/>
      <c r="H1520" s="30" t="str">
        <f t="shared" si="161"/>
        <v/>
      </c>
      <c r="I1520" s="31" t="str">
        <f>IF(OR(B1520="",C1520=""),"",IFERROR(E1520*IF(E1520="",0,VLOOKUP(C1520,'📦 Precios Proforma'!$B$5:$D$104,IF(D1520="DIA",2,3),FALSE)),0))</f>
        <v/>
      </c>
      <c r="J1520" s="31" t="str">
        <f t="shared" si="162"/>
        <v/>
      </c>
      <c r="K1520" s="31" t="str">
        <f t="shared" si="163"/>
        <v/>
      </c>
      <c r="L1520" s="31" t="str">
        <f>IF(OR(B1520="",C1520=""),"",IFERROR(E1520 / SUMIFS('📅 Resumen Diario'!$D$5:$D$504, '📅 Resumen Diario'!$B$5:$B$504, B1520, '📅 Resumen Diario'!$C$5:$C$504, D1520) * SUMIFS('📅 Resumen Diario'!$K$5:$K$504, '📅 Resumen Diario'!$B$5:$B$504, B1520, '📅 Resumen Diario'!$C$5:$C$504, D1520), 0))</f>
        <v/>
      </c>
      <c r="M1520" s="31" t="str">
        <f t="shared" si="164"/>
        <v/>
      </c>
      <c r="N1520" s="31" t="str">
        <f t="shared" si="165"/>
        <v/>
      </c>
      <c r="O1520" s="31" t="str">
        <f>IF(OR(B1520="",C1520=""),"",K1520-N1520 + IFERROR(E1520 / SUMIFS('📅 Resumen Diario'!$D$5:$D$504, '📅 Resumen Diario'!$B$5:$B$504, B1520, '📅 Resumen Diario'!$C$5:$C$504, D1520) * (SUMIFS('📋 Detalle Diario'!$E$5:$E$489, '📋 Detalle Diario'!$B$5:$B$489, B1520, '📋 Detalle Diario'!$C$5:$C$489, D1520) * 135 + SUMIFS('📋 Detalle Diario'!$I$5:$I$489, '📋 Detalle Diario'!$B$5:$B$489, B1520, '📋 Detalle Diario'!$C$5:$C$489, D1520) * 200), 0))</f>
        <v/>
      </c>
      <c r="P1520" s="32" t="str">
        <f t="shared" si="166"/>
        <v/>
      </c>
      <c r="Q1520" s="33" t="str">
        <f t="shared" si="167"/>
        <v/>
      </c>
    </row>
    <row r="1521" spans="2:17" ht="18" customHeight="1" x14ac:dyDescent="0.3">
      <c r="B1521" s="26"/>
      <c r="C1521" s="28"/>
      <c r="D1521" s="27"/>
      <c r="E1521" s="29"/>
      <c r="F1521" s="29"/>
      <c r="G1521" s="29"/>
      <c r="H1521" s="30" t="str">
        <f t="shared" si="161"/>
        <v/>
      </c>
      <c r="I1521" s="31" t="str">
        <f>IF(OR(B1521="",C1521=""),"",IFERROR(E1521*IF(E1521="",0,VLOOKUP(C1521,'📦 Precios Proforma'!$B$5:$D$104,IF(D1521="DIA",2,3),FALSE)),0))</f>
        <v/>
      </c>
      <c r="J1521" s="31" t="str">
        <f t="shared" si="162"/>
        <v/>
      </c>
      <c r="K1521" s="31" t="str">
        <f t="shared" si="163"/>
        <v/>
      </c>
      <c r="L1521" s="31" t="str">
        <f>IF(OR(B1521="",C1521=""),"",IFERROR(E1521 / SUMIFS('📅 Resumen Diario'!$D$5:$D$504, '📅 Resumen Diario'!$B$5:$B$504, B1521, '📅 Resumen Diario'!$C$5:$C$504, D1521) * SUMIFS('📅 Resumen Diario'!$K$5:$K$504, '📅 Resumen Diario'!$B$5:$B$504, B1521, '📅 Resumen Diario'!$C$5:$C$504, D1521), 0))</f>
        <v/>
      </c>
      <c r="M1521" s="31" t="str">
        <f t="shared" si="164"/>
        <v/>
      </c>
      <c r="N1521" s="31" t="str">
        <f t="shared" si="165"/>
        <v/>
      </c>
      <c r="O1521" s="31" t="str">
        <f>IF(OR(B1521="",C1521=""),"",K1521-N1521 + IFERROR(E1521 / SUMIFS('📅 Resumen Diario'!$D$5:$D$504, '📅 Resumen Diario'!$B$5:$B$504, B1521, '📅 Resumen Diario'!$C$5:$C$504, D1521) * (SUMIFS('📋 Detalle Diario'!$E$5:$E$489, '📋 Detalle Diario'!$B$5:$B$489, B1521, '📋 Detalle Diario'!$C$5:$C$489, D1521) * 135 + SUMIFS('📋 Detalle Diario'!$I$5:$I$489, '📋 Detalle Diario'!$B$5:$B$489, B1521, '📋 Detalle Diario'!$C$5:$C$489, D1521) * 200), 0))</f>
        <v/>
      </c>
      <c r="P1521" s="32" t="str">
        <f t="shared" si="166"/>
        <v/>
      </c>
      <c r="Q1521" s="33" t="str">
        <f t="shared" si="167"/>
        <v/>
      </c>
    </row>
    <row r="1522" spans="2:17" ht="18" customHeight="1" x14ac:dyDescent="0.3">
      <c r="B1522" s="26"/>
      <c r="C1522" s="17"/>
      <c r="D1522" s="27"/>
      <c r="E1522" s="18"/>
      <c r="F1522" s="18"/>
      <c r="G1522" s="18"/>
      <c r="H1522" s="30" t="str">
        <f t="shared" si="161"/>
        <v/>
      </c>
      <c r="I1522" s="31" t="str">
        <f>IF(OR(B1522="",C1522=""),"",IFERROR(E1522*IF(E1522="",0,VLOOKUP(C1522,'📦 Precios Proforma'!$B$5:$D$104,IF(D1522="DIA",2,3),FALSE)),0))</f>
        <v/>
      </c>
      <c r="J1522" s="31" t="str">
        <f t="shared" si="162"/>
        <v/>
      </c>
      <c r="K1522" s="31" t="str">
        <f t="shared" si="163"/>
        <v/>
      </c>
      <c r="L1522" s="31" t="str">
        <f>IF(OR(B1522="",C1522=""),"",IFERROR(E1522 / SUMIFS('📅 Resumen Diario'!$D$5:$D$504, '📅 Resumen Diario'!$B$5:$B$504, B1522, '📅 Resumen Diario'!$C$5:$C$504, D1522) * SUMIFS('📅 Resumen Diario'!$K$5:$K$504, '📅 Resumen Diario'!$B$5:$B$504, B1522, '📅 Resumen Diario'!$C$5:$C$504, D1522), 0))</f>
        <v/>
      </c>
      <c r="M1522" s="31" t="str">
        <f t="shared" si="164"/>
        <v/>
      </c>
      <c r="N1522" s="31" t="str">
        <f t="shared" si="165"/>
        <v/>
      </c>
      <c r="O1522" s="31" t="str">
        <f>IF(OR(B1522="",C1522=""),"",K1522-N1522 + IFERROR(E1522 / SUMIFS('📅 Resumen Diario'!$D$5:$D$504, '📅 Resumen Diario'!$B$5:$B$504, B1522, '📅 Resumen Diario'!$C$5:$C$504, D1522) * (SUMIFS('📋 Detalle Diario'!$E$5:$E$489, '📋 Detalle Diario'!$B$5:$B$489, B1522, '📋 Detalle Diario'!$C$5:$C$489, D1522) * 135 + SUMIFS('📋 Detalle Diario'!$I$5:$I$489, '📋 Detalle Diario'!$B$5:$B$489, B1522, '📋 Detalle Diario'!$C$5:$C$489, D1522) * 200), 0))</f>
        <v/>
      </c>
      <c r="P1522" s="32" t="str">
        <f t="shared" si="166"/>
        <v/>
      </c>
      <c r="Q1522" s="33" t="str">
        <f t="shared" si="167"/>
        <v/>
      </c>
    </row>
    <row r="1523" spans="2:17" ht="18" customHeight="1" x14ac:dyDescent="0.3">
      <c r="B1523" s="26"/>
      <c r="C1523" s="28"/>
      <c r="D1523" s="27"/>
      <c r="E1523" s="29"/>
      <c r="F1523" s="29"/>
      <c r="G1523" s="29"/>
      <c r="H1523" s="30" t="str">
        <f t="shared" si="161"/>
        <v/>
      </c>
      <c r="I1523" s="31" t="str">
        <f>IF(OR(B1523="",C1523=""),"",IFERROR(E1523*IF(E1523="",0,VLOOKUP(C1523,'📦 Precios Proforma'!$B$5:$D$104,IF(D1523="DIA",2,3),FALSE)),0))</f>
        <v/>
      </c>
      <c r="J1523" s="31" t="str">
        <f t="shared" si="162"/>
        <v/>
      </c>
      <c r="K1523" s="31" t="str">
        <f t="shared" si="163"/>
        <v/>
      </c>
      <c r="L1523" s="31" t="str">
        <f>IF(OR(B1523="",C1523=""),"",IFERROR(E1523 / SUMIFS('📅 Resumen Diario'!$D$5:$D$504, '📅 Resumen Diario'!$B$5:$B$504, B1523, '📅 Resumen Diario'!$C$5:$C$504, D1523) * SUMIFS('📅 Resumen Diario'!$K$5:$K$504, '📅 Resumen Diario'!$B$5:$B$504, B1523, '📅 Resumen Diario'!$C$5:$C$504, D1523), 0))</f>
        <v/>
      </c>
      <c r="M1523" s="31" t="str">
        <f t="shared" si="164"/>
        <v/>
      </c>
      <c r="N1523" s="31" t="str">
        <f t="shared" si="165"/>
        <v/>
      </c>
      <c r="O1523" s="31" t="str">
        <f>IF(OR(B1523="",C1523=""),"",K1523-N1523 + IFERROR(E1523 / SUMIFS('📅 Resumen Diario'!$D$5:$D$504, '📅 Resumen Diario'!$B$5:$B$504, B1523, '📅 Resumen Diario'!$C$5:$C$504, D1523) * (SUMIFS('📋 Detalle Diario'!$E$5:$E$489, '📋 Detalle Diario'!$B$5:$B$489, B1523, '📋 Detalle Diario'!$C$5:$C$489, D1523) * 135 + SUMIFS('📋 Detalle Diario'!$I$5:$I$489, '📋 Detalle Diario'!$B$5:$B$489, B1523, '📋 Detalle Diario'!$C$5:$C$489, D1523) * 200), 0))</f>
        <v/>
      </c>
      <c r="P1523" s="32" t="str">
        <f t="shared" si="166"/>
        <v/>
      </c>
      <c r="Q1523" s="33" t="str">
        <f t="shared" si="167"/>
        <v/>
      </c>
    </row>
    <row r="1524" spans="2:17" ht="18" customHeight="1" x14ac:dyDescent="0.3">
      <c r="B1524" s="26"/>
      <c r="C1524" s="17"/>
      <c r="D1524" s="27"/>
      <c r="E1524" s="18"/>
      <c r="F1524" s="18"/>
      <c r="G1524" s="18"/>
      <c r="H1524" s="30" t="str">
        <f t="shared" si="161"/>
        <v/>
      </c>
      <c r="I1524" s="31" t="str">
        <f>IF(OR(B1524="",C1524=""),"",IFERROR(E1524*IF(E1524="",0,VLOOKUP(C1524,'📦 Precios Proforma'!$B$5:$D$104,IF(D1524="DIA",2,3),FALSE)),0))</f>
        <v/>
      </c>
      <c r="J1524" s="31" t="str">
        <f t="shared" si="162"/>
        <v/>
      </c>
      <c r="K1524" s="31" t="str">
        <f t="shared" si="163"/>
        <v/>
      </c>
      <c r="L1524" s="31" t="str">
        <f>IF(OR(B1524="",C1524=""),"",IFERROR(E1524 / SUMIFS('📅 Resumen Diario'!$D$5:$D$504, '📅 Resumen Diario'!$B$5:$B$504, B1524, '📅 Resumen Diario'!$C$5:$C$504, D1524) * SUMIFS('📅 Resumen Diario'!$K$5:$K$504, '📅 Resumen Diario'!$B$5:$B$504, B1524, '📅 Resumen Diario'!$C$5:$C$504, D1524), 0))</f>
        <v/>
      </c>
      <c r="M1524" s="31" t="str">
        <f t="shared" si="164"/>
        <v/>
      </c>
      <c r="N1524" s="31" t="str">
        <f t="shared" si="165"/>
        <v/>
      </c>
      <c r="O1524" s="31" t="str">
        <f>IF(OR(B1524="",C1524=""),"",K1524-N1524 + IFERROR(E1524 / SUMIFS('📅 Resumen Diario'!$D$5:$D$504, '📅 Resumen Diario'!$B$5:$B$504, B1524, '📅 Resumen Diario'!$C$5:$C$504, D1524) * (SUMIFS('📋 Detalle Diario'!$E$5:$E$489, '📋 Detalle Diario'!$B$5:$B$489, B1524, '📋 Detalle Diario'!$C$5:$C$489, D1524) * 135 + SUMIFS('📋 Detalle Diario'!$I$5:$I$489, '📋 Detalle Diario'!$B$5:$B$489, B1524, '📋 Detalle Diario'!$C$5:$C$489, D1524) * 200), 0))</f>
        <v/>
      </c>
      <c r="P1524" s="32" t="str">
        <f t="shared" si="166"/>
        <v/>
      </c>
      <c r="Q1524" s="33" t="str">
        <f t="shared" si="167"/>
        <v/>
      </c>
    </row>
    <row r="1525" spans="2:17" ht="18" customHeight="1" x14ac:dyDescent="0.3">
      <c r="B1525" s="26"/>
      <c r="C1525" s="28"/>
      <c r="D1525" s="27"/>
      <c r="E1525" s="29"/>
      <c r="F1525" s="29"/>
      <c r="G1525" s="29"/>
      <c r="H1525" s="30" t="str">
        <f t="shared" si="161"/>
        <v/>
      </c>
      <c r="I1525" s="31" t="str">
        <f>IF(OR(B1525="",C1525=""),"",IFERROR(E1525*IF(E1525="",0,VLOOKUP(C1525,'📦 Precios Proforma'!$B$5:$D$104,IF(D1525="DIA",2,3),FALSE)),0))</f>
        <v/>
      </c>
      <c r="J1525" s="31" t="str">
        <f t="shared" si="162"/>
        <v/>
      </c>
      <c r="K1525" s="31" t="str">
        <f t="shared" si="163"/>
        <v/>
      </c>
      <c r="L1525" s="31" t="str">
        <f>IF(OR(B1525="",C1525=""),"",IFERROR(E1525 / SUMIFS('📅 Resumen Diario'!$D$5:$D$504, '📅 Resumen Diario'!$B$5:$B$504, B1525, '📅 Resumen Diario'!$C$5:$C$504, D1525) * SUMIFS('📅 Resumen Diario'!$K$5:$K$504, '📅 Resumen Diario'!$B$5:$B$504, B1525, '📅 Resumen Diario'!$C$5:$C$504, D1525), 0))</f>
        <v/>
      </c>
      <c r="M1525" s="31" t="str">
        <f t="shared" si="164"/>
        <v/>
      </c>
      <c r="N1525" s="31" t="str">
        <f t="shared" si="165"/>
        <v/>
      </c>
      <c r="O1525" s="31" t="str">
        <f>IF(OR(B1525="",C1525=""),"",K1525-N1525 + IFERROR(E1525 / SUMIFS('📅 Resumen Diario'!$D$5:$D$504, '📅 Resumen Diario'!$B$5:$B$504, B1525, '📅 Resumen Diario'!$C$5:$C$504, D1525) * (SUMIFS('📋 Detalle Diario'!$E$5:$E$489, '📋 Detalle Diario'!$B$5:$B$489, B1525, '📋 Detalle Diario'!$C$5:$C$489, D1525) * 135 + SUMIFS('📋 Detalle Diario'!$I$5:$I$489, '📋 Detalle Diario'!$B$5:$B$489, B1525, '📋 Detalle Diario'!$C$5:$C$489, D1525) * 200), 0))</f>
        <v/>
      </c>
      <c r="P1525" s="32" t="str">
        <f t="shared" si="166"/>
        <v/>
      </c>
      <c r="Q1525" s="33" t="str">
        <f t="shared" si="167"/>
        <v/>
      </c>
    </row>
    <row r="1526" spans="2:17" ht="18" customHeight="1" x14ac:dyDescent="0.3">
      <c r="B1526" s="26"/>
      <c r="C1526" s="17"/>
      <c r="D1526" s="27"/>
      <c r="E1526" s="18"/>
      <c r="F1526" s="18"/>
      <c r="G1526" s="18"/>
      <c r="H1526" s="30" t="str">
        <f t="shared" si="161"/>
        <v/>
      </c>
      <c r="I1526" s="31" t="str">
        <f>IF(OR(B1526="",C1526=""),"",IFERROR(E1526*IF(E1526="",0,VLOOKUP(C1526,'📦 Precios Proforma'!$B$5:$D$104,IF(D1526="DIA",2,3),FALSE)),0))</f>
        <v/>
      </c>
      <c r="J1526" s="31" t="str">
        <f t="shared" si="162"/>
        <v/>
      </c>
      <c r="K1526" s="31" t="str">
        <f t="shared" si="163"/>
        <v/>
      </c>
      <c r="L1526" s="31" t="str">
        <f>IF(OR(B1526="",C1526=""),"",IFERROR(E1526 / SUMIFS('📅 Resumen Diario'!$D$5:$D$504, '📅 Resumen Diario'!$B$5:$B$504, B1526, '📅 Resumen Diario'!$C$5:$C$504, D1526) * SUMIFS('📅 Resumen Diario'!$K$5:$K$504, '📅 Resumen Diario'!$B$5:$B$504, B1526, '📅 Resumen Diario'!$C$5:$C$504, D1526), 0))</f>
        <v/>
      </c>
      <c r="M1526" s="31" t="str">
        <f t="shared" si="164"/>
        <v/>
      </c>
      <c r="N1526" s="31" t="str">
        <f t="shared" si="165"/>
        <v/>
      </c>
      <c r="O1526" s="31" t="str">
        <f>IF(OR(B1526="",C1526=""),"",K1526-N1526 + IFERROR(E1526 / SUMIFS('📅 Resumen Diario'!$D$5:$D$504, '📅 Resumen Diario'!$B$5:$B$504, B1526, '📅 Resumen Diario'!$C$5:$C$504, D1526) * (SUMIFS('📋 Detalle Diario'!$E$5:$E$489, '📋 Detalle Diario'!$B$5:$B$489, B1526, '📋 Detalle Diario'!$C$5:$C$489, D1526) * 135 + SUMIFS('📋 Detalle Diario'!$I$5:$I$489, '📋 Detalle Diario'!$B$5:$B$489, B1526, '📋 Detalle Diario'!$C$5:$C$489, D1526) * 200), 0))</f>
        <v/>
      </c>
      <c r="P1526" s="32" t="str">
        <f t="shared" si="166"/>
        <v/>
      </c>
      <c r="Q1526" s="33" t="str">
        <f t="shared" si="167"/>
        <v/>
      </c>
    </row>
    <row r="1527" spans="2:17" ht="18" customHeight="1" x14ac:dyDescent="0.3">
      <c r="B1527" s="26"/>
      <c r="C1527" s="28"/>
      <c r="D1527" s="27"/>
      <c r="E1527" s="29"/>
      <c r="F1527" s="29"/>
      <c r="G1527" s="29"/>
      <c r="H1527" s="30" t="str">
        <f t="shared" si="161"/>
        <v/>
      </c>
      <c r="I1527" s="31" t="str">
        <f>IF(OR(B1527="",C1527=""),"",IFERROR(E1527*IF(E1527="",0,VLOOKUP(C1527,'📦 Precios Proforma'!$B$5:$D$104,IF(D1527="DIA",2,3),FALSE)),0))</f>
        <v/>
      </c>
      <c r="J1527" s="31" t="str">
        <f t="shared" si="162"/>
        <v/>
      </c>
      <c r="K1527" s="31" t="str">
        <f t="shared" si="163"/>
        <v/>
      </c>
      <c r="L1527" s="31" t="str">
        <f>IF(OR(B1527="",C1527=""),"",IFERROR(E1527 / SUMIFS('📅 Resumen Diario'!$D$5:$D$504, '📅 Resumen Diario'!$B$5:$B$504, B1527, '📅 Resumen Diario'!$C$5:$C$504, D1527) * SUMIFS('📅 Resumen Diario'!$K$5:$K$504, '📅 Resumen Diario'!$B$5:$B$504, B1527, '📅 Resumen Diario'!$C$5:$C$504, D1527), 0))</f>
        <v/>
      </c>
      <c r="M1527" s="31" t="str">
        <f t="shared" si="164"/>
        <v/>
      </c>
      <c r="N1527" s="31" t="str">
        <f t="shared" si="165"/>
        <v/>
      </c>
      <c r="O1527" s="31" t="str">
        <f>IF(OR(B1527="",C1527=""),"",K1527-N1527 + IFERROR(E1527 / SUMIFS('📅 Resumen Diario'!$D$5:$D$504, '📅 Resumen Diario'!$B$5:$B$504, B1527, '📅 Resumen Diario'!$C$5:$C$504, D1527) * (SUMIFS('📋 Detalle Diario'!$E$5:$E$489, '📋 Detalle Diario'!$B$5:$B$489, B1527, '📋 Detalle Diario'!$C$5:$C$489, D1527) * 135 + SUMIFS('📋 Detalle Diario'!$I$5:$I$489, '📋 Detalle Diario'!$B$5:$B$489, B1527, '📋 Detalle Diario'!$C$5:$C$489, D1527) * 200), 0))</f>
        <v/>
      </c>
      <c r="P1527" s="32" t="str">
        <f t="shared" si="166"/>
        <v/>
      </c>
      <c r="Q1527" s="33" t="str">
        <f t="shared" si="167"/>
        <v/>
      </c>
    </row>
    <row r="1528" spans="2:17" ht="18" customHeight="1" x14ac:dyDescent="0.3">
      <c r="B1528" s="26"/>
      <c r="C1528" s="17"/>
      <c r="D1528" s="27"/>
      <c r="E1528" s="18"/>
      <c r="F1528" s="18"/>
      <c r="G1528" s="18"/>
      <c r="H1528" s="30" t="str">
        <f t="shared" si="161"/>
        <v/>
      </c>
      <c r="I1528" s="31" t="str">
        <f>IF(OR(B1528="",C1528=""),"",IFERROR(E1528*IF(E1528="",0,VLOOKUP(C1528,'📦 Precios Proforma'!$B$5:$D$104,IF(D1528="DIA",2,3),FALSE)),0))</f>
        <v/>
      </c>
      <c r="J1528" s="31" t="str">
        <f t="shared" si="162"/>
        <v/>
      </c>
      <c r="K1528" s="31" t="str">
        <f t="shared" si="163"/>
        <v/>
      </c>
      <c r="L1528" s="31" t="str">
        <f>IF(OR(B1528="",C1528=""),"",IFERROR(E1528 / SUMIFS('📅 Resumen Diario'!$D$5:$D$504, '📅 Resumen Diario'!$B$5:$B$504, B1528, '📅 Resumen Diario'!$C$5:$C$504, D1528) * SUMIFS('📅 Resumen Diario'!$K$5:$K$504, '📅 Resumen Diario'!$B$5:$B$504, B1528, '📅 Resumen Diario'!$C$5:$C$504, D1528), 0))</f>
        <v/>
      </c>
      <c r="M1528" s="31" t="str">
        <f t="shared" si="164"/>
        <v/>
      </c>
      <c r="N1528" s="31" t="str">
        <f t="shared" si="165"/>
        <v/>
      </c>
      <c r="O1528" s="31" t="str">
        <f>IF(OR(B1528="",C1528=""),"",K1528-N1528 + IFERROR(E1528 / SUMIFS('📅 Resumen Diario'!$D$5:$D$504, '📅 Resumen Diario'!$B$5:$B$504, B1528, '📅 Resumen Diario'!$C$5:$C$504, D1528) * (SUMIFS('📋 Detalle Diario'!$E$5:$E$489, '📋 Detalle Diario'!$B$5:$B$489, B1528, '📋 Detalle Diario'!$C$5:$C$489, D1528) * 135 + SUMIFS('📋 Detalle Diario'!$I$5:$I$489, '📋 Detalle Diario'!$B$5:$B$489, B1528, '📋 Detalle Diario'!$C$5:$C$489, D1528) * 200), 0))</f>
        <v/>
      </c>
      <c r="P1528" s="32" t="str">
        <f t="shared" si="166"/>
        <v/>
      </c>
      <c r="Q1528" s="33" t="str">
        <f t="shared" si="167"/>
        <v/>
      </c>
    </row>
    <row r="1529" spans="2:17" ht="18" customHeight="1" x14ac:dyDescent="0.3">
      <c r="B1529" s="26"/>
      <c r="C1529" s="28"/>
      <c r="D1529" s="27"/>
      <c r="E1529" s="29"/>
      <c r="F1529" s="29"/>
      <c r="G1529" s="29"/>
      <c r="H1529" s="30" t="str">
        <f t="shared" si="161"/>
        <v/>
      </c>
      <c r="I1529" s="31" t="str">
        <f>IF(OR(B1529="",C1529=""),"",IFERROR(E1529*IF(E1529="",0,VLOOKUP(C1529,'📦 Precios Proforma'!$B$5:$D$104,IF(D1529="DIA",2,3),FALSE)),0))</f>
        <v/>
      </c>
      <c r="J1529" s="31" t="str">
        <f t="shared" si="162"/>
        <v/>
      </c>
      <c r="K1529" s="31" t="str">
        <f t="shared" si="163"/>
        <v/>
      </c>
      <c r="L1529" s="31" t="str">
        <f>IF(OR(B1529="",C1529=""),"",IFERROR(E1529 / SUMIFS('📅 Resumen Diario'!$D$5:$D$504, '📅 Resumen Diario'!$B$5:$B$504, B1529, '📅 Resumen Diario'!$C$5:$C$504, D1529) * SUMIFS('📅 Resumen Diario'!$K$5:$K$504, '📅 Resumen Diario'!$B$5:$B$504, B1529, '📅 Resumen Diario'!$C$5:$C$504, D1529), 0))</f>
        <v/>
      </c>
      <c r="M1529" s="31" t="str">
        <f t="shared" si="164"/>
        <v/>
      </c>
      <c r="N1529" s="31" t="str">
        <f t="shared" si="165"/>
        <v/>
      </c>
      <c r="O1529" s="31" t="str">
        <f>IF(OR(B1529="",C1529=""),"",K1529-N1529 + IFERROR(E1529 / SUMIFS('📅 Resumen Diario'!$D$5:$D$504, '📅 Resumen Diario'!$B$5:$B$504, B1529, '📅 Resumen Diario'!$C$5:$C$504, D1529) * (SUMIFS('📋 Detalle Diario'!$E$5:$E$489, '📋 Detalle Diario'!$B$5:$B$489, B1529, '📋 Detalle Diario'!$C$5:$C$489, D1529) * 135 + SUMIFS('📋 Detalle Diario'!$I$5:$I$489, '📋 Detalle Diario'!$B$5:$B$489, B1529, '📋 Detalle Diario'!$C$5:$C$489, D1529) * 200), 0))</f>
        <v/>
      </c>
      <c r="P1529" s="32" t="str">
        <f t="shared" si="166"/>
        <v/>
      </c>
      <c r="Q1529" s="33" t="str">
        <f t="shared" si="167"/>
        <v/>
      </c>
    </row>
    <row r="1530" spans="2:17" ht="18" customHeight="1" x14ac:dyDescent="0.3">
      <c r="B1530" s="26"/>
      <c r="C1530" s="17"/>
      <c r="D1530" s="27"/>
      <c r="E1530" s="18"/>
      <c r="F1530" s="18"/>
      <c r="G1530" s="18"/>
      <c r="H1530" s="30" t="str">
        <f t="shared" si="161"/>
        <v/>
      </c>
      <c r="I1530" s="31" t="str">
        <f>IF(OR(B1530="",C1530=""),"",IFERROR(E1530*IF(E1530="",0,VLOOKUP(C1530,'📦 Precios Proforma'!$B$5:$D$104,IF(D1530="DIA",2,3),FALSE)),0))</f>
        <v/>
      </c>
      <c r="J1530" s="31" t="str">
        <f t="shared" si="162"/>
        <v/>
      </c>
      <c r="K1530" s="31" t="str">
        <f t="shared" si="163"/>
        <v/>
      </c>
      <c r="L1530" s="31" t="str">
        <f>IF(OR(B1530="",C1530=""),"",IFERROR(E1530 / SUMIFS('📅 Resumen Diario'!$D$5:$D$504, '📅 Resumen Diario'!$B$5:$B$504, B1530, '📅 Resumen Diario'!$C$5:$C$504, D1530) * SUMIFS('📅 Resumen Diario'!$K$5:$K$504, '📅 Resumen Diario'!$B$5:$B$504, B1530, '📅 Resumen Diario'!$C$5:$C$504, D1530), 0))</f>
        <v/>
      </c>
      <c r="M1530" s="31" t="str">
        <f t="shared" si="164"/>
        <v/>
      </c>
      <c r="N1530" s="31" t="str">
        <f t="shared" si="165"/>
        <v/>
      </c>
      <c r="O1530" s="31" t="str">
        <f>IF(OR(B1530="",C1530=""),"",K1530-N1530 + IFERROR(E1530 / SUMIFS('📅 Resumen Diario'!$D$5:$D$504, '📅 Resumen Diario'!$B$5:$B$504, B1530, '📅 Resumen Diario'!$C$5:$C$504, D1530) * (SUMIFS('📋 Detalle Diario'!$E$5:$E$489, '📋 Detalle Diario'!$B$5:$B$489, B1530, '📋 Detalle Diario'!$C$5:$C$489, D1530) * 135 + SUMIFS('📋 Detalle Diario'!$I$5:$I$489, '📋 Detalle Diario'!$B$5:$B$489, B1530, '📋 Detalle Diario'!$C$5:$C$489, D1530) * 200), 0))</f>
        <v/>
      </c>
      <c r="P1530" s="32" t="str">
        <f t="shared" si="166"/>
        <v/>
      </c>
      <c r="Q1530" s="33" t="str">
        <f t="shared" si="167"/>
        <v/>
      </c>
    </row>
    <row r="1531" spans="2:17" ht="18" customHeight="1" x14ac:dyDescent="0.3">
      <c r="B1531" s="26"/>
      <c r="C1531" s="28"/>
      <c r="D1531" s="27"/>
      <c r="E1531" s="29"/>
      <c r="F1531" s="29"/>
      <c r="G1531" s="29"/>
      <c r="H1531" s="30" t="str">
        <f t="shared" si="161"/>
        <v/>
      </c>
      <c r="I1531" s="31" t="str">
        <f>IF(OR(B1531="",C1531=""),"",IFERROR(E1531*IF(E1531="",0,VLOOKUP(C1531,'📦 Precios Proforma'!$B$5:$D$104,IF(D1531="DIA",2,3),FALSE)),0))</f>
        <v/>
      </c>
      <c r="J1531" s="31" t="str">
        <f t="shared" si="162"/>
        <v/>
      </c>
      <c r="K1531" s="31" t="str">
        <f t="shared" si="163"/>
        <v/>
      </c>
      <c r="L1531" s="31" t="str">
        <f>IF(OR(B1531="",C1531=""),"",IFERROR(E1531 / SUMIFS('📅 Resumen Diario'!$D$5:$D$504, '📅 Resumen Diario'!$B$5:$B$504, B1531, '📅 Resumen Diario'!$C$5:$C$504, D1531) * SUMIFS('📅 Resumen Diario'!$K$5:$K$504, '📅 Resumen Diario'!$B$5:$B$504, B1531, '📅 Resumen Diario'!$C$5:$C$504, D1531), 0))</f>
        <v/>
      </c>
      <c r="M1531" s="31" t="str">
        <f t="shared" si="164"/>
        <v/>
      </c>
      <c r="N1531" s="31" t="str">
        <f t="shared" si="165"/>
        <v/>
      </c>
      <c r="O1531" s="31" t="str">
        <f>IF(OR(B1531="",C1531=""),"",K1531-N1531 + IFERROR(E1531 / SUMIFS('📅 Resumen Diario'!$D$5:$D$504, '📅 Resumen Diario'!$B$5:$B$504, B1531, '📅 Resumen Diario'!$C$5:$C$504, D1531) * (SUMIFS('📋 Detalle Diario'!$E$5:$E$489, '📋 Detalle Diario'!$B$5:$B$489, B1531, '📋 Detalle Diario'!$C$5:$C$489, D1531) * 135 + SUMIFS('📋 Detalle Diario'!$I$5:$I$489, '📋 Detalle Diario'!$B$5:$B$489, B1531, '📋 Detalle Diario'!$C$5:$C$489, D1531) * 200), 0))</f>
        <v/>
      </c>
      <c r="P1531" s="32" t="str">
        <f t="shared" si="166"/>
        <v/>
      </c>
      <c r="Q1531" s="33" t="str">
        <f t="shared" si="167"/>
        <v/>
      </c>
    </row>
    <row r="1532" spans="2:17" ht="18" customHeight="1" x14ac:dyDescent="0.3">
      <c r="B1532" s="26"/>
      <c r="C1532" s="17"/>
      <c r="D1532" s="27"/>
      <c r="E1532" s="18"/>
      <c r="F1532" s="18"/>
      <c r="G1532" s="18"/>
      <c r="H1532" s="30" t="str">
        <f t="shared" si="161"/>
        <v/>
      </c>
      <c r="I1532" s="31" t="str">
        <f>IF(OR(B1532="",C1532=""),"",IFERROR(E1532*IF(E1532="",0,VLOOKUP(C1532,'📦 Precios Proforma'!$B$5:$D$104,IF(D1532="DIA",2,3),FALSE)),0))</f>
        <v/>
      </c>
      <c r="J1532" s="31" t="str">
        <f t="shared" si="162"/>
        <v/>
      </c>
      <c r="K1532" s="31" t="str">
        <f t="shared" si="163"/>
        <v/>
      </c>
      <c r="L1532" s="31" t="str">
        <f>IF(OR(B1532="",C1532=""),"",IFERROR(E1532 / SUMIFS('📅 Resumen Diario'!$D$5:$D$504, '📅 Resumen Diario'!$B$5:$B$504, B1532, '📅 Resumen Diario'!$C$5:$C$504, D1532) * SUMIFS('📅 Resumen Diario'!$K$5:$K$504, '📅 Resumen Diario'!$B$5:$B$504, B1532, '📅 Resumen Diario'!$C$5:$C$504, D1532), 0))</f>
        <v/>
      </c>
      <c r="M1532" s="31" t="str">
        <f t="shared" si="164"/>
        <v/>
      </c>
      <c r="N1532" s="31" t="str">
        <f t="shared" si="165"/>
        <v/>
      </c>
      <c r="O1532" s="31" t="str">
        <f>IF(OR(B1532="",C1532=""),"",K1532-N1532 + IFERROR(E1532 / SUMIFS('📅 Resumen Diario'!$D$5:$D$504, '📅 Resumen Diario'!$B$5:$B$504, B1532, '📅 Resumen Diario'!$C$5:$C$504, D1532) * (SUMIFS('📋 Detalle Diario'!$E$5:$E$489, '📋 Detalle Diario'!$B$5:$B$489, B1532, '📋 Detalle Diario'!$C$5:$C$489, D1532) * 135 + SUMIFS('📋 Detalle Diario'!$I$5:$I$489, '📋 Detalle Diario'!$B$5:$B$489, B1532, '📋 Detalle Diario'!$C$5:$C$489, D1532) * 200), 0))</f>
        <v/>
      </c>
      <c r="P1532" s="32" t="str">
        <f t="shared" si="166"/>
        <v/>
      </c>
      <c r="Q1532" s="33" t="str">
        <f t="shared" si="167"/>
        <v/>
      </c>
    </row>
    <row r="1533" spans="2:17" ht="18" customHeight="1" x14ac:dyDescent="0.3">
      <c r="B1533" s="26"/>
      <c r="C1533" s="28"/>
      <c r="D1533" s="27"/>
      <c r="E1533" s="29"/>
      <c r="F1533" s="29"/>
      <c r="G1533" s="29"/>
      <c r="H1533" s="30" t="str">
        <f t="shared" si="161"/>
        <v/>
      </c>
      <c r="I1533" s="31" t="str">
        <f>IF(OR(B1533="",C1533=""),"",IFERROR(E1533*IF(E1533="",0,VLOOKUP(C1533,'📦 Precios Proforma'!$B$5:$D$104,IF(D1533="DIA",2,3),FALSE)),0))</f>
        <v/>
      </c>
      <c r="J1533" s="31" t="str">
        <f t="shared" si="162"/>
        <v/>
      </c>
      <c r="K1533" s="31" t="str">
        <f t="shared" si="163"/>
        <v/>
      </c>
      <c r="L1533" s="31" t="str">
        <f>IF(OR(B1533="",C1533=""),"",IFERROR(E1533 / SUMIFS('📅 Resumen Diario'!$D$5:$D$504, '📅 Resumen Diario'!$B$5:$B$504, B1533, '📅 Resumen Diario'!$C$5:$C$504, D1533) * SUMIFS('📅 Resumen Diario'!$K$5:$K$504, '📅 Resumen Diario'!$B$5:$B$504, B1533, '📅 Resumen Diario'!$C$5:$C$504, D1533), 0))</f>
        <v/>
      </c>
      <c r="M1533" s="31" t="str">
        <f t="shared" si="164"/>
        <v/>
      </c>
      <c r="N1533" s="31" t="str">
        <f t="shared" si="165"/>
        <v/>
      </c>
      <c r="O1533" s="31" t="str">
        <f>IF(OR(B1533="",C1533=""),"",K1533-N1533 + IFERROR(E1533 / SUMIFS('📅 Resumen Diario'!$D$5:$D$504, '📅 Resumen Diario'!$B$5:$B$504, B1533, '📅 Resumen Diario'!$C$5:$C$504, D1533) * (SUMIFS('📋 Detalle Diario'!$E$5:$E$489, '📋 Detalle Diario'!$B$5:$B$489, B1533, '📋 Detalle Diario'!$C$5:$C$489, D1533) * 135 + SUMIFS('📋 Detalle Diario'!$I$5:$I$489, '📋 Detalle Diario'!$B$5:$B$489, B1533, '📋 Detalle Diario'!$C$5:$C$489, D1533) * 200), 0))</f>
        <v/>
      </c>
      <c r="P1533" s="32" t="str">
        <f t="shared" si="166"/>
        <v/>
      </c>
      <c r="Q1533" s="33" t="str">
        <f t="shared" si="167"/>
        <v/>
      </c>
    </row>
    <row r="1534" spans="2:17" ht="18" customHeight="1" x14ac:dyDescent="0.3">
      <c r="B1534" s="26"/>
      <c r="C1534" s="17"/>
      <c r="D1534" s="27"/>
      <c r="E1534" s="18"/>
      <c r="F1534" s="18"/>
      <c r="G1534" s="18"/>
      <c r="H1534" s="30" t="str">
        <f t="shared" si="161"/>
        <v/>
      </c>
      <c r="I1534" s="31" t="str">
        <f>IF(OR(B1534="",C1534=""),"",IFERROR(E1534*IF(E1534="",0,VLOOKUP(C1534,'📦 Precios Proforma'!$B$5:$D$104,IF(D1534="DIA",2,3),FALSE)),0))</f>
        <v/>
      </c>
      <c r="J1534" s="31" t="str">
        <f t="shared" si="162"/>
        <v/>
      </c>
      <c r="K1534" s="31" t="str">
        <f t="shared" si="163"/>
        <v/>
      </c>
      <c r="L1534" s="31" t="str">
        <f>IF(OR(B1534="",C1534=""),"",IFERROR(E1534 / SUMIFS('📅 Resumen Diario'!$D$5:$D$504, '📅 Resumen Diario'!$B$5:$B$504, B1534, '📅 Resumen Diario'!$C$5:$C$504, D1534) * SUMIFS('📅 Resumen Diario'!$K$5:$K$504, '📅 Resumen Diario'!$B$5:$B$504, B1534, '📅 Resumen Diario'!$C$5:$C$504, D1534), 0))</f>
        <v/>
      </c>
      <c r="M1534" s="31" t="str">
        <f t="shared" si="164"/>
        <v/>
      </c>
      <c r="N1534" s="31" t="str">
        <f t="shared" si="165"/>
        <v/>
      </c>
      <c r="O1534" s="31" t="str">
        <f>IF(OR(B1534="",C1534=""),"",K1534-N1534 + IFERROR(E1534 / SUMIFS('📅 Resumen Diario'!$D$5:$D$504, '📅 Resumen Diario'!$B$5:$B$504, B1534, '📅 Resumen Diario'!$C$5:$C$504, D1534) * (SUMIFS('📋 Detalle Diario'!$E$5:$E$489, '📋 Detalle Diario'!$B$5:$B$489, B1534, '📋 Detalle Diario'!$C$5:$C$489, D1534) * 135 + SUMIFS('📋 Detalle Diario'!$I$5:$I$489, '📋 Detalle Diario'!$B$5:$B$489, B1534, '📋 Detalle Diario'!$C$5:$C$489, D1534) * 200), 0))</f>
        <v/>
      </c>
      <c r="P1534" s="32" t="str">
        <f t="shared" si="166"/>
        <v/>
      </c>
      <c r="Q1534" s="33" t="str">
        <f t="shared" si="167"/>
        <v/>
      </c>
    </row>
    <row r="1535" spans="2:17" ht="18" customHeight="1" x14ac:dyDescent="0.3">
      <c r="B1535" s="26"/>
      <c r="C1535" s="28"/>
      <c r="D1535" s="27"/>
      <c r="E1535" s="29"/>
      <c r="F1535" s="29"/>
      <c r="G1535" s="29"/>
      <c r="H1535" s="30" t="str">
        <f t="shared" si="161"/>
        <v/>
      </c>
      <c r="I1535" s="31" t="str">
        <f>IF(OR(B1535="",C1535=""),"",IFERROR(E1535*IF(E1535="",0,VLOOKUP(C1535,'📦 Precios Proforma'!$B$5:$D$104,IF(D1535="DIA",2,3),FALSE)),0))</f>
        <v/>
      </c>
      <c r="J1535" s="31" t="str">
        <f t="shared" si="162"/>
        <v/>
      </c>
      <c r="K1535" s="31" t="str">
        <f t="shared" si="163"/>
        <v/>
      </c>
      <c r="L1535" s="31" t="str">
        <f>IF(OR(B1535="",C1535=""),"",IFERROR(E1535 / SUMIFS('📅 Resumen Diario'!$D$5:$D$504, '📅 Resumen Diario'!$B$5:$B$504, B1535, '📅 Resumen Diario'!$C$5:$C$504, D1535) * SUMIFS('📅 Resumen Diario'!$K$5:$K$504, '📅 Resumen Diario'!$B$5:$B$504, B1535, '📅 Resumen Diario'!$C$5:$C$504, D1535), 0))</f>
        <v/>
      </c>
      <c r="M1535" s="31" t="str">
        <f t="shared" si="164"/>
        <v/>
      </c>
      <c r="N1535" s="31" t="str">
        <f t="shared" si="165"/>
        <v/>
      </c>
      <c r="O1535" s="31" t="str">
        <f>IF(OR(B1535="",C1535=""),"",K1535-N1535 + IFERROR(E1535 / SUMIFS('📅 Resumen Diario'!$D$5:$D$504, '📅 Resumen Diario'!$B$5:$B$504, B1535, '📅 Resumen Diario'!$C$5:$C$504, D1535) * (SUMIFS('📋 Detalle Diario'!$E$5:$E$489, '📋 Detalle Diario'!$B$5:$B$489, B1535, '📋 Detalle Diario'!$C$5:$C$489, D1535) * 135 + SUMIFS('📋 Detalle Diario'!$I$5:$I$489, '📋 Detalle Diario'!$B$5:$B$489, B1535, '📋 Detalle Diario'!$C$5:$C$489, D1535) * 200), 0))</f>
        <v/>
      </c>
      <c r="P1535" s="32" t="str">
        <f t="shared" si="166"/>
        <v/>
      </c>
      <c r="Q1535" s="33" t="str">
        <f t="shared" si="167"/>
        <v/>
      </c>
    </row>
    <row r="1536" spans="2:17" ht="18" customHeight="1" x14ac:dyDescent="0.3">
      <c r="B1536" s="26"/>
      <c r="C1536" s="17"/>
      <c r="D1536" s="27"/>
      <c r="E1536" s="18"/>
      <c r="F1536" s="18"/>
      <c r="G1536" s="18"/>
      <c r="H1536" s="30" t="str">
        <f t="shared" si="161"/>
        <v/>
      </c>
      <c r="I1536" s="31" t="str">
        <f>IF(OR(B1536="",C1536=""),"",IFERROR(E1536*IF(E1536="",0,VLOOKUP(C1536,'📦 Precios Proforma'!$B$5:$D$104,IF(D1536="DIA",2,3),FALSE)),0))</f>
        <v/>
      </c>
      <c r="J1536" s="31" t="str">
        <f t="shared" si="162"/>
        <v/>
      </c>
      <c r="K1536" s="31" t="str">
        <f t="shared" si="163"/>
        <v/>
      </c>
      <c r="L1536" s="31" t="str">
        <f>IF(OR(B1536="",C1536=""),"",IFERROR(E1536 / SUMIFS('📅 Resumen Diario'!$D$5:$D$504, '📅 Resumen Diario'!$B$5:$B$504, B1536, '📅 Resumen Diario'!$C$5:$C$504, D1536) * SUMIFS('📅 Resumen Diario'!$K$5:$K$504, '📅 Resumen Diario'!$B$5:$B$504, B1536, '📅 Resumen Diario'!$C$5:$C$504, D1536), 0))</f>
        <v/>
      </c>
      <c r="M1536" s="31" t="str">
        <f t="shared" si="164"/>
        <v/>
      </c>
      <c r="N1536" s="31" t="str">
        <f t="shared" si="165"/>
        <v/>
      </c>
      <c r="O1536" s="31" t="str">
        <f>IF(OR(B1536="",C1536=""),"",K1536-N1536 + IFERROR(E1536 / SUMIFS('📅 Resumen Diario'!$D$5:$D$504, '📅 Resumen Diario'!$B$5:$B$504, B1536, '📅 Resumen Diario'!$C$5:$C$504, D1536) * (SUMIFS('📋 Detalle Diario'!$E$5:$E$489, '📋 Detalle Diario'!$B$5:$B$489, B1536, '📋 Detalle Diario'!$C$5:$C$489, D1536) * 135 + SUMIFS('📋 Detalle Diario'!$I$5:$I$489, '📋 Detalle Diario'!$B$5:$B$489, B1536, '📋 Detalle Diario'!$C$5:$C$489, D1536) * 200), 0))</f>
        <v/>
      </c>
      <c r="P1536" s="32" t="str">
        <f t="shared" si="166"/>
        <v/>
      </c>
      <c r="Q1536" s="33" t="str">
        <f t="shared" si="167"/>
        <v/>
      </c>
    </row>
    <row r="1537" spans="2:17" ht="18" customHeight="1" x14ac:dyDescent="0.3">
      <c r="B1537" s="26"/>
      <c r="C1537" s="28"/>
      <c r="D1537" s="27"/>
      <c r="E1537" s="29"/>
      <c r="F1537" s="29"/>
      <c r="G1537" s="29"/>
      <c r="H1537" s="30" t="str">
        <f t="shared" si="161"/>
        <v/>
      </c>
      <c r="I1537" s="31" t="str">
        <f>IF(OR(B1537="",C1537=""),"",IFERROR(E1537*IF(E1537="",0,VLOOKUP(C1537,'📦 Precios Proforma'!$B$5:$D$104,IF(D1537="DIA",2,3),FALSE)),0))</f>
        <v/>
      </c>
      <c r="J1537" s="31" t="str">
        <f t="shared" si="162"/>
        <v/>
      </c>
      <c r="K1537" s="31" t="str">
        <f t="shared" si="163"/>
        <v/>
      </c>
      <c r="L1537" s="31" t="str">
        <f>IF(OR(B1537="",C1537=""),"",IFERROR(E1537 / SUMIFS('📅 Resumen Diario'!$D$5:$D$504, '📅 Resumen Diario'!$B$5:$B$504, B1537, '📅 Resumen Diario'!$C$5:$C$504, D1537) * SUMIFS('📅 Resumen Diario'!$K$5:$K$504, '📅 Resumen Diario'!$B$5:$B$504, B1537, '📅 Resumen Diario'!$C$5:$C$504, D1537), 0))</f>
        <v/>
      </c>
      <c r="M1537" s="31" t="str">
        <f t="shared" si="164"/>
        <v/>
      </c>
      <c r="N1537" s="31" t="str">
        <f t="shared" si="165"/>
        <v/>
      </c>
      <c r="O1537" s="31" t="str">
        <f>IF(OR(B1537="",C1537=""),"",K1537-N1537 + IFERROR(E1537 / SUMIFS('📅 Resumen Diario'!$D$5:$D$504, '📅 Resumen Diario'!$B$5:$B$504, B1537, '📅 Resumen Diario'!$C$5:$C$504, D1537) * (SUMIFS('📋 Detalle Diario'!$E$5:$E$489, '📋 Detalle Diario'!$B$5:$B$489, B1537, '📋 Detalle Diario'!$C$5:$C$489, D1537) * 135 + SUMIFS('📋 Detalle Diario'!$I$5:$I$489, '📋 Detalle Diario'!$B$5:$B$489, B1537, '📋 Detalle Diario'!$C$5:$C$489, D1537) * 200), 0))</f>
        <v/>
      </c>
      <c r="P1537" s="32" t="str">
        <f t="shared" si="166"/>
        <v/>
      </c>
      <c r="Q1537" s="33" t="str">
        <f t="shared" si="167"/>
        <v/>
      </c>
    </row>
    <row r="1538" spans="2:17" ht="18" customHeight="1" x14ac:dyDescent="0.3">
      <c r="B1538" s="26"/>
      <c r="C1538" s="17"/>
      <c r="D1538" s="27"/>
      <c r="E1538" s="18"/>
      <c r="F1538" s="18"/>
      <c r="G1538" s="18"/>
      <c r="H1538" s="30" t="str">
        <f t="shared" si="161"/>
        <v/>
      </c>
      <c r="I1538" s="31" t="str">
        <f>IF(OR(B1538="",C1538=""),"",IFERROR(E1538*IF(E1538="",0,VLOOKUP(C1538,'📦 Precios Proforma'!$B$5:$D$104,IF(D1538="DIA",2,3),FALSE)),0))</f>
        <v/>
      </c>
      <c r="J1538" s="31" t="str">
        <f t="shared" si="162"/>
        <v/>
      </c>
      <c r="K1538" s="31" t="str">
        <f t="shared" si="163"/>
        <v/>
      </c>
      <c r="L1538" s="31" t="str">
        <f>IF(OR(B1538="",C1538=""),"",IFERROR(E1538 / SUMIFS('📅 Resumen Diario'!$D$5:$D$504, '📅 Resumen Diario'!$B$5:$B$504, B1538, '📅 Resumen Diario'!$C$5:$C$504, D1538) * SUMIFS('📅 Resumen Diario'!$K$5:$K$504, '📅 Resumen Diario'!$B$5:$B$504, B1538, '📅 Resumen Diario'!$C$5:$C$504, D1538), 0))</f>
        <v/>
      </c>
      <c r="M1538" s="31" t="str">
        <f t="shared" si="164"/>
        <v/>
      </c>
      <c r="N1538" s="31" t="str">
        <f t="shared" si="165"/>
        <v/>
      </c>
      <c r="O1538" s="31" t="str">
        <f>IF(OR(B1538="",C1538=""),"",K1538-N1538 + IFERROR(E1538 / SUMIFS('📅 Resumen Diario'!$D$5:$D$504, '📅 Resumen Diario'!$B$5:$B$504, B1538, '📅 Resumen Diario'!$C$5:$C$504, D1538) * (SUMIFS('📋 Detalle Diario'!$E$5:$E$489, '📋 Detalle Diario'!$B$5:$B$489, B1538, '📋 Detalle Diario'!$C$5:$C$489, D1538) * 135 + SUMIFS('📋 Detalle Diario'!$I$5:$I$489, '📋 Detalle Diario'!$B$5:$B$489, B1538, '📋 Detalle Diario'!$C$5:$C$489, D1538) * 200), 0))</f>
        <v/>
      </c>
      <c r="P1538" s="32" t="str">
        <f t="shared" si="166"/>
        <v/>
      </c>
      <c r="Q1538" s="33" t="str">
        <f t="shared" si="167"/>
        <v/>
      </c>
    </row>
    <row r="1539" spans="2:17" ht="18" customHeight="1" x14ac:dyDescent="0.3">
      <c r="B1539" s="26"/>
      <c r="C1539" s="28"/>
      <c r="D1539" s="27"/>
      <c r="E1539" s="29"/>
      <c r="F1539" s="29"/>
      <c r="G1539" s="29"/>
      <c r="H1539" s="30" t="str">
        <f t="shared" si="161"/>
        <v/>
      </c>
      <c r="I1539" s="31" t="str">
        <f>IF(OR(B1539="",C1539=""),"",IFERROR(E1539*IF(E1539="",0,VLOOKUP(C1539,'📦 Precios Proforma'!$B$5:$D$104,IF(D1539="DIA",2,3),FALSE)),0))</f>
        <v/>
      </c>
      <c r="J1539" s="31" t="str">
        <f t="shared" si="162"/>
        <v/>
      </c>
      <c r="K1539" s="31" t="str">
        <f t="shared" si="163"/>
        <v/>
      </c>
      <c r="L1539" s="31" t="str">
        <f>IF(OR(B1539="",C1539=""),"",IFERROR(E1539 / SUMIFS('📅 Resumen Diario'!$D$5:$D$504, '📅 Resumen Diario'!$B$5:$B$504, B1539, '📅 Resumen Diario'!$C$5:$C$504, D1539) * SUMIFS('📅 Resumen Diario'!$K$5:$K$504, '📅 Resumen Diario'!$B$5:$B$504, B1539, '📅 Resumen Diario'!$C$5:$C$504, D1539), 0))</f>
        <v/>
      </c>
      <c r="M1539" s="31" t="str">
        <f t="shared" si="164"/>
        <v/>
      </c>
      <c r="N1539" s="31" t="str">
        <f t="shared" si="165"/>
        <v/>
      </c>
      <c r="O1539" s="31" t="str">
        <f>IF(OR(B1539="",C1539=""),"",K1539-N1539 + IFERROR(E1539 / SUMIFS('📅 Resumen Diario'!$D$5:$D$504, '📅 Resumen Diario'!$B$5:$B$504, B1539, '📅 Resumen Diario'!$C$5:$C$504, D1539) * (SUMIFS('📋 Detalle Diario'!$E$5:$E$489, '📋 Detalle Diario'!$B$5:$B$489, B1539, '📋 Detalle Diario'!$C$5:$C$489, D1539) * 135 + SUMIFS('📋 Detalle Diario'!$I$5:$I$489, '📋 Detalle Diario'!$B$5:$B$489, B1539, '📋 Detalle Diario'!$C$5:$C$489, D1539) * 200), 0))</f>
        <v/>
      </c>
      <c r="P1539" s="32" t="str">
        <f t="shared" si="166"/>
        <v/>
      </c>
      <c r="Q1539" s="33" t="str">
        <f t="shared" si="167"/>
        <v/>
      </c>
    </row>
    <row r="1540" spans="2:17" ht="18" customHeight="1" x14ac:dyDescent="0.3">
      <c r="B1540" s="26"/>
      <c r="C1540" s="17"/>
      <c r="D1540" s="27"/>
      <c r="E1540" s="18"/>
      <c r="F1540" s="18"/>
      <c r="G1540" s="18"/>
      <c r="H1540" s="30" t="str">
        <f t="shared" si="161"/>
        <v/>
      </c>
      <c r="I1540" s="31" t="str">
        <f>IF(OR(B1540="",C1540=""),"",IFERROR(E1540*IF(E1540="",0,VLOOKUP(C1540,'📦 Precios Proforma'!$B$5:$D$104,IF(D1540="DIA",2,3),FALSE)),0))</f>
        <v/>
      </c>
      <c r="J1540" s="31" t="str">
        <f t="shared" si="162"/>
        <v/>
      </c>
      <c r="K1540" s="31" t="str">
        <f t="shared" si="163"/>
        <v/>
      </c>
      <c r="L1540" s="31" t="str">
        <f>IF(OR(B1540="",C1540=""),"",IFERROR(E1540 / SUMIFS('📅 Resumen Diario'!$D$5:$D$504, '📅 Resumen Diario'!$B$5:$B$504, B1540, '📅 Resumen Diario'!$C$5:$C$504, D1540) * SUMIFS('📅 Resumen Diario'!$K$5:$K$504, '📅 Resumen Diario'!$B$5:$B$504, B1540, '📅 Resumen Diario'!$C$5:$C$504, D1540), 0))</f>
        <v/>
      </c>
      <c r="M1540" s="31" t="str">
        <f t="shared" si="164"/>
        <v/>
      </c>
      <c r="N1540" s="31" t="str">
        <f t="shared" si="165"/>
        <v/>
      </c>
      <c r="O1540" s="31" t="str">
        <f>IF(OR(B1540="",C1540=""),"",K1540-N1540 + IFERROR(E1540 / SUMIFS('📅 Resumen Diario'!$D$5:$D$504, '📅 Resumen Diario'!$B$5:$B$504, B1540, '📅 Resumen Diario'!$C$5:$C$504, D1540) * (SUMIFS('📋 Detalle Diario'!$E$5:$E$489, '📋 Detalle Diario'!$B$5:$B$489, B1540, '📋 Detalle Diario'!$C$5:$C$489, D1540) * 135 + SUMIFS('📋 Detalle Diario'!$I$5:$I$489, '📋 Detalle Diario'!$B$5:$B$489, B1540, '📋 Detalle Diario'!$C$5:$C$489, D1540) * 200), 0))</f>
        <v/>
      </c>
      <c r="P1540" s="32" t="str">
        <f t="shared" si="166"/>
        <v/>
      </c>
      <c r="Q1540" s="33" t="str">
        <f t="shared" si="167"/>
        <v/>
      </c>
    </row>
    <row r="1541" spans="2:17" ht="18" customHeight="1" x14ac:dyDescent="0.3">
      <c r="B1541" s="26"/>
      <c r="C1541" s="28"/>
      <c r="D1541" s="27"/>
      <c r="E1541" s="29"/>
      <c r="F1541" s="29"/>
      <c r="G1541" s="29"/>
      <c r="H1541" s="30" t="str">
        <f t="shared" si="161"/>
        <v/>
      </c>
      <c r="I1541" s="31" t="str">
        <f>IF(OR(B1541="",C1541=""),"",IFERROR(E1541*IF(E1541="",0,VLOOKUP(C1541,'📦 Precios Proforma'!$B$5:$D$104,IF(D1541="DIA",2,3),FALSE)),0))</f>
        <v/>
      </c>
      <c r="J1541" s="31" t="str">
        <f t="shared" si="162"/>
        <v/>
      </c>
      <c r="K1541" s="31" t="str">
        <f t="shared" si="163"/>
        <v/>
      </c>
      <c r="L1541" s="31" t="str">
        <f>IF(OR(B1541="",C1541=""),"",IFERROR(E1541 / SUMIFS('📅 Resumen Diario'!$D$5:$D$504, '📅 Resumen Diario'!$B$5:$B$504, B1541, '📅 Resumen Diario'!$C$5:$C$504, D1541) * SUMIFS('📅 Resumen Diario'!$K$5:$K$504, '📅 Resumen Diario'!$B$5:$B$504, B1541, '📅 Resumen Diario'!$C$5:$C$504, D1541), 0))</f>
        <v/>
      </c>
      <c r="M1541" s="31" t="str">
        <f t="shared" si="164"/>
        <v/>
      </c>
      <c r="N1541" s="31" t="str">
        <f t="shared" si="165"/>
        <v/>
      </c>
      <c r="O1541" s="31" t="str">
        <f>IF(OR(B1541="",C1541=""),"",K1541-N1541 + IFERROR(E1541 / SUMIFS('📅 Resumen Diario'!$D$5:$D$504, '📅 Resumen Diario'!$B$5:$B$504, B1541, '📅 Resumen Diario'!$C$5:$C$504, D1541) * (SUMIFS('📋 Detalle Diario'!$E$5:$E$489, '📋 Detalle Diario'!$B$5:$B$489, B1541, '📋 Detalle Diario'!$C$5:$C$489, D1541) * 135 + SUMIFS('📋 Detalle Diario'!$I$5:$I$489, '📋 Detalle Diario'!$B$5:$B$489, B1541, '📋 Detalle Diario'!$C$5:$C$489, D1541) * 200), 0))</f>
        <v/>
      </c>
      <c r="P1541" s="32" t="str">
        <f t="shared" si="166"/>
        <v/>
      </c>
      <c r="Q1541" s="33" t="str">
        <f t="shared" si="167"/>
        <v/>
      </c>
    </row>
    <row r="1542" spans="2:17" ht="18" customHeight="1" x14ac:dyDescent="0.3">
      <c r="B1542" s="26"/>
      <c r="C1542" s="17"/>
      <c r="D1542" s="27"/>
      <c r="E1542" s="18"/>
      <c r="F1542" s="18"/>
      <c r="G1542" s="18"/>
      <c r="H1542" s="30" t="str">
        <f t="shared" si="161"/>
        <v/>
      </c>
      <c r="I1542" s="31" t="str">
        <f>IF(OR(B1542="",C1542=""),"",IFERROR(E1542*IF(E1542="",0,VLOOKUP(C1542,'📦 Precios Proforma'!$B$5:$D$104,IF(D1542="DIA",2,3),FALSE)),0))</f>
        <v/>
      </c>
      <c r="J1542" s="31" t="str">
        <f t="shared" si="162"/>
        <v/>
      </c>
      <c r="K1542" s="31" t="str">
        <f t="shared" si="163"/>
        <v/>
      </c>
      <c r="L1542" s="31" t="str">
        <f>IF(OR(B1542="",C1542=""),"",IFERROR(E1542 / SUMIFS('📅 Resumen Diario'!$D$5:$D$504, '📅 Resumen Diario'!$B$5:$B$504, B1542, '📅 Resumen Diario'!$C$5:$C$504, D1542) * SUMIFS('📅 Resumen Diario'!$K$5:$K$504, '📅 Resumen Diario'!$B$5:$B$504, B1542, '📅 Resumen Diario'!$C$5:$C$504, D1542), 0))</f>
        <v/>
      </c>
      <c r="M1542" s="31" t="str">
        <f t="shared" si="164"/>
        <v/>
      </c>
      <c r="N1542" s="31" t="str">
        <f t="shared" si="165"/>
        <v/>
      </c>
      <c r="O1542" s="31" t="str">
        <f>IF(OR(B1542="",C1542=""),"",K1542-N1542 + IFERROR(E1542 / SUMIFS('📅 Resumen Diario'!$D$5:$D$504, '📅 Resumen Diario'!$B$5:$B$504, B1542, '📅 Resumen Diario'!$C$5:$C$504, D1542) * (SUMIFS('📋 Detalle Diario'!$E$5:$E$489, '📋 Detalle Diario'!$B$5:$B$489, B1542, '📋 Detalle Diario'!$C$5:$C$489, D1542) * 135 + SUMIFS('📋 Detalle Diario'!$I$5:$I$489, '📋 Detalle Diario'!$B$5:$B$489, B1542, '📋 Detalle Diario'!$C$5:$C$489, D1542) * 200), 0))</f>
        <v/>
      </c>
      <c r="P1542" s="32" t="str">
        <f t="shared" si="166"/>
        <v/>
      </c>
      <c r="Q1542" s="33" t="str">
        <f t="shared" si="167"/>
        <v/>
      </c>
    </row>
    <row r="1543" spans="2:17" ht="18" customHeight="1" x14ac:dyDescent="0.3">
      <c r="B1543" s="26"/>
      <c r="C1543" s="28"/>
      <c r="D1543" s="27"/>
      <c r="E1543" s="29"/>
      <c r="F1543" s="29"/>
      <c r="G1543" s="29"/>
      <c r="H1543" s="30" t="str">
        <f t="shared" ref="H1543:H1606" si="168">IF(OR(B1543="",C1543=""),"",F1543+G1543)</f>
        <v/>
      </c>
      <c r="I1543" s="31" t="str">
        <f>IF(OR(B1543="",C1543=""),"",IFERROR(E1543*IF(E1543="",0,VLOOKUP(C1543,'📦 Precios Proforma'!$B$5:$D$104,IF(D1543="DIA",2,3),FALSE)),0))</f>
        <v/>
      </c>
      <c r="J1543" s="31" t="str">
        <f t="shared" ref="J1543:J1606" si="169">IF(OR(B1543="",C1543=""),"",IF(D1543="DIA",H1543*1.01,H1543*1.35))</f>
        <v/>
      </c>
      <c r="K1543" s="31" t="str">
        <f t="shared" ref="K1543:K1606" si="170">IF(OR(B1543="",C1543=""),"",I1543+J1543)</f>
        <v/>
      </c>
      <c r="L1543" s="31" t="str">
        <f>IF(OR(B1543="",C1543=""),"",IFERROR(E1543 / SUMIFS('📅 Resumen Diario'!$D$5:$D$504, '📅 Resumen Diario'!$B$5:$B$504, B1543, '📅 Resumen Diario'!$C$5:$C$504, D1543) * SUMIFS('📅 Resumen Diario'!$K$5:$K$504, '📅 Resumen Diario'!$B$5:$B$504, B1543, '📅 Resumen Diario'!$C$5:$C$504, D1543), 0))</f>
        <v/>
      </c>
      <c r="M1543" s="31" t="str">
        <f t="shared" ref="M1543:M1606" si="171">IF(OR(B1543="",C1543=""),"",H1543*0.09)</f>
        <v/>
      </c>
      <c r="N1543" s="31" t="str">
        <f t="shared" ref="N1543:N1606" si="172">IF(OR(B1543="",C1543=""),"",L1543+M1543)</f>
        <v/>
      </c>
      <c r="O1543" s="31" t="str">
        <f>IF(OR(B1543="",C1543=""),"",K1543-N1543 + IFERROR(E1543 / SUMIFS('📅 Resumen Diario'!$D$5:$D$504, '📅 Resumen Diario'!$B$5:$B$504, B1543, '📅 Resumen Diario'!$C$5:$C$504, D1543) * (SUMIFS('📋 Detalle Diario'!$E$5:$E$489, '📋 Detalle Diario'!$B$5:$B$489, B1543, '📋 Detalle Diario'!$C$5:$C$489, D1543) * 135 + SUMIFS('📋 Detalle Diario'!$I$5:$I$489, '📋 Detalle Diario'!$B$5:$B$489, B1543, '📋 Detalle Diario'!$C$5:$C$489, D1543) * 200), 0))</f>
        <v/>
      </c>
      <c r="P1543" s="32" t="str">
        <f t="shared" ref="P1543:P1606" si="173">IF(OR(B1543="",C1543=""),"",IF(K1543=0, 0, O1543/K1543))</f>
        <v/>
      </c>
      <c r="Q1543" s="33" t="str">
        <f t="shared" ref="Q1543:Q1606" si="174">IF(B1543="","",IF(ISNUMBER(B1543),YEAR(B1543)&amp;"-"&amp;IF(MONTH(B1543)&lt;10,"0","")&amp;MONTH(B1543),LEFT(B1543,7)))</f>
        <v/>
      </c>
    </row>
    <row r="1544" spans="2:17" ht="18" customHeight="1" x14ac:dyDescent="0.3">
      <c r="B1544" s="26"/>
      <c r="C1544" s="17"/>
      <c r="D1544" s="27"/>
      <c r="E1544" s="18"/>
      <c r="F1544" s="18"/>
      <c r="G1544" s="18"/>
      <c r="H1544" s="30" t="str">
        <f t="shared" si="168"/>
        <v/>
      </c>
      <c r="I1544" s="31" t="str">
        <f>IF(OR(B1544="",C1544=""),"",IFERROR(E1544*IF(E1544="",0,VLOOKUP(C1544,'📦 Precios Proforma'!$B$5:$D$104,IF(D1544="DIA",2,3),FALSE)),0))</f>
        <v/>
      </c>
      <c r="J1544" s="31" t="str">
        <f t="shared" si="169"/>
        <v/>
      </c>
      <c r="K1544" s="31" t="str">
        <f t="shared" si="170"/>
        <v/>
      </c>
      <c r="L1544" s="31" t="str">
        <f>IF(OR(B1544="",C1544=""),"",IFERROR(E1544 / SUMIFS('📅 Resumen Diario'!$D$5:$D$504, '📅 Resumen Diario'!$B$5:$B$504, B1544, '📅 Resumen Diario'!$C$5:$C$504, D1544) * SUMIFS('📅 Resumen Diario'!$K$5:$K$504, '📅 Resumen Diario'!$B$5:$B$504, B1544, '📅 Resumen Diario'!$C$5:$C$504, D1544), 0))</f>
        <v/>
      </c>
      <c r="M1544" s="31" t="str">
        <f t="shared" si="171"/>
        <v/>
      </c>
      <c r="N1544" s="31" t="str">
        <f t="shared" si="172"/>
        <v/>
      </c>
      <c r="O1544" s="31" t="str">
        <f>IF(OR(B1544="",C1544=""),"",K1544-N1544 + IFERROR(E1544 / SUMIFS('📅 Resumen Diario'!$D$5:$D$504, '📅 Resumen Diario'!$B$5:$B$504, B1544, '📅 Resumen Diario'!$C$5:$C$504, D1544) * (SUMIFS('📋 Detalle Diario'!$E$5:$E$489, '📋 Detalle Diario'!$B$5:$B$489, B1544, '📋 Detalle Diario'!$C$5:$C$489, D1544) * 135 + SUMIFS('📋 Detalle Diario'!$I$5:$I$489, '📋 Detalle Diario'!$B$5:$B$489, B1544, '📋 Detalle Diario'!$C$5:$C$489, D1544) * 200), 0))</f>
        <v/>
      </c>
      <c r="P1544" s="32" t="str">
        <f t="shared" si="173"/>
        <v/>
      </c>
      <c r="Q1544" s="33" t="str">
        <f t="shared" si="174"/>
        <v/>
      </c>
    </row>
    <row r="1545" spans="2:17" ht="18" customHeight="1" x14ac:dyDescent="0.3">
      <c r="B1545" s="26"/>
      <c r="C1545" s="28"/>
      <c r="D1545" s="27"/>
      <c r="E1545" s="29"/>
      <c r="F1545" s="29"/>
      <c r="G1545" s="29"/>
      <c r="H1545" s="30" t="str">
        <f t="shared" si="168"/>
        <v/>
      </c>
      <c r="I1545" s="31" t="str">
        <f>IF(OR(B1545="",C1545=""),"",IFERROR(E1545*IF(E1545="",0,VLOOKUP(C1545,'📦 Precios Proforma'!$B$5:$D$104,IF(D1545="DIA",2,3),FALSE)),0))</f>
        <v/>
      </c>
      <c r="J1545" s="31" t="str">
        <f t="shared" si="169"/>
        <v/>
      </c>
      <c r="K1545" s="31" t="str">
        <f t="shared" si="170"/>
        <v/>
      </c>
      <c r="L1545" s="31" t="str">
        <f>IF(OR(B1545="",C1545=""),"",IFERROR(E1545 / SUMIFS('📅 Resumen Diario'!$D$5:$D$504, '📅 Resumen Diario'!$B$5:$B$504, B1545, '📅 Resumen Diario'!$C$5:$C$504, D1545) * SUMIFS('📅 Resumen Diario'!$K$5:$K$504, '📅 Resumen Diario'!$B$5:$B$504, B1545, '📅 Resumen Diario'!$C$5:$C$504, D1545), 0))</f>
        <v/>
      </c>
      <c r="M1545" s="31" t="str">
        <f t="shared" si="171"/>
        <v/>
      </c>
      <c r="N1545" s="31" t="str">
        <f t="shared" si="172"/>
        <v/>
      </c>
      <c r="O1545" s="31" t="str">
        <f>IF(OR(B1545="",C1545=""),"",K1545-N1545 + IFERROR(E1545 / SUMIFS('📅 Resumen Diario'!$D$5:$D$504, '📅 Resumen Diario'!$B$5:$B$504, B1545, '📅 Resumen Diario'!$C$5:$C$504, D1545) * (SUMIFS('📋 Detalle Diario'!$E$5:$E$489, '📋 Detalle Diario'!$B$5:$B$489, B1545, '📋 Detalle Diario'!$C$5:$C$489, D1545) * 135 + SUMIFS('📋 Detalle Diario'!$I$5:$I$489, '📋 Detalle Diario'!$B$5:$B$489, B1545, '📋 Detalle Diario'!$C$5:$C$489, D1545) * 200), 0))</f>
        <v/>
      </c>
      <c r="P1545" s="32" t="str">
        <f t="shared" si="173"/>
        <v/>
      </c>
      <c r="Q1545" s="33" t="str">
        <f t="shared" si="174"/>
        <v/>
      </c>
    </row>
    <row r="1546" spans="2:17" ht="18" customHeight="1" x14ac:dyDescent="0.3">
      <c r="B1546" s="26"/>
      <c r="C1546" s="17"/>
      <c r="D1546" s="27"/>
      <c r="E1546" s="18"/>
      <c r="F1546" s="18"/>
      <c r="G1546" s="18"/>
      <c r="H1546" s="30" t="str">
        <f t="shared" si="168"/>
        <v/>
      </c>
      <c r="I1546" s="31" t="str">
        <f>IF(OR(B1546="",C1546=""),"",IFERROR(E1546*IF(E1546="",0,VLOOKUP(C1546,'📦 Precios Proforma'!$B$5:$D$104,IF(D1546="DIA",2,3),FALSE)),0))</f>
        <v/>
      </c>
      <c r="J1546" s="31" t="str">
        <f t="shared" si="169"/>
        <v/>
      </c>
      <c r="K1546" s="31" t="str">
        <f t="shared" si="170"/>
        <v/>
      </c>
      <c r="L1546" s="31" t="str">
        <f>IF(OR(B1546="",C1546=""),"",IFERROR(E1546 / SUMIFS('📅 Resumen Diario'!$D$5:$D$504, '📅 Resumen Diario'!$B$5:$B$504, B1546, '📅 Resumen Diario'!$C$5:$C$504, D1546) * SUMIFS('📅 Resumen Diario'!$K$5:$K$504, '📅 Resumen Diario'!$B$5:$B$504, B1546, '📅 Resumen Diario'!$C$5:$C$504, D1546), 0))</f>
        <v/>
      </c>
      <c r="M1546" s="31" t="str">
        <f t="shared" si="171"/>
        <v/>
      </c>
      <c r="N1546" s="31" t="str">
        <f t="shared" si="172"/>
        <v/>
      </c>
      <c r="O1546" s="31" t="str">
        <f>IF(OR(B1546="",C1546=""),"",K1546-N1546 + IFERROR(E1546 / SUMIFS('📅 Resumen Diario'!$D$5:$D$504, '📅 Resumen Diario'!$B$5:$B$504, B1546, '📅 Resumen Diario'!$C$5:$C$504, D1546) * (SUMIFS('📋 Detalle Diario'!$E$5:$E$489, '📋 Detalle Diario'!$B$5:$B$489, B1546, '📋 Detalle Diario'!$C$5:$C$489, D1546) * 135 + SUMIFS('📋 Detalle Diario'!$I$5:$I$489, '📋 Detalle Diario'!$B$5:$B$489, B1546, '📋 Detalle Diario'!$C$5:$C$489, D1546) * 200), 0))</f>
        <v/>
      </c>
      <c r="P1546" s="32" t="str">
        <f t="shared" si="173"/>
        <v/>
      </c>
      <c r="Q1546" s="33" t="str">
        <f t="shared" si="174"/>
        <v/>
      </c>
    </row>
    <row r="1547" spans="2:17" ht="18" customHeight="1" x14ac:dyDescent="0.3">
      <c r="B1547" s="26"/>
      <c r="C1547" s="28"/>
      <c r="D1547" s="27"/>
      <c r="E1547" s="29"/>
      <c r="F1547" s="29"/>
      <c r="G1547" s="29"/>
      <c r="H1547" s="30" t="str">
        <f t="shared" si="168"/>
        <v/>
      </c>
      <c r="I1547" s="31" t="str">
        <f>IF(OR(B1547="",C1547=""),"",IFERROR(E1547*IF(E1547="",0,VLOOKUP(C1547,'📦 Precios Proforma'!$B$5:$D$104,IF(D1547="DIA",2,3),FALSE)),0))</f>
        <v/>
      </c>
      <c r="J1547" s="31" t="str">
        <f t="shared" si="169"/>
        <v/>
      </c>
      <c r="K1547" s="31" t="str">
        <f t="shared" si="170"/>
        <v/>
      </c>
      <c r="L1547" s="31" t="str">
        <f>IF(OR(B1547="",C1547=""),"",IFERROR(E1547 / SUMIFS('📅 Resumen Diario'!$D$5:$D$504, '📅 Resumen Diario'!$B$5:$B$504, B1547, '📅 Resumen Diario'!$C$5:$C$504, D1547) * SUMIFS('📅 Resumen Diario'!$K$5:$K$504, '📅 Resumen Diario'!$B$5:$B$504, B1547, '📅 Resumen Diario'!$C$5:$C$504, D1547), 0))</f>
        <v/>
      </c>
      <c r="M1547" s="31" t="str">
        <f t="shared" si="171"/>
        <v/>
      </c>
      <c r="N1547" s="31" t="str">
        <f t="shared" si="172"/>
        <v/>
      </c>
      <c r="O1547" s="31" t="str">
        <f>IF(OR(B1547="",C1547=""),"",K1547-N1547 + IFERROR(E1547 / SUMIFS('📅 Resumen Diario'!$D$5:$D$504, '📅 Resumen Diario'!$B$5:$B$504, B1547, '📅 Resumen Diario'!$C$5:$C$504, D1547) * (SUMIFS('📋 Detalle Diario'!$E$5:$E$489, '📋 Detalle Diario'!$B$5:$B$489, B1547, '📋 Detalle Diario'!$C$5:$C$489, D1547) * 135 + SUMIFS('📋 Detalle Diario'!$I$5:$I$489, '📋 Detalle Diario'!$B$5:$B$489, B1547, '📋 Detalle Diario'!$C$5:$C$489, D1547) * 200), 0))</f>
        <v/>
      </c>
      <c r="P1547" s="32" t="str">
        <f t="shared" si="173"/>
        <v/>
      </c>
      <c r="Q1547" s="33" t="str">
        <f t="shared" si="174"/>
        <v/>
      </c>
    </row>
    <row r="1548" spans="2:17" ht="18" customHeight="1" x14ac:dyDescent="0.3">
      <c r="B1548" s="26"/>
      <c r="C1548" s="17"/>
      <c r="D1548" s="27"/>
      <c r="E1548" s="18"/>
      <c r="F1548" s="18"/>
      <c r="G1548" s="18"/>
      <c r="H1548" s="30" t="str">
        <f t="shared" si="168"/>
        <v/>
      </c>
      <c r="I1548" s="31" t="str">
        <f>IF(OR(B1548="",C1548=""),"",IFERROR(E1548*IF(E1548="",0,VLOOKUP(C1548,'📦 Precios Proforma'!$B$5:$D$104,IF(D1548="DIA",2,3),FALSE)),0))</f>
        <v/>
      </c>
      <c r="J1548" s="31" t="str">
        <f t="shared" si="169"/>
        <v/>
      </c>
      <c r="K1548" s="31" t="str">
        <f t="shared" si="170"/>
        <v/>
      </c>
      <c r="L1548" s="31" t="str">
        <f>IF(OR(B1548="",C1548=""),"",IFERROR(E1548 / SUMIFS('📅 Resumen Diario'!$D$5:$D$504, '📅 Resumen Diario'!$B$5:$B$504, B1548, '📅 Resumen Diario'!$C$5:$C$504, D1548) * SUMIFS('📅 Resumen Diario'!$K$5:$K$504, '📅 Resumen Diario'!$B$5:$B$504, B1548, '📅 Resumen Diario'!$C$5:$C$504, D1548), 0))</f>
        <v/>
      </c>
      <c r="M1548" s="31" t="str">
        <f t="shared" si="171"/>
        <v/>
      </c>
      <c r="N1548" s="31" t="str">
        <f t="shared" si="172"/>
        <v/>
      </c>
      <c r="O1548" s="31" t="str">
        <f>IF(OR(B1548="",C1548=""),"",K1548-N1548 + IFERROR(E1548 / SUMIFS('📅 Resumen Diario'!$D$5:$D$504, '📅 Resumen Diario'!$B$5:$B$504, B1548, '📅 Resumen Diario'!$C$5:$C$504, D1548) * (SUMIFS('📋 Detalle Diario'!$E$5:$E$489, '📋 Detalle Diario'!$B$5:$B$489, B1548, '📋 Detalle Diario'!$C$5:$C$489, D1548) * 135 + SUMIFS('📋 Detalle Diario'!$I$5:$I$489, '📋 Detalle Diario'!$B$5:$B$489, B1548, '📋 Detalle Diario'!$C$5:$C$489, D1548) * 200), 0))</f>
        <v/>
      </c>
      <c r="P1548" s="32" t="str">
        <f t="shared" si="173"/>
        <v/>
      </c>
      <c r="Q1548" s="33" t="str">
        <f t="shared" si="174"/>
        <v/>
      </c>
    </row>
    <row r="1549" spans="2:17" ht="18" customHeight="1" x14ac:dyDescent="0.3">
      <c r="B1549" s="26"/>
      <c r="C1549" s="28"/>
      <c r="D1549" s="27"/>
      <c r="E1549" s="29"/>
      <c r="F1549" s="29"/>
      <c r="G1549" s="29"/>
      <c r="H1549" s="30" t="str">
        <f t="shared" si="168"/>
        <v/>
      </c>
      <c r="I1549" s="31" t="str">
        <f>IF(OR(B1549="",C1549=""),"",IFERROR(E1549*IF(E1549="",0,VLOOKUP(C1549,'📦 Precios Proforma'!$B$5:$D$104,IF(D1549="DIA",2,3),FALSE)),0))</f>
        <v/>
      </c>
      <c r="J1549" s="31" t="str">
        <f t="shared" si="169"/>
        <v/>
      </c>
      <c r="K1549" s="31" t="str">
        <f t="shared" si="170"/>
        <v/>
      </c>
      <c r="L1549" s="31" t="str">
        <f>IF(OR(B1549="",C1549=""),"",IFERROR(E1549 / SUMIFS('📅 Resumen Diario'!$D$5:$D$504, '📅 Resumen Diario'!$B$5:$B$504, B1549, '📅 Resumen Diario'!$C$5:$C$504, D1549) * SUMIFS('📅 Resumen Diario'!$K$5:$K$504, '📅 Resumen Diario'!$B$5:$B$504, B1549, '📅 Resumen Diario'!$C$5:$C$504, D1549), 0))</f>
        <v/>
      </c>
      <c r="M1549" s="31" t="str">
        <f t="shared" si="171"/>
        <v/>
      </c>
      <c r="N1549" s="31" t="str">
        <f t="shared" si="172"/>
        <v/>
      </c>
      <c r="O1549" s="31" t="str">
        <f>IF(OR(B1549="",C1549=""),"",K1549-N1549 + IFERROR(E1549 / SUMIFS('📅 Resumen Diario'!$D$5:$D$504, '📅 Resumen Diario'!$B$5:$B$504, B1549, '📅 Resumen Diario'!$C$5:$C$504, D1549) * (SUMIFS('📋 Detalle Diario'!$E$5:$E$489, '📋 Detalle Diario'!$B$5:$B$489, B1549, '📋 Detalle Diario'!$C$5:$C$489, D1549) * 135 + SUMIFS('📋 Detalle Diario'!$I$5:$I$489, '📋 Detalle Diario'!$B$5:$B$489, B1549, '📋 Detalle Diario'!$C$5:$C$489, D1549) * 200), 0))</f>
        <v/>
      </c>
      <c r="P1549" s="32" t="str">
        <f t="shared" si="173"/>
        <v/>
      </c>
      <c r="Q1549" s="33" t="str">
        <f t="shared" si="174"/>
        <v/>
      </c>
    </row>
    <row r="1550" spans="2:17" ht="18" customHeight="1" x14ac:dyDescent="0.3">
      <c r="B1550" s="26"/>
      <c r="C1550" s="17"/>
      <c r="D1550" s="27"/>
      <c r="E1550" s="18"/>
      <c r="F1550" s="18"/>
      <c r="G1550" s="18"/>
      <c r="H1550" s="30" t="str">
        <f t="shared" si="168"/>
        <v/>
      </c>
      <c r="I1550" s="31" t="str">
        <f>IF(OR(B1550="",C1550=""),"",IFERROR(E1550*IF(E1550="",0,VLOOKUP(C1550,'📦 Precios Proforma'!$B$5:$D$104,IF(D1550="DIA",2,3),FALSE)),0))</f>
        <v/>
      </c>
      <c r="J1550" s="31" t="str">
        <f t="shared" si="169"/>
        <v/>
      </c>
      <c r="K1550" s="31" t="str">
        <f t="shared" si="170"/>
        <v/>
      </c>
      <c r="L1550" s="31" t="str">
        <f>IF(OR(B1550="",C1550=""),"",IFERROR(E1550 / SUMIFS('📅 Resumen Diario'!$D$5:$D$504, '📅 Resumen Diario'!$B$5:$B$504, B1550, '📅 Resumen Diario'!$C$5:$C$504, D1550) * SUMIFS('📅 Resumen Diario'!$K$5:$K$504, '📅 Resumen Diario'!$B$5:$B$504, B1550, '📅 Resumen Diario'!$C$5:$C$504, D1550), 0))</f>
        <v/>
      </c>
      <c r="M1550" s="31" t="str">
        <f t="shared" si="171"/>
        <v/>
      </c>
      <c r="N1550" s="31" t="str">
        <f t="shared" si="172"/>
        <v/>
      </c>
      <c r="O1550" s="31" t="str">
        <f>IF(OR(B1550="",C1550=""),"",K1550-N1550 + IFERROR(E1550 / SUMIFS('📅 Resumen Diario'!$D$5:$D$504, '📅 Resumen Diario'!$B$5:$B$504, B1550, '📅 Resumen Diario'!$C$5:$C$504, D1550) * (SUMIFS('📋 Detalle Diario'!$E$5:$E$489, '📋 Detalle Diario'!$B$5:$B$489, B1550, '📋 Detalle Diario'!$C$5:$C$489, D1550) * 135 + SUMIFS('📋 Detalle Diario'!$I$5:$I$489, '📋 Detalle Diario'!$B$5:$B$489, B1550, '📋 Detalle Diario'!$C$5:$C$489, D1550) * 200), 0))</f>
        <v/>
      </c>
      <c r="P1550" s="32" t="str">
        <f t="shared" si="173"/>
        <v/>
      </c>
      <c r="Q1550" s="33" t="str">
        <f t="shared" si="174"/>
        <v/>
      </c>
    </row>
    <row r="1551" spans="2:17" ht="18" customHeight="1" x14ac:dyDescent="0.3">
      <c r="B1551" s="26"/>
      <c r="C1551" s="28"/>
      <c r="D1551" s="27"/>
      <c r="E1551" s="29"/>
      <c r="F1551" s="29"/>
      <c r="G1551" s="29"/>
      <c r="H1551" s="30" t="str">
        <f t="shared" si="168"/>
        <v/>
      </c>
      <c r="I1551" s="31" t="str">
        <f>IF(OR(B1551="",C1551=""),"",IFERROR(E1551*IF(E1551="",0,VLOOKUP(C1551,'📦 Precios Proforma'!$B$5:$D$104,IF(D1551="DIA",2,3),FALSE)),0))</f>
        <v/>
      </c>
      <c r="J1551" s="31" t="str">
        <f t="shared" si="169"/>
        <v/>
      </c>
      <c r="K1551" s="31" t="str">
        <f t="shared" si="170"/>
        <v/>
      </c>
      <c r="L1551" s="31" t="str">
        <f>IF(OR(B1551="",C1551=""),"",IFERROR(E1551 / SUMIFS('📅 Resumen Diario'!$D$5:$D$504, '📅 Resumen Diario'!$B$5:$B$504, B1551, '📅 Resumen Diario'!$C$5:$C$504, D1551) * SUMIFS('📅 Resumen Diario'!$K$5:$K$504, '📅 Resumen Diario'!$B$5:$B$504, B1551, '📅 Resumen Diario'!$C$5:$C$504, D1551), 0))</f>
        <v/>
      </c>
      <c r="M1551" s="31" t="str">
        <f t="shared" si="171"/>
        <v/>
      </c>
      <c r="N1551" s="31" t="str">
        <f t="shared" si="172"/>
        <v/>
      </c>
      <c r="O1551" s="31" t="str">
        <f>IF(OR(B1551="",C1551=""),"",K1551-N1551 + IFERROR(E1551 / SUMIFS('📅 Resumen Diario'!$D$5:$D$504, '📅 Resumen Diario'!$B$5:$B$504, B1551, '📅 Resumen Diario'!$C$5:$C$504, D1551) * (SUMIFS('📋 Detalle Diario'!$E$5:$E$489, '📋 Detalle Diario'!$B$5:$B$489, B1551, '📋 Detalle Diario'!$C$5:$C$489, D1551) * 135 + SUMIFS('📋 Detalle Diario'!$I$5:$I$489, '📋 Detalle Diario'!$B$5:$B$489, B1551, '📋 Detalle Diario'!$C$5:$C$489, D1551) * 200), 0))</f>
        <v/>
      </c>
      <c r="P1551" s="32" t="str">
        <f t="shared" si="173"/>
        <v/>
      </c>
      <c r="Q1551" s="33" t="str">
        <f t="shared" si="174"/>
        <v/>
      </c>
    </row>
    <row r="1552" spans="2:17" ht="18" customHeight="1" x14ac:dyDescent="0.3">
      <c r="B1552" s="26"/>
      <c r="C1552" s="17"/>
      <c r="D1552" s="27"/>
      <c r="E1552" s="18"/>
      <c r="F1552" s="18"/>
      <c r="G1552" s="18"/>
      <c r="H1552" s="30" t="str">
        <f t="shared" si="168"/>
        <v/>
      </c>
      <c r="I1552" s="31" t="str">
        <f>IF(OR(B1552="",C1552=""),"",IFERROR(E1552*IF(E1552="",0,VLOOKUP(C1552,'📦 Precios Proforma'!$B$5:$D$104,IF(D1552="DIA",2,3),FALSE)),0))</f>
        <v/>
      </c>
      <c r="J1552" s="31" t="str">
        <f t="shared" si="169"/>
        <v/>
      </c>
      <c r="K1552" s="31" t="str">
        <f t="shared" si="170"/>
        <v/>
      </c>
      <c r="L1552" s="31" t="str">
        <f>IF(OR(B1552="",C1552=""),"",IFERROR(E1552 / SUMIFS('📅 Resumen Diario'!$D$5:$D$504, '📅 Resumen Diario'!$B$5:$B$504, B1552, '📅 Resumen Diario'!$C$5:$C$504, D1552) * SUMIFS('📅 Resumen Diario'!$K$5:$K$504, '📅 Resumen Diario'!$B$5:$B$504, B1552, '📅 Resumen Diario'!$C$5:$C$504, D1552), 0))</f>
        <v/>
      </c>
      <c r="M1552" s="31" t="str">
        <f t="shared" si="171"/>
        <v/>
      </c>
      <c r="N1552" s="31" t="str">
        <f t="shared" si="172"/>
        <v/>
      </c>
      <c r="O1552" s="31" t="str">
        <f>IF(OR(B1552="",C1552=""),"",K1552-N1552 + IFERROR(E1552 / SUMIFS('📅 Resumen Diario'!$D$5:$D$504, '📅 Resumen Diario'!$B$5:$B$504, B1552, '📅 Resumen Diario'!$C$5:$C$504, D1552) * (SUMIFS('📋 Detalle Diario'!$E$5:$E$489, '📋 Detalle Diario'!$B$5:$B$489, B1552, '📋 Detalle Diario'!$C$5:$C$489, D1552) * 135 + SUMIFS('📋 Detalle Diario'!$I$5:$I$489, '📋 Detalle Diario'!$B$5:$B$489, B1552, '📋 Detalle Diario'!$C$5:$C$489, D1552) * 200), 0))</f>
        <v/>
      </c>
      <c r="P1552" s="32" t="str">
        <f t="shared" si="173"/>
        <v/>
      </c>
      <c r="Q1552" s="33" t="str">
        <f t="shared" si="174"/>
        <v/>
      </c>
    </row>
    <row r="1553" spans="2:17" ht="18" customHeight="1" x14ac:dyDescent="0.3">
      <c r="B1553" s="26"/>
      <c r="C1553" s="28"/>
      <c r="D1553" s="27"/>
      <c r="E1553" s="29"/>
      <c r="F1553" s="29"/>
      <c r="G1553" s="29"/>
      <c r="H1553" s="30" t="str">
        <f t="shared" si="168"/>
        <v/>
      </c>
      <c r="I1553" s="31" t="str">
        <f>IF(OR(B1553="",C1553=""),"",IFERROR(E1553*IF(E1553="",0,VLOOKUP(C1553,'📦 Precios Proforma'!$B$5:$D$104,IF(D1553="DIA",2,3),FALSE)),0))</f>
        <v/>
      </c>
      <c r="J1553" s="31" t="str">
        <f t="shared" si="169"/>
        <v/>
      </c>
      <c r="K1553" s="31" t="str">
        <f t="shared" si="170"/>
        <v/>
      </c>
      <c r="L1553" s="31" t="str">
        <f>IF(OR(B1553="",C1553=""),"",IFERROR(E1553 / SUMIFS('📅 Resumen Diario'!$D$5:$D$504, '📅 Resumen Diario'!$B$5:$B$504, B1553, '📅 Resumen Diario'!$C$5:$C$504, D1553) * SUMIFS('📅 Resumen Diario'!$K$5:$K$504, '📅 Resumen Diario'!$B$5:$B$504, B1553, '📅 Resumen Diario'!$C$5:$C$504, D1553), 0))</f>
        <v/>
      </c>
      <c r="M1553" s="31" t="str">
        <f t="shared" si="171"/>
        <v/>
      </c>
      <c r="N1553" s="31" t="str">
        <f t="shared" si="172"/>
        <v/>
      </c>
      <c r="O1553" s="31" t="str">
        <f>IF(OR(B1553="",C1553=""),"",K1553-N1553 + IFERROR(E1553 / SUMIFS('📅 Resumen Diario'!$D$5:$D$504, '📅 Resumen Diario'!$B$5:$B$504, B1553, '📅 Resumen Diario'!$C$5:$C$504, D1553) * (SUMIFS('📋 Detalle Diario'!$E$5:$E$489, '📋 Detalle Diario'!$B$5:$B$489, B1553, '📋 Detalle Diario'!$C$5:$C$489, D1553) * 135 + SUMIFS('📋 Detalle Diario'!$I$5:$I$489, '📋 Detalle Diario'!$B$5:$B$489, B1553, '📋 Detalle Diario'!$C$5:$C$489, D1553) * 200), 0))</f>
        <v/>
      </c>
      <c r="P1553" s="32" t="str">
        <f t="shared" si="173"/>
        <v/>
      </c>
      <c r="Q1553" s="33" t="str">
        <f t="shared" si="174"/>
        <v/>
      </c>
    </row>
    <row r="1554" spans="2:17" ht="18" customHeight="1" x14ac:dyDescent="0.3">
      <c r="B1554" s="26"/>
      <c r="C1554" s="17"/>
      <c r="D1554" s="27"/>
      <c r="E1554" s="18"/>
      <c r="F1554" s="18"/>
      <c r="G1554" s="18"/>
      <c r="H1554" s="30" t="str">
        <f t="shared" si="168"/>
        <v/>
      </c>
      <c r="I1554" s="31" t="str">
        <f>IF(OR(B1554="",C1554=""),"",IFERROR(E1554*IF(E1554="",0,VLOOKUP(C1554,'📦 Precios Proforma'!$B$5:$D$104,IF(D1554="DIA",2,3),FALSE)),0))</f>
        <v/>
      </c>
      <c r="J1554" s="31" t="str">
        <f t="shared" si="169"/>
        <v/>
      </c>
      <c r="K1554" s="31" t="str">
        <f t="shared" si="170"/>
        <v/>
      </c>
      <c r="L1554" s="31" t="str">
        <f>IF(OR(B1554="",C1554=""),"",IFERROR(E1554 / SUMIFS('📅 Resumen Diario'!$D$5:$D$504, '📅 Resumen Diario'!$B$5:$B$504, B1554, '📅 Resumen Diario'!$C$5:$C$504, D1554) * SUMIFS('📅 Resumen Diario'!$K$5:$K$504, '📅 Resumen Diario'!$B$5:$B$504, B1554, '📅 Resumen Diario'!$C$5:$C$504, D1554), 0))</f>
        <v/>
      </c>
      <c r="M1554" s="31" t="str">
        <f t="shared" si="171"/>
        <v/>
      </c>
      <c r="N1554" s="31" t="str">
        <f t="shared" si="172"/>
        <v/>
      </c>
      <c r="O1554" s="31" t="str">
        <f>IF(OR(B1554="",C1554=""),"",K1554-N1554 + IFERROR(E1554 / SUMIFS('📅 Resumen Diario'!$D$5:$D$504, '📅 Resumen Diario'!$B$5:$B$504, B1554, '📅 Resumen Diario'!$C$5:$C$504, D1554) * (SUMIFS('📋 Detalle Diario'!$E$5:$E$489, '📋 Detalle Diario'!$B$5:$B$489, B1554, '📋 Detalle Diario'!$C$5:$C$489, D1554) * 135 + SUMIFS('📋 Detalle Diario'!$I$5:$I$489, '📋 Detalle Diario'!$B$5:$B$489, B1554, '📋 Detalle Diario'!$C$5:$C$489, D1554) * 200), 0))</f>
        <v/>
      </c>
      <c r="P1554" s="32" t="str">
        <f t="shared" si="173"/>
        <v/>
      </c>
      <c r="Q1554" s="33" t="str">
        <f t="shared" si="174"/>
        <v/>
      </c>
    </row>
    <row r="1555" spans="2:17" ht="18" customHeight="1" x14ac:dyDescent="0.3">
      <c r="B1555" s="26"/>
      <c r="C1555" s="28"/>
      <c r="D1555" s="27"/>
      <c r="E1555" s="29"/>
      <c r="F1555" s="29"/>
      <c r="G1555" s="29"/>
      <c r="H1555" s="30" t="str">
        <f t="shared" si="168"/>
        <v/>
      </c>
      <c r="I1555" s="31" t="str">
        <f>IF(OR(B1555="",C1555=""),"",IFERROR(E1555*IF(E1555="",0,VLOOKUP(C1555,'📦 Precios Proforma'!$B$5:$D$104,IF(D1555="DIA",2,3),FALSE)),0))</f>
        <v/>
      </c>
      <c r="J1555" s="31" t="str">
        <f t="shared" si="169"/>
        <v/>
      </c>
      <c r="K1555" s="31" t="str">
        <f t="shared" si="170"/>
        <v/>
      </c>
      <c r="L1555" s="31" t="str">
        <f>IF(OR(B1555="",C1555=""),"",IFERROR(E1555 / SUMIFS('📅 Resumen Diario'!$D$5:$D$504, '📅 Resumen Diario'!$B$5:$B$504, B1555, '📅 Resumen Diario'!$C$5:$C$504, D1555) * SUMIFS('📅 Resumen Diario'!$K$5:$K$504, '📅 Resumen Diario'!$B$5:$B$504, B1555, '📅 Resumen Diario'!$C$5:$C$504, D1555), 0))</f>
        <v/>
      </c>
      <c r="M1555" s="31" t="str">
        <f t="shared" si="171"/>
        <v/>
      </c>
      <c r="N1555" s="31" t="str">
        <f t="shared" si="172"/>
        <v/>
      </c>
      <c r="O1555" s="31" t="str">
        <f>IF(OR(B1555="",C1555=""),"",K1555-N1555 + IFERROR(E1555 / SUMIFS('📅 Resumen Diario'!$D$5:$D$504, '📅 Resumen Diario'!$B$5:$B$504, B1555, '📅 Resumen Diario'!$C$5:$C$504, D1555) * (SUMIFS('📋 Detalle Diario'!$E$5:$E$489, '📋 Detalle Diario'!$B$5:$B$489, B1555, '📋 Detalle Diario'!$C$5:$C$489, D1555) * 135 + SUMIFS('📋 Detalle Diario'!$I$5:$I$489, '📋 Detalle Diario'!$B$5:$B$489, B1555, '📋 Detalle Diario'!$C$5:$C$489, D1555) * 200), 0))</f>
        <v/>
      </c>
      <c r="P1555" s="32" t="str">
        <f t="shared" si="173"/>
        <v/>
      </c>
      <c r="Q1555" s="33" t="str">
        <f t="shared" si="174"/>
        <v/>
      </c>
    </row>
    <row r="1556" spans="2:17" ht="18" customHeight="1" x14ac:dyDescent="0.3">
      <c r="B1556" s="26"/>
      <c r="C1556" s="17"/>
      <c r="D1556" s="27"/>
      <c r="E1556" s="18"/>
      <c r="F1556" s="18"/>
      <c r="G1556" s="18"/>
      <c r="H1556" s="30" t="str">
        <f t="shared" si="168"/>
        <v/>
      </c>
      <c r="I1556" s="31" t="str">
        <f>IF(OR(B1556="",C1556=""),"",IFERROR(E1556*IF(E1556="",0,VLOOKUP(C1556,'📦 Precios Proforma'!$B$5:$D$104,IF(D1556="DIA",2,3),FALSE)),0))</f>
        <v/>
      </c>
      <c r="J1556" s="31" t="str">
        <f t="shared" si="169"/>
        <v/>
      </c>
      <c r="K1556" s="31" t="str">
        <f t="shared" si="170"/>
        <v/>
      </c>
      <c r="L1556" s="31" t="str">
        <f>IF(OR(B1556="",C1556=""),"",IFERROR(E1556 / SUMIFS('📅 Resumen Diario'!$D$5:$D$504, '📅 Resumen Diario'!$B$5:$B$504, B1556, '📅 Resumen Diario'!$C$5:$C$504, D1556) * SUMIFS('📅 Resumen Diario'!$K$5:$K$504, '📅 Resumen Diario'!$B$5:$B$504, B1556, '📅 Resumen Diario'!$C$5:$C$504, D1556), 0))</f>
        <v/>
      </c>
      <c r="M1556" s="31" t="str">
        <f t="shared" si="171"/>
        <v/>
      </c>
      <c r="N1556" s="31" t="str">
        <f t="shared" si="172"/>
        <v/>
      </c>
      <c r="O1556" s="31" t="str">
        <f>IF(OR(B1556="",C1556=""),"",K1556-N1556 + IFERROR(E1556 / SUMIFS('📅 Resumen Diario'!$D$5:$D$504, '📅 Resumen Diario'!$B$5:$B$504, B1556, '📅 Resumen Diario'!$C$5:$C$504, D1556) * (SUMIFS('📋 Detalle Diario'!$E$5:$E$489, '📋 Detalle Diario'!$B$5:$B$489, B1556, '📋 Detalle Diario'!$C$5:$C$489, D1556) * 135 + SUMIFS('📋 Detalle Diario'!$I$5:$I$489, '📋 Detalle Diario'!$B$5:$B$489, B1556, '📋 Detalle Diario'!$C$5:$C$489, D1556) * 200), 0))</f>
        <v/>
      </c>
      <c r="P1556" s="32" t="str">
        <f t="shared" si="173"/>
        <v/>
      </c>
      <c r="Q1556" s="33" t="str">
        <f t="shared" si="174"/>
        <v/>
      </c>
    </row>
    <row r="1557" spans="2:17" ht="18" customHeight="1" x14ac:dyDescent="0.3">
      <c r="B1557" s="26"/>
      <c r="C1557" s="28"/>
      <c r="D1557" s="27"/>
      <c r="E1557" s="29"/>
      <c r="F1557" s="29"/>
      <c r="G1557" s="29"/>
      <c r="H1557" s="30" t="str">
        <f t="shared" si="168"/>
        <v/>
      </c>
      <c r="I1557" s="31" t="str">
        <f>IF(OR(B1557="",C1557=""),"",IFERROR(E1557*IF(E1557="",0,VLOOKUP(C1557,'📦 Precios Proforma'!$B$5:$D$104,IF(D1557="DIA",2,3),FALSE)),0))</f>
        <v/>
      </c>
      <c r="J1557" s="31" t="str">
        <f t="shared" si="169"/>
        <v/>
      </c>
      <c r="K1557" s="31" t="str">
        <f t="shared" si="170"/>
        <v/>
      </c>
      <c r="L1557" s="31" t="str">
        <f>IF(OR(B1557="",C1557=""),"",IFERROR(E1557 / SUMIFS('📅 Resumen Diario'!$D$5:$D$504, '📅 Resumen Diario'!$B$5:$B$504, B1557, '📅 Resumen Diario'!$C$5:$C$504, D1557) * SUMIFS('📅 Resumen Diario'!$K$5:$K$504, '📅 Resumen Diario'!$B$5:$B$504, B1557, '📅 Resumen Diario'!$C$5:$C$504, D1557), 0))</f>
        <v/>
      </c>
      <c r="M1557" s="31" t="str">
        <f t="shared" si="171"/>
        <v/>
      </c>
      <c r="N1557" s="31" t="str">
        <f t="shared" si="172"/>
        <v/>
      </c>
      <c r="O1557" s="31" t="str">
        <f>IF(OR(B1557="",C1557=""),"",K1557-N1557 + IFERROR(E1557 / SUMIFS('📅 Resumen Diario'!$D$5:$D$504, '📅 Resumen Diario'!$B$5:$B$504, B1557, '📅 Resumen Diario'!$C$5:$C$504, D1557) * (SUMIFS('📋 Detalle Diario'!$E$5:$E$489, '📋 Detalle Diario'!$B$5:$B$489, B1557, '📋 Detalle Diario'!$C$5:$C$489, D1557) * 135 + SUMIFS('📋 Detalle Diario'!$I$5:$I$489, '📋 Detalle Diario'!$B$5:$B$489, B1557, '📋 Detalle Diario'!$C$5:$C$489, D1557) * 200), 0))</f>
        <v/>
      </c>
      <c r="P1557" s="32" t="str">
        <f t="shared" si="173"/>
        <v/>
      </c>
      <c r="Q1557" s="33" t="str">
        <f t="shared" si="174"/>
        <v/>
      </c>
    </row>
    <row r="1558" spans="2:17" ht="18" customHeight="1" x14ac:dyDescent="0.3">
      <c r="B1558" s="26"/>
      <c r="C1558" s="17"/>
      <c r="D1558" s="27"/>
      <c r="E1558" s="18"/>
      <c r="F1558" s="18"/>
      <c r="G1558" s="18"/>
      <c r="H1558" s="30" t="str">
        <f t="shared" si="168"/>
        <v/>
      </c>
      <c r="I1558" s="31" t="str">
        <f>IF(OR(B1558="",C1558=""),"",IFERROR(E1558*IF(E1558="",0,VLOOKUP(C1558,'📦 Precios Proforma'!$B$5:$D$104,IF(D1558="DIA",2,3),FALSE)),0))</f>
        <v/>
      </c>
      <c r="J1558" s="31" t="str">
        <f t="shared" si="169"/>
        <v/>
      </c>
      <c r="K1558" s="31" t="str">
        <f t="shared" si="170"/>
        <v/>
      </c>
      <c r="L1558" s="31" t="str">
        <f>IF(OR(B1558="",C1558=""),"",IFERROR(E1558 / SUMIFS('📅 Resumen Diario'!$D$5:$D$504, '📅 Resumen Diario'!$B$5:$B$504, B1558, '📅 Resumen Diario'!$C$5:$C$504, D1558) * SUMIFS('📅 Resumen Diario'!$K$5:$K$504, '📅 Resumen Diario'!$B$5:$B$504, B1558, '📅 Resumen Diario'!$C$5:$C$504, D1558), 0))</f>
        <v/>
      </c>
      <c r="M1558" s="31" t="str">
        <f t="shared" si="171"/>
        <v/>
      </c>
      <c r="N1558" s="31" t="str">
        <f t="shared" si="172"/>
        <v/>
      </c>
      <c r="O1558" s="31" t="str">
        <f>IF(OR(B1558="",C1558=""),"",K1558-N1558 + IFERROR(E1558 / SUMIFS('📅 Resumen Diario'!$D$5:$D$504, '📅 Resumen Diario'!$B$5:$B$504, B1558, '📅 Resumen Diario'!$C$5:$C$504, D1558) * (SUMIFS('📋 Detalle Diario'!$E$5:$E$489, '📋 Detalle Diario'!$B$5:$B$489, B1558, '📋 Detalle Diario'!$C$5:$C$489, D1558) * 135 + SUMIFS('📋 Detalle Diario'!$I$5:$I$489, '📋 Detalle Diario'!$B$5:$B$489, B1558, '📋 Detalle Diario'!$C$5:$C$489, D1558) * 200), 0))</f>
        <v/>
      </c>
      <c r="P1558" s="32" t="str">
        <f t="shared" si="173"/>
        <v/>
      </c>
      <c r="Q1558" s="33" t="str">
        <f t="shared" si="174"/>
        <v/>
      </c>
    </row>
    <row r="1559" spans="2:17" ht="18" customHeight="1" x14ac:dyDescent="0.3">
      <c r="B1559" s="26"/>
      <c r="C1559" s="28"/>
      <c r="D1559" s="27"/>
      <c r="E1559" s="29"/>
      <c r="F1559" s="29"/>
      <c r="G1559" s="29"/>
      <c r="H1559" s="30" t="str">
        <f t="shared" si="168"/>
        <v/>
      </c>
      <c r="I1559" s="31" t="str">
        <f>IF(OR(B1559="",C1559=""),"",IFERROR(E1559*IF(E1559="",0,VLOOKUP(C1559,'📦 Precios Proforma'!$B$5:$D$104,IF(D1559="DIA",2,3),FALSE)),0))</f>
        <v/>
      </c>
      <c r="J1559" s="31" t="str">
        <f t="shared" si="169"/>
        <v/>
      </c>
      <c r="K1559" s="31" t="str">
        <f t="shared" si="170"/>
        <v/>
      </c>
      <c r="L1559" s="31" t="str">
        <f>IF(OR(B1559="",C1559=""),"",IFERROR(E1559 / SUMIFS('📅 Resumen Diario'!$D$5:$D$504, '📅 Resumen Diario'!$B$5:$B$504, B1559, '📅 Resumen Diario'!$C$5:$C$504, D1559) * SUMIFS('📅 Resumen Diario'!$K$5:$K$504, '📅 Resumen Diario'!$B$5:$B$504, B1559, '📅 Resumen Diario'!$C$5:$C$504, D1559), 0))</f>
        <v/>
      </c>
      <c r="M1559" s="31" t="str">
        <f t="shared" si="171"/>
        <v/>
      </c>
      <c r="N1559" s="31" t="str">
        <f t="shared" si="172"/>
        <v/>
      </c>
      <c r="O1559" s="31" t="str">
        <f>IF(OR(B1559="",C1559=""),"",K1559-N1559 + IFERROR(E1559 / SUMIFS('📅 Resumen Diario'!$D$5:$D$504, '📅 Resumen Diario'!$B$5:$B$504, B1559, '📅 Resumen Diario'!$C$5:$C$504, D1559) * (SUMIFS('📋 Detalle Diario'!$E$5:$E$489, '📋 Detalle Diario'!$B$5:$B$489, B1559, '📋 Detalle Diario'!$C$5:$C$489, D1559) * 135 + SUMIFS('📋 Detalle Diario'!$I$5:$I$489, '📋 Detalle Diario'!$B$5:$B$489, B1559, '📋 Detalle Diario'!$C$5:$C$489, D1559) * 200), 0))</f>
        <v/>
      </c>
      <c r="P1559" s="32" t="str">
        <f t="shared" si="173"/>
        <v/>
      </c>
      <c r="Q1559" s="33" t="str">
        <f t="shared" si="174"/>
        <v/>
      </c>
    </row>
    <row r="1560" spans="2:17" ht="18" customHeight="1" x14ac:dyDescent="0.3">
      <c r="B1560" s="26"/>
      <c r="C1560" s="17"/>
      <c r="D1560" s="27"/>
      <c r="E1560" s="18"/>
      <c r="F1560" s="18"/>
      <c r="G1560" s="18"/>
      <c r="H1560" s="30" t="str">
        <f t="shared" si="168"/>
        <v/>
      </c>
      <c r="I1560" s="31" t="str">
        <f>IF(OR(B1560="",C1560=""),"",IFERROR(E1560*IF(E1560="",0,VLOOKUP(C1560,'📦 Precios Proforma'!$B$5:$D$104,IF(D1560="DIA",2,3),FALSE)),0))</f>
        <v/>
      </c>
      <c r="J1560" s="31" t="str">
        <f t="shared" si="169"/>
        <v/>
      </c>
      <c r="K1560" s="31" t="str">
        <f t="shared" si="170"/>
        <v/>
      </c>
      <c r="L1560" s="31" t="str">
        <f>IF(OR(B1560="",C1560=""),"",IFERROR(E1560 / SUMIFS('📅 Resumen Diario'!$D$5:$D$504, '📅 Resumen Diario'!$B$5:$B$504, B1560, '📅 Resumen Diario'!$C$5:$C$504, D1560) * SUMIFS('📅 Resumen Diario'!$K$5:$K$504, '📅 Resumen Diario'!$B$5:$B$504, B1560, '📅 Resumen Diario'!$C$5:$C$504, D1560), 0))</f>
        <v/>
      </c>
      <c r="M1560" s="31" t="str">
        <f t="shared" si="171"/>
        <v/>
      </c>
      <c r="N1560" s="31" t="str">
        <f t="shared" si="172"/>
        <v/>
      </c>
      <c r="O1560" s="31" t="str">
        <f>IF(OR(B1560="",C1560=""),"",K1560-N1560 + IFERROR(E1560 / SUMIFS('📅 Resumen Diario'!$D$5:$D$504, '📅 Resumen Diario'!$B$5:$B$504, B1560, '📅 Resumen Diario'!$C$5:$C$504, D1560) * (SUMIFS('📋 Detalle Diario'!$E$5:$E$489, '📋 Detalle Diario'!$B$5:$B$489, B1560, '📋 Detalle Diario'!$C$5:$C$489, D1560) * 135 + SUMIFS('📋 Detalle Diario'!$I$5:$I$489, '📋 Detalle Diario'!$B$5:$B$489, B1560, '📋 Detalle Diario'!$C$5:$C$489, D1560) * 200), 0))</f>
        <v/>
      </c>
      <c r="P1560" s="32" t="str">
        <f t="shared" si="173"/>
        <v/>
      </c>
      <c r="Q1560" s="33" t="str">
        <f t="shared" si="174"/>
        <v/>
      </c>
    </row>
    <row r="1561" spans="2:17" ht="18" customHeight="1" x14ac:dyDescent="0.3">
      <c r="B1561" s="26"/>
      <c r="C1561" s="28"/>
      <c r="D1561" s="27"/>
      <c r="E1561" s="29"/>
      <c r="F1561" s="29"/>
      <c r="G1561" s="29"/>
      <c r="H1561" s="30" t="str">
        <f t="shared" si="168"/>
        <v/>
      </c>
      <c r="I1561" s="31" t="str">
        <f>IF(OR(B1561="",C1561=""),"",IFERROR(E1561*IF(E1561="",0,VLOOKUP(C1561,'📦 Precios Proforma'!$B$5:$D$104,IF(D1561="DIA",2,3),FALSE)),0))</f>
        <v/>
      </c>
      <c r="J1561" s="31" t="str">
        <f t="shared" si="169"/>
        <v/>
      </c>
      <c r="K1561" s="31" t="str">
        <f t="shared" si="170"/>
        <v/>
      </c>
      <c r="L1561" s="31" t="str">
        <f>IF(OR(B1561="",C1561=""),"",IFERROR(E1561 / SUMIFS('📅 Resumen Diario'!$D$5:$D$504, '📅 Resumen Diario'!$B$5:$B$504, B1561, '📅 Resumen Diario'!$C$5:$C$504, D1561) * SUMIFS('📅 Resumen Diario'!$K$5:$K$504, '📅 Resumen Diario'!$B$5:$B$504, B1561, '📅 Resumen Diario'!$C$5:$C$504, D1561), 0))</f>
        <v/>
      </c>
      <c r="M1561" s="31" t="str">
        <f t="shared" si="171"/>
        <v/>
      </c>
      <c r="N1561" s="31" t="str">
        <f t="shared" si="172"/>
        <v/>
      </c>
      <c r="O1561" s="31" t="str">
        <f>IF(OR(B1561="",C1561=""),"",K1561-N1561 + IFERROR(E1561 / SUMIFS('📅 Resumen Diario'!$D$5:$D$504, '📅 Resumen Diario'!$B$5:$B$504, B1561, '📅 Resumen Diario'!$C$5:$C$504, D1561) * (SUMIFS('📋 Detalle Diario'!$E$5:$E$489, '📋 Detalle Diario'!$B$5:$B$489, B1561, '📋 Detalle Diario'!$C$5:$C$489, D1561) * 135 + SUMIFS('📋 Detalle Diario'!$I$5:$I$489, '📋 Detalle Diario'!$B$5:$B$489, B1561, '📋 Detalle Diario'!$C$5:$C$489, D1561) * 200), 0))</f>
        <v/>
      </c>
      <c r="P1561" s="32" t="str">
        <f t="shared" si="173"/>
        <v/>
      </c>
      <c r="Q1561" s="33" t="str">
        <f t="shared" si="174"/>
        <v/>
      </c>
    </row>
    <row r="1562" spans="2:17" ht="18" customHeight="1" x14ac:dyDescent="0.3">
      <c r="B1562" s="26"/>
      <c r="C1562" s="17"/>
      <c r="D1562" s="27"/>
      <c r="E1562" s="18"/>
      <c r="F1562" s="18"/>
      <c r="G1562" s="18"/>
      <c r="H1562" s="30" t="str">
        <f t="shared" si="168"/>
        <v/>
      </c>
      <c r="I1562" s="31" t="str">
        <f>IF(OR(B1562="",C1562=""),"",IFERROR(E1562*IF(E1562="",0,VLOOKUP(C1562,'📦 Precios Proforma'!$B$5:$D$104,IF(D1562="DIA",2,3),FALSE)),0))</f>
        <v/>
      </c>
      <c r="J1562" s="31" t="str">
        <f t="shared" si="169"/>
        <v/>
      </c>
      <c r="K1562" s="31" t="str">
        <f t="shared" si="170"/>
        <v/>
      </c>
      <c r="L1562" s="31" t="str">
        <f>IF(OR(B1562="",C1562=""),"",IFERROR(E1562 / SUMIFS('📅 Resumen Diario'!$D$5:$D$504, '📅 Resumen Diario'!$B$5:$B$504, B1562, '📅 Resumen Diario'!$C$5:$C$504, D1562) * SUMIFS('📅 Resumen Diario'!$K$5:$K$504, '📅 Resumen Diario'!$B$5:$B$504, B1562, '📅 Resumen Diario'!$C$5:$C$504, D1562), 0))</f>
        <v/>
      </c>
      <c r="M1562" s="31" t="str">
        <f t="shared" si="171"/>
        <v/>
      </c>
      <c r="N1562" s="31" t="str">
        <f t="shared" si="172"/>
        <v/>
      </c>
      <c r="O1562" s="31" t="str">
        <f>IF(OR(B1562="",C1562=""),"",K1562-N1562 + IFERROR(E1562 / SUMIFS('📅 Resumen Diario'!$D$5:$D$504, '📅 Resumen Diario'!$B$5:$B$504, B1562, '📅 Resumen Diario'!$C$5:$C$504, D1562) * (SUMIFS('📋 Detalle Diario'!$E$5:$E$489, '📋 Detalle Diario'!$B$5:$B$489, B1562, '📋 Detalle Diario'!$C$5:$C$489, D1562) * 135 + SUMIFS('📋 Detalle Diario'!$I$5:$I$489, '📋 Detalle Diario'!$B$5:$B$489, B1562, '📋 Detalle Diario'!$C$5:$C$489, D1562) * 200), 0))</f>
        <v/>
      </c>
      <c r="P1562" s="32" t="str">
        <f t="shared" si="173"/>
        <v/>
      </c>
      <c r="Q1562" s="33" t="str">
        <f t="shared" si="174"/>
        <v/>
      </c>
    </row>
    <row r="1563" spans="2:17" ht="18" customHeight="1" x14ac:dyDescent="0.3">
      <c r="B1563" s="26"/>
      <c r="C1563" s="28"/>
      <c r="D1563" s="27"/>
      <c r="E1563" s="29"/>
      <c r="F1563" s="29"/>
      <c r="G1563" s="29"/>
      <c r="H1563" s="30" t="str">
        <f t="shared" si="168"/>
        <v/>
      </c>
      <c r="I1563" s="31" t="str">
        <f>IF(OR(B1563="",C1563=""),"",IFERROR(E1563*IF(E1563="",0,VLOOKUP(C1563,'📦 Precios Proforma'!$B$5:$D$104,IF(D1563="DIA",2,3),FALSE)),0))</f>
        <v/>
      </c>
      <c r="J1563" s="31" t="str">
        <f t="shared" si="169"/>
        <v/>
      </c>
      <c r="K1563" s="31" t="str">
        <f t="shared" si="170"/>
        <v/>
      </c>
      <c r="L1563" s="31" t="str">
        <f>IF(OR(B1563="",C1563=""),"",IFERROR(E1563 / SUMIFS('📅 Resumen Diario'!$D$5:$D$504, '📅 Resumen Diario'!$B$5:$B$504, B1563, '📅 Resumen Diario'!$C$5:$C$504, D1563) * SUMIFS('📅 Resumen Diario'!$K$5:$K$504, '📅 Resumen Diario'!$B$5:$B$504, B1563, '📅 Resumen Diario'!$C$5:$C$504, D1563), 0))</f>
        <v/>
      </c>
      <c r="M1563" s="31" t="str">
        <f t="shared" si="171"/>
        <v/>
      </c>
      <c r="N1563" s="31" t="str">
        <f t="shared" si="172"/>
        <v/>
      </c>
      <c r="O1563" s="31" t="str">
        <f>IF(OR(B1563="",C1563=""),"",K1563-N1563 + IFERROR(E1563 / SUMIFS('📅 Resumen Diario'!$D$5:$D$504, '📅 Resumen Diario'!$B$5:$B$504, B1563, '📅 Resumen Diario'!$C$5:$C$504, D1563) * (SUMIFS('📋 Detalle Diario'!$E$5:$E$489, '📋 Detalle Diario'!$B$5:$B$489, B1563, '📋 Detalle Diario'!$C$5:$C$489, D1563) * 135 + SUMIFS('📋 Detalle Diario'!$I$5:$I$489, '📋 Detalle Diario'!$B$5:$B$489, B1563, '📋 Detalle Diario'!$C$5:$C$489, D1563) * 200), 0))</f>
        <v/>
      </c>
      <c r="P1563" s="32" t="str">
        <f t="shared" si="173"/>
        <v/>
      </c>
      <c r="Q1563" s="33" t="str">
        <f t="shared" si="174"/>
        <v/>
      </c>
    </row>
    <row r="1564" spans="2:17" ht="18" customHeight="1" x14ac:dyDescent="0.3">
      <c r="B1564" s="26"/>
      <c r="C1564" s="17"/>
      <c r="D1564" s="27"/>
      <c r="E1564" s="18"/>
      <c r="F1564" s="18"/>
      <c r="G1564" s="18"/>
      <c r="H1564" s="30" t="str">
        <f t="shared" si="168"/>
        <v/>
      </c>
      <c r="I1564" s="31" t="str">
        <f>IF(OR(B1564="",C1564=""),"",IFERROR(E1564*IF(E1564="",0,VLOOKUP(C1564,'📦 Precios Proforma'!$B$5:$D$104,IF(D1564="DIA",2,3),FALSE)),0))</f>
        <v/>
      </c>
      <c r="J1564" s="31" t="str">
        <f t="shared" si="169"/>
        <v/>
      </c>
      <c r="K1564" s="31" t="str">
        <f t="shared" si="170"/>
        <v/>
      </c>
      <c r="L1564" s="31" t="str">
        <f>IF(OR(B1564="",C1564=""),"",IFERROR(E1564 / SUMIFS('📅 Resumen Diario'!$D$5:$D$504, '📅 Resumen Diario'!$B$5:$B$504, B1564, '📅 Resumen Diario'!$C$5:$C$504, D1564) * SUMIFS('📅 Resumen Diario'!$K$5:$K$504, '📅 Resumen Diario'!$B$5:$B$504, B1564, '📅 Resumen Diario'!$C$5:$C$504, D1564), 0))</f>
        <v/>
      </c>
      <c r="M1564" s="31" t="str">
        <f t="shared" si="171"/>
        <v/>
      </c>
      <c r="N1564" s="31" t="str">
        <f t="shared" si="172"/>
        <v/>
      </c>
      <c r="O1564" s="31" t="str">
        <f>IF(OR(B1564="",C1564=""),"",K1564-N1564 + IFERROR(E1564 / SUMIFS('📅 Resumen Diario'!$D$5:$D$504, '📅 Resumen Diario'!$B$5:$B$504, B1564, '📅 Resumen Diario'!$C$5:$C$504, D1564) * (SUMIFS('📋 Detalle Diario'!$E$5:$E$489, '📋 Detalle Diario'!$B$5:$B$489, B1564, '📋 Detalle Diario'!$C$5:$C$489, D1564) * 135 + SUMIFS('📋 Detalle Diario'!$I$5:$I$489, '📋 Detalle Diario'!$B$5:$B$489, B1564, '📋 Detalle Diario'!$C$5:$C$489, D1564) * 200), 0))</f>
        <v/>
      </c>
      <c r="P1564" s="32" t="str">
        <f t="shared" si="173"/>
        <v/>
      </c>
      <c r="Q1564" s="33" t="str">
        <f t="shared" si="174"/>
        <v/>
      </c>
    </row>
    <row r="1565" spans="2:17" ht="18" customHeight="1" x14ac:dyDescent="0.3">
      <c r="B1565" s="26"/>
      <c r="C1565" s="28"/>
      <c r="D1565" s="27"/>
      <c r="E1565" s="29"/>
      <c r="F1565" s="29"/>
      <c r="G1565" s="29"/>
      <c r="H1565" s="30" t="str">
        <f t="shared" si="168"/>
        <v/>
      </c>
      <c r="I1565" s="31" t="str">
        <f>IF(OR(B1565="",C1565=""),"",IFERROR(E1565*IF(E1565="",0,VLOOKUP(C1565,'📦 Precios Proforma'!$B$5:$D$104,IF(D1565="DIA",2,3),FALSE)),0))</f>
        <v/>
      </c>
      <c r="J1565" s="31" t="str">
        <f t="shared" si="169"/>
        <v/>
      </c>
      <c r="K1565" s="31" t="str">
        <f t="shared" si="170"/>
        <v/>
      </c>
      <c r="L1565" s="31" t="str">
        <f>IF(OR(B1565="",C1565=""),"",IFERROR(E1565 / SUMIFS('📅 Resumen Diario'!$D$5:$D$504, '📅 Resumen Diario'!$B$5:$B$504, B1565, '📅 Resumen Diario'!$C$5:$C$504, D1565) * SUMIFS('📅 Resumen Diario'!$K$5:$K$504, '📅 Resumen Diario'!$B$5:$B$504, B1565, '📅 Resumen Diario'!$C$5:$C$504, D1565), 0))</f>
        <v/>
      </c>
      <c r="M1565" s="31" t="str">
        <f t="shared" si="171"/>
        <v/>
      </c>
      <c r="N1565" s="31" t="str">
        <f t="shared" si="172"/>
        <v/>
      </c>
      <c r="O1565" s="31" t="str">
        <f>IF(OR(B1565="",C1565=""),"",K1565-N1565 + IFERROR(E1565 / SUMIFS('📅 Resumen Diario'!$D$5:$D$504, '📅 Resumen Diario'!$B$5:$B$504, B1565, '📅 Resumen Diario'!$C$5:$C$504, D1565) * (SUMIFS('📋 Detalle Diario'!$E$5:$E$489, '📋 Detalle Diario'!$B$5:$B$489, B1565, '📋 Detalle Diario'!$C$5:$C$489, D1565) * 135 + SUMIFS('📋 Detalle Diario'!$I$5:$I$489, '📋 Detalle Diario'!$B$5:$B$489, B1565, '📋 Detalle Diario'!$C$5:$C$489, D1565) * 200), 0))</f>
        <v/>
      </c>
      <c r="P1565" s="32" t="str">
        <f t="shared" si="173"/>
        <v/>
      </c>
      <c r="Q1565" s="33" t="str">
        <f t="shared" si="174"/>
        <v/>
      </c>
    </row>
    <row r="1566" spans="2:17" ht="18" customHeight="1" x14ac:dyDescent="0.3">
      <c r="B1566" s="26"/>
      <c r="C1566" s="17"/>
      <c r="D1566" s="27"/>
      <c r="E1566" s="18"/>
      <c r="F1566" s="18"/>
      <c r="G1566" s="18"/>
      <c r="H1566" s="30" t="str">
        <f t="shared" si="168"/>
        <v/>
      </c>
      <c r="I1566" s="31" t="str">
        <f>IF(OR(B1566="",C1566=""),"",IFERROR(E1566*IF(E1566="",0,VLOOKUP(C1566,'📦 Precios Proforma'!$B$5:$D$104,IF(D1566="DIA",2,3),FALSE)),0))</f>
        <v/>
      </c>
      <c r="J1566" s="31" t="str">
        <f t="shared" si="169"/>
        <v/>
      </c>
      <c r="K1566" s="31" t="str">
        <f t="shared" si="170"/>
        <v/>
      </c>
      <c r="L1566" s="31" t="str">
        <f>IF(OR(B1566="",C1566=""),"",IFERROR(E1566 / SUMIFS('📅 Resumen Diario'!$D$5:$D$504, '📅 Resumen Diario'!$B$5:$B$504, B1566, '📅 Resumen Diario'!$C$5:$C$504, D1566) * SUMIFS('📅 Resumen Diario'!$K$5:$K$504, '📅 Resumen Diario'!$B$5:$B$504, B1566, '📅 Resumen Diario'!$C$5:$C$504, D1566), 0))</f>
        <v/>
      </c>
      <c r="M1566" s="31" t="str">
        <f t="shared" si="171"/>
        <v/>
      </c>
      <c r="N1566" s="31" t="str">
        <f t="shared" si="172"/>
        <v/>
      </c>
      <c r="O1566" s="31" t="str">
        <f>IF(OR(B1566="",C1566=""),"",K1566-N1566 + IFERROR(E1566 / SUMIFS('📅 Resumen Diario'!$D$5:$D$504, '📅 Resumen Diario'!$B$5:$B$504, B1566, '📅 Resumen Diario'!$C$5:$C$504, D1566) * (SUMIFS('📋 Detalle Diario'!$E$5:$E$489, '📋 Detalle Diario'!$B$5:$B$489, B1566, '📋 Detalle Diario'!$C$5:$C$489, D1566) * 135 + SUMIFS('📋 Detalle Diario'!$I$5:$I$489, '📋 Detalle Diario'!$B$5:$B$489, B1566, '📋 Detalle Diario'!$C$5:$C$489, D1566) * 200), 0))</f>
        <v/>
      </c>
      <c r="P1566" s="32" t="str">
        <f t="shared" si="173"/>
        <v/>
      </c>
      <c r="Q1566" s="33" t="str">
        <f t="shared" si="174"/>
        <v/>
      </c>
    </row>
    <row r="1567" spans="2:17" ht="18" customHeight="1" x14ac:dyDescent="0.3">
      <c r="B1567" s="26"/>
      <c r="C1567" s="28"/>
      <c r="D1567" s="27"/>
      <c r="E1567" s="29"/>
      <c r="F1567" s="29"/>
      <c r="G1567" s="29"/>
      <c r="H1567" s="30" t="str">
        <f t="shared" si="168"/>
        <v/>
      </c>
      <c r="I1567" s="31" t="str">
        <f>IF(OR(B1567="",C1567=""),"",IFERROR(E1567*IF(E1567="",0,VLOOKUP(C1567,'📦 Precios Proforma'!$B$5:$D$104,IF(D1567="DIA",2,3),FALSE)),0))</f>
        <v/>
      </c>
      <c r="J1567" s="31" t="str">
        <f t="shared" si="169"/>
        <v/>
      </c>
      <c r="K1567" s="31" t="str">
        <f t="shared" si="170"/>
        <v/>
      </c>
      <c r="L1567" s="31" t="str">
        <f>IF(OR(B1567="",C1567=""),"",IFERROR(E1567 / SUMIFS('📅 Resumen Diario'!$D$5:$D$504, '📅 Resumen Diario'!$B$5:$B$504, B1567, '📅 Resumen Diario'!$C$5:$C$504, D1567) * SUMIFS('📅 Resumen Diario'!$K$5:$K$504, '📅 Resumen Diario'!$B$5:$B$504, B1567, '📅 Resumen Diario'!$C$5:$C$504, D1567), 0))</f>
        <v/>
      </c>
      <c r="M1567" s="31" t="str">
        <f t="shared" si="171"/>
        <v/>
      </c>
      <c r="N1567" s="31" t="str">
        <f t="shared" si="172"/>
        <v/>
      </c>
      <c r="O1567" s="31" t="str">
        <f>IF(OR(B1567="",C1567=""),"",K1567-N1567 + IFERROR(E1567 / SUMIFS('📅 Resumen Diario'!$D$5:$D$504, '📅 Resumen Diario'!$B$5:$B$504, B1567, '📅 Resumen Diario'!$C$5:$C$504, D1567) * (SUMIFS('📋 Detalle Diario'!$E$5:$E$489, '📋 Detalle Diario'!$B$5:$B$489, B1567, '📋 Detalle Diario'!$C$5:$C$489, D1567) * 135 + SUMIFS('📋 Detalle Diario'!$I$5:$I$489, '📋 Detalle Diario'!$B$5:$B$489, B1567, '📋 Detalle Diario'!$C$5:$C$489, D1567) * 200), 0))</f>
        <v/>
      </c>
      <c r="P1567" s="32" t="str">
        <f t="shared" si="173"/>
        <v/>
      </c>
      <c r="Q1567" s="33" t="str">
        <f t="shared" si="174"/>
        <v/>
      </c>
    </row>
    <row r="1568" spans="2:17" ht="18" customHeight="1" x14ac:dyDescent="0.3">
      <c r="B1568" s="26"/>
      <c r="C1568" s="17"/>
      <c r="D1568" s="27"/>
      <c r="E1568" s="18"/>
      <c r="F1568" s="18"/>
      <c r="G1568" s="18"/>
      <c r="H1568" s="30" t="str">
        <f t="shared" si="168"/>
        <v/>
      </c>
      <c r="I1568" s="31" t="str">
        <f>IF(OR(B1568="",C1568=""),"",IFERROR(E1568*IF(E1568="",0,VLOOKUP(C1568,'📦 Precios Proforma'!$B$5:$D$104,IF(D1568="DIA",2,3),FALSE)),0))</f>
        <v/>
      </c>
      <c r="J1568" s="31" t="str">
        <f t="shared" si="169"/>
        <v/>
      </c>
      <c r="K1568" s="31" t="str">
        <f t="shared" si="170"/>
        <v/>
      </c>
      <c r="L1568" s="31" t="str">
        <f>IF(OR(B1568="",C1568=""),"",IFERROR(E1568 / SUMIFS('📅 Resumen Diario'!$D$5:$D$504, '📅 Resumen Diario'!$B$5:$B$504, B1568, '📅 Resumen Diario'!$C$5:$C$504, D1568) * SUMIFS('📅 Resumen Diario'!$K$5:$K$504, '📅 Resumen Diario'!$B$5:$B$504, B1568, '📅 Resumen Diario'!$C$5:$C$504, D1568), 0))</f>
        <v/>
      </c>
      <c r="M1568" s="31" t="str">
        <f t="shared" si="171"/>
        <v/>
      </c>
      <c r="N1568" s="31" t="str">
        <f t="shared" si="172"/>
        <v/>
      </c>
      <c r="O1568" s="31" t="str">
        <f>IF(OR(B1568="",C1568=""),"",K1568-N1568 + IFERROR(E1568 / SUMIFS('📅 Resumen Diario'!$D$5:$D$504, '📅 Resumen Diario'!$B$5:$B$504, B1568, '📅 Resumen Diario'!$C$5:$C$504, D1568) * (SUMIFS('📋 Detalle Diario'!$E$5:$E$489, '📋 Detalle Diario'!$B$5:$B$489, B1568, '📋 Detalle Diario'!$C$5:$C$489, D1568) * 135 + SUMIFS('📋 Detalle Diario'!$I$5:$I$489, '📋 Detalle Diario'!$B$5:$B$489, B1568, '📋 Detalle Diario'!$C$5:$C$489, D1568) * 200), 0))</f>
        <v/>
      </c>
      <c r="P1568" s="32" t="str">
        <f t="shared" si="173"/>
        <v/>
      </c>
      <c r="Q1568" s="33" t="str">
        <f t="shared" si="174"/>
        <v/>
      </c>
    </row>
    <row r="1569" spans="2:17" ht="18" customHeight="1" x14ac:dyDescent="0.3">
      <c r="B1569" s="26"/>
      <c r="C1569" s="28"/>
      <c r="D1569" s="27"/>
      <c r="E1569" s="29"/>
      <c r="F1569" s="29"/>
      <c r="G1569" s="29"/>
      <c r="H1569" s="30" t="str">
        <f t="shared" si="168"/>
        <v/>
      </c>
      <c r="I1569" s="31" t="str">
        <f>IF(OR(B1569="",C1569=""),"",IFERROR(E1569*IF(E1569="",0,VLOOKUP(C1569,'📦 Precios Proforma'!$B$5:$D$104,IF(D1569="DIA",2,3),FALSE)),0))</f>
        <v/>
      </c>
      <c r="J1569" s="31" t="str">
        <f t="shared" si="169"/>
        <v/>
      </c>
      <c r="K1569" s="31" t="str">
        <f t="shared" si="170"/>
        <v/>
      </c>
      <c r="L1569" s="31" t="str">
        <f>IF(OR(B1569="",C1569=""),"",IFERROR(E1569 / SUMIFS('📅 Resumen Diario'!$D$5:$D$504, '📅 Resumen Diario'!$B$5:$B$504, B1569, '📅 Resumen Diario'!$C$5:$C$504, D1569) * SUMIFS('📅 Resumen Diario'!$K$5:$K$504, '📅 Resumen Diario'!$B$5:$B$504, B1569, '📅 Resumen Diario'!$C$5:$C$504, D1569), 0))</f>
        <v/>
      </c>
      <c r="M1569" s="31" t="str">
        <f t="shared" si="171"/>
        <v/>
      </c>
      <c r="N1569" s="31" t="str">
        <f t="shared" si="172"/>
        <v/>
      </c>
      <c r="O1569" s="31" t="str">
        <f>IF(OR(B1569="",C1569=""),"",K1569-N1569 + IFERROR(E1569 / SUMIFS('📅 Resumen Diario'!$D$5:$D$504, '📅 Resumen Diario'!$B$5:$B$504, B1569, '📅 Resumen Diario'!$C$5:$C$504, D1569) * (SUMIFS('📋 Detalle Diario'!$E$5:$E$489, '📋 Detalle Diario'!$B$5:$B$489, B1569, '📋 Detalle Diario'!$C$5:$C$489, D1569) * 135 + SUMIFS('📋 Detalle Diario'!$I$5:$I$489, '📋 Detalle Diario'!$B$5:$B$489, B1569, '📋 Detalle Diario'!$C$5:$C$489, D1569) * 200), 0))</f>
        <v/>
      </c>
      <c r="P1569" s="32" t="str">
        <f t="shared" si="173"/>
        <v/>
      </c>
      <c r="Q1569" s="33" t="str">
        <f t="shared" si="174"/>
        <v/>
      </c>
    </row>
    <row r="1570" spans="2:17" ht="18" customHeight="1" x14ac:dyDescent="0.3">
      <c r="B1570" s="26"/>
      <c r="C1570" s="17"/>
      <c r="D1570" s="27"/>
      <c r="E1570" s="18"/>
      <c r="F1570" s="18"/>
      <c r="G1570" s="18"/>
      <c r="H1570" s="30" t="str">
        <f t="shared" si="168"/>
        <v/>
      </c>
      <c r="I1570" s="31" t="str">
        <f>IF(OR(B1570="",C1570=""),"",IFERROR(E1570*IF(E1570="",0,VLOOKUP(C1570,'📦 Precios Proforma'!$B$5:$D$104,IF(D1570="DIA",2,3),FALSE)),0))</f>
        <v/>
      </c>
      <c r="J1570" s="31" t="str">
        <f t="shared" si="169"/>
        <v/>
      </c>
      <c r="K1570" s="31" t="str">
        <f t="shared" si="170"/>
        <v/>
      </c>
      <c r="L1570" s="31" t="str">
        <f>IF(OR(B1570="",C1570=""),"",IFERROR(E1570 / SUMIFS('📅 Resumen Diario'!$D$5:$D$504, '📅 Resumen Diario'!$B$5:$B$504, B1570, '📅 Resumen Diario'!$C$5:$C$504, D1570) * SUMIFS('📅 Resumen Diario'!$K$5:$K$504, '📅 Resumen Diario'!$B$5:$B$504, B1570, '📅 Resumen Diario'!$C$5:$C$504, D1570), 0))</f>
        <v/>
      </c>
      <c r="M1570" s="31" t="str">
        <f t="shared" si="171"/>
        <v/>
      </c>
      <c r="N1570" s="31" t="str">
        <f t="shared" si="172"/>
        <v/>
      </c>
      <c r="O1570" s="31" t="str">
        <f>IF(OR(B1570="",C1570=""),"",K1570-N1570 + IFERROR(E1570 / SUMIFS('📅 Resumen Diario'!$D$5:$D$504, '📅 Resumen Diario'!$B$5:$B$504, B1570, '📅 Resumen Diario'!$C$5:$C$504, D1570) * (SUMIFS('📋 Detalle Diario'!$E$5:$E$489, '📋 Detalle Diario'!$B$5:$B$489, B1570, '📋 Detalle Diario'!$C$5:$C$489, D1570) * 135 + SUMIFS('📋 Detalle Diario'!$I$5:$I$489, '📋 Detalle Diario'!$B$5:$B$489, B1570, '📋 Detalle Diario'!$C$5:$C$489, D1570) * 200), 0))</f>
        <v/>
      </c>
      <c r="P1570" s="32" t="str">
        <f t="shared" si="173"/>
        <v/>
      </c>
      <c r="Q1570" s="33" t="str">
        <f t="shared" si="174"/>
        <v/>
      </c>
    </row>
    <row r="1571" spans="2:17" ht="18" customHeight="1" x14ac:dyDescent="0.3">
      <c r="B1571" s="26"/>
      <c r="C1571" s="28"/>
      <c r="D1571" s="27"/>
      <c r="E1571" s="29"/>
      <c r="F1571" s="29"/>
      <c r="G1571" s="29"/>
      <c r="H1571" s="30" t="str">
        <f t="shared" si="168"/>
        <v/>
      </c>
      <c r="I1571" s="31" t="str">
        <f>IF(OR(B1571="",C1571=""),"",IFERROR(E1571*IF(E1571="",0,VLOOKUP(C1571,'📦 Precios Proforma'!$B$5:$D$104,IF(D1571="DIA",2,3),FALSE)),0))</f>
        <v/>
      </c>
      <c r="J1571" s="31" t="str">
        <f t="shared" si="169"/>
        <v/>
      </c>
      <c r="K1571" s="31" t="str">
        <f t="shared" si="170"/>
        <v/>
      </c>
      <c r="L1571" s="31" t="str">
        <f>IF(OR(B1571="",C1571=""),"",IFERROR(E1571 / SUMIFS('📅 Resumen Diario'!$D$5:$D$504, '📅 Resumen Diario'!$B$5:$B$504, B1571, '📅 Resumen Diario'!$C$5:$C$504, D1571) * SUMIFS('📅 Resumen Diario'!$K$5:$K$504, '📅 Resumen Diario'!$B$5:$B$504, B1571, '📅 Resumen Diario'!$C$5:$C$504, D1571), 0))</f>
        <v/>
      </c>
      <c r="M1571" s="31" t="str">
        <f t="shared" si="171"/>
        <v/>
      </c>
      <c r="N1571" s="31" t="str">
        <f t="shared" si="172"/>
        <v/>
      </c>
      <c r="O1571" s="31" t="str">
        <f>IF(OR(B1571="",C1571=""),"",K1571-N1571 + IFERROR(E1571 / SUMIFS('📅 Resumen Diario'!$D$5:$D$504, '📅 Resumen Diario'!$B$5:$B$504, B1571, '📅 Resumen Diario'!$C$5:$C$504, D1571) * (SUMIFS('📋 Detalle Diario'!$E$5:$E$489, '📋 Detalle Diario'!$B$5:$B$489, B1571, '📋 Detalle Diario'!$C$5:$C$489, D1571) * 135 + SUMIFS('📋 Detalle Diario'!$I$5:$I$489, '📋 Detalle Diario'!$B$5:$B$489, B1571, '📋 Detalle Diario'!$C$5:$C$489, D1571) * 200), 0))</f>
        <v/>
      </c>
      <c r="P1571" s="32" t="str">
        <f t="shared" si="173"/>
        <v/>
      </c>
      <c r="Q1571" s="33" t="str">
        <f t="shared" si="174"/>
        <v/>
      </c>
    </row>
    <row r="1572" spans="2:17" ht="18" customHeight="1" x14ac:dyDescent="0.3">
      <c r="B1572" s="26"/>
      <c r="C1572" s="17"/>
      <c r="D1572" s="27"/>
      <c r="E1572" s="18"/>
      <c r="F1572" s="18"/>
      <c r="G1572" s="18"/>
      <c r="H1572" s="30" t="str">
        <f t="shared" si="168"/>
        <v/>
      </c>
      <c r="I1572" s="31" t="str">
        <f>IF(OR(B1572="",C1572=""),"",IFERROR(E1572*IF(E1572="",0,VLOOKUP(C1572,'📦 Precios Proforma'!$B$5:$D$104,IF(D1572="DIA",2,3),FALSE)),0))</f>
        <v/>
      </c>
      <c r="J1572" s="31" t="str">
        <f t="shared" si="169"/>
        <v/>
      </c>
      <c r="K1572" s="31" t="str">
        <f t="shared" si="170"/>
        <v/>
      </c>
      <c r="L1572" s="31" t="str">
        <f>IF(OR(B1572="",C1572=""),"",IFERROR(E1572 / SUMIFS('📅 Resumen Diario'!$D$5:$D$504, '📅 Resumen Diario'!$B$5:$B$504, B1572, '📅 Resumen Diario'!$C$5:$C$504, D1572) * SUMIFS('📅 Resumen Diario'!$K$5:$K$504, '📅 Resumen Diario'!$B$5:$B$504, B1572, '📅 Resumen Diario'!$C$5:$C$504, D1572), 0))</f>
        <v/>
      </c>
      <c r="M1572" s="31" t="str">
        <f t="shared" si="171"/>
        <v/>
      </c>
      <c r="N1572" s="31" t="str">
        <f t="shared" si="172"/>
        <v/>
      </c>
      <c r="O1572" s="31" t="str">
        <f>IF(OR(B1572="",C1572=""),"",K1572-N1572 + IFERROR(E1572 / SUMIFS('📅 Resumen Diario'!$D$5:$D$504, '📅 Resumen Diario'!$B$5:$B$504, B1572, '📅 Resumen Diario'!$C$5:$C$504, D1572) * (SUMIFS('📋 Detalle Diario'!$E$5:$E$489, '📋 Detalle Diario'!$B$5:$B$489, B1572, '📋 Detalle Diario'!$C$5:$C$489, D1572) * 135 + SUMIFS('📋 Detalle Diario'!$I$5:$I$489, '📋 Detalle Diario'!$B$5:$B$489, B1572, '📋 Detalle Diario'!$C$5:$C$489, D1572) * 200), 0))</f>
        <v/>
      </c>
      <c r="P1572" s="32" t="str">
        <f t="shared" si="173"/>
        <v/>
      </c>
      <c r="Q1572" s="33" t="str">
        <f t="shared" si="174"/>
        <v/>
      </c>
    </row>
    <row r="1573" spans="2:17" ht="18" customHeight="1" x14ac:dyDescent="0.3">
      <c r="B1573" s="26"/>
      <c r="C1573" s="28"/>
      <c r="D1573" s="27"/>
      <c r="E1573" s="29"/>
      <c r="F1573" s="29"/>
      <c r="G1573" s="29"/>
      <c r="H1573" s="30" t="str">
        <f t="shared" si="168"/>
        <v/>
      </c>
      <c r="I1573" s="31" t="str">
        <f>IF(OR(B1573="",C1573=""),"",IFERROR(E1573*IF(E1573="",0,VLOOKUP(C1573,'📦 Precios Proforma'!$B$5:$D$104,IF(D1573="DIA",2,3),FALSE)),0))</f>
        <v/>
      </c>
      <c r="J1573" s="31" t="str">
        <f t="shared" si="169"/>
        <v/>
      </c>
      <c r="K1573" s="31" t="str">
        <f t="shared" si="170"/>
        <v/>
      </c>
      <c r="L1573" s="31" t="str">
        <f>IF(OR(B1573="",C1573=""),"",IFERROR(E1573 / SUMIFS('📅 Resumen Diario'!$D$5:$D$504, '📅 Resumen Diario'!$B$5:$B$504, B1573, '📅 Resumen Diario'!$C$5:$C$504, D1573) * SUMIFS('📅 Resumen Diario'!$K$5:$K$504, '📅 Resumen Diario'!$B$5:$B$504, B1573, '📅 Resumen Diario'!$C$5:$C$504, D1573), 0))</f>
        <v/>
      </c>
      <c r="M1573" s="31" t="str">
        <f t="shared" si="171"/>
        <v/>
      </c>
      <c r="N1573" s="31" t="str">
        <f t="shared" si="172"/>
        <v/>
      </c>
      <c r="O1573" s="31" t="str">
        <f>IF(OR(B1573="",C1573=""),"",K1573-N1573 + IFERROR(E1573 / SUMIFS('📅 Resumen Diario'!$D$5:$D$504, '📅 Resumen Diario'!$B$5:$B$504, B1573, '📅 Resumen Diario'!$C$5:$C$504, D1573) * (SUMIFS('📋 Detalle Diario'!$E$5:$E$489, '📋 Detalle Diario'!$B$5:$B$489, B1573, '📋 Detalle Diario'!$C$5:$C$489, D1573) * 135 + SUMIFS('📋 Detalle Diario'!$I$5:$I$489, '📋 Detalle Diario'!$B$5:$B$489, B1573, '📋 Detalle Diario'!$C$5:$C$489, D1573) * 200), 0))</f>
        <v/>
      </c>
      <c r="P1573" s="32" t="str">
        <f t="shared" si="173"/>
        <v/>
      </c>
      <c r="Q1573" s="33" t="str">
        <f t="shared" si="174"/>
        <v/>
      </c>
    </row>
    <row r="1574" spans="2:17" ht="18" customHeight="1" x14ac:dyDescent="0.3">
      <c r="B1574" s="26"/>
      <c r="C1574" s="17"/>
      <c r="D1574" s="27"/>
      <c r="E1574" s="18"/>
      <c r="F1574" s="18"/>
      <c r="G1574" s="18"/>
      <c r="H1574" s="30" t="str">
        <f t="shared" si="168"/>
        <v/>
      </c>
      <c r="I1574" s="31" t="str">
        <f>IF(OR(B1574="",C1574=""),"",IFERROR(E1574*IF(E1574="",0,VLOOKUP(C1574,'📦 Precios Proforma'!$B$5:$D$104,IF(D1574="DIA",2,3),FALSE)),0))</f>
        <v/>
      </c>
      <c r="J1574" s="31" t="str">
        <f t="shared" si="169"/>
        <v/>
      </c>
      <c r="K1574" s="31" t="str">
        <f t="shared" si="170"/>
        <v/>
      </c>
      <c r="L1574" s="31" t="str">
        <f>IF(OR(B1574="",C1574=""),"",IFERROR(E1574 / SUMIFS('📅 Resumen Diario'!$D$5:$D$504, '📅 Resumen Diario'!$B$5:$B$504, B1574, '📅 Resumen Diario'!$C$5:$C$504, D1574) * SUMIFS('📅 Resumen Diario'!$K$5:$K$504, '📅 Resumen Diario'!$B$5:$B$504, B1574, '📅 Resumen Diario'!$C$5:$C$504, D1574), 0))</f>
        <v/>
      </c>
      <c r="M1574" s="31" t="str">
        <f t="shared" si="171"/>
        <v/>
      </c>
      <c r="N1574" s="31" t="str">
        <f t="shared" si="172"/>
        <v/>
      </c>
      <c r="O1574" s="31" t="str">
        <f>IF(OR(B1574="",C1574=""),"",K1574-N1574 + IFERROR(E1574 / SUMIFS('📅 Resumen Diario'!$D$5:$D$504, '📅 Resumen Diario'!$B$5:$B$504, B1574, '📅 Resumen Diario'!$C$5:$C$504, D1574) * (SUMIFS('📋 Detalle Diario'!$E$5:$E$489, '📋 Detalle Diario'!$B$5:$B$489, B1574, '📋 Detalle Diario'!$C$5:$C$489, D1574) * 135 + SUMIFS('📋 Detalle Diario'!$I$5:$I$489, '📋 Detalle Diario'!$B$5:$B$489, B1574, '📋 Detalle Diario'!$C$5:$C$489, D1574) * 200), 0))</f>
        <v/>
      </c>
      <c r="P1574" s="32" t="str">
        <f t="shared" si="173"/>
        <v/>
      </c>
      <c r="Q1574" s="33" t="str">
        <f t="shared" si="174"/>
        <v/>
      </c>
    </row>
    <row r="1575" spans="2:17" ht="18" customHeight="1" x14ac:dyDescent="0.3">
      <c r="B1575" s="26"/>
      <c r="C1575" s="28"/>
      <c r="D1575" s="27"/>
      <c r="E1575" s="29"/>
      <c r="F1575" s="29"/>
      <c r="G1575" s="29"/>
      <c r="H1575" s="30" t="str">
        <f t="shared" si="168"/>
        <v/>
      </c>
      <c r="I1575" s="31" t="str">
        <f>IF(OR(B1575="",C1575=""),"",IFERROR(E1575*IF(E1575="",0,VLOOKUP(C1575,'📦 Precios Proforma'!$B$5:$D$104,IF(D1575="DIA",2,3),FALSE)),0))</f>
        <v/>
      </c>
      <c r="J1575" s="31" t="str">
        <f t="shared" si="169"/>
        <v/>
      </c>
      <c r="K1575" s="31" t="str">
        <f t="shared" si="170"/>
        <v/>
      </c>
      <c r="L1575" s="31" t="str">
        <f>IF(OR(B1575="",C1575=""),"",IFERROR(E1575 / SUMIFS('📅 Resumen Diario'!$D$5:$D$504, '📅 Resumen Diario'!$B$5:$B$504, B1575, '📅 Resumen Diario'!$C$5:$C$504, D1575) * SUMIFS('📅 Resumen Diario'!$K$5:$K$504, '📅 Resumen Diario'!$B$5:$B$504, B1575, '📅 Resumen Diario'!$C$5:$C$504, D1575), 0))</f>
        <v/>
      </c>
      <c r="M1575" s="31" t="str">
        <f t="shared" si="171"/>
        <v/>
      </c>
      <c r="N1575" s="31" t="str">
        <f t="shared" si="172"/>
        <v/>
      </c>
      <c r="O1575" s="31" t="str">
        <f>IF(OR(B1575="",C1575=""),"",K1575-N1575 + IFERROR(E1575 / SUMIFS('📅 Resumen Diario'!$D$5:$D$504, '📅 Resumen Diario'!$B$5:$B$504, B1575, '📅 Resumen Diario'!$C$5:$C$504, D1575) * (SUMIFS('📋 Detalle Diario'!$E$5:$E$489, '📋 Detalle Diario'!$B$5:$B$489, B1575, '📋 Detalle Diario'!$C$5:$C$489, D1575) * 135 + SUMIFS('📋 Detalle Diario'!$I$5:$I$489, '📋 Detalle Diario'!$B$5:$B$489, B1575, '📋 Detalle Diario'!$C$5:$C$489, D1575) * 200), 0))</f>
        <v/>
      </c>
      <c r="P1575" s="32" t="str">
        <f t="shared" si="173"/>
        <v/>
      </c>
      <c r="Q1575" s="33" t="str">
        <f t="shared" si="174"/>
        <v/>
      </c>
    </row>
    <row r="1576" spans="2:17" ht="18" customHeight="1" x14ac:dyDescent="0.3">
      <c r="B1576" s="26"/>
      <c r="C1576" s="17"/>
      <c r="D1576" s="27"/>
      <c r="E1576" s="18"/>
      <c r="F1576" s="18"/>
      <c r="G1576" s="18"/>
      <c r="H1576" s="30" t="str">
        <f t="shared" si="168"/>
        <v/>
      </c>
      <c r="I1576" s="31" t="str">
        <f>IF(OR(B1576="",C1576=""),"",IFERROR(E1576*IF(E1576="",0,VLOOKUP(C1576,'📦 Precios Proforma'!$B$5:$D$104,IF(D1576="DIA",2,3),FALSE)),0))</f>
        <v/>
      </c>
      <c r="J1576" s="31" t="str">
        <f t="shared" si="169"/>
        <v/>
      </c>
      <c r="K1576" s="31" t="str">
        <f t="shared" si="170"/>
        <v/>
      </c>
      <c r="L1576" s="31" t="str">
        <f>IF(OR(B1576="",C1576=""),"",IFERROR(E1576 / SUMIFS('📅 Resumen Diario'!$D$5:$D$504, '📅 Resumen Diario'!$B$5:$B$504, B1576, '📅 Resumen Diario'!$C$5:$C$504, D1576) * SUMIFS('📅 Resumen Diario'!$K$5:$K$504, '📅 Resumen Diario'!$B$5:$B$504, B1576, '📅 Resumen Diario'!$C$5:$C$504, D1576), 0))</f>
        <v/>
      </c>
      <c r="M1576" s="31" t="str">
        <f t="shared" si="171"/>
        <v/>
      </c>
      <c r="N1576" s="31" t="str">
        <f t="shared" si="172"/>
        <v/>
      </c>
      <c r="O1576" s="31" t="str">
        <f>IF(OR(B1576="",C1576=""),"",K1576-N1576 + IFERROR(E1576 / SUMIFS('📅 Resumen Diario'!$D$5:$D$504, '📅 Resumen Diario'!$B$5:$B$504, B1576, '📅 Resumen Diario'!$C$5:$C$504, D1576) * (SUMIFS('📋 Detalle Diario'!$E$5:$E$489, '📋 Detalle Diario'!$B$5:$B$489, B1576, '📋 Detalle Diario'!$C$5:$C$489, D1576) * 135 + SUMIFS('📋 Detalle Diario'!$I$5:$I$489, '📋 Detalle Diario'!$B$5:$B$489, B1576, '📋 Detalle Diario'!$C$5:$C$489, D1576) * 200), 0))</f>
        <v/>
      </c>
      <c r="P1576" s="32" t="str">
        <f t="shared" si="173"/>
        <v/>
      </c>
      <c r="Q1576" s="33" t="str">
        <f t="shared" si="174"/>
        <v/>
      </c>
    </row>
    <row r="1577" spans="2:17" ht="18" customHeight="1" x14ac:dyDescent="0.3">
      <c r="B1577" s="26"/>
      <c r="C1577" s="28"/>
      <c r="D1577" s="27"/>
      <c r="E1577" s="29"/>
      <c r="F1577" s="29"/>
      <c r="G1577" s="29"/>
      <c r="H1577" s="30" t="str">
        <f t="shared" si="168"/>
        <v/>
      </c>
      <c r="I1577" s="31" t="str">
        <f>IF(OR(B1577="",C1577=""),"",IFERROR(E1577*IF(E1577="",0,VLOOKUP(C1577,'📦 Precios Proforma'!$B$5:$D$104,IF(D1577="DIA",2,3),FALSE)),0))</f>
        <v/>
      </c>
      <c r="J1577" s="31" t="str">
        <f t="shared" si="169"/>
        <v/>
      </c>
      <c r="K1577" s="31" t="str">
        <f t="shared" si="170"/>
        <v/>
      </c>
      <c r="L1577" s="31" t="str">
        <f>IF(OR(B1577="",C1577=""),"",IFERROR(E1577 / SUMIFS('📅 Resumen Diario'!$D$5:$D$504, '📅 Resumen Diario'!$B$5:$B$504, B1577, '📅 Resumen Diario'!$C$5:$C$504, D1577) * SUMIFS('📅 Resumen Diario'!$K$5:$K$504, '📅 Resumen Diario'!$B$5:$B$504, B1577, '📅 Resumen Diario'!$C$5:$C$504, D1577), 0))</f>
        <v/>
      </c>
      <c r="M1577" s="31" t="str">
        <f t="shared" si="171"/>
        <v/>
      </c>
      <c r="N1577" s="31" t="str">
        <f t="shared" si="172"/>
        <v/>
      </c>
      <c r="O1577" s="31" t="str">
        <f>IF(OR(B1577="",C1577=""),"",K1577-N1577 + IFERROR(E1577 / SUMIFS('📅 Resumen Diario'!$D$5:$D$504, '📅 Resumen Diario'!$B$5:$B$504, B1577, '📅 Resumen Diario'!$C$5:$C$504, D1577) * (SUMIFS('📋 Detalle Diario'!$E$5:$E$489, '📋 Detalle Diario'!$B$5:$B$489, B1577, '📋 Detalle Diario'!$C$5:$C$489, D1577) * 135 + SUMIFS('📋 Detalle Diario'!$I$5:$I$489, '📋 Detalle Diario'!$B$5:$B$489, B1577, '📋 Detalle Diario'!$C$5:$C$489, D1577) * 200), 0))</f>
        <v/>
      </c>
      <c r="P1577" s="32" t="str">
        <f t="shared" si="173"/>
        <v/>
      </c>
      <c r="Q1577" s="33" t="str">
        <f t="shared" si="174"/>
        <v/>
      </c>
    </row>
    <row r="1578" spans="2:17" ht="18" customHeight="1" x14ac:dyDescent="0.3">
      <c r="B1578" s="26"/>
      <c r="C1578" s="17"/>
      <c r="D1578" s="27"/>
      <c r="E1578" s="18"/>
      <c r="F1578" s="18"/>
      <c r="G1578" s="18"/>
      <c r="H1578" s="30" t="str">
        <f t="shared" si="168"/>
        <v/>
      </c>
      <c r="I1578" s="31" t="str">
        <f>IF(OR(B1578="",C1578=""),"",IFERROR(E1578*IF(E1578="",0,VLOOKUP(C1578,'📦 Precios Proforma'!$B$5:$D$104,IF(D1578="DIA",2,3),FALSE)),0))</f>
        <v/>
      </c>
      <c r="J1578" s="31" t="str">
        <f t="shared" si="169"/>
        <v/>
      </c>
      <c r="K1578" s="31" t="str">
        <f t="shared" si="170"/>
        <v/>
      </c>
      <c r="L1578" s="31" t="str">
        <f>IF(OR(B1578="",C1578=""),"",IFERROR(E1578 / SUMIFS('📅 Resumen Diario'!$D$5:$D$504, '📅 Resumen Diario'!$B$5:$B$504, B1578, '📅 Resumen Diario'!$C$5:$C$504, D1578) * SUMIFS('📅 Resumen Diario'!$K$5:$K$504, '📅 Resumen Diario'!$B$5:$B$504, B1578, '📅 Resumen Diario'!$C$5:$C$504, D1578), 0))</f>
        <v/>
      </c>
      <c r="M1578" s="31" t="str">
        <f t="shared" si="171"/>
        <v/>
      </c>
      <c r="N1578" s="31" t="str">
        <f t="shared" si="172"/>
        <v/>
      </c>
      <c r="O1578" s="31" t="str">
        <f>IF(OR(B1578="",C1578=""),"",K1578-N1578 + IFERROR(E1578 / SUMIFS('📅 Resumen Diario'!$D$5:$D$504, '📅 Resumen Diario'!$B$5:$B$504, B1578, '📅 Resumen Diario'!$C$5:$C$504, D1578) * (SUMIFS('📋 Detalle Diario'!$E$5:$E$489, '📋 Detalle Diario'!$B$5:$B$489, B1578, '📋 Detalle Diario'!$C$5:$C$489, D1578) * 135 + SUMIFS('📋 Detalle Diario'!$I$5:$I$489, '📋 Detalle Diario'!$B$5:$B$489, B1578, '📋 Detalle Diario'!$C$5:$C$489, D1578) * 200), 0))</f>
        <v/>
      </c>
      <c r="P1578" s="32" t="str">
        <f t="shared" si="173"/>
        <v/>
      </c>
      <c r="Q1578" s="33" t="str">
        <f t="shared" si="174"/>
        <v/>
      </c>
    </row>
    <row r="1579" spans="2:17" ht="18" customHeight="1" x14ac:dyDescent="0.3">
      <c r="B1579" s="26"/>
      <c r="C1579" s="28"/>
      <c r="D1579" s="27"/>
      <c r="E1579" s="29"/>
      <c r="F1579" s="29"/>
      <c r="G1579" s="29"/>
      <c r="H1579" s="30" t="str">
        <f t="shared" si="168"/>
        <v/>
      </c>
      <c r="I1579" s="31" t="str">
        <f>IF(OR(B1579="",C1579=""),"",IFERROR(E1579*IF(E1579="",0,VLOOKUP(C1579,'📦 Precios Proforma'!$B$5:$D$104,IF(D1579="DIA",2,3),FALSE)),0))</f>
        <v/>
      </c>
      <c r="J1579" s="31" t="str">
        <f t="shared" si="169"/>
        <v/>
      </c>
      <c r="K1579" s="31" t="str">
        <f t="shared" si="170"/>
        <v/>
      </c>
      <c r="L1579" s="31" t="str">
        <f>IF(OR(B1579="",C1579=""),"",IFERROR(E1579 / SUMIFS('📅 Resumen Diario'!$D$5:$D$504, '📅 Resumen Diario'!$B$5:$B$504, B1579, '📅 Resumen Diario'!$C$5:$C$504, D1579) * SUMIFS('📅 Resumen Diario'!$K$5:$K$504, '📅 Resumen Diario'!$B$5:$B$504, B1579, '📅 Resumen Diario'!$C$5:$C$504, D1579), 0))</f>
        <v/>
      </c>
      <c r="M1579" s="31" t="str">
        <f t="shared" si="171"/>
        <v/>
      </c>
      <c r="N1579" s="31" t="str">
        <f t="shared" si="172"/>
        <v/>
      </c>
      <c r="O1579" s="31" t="str">
        <f>IF(OR(B1579="",C1579=""),"",K1579-N1579 + IFERROR(E1579 / SUMIFS('📅 Resumen Diario'!$D$5:$D$504, '📅 Resumen Diario'!$B$5:$B$504, B1579, '📅 Resumen Diario'!$C$5:$C$504, D1579) * (SUMIFS('📋 Detalle Diario'!$E$5:$E$489, '📋 Detalle Diario'!$B$5:$B$489, B1579, '📋 Detalle Diario'!$C$5:$C$489, D1579) * 135 + SUMIFS('📋 Detalle Diario'!$I$5:$I$489, '📋 Detalle Diario'!$B$5:$B$489, B1579, '📋 Detalle Diario'!$C$5:$C$489, D1579) * 200), 0))</f>
        <v/>
      </c>
      <c r="P1579" s="32" t="str">
        <f t="shared" si="173"/>
        <v/>
      </c>
      <c r="Q1579" s="33" t="str">
        <f t="shared" si="174"/>
        <v/>
      </c>
    </row>
    <row r="1580" spans="2:17" ht="18" customHeight="1" x14ac:dyDescent="0.3">
      <c r="B1580" s="26"/>
      <c r="C1580" s="17"/>
      <c r="D1580" s="27"/>
      <c r="E1580" s="18"/>
      <c r="F1580" s="18"/>
      <c r="G1580" s="18"/>
      <c r="H1580" s="30" t="str">
        <f t="shared" si="168"/>
        <v/>
      </c>
      <c r="I1580" s="31" t="str">
        <f>IF(OR(B1580="",C1580=""),"",IFERROR(E1580*IF(E1580="",0,VLOOKUP(C1580,'📦 Precios Proforma'!$B$5:$D$104,IF(D1580="DIA",2,3),FALSE)),0))</f>
        <v/>
      </c>
      <c r="J1580" s="31" t="str">
        <f t="shared" si="169"/>
        <v/>
      </c>
      <c r="K1580" s="31" t="str">
        <f t="shared" si="170"/>
        <v/>
      </c>
      <c r="L1580" s="31" t="str">
        <f>IF(OR(B1580="",C1580=""),"",IFERROR(E1580 / SUMIFS('📅 Resumen Diario'!$D$5:$D$504, '📅 Resumen Diario'!$B$5:$B$504, B1580, '📅 Resumen Diario'!$C$5:$C$504, D1580) * SUMIFS('📅 Resumen Diario'!$K$5:$K$504, '📅 Resumen Diario'!$B$5:$B$504, B1580, '📅 Resumen Diario'!$C$5:$C$504, D1580), 0))</f>
        <v/>
      </c>
      <c r="M1580" s="31" t="str">
        <f t="shared" si="171"/>
        <v/>
      </c>
      <c r="N1580" s="31" t="str">
        <f t="shared" si="172"/>
        <v/>
      </c>
      <c r="O1580" s="31" t="str">
        <f>IF(OR(B1580="",C1580=""),"",K1580-N1580 + IFERROR(E1580 / SUMIFS('📅 Resumen Diario'!$D$5:$D$504, '📅 Resumen Diario'!$B$5:$B$504, B1580, '📅 Resumen Diario'!$C$5:$C$504, D1580) * (SUMIFS('📋 Detalle Diario'!$E$5:$E$489, '📋 Detalle Diario'!$B$5:$B$489, B1580, '📋 Detalle Diario'!$C$5:$C$489, D1580) * 135 + SUMIFS('📋 Detalle Diario'!$I$5:$I$489, '📋 Detalle Diario'!$B$5:$B$489, B1580, '📋 Detalle Diario'!$C$5:$C$489, D1580) * 200), 0))</f>
        <v/>
      </c>
      <c r="P1580" s="32" t="str">
        <f t="shared" si="173"/>
        <v/>
      </c>
      <c r="Q1580" s="33" t="str">
        <f t="shared" si="174"/>
        <v/>
      </c>
    </row>
    <row r="1581" spans="2:17" ht="18" customHeight="1" x14ac:dyDescent="0.3">
      <c r="B1581" s="26"/>
      <c r="C1581" s="28"/>
      <c r="D1581" s="27"/>
      <c r="E1581" s="29"/>
      <c r="F1581" s="29"/>
      <c r="G1581" s="29"/>
      <c r="H1581" s="30" t="str">
        <f t="shared" si="168"/>
        <v/>
      </c>
      <c r="I1581" s="31" t="str">
        <f>IF(OR(B1581="",C1581=""),"",IFERROR(E1581*IF(E1581="",0,VLOOKUP(C1581,'📦 Precios Proforma'!$B$5:$D$104,IF(D1581="DIA",2,3),FALSE)),0))</f>
        <v/>
      </c>
      <c r="J1581" s="31" t="str">
        <f t="shared" si="169"/>
        <v/>
      </c>
      <c r="K1581" s="31" t="str">
        <f t="shared" si="170"/>
        <v/>
      </c>
      <c r="L1581" s="31" t="str">
        <f>IF(OR(B1581="",C1581=""),"",IFERROR(E1581 / SUMIFS('📅 Resumen Diario'!$D$5:$D$504, '📅 Resumen Diario'!$B$5:$B$504, B1581, '📅 Resumen Diario'!$C$5:$C$504, D1581) * SUMIFS('📅 Resumen Diario'!$K$5:$K$504, '📅 Resumen Diario'!$B$5:$B$504, B1581, '📅 Resumen Diario'!$C$5:$C$504, D1581), 0))</f>
        <v/>
      </c>
      <c r="M1581" s="31" t="str">
        <f t="shared" si="171"/>
        <v/>
      </c>
      <c r="N1581" s="31" t="str">
        <f t="shared" si="172"/>
        <v/>
      </c>
      <c r="O1581" s="31" t="str">
        <f>IF(OR(B1581="",C1581=""),"",K1581-N1581 + IFERROR(E1581 / SUMIFS('📅 Resumen Diario'!$D$5:$D$504, '📅 Resumen Diario'!$B$5:$B$504, B1581, '📅 Resumen Diario'!$C$5:$C$504, D1581) * (SUMIFS('📋 Detalle Diario'!$E$5:$E$489, '📋 Detalle Diario'!$B$5:$B$489, B1581, '📋 Detalle Diario'!$C$5:$C$489, D1581) * 135 + SUMIFS('📋 Detalle Diario'!$I$5:$I$489, '📋 Detalle Diario'!$B$5:$B$489, B1581, '📋 Detalle Diario'!$C$5:$C$489, D1581) * 200), 0))</f>
        <v/>
      </c>
      <c r="P1581" s="32" t="str">
        <f t="shared" si="173"/>
        <v/>
      </c>
      <c r="Q1581" s="33" t="str">
        <f t="shared" si="174"/>
        <v/>
      </c>
    </row>
    <row r="1582" spans="2:17" ht="18" customHeight="1" x14ac:dyDescent="0.3">
      <c r="B1582" s="26"/>
      <c r="C1582" s="17"/>
      <c r="D1582" s="27"/>
      <c r="E1582" s="18"/>
      <c r="F1582" s="18"/>
      <c r="G1582" s="18"/>
      <c r="H1582" s="30" t="str">
        <f t="shared" si="168"/>
        <v/>
      </c>
      <c r="I1582" s="31" t="str">
        <f>IF(OR(B1582="",C1582=""),"",IFERROR(E1582*IF(E1582="",0,VLOOKUP(C1582,'📦 Precios Proforma'!$B$5:$D$104,IF(D1582="DIA",2,3),FALSE)),0))</f>
        <v/>
      </c>
      <c r="J1582" s="31" t="str">
        <f t="shared" si="169"/>
        <v/>
      </c>
      <c r="K1582" s="31" t="str">
        <f t="shared" si="170"/>
        <v/>
      </c>
      <c r="L1582" s="31" t="str">
        <f>IF(OR(B1582="",C1582=""),"",IFERROR(E1582 / SUMIFS('📅 Resumen Diario'!$D$5:$D$504, '📅 Resumen Diario'!$B$5:$B$504, B1582, '📅 Resumen Diario'!$C$5:$C$504, D1582) * SUMIFS('📅 Resumen Diario'!$K$5:$K$504, '📅 Resumen Diario'!$B$5:$B$504, B1582, '📅 Resumen Diario'!$C$5:$C$504, D1582), 0))</f>
        <v/>
      </c>
      <c r="M1582" s="31" t="str">
        <f t="shared" si="171"/>
        <v/>
      </c>
      <c r="N1582" s="31" t="str">
        <f t="shared" si="172"/>
        <v/>
      </c>
      <c r="O1582" s="31" t="str">
        <f>IF(OR(B1582="",C1582=""),"",K1582-N1582 + IFERROR(E1582 / SUMIFS('📅 Resumen Diario'!$D$5:$D$504, '📅 Resumen Diario'!$B$5:$B$504, B1582, '📅 Resumen Diario'!$C$5:$C$504, D1582) * (SUMIFS('📋 Detalle Diario'!$E$5:$E$489, '📋 Detalle Diario'!$B$5:$B$489, B1582, '📋 Detalle Diario'!$C$5:$C$489, D1582) * 135 + SUMIFS('📋 Detalle Diario'!$I$5:$I$489, '📋 Detalle Diario'!$B$5:$B$489, B1582, '📋 Detalle Diario'!$C$5:$C$489, D1582) * 200), 0))</f>
        <v/>
      </c>
      <c r="P1582" s="32" t="str">
        <f t="shared" si="173"/>
        <v/>
      </c>
      <c r="Q1582" s="33" t="str">
        <f t="shared" si="174"/>
        <v/>
      </c>
    </row>
    <row r="1583" spans="2:17" ht="18" customHeight="1" x14ac:dyDescent="0.3">
      <c r="B1583" s="26"/>
      <c r="C1583" s="28"/>
      <c r="D1583" s="27"/>
      <c r="E1583" s="29"/>
      <c r="F1583" s="29"/>
      <c r="G1583" s="29"/>
      <c r="H1583" s="30" t="str">
        <f t="shared" si="168"/>
        <v/>
      </c>
      <c r="I1583" s="31" t="str">
        <f>IF(OR(B1583="",C1583=""),"",IFERROR(E1583*IF(E1583="",0,VLOOKUP(C1583,'📦 Precios Proforma'!$B$5:$D$104,IF(D1583="DIA",2,3),FALSE)),0))</f>
        <v/>
      </c>
      <c r="J1583" s="31" t="str">
        <f t="shared" si="169"/>
        <v/>
      </c>
      <c r="K1583" s="31" t="str">
        <f t="shared" si="170"/>
        <v/>
      </c>
      <c r="L1583" s="31" t="str">
        <f>IF(OR(B1583="",C1583=""),"",IFERROR(E1583 / SUMIFS('📅 Resumen Diario'!$D$5:$D$504, '📅 Resumen Diario'!$B$5:$B$504, B1583, '📅 Resumen Diario'!$C$5:$C$504, D1583) * SUMIFS('📅 Resumen Diario'!$K$5:$K$504, '📅 Resumen Diario'!$B$5:$B$504, B1583, '📅 Resumen Diario'!$C$5:$C$504, D1583), 0))</f>
        <v/>
      </c>
      <c r="M1583" s="31" t="str">
        <f t="shared" si="171"/>
        <v/>
      </c>
      <c r="N1583" s="31" t="str">
        <f t="shared" si="172"/>
        <v/>
      </c>
      <c r="O1583" s="31" t="str">
        <f>IF(OR(B1583="",C1583=""),"",K1583-N1583 + IFERROR(E1583 / SUMIFS('📅 Resumen Diario'!$D$5:$D$504, '📅 Resumen Diario'!$B$5:$B$504, B1583, '📅 Resumen Diario'!$C$5:$C$504, D1583) * (SUMIFS('📋 Detalle Diario'!$E$5:$E$489, '📋 Detalle Diario'!$B$5:$B$489, B1583, '📋 Detalle Diario'!$C$5:$C$489, D1583) * 135 + SUMIFS('📋 Detalle Diario'!$I$5:$I$489, '📋 Detalle Diario'!$B$5:$B$489, B1583, '📋 Detalle Diario'!$C$5:$C$489, D1583) * 200), 0))</f>
        <v/>
      </c>
      <c r="P1583" s="32" t="str">
        <f t="shared" si="173"/>
        <v/>
      </c>
      <c r="Q1583" s="33" t="str">
        <f t="shared" si="174"/>
        <v/>
      </c>
    </row>
    <row r="1584" spans="2:17" ht="18" customHeight="1" x14ac:dyDescent="0.3">
      <c r="B1584" s="26"/>
      <c r="C1584" s="17"/>
      <c r="D1584" s="27"/>
      <c r="E1584" s="18"/>
      <c r="F1584" s="18"/>
      <c r="G1584" s="18"/>
      <c r="H1584" s="30" t="str">
        <f t="shared" si="168"/>
        <v/>
      </c>
      <c r="I1584" s="31" t="str">
        <f>IF(OR(B1584="",C1584=""),"",IFERROR(E1584*IF(E1584="",0,VLOOKUP(C1584,'📦 Precios Proforma'!$B$5:$D$104,IF(D1584="DIA",2,3),FALSE)),0))</f>
        <v/>
      </c>
      <c r="J1584" s="31" t="str">
        <f t="shared" si="169"/>
        <v/>
      </c>
      <c r="K1584" s="31" t="str">
        <f t="shared" si="170"/>
        <v/>
      </c>
      <c r="L1584" s="31" t="str">
        <f>IF(OR(B1584="",C1584=""),"",IFERROR(E1584 / SUMIFS('📅 Resumen Diario'!$D$5:$D$504, '📅 Resumen Diario'!$B$5:$B$504, B1584, '📅 Resumen Diario'!$C$5:$C$504, D1584) * SUMIFS('📅 Resumen Diario'!$K$5:$K$504, '📅 Resumen Diario'!$B$5:$B$504, B1584, '📅 Resumen Diario'!$C$5:$C$504, D1584), 0))</f>
        <v/>
      </c>
      <c r="M1584" s="31" t="str">
        <f t="shared" si="171"/>
        <v/>
      </c>
      <c r="N1584" s="31" t="str">
        <f t="shared" si="172"/>
        <v/>
      </c>
      <c r="O1584" s="31" t="str">
        <f>IF(OR(B1584="",C1584=""),"",K1584-N1584 + IFERROR(E1584 / SUMIFS('📅 Resumen Diario'!$D$5:$D$504, '📅 Resumen Diario'!$B$5:$B$504, B1584, '📅 Resumen Diario'!$C$5:$C$504, D1584) * (SUMIFS('📋 Detalle Diario'!$E$5:$E$489, '📋 Detalle Diario'!$B$5:$B$489, B1584, '📋 Detalle Diario'!$C$5:$C$489, D1584) * 135 + SUMIFS('📋 Detalle Diario'!$I$5:$I$489, '📋 Detalle Diario'!$B$5:$B$489, B1584, '📋 Detalle Diario'!$C$5:$C$489, D1584) * 200), 0))</f>
        <v/>
      </c>
      <c r="P1584" s="32" t="str">
        <f t="shared" si="173"/>
        <v/>
      </c>
      <c r="Q1584" s="33" t="str">
        <f t="shared" si="174"/>
        <v/>
      </c>
    </row>
    <row r="1585" spans="2:17" ht="18" customHeight="1" x14ac:dyDescent="0.3">
      <c r="B1585" s="26"/>
      <c r="C1585" s="28"/>
      <c r="D1585" s="27"/>
      <c r="E1585" s="29"/>
      <c r="F1585" s="29"/>
      <c r="G1585" s="29"/>
      <c r="H1585" s="30" t="str">
        <f t="shared" si="168"/>
        <v/>
      </c>
      <c r="I1585" s="31" t="str">
        <f>IF(OR(B1585="",C1585=""),"",IFERROR(E1585*IF(E1585="",0,VLOOKUP(C1585,'📦 Precios Proforma'!$B$5:$D$104,IF(D1585="DIA",2,3),FALSE)),0))</f>
        <v/>
      </c>
      <c r="J1585" s="31" t="str">
        <f t="shared" si="169"/>
        <v/>
      </c>
      <c r="K1585" s="31" t="str">
        <f t="shared" si="170"/>
        <v/>
      </c>
      <c r="L1585" s="31" t="str">
        <f>IF(OR(B1585="",C1585=""),"",IFERROR(E1585 / SUMIFS('📅 Resumen Diario'!$D$5:$D$504, '📅 Resumen Diario'!$B$5:$B$504, B1585, '📅 Resumen Diario'!$C$5:$C$504, D1585) * SUMIFS('📅 Resumen Diario'!$K$5:$K$504, '📅 Resumen Diario'!$B$5:$B$504, B1585, '📅 Resumen Diario'!$C$5:$C$504, D1585), 0))</f>
        <v/>
      </c>
      <c r="M1585" s="31" t="str">
        <f t="shared" si="171"/>
        <v/>
      </c>
      <c r="N1585" s="31" t="str">
        <f t="shared" si="172"/>
        <v/>
      </c>
      <c r="O1585" s="31" t="str">
        <f>IF(OR(B1585="",C1585=""),"",K1585-N1585 + IFERROR(E1585 / SUMIFS('📅 Resumen Diario'!$D$5:$D$504, '📅 Resumen Diario'!$B$5:$B$504, B1585, '📅 Resumen Diario'!$C$5:$C$504, D1585) * (SUMIFS('📋 Detalle Diario'!$E$5:$E$489, '📋 Detalle Diario'!$B$5:$B$489, B1585, '📋 Detalle Diario'!$C$5:$C$489, D1585) * 135 + SUMIFS('📋 Detalle Diario'!$I$5:$I$489, '📋 Detalle Diario'!$B$5:$B$489, B1585, '📋 Detalle Diario'!$C$5:$C$489, D1585) * 200), 0))</f>
        <v/>
      </c>
      <c r="P1585" s="32" t="str">
        <f t="shared" si="173"/>
        <v/>
      </c>
      <c r="Q1585" s="33" t="str">
        <f t="shared" si="174"/>
        <v/>
      </c>
    </row>
    <row r="1586" spans="2:17" ht="18" customHeight="1" x14ac:dyDescent="0.3">
      <c r="B1586" s="26"/>
      <c r="C1586" s="17"/>
      <c r="D1586" s="27"/>
      <c r="E1586" s="18"/>
      <c r="F1586" s="18"/>
      <c r="G1586" s="18"/>
      <c r="H1586" s="30" t="str">
        <f t="shared" si="168"/>
        <v/>
      </c>
      <c r="I1586" s="31" t="str">
        <f>IF(OR(B1586="",C1586=""),"",IFERROR(E1586*IF(E1586="",0,VLOOKUP(C1586,'📦 Precios Proforma'!$B$5:$D$104,IF(D1586="DIA",2,3),FALSE)),0))</f>
        <v/>
      </c>
      <c r="J1586" s="31" t="str">
        <f t="shared" si="169"/>
        <v/>
      </c>
      <c r="K1586" s="31" t="str">
        <f t="shared" si="170"/>
        <v/>
      </c>
      <c r="L1586" s="31" t="str">
        <f>IF(OR(B1586="",C1586=""),"",IFERROR(E1586 / SUMIFS('📅 Resumen Diario'!$D$5:$D$504, '📅 Resumen Diario'!$B$5:$B$504, B1586, '📅 Resumen Diario'!$C$5:$C$504, D1586) * SUMIFS('📅 Resumen Diario'!$K$5:$K$504, '📅 Resumen Diario'!$B$5:$B$504, B1586, '📅 Resumen Diario'!$C$5:$C$504, D1586), 0))</f>
        <v/>
      </c>
      <c r="M1586" s="31" t="str">
        <f t="shared" si="171"/>
        <v/>
      </c>
      <c r="N1586" s="31" t="str">
        <f t="shared" si="172"/>
        <v/>
      </c>
      <c r="O1586" s="31" t="str">
        <f>IF(OR(B1586="",C1586=""),"",K1586-N1586 + IFERROR(E1586 / SUMIFS('📅 Resumen Diario'!$D$5:$D$504, '📅 Resumen Diario'!$B$5:$B$504, B1586, '📅 Resumen Diario'!$C$5:$C$504, D1586) * (SUMIFS('📋 Detalle Diario'!$E$5:$E$489, '📋 Detalle Diario'!$B$5:$B$489, B1586, '📋 Detalle Diario'!$C$5:$C$489, D1586) * 135 + SUMIFS('📋 Detalle Diario'!$I$5:$I$489, '📋 Detalle Diario'!$B$5:$B$489, B1586, '📋 Detalle Diario'!$C$5:$C$489, D1586) * 200), 0))</f>
        <v/>
      </c>
      <c r="P1586" s="32" t="str">
        <f t="shared" si="173"/>
        <v/>
      </c>
      <c r="Q1586" s="33" t="str">
        <f t="shared" si="174"/>
        <v/>
      </c>
    </row>
    <row r="1587" spans="2:17" ht="18" customHeight="1" x14ac:dyDescent="0.3">
      <c r="B1587" s="26"/>
      <c r="C1587" s="28"/>
      <c r="D1587" s="27"/>
      <c r="E1587" s="29"/>
      <c r="F1587" s="29"/>
      <c r="G1587" s="29"/>
      <c r="H1587" s="30" t="str">
        <f t="shared" si="168"/>
        <v/>
      </c>
      <c r="I1587" s="31" t="str">
        <f>IF(OR(B1587="",C1587=""),"",IFERROR(E1587*IF(E1587="",0,VLOOKUP(C1587,'📦 Precios Proforma'!$B$5:$D$104,IF(D1587="DIA",2,3),FALSE)),0))</f>
        <v/>
      </c>
      <c r="J1587" s="31" t="str">
        <f t="shared" si="169"/>
        <v/>
      </c>
      <c r="K1587" s="31" t="str">
        <f t="shared" si="170"/>
        <v/>
      </c>
      <c r="L1587" s="31" t="str">
        <f>IF(OR(B1587="",C1587=""),"",IFERROR(E1587 / SUMIFS('📅 Resumen Diario'!$D$5:$D$504, '📅 Resumen Diario'!$B$5:$B$504, B1587, '📅 Resumen Diario'!$C$5:$C$504, D1587) * SUMIFS('📅 Resumen Diario'!$K$5:$K$504, '📅 Resumen Diario'!$B$5:$B$504, B1587, '📅 Resumen Diario'!$C$5:$C$504, D1587), 0))</f>
        <v/>
      </c>
      <c r="M1587" s="31" t="str">
        <f t="shared" si="171"/>
        <v/>
      </c>
      <c r="N1587" s="31" t="str">
        <f t="shared" si="172"/>
        <v/>
      </c>
      <c r="O1587" s="31" t="str">
        <f>IF(OR(B1587="",C1587=""),"",K1587-N1587 + IFERROR(E1587 / SUMIFS('📅 Resumen Diario'!$D$5:$D$504, '📅 Resumen Diario'!$B$5:$B$504, B1587, '📅 Resumen Diario'!$C$5:$C$504, D1587) * (SUMIFS('📋 Detalle Diario'!$E$5:$E$489, '📋 Detalle Diario'!$B$5:$B$489, B1587, '📋 Detalle Diario'!$C$5:$C$489, D1587) * 135 + SUMIFS('📋 Detalle Diario'!$I$5:$I$489, '📋 Detalle Diario'!$B$5:$B$489, B1587, '📋 Detalle Diario'!$C$5:$C$489, D1587) * 200), 0))</f>
        <v/>
      </c>
      <c r="P1587" s="32" t="str">
        <f t="shared" si="173"/>
        <v/>
      </c>
      <c r="Q1587" s="33" t="str">
        <f t="shared" si="174"/>
        <v/>
      </c>
    </row>
    <row r="1588" spans="2:17" ht="18" customHeight="1" x14ac:dyDescent="0.3">
      <c r="B1588" s="26"/>
      <c r="C1588" s="17"/>
      <c r="D1588" s="27"/>
      <c r="E1588" s="18"/>
      <c r="F1588" s="18"/>
      <c r="G1588" s="18"/>
      <c r="H1588" s="30" t="str">
        <f t="shared" si="168"/>
        <v/>
      </c>
      <c r="I1588" s="31" t="str">
        <f>IF(OR(B1588="",C1588=""),"",IFERROR(E1588*IF(E1588="",0,VLOOKUP(C1588,'📦 Precios Proforma'!$B$5:$D$104,IF(D1588="DIA",2,3),FALSE)),0))</f>
        <v/>
      </c>
      <c r="J1588" s="31" t="str">
        <f t="shared" si="169"/>
        <v/>
      </c>
      <c r="K1588" s="31" t="str">
        <f t="shared" si="170"/>
        <v/>
      </c>
      <c r="L1588" s="31" t="str">
        <f>IF(OR(B1588="",C1588=""),"",IFERROR(E1588 / SUMIFS('📅 Resumen Diario'!$D$5:$D$504, '📅 Resumen Diario'!$B$5:$B$504, B1588, '📅 Resumen Diario'!$C$5:$C$504, D1588) * SUMIFS('📅 Resumen Diario'!$K$5:$K$504, '📅 Resumen Diario'!$B$5:$B$504, B1588, '📅 Resumen Diario'!$C$5:$C$504, D1588), 0))</f>
        <v/>
      </c>
      <c r="M1588" s="31" t="str">
        <f t="shared" si="171"/>
        <v/>
      </c>
      <c r="N1588" s="31" t="str">
        <f t="shared" si="172"/>
        <v/>
      </c>
      <c r="O1588" s="31" t="str">
        <f>IF(OR(B1588="",C1588=""),"",K1588-N1588 + IFERROR(E1588 / SUMIFS('📅 Resumen Diario'!$D$5:$D$504, '📅 Resumen Diario'!$B$5:$B$504, B1588, '📅 Resumen Diario'!$C$5:$C$504, D1588) * (SUMIFS('📋 Detalle Diario'!$E$5:$E$489, '📋 Detalle Diario'!$B$5:$B$489, B1588, '📋 Detalle Diario'!$C$5:$C$489, D1588) * 135 + SUMIFS('📋 Detalle Diario'!$I$5:$I$489, '📋 Detalle Diario'!$B$5:$B$489, B1588, '📋 Detalle Diario'!$C$5:$C$489, D1588) * 200), 0))</f>
        <v/>
      </c>
      <c r="P1588" s="32" t="str">
        <f t="shared" si="173"/>
        <v/>
      </c>
      <c r="Q1588" s="33" t="str">
        <f t="shared" si="174"/>
        <v/>
      </c>
    </row>
    <row r="1589" spans="2:17" ht="18" customHeight="1" x14ac:dyDescent="0.3">
      <c r="B1589" s="26"/>
      <c r="C1589" s="28"/>
      <c r="D1589" s="27"/>
      <c r="E1589" s="29"/>
      <c r="F1589" s="29"/>
      <c r="G1589" s="29"/>
      <c r="H1589" s="30" t="str">
        <f t="shared" si="168"/>
        <v/>
      </c>
      <c r="I1589" s="31" t="str">
        <f>IF(OR(B1589="",C1589=""),"",IFERROR(E1589*IF(E1589="",0,VLOOKUP(C1589,'📦 Precios Proforma'!$B$5:$D$104,IF(D1589="DIA",2,3),FALSE)),0))</f>
        <v/>
      </c>
      <c r="J1589" s="31" t="str">
        <f t="shared" si="169"/>
        <v/>
      </c>
      <c r="K1589" s="31" t="str">
        <f t="shared" si="170"/>
        <v/>
      </c>
      <c r="L1589" s="31" t="str">
        <f>IF(OR(B1589="",C1589=""),"",IFERROR(E1589 / SUMIFS('📅 Resumen Diario'!$D$5:$D$504, '📅 Resumen Diario'!$B$5:$B$504, B1589, '📅 Resumen Diario'!$C$5:$C$504, D1589) * SUMIFS('📅 Resumen Diario'!$K$5:$K$504, '📅 Resumen Diario'!$B$5:$B$504, B1589, '📅 Resumen Diario'!$C$5:$C$504, D1589), 0))</f>
        <v/>
      </c>
      <c r="M1589" s="31" t="str">
        <f t="shared" si="171"/>
        <v/>
      </c>
      <c r="N1589" s="31" t="str">
        <f t="shared" si="172"/>
        <v/>
      </c>
      <c r="O1589" s="31" t="str">
        <f>IF(OR(B1589="",C1589=""),"",K1589-N1589 + IFERROR(E1589 / SUMIFS('📅 Resumen Diario'!$D$5:$D$504, '📅 Resumen Diario'!$B$5:$B$504, B1589, '📅 Resumen Diario'!$C$5:$C$504, D1589) * (SUMIFS('📋 Detalle Diario'!$E$5:$E$489, '📋 Detalle Diario'!$B$5:$B$489, B1589, '📋 Detalle Diario'!$C$5:$C$489, D1589) * 135 + SUMIFS('📋 Detalle Diario'!$I$5:$I$489, '📋 Detalle Diario'!$B$5:$B$489, B1589, '📋 Detalle Diario'!$C$5:$C$489, D1589) * 200), 0))</f>
        <v/>
      </c>
      <c r="P1589" s="32" t="str">
        <f t="shared" si="173"/>
        <v/>
      </c>
      <c r="Q1589" s="33" t="str">
        <f t="shared" si="174"/>
        <v/>
      </c>
    </row>
    <row r="1590" spans="2:17" ht="18" customHeight="1" x14ac:dyDescent="0.3">
      <c r="B1590" s="26"/>
      <c r="C1590" s="17"/>
      <c r="D1590" s="27"/>
      <c r="E1590" s="18"/>
      <c r="F1590" s="18"/>
      <c r="G1590" s="18"/>
      <c r="H1590" s="30" t="str">
        <f t="shared" si="168"/>
        <v/>
      </c>
      <c r="I1590" s="31" t="str">
        <f>IF(OR(B1590="",C1590=""),"",IFERROR(E1590*IF(E1590="",0,VLOOKUP(C1590,'📦 Precios Proforma'!$B$5:$D$104,IF(D1590="DIA",2,3),FALSE)),0))</f>
        <v/>
      </c>
      <c r="J1590" s="31" t="str">
        <f t="shared" si="169"/>
        <v/>
      </c>
      <c r="K1590" s="31" t="str">
        <f t="shared" si="170"/>
        <v/>
      </c>
      <c r="L1590" s="31" t="str">
        <f>IF(OR(B1590="",C1590=""),"",IFERROR(E1590 / SUMIFS('📅 Resumen Diario'!$D$5:$D$504, '📅 Resumen Diario'!$B$5:$B$504, B1590, '📅 Resumen Diario'!$C$5:$C$504, D1590) * SUMIFS('📅 Resumen Diario'!$K$5:$K$504, '📅 Resumen Diario'!$B$5:$B$504, B1590, '📅 Resumen Diario'!$C$5:$C$504, D1590), 0))</f>
        <v/>
      </c>
      <c r="M1590" s="31" t="str">
        <f t="shared" si="171"/>
        <v/>
      </c>
      <c r="N1590" s="31" t="str">
        <f t="shared" si="172"/>
        <v/>
      </c>
      <c r="O1590" s="31" t="str">
        <f>IF(OR(B1590="",C1590=""),"",K1590-N1590 + IFERROR(E1590 / SUMIFS('📅 Resumen Diario'!$D$5:$D$504, '📅 Resumen Diario'!$B$5:$B$504, B1590, '📅 Resumen Diario'!$C$5:$C$504, D1590) * (SUMIFS('📋 Detalle Diario'!$E$5:$E$489, '📋 Detalle Diario'!$B$5:$B$489, B1590, '📋 Detalle Diario'!$C$5:$C$489, D1590) * 135 + SUMIFS('📋 Detalle Diario'!$I$5:$I$489, '📋 Detalle Diario'!$B$5:$B$489, B1590, '📋 Detalle Diario'!$C$5:$C$489, D1590) * 200), 0))</f>
        <v/>
      </c>
      <c r="P1590" s="32" t="str">
        <f t="shared" si="173"/>
        <v/>
      </c>
      <c r="Q1590" s="33" t="str">
        <f t="shared" si="174"/>
        <v/>
      </c>
    </row>
    <row r="1591" spans="2:17" ht="18" customHeight="1" x14ac:dyDescent="0.3">
      <c r="B1591" s="26"/>
      <c r="C1591" s="28"/>
      <c r="D1591" s="27"/>
      <c r="E1591" s="29"/>
      <c r="F1591" s="29"/>
      <c r="G1591" s="29"/>
      <c r="H1591" s="30" t="str">
        <f t="shared" si="168"/>
        <v/>
      </c>
      <c r="I1591" s="31" t="str">
        <f>IF(OR(B1591="",C1591=""),"",IFERROR(E1591*IF(E1591="",0,VLOOKUP(C1591,'📦 Precios Proforma'!$B$5:$D$104,IF(D1591="DIA",2,3),FALSE)),0))</f>
        <v/>
      </c>
      <c r="J1591" s="31" t="str">
        <f t="shared" si="169"/>
        <v/>
      </c>
      <c r="K1591" s="31" t="str">
        <f t="shared" si="170"/>
        <v/>
      </c>
      <c r="L1591" s="31" t="str">
        <f>IF(OR(B1591="",C1591=""),"",IFERROR(E1591 / SUMIFS('📅 Resumen Diario'!$D$5:$D$504, '📅 Resumen Diario'!$B$5:$B$504, B1591, '📅 Resumen Diario'!$C$5:$C$504, D1591) * SUMIFS('📅 Resumen Diario'!$K$5:$K$504, '📅 Resumen Diario'!$B$5:$B$504, B1591, '📅 Resumen Diario'!$C$5:$C$504, D1591), 0))</f>
        <v/>
      </c>
      <c r="M1591" s="31" t="str">
        <f t="shared" si="171"/>
        <v/>
      </c>
      <c r="N1591" s="31" t="str">
        <f t="shared" si="172"/>
        <v/>
      </c>
      <c r="O1591" s="31" t="str">
        <f>IF(OR(B1591="",C1591=""),"",K1591-N1591 + IFERROR(E1591 / SUMIFS('📅 Resumen Diario'!$D$5:$D$504, '📅 Resumen Diario'!$B$5:$B$504, B1591, '📅 Resumen Diario'!$C$5:$C$504, D1591) * (SUMIFS('📋 Detalle Diario'!$E$5:$E$489, '📋 Detalle Diario'!$B$5:$B$489, B1591, '📋 Detalle Diario'!$C$5:$C$489, D1591) * 135 + SUMIFS('📋 Detalle Diario'!$I$5:$I$489, '📋 Detalle Diario'!$B$5:$B$489, B1591, '📋 Detalle Diario'!$C$5:$C$489, D1591) * 200), 0))</f>
        <v/>
      </c>
      <c r="P1591" s="32" t="str">
        <f t="shared" si="173"/>
        <v/>
      </c>
      <c r="Q1591" s="33" t="str">
        <f t="shared" si="174"/>
        <v/>
      </c>
    </row>
    <row r="1592" spans="2:17" ht="18" customHeight="1" x14ac:dyDescent="0.3">
      <c r="B1592" s="26"/>
      <c r="C1592" s="17"/>
      <c r="D1592" s="27"/>
      <c r="E1592" s="18"/>
      <c r="F1592" s="18"/>
      <c r="G1592" s="18"/>
      <c r="H1592" s="30" t="str">
        <f t="shared" si="168"/>
        <v/>
      </c>
      <c r="I1592" s="31" t="str">
        <f>IF(OR(B1592="",C1592=""),"",IFERROR(E1592*IF(E1592="",0,VLOOKUP(C1592,'📦 Precios Proforma'!$B$5:$D$104,IF(D1592="DIA",2,3),FALSE)),0))</f>
        <v/>
      </c>
      <c r="J1592" s="31" t="str">
        <f t="shared" si="169"/>
        <v/>
      </c>
      <c r="K1592" s="31" t="str">
        <f t="shared" si="170"/>
        <v/>
      </c>
      <c r="L1592" s="31" t="str">
        <f>IF(OR(B1592="",C1592=""),"",IFERROR(E1592 / SUMIFS('📅 Resumen Diario'!$D$5:$D$504, '📅 Resumen Diario'!$B$5:$B$504, B1592, '📅 Resumen Diario'!$C$5:$C$504, D1592) * SUMIFS('📅 Resumen Diario'!$K$5:$K$504, '📅 Resumen Diario'!$B$5:$B$504, B1592, '📅 Resumen Diario'!$C$5:$C$504, D1592), 0))</f>
        <v/>
      </c>
      <c r="M1592" s="31" t="str">
        <f t="shared" si="171"/>
        <v/>
      </c>
      <c r="N1592" s="31" t="str">
        <f t="shared" si="172"/>
        <v/>
      </c>
      <c r="O1592" s="31" t="str">
        <f>IF(OR(B1592="",C1592=""),"",K1592-N1592 + IFERROR(E1592 / SUMIFS('📅 Resumen Diario'!$D$5:$D$504, '📅 Resumen Diario'!$B$5:$B$504, B1592, '📅 Resumen Diario'!$C$5:$C$504, D1592) * (SUMIFS('📋 Detalle Diario'!$E$5:$E$489, '📋 Detalle Diario'!$B$5:$B$489, B1592, '📋 Detalle Diario'!$C$5:$C$489, D1592) * 135 + SUMIFS('📋 Detalle Diario'!$I$5:$I$489, '📋 Detalle Diario'!$B$5:$B$489, B1592, '📋 Detalle Diario'!$C$5:$C$489, D1592) * 200), 0))</f>
        <v/>
      </c>
      <c r="P1592" s="32" t="str">
        <f t="shared" si="173"/>
        <v/>
      </c>
      <c r="Q1592" s="33" t="str">
        <f t="shared" si="174"/>
        <v/>
      </c>
    </row>
    <row r="1593" spans="2:17" ht="18" customHeight="1" x14ac:dyDescent="0.3">
      <c r="B1593" s="26"/>
      <c r="C1593" s="28"/>
      <c r="D1593" s="27"/>
      <c r="E1593" s="29"/>
      <c r="F1593" s="29"/>
      <c r="G1593" s="29"/>
      <c r="H1593" s="30" t="str">
        <f t="shared" si="168"/>
        <v/>
      </c>
      <c r="I1593" s="31" t="str">
        <f>IF(OR(B1593="",C1593=""),"",IFERROR(E1593*IF(E1593="",0,VLOOKUP(C1593,'📦 Precios Proforma'!$B$5:$D$104,IF(D1593="DIA",2,3),FALSE)),0))</f>
        <v/>
      </c>
      <c r="J1593" s="31" t="str">
        <f t="shared" si="169"/>
        <v/>
      </c>
      <c r="K1593" s="31" t="str">
        <f t="shared" si="170"/>
        <v/>
      </c>
      <c r="L1593" s="31" t="str">
        <f>IF(OR(B1593="",C1593=""),"",IFERROR(E1593 / SUMIFS('📅 Resumen Diario'!$D$5:$D$504, '📅 Resumen Diario'!$B$5:$B$504, B1593, '📅 Resumen Diario'!$C$5:$C$504, D1593) * SUMIFS('📅 Resumen Diario'!$K$5:$K$504, '📅 Resumen Diario'!$B$5:$B$504, B1593, '📅 Resumen Diario'!$C$5:$C$504, D1593), 0))</f>
        <v/>
      </c>
      <c r="M1593" s="31" t="str">
        <f t="shared" si="171"/>
        <v/>
      </c>
      <c r="N1593" s="31" t="str">
        <f t="shared" si="172"/>
        <v/>
      </c>
      <c r="O1593" s="31" t="str">
        <f>IF(OR(B1593="",C1593=""),"",K1593-N1593 + IFERROR(E1593 / SUMIFS('📅 Resumen Diario'!$D$5:$D$504, '📅 Resumen Diario'!$B$5:$B$504, B1593, '📅 Resumen Diario'!$C$5:$C$504, D1593) * (SUMIFS('📋 Detalle Diario'!$E$5:$E$489, '📋 Detalle Diario'!$B$5:$B$489, B1593, '📋 Detalle Diario'!$C$5:$C$489, D1593) * 135 + SUMIFS('📋 Detalle Diario'!$I$5:$I$489, '📋 Detalle Diario'!$B$5:$B$489, B1593, '📋 Detalle Diario'!$C$5:$C$489, D1593) * 200), 0))</f>
        <v/>
      </c>
      <c r="P1593" s="32" t="str">
        <f t="shared" si="173"/>
        <v/>
      </c>
      <c r="Q1593" s="33" t="str">
        <f t="shared" si="174"/>
        <v/>
      </c>
    </row>
    <row r="1594" spans="2:17" ht="18" customHeight="1" x14ac:dyDescent="0.3">
      <c r="B1594" s="26"/>
      <c r="C1594" s="17"/>
      <c r="D1594" s="27"/>
      <c r="E1594" s="18"/>
      <c r="F1594" s="18"/>
      <c r="G1594" s="18"/>
      <c r="H1594" s="30" t="str">
        <f t="shared" si="168"/>
        <v/>
      </c>
      <c r="I1594" s="31" t="str">
        <f>IF(OR(B1594="",C1594=""),"",IFERROR(E1594*IF(E1594="",0,VLOOKUP(C1594,'📦 Precios Proforma'!$B$5:$D$104,IF(D1594="DIA",2,3),FALSE)),0))</f>
        <v/>
      </c>
      <c r="J1594" s="31" t="str">
        <f t="shared" si="169"/>
        <v/>
      </c>
      <c r="K1594" s="31" t="str">
        <f t="shared" si="170"/>
        <v/>
      </c>
      <c r="L1594" s="31" t="str">
        <f>IF(OR(B1594="",C1594=""),"",IFERROR(E1594 / SUMIFS('📅 Resumen Diario'!$D$5:$D$504, '📅 Resumen Diario'!$B$5:$B$504, B1594, '📅 Resumen Diario'!$C$5:$C$504, D1594) * SUMIFS('📅 Resumen Diario'!$K$5:$K$504, '📅 Resumen Diario'!$B$5:$B$504, B1594, '📅 Resumen Diario'!$C$5:$C$504, D1594), 0))</f>
        <v/>
      </c>
      <c r="M1594" s="31" t="str">
        <f t="shared" si="171"/>
        <v/>
      </c>
      <c r="N1594" s="31" t="str">
        <f t="shared" si="172"/>
        <v/>
      </c>
      <c r="O1594" s="31" t="str">
        <f>IF(OR(B1594="",C1594=""),"",K1594-N1594 + IFERROR(E1594 / SUMIFS('📅 Resumen Diario'!$D$5:$D$504, '📅 Resumen Diario'!$B$5:$B$504, B1594, '📅 Resumen Diario'!$C$5:$C$504, D1594) * (SUMIFS('📋 Detalle Diario'!$E$5:$E$489, '📋 Detalle Diario'!$B$5:$B$489, B1594, '📋 Detalle Diario'!$C$5:$C$489, D1594) * 135 + SUMIFS('📋 Detalle Diario'!$I$5:$I$489, '📋 Detalle Diario'!$B$5:$B$489, B1594, '📋 Detalle Diario'!$C$5:$C$489, D1594) * 200), 0))</f>
        <v/>
      </c>
      <c r="P1594" s="32" t="str">
        <f t="shared" si="173"/>
        <v/>
      </c>
      <c r="Q1594" s="33" t="str">
        <f t="shared" si="174"/>
        <v/>
      </c>
    </row>
    <row r="1595" spans="2:17" ht="18" customHeight="1" x14ac:dyDescent="0.3">
      <c r="B1595" s="26"/>
      <c r="C1595" s="28"/>
      <c r="D1595" s="27"/>
      <c r="E1595" s="29"/>
      <c r="F1595" s="29"/>
      <c r="G1595" s="29"/>
      <c r="H1595" s="30" t="str">
        <f t="shared" si="168"/>
        <v/>
      </c>
      <c r="I1595" s="31" t="str">
        <f>IF(OR(B1595="",C1595=""),"",IFERROR(E1595*IF(E1595="",0,VLOOKUP(C1595,'📦 Precios Proforma'!$B$5:$D$104,IF(D1595="DIA",2,3),FALSE)),0))</f>
        <v/>
      </c>
      <c r="J1595" s="31" t="str">
        <f t="shared" si="169"/>
        <v/>
      </c>
      <c r="K1595" s="31" t="str">
        <f t="shared" si="170"/>
        <v/>
      </c>
      <c r="L1595" s="31" t="str">
        <f>IF(OR(B1595="",C1595=""),"",IFERROR(E1595 / SUMIFS('📅 Resumen Diario'!$D$5:$D$504, '📅 Resumen Diario'!$B$5:$B$504, B1595, '📅 Resumen Diario'!$C$5:$C$504, D1595) * SUMIFS('📅 Resumen Diario'!$K$5:$K$504, '📅 Resumen Diario'!$B$5:$B$504, B1595, '📅 Resumen Diario'!$C$5:$C$504, D1595), 0))</f>
        <v/>
      </c>
      <c r="M1595" s="31" t="str">
        <f t="shared" si="171"/>
        <v/>
      </c>
      <c r="N1595" s="31" t="str">
        <f t="shared" si="172"/>
        <v/>
      </c>
      <c r="O1595" s="31" t="str">
        <f>IF(OR(B1595="",C1595=""),"",K1595-N1595 + IFERROR(E1595 / SUMIFS('📅 Resumen Diario'!$D$5:$D$504, '📅 Resumen Diario'!$B$5:$B$504, B1595, '📅 Resumen Diario'!$C$5:$C$504, D1595) * (SUMIFS('📋 Detalle Diario'!$E$5:$E$489, '📋 Detalle Diario'!$B$5:$B$489, B1595, '📋 Detalle Diario'!$C$5:$C$489, D1595) * 135 + SUMIFS('📋 Detalle Diario'!$I$5:$I$489, '📋 Detalle Diario'!$B$5:$B$489, B1595, '📋 Detalle Diario'!$C$5:$C$489, D1595) * 200), 0))</f>
        <v/>
      </c>
      <c r="P1595" s="32" t="str">
        <f t="shared" si="173"/>
        <v/>
      </c>
      <c r="Q1595" s="33" t="str">
        <f t="shared" si="174"/>
        <v/>
      </c>
    </row>
    <row r="1596" spans="2:17" ht="18" customHeight="1" x14ac:dyDescent="0.3">
      <c r="B1596" s="26"/>
      <c r="C1596" s="17"/>
      <c r="D1596" s="27"/>
      <c r="E1596" s="18"/>
      <c r="F1596" s="18"/>
      <c r="G1596" s="18"/>
      <c r="H1596" s="30" t="str">
        <f t="shared" si="168"/>
        <v/>
      </c>
      <c r="I1596" s="31" t="str">
        <f>IF(OR(B1596="",C1596=""),"",IFERROR(E1596*IF(E1596="",0,VLOOKUP(C1596,'📦 Precios Proforma'!$B$5:$D$104,IF(D1596="DIA",2,3),FALSE)),0))</f>
        <v/>
      </c>
      <c r="J1596" s="31" t="str">
        <f t="shared" si="169"/>
        <v/>
      </c>
      <c r="K1596" s="31" t="str">
        <f t="shared" si="170"/>
        <v/>
      </c>
      <c r="L1596" s="31" t="str">
        <f>IF(OR(B1596="",C1596=""),"",IFERROR(E1596 / SUMIFS('📅 Resumen Diario'!$D$5:$D$504, '📅 Resumen Diario'!$B$5:$B$504, B1596, '📅 Resumen Diario'!$C$5:$C$504, D1596) * SUMIFS('📅 Resumen Diario'!$K$5:$K$504, '📅 Resumen Diario'!$B$5:$B$504, B1596, '📅 Resumen Diario'!$C$5:$C$504, D1596), 0))</f>
        <v/>
      </c>
      <c r="M1596" s="31" t="str">
        <f t="shared" si="171"/>
        <v/>
      </c>
      <c r="N1596" s="31" t="str">
        <f t="shared" si="172"/>
        <v/>
      </c>
      <c r="O1596" s="31" t="str">
        <f>IF(OR(B1596="",C1596=""),"",K1596-N1596 + IFERROR(E1596 / SUMIFS('📅 Resumen Diario'!$D$5:$D$504, '📅 Resumen Diario'!$B$5:$B$504, B1596, '📅 Resumen Diario'!$C$5:$C$504, D1596) * (SUMIFS('📋 Detalle Diario'!$E$5:$E$489, '📋 Detalle Diario'!$B$5:$B$489, B1596, '📋 Detalle Diario'!$C$5:$C$489, D1596) * 135 + SUMIFS('📋 Detalle Diario'!$I$5:$I$489, '📋 Detalle Diario'!$B$5:$B$489, B1596, '📋 Detalle Diario'!$C$5:$C$489, D1596) * 200), 0))</f>
        <v/>
      </c>
      <c r="P1596" s="32" t="str">
        <f t="shared" si="173"/>
        <v/>
      </c>
      <c r="Q1596" s="33" t="str">
        <f t="shared" si="174"/>
        <v/>
      </c>
    </row>
    <row r="1597" spans="2:17" ht="18" customHeight="1" x14ac:dyDescent="0.3">
      <c r="B1597" s="26"/>
      <c r="C1597" s="28"/>
      <c r="D1597" s="27"/>
      <c r="E1597" s="29"/>
      <c r="F1597" s="29"/>
      <c r="G1597" s="29"/>
      <c r="H1597" s="30" t="str">
        <f t="shared" si="168"/>
        <v/>
      </c>
      <c r="I1597" s="31" t="str">
        <f>IF(OR(B1597="",C1597=""),"",IFERROR(E1597*IF(E1597="",0,VLOOKUP(C1597,'📦 Precios Proforma'!$B$5:$D$104,IF(D1597="DIA",2,3),FALSE)),0))</f>
        <v/>
      </c>
      <c r="J1597" s="31" t="str">
        <f t="shared" si="169"/>
        <v/>
      </c>
      <c r="K1597" s="31" t="str">
        <f t="shared" si="170"/>
        <v/>
      </c>
      <c r="L1597" s="31" t="str">
        <f>IF(OR(B1597="",C1597=""),"",IFERROR(E1597 / SUMIFS('📅 Resumen Diario'!$D$5:$D$504, '📅 Resumen Diario'!$B$5:$B$504, B1597, '📅 Resumen Diario'!$C$5:$C$504, D1597) * SUMIFS('📅 Resumen Diario'!$K$5:$K$504, '📅 Resumen Diario'!$B$5:$B$504, B1597, '📅 Resumen Diario'!$C$5:$C$504, D1597), 0))</f>
        <v/>
      </c>
      <c r="M1597" s="31" t="str">
        <f t="shared" si="171"/>
        <v/>
      </c>
      <c r="N1597" s="31" t="str">
        <f t="shared" si="172"/>
        <v/>
      </c>
      <c r="O1597" s="31" t="str">
        <f>IF(OR(B1597="",C1597=""),"",K1597-N1597 + IFERROR(E1597 / SUMIFS('📅 Resumen Diario'!$D$5:$D$504, '📅 Resumen Diario'!$B$5:$B$504, B1597, '📅 Resumen Diario'!$C$5:$C$504, D1597) * (SUMIFS('📋 Detalle Diario'!$E$5:$E$489, '📋 Detalle Diario'!$B$5:$B$489, B1597, '📋 Detalle Diario'!$C$5:$C$489, D1597) * 135 + SUMIFS('📋 Detalle Diario'!$I$5:$I$489, '📋 Detalle Diario'!$B$5:$B$489, B1597, '📋 Detalle Diario'!$C$5:$C$489, D1597) * 200), 0))</f>
        <v/>
      </c>
      <c r="P1597" s="32" t="str">
        <f t="shared" si="173"/>
        <v/>
      </c>
      <c r="Q1597" s="33" t="str">
        <f t="shared" si="174"/>
        <v/>
      </c>
    </row>
    <row r="1598" spans="2:17" ht="18" customHeight="1" x14ac:dyDescent="0.3">
      <c r="B1598" s="26"/>
      <c r="C1598" s="17"/>
      <c r="D1598" s="27"/>
      <c r="E1598" s="18"/>
      <c r="F1598" s="18"/>
      <c r="G1598" s="18"/>
      <c r="H1598" s="30" t="str">
        <f t="shared" si="168"/>
        <v/>
      </c>
      <c r="I1598" s="31" t="str">
        <f>IF(OR(B1598="",C1598=""),"",IFERROR(E1598*IF(E1598="",0,VLOOKUP(C1598,'📦 Precios Proforma'!$B$5:$D$104,IF(D1598="DIA",2,3),FALSE)),0))</f>
        <v/>
      </c>
      <c r="J1598" s="31" t="str">
        <f t="shared" si="169"/>
        <v/>
      </c>
      <c r="K1598" s="31" t="str">
        <f t="shared" si="170"/>
        <v/>
      </c>
      <c r="L1598" s="31" t="str">
        <f>IF(OR(B1598="",C1598=""),"",IFERROR(E1598 / SUMIFS('📅 Resumen Diario'!$D$5:$D$504, '📅 Resumen Diario'!$B$5:$B$504, B1598, '📅 Resumen Diario'!$C$5:$C$504, D1598) * SUMIFS('📅 Resumen Diario'!$K$5:$K$504, '📅 Resumen Diario'!$B$5:$B$504, B1598, '📅 Resumen Diario'!$C$5:$C$504, D1598), 0))</f>
        <v/>
      </c>
      <c r="M1598" s="31" t="str">
        <f t="shared" si="171"/>
        <v/>
      </c>
      <c r="N1598" s="31" t="str">
        <f t="shared" si="172"/>
        <v/>
      </c>
      <c r="O1598" s="31" t="str">
        <f>IF(OR(B1598="",C1598=""),"",K1598-N1598 + IFERROR(E1598 / SUMIFS('📅 Resumen Diario'!$D$5:$D$504, '📅 Resumen Diario'!$B$5:$B$504, B1598, '📅 Resumen Diario'!$C$5:$C$504, D1598) * (SUMIFS('📋 Detalle Diario'!$E$5:$E$489, '📋 Detalle Diario'!$B$5:$B$489, B1598, '📋 Detalle Diario'!$C$5:$C$489, D1598) * 135 + SUMIFS('📋 Detalle Diario'!$I$5:$I$489, '📋 Detalle Diario'!$B$5:$B$489, B1598, '📋 Detalle Diario'!$C$5:$C$489, D1598) * 200), 0))</f>
        <v/>
      </c>
      <c r="P1598" s="32" t="str">
        <f t="shared" si="173"/>
        <v/>
      </c>
      <c r="Q1598" s="33" t="str">
        <f t="shared" si="174"/>
        <v/>
      </c>
    </row>
    <row r="1599" spans="2:17" ht="18" customHeight="1" x14ac:dyDescent="0.3">
      <c r="B1599" s="26"/>
      <c r="C1599" s="28"/>
      <c r="D1599" s="27"/>
      <c r="E1599" s="29"/>
      <c r="F1599" s="29"/>
      <c r="G1599" s="29"/>
      <c r="H1599" s="30" t="str">
        <f t="shared" si="168"/>
        <v/>
      </c>
      <c r="I1599" s="31" t="str">
        <f>IF(OR(B1599="",C1599=""),"",IFERROR(E1599*IF(E1599="",0,VLOOKUP(C1599,'📦 Precios Proforma'!$B$5:$D$104,IF(D1599="DIA",2,3),FALSE)),0))</f>
        <v/>
      </c>
      <c r="J1599" s="31" t="str">
        <f t="shared" si="169"/>
        <v/>
      </c>
      <c r="K1599" s="31" t="str">
        <f t="shared" si="170"/>
        <v/>
      </c>
      <c r="L1599" s="31" t="str">
        <f>IF(OR(B1599="",C1599=""),"",IFERROR(E1599 / SUMIFS('📅 Resumen Diario'!$D$5:$D$504, '📅 Resumen Diario'!$B$5:$B$504, B1599, '📅 Resumen Diario'!$C$5:$C$504, D1599) * SUMIFS('📅 Resumen Diario'!$K$5:$K$504, '📅 Resumen Diario'!$B$5:$B$504, B1599, '📅 Resumen Diario'!$C$5:$C$504, D1599), 0))</f>
        <v/>
      </c>
      <c r="M1599" s="31" t="str">
        <f t="shared" si="171"/>
        <v/>
      </c>
      <c r="N1599" s="31" t="str">
        <f t="shared" si="172"/>
        <v/>
      </c>
      <c r="O1599" s="31" t="str">
        <f>IF(OR(B1599="",C1599=""),"",K1599-N1599 + IFERROR(E1599 / SUMIFS('📅 Resumen Diario'!$D$5:$D$504, '📅 Resumen Diario'!$B$5:$B$504, B1599, '📅 Resumen Diario'!$C$5:$C$504, D1599) * (SUMIFS('📋 Detalle Diario'!$E$5:$E$489, '📋 Detalle Diario'!$B$5:$B$489, B1599, '📋 Detalle Diario'!$C$5:$C$489, D1599) * 135 + SUMIFS('📋 Detalle Diario'!$I$5:$I$489, '📋 Detalle Diario'!$B$5:$B$489, B1599, '📋 Detalle Diario'!$C$5:$C$489, D1599) * 200), 0))</f>
        <v/>
      </c>
      <c r="P1599" s="32" t="str">
        <f t="shared" si="173"/>
        <v/>
      </c>
      <c r="Q1599" s="33" t="str">
        <f t="shared" si="174"/>
        <v/>
      </c>
    </row>
    <row r="1600" spans="2:17" ht="18" customHeight="1" x14ac:dyDescent="0.3">
      <c r="B1600" s="26"/>
      <c r="C1600" s="17"/>
      <c r="D1600" s="27"/>
      <c r="E1600" s="18"/>
      <c r="F1600" s="18"/>
      <c r="G1600" s="18"/>
      <c r="H1600" s="30" t="str">
        <f t="shared" si="168"/>
        <v/>
      </c>
      <c r="I1600" s="31" t="str">
        <f>IF(OR(B1600="",C1600=""),"",IFERROR(E1600*IF(E1600="",0,VLOOKUP(C1600,'📦 Precios Proforma'!$B$5:$D$104,IF(D1600="DIA",2,3),FALSE)),0))</f>
        <v/>
      </c>
      <c r="J1600" s="31" t="str">
        <f t="shared" si="169"/>
        <v/>
      </c>
      <c r="K1600" s="31" t="str">
        <f t="shared" si="170"/>
        <v/>
      </c>
      <c r="L1600" s="31" t="str">
        <f>IF(OR(B1600="",C1600=""),"",IFERROR(E1600 / SUMIFS('📅 Resumen Diario'!$D$5:$D$504, '📅 Resumen Diario'!$B$5:$B$504, B1600, '📅 Resumen Diario'!$C$5:$C$504, D1600) * SUMIFS('📅 Resumen Diario'!$K$5:$K$504, '📅 Resumen Diario'!$B$5:$B$504, B1600, '📅 Resumen Diario'!$C$5:$C$504, D1600), 0))</f>
        <v/>
      </c>
      <c r="M1600" s="31" t="str">
        <f t="shared" si="171"/>
        <v/>
      </c>
      <c r="N1600" s="31" t="str">
        <f t="shared" si="172"/>
        <v/>
      </c>
      <c r="O1600" s="31" t="str">
        <f>IF(OR(B1600="",C1600=""),"",K1600-N1600 + IFERROR(E1600 / SUMIFS('📅 Resumen Diario'!$D$5:$D$504, '📅 Resumen Diario'!$B$5:$B$504, B1600, '📅 Resumen Diario'!$C$5:$C$504, D1600) * (SUMIFS('📋 Detalle Diario'!$E$5:$E$489, '📋 Detalle Diario'!$B$5:$B$489, B1600, '📋 Detalle Diario'!$C$5:$C$489, D1600) * 135 + SUMIFS('📋 Detalle Diario'!$I$5:$I$489, '📋 Detalle Diario'!$B$5:$B$489, B1600, '📋 Detalle Diario'!$C$5:$C$489, D1600) * 200), 0))</f>
        <v/>
      </c>
      <c r="P1600" s="32" t="str">
        <f t="shared" si="173"/>
        <v/>
      </c>
      <c r="Q1600" s="33" t="str">
        <f t="shared" si="174"/>
        <v/>
      </c>
    </row>
    <row r="1601" spans="2:17" ht="18" customHeight="1" x14ac:dyDescent="0.3">
      <c r="B1601" s="26"/>
      <c r="C1601" s="28"/>
      <c r="D1601" s="27"/>
      <c r="E1601" s="29"/>
      <c r="F1601" s="29"/>
      <c r="G1601" s="29"/>
      <c r="H1601" s="30" t="str">
        <f t="shared" si="168"/>
        <v/>
      </c>
      <c r="I1601" s="31" t="str">
        <f>IF(OR(B1601="",C1601=""),"",IFERROR(E1601*IF(E1601="",0,VLOOKUP(C1601,'📦 Precios Proforma'!$B$5:$D$104,IF(D1601="DIA",2,3),FALSE)),0))</f>
        <v/>
      </c>
      <c r="J1601" s="31" t="str">
        <f t="shared" si="169"/>
        <v/>
      </c>
      <c r="K1601" s="31" t="str">
        <f t="shared" si="170"/>
        <v/>
      </c>
      <c r="L1601" s="31" t="str">
        <f>IF(OR(B1601="",C1601=""),"",IFERROR(E1601 / SUMIFS('📅 Resumen Diario'!$D$5:$D$504, '📅 Resumen Diario'!$B$5:$B$504, B1601, '📅 Resumen Diario'!$C$5:$C$504, D1601) * SUMIFS('📅 Resumen Diario'!$K$5:$K$504, '📅 Resumen Diario'!$B$5:$B$504, B1601, '📅 Resumen Diario'!$C$5:$C$504, D1601), 0))</f>
        <v/>
      </c>
      <c r="M1601" s="31" t="str">
        <f t="shared" si="171"/>
        <v/>
      </c>
      <c r="N1601" s="31" t="str">
        <f t="shared" si="172"/>
        <v/>
      </c>
      <c r="O1601" s="31" t="str">
        <f>IF(OR(B1601="",C1601=""),"",K1601-N1601 + IFERROR(E1601 / SUMIFS('📅 Resumen Diario'!$D$5:$D$504, '📅 Resumen Diario'!$B$5:$B$504, B1601, '📅 Resumen Diario'!$C$5:$C$504, D1601) * (SUMIFS('📋 Detalle Diario'!$E$5:$E$489, '📋 Detalle Diario'!$B$5:$B$489, B1601, '📋 Detalle Diario'!$C$5:$C$489, D1601) * 135 + SUMIFS('📋 Detalle Diario'!$I$5:$I$489, '📋 Detalle Diario'!$B$5:$B$489, B1601, '📋 Detalle Diario'!$C$5:$C$489, D1601) * 200), 0))</f>
        <v/>
      </c>
      <c r="P1601" s="32" t="str">
        <f t="shared" si="173"/>
        <v/>
      </c>
      <c r="Q1601" s="33" t="str">
        <f t="shared" si="174"/>
        <v/>
      </c>
    </row>
    <row r="1602" spans="2:17" ht="18" customHeight="1" x14ac:dyDescent="0.3">
      <c r="B1602" s="26"/>
      <c r="C1602" s="17"/>
      <c r="D1602" s="27"/>
      <c r="E1602" s="18"/>
      <c r="F1602" s="18"/>
      <c r="G1602" s="18"/>
      <c r="H1602" s="30" t="str">
        <f t="shared" si="168"/>
        <v/>
      </c>
      <c r="I1602" s="31" t="str">
        <f>IF(OR(B1602="",C1602=""),"",IFERROR(E1602*IF(E1602="",0,VLOOKUP(C1602,'📦 Precios Proforma'!$B$5:$D$104,IF(D1602="DIA",2,3),FALSE)),0))</f>
        <v/>
      </c>
      <c r="J1602" s="31" t="str">
        <f t="shared" si="169"/>
        <v/>
      </c>
      <c r="K1602" s="31" t="str">
        <f t="shared" si="170"/>
        <v/>
      </c>
      <c r="L1602" s="31" t="str">
        <f>IF(OR(B1602="",C1602=""),"",IFERROR(E1602 / SUMIFS('📅 Resumen Diario'!$D$5:$D$504, '📅 Resumen Diario'!$B$5:$B$504, B1602, '📅 Resumen Diario'!$C$5:$C$504, D1602) * SUMIFS('📅 Resumen Diario'!$K$5:$K$504, '📅 Resumen Diario'!$B$5:$B$504, B1602, '📅 Resumen Diario'!$C$5:$C$504, D1602), 0))</f>
        <v/>
      </c>
      <c r="M1602" s="31" t="str">
        <f t="shared" si="171"/>
        <v/>
      </c>
      <c r="N1602" s="31" t="str">
        <f t="shared" si="172"/>
        <v/>
      </c>
      <c r="O1602" s="31" t="str">
        <f>IF(OR(B1602="",C1602=""),"",K1602-N1602 + IFERROR(E1602 / SUMIFS('📅 Resumen Diario'!$D$5:$D$504, '📅 Resumen Diario'!$B$5:$B$504, B1602, '📅 Resumen Diario'!$C$5:$C$504, D1602) * (SUMIFS('📋 Detalle Diario'!$E$5:$E$489, '📋 Detalle Diario'!$B$5:$B$489, B1602, '📋 Detalle Diario'!$C$5:$C$489, D1602) * 135 + SUMIFS('📋 Detalle Diario'!$I$5:$I$489, '📋 Detalle Diario'!$B$5:$B$489, B1602, '📋 Detalle Diario'!$C$5:$C$489, D1602) * 200), 0))</f>
        <v/>
      </c>
      <c r="P1602" s="32" t="str">
        <f t="shared" si="173"/>
        <v/>
      </c>
      <c r="Q1602" s="33" t="str">
        <f t="shared" si="174"/>
        <v/>
      </c>
    </row>
    <row r="1603" spans="2:17" ht="18" customHeight="1" x14ac:dyDescent="0.3">
      <c r="B1603" s="26"/>
      <c r="C1603" s="28"/>
      <c r="D1603" s="27"/>
      <c r="E1603" s="29"/>
      <c r="F1603" s="29"/>
      <c r="G1603" s="29"/>
      <c r="H1603" s="30" t="str">
        <f t="shared" si="168"/>
        <v/>
      </c>
      <c r="I1603" s="31" t="str">
        <f>IF(OR(B1603="",C1603=""),"",IFERROR(E1603*IF(E1603="",0,VLOOKUP(C1603,'📦 Precios Proforma'!$B$5:$D$104,IF(D1603="DIA",2,3),FALSE)),0))</f>
        <v/>
      </c>
      <c r="J1603" s="31" t="str">
        <f t="shared" si="169"/>
        <v/>
      </c>
      <c r="K1603" s="31" t="str">
        <f t="shared" si="170"/>
        <v/>
      </c>
      <c r="L1603" s="31" t="str">
        <f>IF(OR(B1603="",C1603=""),"",IFERROR(E1603 / SUMIFS('📅 Resumen Diario'!$D$5:$D$504, '📅 Resumen Diario'!$B$5:$B$504, B1603, '📅 Resumen Diario'!$C$5:$C$504, D1603) * SUMIFS('📅 Resumen Diario'!$K$5:$K$504, '📅 Resumen Diario'!$B$5:$B$504, B1603, '📅 Resumen Diario'!$C$5:$C$504, D1603), 0))</f>
        <v/>
      </c>
      <c r="M1603" s="31" t="str">
        <f t="shared" si="171"/>
        <v/>
      </c>
      <c r="N1603" s="31" t="str">
        <f t="shared" si="172"/>
        <v/>
      </c>
      <c r="O1603" s="31" t="str">
        <f>IF(OR(B1603="",C1603=""),"",K1603-N1603 + IFERROR(E1603 / SUMIFS('📅 Resumen Diario'!$D$5:$D$504, '📅 Resumen Diario'!$B$5:$B$504, B1603, '📅 Resumen Diario'!$C$5:$C$504, D1603) * (SUMIFS('📋 Detalle Diario'!$E$5:$E$489, '📋 Detalle Diario'!$B$5:$B$489, B1603, '📋 Detalle Diario'!$C$5:$C$489, D1603) * 135 + SUMIFS('📋 Detalle Diario'!$I$5:$I$489, '📋 Detalle Diario'!$B$5:$B$489, B1603, '📋 Detalle Diario'!$C$5:$C$489, D1603) * 200), 0))</f>
        <v/>
      </c>
      <c r="P1603" s="32" t="str">
        <f t="shared" si="173"/>
        <v/>
      </c>
      <c r="Q1603" s="33" t="str">
        <f t="shared" si="174"/>
        <v/>
      </c>
    </row>
    <row r="1604" spans="2:17" ht="18" customHeight="1" x14ac:dyDescent="0.3">
      <c r="B1604" s="26"/>
      <c r="C1604" s="17"/>
      <c r="D1604" s="27"/>
      <c r="E1604" s="18"/>
      <c r="F1604" s="18"/>
      <c r="G1604" s="18"/>
      <c r="H1604" s="30" t="str">
        <f t="shared" si="168"/>
        <v/>
      </c>
      <c r="I1604" s="31" t="str">
        <f>IF(OR(B1604="",C1604=""),"",IFERROR(E1604*IF(E1604="",0,VLOOKUP(C1604,'📦 Precios Proforma'!$B$5:$D$104,IF(D1604="DIA",2,3),FALSE)),0))</f>
        <v/>
      </c>
      <c r="J1604" s="31" t="str">
        <f t="shared" si="169"/>
        <v/>
      </c>
      <c r="K1604" s="31" t="str">
        <f t="shared" si="170"/>
        <v/>
      </c>
      <c r="L1604" s="31" t="str">
        <f>IF(OR(B1604="",C1604=""),"",IFERROR(E1604 / SUMIFS('📅 Resumen Diario'!$D$5:$D$504, '📅 Resumen Diario'!$B$5:$B$504, B1604, '📅 Resumen Diario'!$C$5:$C$504, D1604) * SUMIFS('📅 Resumen Diario'!$K$5:$K$504, '📅 Resumen Diario'!$B$5:$B$504, B1604, '📅 Resumen Diario'!$C$5:$C$504, D1604), 0))</f>
        <v/>
      </c>
      <c r="M1604" s="31" t="str">
        <f t="shared" si="171"/>
        <v/>
      </c>
      <c r="N1604" s="31" t="str">
        <f t="shared" si="172"/>
        <v/>
      </c>
      <c r="O1604" s="31" t="str">
        <f>IF(OR(B1604="",C1604=""),"",K1604-N1604 + IFERROR(E1604 / SUMIFS('📅 Resumen Diario'!$D$5:$D$504, '📅 Resumen Diario'!$B$5:$B$504, B1604, '📅 Resumen Diario'!$C$5:$C$504, D1604) * (SUMIFS('📋 Detalle Diario'!$E$5:$E$489, '📋 Detalle Diario'!$B$5:$B$489, B1604, '📋 Detalle Diario'!$C$5:$C$489, D1604) * 135 + SUMIFS('📋 Detalle Diario'!$I$5:$I$489, '📋 Detalle Diario'!$B$5:$B$489, B1604, '📋 Detalle Diario'!$C$5:$C$489, D1604) * 200), 0))</f>
        <v/>
      </c>
      <c r="P1604" s="32" t="str">
        <f t="shared" si="173"/>
        <v/>
      </c>
      <c r="Q1604" s="33" t="str">
        <f t="shared" si="174"/>
        <v/>
      </c>
    </row>
    <row r="1605" spans="2:17" ht="18" customHeight="1" x14ac:dyDescent="0.3">
      <c r="B1605" s="26"/>
      <c r="C1605" s="28"/>
      <c r="D1605" s="27"/>
      <c r="E1605" s="29"/>
      <c r="F1605" s="29"/>
      <c r="G1605" s="29"/>
      <c r="H1605" s="30" t="str">
        <f t="shared" si="168"/>
        <v/>
      </c>
      <c r="I1605" s="31" t="str">
        <f>IF(OR(B1605="",C1605=""),"",IFERROR(E1605*IF(E1605="",0,VLOOKUP(C1605,'📦 Precios Proforma'!$B$5:$D$104,IF(D1605="DIA",2,3),FALSE)),0))</f>
        <v/>
      </c>
      <c r="J1605" s="31" t="str">
        <f t="shared" si="169"/>
        <v/>
      </c>
      <c r="K1605" s="31" t="str">
        <f t="shared" si="170"/>
        <v/>
      </c>
      <c r="L1605" s="31" t="str">
        <f>IF(OR(B1605="",C1605=""),"",IFERROR(E1605 / SUMIFS('📅 Resumen Diario'!$D$5:$D$504, '📅 Resumen Diario'!$B$5:$B$504, B1605, '📅 Resumen Diario'!$C$5:$C$504, D1605) * SUMIFS('📅 Resumen Diario'!$K$5:$K$504, '📅 Resumen Diario'!$B$5:$B$504, B1605, '📅 Resumen Diario'!$C$5:$C$504, D1605), 0))</f>
        <v/>
      </c>
      <c r="M1605" s="31" t="str">
        <f t="shared" si="171"/>
        <v/>
      </c>
      <c r="N1605" s="31" t="str">
        <f t="shared" si="172"/>
        <v/>
      </c>
      <c r="O1605" s="31" t="str">
        <f>IF(OR(B1605="",C1605=""),"",K1605-N1605 + IFERROR(E1605 / SUMIFS('📅 Resumen Diario'!$D$5:$D$504, '📅 Resumen Diario'!$B$5:$B$504, B1605, '📅 Resumen Diario'!$C$5:$C$504, D1605) * (SUMIFS('📋 Detalle Diario'!$E$5:$E$489, '📋 Detalle Diario'!$B$5:$B$489, B1605, '📋 Detalle Diario'!$C$5:$C$489, D1605) * 135 + SUMIFS('📋 Detalle Diario'!$I$5:$I$489, '📋 Detalle Diario'!$B$5:$B$489, B1605, '📋 Detalle Diario'!$C$5:$C$489, D1605) * 200), 0))</f>
        <v/>
      </c>
      <c r="P1605" s="32" t="str">
        <f t="shared" si="173"/>
        <v/>
      </c>
      <c r="Q1605" s="33" t="str">
        <f t="shared" si="174"/>
        <v/>
      </c>
    </row>
    <row r="1606" spans="2:17" ht="18" customHeight="1" x14ac:dyDescent="0.3">
      <c r="B1606" s="26"/>
      <c r="C1606" s="17"/>
      <c r="D1606" s="27"/>
      <c r="E1606" s="18"/>
      <c r="F1606" s="18"/>
      <c r="G1606" s="18"/>
      <c r="H1606" s="30" t="str">
        <f t="shared" si="168"/>
        <v/>
      </c>
      <c r="I1606" s="31" t="str">
        <f>IF(OR(B1606="",C1606=""),"",IFERROR(E1606*IF(E1606="",0,VLOOKUP(C1606,'📦 Precios Proforma'!$B$5:$D$104,IF(D1606="DIA",2,3),FALSE)),0))</f>
        <v/>
      </c>
      <c r="J1606" s="31" t="str">
        <f t="shared" si="169"/>
        <v/>
      </c>
      <c r="K1606" s="31" t="str">
        <f t="shared" si="170"/>
        <v/>
      </c>
      <c r="L1606" s="31" t="str">
        <f>IF(OR(B1606="",C1606=""),"",IFERROR(E1606 / SUMIFS('📅 Resumen Diario'!$D$5:$D$504, '📅 Resumen Diario'!$B$5:$B$504, B1606, '📅 Resumen Diario'!$C$5:$C$504, D1606) * SUMIFS('📅 Resumen Diario'!$K$5:$K$504, '📅 Resumen Diario'!$B$5:$B$504, B1606, '📅 Resumen Diario'!$C$5:$C$504, D1606), 0))</f>
        <v/>
      </c>
      <c r="M1606" s="31" t="str">
        <f t="shared" si="171"/>
        <v/>
      </c>
      <c r="N1606" s="31" t="str">
        <f t="shared" si="172"/>
        <v/>
      </c>
      <c r="O1606" s="31" t="str">
        <f>IF(OR(B1606="",C1606=""),"",K1606-N1606 + IFERROR(E1606 / SUMIFS('📅 Resumen Diario'!$D$5:$D$504, '📅 Resumen Diario'!$B$5:$B$504, B1606, '📅 Resumen Diario'!$C$5:$C$504, D1606) * (SUMIFS('📋 Detalle Diario'!$E$5:$E$489, '📋 Detalle Diario'!$B$5:$B$489, B1606, '📋 Detalle Diario'!$C$5:$C$489, D1606) * 135 + SUMIFS('📋 Detalle Diario'!$I$5:$I$489, '📋 Detalle Diario'!$B$5:$B$489, B1606, '📋 Detalle Diario'!$C$5:$C$489, D1606) * 200), 0))</f>
        <v/>
      </c>
      <c r="P1606" s="32" t="str">
        <f t="shared" si="173"/>
        <v/>
      </c>
      <c r="Q1606" s="33" t="str">
        <f t="shared" si="174"/>
        <v/>
      </c>
    </row>
    <row r="1607" spans="2:17" ht="18" customHeight="1" x14ac:dyDescent="0.3">
      <c r="B1607" s="26"/>
      <c r="C1607" s="28"/>
      <c r="D1607" s="27"/>
      <c r="E1607" s="29"/>
      <c r="F1607" s="29"/>
      <c r="G1607" s="29"/>
      <c r="H1607" s="30" t="str">
        <f t="shared" ref="H1607:H1670" si="175">IF(OR(B1607="",C1607=""),"",F1607+G1607)</f>
        <v/>
      </c>
      <c r="I1607" s="31" t="str">
        <f>IF(OR(B1607="",C1607=""),"",IFERROR(E1607*IF(E1607="",0,VLOOKUP(C1607,'📦 Precios Proforma'!$B$5:$D$104,IF(D1607="DIA",2,3),FALSE)),0))</f>
        <v/>
      </c>
      <c r="J1607" s="31" t="str">
        <f t="shared" ref="J1607:J1670" si="176">IF(OR(B1607="",C1607=""),"",IF(D1607="DIA",H1607*1.01,H1607*1.35))</f>
        <v/>
      </c>
      <c r="K1607" s="31" t="str">
        <f t="shared" ref="K1607:K1670" si="177">IF(OR(B1607="",C1607=""),"",I1607+J1607)</f>
        <v/>
      </c>
      <c r="L1607" s="31" t="str">
        <f>IF(OR(B1607="",C1607=""),"",IFERROR(E1607 / SUMIFS('📅 Resumen Diario'!$D$5:$D$504, '📅 Resumen Diario'!$B$5:$B$504, B1607, '📅 Resumen Diario'!$C$5:$C$504, D1607) * SUMIFS('📅 Resumen Diario'!$K$5:$K$504, '📅 Resumen Diario'!$B$5:$B$504, B1607, '📅 Resumen Diario'!$C$5:$C$504, D1607), 0))</f>
        <v/>
      </c>
      <c r="M1607" s="31" t="str">
        <f t="shared" ref="M1607:M1670" si="178">IF(OR(B1607="",C1607=""),"",H1607*0.09)</f>
        <v/>
      </c>
      <c r="N1607" s="31" t="str">
        <f t="shared" ref="N1607:N1670" si="179">IF(OR(B1607="",C1607=""),"",L1607+M1607)</f>
        <v/>
      </c>
      <c r="O1607" s="31" t="str">
        <f>IF(OR(B1607="",C1607=""),"",K1607-N1607 + IFERROR(E1607 / SUMIFS('📅 Resumen Diario'!$D$5:$D$504, '📅 Resumen Diario'!$B$5:$B$504, B1607, '📅 Resumen Diario'!$C$5:$C$504, D1607) * (SUMIFS('📋 Detalle Diario'!$E$5:$E$489, '📋 Detalle Diario'!$B$5:$B$489, B1607, '📋 Detalle Diario'!$C$5:$C$489, D1607) * 135 + SUMIFS('📋 Detalle Diario'!$I$5:$I$489, '📋 Detalle Diario'!$B$5:$B$489, B1607, '📋 Detalle Diario'!$C$5:$C$489, D1607) * 200), 0))</f>
        <v/>
      </c>
      <c r="P1607" s="32" t="str">
        <f t="shared" ref="P1607:P1670" si="180">IF(OR(B1607="",C1607=""),"",IF(K1607=0, 0, O1607/K1607))</f>
        <v/>
      </c>
      <c r="Q1607" s="33" t="str">
        <f t="shared" ref="Q1607:Q1670" si="181">IF(B1607="","",IF(ISNUMBER(B1607),YEAR(B1607)&amp;"-"&amp;IF(MONTH(B1607)&lt;10,"0","")&amp;MONTH(B1607),LEFT(B1607,7)))</f>
        <v/>
      </c>
    </row>
    <row r="1608" spans="2:17" ht="18" customHeight="1" x14ac:dyDescent="0.3">
      <c r="B1608" s="26"/>
      <c r="C1608" s="17"/>
      <c r="D1608" s="27"/>
      <c r="E1608" s="18"/>
      <c r="F1608" s="18"/>
      <c r="G1608" s="18"/>
      <c r="H1608" s="30" t="str">
        <f t="shared" si="175"/>
        <v/>
      </c>
      <c r="I1608" s="31" t="str">
        <f>IF(OR(B1608="",C1608=""),"",IFERROR(E1608*IF(E1608="",0,VLOOKUP(C1608,'📦 Precios Proforma'!$B$5:$D$104,IF(D1608="DIA",2,3),FALSE)),0))</f>
        <v/>
      </c>
      <c r="J1608" s="31" t="str">
        <f t="shared" si="176"/>
        <v/>
      </c>
      <c r="K1608" s="31" t="str">
        <f t="shared" si="177"/>
        <v/>
      </c>
      <c r="L1608" s="31" t="str">
        <f>IF(OR(B1608="",C1608=""),"",IFERROR(E1608 / SUMIFS('📅 Resumen Diario'!$D$5:$D$504, '📅 Resumen Diario'!$B$5:$B$504, B1608, '📅 Resumen Diario'!$C$5:$C$504, D1608) * SUMIFS('📅 Resumen Diario'!$K$5:$K$504, '📅 Resumen Diario'!$B$5:$B$504, B1608, '📅 Resumen Diario'!$C$5:$C$504, D1608), 0))</f>
        <v/>
      </c>
      <c r="M1608" s="31" t="str">
        <f t="shared" si="178"/>
        <v/>
      </c>
      <c r="N1608" s="31" t="str">
        <f t="shared" si="179"/>
        <v/>
      </c>
      <c r="O1608" s="31" t="str">
        <f>IF(OR(B1608="",C1608=""),"",K1608-N1608 + IFERROR(E1608 / SUMIFS('📅 Resumen Diario'!$D$5:$D$504, '📅 Resumen Diario'!$B$5:$B$504, B1608, '📅 Resumen Diario'!$C$5:$C$504, D1608) * (SUMIFS('📋 Detalle Diario'!$E$5:$E$489, '📋 Detalle Diario'!$B$5:$B$489, B1608, '📋 Detalle Diario'!$C$5:$C$489, D1608) * 135 + SUMIFS('📋 Detalle Diario'!$I$5:$I$489, '📋 Detalle Diario'!$B$5:$B$489, B1608, '📋 Detalle Diario'!$C$5:$C$489, D1608) * 200), 0))</f>
        <v/>
      </c>
      <c r="P1608" s="32" t="str">
        <f t="shared" si="180"/>
        <v/>
      </c>
      <c r="Q1608" s="33" t="str">
        <f t="shared" si="181"/>
        <v/>
      </c>
    </row>
    <row r="1609" spans="2:17" ht="18" customHeight="1" x14ac:dyDescent="0.3">
      <c r="B1609" s="26"/>
      <c r="C1609" s="28"/>
      <c r="D1609" s="27"/>
      <c r="E1609" s="29"/>
      <c r="F1609" s="29"/>
      <c r="G1609" s="29"/>
      <c r="H1609" s="30" t="str">
        <f t="shared" si="175"/>
        <v/>
      </c>
      <c r="I1609" s="31" t="str">
        <f>IF(OR(B1609="",C1609=""),"",IFERROR(E1609*IF(E1609="",0,VLOOKUP(C1609,'📦 Precios Proforma'!$B$5:$D$104,IF(D1609="DIA",2,3),FALSE)),0))</f>
        <v/>
      </c>
      <c r="J1609" s="31" t="str">
        <f t="shared" si="176"/>
        <v/>
      </c>
      <c r="K1609" s="31" t="str">
        <f t="shared" si="177"/>
        <v/>
      </c>
      <c r="L1609" s="31" t="str">
        <f>IF(OR(B1609="",C1609=""),"",IFERROR(E1609 / SUMIFS('📅 Resumen Diario'!$D$5:$D$504, '📅 Resumen Diario'!$B$5:$B$504, B1609, '📅 Resumen Diario'!$C$5:$C$504, D1609) * SUMIFS('📅 Resumen Diario'!$K$5:$K$504, '📅 Resumen Diario'!$B$5:$B$504, B1609, '📅 Resumen Diario'!$C$5:$C$504, D1609), 0))</f>
        <v/>
      </c>
      <c r="M1609" s="31" t="str">
        <f t="shared" si="178"/>
        <v/>
      </c>
      <c r="N1609" s="31" t="str">
        <f t="shared" si="179"/>
        <v/>
      </c>
      <c r="O1609" s="31" t="str">
        <f>IF(OR(B1609="",C1609=""),"",K1609-N1609 + IFERROR(E1609 / SUMIFS('📅 Resumen Diario'!$D$5:$D$504, '📅 Resumen Diario'!$B$5:$B$504, B1609, '📅 Resumen Diario'!$C$5:$C$504, D1609) * (SUMIFS('📋 Detalle Diario'!$E$5:$E$489, '📋 Detalle Diario'!$B$5:$B$489, B1609, '📋 Detalle Diario'!$C$5:$C$489, D1609) * 135 + SUMIFS('📋 Detalle Diario'!$I$5:$I$489, '📋 Detalle Diario'!$B$5:$B$489, B1609, '📋 Detalle Diario'!$C$5:$C$489, D1609) * 200), 0))</f>
        <v/>
      </c>
      <c r="P1609" s="32" t="str">
        <f t="shared" si="180"/>
        <v/>
      </c>
      <c r="Q1609" s="33" t="str">
        <f t="shared" si="181"/>
        <v/>
      </c>
    </row>
    <row r="1610" spans="2:17" ht="18" customHeight="1" x14ac:dyDescent="0.3">
      <c r="B1610" s="26"/>
      <c r="C1610" s="17"/>
      <c r="D1610" s="27"/>
      <c r="E1610" s="18"/>
      <c r="F1610" s="18"/>
      <c r="G1610" s="18"/>
      <c r="H1610" s="30" t="str">
        <f t="shared" si="175"/>
        <v/>
      </c>
      <c r="I1610" s="31" t="str">
        <f>IF(OR(B1610="",C1610=""),"",IFERROR(E1610*IF(E1610="",0,VLOOKUP(C1610,'📦 Precios Proforma'!$B$5:$D$104,IF(D1610="DIA",2,3),FALSE)),0))</f>
        <v/>
      </c>
      <c r="J1610" s="31" t="str">
        <f t="shared" si="176"/>
        <v/>
      </c>
      <c r="K1610" s="31" t="str">
        <f t="shared" si="177"/>
        <v/>
      </c>
      <c r="L1610" s="31" t="str">
        <f>IF(OR(B1610="",C1610=""),"",IFERROR(E1610 / SUMIFS('📅 Resumen Diario'!$D$5:$D$504, '📅 Resumen Diario'!$B$5:$B$504, B1610, '📅 Resumen Diario'!$C$5:$C$504, D1610) * SUMIFS('📅 Resumen Diario'!$K$5:$K$504, '📅 Resumen Diario'!$B$5:$B$504, B1610, '📅 Resumen Diario'!$C$5:$C$504, D1610), 0))</f>
        <v/>
      </c>
      <c r="M1610" s="31" t="str">
        <f t="shared" si="178"/>
        <v/>
      </c>
      <c r="N1610" s="31" t="str">
        <f t="shared" si="179"/>
        <v/>
      </c>
      <c r="O1610" s="31" t="str">
        <f>IF(OR(B1610="",C1610=""),"",K1610-N1610 + IFERROR(E1610 / SUMIFS('📅 Resumen Diario'!$D$5:$D$504, '📅 Resumen Diario'!$B$5:$B$504, B1610, '📅 Resumen Diario'!$C$5:$C$504, D1610) * (SUMIFS('📋 Detalle Diario'!$E$5:$E$489, '📋 Detalle Diario'!$B$5:$B$489, B1610, '📋 Detalle Diario'!$C$5:$C$489, D1610) * 135 + SUMIFS('📋 Detalle Diario'!$I$5:$I$489, '📋 Detalle Diario'!$B$5:$B$489, B1610, '📋 Detalle Diario'!$C$5:$C$489, D1610) * 200), 0))</f>
        <v/>
      </c>
      <c r="P1610" s="32" t="str">
        <f t="shared" si="180"/>
        <v/>
      </c>
      <c r="Q1610" s="33" t="str">
        <f t="shared" si="181"/>
        <v/>
      </c>
    </row>
    <row r="1611" spans="2:17" ht="18" customHeight="1" x14ac:dyDescent="0.3">
      <c r="B1611" s="26"/>
      <c r="C1611" s="28"/>
      <c r="D1611" s="27"/>
      <c r="E1611" s="29"/>
      <c r="F1611" s="29"/>
      <c r="G1611" s="29"/>
      <c r="H1611" s="30" t="str">
        <f t="shared" si="175"/>
        <v/>
      </c>
      <c r="I1611" s="31" t="str">
        <f>IF(OR(B1611="",C1611=""),"",IFERROR(E1611*IF(E1611="",0,VLOOKUP(C1611,'📦 Precios Proforma'!$B$5:$D$104,IF(D1611="DIA",2,3),FALSE)),0))</f>
        <v/>
      </c>
      <c r="J1611" s="31" t="str">
        <f t="shared" si="176"/>
        <v/>
      </c>
      <c r="K1611" s="31" t="str">
        <f t="shared" si="177"/>
        <v/>
      </c>
      <c r="L1611" s="31" t="str">
        <f>IF(OR(B1611="",C1611=""),"",IFERROR(E1611 / SUMIFS('📅 Resumen Diario'!$D$5:$D$504, '📅 Resumen Diario'!$B$5:$B$504, B1611, '📅 Resumen Diario'!$C$5:$C$504, D1611) * SUMIFS('📅 Resumen Diario'!$K$5:$K$504, '📅 Resumen Diario'!$B$5:$B$504, B1611, '📅 Resumen Diario'!$C$5:$C$504, D1611), 0))</f>
        <v/>
      </c>
      <c r="M1611" s="31" t="str">
        <f t="shared" si="178"/>
        <v/>
      </c>
      <c r="N1611" s="31" t="str">
        <f t="shared" si="179"/>
        <v/>
      </c>
      <c r="O1611" s="31" t="str">
        <f>IF(OR(B1611="",C1611=""),"",K1611-N1611 + IFERROR(E1611 / SUMIFS('📅 Resumen Diario'!$D$5:$D$504, '📅 Resumen Diario'!$B$5:$B$504, B1611, '📅 Resumen Diario'!$C$5:$C$504, D1611) * (SUMIFS('📋 Detalle Diario'!$E$5:$E$489, '📋 Detalle Diario'!$B$5:$B$489, B1611, '📋 Detalle Diario'!$C$5:$C$489, D1611) * 135 + SUMIFS('📋 Detalle Diario'!$I$5:$I$489, '📋 Detalle Diario'!$B$5:$B$489, B1611, '📋 Detalle Diario'!$C$5:$C$489, D1611) * 200), 0))</f>
        <v/>
      </c>
      <c r="P1611" s="32" t="str">
        <f t="shared" si="180"/>
        <v/>
      </c>
      <c r="Q1611" s="33" t="str">
        <f t="shared" si="181"/>
        <v/>
      </c>
    </row>
    <row r="1612" spans="2:17" ht="18" customHeight="1" x14ac:dyDescent="0.3">
      <c r="B1612" s="26"/>
      <c r="C1612" s="17"/>
      <c r="D1612" s="27"/>
      <c r="E1612" s="18"/>
      <c r="F1612" s="18"/>
      <c r="G1612" s="18"/>
      <c r="H1612" s="30" t="str">
        <f t="shared" si="175"/>
        <v/>
      </c>
      <c r="I1612" s="31" t="str">
        <f>IF(OR(B1612="",C1612=""),"",IFERROR(E1612*IF(E1612="",0,VLOOKUP(C1612,'📦 Precios Proforma'!$B$5:$D$104,IF(D1612="DIA",2,3),FALSE)),0))</f>
        <v/>
      </c>
      <c r="J1612" s="31" t="str">
        <f t="shared" si="176"/>
        <v/>
      </c>
      <c r="K1612" s="31" t="str">
        <f t="shared" si="177"/>
        <v/>
      </c>
      <c r="L1612" s="31" t="str">
        <f>IF(OR(B1612="",C1612=""),"",IFERROR(E1612 / SUMIFS('📅 Resumen Diario'!$D$5:$D$504, '📅 Resumen Diario'!$B$5:$B$504, B1612, '📅 Resumen Diario'!$C$5:$C$504, D1612) * SUMIFS('📅 Resumen Diario'!$K$5:$K$504, '📅 Resumen Diario'!$B$5:$B$504, B1612, '📅 Resumen Diario'!$C$5:$C$504, D1612), 0))</f>
        <v/>
      </c>
      <c r="M1612" s="31" t="str">
        <f t="shared" si="178"/>
        <v/>
      </c>
      <c r="N1612" s="31" t="str">
        <f t="shared" si="179"/>
        <v/>
      </c>
      <c r="O1612" s="31" t="str">
        <f>IF(OR(B1612="",C1612=""),"",K1612-N1612 + IFERROR(E1612 / SUMIFS('📅 Resumen Diario'!$D$5:$D$504, '📅 Resumen Diario'!$B$5:$B$504, B1612, '📅 Resumen Diario'!$C$5:$C$504, D1612) * (SUMIFS('📋 Detalle Diario'!$E$5:$E$489, '📋 Detalle Diario'!$B$5:$B$489, B1612, '📋 Detalle Diario'!$C$5:$C$489, D1612) * 135 + SUMIFS('📋 Detalle Diario'!$I$5:$I$489, '📋 Detalle Diario'!$B$5:$B$489, B1612, '📋 Detalle Diario'!$C$5:$C$489, D1612) * 200), 0))</f>
        <v/>
      </c>
      <c r="P1612" s="32" t="str">
        <f t="shared" si="180"/>
        <v/>
      </c>
      <c r="Q1612" s="33" t="str">
        <f t="shared" si="181"/>
        <v/>
      </c>
    </row>
    <row r="1613" spans="2:17" ht="18" customHeight="1" x14ac:dyDescent="0.3">
      <c r="B1613" s="26"/>
      <c r="C1613" s="28"/>
      <c r="D1613" s="27"/>
      <c r="E1613" s="29"/>
      <c r="F1613" s="29"/>
      <c r="G1613" s="29"/>
      <c r="H1613" s="30" t="str">
        <f t="shared" si="175"/>
        <v/>
      </c>
      <c r="I1613" s="31" t="str">
        <f>IF(OR(B1613="",C1613=""),"",IFERROR(E1613*IF(E1613="",0,VLOOKUP(C1613,'📦 Precios Proforma'!$B$5:$D$104,IF(D1613="DIA",2,3),FALSE)),0))</f>
        <v/>
      </c>
      <c r="J1613" s="31" t="str">
        <f t="shared" si="176"/>
        <v/>
      </c>
      <c r="K1613" s="31" t="str">
        <f t="shared" si="177"/>
        <v/>
      </c>
      <c r="L1613" s="31" t="str">
        <f>IF(OR(B1613="",C1613=""),"",IFERROR(E1613 / SUMIFS('📅 Resumen Diario'!$D$5:$D$504, '📅 Resumen Diario'!$B$5:$B$504, B1613, '📅 Resumen Diario'!$C$5:$C$504, D1613) * SUMIFS('📅 Resumen Diario'!$K$5:$K$504, '📅 Resumen Diario'!$B$5:$B$504, B1613, '📅 Resumen Diario'!$C$5:$C$504, D1613), 0))</f>
        <v/>
      </c>
      <c r="M1613" s="31" t="str">
        <f t="shared" si="178"/>
        <v/>
      </c>
      <c r="N1613" s="31" t="str">
        <f t="shared" si="179"/>
        <v/>
      </c>
      <c r="O1613" s="31" t="str">
        <f>IF(OR(B1613="",C1613=""),"",K1613-N1613 + IFERROR(E1613 / SUMIFS('📅 Resumen Diario'!$D$5:$D$504, '📅 Resumen Diario'!$B$5:$B$504, B1613, '📅 Resumen Diario'!$C$5:$C$504, D1613) * (SUMIFS('📋 Detalle Diario'!$E$5:$E$489, '📋 Detalle Diario'!$B$5:$B$489, B1613, '📋 Detalle Diario'!$C$5:$C$489, D1613) * 135 + SUMIFS('📋 Detalle Diario'!$I$5:$I$489, '📋 Detalle Diario'!$B$5:$B$489, B1613, '📋 Detalle Diario'!$C$5:$C$489, D1613) * 200), 0))</f>
        <v/>
      </c>
      <c r="P1613" s="32" t="str">
        <f t="shared" si="180"/>
        <v/>
      </c>
      <c r="Q1613" s="33" t="str">
        <f t="shared" si="181"/>
        <v/>
      </c>
    </row>
    <row r="1614" spans="2:17" ht="18" customHeight="1" x14ac:dyDescent="0.3">
      <c r="B1614" s="26"/>
      <c r="C1614" s="17"/>
      <c r="D1614" s="27"/>
      <c r="E1614" s="18"/>
      <c r="F1614" s="18"/>
      <c r="G1614" s="18"/>
      <c r="H1614" s="30" t="str">
        <f t="shared" si="175"/>
        <v/>
      </c>
      <c r="I1614" s="31" t="str">
        <f>IF(OR(B1614="",C1614=""),"",IFERROR(E1614*IF(E1614="",0,VLOOKUP(C1614,'📦 Precios Proforma'!$B$5:$D$104,IF(D1614="DIA",2,3),FALSE)),0))</f>
        <v/>
      </c>
      <c r="J1614" s="31" t="str">
        <f t="shared" si="176"/>
        <v/>
      </c>
      <c r="K1614" s="31" t="str">
        <f t="shared" si="177"/>
        <v/>
      </c>
      <c r="L1614" s="31" t="str">
        <f>IF(OR(B1614="",C1614=""),"",IFERROR(E1614 / SUMIFS('📅 Resumen Diario'!$D$5:$D$504, '📅 Resumen Diario'!$B$5:$B$504, B1614, '📅 Resumen Diario'!$C$5:$C$504, D1614) * SUMIFS('📅 Resumen Diario'!$K$5:$K$504, '📅 Resumen Diario'!$B$5:$B$504, B1614, '📅 Resumen Diario'!$C$5:$C$504, D1614), 0))</f>
        <v/>
      </c>
      <c r="M1614" s="31" t="str">
        <f t="shared" si="178"/>
        <v/>
      </c>
      <c r="N1614" s="31" t="str">
        <f t="shared" si="179"/>
        <v/>
      </c>
      <c r="O1614" s="31" t="str">
        <f>IF(OR(B1614="",C1614=""),"",K1614-N1614 + IFERROR(E1614 / SUMIFS('📅 Resumen Diario'!$D$5:$D$504, '📅 Resumen Diario'!$B$5:$B$504, B1614, '📅 Resumen Diario'!$C$5:$C$504, D1614) * (SUMIFS('📋 Detalle Diario'!$E$5:$E$489, '📋 Detalle Diario'!$B$5:$B$489, B1614, '📋 Detalle Diario'!$C$5:$C$489, D1614) * 135 + SUMIFS('📋 Detalle Diario'!$I$5:$I$489, '📋 Detalle Diario'!$B$5:$B$489, B1614, '📋 Detalle Diario'!$C$5:$C$489, D1614) * 200), 0))</f>
        <v/>
      </c>
      <c r="P1614" s="32" t="str">
        <f t="shared" si="180"/>
        <v/>
      </c>
      <c r="Q1614" s="33" t="str">
        <f t="shared" si="181"/>
        <v/>
      </c>
    </row>
    <row r="1615" spans="2:17" ht="18" customHeight="1" x14ac:dyDescent="0.3">
      <c r="B1615" s="26"/>
      <c r="C1615" s="28"/>
      <c r="D1615" s="27"/>
      <c r="E1615" s="29"/>
      <c r="F1615" s="29"/>
      <c r="G1615" s="29"/>
      <c r="H1615" s="30" t="str">
        <f t="shared" si="175"/>
        <v/>
      </c>
      <c r="I1615" s="31" t="str">
        <f>IF(OR(B1615="",C1615=""),"",IFERROR(E1615*IF(E1615="",0,VLOOKUP(C1615,'📦 Precios Proforma'!$B$5:$D$104,IF(D1615="DIA",2,3),FALSE)),0))</f>
        <v/>
      </c>
      <c r="J1615" s="31" t="str">
        <f t="shared" si="176"/>
        <v/>
      </c>
      <c r="K1615" s="31" t="str">
        <f t="shared" si="177"/>
        <v/>
      </c>
      <c r="L1615" s="31" t="str">
        <f>IF(OR(B1615="",C1615=""),"",IFERROR(E1615 / SUMIFS('📅 Resumen Diario'!$D$5:$D$504, '📅 Resumen Diario'!$B$5:$B$504, B1615, '📅 Resumen Diario'!$C$5:$C$504, D1615) * SUMIFS('📅 Resumen Diario'!$K$5:$K$504, '📅 Resumen Diario'!$B$5:$B$504, B1615, '📅 Resumen Diario'!$C$5:$C$504, D1615), 0))</f>
        <v/>
      </c>
      <c r="M1615" s="31" t="str">
        <f t="shared" si="178"/>
        <v/>
      </c>
      <c r="N1615" s="31" t="str">
        <f t="shared" si="179"/>
        <v/>
      </c>
      <c r="O1615" s="31" t="str">
        <f>IF(OR(B1615="",C1615=""),"",K1615-N1615 + IFERROR(E1615 / SUMIFS('📅 Resumen Diario'!$D$5:$D$504, '📅 Resumen Diario'!$B$5:$B$504, B1615, '📅 Resumen Diario'!$C$5:$C$504, D1615) * (SUMIFS('📋 Detalle Diario'!$E$5:$E$489, '📋 Detalle Diario'!$B$5:$B$489, B1615, '📋 Detalle Diario'!$C$5:$C$489, D1615) * 135 + SUMIFS('📋 Detalle Diario'!$I$5:$I$489, '📋 Detalle Diario'!$B$5:$B$489, B1615, '📋 Detalle Diario'!$C$5:$C$489, D1615) * 200), 0))</f>
        <v/>
      </c>
      <c r="P1615" s="32" t="str">
        <f t="shared" si="180"/>
        <v/>
      </c>
      <c r="Q1615" s="33" t="str">
        <f t="shared" si="181"/>
        <v/>
      </c>
    </row>
    <row r="1616" spans="2:17" ht="18" customHeight="1" x14ac:dyDescent="0.3">
      <c r="B1616" s="26"/>
      <c r="C1616" s="17"/>
      <c r="D1616" s="27"/>
      <c r="E1616" s="18"/>
      <c r="F1616" s="18"/>
      <c r="G1616" s="18"/>
      <c r="H1616" s="30" t="str">
        <f t="shared" si="175"/>
        <v/>
      </c>
      <c r="I1616" s="31" t="str">
        <f>IF(OR(B1616="",C1616=""),"",IFERROR(E1616*IF(E1616="",0,VLOOKUP(C1616,'📦 Precios Proforma'!$B$5:$D$104,IF(D1616="DIA",2,3),FALSE)),0))</f>
        <v/>
      </c>
      <c r="J1616" s="31" t="str">
        <f t="shared" si="176"/>
        <v/>
      </c>
      <c r="K1616" s="31" t="str">
        <f t="shared" si="177"/>
        <v/>
      </c>
      <c r="L1616" s="31" t="str">
        <f>IF(OR(B1616="",C1616=""),"",IFERROR(E1616 / SUMIFS('📅 Resumen Diario'!$D$5:$D$504, '📅 Resumen Diario'!$B$5:$B$504, B1616, '📅 Resumen Diario'!$C$5:$C$504, D1616) * SUMIFS('📅 Resumen Diario'!$K$5:$K$504, '📅 Resumen Diario'!$B$5:$B$504, B1616, '📅 Resumen Diario'!$C$5:$C$504, D1616), 0))</f>
        <v/>
      </c>
      <c r="M1616" s="31" t="str">
        <f t="shared" si="178"/>
        <v/>
      </c>
      <c r="N1616" s="31" t="str">
        <f t="shared" si="179"/>
        <v/>
      </c>
      <c r="O1616" s="31" t="str">
        <f>IF(OR(B1616="",C1616=""),"",K1616-N1616 + IFERROR(E1616 / SUMIFS('📅 Resumen Diario'!$D$5:$D$504, '📅 Resumen Diario'!$B$5:$B$504, B1616, '📅 Resumen Diario'!$C$5:$C$504, D1616) * (SUMIFS('📋 Detalle Diario'!$E$5:$E$489, '📋 Detalle Diario'!$B$5:$B$489, B1616, '📋 Detalle Diario'!$C$5:$C$489, D1616) * 135 + SUMIFS('📋 Detalle Diario'!$I$5:$I$489, '📋 Detalle Diario'!$B$5:$B$489, B1616, '📋 Detalle Diario'!$C$5:$C$489, D1616) * 200), 0))</f>
        <v/>
      </c>
      <c r="P1616" s="32" t="str">
        <f t="shared" si="180"/>
        <v/>
      </c>
      <c r="Q1616" s="33" t="str">
        <f t="shared" si="181"/>
        <v/>
      </c>
    </row>
    <row r="1617" spans="2:17" ht="18" customHeight="1" x14ac:dyDescent="0.3">
      <c r="B1617" s="26"/>
      <c r="C1617" s="28"/>
      <c r="D1617" s="27"/>
      <c r="E1617" s="29"/>
      <c r="F1617" s="29"/>
      <c r="G1617" s="29"/>
      <c r="H1617" s="30" t="str">
        <f t="shared" si="175"/>
        <v/>
      </c>
      <c r="I1617" s="31" t="str">
        <f>IF(OR(B1617="",C1617=""),"",IFERROR(E1617*IF(E1617="",0,VLOOKUP(C1617,'📦 Precios Proforma'!$B$5:$D$104,IF(D1617="DIA",2,3),FALSE)),0))</f>
        <v/>
      </c>
      <c r="J1617" s="31" t="str">
        <f t="shared" si="176"/>
        <v/>
      </c>
      <c r="K1617" s="31" t="str">
        <f t="shared" si="177"/>
        <v/>
      </c>
      <c r="L1617" s="31" t="str">
        <f>IF(OR(B1617="",C1617=""),"",IFERROR(E1617 / SUMIFS('📅 Resumen Diario'!$D$5:$D$504, '📅 Resumen Diario'!$B$5:$B$504, B1617, '📅 Resumen Diario'!$C$5:$C$504, D1617) * SUMIFS('📅 Resumen Diario'!$K$5:$K$504, '📅 Resumen Diario'!$B$5:$B$504, B1617, '📅 Resumen Diario'!$C$5:$C$504, D1617), 0))</f>
        <v/>
      </c>
      <c r="M1617" s="31" t="str">
        <f t="shared" si="178"/>
        <v/>
      </c>
      <c r="N1617" s="31" t="str">
        <f t="shared" si="179"/>
        <v/>
      </c>
      <c r="O1617" s="31" t="str">
        <f>IF(OR(B1617="",C1617=""),"",K1617-N1617 + IFERROR(E1617 / SUMIFS('📅 Resumen Diario'!$D$5:$D$504, '📅 Resumen Diario'!$B$5:$B$504, B1617, '📅 Resumen Diario'!$C$5:$C$504, D1617) * (SUMIFS('📋 Detalle Diario'!$E$5:$E$489, '📋 Detalle Diario'!$B$5:$B$489, B1617, '📋 Detalle Diario'!$C$5:$C$489, D1617) * 135 + SUMIFS('📋 Detalle Diario'!$I$5:$I$489, '📋 Detalle Diario'!$B$5:$B$489, B1617, '📋 Detalle Diario'!$C$5:$C$489, D1617) * 200), 0))</f>
        <v/>
      </c>
      <c r="P1617" s="32" t="str">
        <f t="shared" si="180"/>
        <v/>
      </c>
      <c r="Q1617" s="33" t="str">
        <f t="shared" si="181"/>
        <v/>
      </c>
    </row>
    <row r="1618" spans="2:17" ht="18" customHeight="1" x14ac:dyDescent="0.3">
      <c r="B1618" s="26"/>
      <c r="C1618" s="17"/>
      <c r="D1618" s="27"/>
      <c r="E1618" s="18"/>
      <c r="F1618" s="18"/>
      <c r="G1618" s="18"/>
      <c r="H1618" s="30" t="str">
        <f t="shared" si="175"/>
        <v/>
      </c>
      <c r="I1618" s="31" t="str">
        <f>IF(OR(B1618="",C1618=""),"",IFERROR(E1618*IF(E1618="",0,VLOOKUP(C1618,'📦 Precios Proforma'!$B$5:$D$104,IF(D1618="DIA",2,3),FALSE)),0))</f>
        <v/>
      </c>
      <c r="J1618" s="31" t="str">
        <f t="shared" si="176"/>
        <v/>
      </c>
      <c r="K1618" s="31" t="str">
        <f t="shared" si="177"/>
        <v/>
      </c>
      <c r="L1618" s="31" t="str">
        <f>IF(OR(B1618="",C1618=""),"",IFERROR(E1618 / SUMIFS('📅 Resumen Diario'!$D$5:$D$504, '📅 Resumen Diario'!$B$5:$B$504, B1618, '📅 Resumen Diario'!$C$5:$C$504, D1618) * SUMIFS('📅 Resumen Diario'!$K$5:$K$504, '📅 Resumen Diario'!$B$5:$B$504, B1618, '📅 Resumen Diario'!$C$5:$C$504, D1618), 0))</f>
        <v/>
      </c>
      <c r="M1618" s="31" t="str">
        <f t="shared" si="178"/>
        <v/>
      </c>
      <c r="N1618" s="31" t="str">
        <f t="shared" si="179"/>
        <v/>
      </c>
      <c r="O1618" s="31" t="str">
        <f>IF(OR(B1618="",C1618=""),"",K1618-N1618 + IFERROR(E1618 / SUMIFS('📅 Resumen Diario'!$D$5:$D$504, '📅 Resumen Diario'!$B$5:$B$504, B1618, '📅 Resumen Diario'!$C$5:$C$504, D1618) * (SUMIFS('📋 Detalle Diario'!$E$5:$E$489, '📋 Detalle Diario'!$B$5:$B$489, B1618, '📋 Detalle Diario'!$C$5:$C$489, D1618) * 135 + SUMIFS('📋 Detalle Diario'!$I$5:$I$489, '📋 Detalle Diario'!$B$5:$B$489, B1618, '📋 Detalle Diario'!$C$5:$C$489, D1618) * 200), 0))</f>
        <v/>
      </c>
      <c r="P1618" s="32" t="str">
        <f t="shared" si="180"/>
        <v/>
      </c>
      <c r="Q1618" s="33" t="str">
        <f t="shared" si="181"/>
        <v/>
      </c>
    </row>
    <row r="1619" spans="2:17" ht="18" customHeight="1" x14ac:dyDescent="0.3">
      <c r="B1619" s="26"/>
      <c r="C1619" s="28"/>
      <c r="D1619" s="27"/>
      <c r="E1619" s="29"/>
      <c r="F1619" s="29"/>
      <c r="G1619" s="29"/>
      <c r="H1619" s="30" t="str">
        <f t="shared" si="175"/>
        <v/>
      </c>
      <c r="I1619" s="31" t="str">
        <f>IF(OR(B1619="",C1619=""),"",IFERROR(E1619*IF(E1619="",0,VLOOKUP(C1619,'📦 Precios Proforma'!$B$5:$D$104,IF(D1619="DIA",2,3),FALSE)),0))</f>
        <v/>
      </c>
      <c r="J1619" s="31" t="str">
        <f t="shared" si="176"/>
        <v/>
      </c>
      <c r="K1619" s="31" t="str">
        <f t="shared" si="177"/>
        <v/>
      </c>
      <c r="L1619" s="31" t="str">
        <f>IF(OR(B1619="",C1619=""),"",IFERROR(E1619 / SUMIFS('📅 Resumen Diario'!$D$5:$D$504, '📅 Resumen Diario'!$B$5:$B$504, B1619, '📅 Resumen Diario'!$C$5:$C$504, D1619) * SUMIFS('📅 Resumen Diario'!$K$5:$K$504, '📅 Resumen Diario'!$B$5:$B$504, B1619, '📅 Resumen Diario'!$C$5:$C$504, D1619), 0))</f>
        <v/>
      </c>
      <c r="M1619" s="31" t="str">
        <f t="shared" si="178"/>
        <v/>
      </c>
      <c r="N1619" s="31" t="str">
        <f t="shared" si="179"/>
        <v/>
      </c>
      <c r="O1619" s="31" t="str">
        <f>IF(OR(B1619="",C1619=""),"",K1619-N1619 + IFERROR(E1619 / SUMIFS('📅 Resumen Diario'!$D$5:$D$504, '📅 Resumen Diario'!$B$5:$B$504, B1619, '📅 Resumen Diario'!$C$5:$C$504, D1619) * (SUMIFS('📋 Detalle Diario'!$E$5:$E$489, '📋 Detalle Diario'!$B$5:$B$489, B1619, '📋 Detalle Diario'!$C$5:$C$489, D1619) * 135 + SUMIFS('📋 Detalle Diario'!$I$5:$I$489, '📋 Detalle Diario'!$B$5:$B$489, B1619, '📋 Detalle Diario'!$C$5:$C$489, D1619) * 200), 0))</f>
        <v/>
      </c>
      <c r="P1619" s="32" t="str">
        <f t="shared" si="180"/>
        <v/>
      </c>
      <c r="Q1619" s="33" t="str">
        <f t="shared" si="181"/>
        <v/>
      </c>
    </row>
    <row r="1620" spans="2:17" ht="18" customHeight="1" x14ac:dyDescent="0.3">
      <c r="B1620" s="26"/>
      <c r="C1620" s="17"/>
      <c r="D1620" s="27"/>
      <c r="E1620" s="18"/>
      <c r="F1620" s="18"/>
      <c r="G1620" s="18"/>
      <c r="H1620" s="30" t="str">
        <f t="shared" si="175"/>
        <v/>
      </c>
      <c r="I1620" s="31" t="str">
        <f>IF(OR(B1620="",C1620=""),"",IFERROR(E1620*IF(E1620="",0,VLOOKUP(C1620,'📦 Precios Proforma'!$B$5:$D$104,IF(D1620="DIA",2,3),FALSE)),0))</f>
        <v/>
      </c>
      <c r="J1620" s="31" t="str">
        <f t="shared" si="176"/>
        <v/>
      </c>
      <c r="K1620" s="31" t="str">
        <f t="shared" si="177"/>
        <v/>
      </c>
      <c r="L1620" s="31" t="str">
        <f>IF(OR(B1620="",C1620=""),"",IFERROR(E1620 / SUMIFS('📅 Resumen Diario'!$D$5:$D$504, '📅 Resumen Diario'!$B$5:$B$504, B1620, '📅 Resumen Diario'!$C$5:$C$504, D1620) * SUMIFS('📅 Resumen Diario'!$K$5:$K$504, '📅 Resumen Diario'!$B$5:$B$504, B1620, '📅 Resumen Diario'!$C$5:$C$504, D1620), 0))</f>
        <v/>
      </c>
      <c r="M1620" s="31" t="str">
        <f t="shared" si="178"/>
        <v/>
      </c>
      <c r="N1620" s="31" t="str">
        <f t="shared" si="179"/>
        <v/>
      </c>
      <c r="O1620" s="31" t="str">
        <f>IF(OR(B1620="",C1620=""),"",K1620-N1620 + IFERROR(E1620 / SUMIFS('📅 Resumen Diario'!$D$5:$D$504, '📅 Resumen Diario'!$B$5:$B$504, B1620, '📅 Resumen Diario'!$C$5:$C$504, D1620) * (SUMIFS('📋 Detalle Diario'!$E$5:$E$489, '📋 Detalle Diario'!$B$5:$B$489, B1620, '📋 Detalle Diario'!$C$5:$C$489, D1620) * 135 + SUMIFS('📋 Detalle Diario'!$I$5:$I$489, '📋 Detalle Diario'!$B$5:$B$489, B1620, '📋 Detalle Diario'!$C$5:$C$489, D1620) * 200), 0))</f>
        <v/>
      </c>
      <c r="P1620" s="32" t="str">
        <f t="shared" si="180"/>
        <v/>
      </c>
      <c r="Q1620" s="33" t="str">
        <f t="shared" si="181"/>
        <v/>
      </c>
    </row>
    <row r="1621" spans="2:17" ht="18" customHeight="1" x14ac:dyDescent="0.3">
      <c r="B1621" s="26"/>
      <c r="C1621" s="28"/>
      <c r="D1621" s="27"/>
      <c r="E1621" s="29"/>
      <c r="F1621" s="29"/>
      <c r="G1621" s="29"/>
      <c r="H1621" s="30" t="str">
        <f t="shared" si="175"/>
        <v/>
      </c>
      <c r="I1621" s="31" t="str">
        <f>IF(OR(B1621="",C1621=""),"",IFERROR(E1621*IF(E1621="",0,VLOOKUP(C1621,'📦 Precios Proforma'!$B$5:$D$104,IF(D1621="DIA",2,3),FALSE)),0))</f>
        <v/>
      </c>
      <c r="J1621" s="31" t="str">
        <f t="shared" si="176"/>
        <v/>
      </c>
      <c r="K1621" s="31" t="str">
        <f t="shared" si="177"/>
        <v/>
      </c>
      <c r="L1621" s="31" t="str">
        <f>IF(OR(B1621="",C1621=""),"",IFERROR(E1621 / SUMIFS('📅 Resumen Diario'!$D$5:$D$504, '📅 Resumen Diario'!$B$5:$B$504, B1621, '📅 Resumen Diario'!$C$5:$C$504, D1621) * SUMIFS('📅 Resumen Diario'!$K$5:$K$504, '📅 Resumen Diario'!$B$5:$B$504, B1621, '📅 Resumen Diario'!$C$5:$C$504, D1621), 0))</f>
        <v/>
      </c>
      <c r="M1621" s="31" t="str">
        <f t="shared" si="178"/>
        <v/>
      </c>
      <c r="N1621" s="31" t="str">
        <f t="shared" si="179"/>
        <v/>
      </c>
      <c r="O1621" s="31" t="str">
        <f>IF(OR(B1621="",C1621=""),"",K1621-N1621 + IFERROR(E1621 / SUMIFS('📅 Resumen Diario'!$D$5:$D$504, '📅 Resumen Diario'!$B$5:$B$504, B1621, '📅 Resumen Diario'!$C$5:$C$504, D1621) * (SUMIFS('📋 Detalle Diario'!$E$5:$E$489, '📋 Detalle Diario'!$B$5:$B$489, B1621, '📋 Detalle Diario'!$C$5:$C$489, D1621) * 135 + SUMIFS('📋 Detalle Diario'!$I$5:$I$489, '📋 Detalle Diario'!$B$5:$B$489, B1621, '📋 Detalle Diario'!$C$5:$C$489, D1621) * 200), 0))</f>
        <v/>
      </c>
      <c r="P1621" s="32" t="str">
        <f t="shared" si="180"/>
        <v/>
      </c>
      <c r="Q1621" s="33" t="str">
        <f t="shared" si="181"/>
        <v/>
      </c>
    </row>
    <row r="1622" spans="2:17" ht="18" customHeight="1" x14ac:dyDescent="0.3">
      <c r="B1622" s="26"/>
      <c r="C1622" s="17"/>
      <c r="D1622" s="27"/>
      <c r="E1622" s="18"/>
      <c r="F1622" s="18"/>
      <c r="G1622" s="18"/>
      <c r="H1622" s="30" t="str">
        <f t="shared" si="175"/>
        <v/>
      </c>
      <c r="I1622" s="31" t="str">
        <f>IF(OR(B1622="",C1622=""),"",IFERROR(E1622*IF(E1622="",0,VLOOKUP(C1622,'📦 Precios Proforma'!$B$5:$D$104,IF(D1622="DIA",2,3),FALSE)),0))</f>
        <v/>
      </c>
      <c r="J1622" s="31" t="str">
        <f t="shared" si="176"/>
        <v/>
      </c>
      <c r="K1622" s="31" t="str">
        <f t="shared" si="177"/>
        <v/>
      </c>
      <c r="L1622" s="31" t="str">
        <f>IF(OR(B1622="",C1622=""),"",IFERROR(E1622 / SUMIFS('📅 Resumen Diario'!$D$5:$D$504, '📅 Resumen Diario'!$B$5:$B$504, B1622, '📅 Resumen Diario'!$C$5:$C$504, D1622) * SUMIFS('📅 Resumen Diario'!$K$5:$K$504, '📅 Resumen Diario'!$B$5:$B$504, B1622, '📅 Resumen Diario'!$C$5:$C$504, D1622), 0))</f>
        <v/>
      </c>
      <c r="M1622" s="31" t="str">
        <f t="shared" si="178"/>
        <v/>
      </c>
      <c r="N1622" s="31" t="str">
        <f t="shared" si="179"/>
        <v/>
      </c>
      <c r="O1622" s="31" t="str">
        <f>IF(OR(B1622="",C1622=""),"",K1622-N1622 + IFERROR(E1622 / SUMIFS('📅 Resumen Diario'!$D$5:$D$504, '📅 Resumen Diario'!$B$5:$B$504, B1622, '📅 Resumen Diario'!$C$5:$C$504, D1622) * (SUMIFS('📋 Detalle Diario'!$E$5:$E$489, '📋 Detalle Diario'!$B$5:$B$489, B1622, '📋 Detalle Diario'!$C$5:$C$489, D1622) * 135 + SUMIFS('📋 Detalle Diario'!$I$5:$I$489, '📋 Detalle Diario'!$B$5:$B$489, B1622, '📋 Detalle Diario'!$C$5:$C$489, D1622) * 200), 0))</f>
        <v/>
      </c>
      <c r="P1622" s="32" t="str">
        <f t="shared" si="180"/>
        <v/>
      </c>
      <c r="Q1622" s="33" t="str">
        <f t="shared" si="181"/>
        <v/>
      </c>
    </row>
    <row r="1623" spans="2:17" ht="18" customHeight="1" x14ac:dyDescent="0.3">
      <c r="B1623" s="26"/>
      <c r="C1623" s="28"/>
      <c r="D1623" s="27"/>
      <c r="E1623" s="29"/>
      <c r="F1623" s="29"/>
      <c r="G1623" s="29"/>
      <c r="H1623" s="30" t="str">
        <f t="shared" si="175"/>
        <v/>
      </c>
      <c r="I1623" s="31" t="str">
        <f>IF(OR(B1623="",C1623=""),"",IFERROR(E1623*IF(E1623="",0,VLOOKUP(C1623,'📦 Precios Proforma'!$B$5:$D$104,IF(D1623="DIA",2,3),FALSE)),0))</f>
        <v/>
      </c>
      <c r="J1623" s="31" t="str">
        <f t="shared" si="176"/>
        <v/>
      </c>
      <c r="K1623" s="31" t="str">
        <f t="shared" si="177"/>
        <v/>
      </c>
      <c r="L1623" s="31" t="str">
        <f>IF(OR(B1623="",C1623=""),"",IFERROR(E1623 / SUMIFS('📅 Resumen Diario'!$D$5:$D$504, '📅 Resumen Diario'!$B$5:$B$504, B1623, '📅 Resumen Diario'!$C$5:$C$504, D1623) * SUMIFS('📅 Resumen Diario'!$K$5:$K$504, '📅 Resumen Diario'!$B$5:$B$504, B1623, '📅 Resumen Diario'!$C$5:$C$504, D1623), 0))</f>
        <v/>
      </c>
      <c r="M1623" s="31" t="str">
        <f t="shared" si="178"/>
        <v/>
      </c>
      <c r="N1623" s="31" t="str">
        <f t="shared" si="179"/>
        <v/>
      </c>
      <c r="O1623" s="31" t="str">
        <f>IF(OR(B1623="",C1623=""),"",K1623-N1623 + IFERROR(E1623 / SUMIFS('📅 Resumen Diario'!$D$5:$D$504, '📅 Resumen Diario'!$B$5:$B$504, B1623, '📅 Resumen Diario'!$C$5:$C$504, D1623) * (SUMIFS('📋 Detalle Diario'!$E$5:$E$489, '📋 Detalle Diario'!$B$5:$B$489, B1623, '📋 Detalle Diario'!$C$5:$C$489, D1623) * 135 + SUMIFS('📋 Detalle Diario'!$I$5:$I$489, '📋 Detalle Diario'!$B$5:$B$489, B1623, '📋 Detalle Diario'!$C$5:$C$489, D1623) * 200), 0))</f>
        <v/>
      </c>
      <c r="P1623" s="32" t="str">
        <f t="shared" si="180"/>
        <v/>
      </c>
      <c r="Q1623" s="33" t="str">
        <f t="shared" si="181"/>
        <v/>
      </c>
    </row>
    <row r="1624" spans="2:17" ht="18" customHeight="1" x14ac:dyDescent="0.3">
      <c r="B1624" s="26"/>
      <c r="C1624" s="17"/>
      <c r="D1624" s="27"/>
      <c r="E1624" s="18"/>
      <c r="F1624" s="18"/>
      <c r="G1624" s="18"/>
      <c r="H1624" s="30" t="str">
        <f t="shared" si="175"/>
        <v/>
      </c>
      <c r="I1624" s="31" t="str">
        <f>IF(OR(B1624="",C1624=""),"",IFERROR(E1624*IF(E1624="",0,VLOOKUP(C1624,'📦 Precios Proforma'!$B$5:$D$104,IF(D1624="DIA",2,3),FALSE)),0))</f>
        <v/>
      </c>
      <c r="J1624" s="31" t="str">
        <f t="shared" si="176"/>
        <v/>
      </c>
      <c r="K1624" s="31" t="str">
        <f t="shared" si="177"/>
        <v/>
      </c>
      <c r="L1624" s="31" t="str">
        <f>IF(OR(B1624="",C1624=""),"",IFERROR(E1624 / SUMIFS('📅 Resumen Diario'!$D$5:$D$504, '📅 Resumen Diario'!$B$5:$B$504, B1624, '📅 Resumen Diario'!$C$5:$C$504, D1624) * SUMIFS('📅 Resumen Diario'!$K$5:$K$504, '📅 Resumen Diario'!$B$5:$B$504, B1624, '📅 Resumen Diario'!$C$5:$C$504, D1624), 0))</f>
        <v/>
      </c>
      <c r="M1624" s="31" t="str">
        <f t="shared" si="178"/>
        <v/>
      </c>
      <c r="N1624" s="31" t="str">
        <f t="shared" si="179"/>
        <v/>
      </c>
      <c r="O1624" s="31" t="str">
        <f>IF(OR(B1624="",C1624=""),"",K1624-N1624 + IFERROR(E1624 / SUMIFS('📅 Resumen Diario'!$D$5:$D$504, '📅 Resumen Diario'!$B$5:$B$504, B1624, '📅 Resumen Diario'!$C$5:$C$504, D1624) * (SUMIFS('📋 Detalle Diario'!$E$5:$E$489, '📋 Detalle Diario'!$B$5:$B$489, B1624, '📋 Detalle Diario'!$C$5:$C$489, D1624) * 135 + SUMIFS('📋 Detalle Diario'!$I$5:$I$489, '📋 Detalle Diario'!$B$5:$B$489, B1624, '📋 Detalle Diario'!$C$5:$C$489, D1624) * 200), 0))</f>
        <v/>
      </c>
      <c r="P1624" s="32" t="str">
        <f t="shared" si="180"/>
        <v/>
      </c>
      <c r="Q1624" s="33" t="str">
        <f t="shared" si="181"/>
        <v/>
      </c>
    </row>
    <row r="1625" spans="2:17" ht="18" customHeight="1" x14ac:dyDescent="0.3">
      <c r="B1625" s="26"/>
      <c r="C1625" s="28"/>
      <c r="D1625" s="27"/>
      <c r="E1625" s="29"/>
      <c r="F1625" s="29"/>
      <c r="G1625" s="29"/>
      <c r="H1625" s="30" t="str">
        <f t="shared" si="175"/>
        <v/>
      </c>
      <c r="I1625" s="31" t="str">
        <f>IF(OR(B1625="",C1625=""),"",IFERROR(E1625*IF(E1625="",0,VLOOKUP(C1625,'📦 Precios Proforma'!$B$5:$D$104,IF(D1625="DIA",2,3),FALSE)),0))</f>
        <v/>
      </c>
      <c r="J1625" s="31" t="str">
        <f t="shared" si="176"/>
        <v/>
      </c>
      <c r="K1625" s="31" t="str">
        <f t="shared" si="177"/>
        <v/>
      </c>
      <c r="L1625" s="31" t="str">
        <f>IF(OR(B1625="",C1625=""),"",IFERROR(E1625 / SUMIFS('📅 Resumen Diario'!$D$5:$D$504, '📅 Resumen Diario'!$B$5:$B$504, B1625, '📅 Resumen Diario'!$C$5:$C$504, D1625) * SUMIFS('📅 Resumen Diario'!$K$5:$K$504, '📅 Resumen Diario'!$B$5:$B$504, B1625, '📅 Resumen Diario'!$C$5:$C$504, D1625), 0))</f>
        <v/>
      </c>
      <c r="M1625" s="31" t="str">
        <f t="shared" si="178"/>
        <v/>
      </c>
      <c r="N1625" s="31" t="str">
        <f t="shared" si="179"/>
        <v/>
      </c>
      <c r="O1625" s="31" t="str">
        <f>IF(OR(B1625="",C1625=""),"",K1625-N1625 + IFERROR(E1625 / SUMIFS('📅 Resumen Diario'!$D$5:$D$504, '📅 Resumen Diario'!$B$5:$B$504, B1625, '📅 Resumen Diario'!$C$5:$C$504, D1625) * (SUMIFS('📋 Detalle Diario'!$E$5:$E$489, '📋 Detalle Diario'!$B$5:$B$489, B1625, '📋 Detalle Diario'!$C$5:$C$489, D1625) * 135 + SUMIFS('📋 Detalle Diario'!$I$5:$I$489, '📋 Detalle Diario'!$B$5:$B$489, B1625, '📋 Detalle Diario'!$C$5:$C$489, D1625) * 200), 0))</f>
        <v/>
      </c>
      <c r="P1625" s="32" t="str">
        <f t="shared" si="180"/>
        <v/>
      </c>
      <c r="Q1625" s="33" t="str">
        <f t="shared" si="181"/>
        <v/>
      </c>
    </row>
    <row r="1626" spans="2:17" ht="18" customHeight="1" x14ac:dyDescent="0.3">
      <c r="B1626" s="26"/>
      <c r="C1626" s="17"/>
      <c r="D1626" s="27"/>
      <c r="E1626" s="18"/>
      <c r="F1626" s="18"/>
      <c r="G1626" s="18"/>
      <c r="H1626" s="30" t="str">
        <f t="shared" si="175"/>
        <v/>
      </c>
      <c r="I1626" s="31" t="str">
        <f>IF(OR(B1626="",C1626=""),"",IFERROR(E1626*IF(E1626="",0,VLOOKUP(C1626,'📦 Precios Proforma'!$B$5:$D$104,IF(D1626="DIA",2,3),FALSE)),0))</f>
        <v/>
      </c>
      <c r="J1626" s="31" t="str">
        <f t="shared" si="176"/>
        <v/>
      </c>
      <c r="K1626" s="31" t="str">
        <f t="shared" si="177"/>
        <v/>
      </c>
      <c r="L1626" s="31" t="str">
        <f>IF(OR(B1626="",C1626=""),"",IFERROR(E1626 / SUMIFS('📅 Resumen Diario'!$D$5:$D$504, '📅 Resumen Diario'!$B$5:$B$504, B1626, '📅 Resumen Diario'!$C$5:$C$504, D1626) * SUMIFS('📅 Resumen Diario'!$K$5:$K$504, '📅 Resumen Diario'!$B$5:$B$504, B1626, '📅 Resumen Diario'!$C$5:$C$504, D1626), 0))</f>
        <v/>
      </c>
      <c r="M1626" s="31" t="str">
        <f t="shared" si="178"/>
        <v/>
      </c>
      <c r="N1626" s="31" t="str">
        <f t="shared" si="179"/>
        <v/>
      </c>
      <c r="O1626" s="31" t="str">
        <f>IF(OR(B1626="",C1626=""),"",K1626-N1626 + IFERROR(E1626 / SUMIFS('📅 Resumen Diario'!$D$5:$D$504, '📅 Resumen Diario'!$B$5:$B$504, B1626, '📅 Resumen Diario'!$C$5:$C$504, D1626) * (SUMIFS('📋 Detalle Diario'!$E$5:$E$489, '📋 Detalle Diario'!$B$5:$B$489, B1626, '📋 Detalle Diario'!$C$5:$C$489, D1626) * 135 + SUMIFS('📋 Detalle Diario'!$I$5:$I$489, '📋 Detalle Diario'!$B$5:$B$489, B1626, '📋 Detalle Diario'!$C$5:$C$489, D1626) * 200), 0))</f>
        <v/>
      </c>
      <c r="P1626" s="32" t="str">
        <f t="shared" si="180"/>
        <v/>
      </c>
      <c r="Q1626" s="33" t="str">
        <f t="shared" si="181"/>
        <v/>
      </c>
    </row>
    <row r="1627" spans="2:17" ht="18" customHeight="1" x14ac:dyDescent="0.3">
      <c r="B1627" s="26"/>
      <c r="C1627" s="28"/>
      <c r="D1627" s="27"/>
      <c r="E1627" s="29"/>
      <c r="F1627" s="29"/>
      <c r="G1627" s="29"/>
      <c r="H1627" s="30" t="str">
        <f t="shared" si="175"/>
        <v/>
      </c>
      <c r="I1627" s="31" t="str">
        <f>IF(OR(B1627="",C1627=""),"",IFERROR(E1627*IF(E1627="",0,VLOOKUP(C1627,'📦 Precios Proforma'!$B$5:$D$104,IF(D1627="DIA",2,3),FALSE)),0))</f>
        <v/>
      </c>
      <c r="J1627" s="31" t="str">
        <f t="shared" si="176"/>
        <v/>
      </c>
      <c r="K1627" s="31" t="str">
        <f t="shared" si="177"/>
        <v/>
      </c>
      <c r="L1627" s="31" t="str">
        <f>IF(OR(B1627="",C1627=""),"",IFERROR(E1627 / SUMIFS('📅 Resumen Diario'!$D$5:$D$504, '📅 Resumen Diario'!$B$5:$B$504, B1627, '📅 Resumen Diario'!$C$5:$C$504, D1627) * SUMIFS('📅 Resumen Diario'!$K$5:$K$504, '📅 Resumen Diario'!$B$5:$B$504, B1627, '📅 Resumen Diario'!$C$5:$C$504, D1627), 0))</f>
        <v/>
      </c>
      <c r="M1627" s="31" t="str">
        <f t="shared" si="178"/>
        <v/>
      </c>
      <c r="N1627" s="31" t="str">
        <f t="shared" si="179"/>
        <v/>
      </c>
      <c r="O1627" s="31" t="str">
        <f>IF(OR(B1627="",C1627=""),"",K1627-N1627 + IFERROR(E1627 / SUMIFS('📅 Resumen Diario'!$D$5:$D$504, '📅 Resumen Diario'!$B$5:$B$504, B1627, '📅 Resumen Diario'!$C$5:$C$504, D1627) * (SUMIFS('📋 Detalle Diario'!$E$5:$E$489, '📋 Detalle Diario'!$B$5:$B$489, B1627, '📋 Detalle Diario'!$C$5:$C$489, D1627) * 135 + SUMIFS('📋 Detalle Diario'!$I$5:$I$489, '📋 Detalle Diario'!$B$5:$B$489, B1627, '📋 Detalle Diario'!$C$5:$C$489, D1627) * 200), 0))</f>
        <v/>
      </c>
      <c r="P1627" s="32" t="str">
        <f t="shared" si="180"/>
        <v/>
      </c>
      <c r="Q1627" s="33" t="str">
        <f t="shared" si="181"/>
        <v/>
      </c>
    </row>
    <row r="1628" spans="2:17" ht="18" customHeight="1" x14ac:dyDescent="0.3">
      <c r="B1628" s="26"/>
      <c r="C1628" s="17"/>
      <c r="D1628" s="27"/>
      <c r="E1628" s="18"/>
      <c r="F1628" s="18"/>
      <c r="G1628" s="18"/>
      <c r="H1628" s="30" t="str">
        <f t="shared" si="175"/>
        <v/>
      </c>
      <c r="I1628" s="31" t="str">
        <f>IF(OR(B1628="",C1628=""),"",IFERROR(E1628*IF(E1628="",0,VLOOKUP(C1628,'📦 Precios Proforma'!$B$5:$D$104,IF(D1628="DIA",2,3),FALSE)),0))</f>
        <v/>
      </c>
      <c r="J1628" s="31" t="str">
        <f t="shared" si="176"/>
        <v/>
      </c>
      <c r="K1628" s="31" t="str">
        <f t="shared" si="177"/>
        <v/>
      </c>
      <c r="L1628" s="31" t="str">
        <f>IF(OR(B1628="",C1628=""),"",IFERROR(E1628 / SUMIFS('📅 Resumen Diario'!$D$5:$D$504, '📅 Resumen Diario'!$B$5:$B$504, B1628, '📅 Resumen Diario'!$C$5:$C$504, D1628) * SUMIFS('📅 Resumen Diario'!$K$5:$K$504, '📅 Resumen Diario'!$B$5:$B$504, B1628, '📅 Resumen Diario'!$C$5:$C$504, D1628), 0))</f>
        <v/>
      </c>
      <c r="M1628" s="31" t="str">
        <f t="shared" si="178"/>
        <v/>
      </c>
      <c r="N1628" s="31" t="str">
        <f t="shared" si="179"/>
        <v/>
      </c>
      <c r="O1628" s="31" t="str">
        <f>IF(OR(B1628="",C1628=""),"",K1628-N1628 + IFERROR(E1628 / SUMIFS('📅 Resumen Diario'!$D$5:$D$504, '📅 Resumen Diario'!$B$5:$B$504, B1628, '📅 Resumen Diario'!$C$5:$C$504, D1628) * (SUMIFS('📋 Detalle Diario'!$E$5:$E$489, '📋 Detalle Diario'!$B$5:$B$489, B1628, '📋 Detalle Diario'!$C$5:$C$489, D1628) * 135 + SUMIFS('📋 Detalle Diario'!$I$5:$I$489, '📋 Detalle Diario'!$B$5:$B$489, B1628, '📋 Detalle Diario'!$C$5:$C$489, D1628) * 200), 0))</f>
        <v/>
      </c>
      <c r="P1628" s="32" t="str">
        <f t="shared" si="180"/>
        <v/>
      </c>
      <c r="Q1628" s="33" t="str">
        <f t="shared" si="181"/>
        <v/>
      </c>
    </row>
    <row r="1629" spans="2:17" ht="18" customHeight="1" x14ac:dyDescent="0.3">
      <c r="B1629" s="26"/>
      <c r="C1629" s="28"/>
      <c r="D1629" s="27"/>
      <c r="E1629" s="29"/>
      <c r="F1629" s="29"/>
      <c r="G1629" s="29"/>
      <c r="H1629" s="30" t="str">
        <f t="shared" si="175"/>
        <v/>
      </c>
      <c r="I1629" s="31" t="str">
        <f>IF(OR(B1629="",C1629=""),"",IFERROR(E1629*IF(E1629="",0,VLOOKUP(C1629,'📦 Precios Proforma'!$B$5:$D$104,IF(D1629="DIA",2,3),FALSE)),0))</f>
        <v/>
      </c>
      <c r="J1629" s="31" t="str">
        <f t="shared" si="176"/>
        <v/>
      </c>
      <c r="K1629" s="31" t="str">
        <f t="shared" si="177"/>
        <v/>
      </c>
      <c r="L1629" s="31" t="str">
        <f>IF(OR(B1629="",C1629=""),"",IFERROR(E1629 / SUMIFS('📅 Resumen Diario'!$D$5:$D$504, '📅 Resumen Diario'!$B$5:$B$504, B1629, '📅 Resumen Diario'!$C$5:$C$504, D1629) * SUMIFS('📅 Resumen Diario'!$K$5:$K$504, '📅 Resumen Diario'!$B$5:$B$504, B1629, '📅 Resumen Diario'!$C$5:$C$504, D1629), 0))</f>
        <v/>
      </c>
      <c r="M1629" s="31" t="str">
        <f t="shared" si="178"/>
        <v/>
      </c>
      <c r="N1629" s="31" t="str">
        <f t="shared" si="179"/>
        <v/>
      </c>
      <c r="O1629" s="31" t="str">
        <f>IF(OR(B1629="",C1629=""),"",K1629-N1629 + IFERROR(E1629 / SUMIFS('📅 Resumen Diario'!$D$5:$D$504, '📅 Resumen Diario'!$B$5:$B$504, B1629, '📅 Resumen Diario'!$C$5:$C$504, D1629) * (SUMIFS('📋 Detalle Diario'!$E$5:$E$489, '📋 Detalle Diario'!$B$5:$B$489, B1629, '📋 Detalle Diario'!$C$5:$C$489, D1629) * 135 + SUMIFS('📋 Detalle Diario'!$I$5:$I$489, '📋 Detalle Diario'!$B$5:$B$489, B1629, '📋 Detalle Diario'!$C$5:$C$489, D1629) * 200), 0))</f>
        <v/>
      </c>
      <c r="P1629" s="32" t="str">
        <f t="shared" si="180"/>
        <v/>
      </c>
      <c r="Q1629" s="33" t="str">
        <f t="shared" si="181"/>
        <v/>
      </c>
    </row>
    <row r="1630" spans="2:17" ht="18" customHeight="1" x14ac:dyDescent="0.3">
      <c r="B1630" s="26"/>
      <c r="C1630" s="17"/>
      <c r="D1630" s="27"/>
      <c r="E1630" s="18"/>
      <c r="F1630" s="18"/>
      <c r="G1630" s="18"/>
      <c r="H1630" s="30" t="str">
        <f t="shared" si="175"/>
        <v/>
      </c>
      <c r="I1630" s="31" t="str">
        <f>IF(OR(B1630="",C1630=""),"",IFERROR(E1630*IF(E1630="",0,VLOOKUP(C1630,'📦 Precios Proforma'!$B$5:$D$104,IF(D1630="DIA",2,3),FALSE)),0))</f>
        <v/>
      </c>
      <c r="J1630" s="31" t="str">
        <f t="shared" si="176"/>
        <v/>
      </c>
      <c r="K1630" s="31" t="str">
        <f t="shared" si="177"/>
        <v/>
      </c>
      <c r="L1630" s="31" t="str">
        <f>IF(OR(B1630="",C1630=""),"",IFERROR(E1630 / SUMIFS('📅 Resumen Diario'!$D$5:$D$504, '📅 Resumen Diario'!$B$5:$B$504, B1630, '📅 Resumen Diario'!$C$5:$C$504, D1630) * SUMIFS('📅 Resumen Diario'!$K$5:$K$504, '📅 Resumen Diario'!$B$5:$B$504, B1630, '📅 Resumen Diario'!$C$5:$C$504, D1630), 0))</f>
        <v/>
      </c>
      <c r="M1630" s="31" t="str">
        <f t="shared" si="178"/>
        <v/>
      </c>
      <c r="N1630" s="31" t="str">
        <f t="shared" si="179"/>
        <v/>
      </c>
      <c r="O1630" s="31" t="str">
        <f>IF(OR(B1630="",C1630=""),"",K1630-N1630 + IFERROR(E1630 / SUMIFS('📅 Resumen Diario'!$D$5:$D$504, '📅 Resumen Diario'!$B$5:$B$504, B1630, '📅 Resumen Diario'!$C$5:$C$504, D1630) * (SUMIFS('📋 Detalle Diario'!$E$5:$E$489, '📋 Detalle Diario'!$B$5:$B$489, B1630, '📋 Detalle Diario'!$C$5:$C$489, D1630) * 135 + SUMIFS('📋 Detalle Diario'!$I$5:$I$489, '📋 Detalle Diario'!$B$5:$B$489, B1630, '📋 Detalle Diario'!$C$5:$C$489, D1630) * 200), 0))</f>
        <v/>
      </c>
      <c r="P1630" s="32" t="str">
        <f t="shared" si="180"/>
        <v/>
      </c>
      <c r="Q1630" s="33" t="str">
        <f t="shared" si="181"/>
        <v/>
      </c>
    </row>
    <row r="1631" spans="2:17" ht="18" customHeight="1" x14ac:dyDescent="0.3">
      <c r="B1631" s="26"/>
      <c r="C1631" s="28"/>
      <c r="D1631" s="27"/>
      <c r="E1631" s="29"/>
      <c r="F1631" s="29"/>
      <c r="G1631" s="29"/>
      <c r="H1631" s="30" t="str">
        <f t="shared" si="175"/>
        <v/>
      </c>
      <c r="I1631" s="31" t="str">
        <f>IF(OR(B1631="",C1631=""),"",IFERROR(E1631*IF(E1631="",0,VLOOKUP(C1631,'📦 Precios Proforma'!$B$5:$D$104,IF(D1631="DIA",2,3),FALSE)),0))</f>
        <v/>
      </c>
      <c r="J1631" s="31" t="str">
        <f t="shared" si="176"/>
        <v/>
      </c>
      <c r="K1631" s="31" t="str">
        <f t="shared" si="177"/>
        <v/>
      </c>
      <c r="L1631" s="31" t="str">
        <f>IF(OR(B1631="",C1631=""),"",IFERROR(E1631 / SUMIFS('📅 Resumen Diario'!$D$5:$D$504, '📅 Resumen Diario'!$B$5:$B$504, B1631, '📅 Resumen Diario'!$C$5:$C$504, D1631) * SUMIFS('📅 Resumen Diario'!$K$5:$K$504, '📅 Resumen Diario'!$B$5:$B$504, B1631, '📅 Resumen Diario'!$C$5:$C$504, D1631), 0))</f>
        <v/>
      </c>
      <c r="M1631" s="31" t="str">
        <f t="shared" si="178"/>
        <v/>
      </c>
      <c r="N1631" s="31" t="str">
        <f t="shared" si="179"/>
        <v/>
      </c>
      <c r="O1631" s="31" t="str">
        <f>IF(OR(B1631="",C1631=""),"",K1631-N1631 + IFERROR(E1631 / SUMIFS('📅 Resumen Diario'!$D$5:$D$504, '📅 Resumen Diario'!$B$5:$B$504, B1631, '📅 Resumen Diario'!$C$5:$C$504, D1631) * (SUMIFS('📋 Detalle Diario'!$E$5:$E$489, '📋 Detalle Diario'!$B$5:$B$489, B1631, '📋 Detalle Diario'!$C$5:$C$489, D1631) * 135 + SUMIFS('📋 Detalle Diario'!$I$5:$I$489, '📋 Detalle Diario'!$B$5:$B$489, B1631, '📋 Detalle Diario'!$C$5:$C$489, D1631) * 200), 0))</f>
        <v/>
      </c>
      <c r="P1631" s="32" t="str">
        <f t="shared" si="180"/>
        <v/>
      </c>
      <c r="Q1631" s="33" t="str">
        <f t="shared" si="181"/>
        <v/>
      </c>
    </row>
    <row r="1632" spans="2:17" ht="18" customHeight="1" x14ac:dyDescent="0.3">
      <c r="B1632" s="26"/>
      <c r="C1632" s="17"/>
      <c r="D1632" s="27"/>
      <c r="E1632" s="18"/>
      <c r="F1632" s="18"/>
      <c r="G1632" s="18"/>
      <c r="H1632" s="30" t="str">
        <f t="shared" si="175"/>
        <v/>
      </c>
      <c r="I1632" s="31" t="str">
        <f>IF(OR(B1632="",C1632=""),"",IFERROR(E1632*IF(E1632="",0,VLOOKUP(C1632,'📦 Precios Proforma'!$B$5:$D$104,IF(D1632="DIA",2,3),FALSE)),0))</f>
        <v/>
      </c>
      <c r="J1632" s="31" t="str">
        <f t="shared" si="176"/>
        <v/>
      </c>
      <c r="K1632" s="31" t="str">
        <f t="shared" si="177"/>
        <v/>
      </c>
      <c r="L1632" s="31" t="str">
        <f>IF(OR(B1632="",C1632=""),"",IFERROR(E1632 / SUMIFS('📅 Resumen Diario'!$D$5:$D$504, '📅 Resumen Diario'!$B$5:$B$504, B1632, '📅 Resumen Diario'!$C$5:$C$504, D1632) * SUMIFS('📅 Resumen Diario'!$K$5:$K$504, '📅 Resumen Diario'!$B$5:$B$504, B1632, '📅 Resumen Diario'!$C$5:$C$504, D1632), 0))</f>
        <v/>
      </c>
      <c r="M1632" s="31" t="str">
        <f t="shared" si="178"/>
        <v/>
      </c>
      <c r="N1632" s="31" t="str">
        <f t="shared" si="179"/>
        <v/>
      </c>
      <c r="O1632" s="31" t="str">
        <f>IF(OR(B1632="",C1632=""),"",K1632-N1632 + IFERROR(E1632 / SUMIFS('📅 Resumen Diario'!$D$5:$D$504, '📅 Resumen Diario'!$B$5:$B$504, B1632, '📅 Resumen Diario'!$C$5:$C$504, D1632) * (SUMIFS('📋 Detalle Diario'!$E$5:$E$489, '📋 Detalle Diario'!$B$5:$B$489, B1632, '📋 Detalle Diario'!$C$5:$C$489, D1632) * 135 + SUMIFS('📋 Detalle Diario'!$I$5:$I$489, '📋 Detalle Diario'!$B$5:$B$489, B1632, '📋 Detalle Diario'!$C$5:$C$489, D1632) * 200), 0))</f>
        <v/>
      </c>
      <c r="P1632" s="32" t="str">
        <f t="shared" si="180"/>
        <v/>
      </c>
      <c r="Q1632" s="33" t="str">
        <f t="shared" si="181"/>
        <v/>
      </c>
    </row>
    <row r="1633" spans="2:17" ht="18" customHeight="1" x14ac:dyDescent="0.3">
      <c r="B1633" s="26"/>
      <c r="C1633" s="28"/>
      <c r="D1633" s="27"/>
      <c r="E1633" s="29"/>
      <c r="F1633" s="29"/>
      <c r="G1633" s="29"/>
      <c r="H1633" s="30" t="str">
        <f t="shared" si="175"/>
        <v/>
      </c>
      <c r="I1633" s="31" t="str">
        <f>IF(OR(B1633="",C1633=""),"",IFERROR(E1633*IF(E1633="",0,VLOOKUP(C1633,'📦 Precios Proforma'!$B$5:$D$104,IF(D1633="DIA",2,3),FALSE)),0))</f>
        <v/>
      </c>
      <c r="J1633" s="31" t="str">
        <f t="shared" si="176"/>
        <v/>
      </c>
      <c r="K1633" s="31" t="str">
        <f t="shared" si="177"/>
        <v/>
      </c>
      <c r="L1633" s="31" t="str">
        <f>IF(OR(B1633="",C1633=""),"",IFERROR(E1633 / SUMIFS('📅 Resumen Diario'!$D$5:$D$504, '📅 Resumen Diario'!$B$5:$B$504, B1633, '📅 Resumen Diario'!$C$5:$C$504, D1633) * SUMIFS('📅 Resumen Diario'!$K$5:$K$504, '📅 Resumen Diario'!$B$5:$B$504, B1633, '📅 Resumen Diario'!$C$5:$C$504, D1633), 0))</f>
        <v/>
      </c>
      <c r="M1633" s="31" t="str">
        <f t="shared" si="178"/>
        <v/>
      </c>
      <c r="N1633" s="31" t="str">
        <f t="shared" si="179"/>
        <v/>
      </c>
      <c r="O1633" s="31" t="str">
        <f>IF(OR(B1633="",C1633=""),"",K1633-N1633 + IFERROR(E1633 / SUMIFS('📅 Resumen Diario'!$D$5:$D$504, '📅 Resumen Diario'!$B$5:$B$504, B1633, '📅 Resumen Diario'!$C$5:$C$504, D1633) * (SUMIFS('📋 Detalle Diario'!$E$5:$E$489, '📋 Detalle Diario'!$B$5:$B$489, B1633, '📋 Detalle Diario'!$C$5:$C$489, D1633) * 135 + SUMIFS('📋 Detalle Diario'!$I$5:$I$489, '📋 Detalle Diario'!$B$5:$B$489, B1633, '📋 Detalle Diario'!$C$5:$C$489, D1633) * 200), 0))</f>
        <v/>
      </c>
      <c r="P1633" s="32" t="str">
        <f t="shared" si="180"/>
        <v/>
      </c>
      <c r="Q1633" s="33" t="str">
        <f t="shared" si="181"/>
        <v/>
      </c>
    </row>
    <row r="1634" spans="2:17" ht="18" customHeight="1" x14ac:dyDescent="0.3">
      <c r="B1634" s="26"/>
      <c r="C1634" s="17"/>
      <c r="D1634" s="27"/>
      <c r="E1634" s="18"/>
      <c r="F1634" s="18"/>
      <c r="G1634" s="18"/>
      <c r="H1634" s="30" t="str">
        <f t="shared" si="175"/>
        <v/>
      </c>
      <c r="I1634" s="31" t="str">
        <f>IF(OR(B1634="",C1634=""),"",IFERROR(E1634*IF(E1634="",0,VLOOKUP(C1634,'📦 Precios Proforma'!$B$5:$D$104,IF(D1634="DIA",2,3),FALSE)),0))</f>
        <v/>
      </c>
      <c r="J1634" s="31" t="str">
        <f t="shared" si="176"/>
        <v/>
      </c>
      <c r="K1634" s="31" t="str">
        <f t="shared" si="177"/>
        <v/>
      </c>
      <c r="L1634" s="31" t="str">
        <f>IF(OR(B1634="",C1634=""),"",IFERROR(E1634 / SUMIFS('📅 Resumen Diario'!$D$5:$D$504, '📅 Resumen Diario'!$B$5:$B$504, B1634, '📅 Resumen Diario'!$C$5:$C$504, D1634) * SUMIFS('📅 Resumen Diario'!$K$5:$K$504, '📅 Resumen Diario'!$B$5:$B$504, B1634, '📅 Resumen Diario'!$C$5:$C$504, D1634), 0))</f>
        <v/>
      </c>
      <c r="M1634" s="31" t="str">
        <f t="shared" si="178"/>
        <v/>
      </c>
      <c r="N1634" s="31" t="str">
        <f t="shared" si="179"/>
        <v/>
      </c>
      <c r="O1634" s="31" t="str">
        <f>IF(OR(B1634="",C1634=""),"",K1634-N1634 + IFERROR(E1634 / SUMIFS('📅 Resumen Diario'!$D$5:$D$504, '📅 Resumen Diario'!$B$5:$B$504, B1634, '📅 Resumen Diario'!$C$5:$C$504, D1634) * (SUMIFS('📋 Detalle Diario'!$E$5:$E$489, '📋 Detalle Diario'!$B$5:$B$489, B1634, '📋 Detalle Diario'!$C$5:$C$489, D1634) * 135 + SUMIFS('📋 Detalle Diario'!$I$5:$I$489, '📋 Detalle Diario'!$B$5:$B$489, B1634, '📋 Detalle Diario'!$C$5:$C$489, D1634) * 200), 0))</f>
        <v/>
      </c>
      <c r="P1634" s="32" t="str">
        <f t="shared" si="180"/>
        <v/>
      </c>
      <c r="Q1634" s="33" t="str">
        <f t="shared" si="181"/>
        <v/>
      </c>
    </row>
    <row r="1635" spans="2:17" ht="18" customHeight="1" x14ac:dyDescent="0.3">
      <c r="B1635" s="26"/>
      <c r="C1635" s="28"/>
      <c r="D1635" s="27"/>
      <c r="E1635" s="29"/>
      <c r="F1635" s="29"/>
      <c r="G1635" s="29"/>
      <c r="H1635" s="30" t="str">
        <f t="shared" si="175"/>
        <v/>
      </c>
      <c r="I1635" s="31" t="str">
        <f>IF(OR(B1635="",C1635=""),"",IFERROR(E1635*IF(E1635="",0,VLOOKUP(C1635,'📦 Precios Proforma'!$B$5:$D$104,IF(D1635="DIA",2,3),FALSE)),0))</f>
        <v/>
      </c>
      <c r="J1635" s="31" t="str">
        <f t="shared" si="176"/>
        <v/>
      </c>
      <c r="K1635" s="31" t="str">
        <f t="shared" si="177"/>
        <v/>
      </c>
      <c r="L1635" s="31" t="str">
        <f>IF(OR(B1635="",C1635=""),"",IFERROR(E1635 / SUMIFS('📅 Resumen Diario'!$D$5:$D$504, '📅 Resumen Diario'!$B$5:$B$504, B1635, '📅 Resumen Diario'!$C$5:$C$504, D1635) * SUMIFS('📅 Resumen Diario'!$K$5:$K$504, '📅 Resumen Diario'!$B$5:$B$504, B1635, '📅 Resumen Diario'!$C$5:$C$504, D1635), 0))</f>
        <v/>
      </c>
      <c r="M1635" s="31" t="str">
        <f t="shared" si="178"/>
        <v/>
      </c>
      <c r="N1635" s="31" t="str">
        <f t="shared" si="179"/>
        <v/>
      </c>
      <c r="O1635" s="31" t="str">
        <f>IF(OR(B1635="",C1635=""),"",K1635-N1635 + IFERROR(E1635 / SUMIFS('📅 Resumen Diario'!$D$5:$D$504, '📅 Resumen Diario'!$B$5:$B$504, B1635, '📅 Resumen Diario'!$C$5:$C$504, D1635) * (SUMIFS('📋 Detalle Diario'!$E$5:$E$489, '📋 Detalle Diario'!$B$5:$B$489, B1635, '📋 Detalle Diario'!$C$5:$C$489, D1635) * 135 + SUMIFS('📋 Detalle Diario'!$I$5:$I$489, '📋 Detalle Diario'!$B$5:$B$489, B1635, '📋 Detalle Diario'!$C$5:$C$489, D1635) * 200), 0))</f>
        <v/>
      </c>
      <c r="P1635" s="32" t="str">
        <f t="shared" si="180"/>
        <v/>
      </c>
      <c r="Q1635" s="33" t="str">
        <f t="shared" si="181"/>
        <v/>
      </c>
    </row>
    <row r="1636" spans="2:17" ht="18" customHeight="1" x14ac:dyDescent="0.3">
      <c r="B1636" s="26"/>
      <c r="C1636" s="17"/>
      <c r="D1636" s="27"/>
      <c r="E1636" s="18"/>
      <c r="F1636" s="18"/>
      <c r="G1636" s="18"/>
      <c r="H1636" s="30" t="str">
        <f t="shared" si="175"/>
        <v/>
      </c>
      <c r="I1636" s="31" t="str">
        <f>IF(OR(B1636="",C1636=""),"",IFERROR(E1636*IF(E1636="",0,VLOOKUP(C1636,'📦 Precios Proforma'!$B$5:$D$104,IF(D1636="DIA",2,3),FALSE)),0))</f>
        <v/>
      </c>
      <c r="J1636" s="31" t="str">
        <f t="shared" si="176"/>
        <v/>
      </c>
      <c r="K1636" s="31" t="str">
        <f t="shared" si="177"/>
        <v/>
      </c>
      <c r="L1636" s="31" t="str">
        <f>IF(OR(B1636="",C1636=""),"",IFERROR(E1636 / SUMIFS('📅 Resumen Diario'!$D$5:$D$504, '📅 Resumen Diario'!$B$5:$B$504, B1636, '📅 Resumen Diario'!$C$5:$C$504, D1636) * SUMIFS('📅 Resumen Diario'!$K$5:$K$504, '📅 Resumen Diario'!$B$5:$B$504, B1636, '📅 Resumen Diario'!$C$5:$C$504, D1636), 0))</f>
        <v/>
      </c>
      <c r="M1636" s="31" t="str">
        <f t="shared" si="178"/>
        <v/>
      </c>
      <c r="N1636" s="31" t="str">
        <f t="shared" si="179"/>
        <v/>
      </c>
      <c r="O1636" s="31" t="str">
        <f>IF(OR(B1636="",C1636=""),"",K1636-N1636 + IFERROR(E1636 / SUMIFS('📅 Resumen Diario'!$D$5:$D$504, '📅 Resumen Diario'!$B$5:$B$504, B1636, '📅 Resumen Diario'!$C$5:$C$504, D1636) * (SUMIFS('📋 Detalle Diario'!$E$5:$E$489, '📋 Detalle Diario'!$B$5:$B$489, B1636, '📋 Detalle Diario'!$C$5:$C$489, D1636) * 135 + SUMIFS('📋 Detalle Diario'!$I$5:$I$489, '📋 Detalle Diario'!$B$5:$B$489, B1636, '📋 Detalle Diario'!$C$5:$C$489, D1636) * 200), 0))</f>
        <v/>
      </c>
      <c r="P1636" s="32" t="str">
        <f t="shared" si="180"/>
        <v/>
      </c>
      <c r="Q1636" s="33" t="str">
        <f t="shared" si="181"/>
        <v/>
      </c>
    </row>
    <row r="1637" spans="2:17" ht="18" customHeight="1" x14ac:dyDescent="0.3">
      <c r="B1637" s="26"/>
      <c r="C1637" s="28"/>
      <c r="D1637" s="27"/>
      <c r="E1637" s="29"/>
      <c r="F1637" s="29"/>
      <c r="G1637" s="29"/>
      <c r="H1637" s="30" t="str">
        <f t="shared" si="175"/>
        <v/>
      </c>
      <c r="I1637" s="31" t="str">
        <f>IF(OR(B1637="",C1637=""),"",IFERROR(E1637*IF(E1637="",0,VLOOKUP(C1637,'📦 Precios Proforma'!$B$5:$D$104,IF(D1637="DIA",2,3),FALSE)),0))</f>
        <v/>
      </c>
      <c r="J1637" s="31" t="str">
        <f t="shared" si="176"/>
        <v/>
      </c>
      <c r="K1637" s="31" t="str">
        <f t="shared" si="177"/>
        <v/>
      </c>
      <c r="L1637" s="31" t="str">
        <f>IF(OR(B1637="",C1637=""),"",IFERROR(E1637 / SUMIFS('📅 Resumen Diario'!$D$5:$D$504, '📅 Resumen Diario'!$B$5:$B$504, B1637, '📅 Resumen Diario'!$C$5:$C$504, D1637) * SUMIFS('📅 Resumen Diario'!$K$5:$K$504, '📅 Resumen Diario'!$B$5:$B$504, B1637, '📅 Resumen Diario'!$C$5:$C$504, D1637), 0))</f>
        <v/>
      </c>
      <c r="M1637" s="31" t="str">
        <f t="shared" si="178"/>
        <v/>
      </c>
      <c r="N1637" s="31" t="str">
        <f t="shared" si="179"/>
        <v/>
      </c>
      <c r="O1637" s="31" t="str">
        <f>IF(OR(B1637="",C1637=""),"",K1637-N1637 + IFERROR(E1637 / SUMIFS('📅 Resumen Diario'!$D$5:$D$504, '📅 Resumen Diario'!$B$5:$B$504, B1637, '📅 Resumen Diario'!$C$5:$C$504, D1637) * (SUMIFS('📋 Detalle Diario'!$E$5:$E$489, '📋 Detalle Diario'!$B$5:$B$489, B1637, '📋 Detalle Diario'!$C$5:$C$489, D1637) * 135 + SUMIFS('📋 Detalle Diario'!$I$5:$I$489, '📋 Detalle Diario'!$B$5:$B$489, B1637, '📋 Detalle Diario'!$C$5:$C$489, D1637) * 200), 0))</f>
        <v/>
      </c>
      <c r="P1637" s="32" t="str">
        <f t="shared" si="180"/>
        <v/>
      </c>
      <c r="Q1637" s="33" t="str">
        <f t="shared" si="181"/>
        <v/>
      </c>
    </row>
    <row r="1638" spans="2:17" ht="18" customHeight="1" x14ac:dyDescent="0.3">
      <c r="B1638" s="26"/>
      <c r="C1638" s="17"/>
      <c r="D1638" s="27"/>
      <c r="E1638" s="18"/>
      <c r="F1638" s="18"/>
      <c r="G1638" s="18"/>
      <c r="H1638" s="30" t="str">
        <f t="shared" si="175"/>
        <v/>
      </c>
      <c r="I1638" s="31" t="str">
        <f>IF(OR(B1638="",C1638=""),"",IFERROR(E1638*IF(E1638="",0,VLOOKUP(C1638,'📦 Precios Proforma'!$B$5:$D$104,IF(D1638="DIA",2,3),FALSE)),0))</f>
        <v/>
      </c>
      <c r="J1638" s="31" t="str">
        <f t="shared" si="176"/>
        <v/>
      </c>
      <c r="K1638" s="31" t="str">
        <f t="shared" si="177"/>
        <v/>
      </c>
      <c r="L1638" s="31" t="str">
        <f>IF(OR(B1638="",C1638=""),"",IFERROR(E1638 / SUMIFS('📅 Resumen Diario'!$D$5:$D$504, '📅 Resumen Diario'!$B$5:$B$504, B1638, '📅 Resumen Diario'!$C$5:$C$504, D1638) * SUMIFS('📅 Resumen Diario'!$K$5:$K$504, '📅 Resumen Diario'!$B$5:$B$504, B1638, '📅 Resumen Diario'!$C$5:$C$504, D1638), 0))</f>
        <v/>
      </c>
      <c r="M1638" s="31" t="str">
        <f t="shared" si="178"/>
        <v/>
      </c>
      <c r="N1638" s="31" t="str">
        <f t="shared" si="179"/>
        <v/>
      </c>
      <c r="O1638" s="31" t="str">
        <f>IF(OR(B1638="",C1638=""),"",K1638-N1638 + IFERROR(E1638 / SUMIFS('📅 Resumen Diario'!$D$5:$D$504, '📅 Resumen Diario'!$B$5:$B$504, B1638, '📅 Resumen Diario'!$C$5:$C$504, D1638) * (SUMIFS('📋 Detalle Diario'!$E$5:$E$489, '📋 Detalle Diario'!$B$5:$B$489, B1638, '📋 Detalle Diario'!$C$5:$C$489, D1638) * 135 + SUMIFS('📋 Detalle Diario'!$I$5:$I$489, '📋 Detalle Diario'!$B$5:$B$489, B1638, '📋 Detalle Diario'!$C$5:$C$489, D1638) * 200), 0))</f>
        <v/>
      </c>
      <c r="P1638" s="32" t="str">
        <f t="shared" si="180"/>
        <v/>
      </c>
      <c r="Q1638" s="33" t="str">
        <f t="shared" si="181"/>
        <v/>
      </c>
    </row>
    <row r="1639" spans="2:17" ht="18" customHeight="1" x14ac:dyDescent="0.3">
      <c r="B1639" s="26"/>
      <c r="C1639" s="28"/>
      <c r="D1639" s="27"/>
      <c r="E1639" s="29"/>
      <c r="F1639" s="29"/>
      <c r="G1639" s="29"/>
      <c r="H1639" s="30" t="str">
        <f t="shared" si="175"/>
        <v/>
      </c>
      <c r="I1639" s="31" t="str">
        <f>IF(OR(B1639="",C1639=""),"",IFERROR(E1639*IF(E1639="",0,VLOOKUP(C1639,'📦 Precios Proforma'!$B$5:$D$104,IF(D1639="DIA",2,3),FALSE)),0))</f>
        <v/>
      </c>
      <c r="J1639" s="31" t="str">
        <f t="shared" si="176"/>
        <v/>
      </c>
      <c r="K1639" s="31" t="str">
        <f t="shared" si="177"/>
        <v/>
      </c>
      <c r="L1639" s="31" t="str">
        <f>IF(OR(B1639="",C1639=""),"",IFERROR(E1639 / SUMIFS('📅 Resumen Diario'!$D$5:$D$504, '📅 Resumen Diario'!$B$5:$B$504, B1639, '📅 Resumen Diario'!$C$5:$C$504, D1639) * SUMIFS('📅 Resumen Diario'!$K$5:$K$504, '📅 Resumen Diario'!$B$5:$B$504, B1639, '📅 Resumen Diario'!$C$5:$C$504, D1639), 0))</f>
        <v/>
      </c>
      <c r="M1639" s="31" t="str">
        <f t="shared" si="178"/>
        <v/>
      </c>
      <c r="N1639" s="31" t="str">
        <f t="shared" si="179"/>
        <v/>
      </c>
      <c r="O1639" s="31" t="str">
        <f>IF(OR(B1639="",C1639=""),"",K1639-N1639 + IFERROR(E1639 / SUMIFS('📅 Resumen Diario'!$D$5:$D$504, '📅 Resumen Diario'!$B$5:$B$504, B1639, '📅 Resumen Diario'!$C$5:$C$504, D1639) * (SUMIFS('📋 Detalle Diario'!$E$5:$E$489, '📋 Detalle Diario'!$B$5:$B$489, B1639, '📋 Detalle Diario'!$C$5:$C$489, D1639) * 135 + SUMIFS('📋 Detalle Diario'!$I$5:$I$489, '📋 Detalle Diario'!$B$5:$B$489, B1639, '📋 Detalle Diario'!$C$5:$C$489, D1639) * 200), 0))</f>
        <v/>
      </c>
      <c r="P1639" s="32" t="str">
        <f t="shared" si="180"/>
        <v/>
      </c>
      <c r="Q1639" s="33" t="str">
        <f t="shared" si="181"/>
        <v/>
      </c>
    </row>
    <row r="1640" spans="2:17" ht="18" customHeight="1" x14ac:dyDescent="0.3">
      <c r="B1640" s="26"/>
      <c r="C1640" s="17"/>
      <c r="D1640" s="27"/>
      <c r="E1640" s="18"/>
      <c r="F1640" s="18"/>
      <c r="G1640" s="18"/>
      <c r="H1640" s="30" t="str">
        <f t="shared" si="175"/>
        <v/>
      </c>
      <c r="I1640" s="31" t="str">
        <f>IF(OR(B1640="",C1640=""),"",IFERROR(E1640*IF(E1640="",0,VLOOKUP(C1640,'📦 Precios Proforma'!$B$5:$D$104,IF(D1640="DIA",2,3),FALSE)),0))</f>
        <v/>
      </c>
      <c r="J1640" s="31" t="str">
        <f t="shared" si="176"/>
        <v/>
      </c>
      <c r="K1640" s="31" t="str">
        <f t="shared" si="177"/>
        <v/>
      </c>
      <c r="L1640" s="31" t="str">
        <f>IF(OR(B1640="",C1640=""),"",IFERROR(E1640 / SUMIFS('📅 Resumen Diario'!$D$5:$D$504, '📅 Resumen Diario'!$B$5:$B$504, B1640, '📅 Resumen Diario'!$C$5:$C$504, D1640) * SUMIFS('📅 Resumen Diario'!$K$5:$K$504, '📅 Resumen Diario'!$B$5:$B$504, B1640, '📅 Resumen Diario'!$C$5:$C$504, D1640), 0))</f>
        <v/>
      </c>
      <c r="M1640" s="31" t="str">
        <f t="shared" si="178"/>
        <v/>
      </c>
      <c r="N1640" s="31" t="str">
        <f t="shared" si="179"/>
        <v/>
      </c>
      <c r="O1640" s="31" t="str">
        <f>IF(OR(B1640="",C1640=""),"",K1640-N1640 + IFERROR(E1640 / SUMIFS('📅 Resumen Diario'!$D$5:$D$504, '📅 Resumen Diario'!$B$5:$B$504, B1640, '📅 Resumen Diario'!$C$5:$C$504, D1640) * (SUMIFS('📋 Detalle Diario'!$E$5:$E$489, '📋 Detalle Diario'!$B$5:$B$489, B1640, '📋 Detalle Diario'!$C$5:$C$489, D1640) * 135 + SUMIFS('📋 Detalle Diario'!$I$5:$I$489, '📋 Detalle Diario'!$B$5:$B$489, B1640, '📋 Detalle Diario'!$C$5:$C$489, D1640) * 200), 0))</f>
        <v/>
      </c>
      <c r="P1640" s="32" t="str">
        <f t="shared" si="180"/>
        <v/>
      </c>
      <c r="Q1640" s="33" t="str">
        <f t="shared" si="181"/>
        <v/>
      </c>
    </row>
    <row r="1641" spans="2:17" ht="18" customHeight="1" x14ac:dyDescent="0.3">
      <c r="B1641" s="26"/>
      <c r="C1641" s="28"/>
      <c r="D1641" s="27"/>
      <c r="E1641" s="29"/>
      <c r="F1641" s="29"/>
      <c r="G1641" s="29"/>
      <c r="H1641" s="30" t="str">
        <f t="shared" si="175"/>
        <v/>
      </c>
      <c r="I1641" s="31" t="str">
        <f>IF(OR(B1641="",C1641=""),"",IFERROR(E1641*IF(E1641="",0,VLOOKUP(C1641,'📦 Precios Proforma'!$B$5:$D$104,IF(D1641="DIA",2,3),FALSE)),0))</f>
        <v/>
      </c>
      <c r="J1641" s="31" t="str">
        <f t="shared" si="176"/>
        <v/>
      </c>
      <c r="K1641" s="31" t="str">
        <f t="shared" si="177"/>
        <v/>
      </c>
      <c r="L1641" s="31" t="str">
        <f>IF(OR(B1641="",C1641=""),"",IFERROR(E1641 / SUMIFS('📅 Resumen Diario'!$D$5:$D$504, '📅 Resumen Diario'!$B$5:$B$504, B1641, '📅 Resumen Diario'!$C$5:$C$504, D1641) * SUMIFS('📅 Resumen Diario'!$K$5:$K$504, '📅 Resumen Diario'!$B$5:$B$504, B1641, '📅 Resumen Diario'!$C$5:$C$504, D1641), 0))</f>
        <v/>
      </c>
      <c r="M1641" s="31" t="str">
        <f t="shared" si="178"/>
        <v/>
      </c>
      <c r="N1641" s="31" t="str">
        <f t="shared" si="179"/>
        <v/>
      </c>
      <c r="O1641" s="31" t="str">
        <f>IF(OR(B1641="",C1641=""),"",K1641-N1641 + IFERROR(E1641 / SUMIFS('📅 Resumen Diario'!$D$5:$D$504, '📅 Resumen Diario'!$B$5:$B$504, B1641, '📅 Resumen Diario'!$C$5:$C$504, D1641) * (SUMIFS('📋 Detalle Diario'!$E$5:$E$489, '📋 Detalle Diario'!$B$5:$B$489, B1641, '📋 Detalle Diario'!$C$5:$C$489, D1641) * 135 + SUMIFS('📋 Detalle Diario'!$I$5:$I$489, '📋 Detalle Diario'!$B$5:$B$489, B1641, '📋 Detalle Diario'!$C$5:$C$489, D1641) * 200), 0))</f>
        <v/>
      </c>
      <c r="P1641" s="32" t="str">
        <f t="shared" si="180"/>
        <v/>
      </c>
      <c r="Q1641" s="33" t="str">
        <f t="shared" si="181"/>
        <v/>
      </c>
    </row>
    <row r="1642" spans="2:17" ht="18" customHeight="1" x14ac:dyDescent="0.3">
      <c r="B1642" s="26"/>
      <c r="C1642" s="17"/>
      <c r="D1642" s="27"/>
      <c r="E1642" s="18"/>
      <c r="F1642" s="18"/>
      <c r="G1642" s="18"/>
      <c r="H1642" s="30" t="str">
        <f t="shared" si="175"/>
        <v/>
      </c>
      <c r="I1642" s="31" t="str">
        <f>IF(OR(B1642="",C1642=""),"",IFERROR(E1642*IF(E1642="",0,VLOOKUP(C1642,'📦 Precios Proforma'!$B$5:$D$104,IF(D1642="DIA",2,3),FALSE)),0))</f>
        <v/>
      </c>
      <c r="J1642" s="31" t="str">
        <f t="shared" si="176"/>
        <v/>
      </c>
      <c r="K1642" s="31" t="str">
        <f t="shared" si="177"/>
        <v/>
      </c>
      <c r="L1642" s="31" t="str">
        <f>IF(OR(B1642="",C1642=""),"",IFERROR(E1642 / SUMIFS('📅 Resumen Diario'!$D$5:$D$504, '📅 Resumen Diario'!$B$5:$B$504, B1642, '📅 Resumen Diario'!$C$5:$C$504, D1642) * SUMIFS('📅 Resumen Diario'!$K$5:$K$504, '📅 Resumen Diario'!$B$5:$B$504, B1642, '📅 Resumen Diario'!$C$5:$C$504, D1642), 0))</f>
        <v/>
      </c>
      <c r="M1642" s="31" t="str">
        <f t="shared" si="178"/>
        <v/>
      </c>
      <c r="N1642" s="31" t="str">
        <f t="shared" si="179"/>
        <v/>
      </c>
      <c r="O1642" s="31" t="str">
        <f>IF(OR(B1642="",C1642=""),"",K1642-N1642 + IFERROR(E1642 / SUMIFS('📅 Resumen Diario'!$D$5:$D$504, '📅 Resumen Diario'!$B$5:$B$504, B1642, '📅 Resumen Diario'!$C$5:$C$504, D1642) * (SUMIFS('📋 Detalle Diario'!$E$5:$E$489, '📋 Detalle Diario'!$B$5:$B$489, B1642, '📋 Detalle Diario'!$C$5:$C$489, D1642) * 135 + SUMIFS('📋 Detalle Diario'!$I$5:$I$489, '📋 Detalle Diario'!$B$5:$B$489, B1642, '📋 Detalle Diario'!$C$5:$C$489, D1642) * 200), 0))</f>
        <v/>
      </c>
      <c r="P1642" s="32" t="str">
        <f t="shared" si="180"/>
        <v/>
      </c>
      <c r="Q1642" s="33" t="str">
        <f t="shared" si="181"/>
        <v/>
      </c>
    </row>
    <row r="1643" spans="2:17" ht="18" customHeight="1" x14ac:dyDescent="0.3">
      <c r="B1643" s="26"/>
      <c r="C1643" s="28"/>
      <c r="D1643" s="27"/>
      <c r="E1643" s="29"/>
      <c r="F1643" s="29"/>
      <c r="G1643" s="29"/>
      <c r="H1643" s="30" t="str">
        <f t="shared" si="175"/>
        <v/>
      </c>
      <c r="I1643" s="31" t="str">
        <f>IF(OR(B1643="",C1643=""),"",IFERROR(E1643*IF(E1643="",0,VLOOKUP(C1643,'📦 Precios Proforma'!$B$5:$D$104,IF(D1643="DIA",2,3),FALSE)),0))</f>
        <v/>
      </c>
      <c r="J1643" s="31" t="str">
        <f t="shared" si="176"/>
        <v/>
      </c>
      <c r="K1643" s="31" t="str">
        <f t="shared" si="177"/>
        <v/>
      </c>
      <c r="L1643" s="31" t="str">
        <f>IF(OR(B1643="",C1643=""),"",IFERROR(E1643 / SUMIFS('📅 Resumen Diario'!$D$5:$D$504, '📅 Resumen Diario'!$B$5:$B$504, B1643, '📅 Resumen Diario'!$C$5:$C$504, D1643) * SUMIFS('📅 Resumen Diario'!$K$5:$K$504, '📅 Resumen Diario'!$B$5:$B$504, B1643, '📅 Resumen Diario'!$C$5:$C$504, D1643), 0))</f>
        <v/>
      </c>
      <c r="M1643" s="31" t="str">
        <f t="shared" si="178"/>
        <v/>
      </c>
      <c r="N1643" s="31" t="str">
        <f t="shared" si="179"/>
        <v/>
      </c>
      <c r="O1643" s="31" t="str">
        <f>IF(OR(B1643="",C1643=""),"",K1643-N1643 + IFERROR(E1643 / SUMIFS('📅 Resumen Diario'!$D$5:$D$504, '📅 Resumen Diario'!$B$5:$B$504, B1643, '📅 Resumen Diario'!$C$5:$C$504, D1643) * (SUMIFS('📋 Detalle Diario'!$E$5:$E$489, '📋 Detalle Diario'!$B$5:$B$489, B1643, '📋 Detalle Diario'!$C$5:$C$489, D1643) * 135 + SUMIFS('📋 Detalle Diario'!$I$5:$I$489, '📋 Detalle Diario'!$B$5:$B$489, B1643, '📋 Detalle Diario'!$C$5:$C$489, D1643) * 200), 0))</f>
        <v/>
      </c>
      <c r="P1643" s="32" t="str">
        <f t="shared" si="180"/>
        <v/>
      </c>
      <c r="Q1643" s="33" t="str">
        <f t="shared" si="181"/>
        <v/>
      </c>
    </row>
    <row r="1644" spans="2:17" ht="18" customHeight="1" x14ac:dyDescent="0.3">
      <c r="B1644" s="26"/>
      <c r="C1644" s="17"/>
      <c r="D1644" s="27"/>
      <c r="E1644" s="18"/>
      <c r="F1644" s="18"/>
      <c r="G1644" s="18"/>
      <c r="H1644" s="30" t="str">
        <f t="shared" si="175"/>
        <v/>
      </c>
      <c r="I1644" s="31" t="str">
        <f>IF(OR(B1644="",C1644=""),"",IFERROR(E1644*IF(E1644="",0,VLOOKUP(C1644,'📦 Precios Proforma'!$B$5:$D$104,IF(D1644="DIA",2,3),FALSE)),0))</f>
        <v/>
      </c>
      <c r="J1644" s="31" t="str">
        <f t="shared" si="176"/>
        <v/>
      </c>
      <c r="K1644" s="31" t="str">
        <f t="shared" si="177"/>
        <v/>
      </c>
      <c r="L1644" s="31" t="str">
        <f>IF(OR(B1644="",C1644=""),"",IFERROR(E1644 / SUMIFS('📅 Resumen Diario'!$D$5:$D$504, '📅 Resumen Diario'!$B$5:$B$504, B1644, '📅 Resumen Diario'!$C$5:$C$504, D1644) * SUMIFS('📅 Resumen Diario'!$K$5:$K$504, '📅 Resumen Diario'!$B$5:$B$504, B1644, '📅 Resumen Diario'!$C$5:$C$504, D1644), 0))</f>
        <v/>
      </c>
      <c r="M1644" s="31" t="str">
        <f t="shared" si="178"/>
        <v/>
      </c>
      <c r="N1644" s="31" t="str">
        <f t="shared" si="179"/>
        <v/>
      </c>
      <c r="O1644" s="31" t="str">
        <f>IF(OR(B1644="",C1644=""),"",K1644-N1644 + IFERROR(E1644 / SUMIFS('📅 Resumen Diario'!$D$5:$D$504, '📅 Resumen Diario'!$B$5:$B$504, B1644, '📅 Resumen Diario'!$C$5:$C$504, D1644) * (SUMIFS('📋 Detalle Diario'!$E$5:$E$489, '📋 Detalle Diario'!$B$5:$B$489, B1644, '📋 Detalle Diario'!$C$5:$C$489, D1644) * 135 + SUMIFS('📋 Detalle Diario'!$I$5:$I$489, '📋 Detalle Diario'!$B$5:$B$489, B1644, '📋 Detalle Diario'!$C$5:$C$489, D1644) * 200), 0))</f>
        <v/>
      </c>
      <c r="P1644" s="32" t="str">
        <f t="shared" si="180"/>
        <v/>
      </c>
      <c r="Q1644" s="33" t="str">
        <f t="shared" si="181"/>
        <v/>
      </c>
    </row>
    <row r="1645" spans="2:17" ht="18" customHeight="1" x14ac:dyDescent="0.3">
      <c r="B1645" s="26"/>
      <c r="C1645" s="28"/>
      <c r="D1645" s="27"/>
      <c r="E1645" s="29"/>
      <c r="F1645" s="29"/>
      <c r="G1645" s="29"/>
      <c r="H1645" s="30" t="str">
        <f t="shared" si="175"/>
        <v/>
      </c>
      <c r="I1645" s="31" t="str">
        <f>IF(OR(B1645="",C1645=""),"",IFERROR(E1645*IF(E1645="",0,VLOOKUP(C1645,'📦 Precios Proforma'!$B$5:$D$104,IF(D1645="DIA",2,3),FALSE)),0))</f>
        <v/>
      </c>
      <c r="J1645" s="31" t="str">
        <f t="shared" si="176"/>
        <v/>
      </c>
      <c r="K1645" s="31" t="str">
        <f t="shared" si="177"/>
        <v/>
      </c>
      <c r="L1645" s="31" t="str">
        <f>IF(OR(B1645="",C1645=""),"",IFERROR(E1645 / SUMIFS('📅 Resumen Diario'!$D$5:$D$504, '📅 Resumen Diario'!$B$5:$B$504, B1645, '📅 Resumen Diario'!$C$5:$C$504, D1645) * SUMIFS('📅 Resumen Diario'!$K$5:$K$504, '📅 Resumen Diario'!$B$5:$B$504, B1645, '📅 Resumen Diario'!$C$5:$C$504, D1645), 0))</f>
        <v/>
      </c>
      <c r="M1645" s="31" t="str">
        <f t="shared" si="178"/>
        <v/>
      </c>
      <c r="N1645" s="31" t="str">
        <f t="shared" si="179"/>
        <v/>
      </c>
      <c r="O1645" s="31" t="str">
        <f>IF(OR(B1645="",C1645=""),"",K1645-N1645 + IFERROR(E1645 / SUMIFS('📅 Resumen Diario'!$D$5:$D$504, '📅 Resumen Diario'!$B$5:$B$504, B1645, '📅 Resumen Diario'!$C$5:$C$504, D1645) * (SUMIFS('📋 Detalle Diario'!$E$5:$E$489, '📋 Detalle Diario'!$B$5:$B$489, B1645, '📋 Detalle Diario'!$C$5:$C$489, D1645) * 135 + SUMIFS('📋 Detalle Diario'!$I$5:$I$489, '📋 Detalle Diario'!$B$5:$B$489, B1645, '📋 Detalle Diario'!$C$5:$C$489, D1645) * 200), 0))</f>
        <v/>
      </c>
      <c r="P1645" s="32" t="str">
        <f t="shared" si="180"/>
        <v/>
      </c>
      <c r="Q1645" s="33" t="str">
        <f t="shared" si="181"/>
        <v/>
      </c>
    </row>
    <row r="1646" spans="2:17" ht="18" customHeight="1" x14ac:dyDescent="0.3">
      <c r="B1646" s="26"/>
      <c r="C1646" s="17"/>
      <c r="D1646" s="27"/>
      <c r="E1646" s="18"/>
      <c r="F1646" s="18"/>
      <c r="G1646" s="18"/>
      <c r="H1646" s="30" t="str">
        <f t="shared" si="175"/>
        <v/>
      </c>
      <c r="I1646" s="31" t="str">
        <f>IF(OR(B1646="",C1646=""),"",IFERROR(E1646*IF(E1646="",0,VLOOKUP(C1646,'📦 Precios Proforma'!$B$5:$D$104,IF(D1646="DIA",2,3),FALSE)),0))</f>
        <v/>
      </c>
      <c r="J1646" s="31" t="str">
        <f t="shared" si="176"/>
        <v/>
      </c>
      <c r="K1646" s="31" t="str">
        <f t="shared" si="177"/>
        <v/>
      </c>
      <c r="L1646" s="31" t="str">
        <f>IF(OR(B1646="",C1646=""),"",IFERROR(E1646 / SUMIFS('📅 Resumen Diario'!$D$5:$D$504, '📅 Resumen Diario'!$B$5:$B$504, B1646, '📅 Resumen Diario'!$C$5:$C$504, D1646) * SUMIFS('📅 Resumen Diario'!$K$5:$K$504, '📅 Resumen Diario'!$B$5:$B$504, B1646, '📅 Resumen Diario'!$C$5:$C$504, D1646), 0))</f>
        <v/>
      </c>
      <c r="M1646" s="31" t="str">
        <f t="shared" si="178"/>
        <v/>
      </c>
      <c r="N1646" s="31" t="str">
        <f t="shared" si="179"/>
        <v/>
      </c>
      <c r="O1646" s="31" t="str">
        <f>IF(OR(B1646="",C1646=""),"",K1646-N1646 + IFERROR(E1646 / SUMIFS('📅 Resumen Diario'!$D$5:$D$504, '📅 Resumen Diario'!$B$5:$B$504, B1646, '📅 Resumen Diario'!$C$5:$C$504, D1646) * (SUMIFS('📋 Detalle Diario'!$E$5:$E$489, '📋 Detalle Diario'!$B$5:$B$489, B1646, '📋 Detalle Diario'!$C$5:$C$489, D1646) * 135 + SUMIFS('📋 Detalle Diario'!$I$5:$I$489, '📋 Detalle Diario'!$B$5:$B$489, B1646, '📋 Detalle Diario'!$C$5:$C$489, D1646) * 200), 0))</f>
        <v/>
      </c>
      <c r="P1646" s="32" t="str">
        <f t="shared" si="180"/>
        <v/>
      </c>
      <c r="Q1646" s="33" t="str">
        <f t="shared" si="181"/>
        <v/>
      </c>
    </row>
    <row r="1647" spans="2:17" ht="18" customHeight="1" x14ac:dyDescent="0.3">
      <c r="B1647" s="26"/>
      <c r="C1647" s="28"/>
      <c r="D1647" s="27"/>
      <c r="E1647" s="29"/>
      <c r="F1647" s="29"/>
      <c r="G1647" s="29"/>
      <c r="H1647" s="30" t="str">
        <f t="shared" si="175"/>
        <v/>
      </c>
      <c r="I1647" s="31" t="str">
        <f>IF(OR(B1647="",C1647=""),"",IFERROR(E1647*IF(E1647="",0,VLOOKUP(C1647,'📦 Precios Proforma'!$B$5:$D$104,IF(D1647="DIA",2,3),FALSE)),0))</f>
        <v/>
      </c>
      <c r="J1647" s="31" t="str">
        <f t="shared" si="176"/>
        <v/>
      </c>
      <c r="K1647" s="31" t="str">
        <f t="shared" si="177"/>
        <v/>
      </c>
      <c r="L1647" s="31" t="str">
        <f>IF(OR(B1647="",C1647=""),"",IFERROR(E1647 / SUMIFS('📅 Resumen Diario'!$D$5:$D$504, '📅 Resumen Diario'!$B$5:$B$504, B1647, '📅 Resumen Diario'!$C$5:$C$504, D1647) * SUMIFS('📅 Resumen Diario'!$K$5:$K$504, '📅 Resumen Diario'!$B$5:$B$504, B1647, '📅 Resumen Diario'!$C$5:$C$504, D1647), 0))</f>
        <v/>
      </c>
      <c r="M1647" s="31" t="str">
        <f t="shared" si="178"/>
        <v/>
      </c>
      <c r="N1647" s="31" t="str">
        <f t="shared" si="179"/>
        <v/>
      </c>
      <c r="O1647" s="31" t="str">
        <f>IF(OR(B1647="",C1647=""),"",K1647-N1647 + IFERROR(E1647 / SUMIFS('📅 Resumen Diario'!$D$5:$D$504, '📅 Resumen Diario'!$B$5:$B$504, B1647, '📅 Resumen Diario'!$C$5:$C$504, D1647) * (SUMIFS('📋 Detalle Diario'!$E$5:$E$489, '📋 Detalle Diario'!$B$5:$B$489, B1647, '📋 Detalle Diario'!$C$5:$C$489, D1647) * 135 + SUMIFS('📋 Detalle Diario'!$I$5:$I$489, '📋 Detalle Diario'!$B$5:$B$489, B1647, '📋 Detalle Diario'!$C$5:$C$489, D1647) * 200), 0))</f>
        <v/>
      </c>
      <c r="P1647" s="32" t="str">
        <f t="shared" si="180"/>
        <v/>
      </c>
      <c r="Q1647" s="33" t="str">
        <f t="shared" si="181"/>
        <v/>
      </c>
    </row>
    <row r="1648" spans="2:17" ht="18" customHeight="1" x14ac:dyDescent="0.3">
      <c r="B1648" s="26"/>
      <c r="C1648" s="17"/>
      <c r="D1648" s="27"/>
      <c r="E1648" s="18"/>
      <c r="F1648" s="18"/>
      <c r="G1648" s="18"/>
      <c r="H1648" s="30" t="str">
        <f t="shared" si="175"/>
        <v/>
      </c>
      <c r="I1648" s="31" t="str">
        <f>IF(OR(B1648="",C1648=""),"",IFERROR(E1648*IF(E1648="",0,VLOOKUP(C1648,'📦 Precios Proforma'!$B$5:$D$104,IF(D1648="DIA",2,3),FALSE)),0))</f>
        <v/>
      </c>
      <c r="J1648" s="31" t="str">
        <f t="shared" si="176"/>
        <v/>
      </c>
      <c r="K1648" s="31" t="str">
        <f t="shared" si="177"/>
        <v/>
      </c>
      <c r="L1648" s="31" t="str">
        <f>IF(OR(B1648="",C1648=""),"",IFERROR(E1648 / SUMIFS('📅 Resumen Diario'!$D$5:$D$504, '📅 Resumen Diario'!$B$5:$B$504, B1648, '📅 Resumen Diario'!$C$5:$C$504, D1648) * SUMIFS('📅 Resumen Diario'!$K$5:$K$504, '📅 Resumen Diario'!$B$5:$B$504, B1648, '📅 Resumen Diario'!$C$5:$C$504, D1648), 0))</f>
        <v/>
      </c>
      <c r="M1648" s="31" t="str">
        <f t="shared" si="178"/>
        <v/>
      </c>
      <c r="N1648" s="31" t="str">
        <f t="shared" si="179"/>
        <v/>
      </c>
      <c r="O1648" s="31" t="str">
        <f>IF(OR(B1648="",C1648=""),"",K1648-N1648 + IFERROR(E1648 / SUMIFS('📅 Resumen Diario'!$D$5:$D$504, '📅 Resumen Diario'!$B$5:$B$504, B1648, '📅 Resumen Diario'!$C$5:$C$504, D1648) * (SUMIFS('📋 Detalle Diario'!$E$5:$E$489, '📋 Detalle Diario'!$B$5:$B$489, B1648, '📋 Detalle Diario'!$C$5:$C$489, D1648) * 135 + SUMIFS('📋 Detalle Diario'!$I$5:$I$489, '📋 Detalle Diario'!$B$5:$B$489, B1648, '📋 Detalle Diario'!$C$5:$C$489, D1648) * 200), 0))</f>
        <v/>
      </c>
      <c r="P1648" s="32" t="str">
        <f t="shared" si="180"/>
        <v/>
      </c>
      <c r="Q1648" s="33" t="str">
        <f t="shared" si="181"/>
        <v/>
      </c>
    </row>
    <row r="1649" spans="2:17" ht="18" customHeight="1" x14ac:dyDescent="0.3">
      <c r="B1649" s="26"/>
      <c r="C1649" s="28"/>
      <c r="D1649" s="27"/>
      <c r="E1649" s="29"/>
      <c r="F1649" s="29"/>
      <c r="G1649" s="29"/>
      <c r="H1649" s="30" t="str">
        <f t="shared" si="175"/>
        <v/>
      </c>
      <c r="I1649" s="31" t="str">
        <f>IF(OR(B1649="",C1649=""),"",IFERROR(E1649*IF(E1649="",0,VLOOKUP(C1649,'📦 Precios Proforma'!$B$5:$D$104,IF(D1649="DIA",2,3),FALSE)),0))</f>
        <v/>
      </c>
      <c r="J1649" s="31" t="str">
        <f t="shared" si="176"/>
        <v/>
      </c>
      <c r="K1649" s="31" t="str">
        <f t="shared" si="177"/>
        <v/>
      </c>
      <c r="L1649" s="31" t="str">
        <f>IF(OR(B1649="",C1649=""),"",IFERROR(E1649 / SUMIFS('📅 Resumen Diario'!$D$5:$D$504, '📅 Resumen Diario'!$B$5:$B$504, B1649, '📅 Resumen Diario'!$C$5:$C$504, D1649) * SUMIFS('📅 Resumen Diario'!$K$5:$K$504, '📅 Resumen Diario'!$B$5:$B$504, B1649, '📅 Resumen Diario'!$C$5:$C$504, D1649), 0))</f>
        <v/>
      </c>
      <c r="M1649" s="31" t="str">
        <f t="shared" si="178"/>
        <v/>
      </c>
      <c r="N1649" s="31" t="str">
        <f t="shared" si="179"/>
        <v/>
      </c>
      <c r="O1649" s="31" t="str">
        <f>IF(OR(B1649="",C1649=""),"",K1649-N1649 + IFERROR(E1649 / SUMIFS('📅 Resumen Diario'!$D$5:$D$504, '📅 Resumen Diario'!$B$5:$B$504, B1649, '📅 Resumen Diario'!$C$5:$C$504, D1649) * (SUMIFS('📋 Detalle Diario'!$E$5:$E$489, '📋 Detalle Diario'!$B$5:$B$489, B1649, '📋 Detalle Diario'!$C$5:$C$489, D1649) * 135 + SUMIFS('📋 Detalle Diario'!$I$5:$I$489, '📋 Detalle Diario'!$B$5:$B$489, B1649, '📋 Detalle Diario'!$C$5:$C$489, D1649) * 200), 0))</f>
        <v/>
      </c>
      <c r="P1649" s="32" t="str">
        <f t="shared" si="180"/>
        <v/>
      </c>
      <c r="Q1649" s="33" t="str">
        <f t="shared" si="181"/>
        <v/>
      </c>
    </row>
    <row r="1650" spans="2:17" ht="18" customHeight="1" x14ac:dyDescent="0.3">
      <c r="B1650" s="26"/>
      <c r="C1650" s="17"/>
      <c r="D1650" s="27"/>
      <c r="E1650" s="18"/>
      <c r="F1650" s="18"/>
      <c r="G1650" s="18"/>
      <c r="H1650" s="30" t="str">
        <f t="shared" si="175"/>
        <v/>
      </c>
      <c r="I1650" s="31" t="str">
        <f>IF(OR(B1650="",C1650=""),"",IFERROR(E1650*IF(E1650="",0,VLOOKUP(C1650,'📦 Precios Proforma'!$B$5:$D$104,IF(D1650="DIA",2,3),FALSE)),0))</f>
        <v/>
      </c>
      <c r="J1650" s="31" t="str">
        <f t="shared" si="176"/>
        <v/>
      </c>
      <c r="K1650" s="31" t="str">
        <f t="shared" si="177"/>
        <v/>
      </c>
      <c r="L1650" s="31" t="str">
        <f>IF(OR(B1650="",C1650=""),"",IFERROR(E1650 / SUMIFS('📅 Resumen Diario'!$D$5:$D$504, '📅 Resumen Diario'!$B$5:$B$504, B1650, '📅 Resumen Diario'!$C$5:$C$504, D1650) * SUMIFS('📅 Resumen Diario'!$K$5:$K$504, '📅 Resumen Diario'!$B$5:$B$504, B1650, '📅 Resumen Diario'!$C$5:$C$504, D1650), 0))</f>
        <v/>
      </c>
      <c r="M1650" s="31" t="str">
        <f t="shared" si="178"/>
        <v/>
      </c>
      <c r="N1650" s="31" t="str">
        <f t="shared" si="179"/>
        <v/>
      </c>
      <c r="O1650" s="31" t="str">
        <f>IF(OR(B1650="",C1650=""),"",K1650-N1650 + IFERROR(E1650 / SUMIFS('📅 Resumen Diario'!$D$5:$D$504, '📅 Resumen Diario'!$B$5:$B$504, B1650, '📅 Resumen Diario'!$C$5:$C$504, D1650) * (SUMIFS('📋 Detalle Diario'!$E$5:$E$489, '📋 Detalle Diario'!$B$5:$B$489, B1650, '📋 Detalle Diario'!$C$5:$C$489, D1650) * 135 + SUMIFS('📋 Detalle Diario'!$I$5:$I$489, '📋 Detalle Diario'!$B$5:$B$489, B1650, '📋 Detalle Diario'!$C$5:$C$489, D1650) * 200), 0))</f>
        <v/>
      </c>
      <c r="P1650" s="32" t="str">
        <f t="shared" si="180"/>
        <v/>
      </c>
      <c r="Q1650" s="33" t="str">
        <f t="shared" si="181"/>
        <v/>
      </c>
    </row>
    <row r="1651" spans="2:17" ht="18" customHeight="1" x14ac:dyDescent="0.3">
      <c r="B1651" s="26"/>
      <c r="C1651" s="28"/>
      <c r="D1651" s="27"/>
      <c r="E1651" s="29"/>
      <c r="F1651" s="29"/>
      <c r="G1651" s="29"/>
      <c r="H1651" s="30" t="str">
        <f t="shared" si="175"/>
        <v/>
      </c>
      <c r="I1651" s="31" t="str">
        <f>IF(OR(B1651="",C1651=""),"",IFERROR(E1651*IF(E1651="",0,VLOOKUP(C1651,'📦 Precios Proforma'!$B$5:$D$104,IF(D1651="DIA",2,3),FALSE)),0))</f>
        <v/>
      </c>
      <c r="J1651" s="31" t="str">
        <f t="shared" si="176"/>
        <v/>
      </c>
      <c r="K1651" s="31" t="str">
        <f t="shared" si="177"/>
        <v/>
      </c>
      <c r="L1651" s="31" t="str">
        <f>IF(OR(B1651="",C1651=""),"",IFERROR(E1651 / SUMIFS('📅 Resumen Diario'!$D$5:$D$504, '📅 Resumen Diario'!$B$5:$B$504, B1651, '📅 Resumen Diario'!$C$5:$C$504, D1651) * SUMIFS('📅 Resumen Diario'!$K$5:$K$504, '📅 Resumen Diario'!$B$5:$B$504, B1651, '📅 Resumen Diario'!$C$5:$C$504, D1651), 0))</f>
        <v/>
      </c>
      <c r="M1651" s="31" t="str">
        <f t="shared" si="178"/>
        <v/>
      </c>
      <c r="N1651" s="31" t="str">
        <f t="shared" si="179"/>
        <v/>
      </c>
      <c r="O1651" s="31" t="str">
        <f>IF(OR(B1651="",C1651=""),"",K1651-N1651 + IFERROR(E1651 / SUMIFS('📅 Resumen Diario'!$D$5:$D$504, '📅 Resumen Diario'!$B$5:$B$504, B1651, '📅 Resumen Diario'!$C$5:$C$504, D1651) * (SUMIFS('📋 Detalle Diario'!$E$5:$E$489, '📋 Detalle Diario'!$B$5:$B$489, B1651, '📋 Detalle Diario'!$C$5:$C$489, D1651) * 135 + SUMIFS('📋 Detalle Diario'!$I$5:$I$489, '📋 Detalle Diario'!$B$5:$B$489, B1651, '📋 Detalle Diario'!$C$5:$C$489, D1651) * 200), 0))</f>
        <v/>
      </c>
      <c r="P1651" s="32" t="str">
        <f t="shared" si="180"/>
        <v/>
      </c>
      <c r="Q1651" s="33" t="str">
        <f t="shared" si="181"/>
        <v/>
      </c>
    </row>
    <row r="1652" spans="2:17" ht="18" customHeight="1" x14ac:dyDescent="0.3">
      <c r="B1652" s="26"/>
      <c r="C1652" s="17"/>
      <c r="D1652" s="27"/>
      <c r="E1652" s="18"/>
      <c r="F1652" s="18"/>
      <c r="G1652" s="18"/>
      <c r="H1652" s="30" t="str">
        <f t="shared" si="175"/>
        <v/>
      </c>
      <c r="I1652" s="31" t="str">
        <f>IF(OR(B1652="",C1652=""),"",IFERROR(E1652*IF(E1652="",0,VLOOKUP(C1652,'📦 Precios Proforma'!$B$5:$D$104,IF(D1652="DIA",2,3),FALSE)),0))</f>
        <v/>
      </c>
      <c r="J1652" s="31" t="str">
        <f t="shared" si="176"/>
        <v/>
      </c>
      <c r="K1652" s="31" t="str">
        <f t="shared" si="177"/>
        <v/>
      </c>
      <c r="L1652" s="31" t="str">
        <f>IF(OR(B1652="",C1652=""),"",IFERROR(E1652 / SUMIFS('📅 Resumen Diario'!$D$5:$D$504, '📅 Resumen Diario'!$B$5:$B$504, B1652, '📅 Resumen Diario'!$C$5:$C$504, D1652) * SUMIFS('📅 Resumen Diario'!$K$5:$K$504, '📅 Resumen Diario'!$B$5:$B$504, B1652, '📅 Resumen Diario'!$C$5:$C$504, D1652), 0))</f>
        <v/>
      </c>
      <c r="M1652" s="31" t="str">
        <f t="shared" si="178"/>
        <v/>
      </c>
      <c r="N1652" s="31" t="str">
        <f t="shared" si="179"/>
        <v/>
      </c>
      <c r="O1652" s="31" t="str">
        <f>IF(OR(B1652="",C1652=""),"",K1652-N1652 + IFERROR(E1652 / SUMIFS('📅 Resumen Diario'!$D$5:$D$504, '📅 Resumen Diario'!$B$5:$B$504, B1652, '📅 Resumen Diario'!$C$5:$C$504, D1652) * (SUMIFS('📋 Detalle Diario'!$E$5:$E$489, '📋 Detalle Diario'!$B$5:$B$489, B1652, '📋 Detalle Diario'!$C$5:$C$489, D1652) * 135 + SUMIFS('📋 Detalle Diario'!$I$5:$I$489, '📋 Detalle Diario'!$B$5:$B$489, B1652, '📋 Detalle Diario'!$C$5:$C$489, D1652) * 200), 0))</f>
        <v/>
      </c>
      <c r="P1652" s="32" t="str">
        <f t="shared" si="180"/>
        <v/>
      </c>
      <c r="Q1652" s="33" t="str">
        <f t="shared" si="181"/>
        <v/>
      </c>
    </row>
    <row r="1653" spans="2:17" ht="18" customHeight="1" x14ac:dyDescent="0.3">
      <c r="B1653" s="26"/>
      <c r="C1653" s="28"/>
      <c r="D1653" s="27"/>
      <c r="E1653" s="29"/>
      <c r="F1653" s="29"/>
      <c r="G1653" s="29"/>
      <c r="H1653" s="30" t="str">
        <f t="shared" si="175"/>
        <v/>
      </c>
      <c r="I1653" s="31" t="str">
        <f>IF(OR(B1653="",C1653=""),"",IFERROR(E1653*IF(E1653="",0,VLOOKUP(C1653,'📦 Precios Proforma'!$B$5:$D$104,IF(D1653="DIA",2,3),FALSE)),0))</f>
        <v/>
      </c>
      <c r="J1653" s="31" t="str">
        <f t="shared" si="176"/>
        <v/>
      </c>
      <c r="K1653" s="31" t="str">
        <f t="shared" si="177"/>
        <v/>
      </c>
      <c r="L1653" s="31" t="str">
        <f>IF(OR(B1653="",C1653=""),"",IFERROR(E1653 / SUMIFS('📅 Resumen Diario'!$D$5:$D$504, '📅 Resumen Diario'!$B$5:$B$504, B1653, '📅 Resumen Diario'!$C$5:$C$504, D1653) * SUMIFS('📅 Resumen Diario'!$K$5:$K$504, '📅 Resumen Diario'!$B$5:$B$504, B1653, '📅 Resumen Diario'!$C$5:$C$504, D1653), 0))</f>
        <v/>
      </c>
      <c r="M1653" s="31" t="str">
        <f t="shared" si="178"/>
        <v/>
      </c>
      <c r="N1653" s="31" t="str">
        <f t="shared" si="179"/>
        <v/>
      </c>
      <c r="O1653" s="31" t="str">
        <f>IF(OR(B1653="",C1653=""),"",K1653-N1653 + IFERROR(E1653 / SUMIFS('📅 Resumen Diario'!$D$5:$D$504, '📅 Resumen Diario'!$B$5:$B$504, B1653, '📅 Resumen Diario'!$C$5:$C$504, D1653) * (SUMIFS('📋 Detalle Diario'!$E$5:$E$489, '📋 Detalle Diario'!$B$5:$B$489, B1653, '📋 Detalle Diario'!$C$5:$C$489, D1653) * 135 + SUMIFS('📋 Detalle Diario'!$I$5:$I$489, '📋 Detalle Diario'!$B$5:$B$489, B1653, '📋 Detalle Diario'!$C$5:$C$489, D1653) * 200), 0))</f>
        <v/>
      </c>
      <c r="P1653" s="32" t="str">
        <f t="shared" si="180"/>
        <v/>
      </c>
      <c r="Q1653" s="33" t="str">
        <f t="shared" si="181"/>
        <v/>
      </c>
    </row>
    <row r="1654" spans="2:17" ht="18" customHeight="1" x14ac:dyDescent="0.3">
      <c r="B1654" s="26"/>
      <c r="C1654" s="17"/>
      <c r="D1654" s="27"/>
      <c r="E1654" s="18"/>
      <c r="F1654" s="18"/>
      <c r="G1654" s="18"/>
      <c r="H1654" s="30" t="str">
        <f t="shared" si="175"/>
        <v/>
      </c>
      <c r="I1654" s="31" t="str">
        <f>IF(OR(B1654="",C1654=""),"",IFERROR(E1654*IF(E1654="",0,VLOOKUP(C1654,'📦 Precios Proforma'!$B$5:$D$104,IF(D1654="DIA",2,3),FALSE)),0))</f>
        <v/>
      </c>
      <c r="J1654" s="31" t="str">
        <f t="shared" si="176"/>
        <v/>
      </c>
      <c r="K1654" s="31" t="str">
        <f t="shared" si="177"/>
        <v/>
      </c>
      <c r="L1654" s="31" t="str">
        <f>IF(OR(B1654="",C1654=""),"",IFERROR(E1654 / SUMIFS('📅 Resumen Diario'!$D$5:$D$504, '📅 Resumen Diario'!$B$5:$B$504, B1654, '📅 Resumen Diario'!$C$5:$C$504, D1654) * SUMIFS('📅 Resumen Diario'!$K$5:$K$504, '📅 Resumen Diario'!$B$5:$B$504, B1654, '📅 Resumen Diario'!$C$5:$C$504, D1654), 0))</f>
        <v/>
      </c>
      <c r="M1654" s="31" t="str">
        <f t="shared" si="178"/>
        <v/>
      </c>
      <c r="N1654" s="31" t="str">
        <f t="shared" si="179"/>
        <v/>
      </c>
      <c r="O1654" s="31" t="str">
        <f>IF(OR(B1654="",C1654=""),"",K1654-N1654 + IFERROR(E1654 / SUMIFS('📅 Resumen Diario'!$D$5:$D$504, '📅 Resumen Diario'!$B$5:$B$504, B1654, '📅 Resumen Diario'!$C$5:$C$504, D1654) * (SUMIFS('📋 Detalle Diario'!$E$5:$E$489, '📋 Detalle Diario'!$B$5:$B$489, B1654, '📋 Detalle Diario'!$C$5:$C$489, D1654) * 135 + SUMIFS('📋 Detalle Diario'!$I$5:$I$489, '📋 Detalle Diario'!$B$5:$B$489, B1654, '📋 Detalle Diario'!$C$5:$C$489, D1654) * 200), 0))</f>
        <v/>
      </c>
      <c r="P1654" s="32" t="str">
        <f t="shared" si="180"/>
        <v/>
      </c>
      <c r="Q1654" s="33" t="str">
        <f t="shared" si="181"/>
        <v/>
      </c>
    </row>
    <row r="1655" spans="2:17" ht="18" customHeight="1" x14ac:dyDescent="0.3">
      <c r="B1655" s="26"/>
      <c r="C1655" s="28"/>
      <c r="D1655" s="27"/>
      <c r="E1655" s="29"/>
      <c r="F1655" s="29"/>
      <c r="G1655" s="29"/>
      <c r="H1655" s="30" t="str">
        <f t="shared" si="175"/>
        <v/>
      </c>
      <c r="I1655" s="31" t="str">
        <f>IF(OR(B1655="",C1655=""),"",IFERROR(E1655*IF(E1655="",0,VLOOKUP(C1655,'📦 Precios Proforma'!$B$5:$D$104,IF(D1655="DIA",2,3),FALSE)),0))</f>
        <v/>
      </c>
      <c r="J1655" s="31" t="str">
        <f t="shared" si="176"/>
        <v/>
      </c>
      <c r="K1655" s="31" t="str">
        <f t="shared" si="177"/>
        <v/>
      </c>
      <c r="L1655" s="31" t="str">
        <f>IF(OR(B1655="",C1655=""),"",IFERROR(E1655 / SUMIFS('📅 Resumen Diario'!$D$5:$D$504, '📅 Resumen Diario'!$B$5:$B$504, B1655, '📅 Resumen Diario'!$C$5:$C$504, D1655) * SUMIFS('📅 Resumen Diario'!$K$5:$K$504, '📅 Resumen Diario'!$B$5:$B$504, B1655, '📅 Resumen Diario'!$C$5:$C$504, D1655), 0))</f>
        <v/>
      </c>
      <c r="M1655" s="31" t="str">
        <f t="shared" si="178"/>
        <v/>
      </c>
      <c r="N1655" s="31" t="str">
        <f t="shared" si="179"/>
        <v/>
      </c>
      <c r="O1655" s="31" t="str">
        <f>IF(OR(B1655="",C1655=""),"",K1655-N1655 + IFERROR(E1655 / SUMIFS('📅 Resumen Diario'!$D$5:$D$504, '📅 Resumen Diario'!$B$5:$B$504, B1655, '📅 Resumen Diario'!$C$5:$C$504, D1655) * (SUMIFS('📋 Detalle Diario'!$E$5:$E$489, '📋 Detalle Diario'!$B$5:$B$489, B1655, '📋 Detalle Diario'!$C$5:$C$489, D1655) * 135 + SUMIFS('📋 Detalle Diario'!$I$5:$I$489, '📋 Detalle Diario'!$B$5:$B$489, B1655, '📋 Detalle Diario'!$C$5:$C$489, D1655) * 200), 0))</f>
        <v/>
      </c>
      <c r="P1655" s="32" t="str">
        <f t="shared" si="180"/>
        <v/>
      </c>
      <c r="Q1655" s="33" t="str">
        <f t="shared" si="181"/>
        <v/>
      </c>
    </row>
    <row r="1656" spans="2:17" ht="18" customHeight="1" x14ac:dyDescent="0.3">
      <c r="B1656" s="26"/>
      <c r="C1656" s="17"/>
      <c r="D1656" s="27"/>
      <c r="E1656" s="18"/>
      <c r="F1656" s="18"/>
      <c r="G1656" s="18"/>
      <c r="H1656" s="30" t="str">
        <f t="shared" si="175"/>
        <v/>
      </c>
      <c r="I1656" s="31" t="str">
        <f>IF(OR(B1656="",C1656=""),"",IFERROR(E1656*IF(E1656="",0,VLOOKUP(C1656,'📦 Precios Proforma'!$B$5:$D$104,IF(D1656="DIA",2,3),FALSE)),0))</f>
        <v/>
      </c>
      <c r="J1656" s="31" t="str">
        <f t="shared" si="176"/>
        <v/>
      </c>
      <c r="K1656" s="31" t="str">
        <f t="shared" si="177"/>
        <v/>
      </c>
      <c r="L1656" s="31" t="str">
        <f>IF(OR(B1656="",C1656=""),"",IFERROR(E1656 / SUMIFS('📅 Resumen Diario'!$D$5:$D$504, '📅 Resumen Diario'!$B$5:$B$504, B1656, '📅 Resumen Diario'!$C$5:$C$504, D1656) * SUMIFS('📅 Resumen Diario'!$K$5:$K$504, '📅 Resumen Diario'!$B$5:$B$504, B1656, '📅 Resumen Diario'!$C$5:$C$504, D1656), 0))</f>
        <v/>
      </c>
      <c r="M1656" s="31" t="str">
        <f t="shared" si="178"/>
        <v/>
      </c>
      <c r="N1656" s="31" t="str">
        <f t="shared" si="179"/>
        <v/>
      </c>
      <c r="O1656" s="31" t="str">
        <f>IF(OR(B1656="",C1656=""),"",K1656-N1656 + IFERROR(E1656 / SUMIFS('📅 Resumen Diario'!$D$5:$D$504, '📅 Resumen Diario'!$B$5:$B$504, B1656, '📅 Resumen Diario'!$C$5:$C$504, D1656) * (SUMIFS('📋 Detalle Diario'!$E$5:$E$489, '📋 Detalle Diario'!$B$5:$B$489, B1656, '📋 Detalle Diario'!$C$5:$C$489, D1656) * 135 + SUMIFS('📋 Detalle Diario'!$I$5:$I$489, '📋 Detalle Diario'!$B$5:$B$489, B1656, '📋 Detalle Diario'!$C$5:$C$489, D1656) * 200), 0))</f>
        <v/>
      </c>
      <c r="P1656" s="32" t="str">
        <f t="shared" si="180"/>
        <v/>
      </c>
      <c r="Q1656" s="33" t="str">
        <f t="shared" si="181"/>
        <v/>
      </c>
    </row>
    <row r="1657" spans="2:17" ht="18" customHeight="1" x14ac:dyDescent="0.3">
      <c r="B1657" s="26"/>
      <c r="C1657" s="28"/>
      <c r="D1657" s="27"/>
      <c r="E1657" s="29"/>
      <c r="F1657" s="29"/>
      <c r="G1657" s="29"/>
      <c r="H1657" s="30" t="str">
        <f t="shared" si="175"/>
        <v/>
      </c>
      <c r="I1657" s="31" t="str">
        <f>IF(OR(B1657="",C1657=""),"",IFERROR(E1657*IF(E1657="",0,VLOOKUP(C1657,'📦 Precios Proforma'!$B$5:$D$104,IF(D1657="DIA",2,3),FALSE)),0))</f>
        <v/>
      </c>
      <c r="J1657" s="31" t="str">
        <f t="shared" si="176"/>
        <v/>
      </c>
      <c r="K1657" s="31" t="str">
        <f t="shared" si="177"/>
        <v/>
      </c>
      <c r="L1657" s="31" t="str">
        <f>IF(OR(B1657="",C1657=""),"",IFERROR(E1657 / SUMIFS('📅 Resumen Diario'!$D$5:$D$504, '📅 Resumen Diario'!$B$5:$B$504, B1657, '📅 Resumen Diario'!$C$5:$C$504, D1657) * SUMIFS('📅 Resumen Diario'!$K$5:$K$504, '📅 Resumen Diario'!$B$5:$B$504, B1657, '📅 Resumen Diario'!$C$5:$C$504, D1657), 0))</f>
        <v/>
      </c>
      <c r="M1657" s="31" t="str">
        <f t="shared" si="178"/>
        <v/>
      </c>
      <c r="N1657" s="31" t="str">
        <f t="shared" si="179"/>
        <v/>
      </c>
      <c r="O1657" s="31" t="str">
        <f>IF(OR(B1657="",C1657=""),"",K1657-N1657 + IFERROR(E1657 / SUMIFS('📅 Resumen Diario'!$D$5:$D$504, '📅 Resumen Diario'!$B$5:$B$504, B1657, '📅 Resumen Diario'!$C$5:$C$504, D1657) * (SUMIFS('📋 Detalle Diario'!$E$5:$E$489, '📋 Detalle Diario'!$B$5:$B$489, B1657, '📋 Detalle Diario'!$C$5:$C$489, D1657) * 135 + SUMIFS('📋 Detalle Diario'!$I$5:$I$489, '📋 Detalle Diario'!$B$5:$B$489, B1657, '📋 Detalle Diario'!$C$5:$C$489, D1657) * 200), 0))</f>
        <v/>
      </c>
      <c r="P1657" s="32" t="str">
        <f t="shared" si="180"/>
        <v/>
      </c>
      <c r="Q1657" s="33" t="str">
        <f t="shared" si="181"/>
        <v/>
      </c>
    </row>
    <row r="1658" spans="2:17" ht="18" customHeight="1" x14ac:dyDescent="0.3">
      <c r="B1658" s="26"/>
      <c r="C1658" s="17"/>
      <c r="D1658" s="27"/>
      <c r="E1658" s="18"/>
      <c r="F1658" s="18"/>
      <c r="G1658" s="18"/>
      <c r="H1658" s="30" t="str">
        <f t="shared" si="175"/>
        <v/>
      </c>
      <c r="I1658" s="31" t="str">
        <f>IF(OR(B1658="",C1658=""),"",IFERROR(E1658*IF(E1658="",0,VLOOKUP(C1658,'📦 Precios Proforma'!$B$5:$D$104,IF(D1658="DIA",2,3),FALSE)),0))</f>
        <v/>
      </c>
      <c r="J1658" s="31" t="str">
        <f t="shared" si="176"/>
        <v/>
      </c>
      <c r="K1658" s="31" t="str">
        <f t="shared" si="177"/>
        <v/>
      </c>
      <c r="L1658" s="31" t="str">
        <f>IF(OR(B1658="",C1658=""),"",IFERROR(E1658 / SUMIFS('📅 Resumen Diario'!$D$5:$D$504, '📅 Resumen Diario'!$B$5:$B$504, B1658, '📅 Resumen Diario'!$C$5:$C$504, D1658) * SUMIFS('📅 Resumen Diario'!$K$5:$K$504, '📅 Resumen Diario'!$B$5:$B$504, B1658, '📅 Resumen Diario'!$C$5:$C$504, D1658), 0))</f>
        <v/>
      </c>
      <c r="M1658" s="31" t="str">
        <f t="shared" si="178"/>
        <v/>
      </c>
      <c r="N1658" s="31" t="str">
        <f t="shared" si="179"/>
        <v/>
      </c>
      <c r="O1658" s="31" t="str">
        <f>IF(OR(B1658="",C1658=""),"",K1658-N1658 + IFERROR(E1658 / SUMIFS('📅 Resumen Diario'!$D$5:$D$504, '📅 Resumen Diario'!$B$5:$B$504, B1658, '📅 Resumen Diario'!$C$5:$C$504, D1658) * (SUMIFS('📋 Detalle Diario'!$E$5:$E$489, '📋 Detalle Diario'!$B$5:$B$489, B1658, '📋 Detalle Diario'!$C$5:$C$489, D1658) * 135 + SUMIFS('📋 Detalle Diario'!$I$5:$I$489, '📋 Detalle Diario'!$B$5:$B$489, B1658, '📋 Detalle Diario'!$C$5:$C$489, D1658) * 200), 0))</f>
        <v/>
      </c>
      <c r="P1658" s="32" t="str">
        <f t="shared" si="180"/>
        <v/>
      </c>
      <c r="Q1658" s="33" t="str">
        <f t="shared" si="181"/>
        <v/>
      </c>
    </row>
    <row r="1659" spans="2:17" ht="18" customHeight="1" x14ac:dyDescent="0.3">
      <c r="B1659" s="26"/>
      <c r="C1659" s="28"/>
      <c r="D1659" s="27"/>
      <c r="E1659" s="29"/>
      <c r="F1659" s="29"/>
      <c r="G1659" s="29"/>
      <c r="H1659" s="30" t="str">
        <f t="shared" si="175"/>
        <v/>
      </c>
      <c r="I1659" s="31" t="str">
        <f>IF(OR(B1659="",C1659=""),"",IFERROR(E1659*IF(E1659="",0,VLOOKUP(C1659,'📦 Precios Proforma'!$B$5:$D$104,IF(D1659="DIA",2,3),FALSE)),0))</f>
        <v/>
      </c>
      <c r="J1659" s="31" t="str">
        <f t="shared" si="176"/>
        <v/>
      </c>
      <c r="K1659" s="31" t="str">
        <f t="shared" si="177"/>
        <v/>
      </c>
      <c r="L1659" s="31" t="str">
        <f>IF(OR(B1659="",C1659=""),"",IFERROR(E1659 / SUMIFS('📅 Resumen Diario'!$D$5:$D$504, '📅 Resumen Diario'!$B$5:$B$504, B1659, '📅 Resumen Diario'!$C$5:$C$504, D1659) * SUMIFS('📅 Resumen Diario'!$K$5:$K$504, '📅 Resumen Diario'!$B$5:$B$504, B1659, '📅 Resumen Diario'!$C$5:$C$504, D1659), 0))</f>
        <v/>
      </c>
      <c r="M1659" s="31" t="str">
        <f t="shared" si="178"/>
        <v/>
      </c>
      <c r="N1659" s="31" t="str">
        <f t="shared" si="179"/>
        <v/>
      </c>
      <c r="O1659" s="31" t="str">
        <f>IF(OR(B1659="",C1659=""),"",K1659-N1659 + IFERROR(E1659 / SUMIFS('📅 Resumen Diario'!$D$5:$D$504, '📅 Resumen Diario'!$B$5:$B$504, B1659, '📅 Resumen Diario'!$C$5:$C$504, D1659) * (SUMIFS('📋 Detalle Diario'!$E$5:$E$489, '📋 Detalle Diario'!$B$5:$B$489, B1659, '📋 Detalle Diario'!$C$5:$C$489, D1659) * 135 + SUMIFS('📋 Detalle Diario'!$I$5:$I$489, '📋 Detalle Diario'!$B$5:$B$489, B1659, '📋 Detalle Diario'!$C$5:$C$489, D1659) * 200), 0))</f>
        <v/>
      </c>
      <c r="P1659" s="32" t="str">
        <f t="shared" si="180"/>
        <v/>
      </c>
      <c r="Q1659" s="33" t="str">
        <f t="shared" si="181"/>
        <v/>
      </c>
    </row>
    <row r="1660" spans="2:17" ht="18" customHeight="1" x14ac:dyDescent="0.3">
      <c r="B1660" s="26"/>
      <c r="C1660" s="17"/>
      <c r="D1660" s="27"/>
      <c r="E1660" s="18"/>
      <c r="F1660" s="18"/>
      <c r="G1660" s="18"/>
      <c r="H1660" s="30" t="str">
        <f t="shared" si="175"/>
        <v/>
      </c>
      <c r="I1660" s="31" t="str">
        <f>IF(OR(B1660="",C1660=""),"",IFERROR(E1660*IF(E1660="",0,VLOOKUP(C1660,'📦 Precios Proforma'!$B$5:$D$104,IF(D1660="DIA",2,3),FALSE)),0))</f>
        <v/>
      </c>
      <c r="J1660" s="31" t="str">
        <f t="shared" si="176"/>
        <v/>
      </c>
      <c r="K1660" s="31" t="str">
        <f t="shared" si="177"/>
        <v/>
      </c>
      <c r="L1660" s="31" t="str">
        <f>IF(OR(B1660="",C1660=""),"",IFERROR(E1660 / SUMIFS('📅 Resumen Diario'!$D$5:$D$504, '📅 Resumen Diario'!$B$5:$B$504, B1660, '📅 Resumen Diario'!$C$5:$C$504, D1660) * SUMIFS('📅 Resumen Diario'!$K$5:$K$504, '📅 Resumen Diario'!$B$5:$B$504, B1660, '📅 Resumen Diario'!$C$5:$C$504, D1660), 0))</f>
        <v/>
      </c>
      <c r="M1660" s="31" t="str">
        <f t="shared" si="178"/>
        <v/>
      </c>
      <c r="N1660" s="31" t="str">
        <f t="shared" si="179"/>
        <v/>
      </c>
      <c r="O1660" s="31" t="str">
        <f>IF(OR(B1660="",C1660=""),"",K1660-N1660 + IFERROR(E1660 / SUMIFS('📅 Resumen Diario'!$D$5:$D$504, '📅 Resumen Diario'!$B$5:$B$504, B1660, '📅 Resumen Diario'!$C$5:$C$504, D1660) * (SUMIFS('📋 Detalle Diario'!$E$5:$E$489, '📋 Detalle Diario'!$B$5:$B$489, B1660, '📋 Detalle Diario'!$C$5:$C$489, D1660) * 135 + SUMIFS('📋 Detalle Diario'!$I$5:$I$489, '📋 Detalle Diario'!$B$5:$B$489, B1660, '📋 Detalle Diario'!$C$5:$C$489, D1660) * 200), 0))</f>
        <v/>
      </c>
      <c r="P1660" s="32" t="str">
        <f t="shared" si="180"/>
        <v/>
      </c>
      <c r="Q1660" s="33" t="str">
        <f t="shared" si="181"/>
        <v/>
      </c>
    </row>
    <row r="1661" spans="2:17" ht="18" customHeight="1" x14ac:dyDescent="0.3">
      <c r="B1661" s="26"/>
      <c r="C1661" s="28"/>
      <c r="D1661" s="27"/>
      <c r="E1661" s="29"/>
      <c r="F1661" s="29"/>
      <c r="G1661" s="29"/>
      <c r="H1661" s="30" t="str">
        <f t="shared" si="175"/>
        <v/>
      </c>
      <c r="I1661" s="31" t="str">
        <f>IF(OR(B1661="",C1661=""),"",IFERROR(E1661*IF(E1661="",0,VLOOKUP(C1661,'📦 Precios Proforma'!$B$5:$D$104,IF(D1661="DIA",2,3),FALSE)),0))</f>
        <v/>
      </c>
      <c r="J1661" s="31" t="str">
        <f t="shared" si="176"/>
        <v/>
      </c>
      <c r="K1661" s="31" t="str">
        <f t="shared" si="177"/>
        <v/>
      </c>
      <c r="L1661" s="31" t="str">
        <f>IF(OR(B1661="",C1661=""),"",IFERROR(E1661 / SUMIFS('📅 Resumen Diario'!$D$5:$D$504, '📅 Resumen Diario'!$B$5:$B$504, B1661, '📅 Resumen Diario'!$C$5:$C$504, D1661) * SUMIFS('📅 Resumen Diario'!$K$5:$K$504, '📅 Resumen Diario'!$B$5:$B$504, B1661, '📅 Resumen Diario'!$C$5:$C$504, D1661), 0))</f>
        <v/>
      </c>
      <c r="M1661" s="31" t="str">
        <f t="shared" si="178"/>
        <v/>
      </c>
      <c r="N1661" s="31" t="str">
        <f t="shared" si="179"/>
        <v/>
      </c>
      <c r="O1661" s="31" t="str">
        <f>IF(OR(B1661="",C1661=""),"",K1661-N1661 + IFERROR(E1661 / SUMIFS('📅 Resumen Diario'!$D$5:$D$504, '📅 Resumen Diario'!$B$5:$B$504, B1661, '📅 Resumen Diario'!$C$5:$C$504, D1661) * (SUMIFS('📋 Detalle Diario'!$E$5:$E$489, '📋 Detalle Diario'!$B$5:$B$489, B1661, '📋 Detalle Diario'!$C$5:$C$489, D1661) * 135 + SUMIFS('📋 Detalle Diario'!$I$5:$I$489, '📋 Detalle Diario'!$B$5:$B$489, B1661, '📋 Detalle Diario'!$C$5:$C$489, D1661) * 200), 0))</f>
        <v/>
      </c>
      <c r="P1661" s="32" t="str">
        <f t="shared" si="180"/>
        <v/>
      </c>
      <c r="Q1661" s="33" t="str">
        <f t="shared" si="181"/>
        <v/>
      </c>
    </row>
    <row r="1662" spans="2:17" ht="18" customHeight="1" x14ac:dyDescent="0.3">
      <c r="B1662" s="26"/>
      <c r="C1662" s="17"/>
      <c r="D1662" s="27"/>
      <c r="E1662" s="18"/>
      <c r="F1662" s="18"/>
      <c r="G1662" s="18"/>
      <c r="H1662" s="30" t="str">
        <f t="shared" si="175"/>
        <v/>
      </c>
      <c r="I1662" s="31" t="str">
        <f>IF(OR(B1662="",C1662=""),"",IFERROR(E1662*IF(E1662="",0,VLOOKUP(C1662,'📦 Precios Proforma'!$B$5:$D$104,IF(D1662="DIA",2,3),FALSE)),0))</f>
        <v/>
      </c>
      <c r="J1662" s="31" t="str">
        <f t="shared" si="176"/>
        <v/>
      </c>
      <c r="K1662" s="31" t="str">
        <f t="shared" si="177"/>
        <v/>
      </c>
      <c r="L1662" s="31" t="str">
        <f>IF(OR(B1662="",C1662=""),"",IFERROR(E1662 / SUMIFS('📅 Resumen Diario'!$D$5:$D$504, '📅 Resumen Diario'!$B$5:$B$504, B1662, '📅 Resumen Diario'!$C$5:$C$504, D1662) * SUMIFS('📅 Resumen Diario'!$K$5:$K$504, '📅 Resumen Diario'!$B$5:$B$504, B1662, '📅 Resumen Diario'!$C$5:$C$504, D1662), 0))</f>
        <v/>
      </c>
      <c r="M1662" s="31" t="str">
        <f t="shared" si="178"/>
        <v/>
      </c>
      <c r="N1662" s="31" t="str">
        <f t="shared" si="179"/>
        <v/>
      </c>
      <c r="O1662" s="31" t="str">
        <f>IF(OR(B1662="",C1662=""),"",K1662-N1662 + IFERROR(E1662 / SUMIFS('📅 Resumen Diario'!$D$5:$D$504, '📅 Resumen Diario'!$B$5:$B$504, B1662, '📅 Resumen Diario'!$C$5:$C$504, D1662) * (SUMIFS('📋 Detalle Diario'!$E$5:$E$489, '📋 Detalle Diario'!$B$5:$B$489, B1662, '📋 Detalle Diario'!$C$5:$C$489, D1662) * 135 + SUMIFS('📋 Detalle Diario'!$I$5:$I$489, '📋 Detalle Diario'!$B$5:$B$489, B1662, '📋 Detalle Diario'!$C$5:$C$489, D1662) * 200), 0))</f>
        <v/>
      </c>
      <c r="P1662" s="32" t="str">
        <f t="shared" si="180"/>
        <v/>
      </c>
      <c r="Q1662" s="33" t="str">
        <f t="shared" si="181"/>
        <v/>
      </c>
    </row>
    <row r="1663" spans="2:17" ht="18" customHeight="1" x14ac:dyDescent="0.3">
      <c r="B1663" s="26"/>
      <c r="C1663" s="28"/>
      <c r="D1663" s="27"/>
      <c r="E1663" s="29"/>
      <c r="F1663" s="29"/>
      <c r="G1663" s="29"/>
      <c r="H1663" s="30" t="str">
        <f t="shared" si="175"/>
        <v/>
      </c>
      <c r="I1663" s="31" t="str">
        <f>IF(OR(B1663="",C1663=""),"",IFERROR(E1663*IF(E1663="",0,VLOOKUP(C1663,'📦 Precios Proforma'!$B$5:$D$104,IF(D1663="DIA",2,3),FALSE)),0))</f>
        <v/>
      </c>
      <c r="J1663" s="31" t="str">
        <f t="shared" si="176"/>
        <v/>
      </c>
      <c r="K1663" s="31" t="str">
        <f t="shared" si="177"/>
        <v/>
      </c>
      <c r="L1663" s="31" t="str">
        <f>IF(OR(B1663="",C1663=""),"",IFERROR(E1663 / SUMIFS('📅 Resumen Diario'!$D$5:$D$504, '📅 Resumen Diario'!$B$5:$B$504, B1663, '📅 Resumen Diario'!$C$5:$C$504, D1663) * SUMIFS('📅 Resumen Diario'!$K$5:$K$504, '📅 Resumen Diario'!$B$5:$B$504, B1663, '📅 Resumen Diario'!$C$5:$C$504, D1663), 0))</f>
        <v/>
      </c>
      <c r="M1663" s="31" t="str">
        <f t="shared" si="178"/>
        <v/>
      </c>
      <c r="N1663" s="31" t="str">
        <f t="shared" si="179"/>
        <v/>
      </c>
      <c r="O1663" s="31" t="str">
        <f>IF(OR(B1663="",C1663=""),"",K1663-N1663 + IFERROR(E1663 / SUMIFS('📅 Resumen Diario'!$D$5:$D$504, '📅 Resumen Diario'!$B$5:$B$504, B1663, '📅 Resumen Diario'!$C$5:$C$504, D1663) * (SUMIFS('📋 Detalle Diario'!$E$5:$E$489, '📋 Detalle Diario'!$B$5:$B$489, B1663, '📋 Detalle Diario'!$C$5:$C$489, D1663) * 135 + SUMIFS('📋 Detalle Diario'!$I$5:$I$489, '📋 Detalle Diario'!$B$5:$B$489, B1663, '📋 Detalle Diario'!$C$5:$C$489, D1663) * 200), 0))</f>
        <v/>
      </c>
      <c r="P1663" s="32" t="str">
        <f t="shared" si="180"/>
        <v/>
      </c>
      <c r="Q1663" s="33" t="str">
        <f t="shared" si="181"/>
        <v/>
      </c>
    </row>
    <row r="1664" spans="2:17" ht="18" customHeight="1" x14ac:dyDescent="0.3">
      <c r="B1664" s="26"/>
      <c r="C1664" s="17"/>
      <c r="D1664" s="27"/>
      <c r="E1664" s="18"/>
      <c r="F1664" s="18"/>
      <c r="G1664" s="18"/>
      <c r="H1664" s="30" t="str">
        <f t="shared" si="175"/>
        <v/>
      </c>
      <c r="I1664" s="31" t="str">
        <f>IF(OR(B1664="",C1664=""),"",IFERROR(E1664*IF(E1664="",0,VLOOKUP(C1664,'📦 Precios Proforma'!$B$5:$D$104,IF(D1664="DIA",2,3),FALSE)),0))</f>
        <v/>
      </c>
      <c r="J1664" s="31" t="str">
        <f t="shared" si="176"/>
        <v/>
      </c>
      <c r="K1664" s="31" t="str">
        <f t="shared" si="177"/>
        <v/>
      </c>
      <c r="L1664" s="31" t="str">
        <f>IF(OR(B1664="",C1664=""),"",IFERROR(E1664 / SUMIFS('📅 Resumen Diario'!$D$5:$D$504, '📅 Resumen Diario'!$B$5:$B$504, B1664, '📅 Resumen Diario'!$C$5:$C$504, D1664) * SUMIFS('📅 Resumen Diario'!$K$5:$K$504, '📅 Resumen Diario'!$B$5:$B$504, B1664, '📅 Resumen Diario'!$C$5:$C$504, D1664), 0))</f>
        <v/>
      </c>
      <c r="M1664" s="31" t="str">
        <f t="shared" si="178"/>
        <v/>
      </c>
      <c r="N1664" s="31" t="str">
        <f t="shared" si="179"/>
        <v/>
      </c>
      <c r="O1664" s="31" t="str">
        <f>IF(OR(B1664="",C1664=""),"",K1664-N1664 + IFERROR(E1664 / SUMIFS('📅 Resumen Diario'!$D$5:$D$504, '📅 Resumen Diario'!$B$5:$B$504, B1664, '📅 Resumen Diario'!$C$5:$C$504, D1664) * (SUMIFS('📋 Detalle Diario'!$E$5:$E$489, '📋 Detalle Diario'!$B$5:$B$489, B1664, '📋 Detalle Diario'!$C$5:$C$489, D1664) * 135 + SUMIFS('📋 Detalle Diario'!$I$5:$I$489, '📋 Detalle Diario'!$B$5:$B$489, B1664, '📋 Detalle Diario'!$C$5:$C$489, D1664) * 200), 0))</f>
        <v/>
      </c>
      <c r="P1664" s="32" t="str">
        <f t="shared" si="180"/>
        <v/>
      </c>
      <c r="Q1664" s="33" t="str">
        <f t="shared" si="181"/>
        <v/>
      </c>
    </row>
    <row r="1665" spans="2:17" ht="18" customHeight="1" x14ac:dyDescent="0.3">
      <c r="B1665" s="26"/>
      <c r="C1665" s="28"/>
      <c r="D1665" s="27"/>
      <c r="E1665" s="29"/>
      <c r="F1665" s="29"/>
      <c r="G1665" s="29"/>
      <c r="H1665" s="30" t="str">
        <f t="shared" si="175"/>
        <v/>
      </c>
      <c r="I1665" s="31" t="str">
        <f>IF(OR(B1665="",C1665=""),"",IFERROR(E1665*IF(E1665="",0,VLOOKUP(C1665,'📦 Precios Proforma'!$B$5:$D$104,IF(D1665="DIA",2,3),FALSE)),0))</f>
        <v/>
      </c>
      <c r="J1665" s="31" t="str">
        <f t="shared" si="176"/>
        <v/>
      </c>
      <c r="K1665" s="31" t="str">
        <f t="shared" si="177"/>
        <v/>
      </c>
      <c r="L1665" s="31" t="str">
        <f>IF(OR(B1665="",C1665=""),"",IFERROR(E1665 / SUMIFS('📅 Resumen Diario'!$D$5:$D$504, '📅 Resumen Diario'!$B$5:$B$504, B1665, '📅 Resumen Diario'!$C$5:$C$504, D1665) * SUMIFS('📅 Resumen Diario'!$K$5:$K$504, '📅 Resumen Diario'!$B$5:$B$504, B1665, '📅 Resumen Diario'!$C$5:$C$504, D1665), 0))</f>
        <v/>
      </c>
      <c r="M1665" s="31" t="str">
        <f t="shared" si="178"/>
        <v/>
      </c>
      <c r="N1665" s="31" t="str">
        <f t="shared" si="179"/>
        <v/>
      </c>
      <c r="O1665" s="31" t="str">
        <f>IF(OR(B1665="",C1665=""),"",K1665-N1665 + IFERROR(E1665 / SUMIFS('📅 Resumen Diario'!$D$5:$D$504, '📅 Resumen Diario'!$B$5:$B$504, B1665, '📅 Resumen Diario'!$C$5:$C$504, D1665) * (SUMIFS('📋 Detalle Diario'!$E$5:$E$489, '📋 Detalle Diario'!$B$5:$B$489, B1665, '📋 Detalle Diario'!$C$5:$C$489, D1665) * 135 + SUMIFS('📋 Detalle Diario'!$I$5:$I$489, '📋 Detalle Diario'!$B$5:$B$489, B1665, '📋 Detalle Diario'!$C$5:$C$489, D1665) * 200), 0))</f>
        <v/>
      </c>
      <c r="P1665" s="32" t="str">
        <f t="shared" si="180"/>
        <v/>
      </c>
      <c r="Q1665" s="33" t="str">
        <f t="shared" si="181"/>
        <v/>
      </c>
    </row>
    <row r="1666" spans="2:17" ht="18" customHeight="1" x14ac:dyDescent="0.3">
      <c r="B1666" s="26"/>
      <c r="C1666" s="17"/>
      <c r="D1666" s="27"/>
      <c r="E1666" s="18"/>
      <c r="F1666" s="18"/>
      <c r="G1666" s="18"/>
      <c r="H1666" s="30" t="str">
        <f t="shared" si="175"/>
        <v/>
      </c>
      <c r="I1666" s="31" t="str">
        <f>IF(OR(B1666="",C1666=""),"",IFERROR(E1666*IF(E1666="",0,VLOOKUP(C1666,'📦 Precios Proforma'!$B$5:$D$104,IF(D1666="DIA",2,3),FALSE)),0))</f>
        <v/>
      </c>
      <c r="J1666" s="31" t="str">
        <f t="shared" si="176"/>
        <v/>
      </c>
      <c r="K1666" s="31" t="str">
        <f t="shared" si="177"/>
        <v/>
      </c>
      <c r="L1666" s="31" t="str">
        <f>IF(OR(B1666="",C1666=""),"",IFERROR(E1666 / SUMIFS('📅 Resumen Diario'!$D$5:$D$504, '📅 Resumen Diario'!$B$5:$B$504, B1666, '📅 Resumen Diario'!$C$5:$C$504, D1666) * SUMIFS('📅 Resumen Diario'!$K$5:$K$504, '📅 Resumen Diario'!$B$5:$B$504, B1666, '📅 Resumen Diario'!$C$5:$C$504, D1666), 0))</f>
        <v/>
      </c>
      <c r="M1666" s="31" t="str">
        <f t="shared" si="178"/>
        <v/>
      </c>
      <c r="N1666" s="31" t="str">
        <f t="shared" si="179"/>
        <v/>
      </c>
      <c r="O1666" s="31" t="str">
        <f>IF(OR(B1666="",C1666=""),"",K1666-N1666 + IFERROR(E1666 / SUMIFS('📅 Resumen Diario'!$D$5:$D$504, '📅 Resumen Diario'!$B$5:$B$504, B1666, '📅 Resumen Diario'!$C$5:$C$504, D1666) * (SUMIFS('📋 Detalle Diario'!$E$5:$E$489, '📋 Detalle Diario'!$B$5:$B$489, B1666, '📋 Detalle Diario'!$C$5:$C$489, D1666) * 135 + SUMIFS('📋 Detalle Diario'!$I$5:$I$489, '📋 Detalle Diario'!$B$5:$B$489, B1666, '📋 Detalle Diario'!$C$5:$C$489, D1666) * 200), 0))</f>
        <v/>
      </c>
      <c r="P1666" s="32" t="str">
        <f t="shared" si="180"/>
        <v/>
      </c>
      <c r="Q1666" s="33" t="str">
        <f t="shared" si="181"/>
        <v/>
      </c>
    </row>
    <row r="1667" spans="2:17" ht="18" customHeight="1" x14ac:dyDescent="0.3">
      <c r="B1667" s="26"/>
      <c r="C1667" s="28"/>
      <c r="D1667" s="27"/>
      <c r="E1667" s="29"/>
      <c r="F1667" s="29"/>
      <c r="G1667" s="29"/>
      <c r="H1667" s="30" t="str">
        <f t="shared" si="175"/>
        <v/>
      </c>
      <c r="I1667" s="31" t="str">
        <f>IF(OR(B1667="",C1667=""),"",IFERROR(E1667*IF(E1667="",0,VLOOKUP(C1667,'📦 Precios Proforma'!$B$5:$D$104,IF(D1667="DIA",2,3),FALSE)),0))</f>
        <v/>
      </c>
      <c r="J1667" s="31" t="str">
        <f t="shared" si="176"/>
        <v/>
      </c>
      <c r="K1667" s="31" t="str">
        <f t="shared" si="177"/>
        <v/>
      </c>
      <c r="L1667" s="31" t="str">
        <f>IF(OR(B1667="",C1667=""),"",IFERROR(E1667 / SUMIFS('📅 Resumen Diario'!$D$5:$D$504, '📅 Resumen Diario'!$B$5:$B$504, B1667, '📅 Resumen Diario'!$C$5:$C$504, D1667) * SUMIFS('📅 Resumen Diario'!$K$5:$K$504, '📅 Resumen Diario'!$B$5:$B$504, B1667, '📅 Resumen Diario'!$C$5:$C$504, D1667), 0))</f>
        <v/>
      </c>
      <c r="M1667" s="31" t="str">
        <f t="shared" si="178"/>
        <v/>
      </c>
      <c r="N1667" s="31" t="str">
        <f t="shared" si="179"/>
        <v/>
      </c>
      <c r="O1667" s="31" t="str">
        <f>IF(OR(B1667="",C1667=""),"",K1667-N1667 + IFERROR(E1667 / SUMIFS('📅 Resumen Diario'!$D$5:$D$504, '📅 Resumen Diario'!$B$5:$B$504, B1667, '📅 Resumen Diario'!$C$5:$C$504, D1667) * (SUMIFS('📋 Detalle Diario'!$E$5:$E$489, '📋 Detalle Diario'!$B$5:$B$489, B1667, '📋 Detalle Diario'!$C$5:$C$489, D1667) * 135 + SUMIFS('📋 Detalle Diario'!$I$5:$I$489, '📋 Detalle Diario'!$B$5:$B$489, B1667, '📋 Detalle Diario'!$C$5:$C$489, D1667) * 200), 0))</f>
        <v/>
      </c>
      <c r="P1667" s="32" t="str">
        <f t="shared" si="180"/>
        <v/>
      </c>
      <c r="Q1667" s="33" t="str">
        <f t="shared" si="181"/>
        <v/>
      </c>
    </row>
    <row r="1668" spans="2:17" ht="18" customHeight="1" x14ac:dyDescent="0.3">
      <c r="B1668" s="26"/>
      <c r="C1668" s="17"/>
      <c r="D1668" s="27"/>
      <c r="E1668" s="18"/>
      <c r="F1668" s="18"/>
      <c r="G1668" s="18"/>
      <c r="H1668" s="30" t="str">
        <f t="shared" si="175"/>
        <v/>
      </c>
      <c r="I1668" s="31" t="str">
        <f>IF(OR(B1668="",C1668=""),"",IFERROR(E1668*IF(E1668="",0,VLOOKUP(C1668,'📦 Precios Proforma'!$B$5:$D$104,IF(D1668="DIA",2,3),FALSE)),0))</f>
        <v/>
      </c>
      <c r="J1668" s="31" t="str">
        <f t="shared" si="176"/>
        <v/>
      </c>
      <c r="K1668" s="31" t="str">
        <f t="shared" si="177"/>
        <v/>
      </c>
      <c r="L1668" s="31" t="str">
        <f>IF(OR(B1668="",C1668=""),"",IFERROR(E1668 / SUMIFS('📅 Resumen Diario'!$D$5:$D$504, '📅 Resumen Diario'!$B$5:$B$504, B1668, '📅 Resumen Diario'!$C$5:$C$504, D1668) * SUMIFS('📅 Resumen Diario'!$K$5:$K$504, '📅 Resumen Diario'!$B$5:$B$504, B1668, '📅 Resumen Diario'!$C$5:$C$504, D1668), 0))</f>
        <v/>
      </c>
      <c r="M1668" s="31" t="str">
        <f t="shared" si="178"/>
        <v/>
      </c>
      <c r="N1668" s="31" t="str">
        <f t="shared" si="179"/>
        <v/>
      </c>
      <c r="O1668" s="31" t="str">
        <f>IF(OR(B1668="",C1668=""),"",K1668-N1668 + IFERROR(E1668 / SUMIFS('📅 Resumen Diario'!$D$5:$D$504, '📅 Resumen Diario'!$B$5:$B$504, B1668, '📅 Resumen Diario'!$C$5:$C$504, D1668) * (SUMIFS('📋 Detalle Diario'!$E$5:$E$489, '📋 Detalle Diario'!$B$5:$B$489, B1668, '📋 Detalle Diario'!$C$5:$C$489, D1668) * 135 + SUMIFS('📋 Detalle Diario'!$I$5:$I$489, '📋 Detalle Diario'!$B$5:$B$489, B1668, '📋 Detalle Diario'!$C$5:$C$489, D1668) * 200), 0))</f>
        <v/>
      </c>
      <c r="P1668" s="32" t="str">
        <f t="shared" si="180"/>
        <v/>
      </c>
      <c r="Q1668" s="33" t="str">
        <f t="shared" si="181"/>
        <v/>
      </c>
    </row>
    <row r="1669" spans="2:17" ht="18" customHeight="1" x14ac:dyDescent="0.3">
      <c r="B1669" s="26"/>
      <c r="C1669" s="28"/>
      <c r="D1669" s="27"/>
      <c r="E1669" s="29"/>
      <c r="F1669" s="29"/>
      <c r="G1669" s="29"/>
      <c r="H1669" s="30" t="str">
        <f t="shared" si="175"/>
        <v/>
      </c>
      <c r="I1669" s="31" t="str">
        <f>IF(OR(B1669="",C1669=""),"",IFERROR(E1669*IF(E1669="",0,VLOOKUP(C1669,'📦 Precios Proforma'!$B$5:$D$104,IF(D1669="DIA",2,3),FALSE)),0))</f>
        <v/>
      </c>
      <c r="J1669" s="31" t="str">
        <f t="shared" si="176"/>
        <v/>
      </c>
      <c r="K1669" s="31" t="str">
        <f t="shared" si="177"/>
        <v/>
      </c>
      <c r="L1669" s="31" t="str">
        <f>IF(OR(B1669="",C1669=""),"",IFERROR(E1669 / SUMIFS('📅 Resumen Diario'!$D$5:$D$504, '📅 Resumen Diario'!$B$5:$B$504, B1669, '📅 Resumen Diario'!$C$5:$C$504, D1669) * SUMIFS('📅 Resumen Diario'!$K$5:$K$504, '📅 Resumen Diario'!$B$5:$B$504, B1669, '📅 Resumen Diario'!$C$5:$C$504, D1669), 0))</f>
        <v/>
      </c>
      <c r="M1669" s="31" t="str">
        <f t="shared" si="178"/>
        <v/>
      </c>
      <c r="N1669" s="31" t="str">
        <f t="shared" si="179"/>
        <v/>
      </c>
      <c r="O1669" s="31" t="str">
        <f>IF(OR(B1669="",C1669=""),"",K1669-N1669 + IFERROR(E1669 / SUMIFS('📅 Resumen Diario'!$D$5:$D$504, '📅 Resumen Diario'!$B$5:$B$504, B1669, '📅 Resumen Diario'!$C$5:$C$504, D1669) * (SUMIFS('📋 Detalle Diario'!$E$5:$E$489, '📋 Detalle Diario'!$B$5:$B$489, B1669, '📋 Detalle Diario'!$C$5:$C$489, D1669) * 135 + SUMIFS('📋 Detalle Diario'!$I$5:$I$489, '📋 Detalle Diario'!$B$5:$B$489, B1669, '📋 Detalle Diario'!$C$5:$C$489, D1669) * 200), 0))</f>
        <v/>
      </c>
      <c r="P1669" s="32" t="str">
        <f t="shared" si="180"/>
        <v/>
      </c>
      <c r="Q1669" s="33" t="str">
        <f t="shared" si="181"/>
        <v/>
      </c>
    </row>
    <row r="1670" spans="2:17" ht="18" customHeight="1" x14ac:dyDescent="0.3">
      <c r="B1670" s="26"/>
      <c r="C1670" s="17"/>
      <c r="D1670" s="27"/>
      <c r="E1670" s="18"/>
      <c r="F1670" s="18"/>
      <c r="G1670" s="18"/>
      <c r="H1670" s="30" t="str">
        <f t="shared" si="175"/>
        <v/>
      </c>
      <c r="I1670" s="31" t="str">
        <f>IF(OR(B1670="",C1670=""),"",IFERROR(E1670*IF(E1670="",0,VLOOKUP(C1670,'📦 Precios Proforma'!$B$5:$D$104,IF(D1670="DIA",2,3),FALSE)),0))</f>
        <v/>
      </c>
      <c r="J1670" s="31" t="str">
        <f t="shared" si="176"/>
        <v/>
      </c>
      <c r="K1670" s="31" t="str">
        <f t="shared" si="177"/>
        <v/>
      </c>
      <c r="L1670" s="31" t="str">
        <f>IF(OR(B1670="",C1670=""),"",IFERROR(E1670 / SUMIFS('📅 Resumen Diario'!$D$5:$D$504, '📅 Resumen Diario'!$B$5:$B$504, B1670, '📅 Resumen Diario'!$C$5:$C$504, D1670) * SUMIFS('📅 Resumen Diario'!$K$5:$K$504, '📅 Resumen Diario'!$B$5:$B$504, B1670, '📅 Resumen Diario'!$C$5:$C$504, D1670), 0))</f>
        <v/>
      </c>
      <c r="M1670" s="31" t="str">
        <f t="shared" si="178"/>
        <v/>
      </c>
      <c r="N1670" s="31" t="str">
        <f t="shared" si="179"/>
        <v/>
      </c>
      <c r="O1670" s="31" t="str">
        <f>IF(OR(B1670="",C1670=""),"",K1670-N1670 + IFERROR(E1670 / SUMIFS('📅 Resumen Diario'!$D$5:$D$504, '📅 Resumen Diario'!$B$5:$B$504, B1670, '📅 Resumen Diario'!$C$5:$C$504, D1670) * (SUMIFS('📋 Detalle Diario'!$E$5:$E$489, '📋 Detalle Diario'!$B$5:$B$489, B1670, '📋 Detalle Diario'!$C$5:$C$489, D1670) * 135 + SUMIFS('📋 Detalle Diario'!$I$5:$I$489, '📋 Detalle Diario'!$B$5:$B$489, B1670, '📋 Detalle Diario'!$C$5:$C$489, D1670) * 200), 0))</f>
        <v/>
      </c>
      <c r="P1670" s="32" t="str">
        <f t="shared" si="180"/>
        <v/>
      </c>
      <c r="Q1670" s="33" t="str">
        <f t="shared" si="181"/>
        <v/>
      </c>
    </row>
    <row r="1671" spans="2:17" ht="18" customHeight="1" x14ac:dyDescent="0.3">
      <c r="B1671" s="26"/>
      <c r="C1671" s="28"/>
      <c r="D1671" s="27"/>
      <c r="E1671" s="29"/>
      <c r="F1671" s="29"/>
      <c r="G1671" s="29"/>
      <c r="H1671" s="30" t="str">
        <f t="shared" ref="H1671:H1734" si="182">IF(OR(B1671="",C1671=""),"",F1671+G1671)</f>
        <v/>
      </c>
      <c r="I1671" s="31" t="str">
        <f>IF(OR(B1671="",C1671=""),"",IFERROR(E1671*IF(E1671="",0,VLOOKUP(C1671,'📦 Precios Proforma'!$B$5:$D$104,IF(D1671="DIA",2,3),FALSE)),0))</f>
        <v/>
      </c>
      <c r="J1671" s="31" t="str">
        <f t="shared" ref="J1671:J1734" si="183">IF(OR(B1671="",C1671=""),"",IF(D1671="DIA",H1671*1.01,H1671*1.35))</f>
        <v/>
      </c>
      <c r="K1671" s="31" t="str">
        <f t="shared" ref="K1671:K1734" si="184">IF(OR(B1671="",C1671=""),"",I1671+J1671)</f>
        <v/>
      </c>
      <c r="L1671" s="31" t="str">
        <f>IF(OR(B1671="",C1671=""),"",IFERROR(E1671 / SUMIFS('📅 Resumen Diario'!$D$5:$D$504, '📅 Resumen Diario'!$B$5:$B$504, B1671, '📅 Resumen Diario'!$C$5:$C$504, D1671) * SUMIFS('📅 Resumen Diario'!$K$5:$K$504, '📅 Resumen Diario'!$B$5:$B$504, B1671, '📅 Resumen Diario'!$C$5:$C$504, D1671), 0))</f>
        <v/>
      </c>
      <c r="M1671" s="31" t="str">
        <f t="shared" ref="M1671:M1734" si="185">IF(OR(B1671="",C1671=""),"",H1671*0.09)</f>
        <v/>
      </c>
      <c r="N1671" s="31" t="str">
        <f t="shared" ref="N1671:N1734" si="186">IF(OR(B1671="",C1671=""),"",L1671+M1671)</f>
        <v/>
      </c>
      <c r="O1671" s="31" t="str">
        <f>IF(OR(B1671="",C1671=""),"",K1671-N1671 + IFERROR(E1671 / SUMIFS('📅 Resumen Diario'!$D$5:$D$504, '📅 Resumen Diario'!$B$5:$B$504, B1671, '📅 Resumen Diario'!$C$5:$C$504, D1671) * (SUMIFS('📋 Detalle Diario'!$E$5:$E$489, '📋 Detalle Diario'!$B$5:$B$489, B1671, '📋 Detalle Diario'!$C$5:$C$489, D1671) * 135 + SUMIFS('📋 Detalle Diario'!$I$5:$I$489, '📋 Detalle Diario'!$B$5:$B$489, B1671, '📋 Detalle Diario'!$C$5:$C$489, D1671) * 200), 0))</f>
        <v/>
      </c>
      <c r="P1671" s="32" t="str">
        <f t="shared" ref="P1671:P1734" si="187">IF(OR(B1671="",C1671=""),"",IF(K1671=0, 0, O1671/K1671))</f>
        <v/>
      </c>
      <c r="Q1671" s="33" t="str">
        <f t="shared" ref="Q1671:Q1734" si="188">IF(B1671="","",IF(ISNUMBER(B1671),YEAR(B1671)&amp;"-"&amp;IF(MONTH(B1671)&lt;10,"0","")&amp;MONTH(B1671),LEFT(B1671,7)))</f>
        <v/>
      </c>
    </row>
    <row r="1672" spans="2:17" ht="18" customHeight="1" x14ac:dyDescent="0.3">
      <c r="B1672" s="26"/>
      <c r="C1672" s="17"/>
      <c r="D1672" s="27"/>
      <c r="E1672" s="18"/>
      <c r="F1672" s="18"/>
      <c r="G1672" s="18"/>
      <c r="H1672" s="30" t="str">
        <f t="shared" si="182"/>
        <v/>
      </c>
      <c r="I1672" s="31" t="str">
        <f>IF(OR(B1672="",C1672=""),"",IFERROR(E1672*IF(E1672="",0,VLOOKUP(C1672,'📦 Precios Proforma'!$B$5:$D$104,IF(D1672="DIA",2,3),FALSE)),0))</f>
        <v/>
      </c>
      <c r="J1672" s="31" t="str">
        <f t="shared" si="183"/>
        <v/>
      </c>
      <c r="K1672" s="31" t="str">
        <f t="shared" si="184"/>
        <v/>
      </c>
      <c r="L1672" s="31" t="str">
        <f>IF(OR(B1672="",C1672=""),"",IFERROR(E1672 / SUMIFS('📅 Resumen Diario'!$D$5:$D$504, '📅 Resumen Diario'!$B$5:$B$504, B1672, '📅 Resumen Diario'!$C$5:$C$504, D1672) * SUMIFS('📅 Resumen Diario'!$K$5:$K$504, '📅 Resumen Diario'!$B$5:$B$504, B1672, '📅 Resumen Diario'!$C$5:$C$504, D1672), 0))</f>
        <v/>
      </c>
      <c r="M1672" s="31" t="str">
        <f t="shared" si="185"/>
        <v/>
      </c>
      <c r="N1672" s="31" t="str">
        <f t="shared" si="186"/>
        <v/>
      </c>
      <c r="O1672" s="31" t="str">
        <f>IF(OR(B1672="",C1672=""),"",K1672-N1672 + IFERROR(E1672 / SUMIFS('📅 Resumen Diario'!$D$5:$D$504, '📅 Resumen Diario'!$B$5:$B$504, B1672, '📅 Resumen Diario'!$C$5:$C$504, D1672) * (SUMIFS('📋 Detalle Diario'!$E$5:$E$489, '📋 Detalle Diario'!$B$5:$B$489, B1672, '📋 Detalle Diario'!$C$5:$C$489, D1672) * 135 + SUMIFS('📋 Detalle Diario'!$I$5:$I$489, '📋 Detalle Diario'!$B$5:$B$489, B1672, '📋 Detalle Diario'!$C$5:$C$489, D1672) * 200), 0))</f>
        <v/>
      </c>
      <c r="P1672" s="32" t="str">
        <f t="shared" si="187"/>
        <v/>
      </c>
      <c r="Q1672" s="33" t="str">
        <f t="shared" si="188"/>
        <v/>
      </c>
    </row>
    <row r="1673" spans="2:17" ht="18" customHeight="1" x14ac:dyDescent="0.3">
      <c r="B1673" s="26"/>
      <c r="C1673" s="28"/>
      <c r="D1673" s="27"/>
      <c r="E1673" s="29"/>
      <c r="F1673" s="29"/>
      <c r="G1673" s="29"/>
      <c r="H1673" s="30" t="str">
        <f t="shared" si="182"/>
        <v/>
      </c>
      <c r="I1673" s="31" t="str">
        <f>IF(OR(B1673="",C1673=""),"",IFERROR(E1673*IF(E1673="",0,VLOOKUP(C1673,'📦 Precios Proforma'!$B$5:$D$104,IF(D1673="DIA",2,3),FALSE)),0))</f>
        <v/>
      </c>
      <c r="J1673" s="31" t="str">
        <f t="shared" si="183"/>
        <v/>
      </c>
      <c r="K1673" s="31" t="str">
        <f t="shared" si="184"/>
        <v/>
      </c>
      <c r="L1673" s="31" t="str">
        <f>IF(OR(B1673="",C1673=""),"",IFERROR(E1673 / SUMIFS('📅 Resumen Diario'!$D$5:$D$504, '📅 Resumen Diario'!$B$5:$B$504, B1673, '📅 Resumen Diario'!$C$5:$C$504, D1673) * SUMIFS('📅 Resumen Diario'!$K$5:$K$504, '📅 Resumen Diario'!$B$5:$B$504, B1673, '📅 Resumen Diario'!$C$5:$C$504, D1673), 0))</f>
        <v/>
      </c>
      <c r="M1673" s="31" t="str">
        <f t="shared" si="185"/>
        <v/>
      </c>
      <c r="N1673" s="31" t="str">
        <f t="shared" si="186"/>
        <v/>
      </c>
      <c r="O1673" s="31" t="str">
        <f>IF(OR(B1673="",C1673=""),"",K1673-N1673 + IFERROR(E1673 / SUMIFS('📅 Resumen Diario'!$D$5:$D$504, '📅 Resumen Diario'!$B$5:$B$504, B1673, '📅 Resumen Diario'!$C$5:$C$504, D1673) * (SUMIFS('📋 Detalle Diario'!$E$5:$E$489, '📋 Detalle Diario'!$B$5:$B$489, B1673, '📋 Detalle Diario'!$C$5:$C$489, D1673) * 135 + SUMIFS('📋 Detalle Diario'!$I$5:$I$489, '📋 Detalle Diario'!$B$5:$B$489, B1673, '📋 Detalle Diario'!$C$5:$C$489, D1673) * 200), 0))</f>
        <v/>
      </c>
      <c r="P1673" s="32" t="str">
        <f t="shared" si="187"/>
        <v/>
      </c>
      <c r="Q1673" s="33" t="str">
        <f t="shared" si="188"/>
        <v/>
      </c>
    </row>
    <row r="1674" spans="2:17" ht="18" customHeight="1" x14ac:dyDescent="0.3">
      <c r="B1674" s="26"/>
      <c r="C1674" s="17"/>
      <c r="D1674" s="27"/>
      <c r="E1674" s="18"/>
      <c r="F1674" s="18"/>
      <c r="G1674" s="18"/>
      <c r="H1674" s="30" t="str">
        <f t="shared" si="182"/>
        <v/>
      </c>
      <c r="I1674" s="31" t="str">
        <f>IF(OR(B1674="",C1674=""),"",IFERROR(E1674*IF(E1674="",0,VLOOKUP(C1674,'📦 Precios Proforma'!$B$5:$D$104,IF(D1674="DIA",2,3),FALSE)),0))</f>
        <v/>
      </c>
      <c r="J1674" s="31" t="str">
        <f t="shared" si="183"/>
        <v/>
      </c>
      <c r="K1674" s="31" t="str">
        <f t="shared" si="184"/>
        <v/>
      </c>
      <c r="L1674" s="31" t="str">
        <f>IF(OR(B1674="",C1674=""),"",IFERROR(E1674 / SUMIFS('📅 Resumen Diario'!$D$5:$D$504, '📅 Resumen Diario'!$B$5:$B$504, B1674, '📅 Resumen Diario'!$C$5:$C$504, D1674) * SUMIFS('📅 Resumen Diario'!$K$5:$K$504, '📅 Resumen Diario'!$B$5:$B$504, B1674, '📅 Resumen Diario'!$C$5:$C$504, D1674), 0))</f>
        <v/>
      </c>
      <c r="M1674" s="31" t="str">
        <f t="shared" si="185"/>
        <v/>
      </c>
      <c r="N1674" s="31" t="str">
        <f t="shared" si="186"/>
        <v/>
      </c>
      <c r="O1674" s="31" t="str">
        <f>IF(OR(B1674="",C1674=""),"",K1674-N1674 + IFERROR(E1674 / SUMIFS('📅 Resumen Diario'!$D$5:$D$504, '📅 Resumen Diario'!$B$5:$B$504, B1674, '📅 Resumen Diario'!$C$5:$C$504, D1674) * (SUMIFS('📋 Detalle Diario'!$E$5:$E$489, '📋 Detalle Diario'!$B$5:$B$489, B1674, '📋 Detalle Diario'!$C$5:$C$489, D1674) * 135 + SUMIFS('📋 Detalle Diario'!$I$5:$I$489, '📋 Detalle Diario'!$B$5:$B$489, B1674, '📋 Detalle Diario'!$C$5:$C$489, D1674) * 200), 0))</f>
        <v/>
      </c>
      <c r="P1674" s="32" t="str">
        <f t="shared" si="187"/>
        <v/>
      </c>
      <c r="Q1674" s="33" t="str">
        <f t="shared" si="188"/>
        <v/>
      </c>
    </row>
    <row r="1675" spans="2:17" ht="18" customHeight="1" x14ac:dyDescent="0.3">
      <c r="B1675" s="26"/>
      <c r="C1675" s="28"/>
      <c r="D1675" s="27"/>
      <c r="E1675" s="29"/>
      <c r="F1675" s="29"/>
      <c r="G1675" s="29"/>
      <c r="H1675" s="30" t="str">
        <f t="shared" si="182"/>
        <v/>
      </c>
      <c r="I1675" s="31" t="str">
        <f>IF(OR(B1675="",C1675=""),"",IFERROR(E1675*IF(E1675="",0,VLOOKUP(C1675,'📦 Precios Proforma'!$B$5:$D$104,IF(D1675="DIA",2,3),FALSE)),0))</f>
        <v/>
      </c>
      <c r="J1675" s="31" t="str">
        <f t="shared" si="183"/>
        <v/>
      </c>
      <c r="K1675" s="31" t="str">
        <f t="shared" si="184"/>
        <v/>
      </c>
      <c r="L1675" s="31" t="str">
        <f>IF(OR(B1675="",C1675=""),"",IFERROR(E1675 / SUMIFS('📅 Resumen Diario'!$D$5:$D$504, '📅 Resumen Diario'!$B$5:$B$504, B1675, '📅 Resumen Diario'!$C$5:$C$504, D1675) * SUMIFS('📅 Resumen Diario'!$K$5:$K$504, '📅 Resumen Diario'!$B$5:$B$504, B1675, '📅 Resumen Diario'!$C$5:$C$504, D1675), 0))</f>
        <v/>
      </c>
      <c r="M1675" s="31" t="str">
        <f t="shared" si="185"/>
        <v/>
      </c>
      <c r="N1675" s="31" t="str">
        <f t="shared" si="186"/>
        <v/>
      </c>
      <c r="O1675" s="31" t="str">
        <f>IF(OR(B1675="",C1675=""),"",K1675-N1675 + IFERROR(E1675 / SUMIFS('📅 Resumen Diario'!$D$5:$D$504, '📅 Resumen Diario'!$B$5:$B$504, B1675, '📅 Resumen Diario'!$C$5:$C$504, D1675) * (SUMIFS('📋 Detalle Diario'!$E$5:$E$489, '📋 Detalle Diario'!$B$5:$B$489, B1675, '📋 Detalle Diario'!$C$5:$C$489, D1675) * 135 + SUMIFS('📋 Detalle Diario'!$I$5:$I$489, '📋 Detalle Diario'!$B$5:$B$489, B1675, '📋 Detalle Diario'!$C$5:$C$489, D1675) * 200), 0))</f>
        <v/>
      </c>
      <c r="P1675" s="32" t="str">
        <f t="shared" si="187"/>
        <v/>
      </c>
      <c r="Q1675" s="33" t="str">
        <f t="shared" si="188"/>
        <v/>
      </c>
    </row>
    <row r="1676" spans="2:17" ht="18" customHeight="1" x14ac:dyDescent="0.3">
      <c r="B1676" s="26"/>
      <c r="C1676" s="17"/>
      <c r="D1676" s="27"/>
      <c r="E1676" s="18"/>
      <c r="F1676" s="18"/>
      <c r="G1676" s="18"/>
      <c r="H1676" s="30" t="str">
        <f t="shared" si="182"/>
        <v/>
      </c>
      <c r="I1676" s="31" t="str">
        <f>IF(OR(B1676="",C1676=""),"",IFERROR(E1676*IF(E1676="",0,VLOOKUP(C1676,'📦 Precios Proforma'!$B$5:$D$104,IF(D1676="DIA",2,3),FALSE)),0))</f>
        <v/>
      </c>
      <c r="J1676" s="31" t="str">
        <f t="shared" si="183"/>
        <v/>
      </c>
      <c r="K1676" s="31" t="str">
        <f t="shared" si="184"/>
        <v/>
      </c>
      <c r="L1676" s="31" t="str">
        <f>IF(OR(B1676="",C1676=""),"",IFERROR(E1676 / SUMIFS('📅 Resumen Diario'!$D$5:$D$504, '📅 Resumen Diario'!$B$5:$B$504, B1676, '📅 Resumen Diario'!$C$5:$C$504, D1676) * SUMIFS('📅 Resumen Diario'!$K$5:$K$504, '📅 Resumen Diario'!$B$5:$B$504, B1676, '📅 Resumen Diario'!$C$5:$C$504, D1676), 0))</f>
        <v/>
      </c>
      <c r="M1676" s="31" t="str">
        <f t="shared" si="185"/>
        <v/>
      </c>
      <c r="N1676" s="31" t="str">
        <f t="shared" si="186"/>
        <v/>
      </c>
      <c r="O1676" s="31" t="str">
        <f>IF(OR(B1676="",C1676=""),"",K1676-N1676 + IFERROR(E1676 / SUMIFS('📅 Resumen Diario'!$D$5:$D$504, '📅 Resumen Diario'!$B$5:$B$504, B1676, '📅 Resumen Diario'!$C$5:$C$504, D1676) * (SUMIFS('📋 Detalle Diario'!$E$5:$E$489, '📋 Detalle Diario'!$B$5:$B$489, B1676, '📋 Detalle Diario'!$C$5:$C$489, D1676) * 135 + SUMIFS('📋 Detalle Diario'!$I$5:$I$489, '📋 Detalle Diario'!$B$5:$B$489, B1676, '📋 Detalle Diario'!$C$5:$C$489, D1676) * 200), 0))</f>
        <v/>
      </c>
      <c r="P1676" s="32" t="str">
        <f t="shared" si="187"/>
        <v/>
      </c>
      <c r="Q1676" s="33" t="str">
        <f t="shared" si="188"/>
        <v/>
      </c>
    </row>
    <row r="1677" spans="2:17" ht="18" customHeight="1" x14ac:dyDescent="0.3">
      <c r="B1677" s="26"/>
      <c r="C1677" s="28"/>
      <c r="D1677" s="27"/>
      <c r="E1677" s="29"/>
      <c r="F1677" s="29"/>
      <c r="G1677" s="29"/>
      <c r="H1677" s="30" t="str">
        <f t="shared" si="182"/>
        <v/>
      </c>
      <c r="I1677" s="31" t="str">
        <f>IF(OR(B1677="",C1677=""),"",IFERROR(E1677*IF(E1677="",0,VLOOKUP(C1677,'📦 Precios Proforma'!$B$5:$D$104,IF(D1677="DIA",2,3),FALSE)),0))</f>
        <v/>
      </c>
      <c r="J1677" s="31" t="str">
        <f t="shared" si="183"/>
        <v/>
      </c>
      <c r="K1677" s="31" t="str">
        <f t="shared" si="184"/>
        <v/>
      </c>
      <c r="L1677" s="31" t="str">
        <f>IF(OR(B1677="",C1677=""),"",IFERROR(E1677 / SUMIFS('📅 Resumen Diario'!$D$5:$D$504, '📅 Resumen Diario'!$B$5:$B$504, B1677, '📅 Resumen Diario'!$C$5:$C$504, D1677) * SUMIFS('📅 Resumen Diario'!$K$5:$K$504, '📅 Resumen Diario'!$B$5:$B$504, B1677, '📅 Resumen Diario'!$C$5:$C$504, D1677), 0))</f>
        <v/>
      </c>
      <c r="M1677" s="31" t="str">
        <f t="shared" si="185"/>
        <v/>
      </c>
      <c r="N1677" s="31" t="str">
        <f t="shared" si="186"/>
        <v/>
      </c>
      <c r="O1677" s="31" t="str">
        <f>IF(OR(B1677="",C1677=""),"",K1677-N1677 + IFERROR(E1677 / SUMIFS('📅 Resumen Diario'!$D$5:$D$504, '📅 Resumen Diario'!$B$5:$B$504, B1677, '📅 Resumen Diario'!$C$5:$C$504, D1677) * (SUMIFS('📋 Detalle Diario'!$E$5:$E$489, '📋 Detalle Diario'!$B$5:$B$489, B1677, '📋 Detalle Diario'!$C$5:$C$489, D1677) * 135 + SUMIFS('📋 Detalle Diario'!$I$5:$I$489, '📋 Detalle Diario'!$B$5:$B$489, B1677, '📋 Detalle Diario'!$C$5:$C$489, D1677) * 200), 0))</f>
        <v/>
      </c>
      <c r="P1677" s="32" t="str">
        <f t="shared" si="187"/>
        <v/>
      </c>
      <c r="Q1677" s="33" t="str">
        <f t="shared" si="188"/>
        <v/>
      </c>
    </row>
    <row r="1678" spans="2:17" ht="18" customHeight="1" x14ac:dyDescent="0.3">
      <c r="B1678" s="26"/>
      <c r="C1678" s="17"/>
      <c r="D1678" s="27"/>
      <c r="E1678" s="18"/>
      <c r="F1678" s="18"/>
      <c r="G1678" s="18"/>
      <c r="H1678" s="30" t="str">
        <f t="shared" si="182"/>
        <v/>
      </c>
      <c r="I1678" s="31" t="str">
        <f>IF(OR(B1678="",C1678=""),"",IFERROR(E1678*IF(E1678="",0,VLOOKUP(C1678,'📦 Precios Proforma'!$B$5:$D$104,IF(D1678="DIA",2,3),FALSE)),0))</f>
        <v/>
      </c>
      <c r="J1678" s="31" t="str">
        <f t="shared" si="183"/>
        <v/>
      </c>
      <c r="K1678" s="31" t="str">
        <f t="shared" si="184"/>
        <v/>
      </c>
      <c r="L1678" s="31" t="str">
        <f>IF(OR(B1678="",C1678=""),"",IFERROR(E1678 / SUMIFS('📅 Resumen Diario'!$D$5:$D$504, '📅 Resumen Diario'!$B$5:$B$504, B1678, '📅 Resumen Diario'!$C$5:$C$504, D1678) * SUMIFS('📅 Resumen Diario'!$K$5:$K$504, '📅 Resumen Diario'!$B$5:$B$504, B1678, '📅 Resumen Diario'!$C$5:$C$504, D1678), 0))</f>
        <v/>
      </c>
      <c r="M1678" s="31" t="str">
        <f t="shared" si="185"/>
        <v/>
      </c>
      <c r="N1678" s="31" t="str">
        <f t="shared" si="186"/>
        <v/>
      </c>
      <c r="O1678" s="31" t="str">
        <f>IF(OR(B1678="",C1678=""),"",K1678-N1678 + IFERROR(E1678 / SUMIFS('📅 Resumen Diario'!$D$5:$D$504, '📅 Resumen Diario'!$B$5:$B$504, B1678, '📅 Resumen Diario'!$C$5:$C$504, D1678) * (SUMIFS('📋 Detalle Diario'!$E$5:$E$489, '📋 Detalle Diario'!$B$5:$B$489, B1678, '📋 Detalle Diario'!$C$5:$C$489, D1678) * 135 + SUMIFS('📋 Detalle Diario'!$I$5:$I$489, '📋 Detalle Diario'!$B$5:$B$489, B1678, '📋 Detalle Diario'!$C$5:$C$489, D1678) * 200), 0))</f>
        <v/>
      </c>
      <c r="P1678" s="32" t="str">
        <f t="shared" si="187"/>
        <v/>
      </c>
      <c r="Q1678" s="33" t="str">
        <f t="shared" si="188"/>
        <v/>
      </c>
    </row>
    <row r="1679" spans="2:17" ht="18" customHeight="1" x14ac:dyDescent="0.3">
      <c r="B1679" s="26"/>
      <c r="C1679" s="28"/>
      <c r="D1679" s="27"/>
      <c r="E1679" s="29"/>
      <c r="F1679" s="29"/>
      <c r="G1679" s="29"/>
      <c r="H1679" s="30" t="str">
        <f t="shared" si="182"/>
        <v/>
      </c>
      <c r="I1679" s="31" t="str">
        <f>IF(OR(B1679="",C1679=""),"",IFERROR(E1679*IF(E1679="",0,VLOOKUP(C1679,'📦 Precios Proforma'!$B$5:$D$104,IF(D1679="DIA",2,3),FALSE)),0))</f>
        <v/>
      </c>
      <c r="J1679" s="31" t="str">
        <f t="shared" si="183"/>
        <v/>
      </c>
      <c r="K1679" s="31" t="str">
        <f t="shared" si="184"/>
        <v/>
      </c>
      <c r="L1679" s="31" t="str">
        <f>IF(OR(B1679="",C1679=""),"",IFERROR(E1679 / SUMIFS('📅 Resumen Diario'!$D$5:$D$504, '📅 Resumen Diario'!$B$5:$B$504, B1679, '📅 Resumen Diario'!$C$5:$C$504, D1679) * SUMIFS('📅 Resumen Diario'!$K$5:$K$504, '📅 Resumen Diario'!$B$5:$B$504, B1679, '📅 Resumen Diario'!$C$5:$C$504, D1679), 0))</f>
        <v/>
      </c>
      <c r="M1679" s="31" t="str">
        <f t="shared" si="185"/>
        <v/>
      </c>
      <c r="N1679" s="31" t="str">
        <f t="shared" si="186"/>
        <v/>
      </c>
      <c r="O1679" s="31" t="str">
        <f>IF(OR(B1679="",C1679=""),"",K1679-N1679 + IFERROR(E1679 / SUMIFS('📅 Resumen Diario'!$D$5:$D$504, '📅 Resumen Diario'!$B$5:$B$504, B1679, '📅 Resumen Diario'!$C$5:$C$504, D1679) * (SUMIFS('📋 Detalle Diario'!$E$5:$E$489, '📋 Detalle Diario'!$B$5:$B$489, B1679, '📋 Detalle Diario'!$C$5:$C$489, D1679) * 135 + SUMIFS('📋 Detalle Diario'!$I$5:$I$489, '📋 Detalle Diario'!$B$5:$B$489, B1679, '📋 Detalle Diario'!$C$5:$C$489, D1679) * 200), 0))</f>
        <v/>
      </c>
      <c r="P1679" s="32" t="str">
        <f t="shared" si="187"/>
        <v/>
      </c>
      <c r="Q1679" s="33" t="str">
        <f t="shared" si="188"/>
        <v/>
      </c>
    </row>
    <row r="1680" spans="2:17" ht="18" customHeight="1" x14ac:dyDescent="0.3">
      <c r="B1680" s="26"/>
      <c r="C1680" s="17"/>
      <c r="D1680" s="27"/>
      <c r="E1680" s="18"/>
      <c r="F1680" s="18"/>
      <c r="G1680" s="18"/>
      <c r="H1680" s="30" t="str">
        <f t="shared" si="182"/>
        <v/>
      </c>
      <c r="I1680" s="31" t="str">
        <f>IF(OR(B1680="",C1680=""),"",IFERROR(E1680*IF(E1680="",0,VLOOKUP(C1680,'📦 Precios Proforma'!$B$5:$D$104,IF(D1680="DIA",2,3),FALSE)),0))</f>
        <v/>
      </c>
      <c r="J1680" s="31" t="str">
        <f t="shared" si="183"/>
        <v/>
      </c>
      <c r="K1680" s="31" t="str">
        <f t="shared" si="184"/>
        <v/>
      </c>
      <c r="L1680" s="31" t="str">
        <f>IF(OR(B1680="",C1680=""),"",IFERROR(E1680 / SUMIFS('📅 Resumen Diario'!$D$5:$D$504, '📅 Resumen Diario'!$B$5:$B$504, B1680, '📅 Resumen Diario'!$C$5:$C$504, D1680) * SUMIFS('📅 Resumen Diario'!$K$5:$K$504, '📅 Resumen Diario'!$B$5:$B$504, B1680, '📅 Resumen Diario'!$C$5:$C$504, D1680), 0))</f>
        <v/>
      </c>
      <c r="M1680" s="31" t="str">
        <f t="shared" si="185"/>
        <v/>
      </c>
      <c r="N1680" s="31" t="str">
        <f t="shared" si="186"/>
        <v/>
      </c>
      <c r="O1680" s="31" t="str">
        <f>IF(OR(B1680="",C1680=""),"",K1680-N1680 + IFERROR(E1680 / SUMIFS('📅 Resumen Diario'!$D$5:$D$504, '📅 Resumen Diario'!$B$5:$B$504, B1680, '📅 Resumen Diario'!$C$5:$C$504, D1680) * (SUMIFS('📋 Detalle Diario'!$E$5:$E$489, '📋 Detalle Diario'!$B$5:$B$489, B1680, '📋 Detalle Diario'!$C$5:$C$489, D1680) * 135 + SUMIFS('📋 Detalle Diario'!$I$5:$I$489, '📋 Detalle Diario'!$B$5:$B$489, B1680, '📋 Detalle Diario'!$C$5:$C$489, D1680) * 200), 0))</f>
        <v/>
      </c>
      <c r="P1680" s="32" t="str">
        <f t="shared" si="187"/>
        <v/>
      </c>
      <c r="Q1680" s="33" t="str">
        <f t="shared" si="188"/>
        <v/>
      </c>
    </row>
    <row r="1681" spans="2:17" ht="18" customHeight="1" x14ac:dyDescent="0.3">
      <c r="B1681" s="26"/>
      <c r="C1681" s="28"/>
      <c r="D1681" s="27"/>
      <c r="E1681" s="29"/>
      <c r="F1681" s="29"/>
      <c r="G1681" s="29"/>
      <c r="H1681" s="30" t="str">
        <f t="shared" si="182"/>
        <v/>
      </c>
      <c r="I1681" s="31" t="str">
        <f>IF(OR(B1681="",C1681=""),"",IFERROR(E1681*IF(E1681="",0,VLOOKUP(C1681,'📦 Precios Proforma'!$B$5:$D$104,IF(D1681="DIA",2,3),FALSE)),0))</f>
        <v/>
      </c>
      <c r="J1681" s="31" t="str">
        <f t="shared" si="183"/>
        <v/>
      </c>
      <c r="K1681" s="31" t="str">
        <f t="shared" si="184"/>
        <v/>
      </c>
      <c r="L1681" s="31" t="str">
        <f>IF(OR(B1681="",C1681=""),"",IFERROR(E1681 / SUMIFS('📅 Resumen Diario'!$D$5:$D$504, '📅 Resumen Diario'!$B$5:$B$504, B1681, '📅 Resumen Diario'!$C$5:$C$504, D1681) * SUMIFS('📅 Resumen Diario'!$K$5:$K$504, '📅 Resumen Diario'!$B$5:$B$504, B1681, '📅 Resumen Diario'!$C$5:$C$504, D1681), 0))</f>
        <v/>
      </c>
      <c r="M1681" s="31" t="str">
        <f t="shared" si="185"/>
        <v/>
      </c>
      <c r="N1681" s="31" t="str">
        <f t="shared" si="186"/>
        <v/>
      </c>
      <c r="O1681" s="31" t="str">
        <f>IF(OR(B1681="",C1681=""),"",K1681-N1681 + IFERROR(E1681 / SUMIFS('📅 Resumen Diario'!$D$5:$D$504, '📅 Resumen Diario'!$B$5:$B$504, B1681, '📅 Resumen Diario'!$C$5:$C$504, D1681) * (SUMIFS('📋 Detalle Diario'!$E$5:$E$489, '📋 Detalle Diario'!$B$5:$B$489, B1681, '📋 Detalle Diario'!$C$5:$C$489, D1681) * 135 + SUMIFS('📋 Detalle Diario'!$I$5:$I$489, '📋 Detalle Diario'!$B$5:$B$489, B1681, '📋 Detalle Diario'!$C$5:$C$489, D1681) * 200), 0))</f>
        <v/>
      </c>
      <c r="P1681" s="32" t="str">
        <f t="shared" si="187"/>
        <v/>
      </c>
      <c r="Q1681" s="33" t="str">
        <f t="shared" si="188"/>
        <v/>
      </c>
    </row>
    <row r="1682" spans="2:17" ht="18" customHeight="1" x14ac:dyDescent="0.3">
      <c r="B1682" s="26"/>
      <c r="C1682" s="17"/>
      <c r="D1682" s="27"/>
      <c r="E1682" s="18"/>
      <c r="F1682" s="18"/>
      <c r="G1682" s="18"/>
      <c r="H1682" s="30" t="str">
        <f t="shared" si="182"/>
        <v/>
      </c>
      <c r="I1682" s="31" t="str">
        <f>IF(OR(B1682="",C1682=""),"",IFERROR(E1682*IF(E1682="",0,VLOOKUP(C1682,'📦 Precios Proforma'!$B$5:$D$104,IF(D1682="DIA",2,3),FALSE)),0))</f>
        <v/>
      </c>
      <c r="J1682" s="31" t="str">
        <f t="shared" si="183"/>
        <v/>
      </c>
      <c r="K1682" s="31" t="str">
        <f t="shared" si="184"/>
        <v/>
      </c>
      <c r="L1682" s="31" t="str">
        <f>IF(OR(B1682="",C1682=""),"",IFERROR(E1682 / SUMIFS('📅 Resumen Diario'!$D$5:$D$504, '📅 Resumen Diario'!$B$5:$B$504, B1682, '📅 Resumen Diario'!$C$5:$C$504, D1682) * SUMIFS('📅 Resumen Diario'!$K$5:$K$504, '📅 Resumen Diario'!$B$5:$B$504, B1682, '📅 Resumen Diario'!$C$5:$C$504, D1682), 0))</f>
        <v/>
      </c>
      <c r="M1682" s="31" t="str">
        <f t="shared" si="185"/>
        <v/>
      </c>
      <c r="N1682" s="31" t="str">
        <f t="shared" si="186"/>
        <v/>
      </c>
      <c r="O1682" s="31" t="str">
        <f>IF(OR(B1682="",C1682=""),"",K1682-N1682 + IFERROR(E1682 / SUMIFS('📅 Resumen Diario'!$D$5:$D$504, '📅 Resumen Diario'!$B$5:$B$504, B1682, '📅 Resumen Diario'!$C$5:$C$504, D1682) * (SUMIFS('📋 Detalle Diario'!$E$5:$E$489, '📋 Detalle Diario'!$B$5:$B$489, B1682, '📋 Detalle Diario'!$C$5:$C$489, D1682) * 135 + SUMIFS('📋 Detalle Diario'!$I$5:$I$489, '📋 Detalle Diario'!$B$5:$B$489, B1682, '📋 Detalle Diario'!$C$5:$C$489, D1682) * 200), 0))</f>
        <v/>
      </c>
      <c r="P1682" s="32" t="str">
        <f t="shared" si="187"/>
        <v/>
      </c>
      <c r="Q1682" s="33" t="str">
        <f t="shared" si="188"/>
        <v/>
      </c>
    </row>
    <row r="1683" spans="2:17" ht="18" customHeight="1" x14ac:dyDescent="0.3">
      <c r="B1683" s="26"/>
      <c r="C1683" s="28"/>
      <c r="D1683" s="27"/>
      <c r="E1683" s="29"/>
      <c r="F1683" s="29"/>
      <c r="G1683" s="29"/>
      <c r="H1683" s="30" t="str">
        <f t="shared" si="182"/>
        <v/>
      </c>
      <c r="I1683" s="31" t="str">
        <f>IF(OR(B1683="",C1683=""),"",IFERROR(E1683*IF(E1683="",0,VLOOKUP(C1683,'📦 Precios Proforma'!$B$5:$D$104,IF(D1683="DIA",2,3),FALSE)),0))</f>
        <v/>
      </c>
      <c r="J1683" s="31" t="str">
        <f t="shared" si="183"/>
        <v/>
      </c>
      <c r="K1683" s="31" t="str">
        <f t="shared" si="184"/>
        <v/>
      </c>
      <c r="L1683" s="31" t="str">
        <f>IF(OR(B1683="",C1683=""),"",IFERROR(E1683 / SUMIFS('📅 Resumen Diario'!$D$5:$D$504, '📅 Resumen Diario'!$B$5:$B$504, B1683, '📅 Resumen Diario'!$C$5:$C$504, D1683) * SUMIFS('📅 Resumen Diario'!$K$5:$K$504, '📅 Resumen Diario'!$B$5:$B$504, B1683, '📅 Resumen Diario'!$C$5:$C$504, D1683), 0))</f>
        <v/>
      </c>
      <c r="M1683" s="31" t="str">
        <f t="shared" si="185"/>
        <v/>
      </c>
      <c r="N1683" s="31" t="str">
        <f t="shared" si="186"/>
        <v/>
      </c>
      <c r="O1683" s="31" t="str">
        <f>IF(OR(B1683="",C1683=""),"",K1683-N1683 + IFERROR(E1683 / SUMIFS('📅 Resumen Diario'!$D$5:$D$504, '📅 Resumen Diario'!$B$5:$B$504, B1683, '📅 Resumen Diario'!$C$5:$C$504, D1683) * (SUMIFS('📋 Detalle Diario'!$E$5:$E$489, '📋 Detalle Diario'!$B$5:$B$489, B1683, '📋 Detalle Diario'!$C$5:$C$489, D1683) * 135 + SUMIFS('📋 Detalle Diario'!$I$5:$I$489, '📋 Detalle Diario'!$B$5:$B$489, B1683, '📋 Detalle Diario'!$C$5:$C$489, D1683) * 200), 0))</f>
        <v/>
      </c>
      <c r="P1683" s="32" t="str">
        <f t="shared" si="187"/>
        <v/>
      </c>
      <c r="Q1683" s="33" t="str">
        <f t="shared" si="188"/>
        <v/>
      </c>
    </row>
    <row r="1684" spans="2:17" ht="18" customHeight="1" x14ac:dyDescent="0.3">
      <c r="B1684" s="26"/>
      <c r="C1684" s="17"/>
      <c r="D1684" s="27"/>
      <c r="E1684" s="18"/>
      <c r="F1684" s="18"/>
      <c r="G1684" s="18"/>
      <c r="H1684" s="30" t="str">
        <f t="shared" si="182"/>
        <v/>
      </c>
      <c r="I1684" s="31" t="str">
        <f>IF(OR(B1684="",C1684=""),"",IFERROR(E1684*IF(E1684="",0,VLOOKUP(C1684,'📦 Precios Proforma'!$B$5:$D$104,IF(D1684="DIA",2,3),FALSE)),0))</f>
        <v/>
      </c>
      <c r="J1684" s="31" t="str">
        <f t="shared" si="183"/>
        <v/>
      </c>
      <c r="K1684" s="31" t="str">
        <f t="shared" si="184"/>
        <v/>
      </c>
      <c r="L1684" s="31" t="str">
        <f>IF(OR(B1684="",C1684=""),"",IFERROR(E1684 / SUMIFS('📅 Resumen Diario'!$D$5:$D$504, '📅 Resumen Diario'!$B$5:$B$504, B1684, '📅 Resumen Diario'!$C$5:$C$504, D1684) * SUMIFS('📅 Resumen Diario'!$K$5:$K$504, '📅 Resumen Diario'!$B$5:$B$504, B1684, '📅 Resumen Diario'!$C$5:$C$504, D1684), 0))</f>
        <v/>
      </c>
      <c r="M1684" s="31" t="str">
        <f t="shared" si="185"/>
        <v/>
      </c>
      <c r="N1684" s="31" t="str">
        <f t="shared" si="186"/>
        <v/>
      </c>
      <c r="O1684" s="31" t="str">
        <f>IF(OR(B1684="",C1684=""),"",K1684-N1684 + IFERROR(E1684 / SUMIFS('📅 Resumen Diario'!$D$5:$D$504, '📅 Resumen Diario'!$B$5:$B$504, B1684, '📅 Resumen Diario'!$C$5:$C$504, D1684) * (SUMIFS('📋 Detalle Diario'!$E$5:$E$489, '📋 Detalle Diario'!$B$5:$B$489, B1684, '📋 Detalle Diario'!$C$5:$C$489, D1684) * 135 + SUMIFS('📋 Detalle Diario'!$I$5:$I$489, '📋 Detalle Diario'!$B$5:$B$489, B1684, '📋 Detalle Diario'!$C$5:$C$489, D1684) * 200), 0))</f>
        <v/>
      </c>
      <c r="P1684" s="32" t="str">
        <f t="shared" si="187"/>
        <v/>
      </c>
      <c r="Q1684" s="33" t="str">
        <f t="shared" si="188"/>
        <v/>
      </c>
    </row>
    <row r="1685" spans="2:17" ht="18" customHeight="1" x14ac:dyDescent="0.3">
      <c r="B1685" s="26"/>
      <c r="C1685" s="28"/>
      <c r="D1685" s="27"/>
      <c r="E1685" s="29"/>
      <c r="F1685" s="29"/>
      <c r="G1685" s="29"/>
      <c r="H1685" s="30" t="str">
        <f t="shared" si="182"/>
        <v/>
      </c>
      <c r="I1685" s="31" t="str">
        <f>IF(OR(B1685="",C1685=""),"",IFERROR(E1685*IF(E1685="",0,VLOOKUP(C1685,'📦 Precios Proforma'!$B$5:$D$104,IF(D1685="DIA",2,3),FALSE)),0))</f>
        <v/>
      </c>
      <c r="J1685" s="31" t="str">
        <f t="shared" si="183"/>
        <v/>
      </c>
      <c r="K1685" s="31" t="str">
        <f t="shared" si="184"/>
        <v/>
      </c>
      <c r="L1685" s="31" t="str">
        <f>IF(OR(B1685="",C1685=""),"",IFERROR(E1685 / SUMIFS('📅 Resumen Diario'!$D$5:$D$504, '📅 Resumen Diario'!$B$5:$B$504, B1685, '📅 Resumen Diario'!$C$5:$C$504, D1685) * SUMIFS('📅 Resumen Diario'!$K$5:$K$504, '📅 Resumen Diario'!$B$5:$B$504, B1685, '📅 Resumen Diario'!$C$5:$C$504, D1685), 0))</f>
        <v/>
      </c>
      <c r="M1685" s="31" t="str">
        <f t="shared" si="185"/>
        <v/>
      </c>
      <c r="N1685" s="31" t="str">
        <f t="shared" si="186"/>
        <v/>
      </c>
      <c r="O1685" s="31" t="str">
        <f>IF(OR(B1685="",C1685=""),"",K1685-N1685 + IFERROR(E1685 / SUMIFS('📅 Resumen Diario'!$D$5:$D$504, '📅 Resumen Diario'!$B$5:$B$504, B1685, '📅 Resumen Diario'!$C$5:$C$504, D1685) * (SUMIFS('📋 Detalle Diario'!$E$5:$E$489, '📋 Detalle Diario'!$B$5:$B$489, B1685, '📋 Detalle Diario'!$C$5:$C$489, D1685) * 135 + SUMIFS('📋 Detalle Diario'!$I$5:$I$489, '📋 Detalle Diario'!$B$5:$B$489, B1685, '📋 Detalle Diario'!$C$5:$C$489, D1685) * 200), 0))</f>
        <v/>
      </c>
      <c r="P1685" s="32" t="str">
        <f t="shared" si="187"/>
        <v/>
      </c>
      <c r="Q1685" s="33" t="str">
        <f t="shared" si="188"/>
        <v/>
      </c>
    </row>
    <row r="1686" spans="2:17" ht="18" customHeight="1" x14ac:dyDescent="0.3">
      <c r="B1686" s="26"/>
      <c r="C1686" s="17"/>
      <c r="D1686" s="27"/>
      <c r="E1686" s="18"/>
      <c r="F1686" s="18"/>
      <c r="G1686" s="18"/>
      <c r="H1686" s="30" t="str">
        <f t="shared" si="182"/>
        <v/>
      </c>
      <c r="I1686" s="31" t="str">
        <f>IF(OR(B1686="",C1686=""),"",IFERROR(E1686*IF(E1686="",0,VLOOKUP(C1686,'📦 Precios Proforma'!$B$5:$D$104,IF(D1686="DIA",2,3),FALSE)),0))</f>
        <v/>
      </c>
      <c r="J1686" s="31" t="str">
        <f t="shared" si="183"/>
        <v/>
      </c>
      <c r="K1686" s="31" t="str">
        <f t="shared" si="184"/>
        <v/>
      </c>
      <c r="L1686" s="31" t="str">
        <f>IF(OR(B1686="",C1686=""),"",IFERROR(E1686 / SUMIFS('📅 Resumen Diario'!$D$5:$D$504, '📅 Resumen Diario'!$B$5:$B$504, B1686, '📅 Resumen Diario'!$C$5:$C$504, D1686) * SUMIFS('📅 Resumen Diario'!$K$5:$K$504, '📅 Resumen Diario'!$B$5:$B$504, B1686, '📅 Resumen Diario'!$C$5:$C$504, D1686), 0))</f>
        <v/>
      </c>
      <c r="M1686" s="31" t="str">
        <f t="shared" si="185"/>
        <v/>
      </c>
      <c r="N1686" s="31" t="str">
        <f t="shared" si="186"/>
        <v/>
      </c>
      <c r="O1686" s="31" t="str">
        <f>IF(OR(B1686="",C1686=""),"",K1686-N1686 + IFERROR(E1686 / SUMIFS('📅 Resumen Diario'!$D$5:$D$504, '📅 Resumen Diario'!$B$5:$B$504, B1686, '📅 Resumen Diario'!$C$5:$C$504, D1686) * (SUMIFS('📋 Detalle Diario'!$E$5:$E$489, '📋 Detalle Diario'!$B$5:$B$489, B1686, '📋 Detalle Diario'!$C$5:$C$489, D1686) * 135 + SUMIFS('📋 Detalle Diario'!$I$5:$I$489, '📋 Detalle Diario'!$B$5:$B$489, B1686, '📋 Detalle Diario'!$C$5:$C$489, D1686) * 200), 0))</f>
        <v/>
      </c>
      <c r="P1686" s="32" t="str">
        <f t="shared" si="187"/>
        <v/>
      </c>
      <c r="Q1686" s="33" t="str">
        <f t="shared" si="188"/>
        <v/>
      </c>
    </row>
    <row r="1687" spans="2:17" ht="18" customHeight="1" x14ac:dyDescent="0.3">
      <c r="B1687" s="26"/>
      <c r="C1687" s="28"/>
      <c r="D1687" s="27"/>
      <c r="E1687" s="29"/>
      <c r="F1687" s="29"/>
      <c r="G1687" s="29"/>
      <c r="H1687" s="30" t="str">
        <f t="shared" si="182"/>
        <v/>
      </c>
      <c r="I1687" s="31" t="str">
        <f>IF(OR(B1687="",C1687=""),"",IFERROR(E1687*IF(E1687="",0,VLOOKUP(C1687,'📦 Precios Proforma'!$B$5:$D$104,IF(D1687="DIA",2,3),FALSE)),0))</f>
        <v/>
      </c>
      <c r="J1687" s="31" t="str">
        <f t="shared" si="183"/>
        <v/>
      </c>
      <c r="K1687" s="31" t="str">
        <f t="shared" si="184"/>
        <v/>
      </c>
      <c r="L1687" s="31" t="str">
        <f>IF(OR(B1687="",C1687=""),"",IFERROR(E1687 / SUMIFS('📅 Resumen Diario'!$D$5:$D$504, '📅 Resumen Diario'!$B$5:$B$504, B1687, '📅 Resumen Diario'!$C$5:$C$504, D1687) * SUMIFS('📅 Resumen Diario'!$K$5:$K$504, '📅 Resumen Diario'!$B$5:$B$504, B1687, '📅 Resumen Diario'!$C$5:$C$504, D1687), 0))</f>
        <v/>
      </c>
      <c r="M1687" s="31" t="str">
        <f t="shared" si="185"/>
        <v/>
      </c>
      <c r="N1687" s="31" t="str">
        <f t="shared" si="186"/>
        <v/>
      </c>
      <c r="O1687" s="31" t="str">
        <f>IF(OR(B1687="",C1687=""),"",K1687-N1687 + IFERROR(E1687 / SUMIFS('📅 Resumen Diario'!$D$5:$D$504, '📅 Resumen Diario'!$B$5:$B$504, B1687, '📅 Resumen Diario'!$C$5:$C$504, D1687) * (SUMIFS('📋 Detalle Diario'!$E$5:$E$489, '📋 Detalle Diario'!$B$5:$B$489, B1687, '📋 Detalle Diario'!$C$5:$C$489, D1687) * 135 + SUMIFS('📋 Detalle Diario'!$I$5:$I$489, '📋 Detalle Diario'!$B$5:$B$489, B1687, '📋 Detalle Diario'!$C$5:$C$489, D1687) * 200), 0))</f>
        <v/>
      </c>
      <c r="P1687" s="32" t="str">
        <f t="shared" si="187"/>
        <v/>
      </c>
      <c r="Q1687" s="33" t="str">
        <f t="shared" si="188"/>
        <v/>
      </c>
    </row>
    <row r="1688" spans="2:17" ht="18" customHeight="1" x14ac:dyDescent="0.3">
      <c r="B1688" s="26"/>
      <c r="C1688" s="17"/>
      <c r="D1688" s="27"/>
      <c r="E1688" s="18"/>
      <c r="F1688" s="18"/>
      <c r="G1688" s="18"/>
      <c r="H1688" s="30" t="str">
        <f t="shared" si="182"/>
        <v/>
      </c>
      <c r="I1688" s="31" t="str">
        <f>IF(OR(B1688="",C1688=""),"",IFERROR(E1688*IF(E1688="",0,VLOOKUP(C1688,'📦 Precios Proforma'!$B$5:$D$104,IF(D1688="DIA",2,3),FALSE)),0))</f>
        <v/>
      </c>
      <c r="J1688" s="31" t="str">
        <f t="shared" si="183"/>
        <v/>
      </c>
      <c r="K1688" s="31" t="str">
        <f t="shared" si="184"/>
        <v/>
      </c>
      <c r="L1688" s="31" t="str">
        <f>IF(OR(B1688="",C1688=""),"",IFERROR(E1688 / SUMIFS('📅 Resumen Diario'!$D$5:$D$504, '📅 Resumen Diario'!$B$5:$B$504, B1688, '📅 Resumen Diario'!$C$5:$C$504, D1688) * SUMIFS('📅 Resumen Diario'!$K$5:$K$504, '📅 Resumen Diario'!$B$5:$B$504, B1688, '📅 Resumen Diario'!$C$5:$C$504, D1688), 0))</f>
        <v/>
      </c>
      <c r="M1688" s="31" t="str">
        <f t="shared" si="185"/>
        <v/>
      </c>
      <c r="N1688" s="31" t="str">
        <f t="shared" si="186"/>
        <v/>
      </c>
      <c r="O1688" s="31" t="str">
        <f>IF(OR(B1688="",C1688=""),"",K1688-N1688 + IFERROR(E1688 / SUMIFS('📅 Resumen Diario'!$D$5:$D$504, '📅 Resumen Diario'!$B$5:$B$504, B1688, '📅 Resumen Diario'!$C$5:$C$504, D1688) * (SUMIFS('📋 Detalle Diario'!$E$5:$E$489, '📋 Detalle Diario'!$B$5:$B$489, B1688, '📋 Detalle Diario'!$C$5:$C$489, D1688) * 135 + SUMIFS('📋 Detalle Diario'!$I$5:$I$489, '📋 Detalle Diario'!$B$5:$B$489, B1688, '📋 Detalle Diario'!$C$5:$C$489, D1688) * 200), 0))</f>
        <v/>
      </c>
      <c r="P1688" s="32" t="str">
        <f t="shared" si="187"/>
        <v/>
      </c>
      <c r="Q1688" s="33" t="str">
        <f t="shared" si="188"/>
        <v/>
      </c>
    </row>
    <row r="1689" spans="2:17" ht="18" customHeight="1" x14ac:dyDescent="0.3">
      <c r="B1689" s="26"/>
      <c r="C1689" s="28"/>
      <c r="D1689" s="27"/>
      <c r="E1689" s="29"/>
      <c r="F1689" s="29"/>
      <c r="G1689" s="29"/>
      <c r="H1689" s="30" t="str">
        <f t="shared" si="182"/>
        <v/>
      </c>
      <c r="I1689" s="31" t="str">
        <f>IF(OR(B1689="",C1689=""),"",IFERROR(E1689*IF(E1689="",0,VLOOKUP(C1689,'📦 Precios Proforma'!$B$5:$D$104,IF(D1689="DIA",2,3),FALSE)),0))</f>
        <v/>
      </c>
      <c r="J1689" s="31" t="str">
        <f t="shared" si="183"/>
        <v/>
      </c>
      <c r="K1689" s="31" t="str">
        <f t="shared" si="184"/>
        <v/>
      </c>
      <c r="L1689" s="31" t="str">
        <f>IF(OR(B1689="",C1689=""),"",IFERROR(E1689 / SUMIFS('📅 Resumen Diario'!$D$5:$D$504, '📅 Resumen Diario'!$B$5:$B$504, B1689, '📅 Resumen Diario'!$C$5:$C$504, D1689) * SUMIFS('📅 Resumen Diario'!$K$5:$K$504, '📅 Resumen Diario'!$B$5:$B$504, B1689, '📅 Resumen Diario'!$C$5:$C$504, D1689), 0))</f>
        <v/>
      </c>
      <c r="M1689" s="31" t="str">
        <f t="shared" si="185"/>
        <v/>
      </c>
      <c r="N1689" s="31" t="str">
        <f t="shared" si="186"/>
        <v/>
      </c>
      <c r="O1689" s="31" t="str">
        <f>IF(OR(B1689="",C1689=""),"",K1689-N1689 + IFERROR(E1689 / SUMIFS('📅 Resumen Diario'!$D$5:$D$504, '📅 Resumen Diario'!$B$5:$B$504, B1689, '📅 Resumen Diario'!$C$5:$C$504, D1689) * (SUMIFS('📋 Detalle Diario'!$E$5:$E$489, '📋 Detalle Diario'!$B$5:$B$489, B1689, '📋 Detalle Diario'!$C$5:$C$489, D1689) * 135 + SUMIFS('📋 Detalle Diario'!$I$5:$I$489, '📋 Detalle Diario'!$B$5:$B$489, B1689, '📋 Detalle Diario'!$C$5:$C$489, D1689) * 200), 0))</f>
        <v/>
      </c>
      <c r="P1689" s="32" t="str">
        <f t="shared" si="187"/>
        <v/>
      </c>
      <c r="Q1689" s="33" t="str">
        <f t="shared" si="188"/>
        <v/>
      </c>
    </row>
    <row r="1690" spans="2:17" ht="18" customHeight="1" x14ac:dyDescent="0.3">
      <c r="B1690" s="26"/>
      <c r="C1690" s="17"/>
      <c r="D1690" s="27"/>
      <c r="E1690" s="18"/>
      <c r="F1690" s="18"/>
      <c r="G1690" s="18"/>
      <c r="H1690" s="30" t="str">
        <f t="shared" si="182"/>
        <v/>
      </c>
      <c r="I1690" s="31" t="str">
        <f>IF(OR(B1690="",C1690=""),"",IFERROR(E1690*IF(E1690="",0,VLOOKUP(C1690,'📦 Precios Proforma'!$B$5:$D$104,IF(D1690="DIA",2,3),FALSE)),0))</f>
        <v/>
      </c>
      <c r="J1690" s="31" t="str">
        <f t="shared" si="183"/>
        <v/>
      </c>
      <c r="K1690" s="31" t="str">
        <f t="shared" si="184"/>
        <v/>
      </c>
      <c r="L1690" s="31" t="str">
        <f>IF(OR(B1690="",C1690=""),"",IFERROR(E1690 / SUMIFS('📅 Resumen Diario'!$D$5:$D$504, '📅 Resumen Diario'!$B$5:$B$504, B1690, '📅 Resumen Diario'!$C$5:$C$504, D1690) * SUMIFS('📅 Resumen Diario'!$K$5:$K$504, '📅 Resumen Diario'!$B$5:$B$504, B1690, '📅 Resumen Diario'!$C$5:$C$504, D1690), 0))</f>
        <v/>
      </c>
      <c r="M1690" s="31" t="str">
        <f t="shared" si="185"/>
        <v/>
      </c>
      <c r="N1690" s="31" t="str">
        <f t="shared" si="186"/>
        <v/>
      </c>
      <c r="O1690" s="31" t="str">
        <f>IF(OR(B1690="",C1690=""),"",K1690-N1690 + IFERROR(E1690 / SUMIFS('📅 Resumen Diario'!$D$5:$D$504, '📅 Resumen Diario'!$B$5:$B$504, B1690, '📅 Resumen Diario'!$C$5:$C$504, D1690) * (SUMIFS('📋 Detalle Diario'!$E$5:$E$489, '📋 Detalle Diario'!$B$5:$B$489, B1690, '📋 Detalle Diario'!$C$5:$C$489, D1690) * 135 + SUMIFS('📋 Detalle Diario'!$I$5:$I$489, '📋 Detalle Diario'!$B$5:$B$489, B1690, '📋 Detalle Diario'!$C$5:$C$489, D1690) * 200), 0))</f>
        <v/>
      </c>
      <c r="P1690" s="32" t="str">
        <f t="shared" si="187"/>
        <v/>
      </c>
      <c r="Q1690" s="33" t="str">
        <f t="shared" si="188"/>
        <v/>
      </c>
    </row>
    <row r="1691" spans="2:17" ht="18" customHeight="1" x14ac:dyDescent="0.3">
      <c r="B1691" s="26"/>
      <c r="C1691" s="28"/>
      <c r="D1691" s="27"/>
      <c r="E1691" s="29"/>
      <c r="F1691" s="29"/>
      <c r="G1691" s="29"/>
      <c r="H1691" s="30" t="str">
        <f t="shared" si="182"/>
        <v/>
      </c>
      <c r="I1691" s="31" t="str">
        <f>IF(OR(B1691="",C1691=""),"",IFERROR(E1691*IF(E1691="",0,VLOOKUP(C1691,'📦 Precios Proforma'!$B$5:$D$104,IF(D1691="DIA",2,3),FALSE)),0))</f>
        <v/>
      </c>
      <c r="J1691" s="31" t="str">
        <f t="shared" si="183"/>
        <v/>
      </c>
      <c r="K1691" s="31" t="str">
        <f t="shared" si="184"/>
        <v/>
      </c>
      <c r="L1691" s="31" t="str">
        <f>IF(OR(B1691="",C1691=""),"",IFERROR(E1691 / SUMIFS('📅 Resumen Diario'!$D$5:$D$504, '📅 Resumen Diario'!$B$5:$B$504, B1691, '📅 Resumen Diario'!$C$5:$C$504, D1691) * SUMIFS('📅 Resumen Diario'!$K$5:$K$504, '📅 Resumen Diario'!$B$5:$B$504, B1691, '📅 Resumen Diario'!$C$5:$C$504, D1691), 0))</f>
        <v/>
      </c>
      <c r="M1691" s="31" t="str">
        <f t="shared" si="185"/>
        <v/>
      </c>
      <c r="N1691" s="31" t="str">
        <f t="shared" si="186"/>
        <v/>
      </c>
      <c r="O1691" s="31" t="str">
        <f>IF(OR(B1691="",C1691=""),"",K1691-N1691 + IFERROR(E1691 / SUMIFS('📅 Resumen Diario'!$D$5:$D$504, '📅 Resumen Diario'!$B$5:$B$504, B1691, '📅 Resumen Diario'!$C$5:$C$504, D1691) * (SUMIFS('📋 Detalle Diario'!$E$5:$E$489, '📋 Detalle Diario'!$B$5:$B$489, B1691, '📋 Detalle Diario'!$C$5:$C$489, D1691) * 135 + SUMIFS('📋 Detalle Diario'!$I$5:$I$489, '📋 Detalle Diario'!$B$5:$B$489, B1691, '📋 Detalle Diario'!$C$5:$C$489, D1691) * 200), 0))</f>
        <v/>
      </c>
      <c r="P1691" s="32" t="str">
        <f t="shared" si="187"/>
        <v/>
      </c>
      <c r="Q1691" s="33" t="str">
        <f t="shared" si="188"/>
        <v/>
      </c>
    </row>
    <row r="1692" spans="2:17" ht="18" customHeight="1" x14ac:dyDescent="0.3">
      <c r="B1692" s="26"/>
      <c r="C1692" s="17"/>
      <c r="D1692" s="27"/>
      <c r="E1692" s="18"/>
      <c r="F1692" s="18"/>
      <c r="G1692" s="18"/>
      <c r="H1692" s="30" t="str">
        <f t="shared" si="182"/>
        <v/>
      </c>
      <c r="I1692" s="31" t="str">
        <f>IF(OR(B1692="",C1692=""),"",IFERROR(E1692*IF(E1692="",0,VLOOKUP(C1692,'📦 Precios Proforma'!$B$5:$D$104,IF(D1692="DIA",2,3),FALSE)),0))</f>
        <v/>
      </c>
      <c r="J1692" s="31" t="str">
        <f t="shared" si="183"/>
        <v/>
      </c>
      <c r="K1692" s="31" t="str">
        <f t="shared" si="184"/>
        <v/>
      </c>
      <c r="L1692" s="31" t="str">
        <f>IF(OR(B1692="",C1692=""),"",IFERROR(E1692 / SUMIFS('📅 Resumen Diario'!$D$5:$D$504, '📅 Resumen Diario'!$B$5:$B$504, B1692, '📅 Resumen Diario'!$C$5:$C$504, D1692) * SUMIFS('📅 Resumen Diario'!$K$5:$K$504, '📅 Resumen Diario'!$B$5:$B$504, B1692, '📅 Resumen Diario'!$C$5:$C$504, D1692), 0))</f>
        <v/>
      </c>
      <c r="M1692" s="31" t="str">
        <f t="shared" si="185"/>
        <v/>
      </c>
      <c r="N1692" s="31" t="str">
        <f t="shared" si="186"/>
        <v/>
      </c>
      <c r="O1692" s="31" t="str">
        <f>IF(OR(B1692="",C1692=""),"",K1692-N1692 + IFERROR(E1692 / SUMIFS('📅 Resumen Diario'!$D$5:$D$504, '📅 Resumen Diario'!$B$5:$B$504, B1692, '📅 Resumen Diario'!$C$5:$C$504, D1692) * (SUMIFS('📋 Detalle Diario'!$E$5:$E$489, '📋 Detalle Diario'!$B$5:$B$489, B1692, '📋 Detalle Diario'!$C$5:$C$489, D1692) * 135 + SUMIFS('📋 Detalle Diario'!$I$5:$I$489, '📋 Detalle Diario'!$B$5:$B$489, B1692, '📋 Detalle Diario'!$C$5:$C$489, D1692) * 200), 0))</f>
        <v/>
      </c>
      <c r="P1692" s="32" t="str">
        <f t="shared" si="187"/>
        <v/>
      </c>
      <c r="Q1692" s="33" t="str">
        <f t="shared" si="188"/>
        <v/>
      </c>
    </row>
    <row r="1693" spans="2:17" ht="18" customHeight="1" x14ac:dyDescent="0.3">
      <c r="B1693" s="26"/>
      <c r="C1693" s="28"/>
      <c r="D1693" s="27"/>
      <c r="E1693" s="29"/>
      <c r="F1693" s="29"/>
      <c r="G1693" s="29"/>
      <c r="H1693" s="30" t="str">
        <f t="shared" si="182"/>
        <v/>
      </c>
      <c r="I1693" s="31" t="str">
        <f>IF(OR(B1693="",C1693=""),"",IFERROR(E1693*IF(E1693="",0,VLOOKUP(C1693,'📦 Precios Proforma'!$B$5:$D$104,IF(D1693="DIA",2,3),FALSE)),0))</f>
        <v/>
      </c>
      <c r="J1693" s="31" t="str">
        <f t="shared" si="183"/>
        <v/>
      </c>
      <c r="K1693" s="31" t="str">
        <f t="shared" si="184"/>
        <v/>
      </c>
      <c r="L1693" s="31" t="str">
        <f>IF(OR(B1693="",C1693=""),"",IFERROR(E1693 / SUMIFS('📅 Resumen Diario'!$D$5:$D$504, '📅 Resumen Diario'!$B$5:$B$504, B1693, '📅 Resumen Diario'!$C$5:$C$504, D1693) * SUMIFS('📅 Resumen Diario'!$K$5:$K$504, '📅 Resumen Diario'!$B$5:$B$504, B1693, '📅 Resumen Diario'!$C$5:$C$504, D1693), 0))</f>
        <v/>
      </c>
      <c r="M1693" s="31" t="str">
        <f t="shared" si="185"/>
        <v/>
      </c>
      <c r="N1693" s="31" t="str">
        <f t="shared" si="186"/>
        <v/>
      </c>
      <c r="O1693" s="31" t="str">
        <f>IF(OR(B1693="",C1693=""),"",K1693-N1693 + IFERROR(E1693 / SUMIFS('📅 Resumen Diario'!$D$5:$D$504, '📅 Resumen Diario'!$B$5:$B$504, B1693, '📅 Resumen Diario'!$C$5:$C$504, D1693) * (SUMIFS('📋 Detalle Diario'!$E$5:$E$489, '📋 Detalle Diario'!$B$5:$B$489, B1693, '📋 Detalle Diario'!$C$5:$C$489, D1693) * 135 + SUMIFS('📋 Detalle Diario'!$I$5:$I$489, '📋 Detalle Diario'!$B$5:$B$489, B1693, '📋 Detalle Diario'!$C$5:$C$489, D1693) * 200), 0))</f>
        <v/>
      </c>
      <c r="P1693" s="32" t="str">
        <f t="shared" si="187"/>
        <v/>
      </c>
      <c r="Q1693" s="33" t="str">
        <f t="shared" si="188"/>
        <v/>
      </c>
    </row>
    <row r="1694" spans="2:17" ht="18" customHeight="1" x14ac:dyDescent="0.3">
      <c r="B1694" s="26"/>
      <c r="C1694" s="17"/>
      <c r="D1694" s="27"/>
      <c r="E1694" s="18"/>
      <c r="F1694" s="18"/>
      <c r="G1694" s="18"/>
      <c r="H1694" s="30" t="str">
        <f t="shared" si="182"/>
        <v/>
      </c>
      <c r="I1694" s="31" t="str">
        <f>IF(OR(B1694="",C1694=""),"",IFERROR(E1694*IF(E1694="",0,VLOOKUP(C1694,'📦 Precios Proforma'!$B$5:$D$104,IF(D1694="DIA",2,3),FALSE)),0))</f>
        <v/>
      </c>
      <c r="J1694" s="31" t="str">
        <f t="shared" si="183"/>
        <v/>
      </c>
      <c r="K1694" s="31" t="str">
        <f t="shared" si="184"/>
        <v/>
      </c>
      <c r="L1694" s="31" t="str">
        <f>IF(OR(B1694="",C1694=""),"",IFERROR(E1694 / SUMIFS('📅 Resumen Diario'!$D$5:$D$504, '📅 Resumen Diario'!$B$5:$B$504, B1694, '📅 Resumen Diario'!$C$5:$C$504, D1694) * SUMIFS('📅 Resumen Diario'!$K$5:$K$504, '📅 Resumen Diario'!$B$5:$B$504, B1694, '📅 Resumen Diario'!$C$5:$C$504, D1694), 0))</f>
        <v/>
      </c>
      <c r="M1694" s="31" t="str">
        <f t="shared" si="185"/>
        <v/>
      </c>
      <c r="N1694" s="31" t="str">
        <f t="shared" si="186"/>
        <v/>
      </c>
      <c r="O1694" s="31" t="str">
        <f>IF(OR(B1694="",C1694=""),"",K1694-N1694 + IFERROR(E1694 / SUMIFS('📅 Resumen Diario'!$D$5:$D$504, '📅 Resumen Diario'!$B$5:$B$504, B1694, '📅 Resumen Diario'!$C$5:$C$504, D1694) * (SUMIFS('📋 Detalle Diario'!$E$5:$E$489, '📋 Detalle Diario'!$B$5:$B$489, B1694, '📋 Detalle Diario'!$C$5:$C$489, D1694) * 135 + SUMIFS('📋 Detalle Diario'!$I$5:$I$489, '📋 Detalle Diario'!$B$5:$B$489, B1694, '📋 Detalle Diario'!$C$5:$C$489, D1694) * 200), 0))</f>
        <v/>
      </c>
      <c r="P1694" s="32" t="str">
        <f t="shared" si="187"/>
        <v/>
      </c>
      <c r="Q1694" s="33" t="str">
        <f t="shared" si="188"/>
        <v/>
      </c>
    </row>
    <row r="1695" spans="2:17" ht="18" customHeight="1" x14ac:dyDescent="0.3">
      <c r="B1695" s="26"/>
      <c r="C1695" s="28"/>
      <c r="D1695" s="27"/>
      <c r="E1695" s="29"/>
      <c r="F1695" s="29"/>
      <c r="G1695" s="29"/>
      <c r="H1695" s="30" t="str">
        <f t="shared" si="182"/>
        <v/>
      </c>
      <c r="I1695" s="31" t="str">
        <f>IF(OR(B1695="",C1695=""),"",IFERROR(E1695*IF(E1695="",0,VLOOKUP(C1695,'📦 Precios Proforma'!$B$5:$D$104,IF(D1695="DIA",2,3),FALSE)),0))</f>
        <v/>
      </c>
      <c r="J1695" s="31" t="str">
        <f t="shared" si="183"/>
        <v/>
      </c>
      <c r="K1695" s="31" t="str">
        <f t="shared" si="184"/>
        <v/>
      </c>
      <c r="L1695" s="31" t="str">
        <f>IF(OR(B1695="",C1695=""),"",IFERROR(E1695 / SUMIFS('📅 Resumen Diario'!$D$5:$D$504, '📅 Resumen Diario'!$B$5:$B$504, B1695, '📅 Resumen Diario'!$C$5:$C$504, D1695) * SUMIFS('📅 Resumen Diario'!$K$5:$K$504, '📅 Resumen Diario'!$B$5:$B$504, B1695, '📅 Resumen Diario'!$C$5:$C$504, D1695), 0))</f>
        <v/>
      </c>
      <c r="M1695" s="31" t="str">
        <f t="shared" si="185"/>
        <v/>
      </c>
      <c r="N1695" s="31" t="str">
        <f t="shared" si="186"/>
        <v/>
      </c>
      <c r="O1695" s="31" t="str">
        <f>IF(OR(B1695="",C1695=""),"",K1695-N1695 + IFERROR(E1695 / SUMIFS('📅 Resumen Diario'!$D$5:$D$504, '📅 Resumen Diario'!$B$5:$B$504, B1695, '📅 Resumen Diario'!$C$5:$C$504, D1695) * (SUMIFS('📋 Detalle Diario'!$E$5:$E$489, '📋 Detalle Diario'!$B$5:$B$489, B1695, '📋 Detalle Diario'!$C$5:$C$489, D1695) * 135 + SUMIFS('📋 Detalle Diario'!$I$5:$I$489, '📋 Detalle Diario'!$B$5:$B$489, B1695, '📋 Detalle Diario'!$C$5:$C$489, D1695) * 200), 0))</f>
        <v/>
      </c>
      <c r="P1695" s="32" t="str">
        <f t="shared" si="187"/>
        <v/>
      </c>
      <c r="Q1695" s="33" t="str">
        <f t="shared" si="188"/>
        <v/>
      </c>
    </row>
    <row r="1696" spans="2:17" ht="18" customHeight="1" x14ac:dyDescent="0.3">
      <c r="B1696" s="26"/>
      <c r="C1696" s="17"/>
      <c r="D1696" s="27"/>
      <c r="E1696" s="18"/>
      <c r="F1696" s="18"/>
      <c r="G1696" s="18"/>
      <c r="H1696" s="30" t="str">
        <f t="shared" si="182"/>
        <v/>
      </c>
      <c r="I1696" s="31" t="str">
        <f>IF(OR(B1696="",C1696=""),"",IFERROR(E1696*IF(E1696="",0,VLOOKUP(C1696,'📦 Precios Proforma'!$B$5:$D$104,IF(D1696="DIA",2,3),FALSE)),0))</f>
        <v/>
      </c>
      <c r="J1696" s="31" t="str">
        <f t="shared" si="183"/>
        <v/>
      </c>
      <c r="K1696" s="31" t="str">
        <f t="shared" si="184"/>
        <v/>
      </c>
      <c r="L1696" s="31" t="str">
        <f>IF(OR(B1696="",C1696=""),"",IFERROR(E1696 / SUMIFS('📅 Resumen Diario'!$D$5:$D$504, '📅 Resumen Diario'!$B$5:$B$504, B1696, '📅 Resumen Diario'!$C$5:$C$504, D1696) * SUMIFS('📅 Resumen Diario'!$K$5:$K$504, '📅 Resumen Diario'!$B$5:$B$504, B1696, '📅 Resumen Diario'!$C$5:$C$504, D1696), 0))</f>
        <v/>
      </c>
      <c r="M1696" s="31" t="str">
        <f t="shared" si="185"/>
        <v/>
      </c>
      <c r="N1696" s="31" t="str">
        <f t="shared" si="186"/>
        <v/>
      </c>
      <c r="O1696" s="31" t="str">
        <f>IF(OR(B1696="",C1696=""),"",K1696-N1696 + IFERROR(E1696 / SUMIFS('📅 Resumen Diario'!$D$5:$D$504, '📅 Resumen Diario'!$B$5:$B$504, B1696, '📅 Resumen Diario'!$C$5:$C$504, D1696) * (SUMIFS('📋 Detalle Diario'!$E$5:$E$489, '📋 Detalle Diario'!$B$5:$B$489, B1696, '📋 Detalle Diario'!$C$5:$C$489, D1696) * 135 + SUMIFS('📋 Detalle Diario'!$I$5:$I$489, '📋 Detalle Diario'!$B$5:$B$489, B1696, '📋 Detalle Diario'!$C$5:$C$489, D1696) * 200), 0))</f>
        <v/>
      </c>
      <c r="P1696" s="32" t="str">
        <f t="shared" si="187"/>
        <v/>
      </c>
      <c r="Q1696" s="33" t="str">
        <f t="shared" si="188"/>
        <v/>
      </c>
    </row>
    <row r="1697" spans="2:17" ht="18" customHeight="1" x14ac:dyDescent="0.3">
      <c r="B1697" s="26"/>
      <c r="C1697" s="28"/>
      <c r="D1697" s="27"/>
      <c r="E1697" s="29"/>
      <c r="F1697" s="29"/>
      <c r="G1697" s="29"/>
      <c r="H1697" s="30" t="str">
        <f t="shared" si="182"/>
        <v/>
      </c>
      <c r="I1697" s="31" t="str">
        <f>IF(OR(B1697="",C1697=""),"",IFERROR(E1697*IF(E1697="",0,VLOOKUP(C1697,'📦 Precios Proforma'!$B$5:$D$104,IF(D1697="DIA",2,3),FALSE)),0))</f>
        <v/>
      </c>
      <c r="J1697" s="31" t="str">
        <f t="shared" si="183"/>
        <v/>
      </c>
      <c r="K1697" s="31" t="str">
        <f t="shared" si="184"/>
        <v/>
      </c>
      <c r="L1697" s="31" t="str">
        <f>IF(OR(B1697="",C1697=""),"",IFERROR(E1697 / SUMIFS('📅 Resumen Diario'!$D$5:$D$504, '📅 Resumen Diario'!$B$5:$B$504, B1697, '📅 Resumen Diario'!$C$5:$C$504, D1697) * SUMIFS('📅 Resumen Diario'!$K$5:$K$504, '📅 Resumen Diario'!$B$5:$B$504, B1697, '📅 Resumen Diario'!$C$5:$C$504, D1697), 0))</f>
        <v/>
      </c>
      <c r="M1697" s="31" t="str">
        <f t="shared" si="185"/>
        <v/>
      </c>
      <c r="N1697" s="31" t="str">
        <f t="shared" si="186"/>
        <v/>
      </c>
      <c r="O1697" s="31" t="str">
        <f>IF(OR(B1697="",C1697=""),"",K1697-N1697 + IFERROR(E1697 / SUMIFS('📅 Resumen Diario'!$D$5:$D$504, '📅 Resumen Diario'!$B$5:$B$504, B1697, '📅 Resumen Diario'!$C$5:$C$504, D1697) * (SUMIFS('📋 Detalle Diario'!$E$5:$E$489, '📋 Detalle Diario'!$B$5:$B$489, B1697, '📋 Detalle Diario'!$C$5:$C$489, D1697) * 135 + SUMIFS('📋 Detalle Diario'!$I$5:$I$489, '📋 Detalle Diario'!$B$5:$B$489, B1697, '📋 Detalle Diario'!$C$5:$C$489, D1697) * 200), 0))</f>
        <v/>
      </c>
      <c r="P1697" s="32" t="str">
        <f t="shared" si="187"/>
        <v/>
      </c>
      <c r="Q1697" s="33" t="str">
        <f t="shared" si="188"/>
        <v/>
      </c>
    </row>
    <row r="1698" spans="2:17" ht="18" customHeight="1" x14ac:dyDescent="0.3">
      <c r="B1698" s="26"/>
      <c r="C1698" s="17"/>
      <c r="D1698" s="27"/>
      <c r="E1698" s="18"/>
      <c r="F1698" s="18"/>
      <c r="G1698" s="18"/>
      <c r="H1698" s="30" t="str">
        <f t="shared" si="182"/>
        <v/>
      </c>
      <c r="I1698" s="31" t="str">
        <f>IF(OR(B1698="",C1698=""),"",IFERROR(E1698*IF(E1698="",0,VLOOKUP(C1698,'📦 Precios Proforma'!$B$5:$D$104,IF(D1698="DIA",2,3),FALSE)),0))</f>
        <v/>
      </c>
      <c r="J1698" s="31" t="str">
        <f t="shared" si="183"/>
        <v/>
      </c>
      <c r="K1698" s="31" t="str">
        <f t="shared" si="184"/>
        <v/>
      </c>
      <c r="L1698" s="31" t="str">
        <f>IF(OR(B1698="",C1698=""),"",IFERROR(E1698 / SUMIFS('📅 Resumen Diario'!$D$5:$D$504, '📅 Resumen Diario'!$B$5:$B$504, B1698, '📅 Resumen Diario'!$C$5:$C$504, D1698) * SUMIFS('📅 Resumen Diario'!$K$5:$K$504, '📅 Resumen Diario'!$B$5:$B$504, B1698, '📅 Resumen Diario'!$C$5:$C$504, D1698), 0))</f>
        <v/>
      </c>
      <c r="M1698" s="31" t="str">
        <f t="shared" si="185"/>
        <v/>
      </c>
      <c r="N1698" s="31" t="str">
        <f t="shared" si="186"/>
        <v/>
      </c>
      <c r="O1698" s="31" t="str">
        <f>IF(OR(B1698="",C1698=""),"",K1698-N1698 + IFERROR(E1698 / SUMIFS('📅 Resumen Diario'!$D$5:$D$504, '📅 Resumen Diario'!$B$5:$B$504, B1698, '📅 Resumen Diario'!$C$5:$C$504, D1698) * (SUMIFS('📋 Detalle Diario'!$E$5:$E$489, '📋 Detalle Diario'!$B$5:$B$489, B1698, '📋 Detalle Diario'!$C$5:$C$489, D1698) * 135 + SUMIFS('📋 Detalle Diario'!$I$5:$I$489, '📋 Detalle Diario'!$B$5:$B$489, B1698, '📋 Detalle Diario'!$C$5:$C$489, D1698) * 200), 0))</f>
        <v/>
      </c>
      <c r="P1698" s="32" t="str">
        <f t="shared" si="187"/>
        <v/>
      </c>
      <c r="Q1698" s="33" t="str">
        <f t="shared" si="188"/>
        <v/>
      </c>
    </row>
    <row r="1699" spans="2:17" ht="18" customHeight="1" x14ac:dyDescent="0.3">
      <c r="B1699" s="26"/>
      <c r="C1699" s="28"/>
      <c r="D1699" s="27"/>
      <c r="E1699" s="29"/>
      <c r="F1699" s="29"/>
      <c r="G1699" s="29"/>
      <c r="H1699" s="30" t="str">
        <f t="shared" si="182"/>
        <v/>
      </c>
      <c r="I1699" s="31" t="str">
        <f>IF(OR(B1699="",C1699=""),"",IFERROR(E1699*IF(E1699="",0,VLOOKUP(C1699,'📦 Precios Proforma'!$B$5:$D$104,IF(D1699="DIA",2,3),FALSE)),0))</f>
        <v/>
      </c>
      <c r="J1699" s="31" t="str">
        <f t="shared" si="183"/>
        <v/>
      </c>
      <c r="K1699" s="31" t="str">
        <f t="shared" si="184"/>
        <v/>
      </c>
      <c r="L1699" s="31" t="str">
        <f>IF(OR(B1699="",C1699=""),"",IFERROR(E1699 / SUMIFS('📅 Resumen Diario'!$D$5:$D$504, '📅 Resumen Diario'!$B$5:$B$504, B1699, '📅 Resumen Diario'!$C$5:$C$504, D1699) * SUMIFS('📅 Resumen Diario'!$K$5:$K$504, '📅 Resumen Diario'!$B$5:$B$504, B1699, '📅 Resumen Diario'!$C$5:$C$504, D1699), 0))</f>
        <v/>
      </c>
      <c r="M1699" s="31" t="str">
        <f t="shared" si="185"/>
        <v/>
      </c>
      <c r="N1699" s="31" t="str">
        <f t="shared" si="186"/>
        <v/>
      </c>
      <c r="O1699" s="31" t="str">
        <f>IF(OR(B1699="",C1699=""),"",K1699-N1699 + IFERROR(E1699 / SUMIFS('📅 Resumen Diario'!$D$5:$D$504, '📅 Resumen Diario'!$B$5:$B$504, B1699, '📅 Resumen Diario'!$C$5:$C$504, D1699) * (SUMIFS('📋 Detalle Diario'!$E$5:$E$489, '📋 Detalle Diario'!$B$5:$B$489, B1699, '📋 Detalle Diario'!$C$5:$C$489, D1699) * 135 + SUMIFS('📋 Detalle Diario'!$I$5:$I$489, '📋 Detalle Diario'!$B$5:$B$489, B1699, '📋 Detalle Diario'!$C$5:$C$489, D1699) * 200), 0))</f>
        <v/>
      </c>
      <c r="P1699" s="32" t="str">
        <f t="shared" si="187"/>
        <v/>
      </c>
      <c r="Q1699" s="33" t="str">
        <f t="shared" si="188"/>
        <v/>
      </c>
    </row>
    <row r="1700" spans="2:17" ht="18" customHeight="1" x14ac:dyDescent="0.3">
      <c r="B1700" s="26"/>
      <c r="C1700" s="17"/>
      <c r="D1700" s="27"/>
      <c r="E1700" s="18"/>
      <c r="F1700" s="18"/>
      <c r="G1700" s="18"/>
      <c r="H1700" s="30" t="str">
        <f t="shared" si="182"/>
        <v/>
      </c>
      <c r="I1700" s="31" t="str">
        <f>IF(OR(B1700="",C1700=""),"",IFERROR(E1700*IF(E1700="",0,VLOOKUP(C1700,'📦 Precios Proforma'!$B$5:$D$104,IF(D1700="DIA",2,3),FALSE)),0))</f>
        <v/>
      </c>
      <c r="J1700" s="31" t="str">
        <f t="shared" si="183"/>
        <v/>
      </c>
      <c r="K1700" s="31" t="str">
        <f t="shared" si="184"/>
        <v/>
      </c>
      <c r="L1700" s="31" t="str">
        <f>IF(OR(B1700="",C1700=""),"",IFERROR(E1700 / SUMIFS('📅 Resumen Diario'!$D$5:$D$504, '📅 Resumen Diario'!$B$5:$B$504, B1700, '📅 Resumen Diario'!$C$5:$C$504, D1700) * SUMIFS('📅 Resumen Diario'!$K$5:$K$504, '📅 Resumen Diario'!$B$5:$B$504, B1700, '📅 Resumen Diario'!$C$5:$C$504, D1700), 0))</f>
        <v/>
      </c>
      <c r="M1700" s="31" t="str">
        <f t="shared" si="185"/>
        <v/>
      </c>
      <c r="N1700" s="31" t="str">
        <f t="shared" si="186"/>
        <v/>
      </c>
      <c r="O1700" s="31" t="str">
        <f>IF(OR(B1700="",C1700=""),"",K1700-N1700 + IFERROR(E1700 / SUMIFS('📅 Resumen Diario'!$D$5:$D$504, '📅 Resumen Diario'!$B$5:$B$504, B1700, '📅 Resumen Diario'!$C$5:$C$504, D1700) * (SUMIFS('📋 Detalle Diario'!$E$5:$E$489, '📋 Detalle Diario'!$B$5:$B$489, B1700, '📋 Detalle Diario'!$C$5:$C$489, D1700) * 135 + SUMIFS('📋 Detalle Diario'!$I$5:$I$489, '📋 Detalle Diario'!$B$5:$B$489, B1700, '📋 Detalle Diario'!$C$5:$C$489, D1700) * 200), 0))</f>
        <v/>
      </c>
      <c r="P1700" s="32" t="str">
        <f t="shared" si="187"/>
        <v/>
      </c>
      <c r="Q1700" s="33" t="str">
        <f t="shared" si="188"/>
        <v/>
      </c>
    </row>
    <row r="1701" spans="2:17" ht="18" customHeight="1" x14ac:dyDescent="0.3">
      <c r="B1701" s="26"/>
      <c r="C1701" s="28"/>
      <c r="D1701" s="27"/>
      <c r="E1701" s="29"/>
      <c r="F1701" s="29"/>
      <c r="G1701" s="29"/>
      <c r="H1701" s="30" t="str">
        <f t="shared" si="182"/>
        <v/>
      </c>
      <c r="I1701" s="31" t="str">
        <f>IF(OR(B1701="",C1701=""),"",IFERROR(E1701*IF(E1701="",0,VLOOKUP(C1701,'📦 Precios Proforma'!$B$5:$D$104,IF(D1701="DIA",2,3),FALSE)),0))</f>
        <v/>
      </c>
      <c r="J1701" s="31" t="str">
        <f t="shared" si="183"/>
        <v/>
      </c>
      <c r="K1701" s="31" t="str">
        <f t="shared" si="184"/>
        <v/>
      </c>
      <c r="L1701" s="31" t="str">
        <f>IF(OR(B1701="",C1701=""),"",IFERROR(E1701 / SUMIFS('📅 Resumen Diario'!$D$5:$D$504, '📅 Resumen Diario'!$B$5:$B$504, B1701, '📅 Resumen Diario'!$C$5:$C$504, D1701) * SUMIFS('📅 Resumen Diario'!$K$5:$K$504, '📅 Resumen Diario'!$B$5:$B$504, B1701, '📅 Resumen Diario'!$C$5:$C$504, D1701), 0))</f>
        <v/>
      </c>
      <c r="M1701" s="31" t="str">
        <f t="shared" si="185"/>
        <v/>
      </c>
      <c r="N1701" s="31" t="str">
        <f t="shared" si="186"/>
        <v/>
      </c>
      <c r="O1701" s="31" t="str">
        <f>IF(OR(B1701="",C1701=""),"",K1701-N1701 + IFERROR(E1701 / SUMIFS('📅 Resumen Diario'!$D$5:$D$504, '📅 Resumen Diario'!$B$5:$B$504, B1701, '📅 Resumen Diario'!$C$5:$C$504, D1701) * (SUMIFS('📋 Detalle Diario'!$E$5:$E$489, '📋 Detalle Diario'!$B$5:$B$489, B1701, '📋 Detalle Diario'!$C$5:$C$489, D1701) * 135 + SUMIFS('📋 Detalle Diario'!$I$5:$I$489, '📋 Detalle Diario'!$B$5:$B$489, B1701, '📋 Detalle Diario'!$C$5:$C$489, D1701) * 200), 0))</f>
        <v/>
      </c>
      <c r="P1701" s="32" t="str">
        <f t="shared" si="187"/>
        <v/>
      </c>
      <c r="Q1701" s="33" t="str">
        <f t="shared" si="188"/>
        <v/>
      </c>
    </row>
    <row r="1702" spans="2:17" ht="18" customHeight="1" x14ac:dyDescent="0.3">
      <c r="B1702" s="26"/>
      <c r="C1702" s="17"/>
      <c r="D1702" s="27"/>
      <c r="E1702" s="18"/>
      <c r="F1702" s="18"/>
      <c r="G1702" s="18"/>
      <c r="H1702" s="30" t="str">
        <f t="shared" si="182"/>
        <v/>
      </c>
      <c r="I1702" s="31" t="str">
        <f>IF(OR(B1702="",C1702=""),"",IFERROR(E1702*IF(E1702="",0,VLOOKUP(C1702,'📦 Precios Proforma'!$B$5:$D$104,IF(D1702="DIA",2,3),FALSE)),0))</f>
        <v/>
      </c>
      <c r="J1702" s="31" t="str">
        <f t="shared" si="183"/>
        <v/>
      </c>
      <c r="K1702" s="31" t="str">
        <f t="shared" si="184"/>
        <v/>
      </c>
      <c r="L1702" s="31" t="str">
        <f>IF(OR(B1702="",C1702=""),"",IFERROR(E1702 / SUMIFS('📅 Resumen Diario'!$D$5:$D$504, '📅 Resumen Diario'!$B$5:$B$504, B1702, '📅 Resumen Diario'!$C$5:$C$504, D1702) * SUMIFS('📅 Resumen Diario'!$K$5:$K$504, '📅 Resumen Diario'!$B$5:$B$504, B1702, '📅 Resumen Diario'!$C$5:$C$504, D1702), 0))</f>
        <v/>
      </c>
      <c r="M1702" s="31" t="str">
        <f t="shared" si="185"/>
        <v/>
      </c>
      <c r="N1702" s="31" t="str">
        <f t="shared" si="186"/>
        <v/>
      </c>
      <c r="O1702" s="31" t="str">
        <f>IF(OR(B1702="",C1702=""),"",K1702-N1702 + IFERROR(E1702 / SUMIFS('📅 Resumen Diario'!$D$5:$D$504, '📅 Resumen Diario'!$B$5:$B$504, B1702, '📅 Resumen Diario'!$C$5:$C$504, D1702) * (SUMIFS('📋 Detalle Diario'!$E$5:$E$489, '📋 Detalle Diario'!$B$5:$B$489, B1702, '📋 Detalle Diario'!$C$5:$C$489, D1702) * 135 + SUMIFS('📋 Detalle Diario'!$I$5:$I$489, '📋 Detalle Diario'!$B$5:$B$489, B1702, '📋 Detalle Diario'!$C$5:$C$489, D1702) * 200), 0))</f>
        <v/>
      </c>
      <c r="P1702" s="32" t="str">
        <f t="shared" si="187"/>
        <v/>
      </c>
      <c r="Q1702" s="33" t="str">
        <f t="shared" si="188"/>
        <v/>
      </c>
    </row>
    <row r="1703" spans="2:17" ht="18" customHeight="1" x14ac:dyDescent="0.3">
      <c r="B1703" s="26"/>
      <c r="C1703" s="28"/>
      <c r="D1703" s="27"/>
      <c r="E1703" s="29"/>
      <c r="F1703" s="29"/>
      <c r="G1703" s="29"/>
      <c r="H1703" s="30" t="str">
        <f t="shared" si="182"/>
        <v/>
      </c>
      <c r="I1703" s="31" t="str">
        <f>IF(OR(B1703="",C1703=""),"",IFERROR(E1703*IF(E1703="",0,VLOOKUP(C1703,'📦 Precios Proforma'!$B$5:$D$104,IF(D1703="DIA",2,3),FALSE)),0))</f>
        <v/>
      </c>
      <c r="J1703" s="31" t="str">
        <f t="shared" si="183"/>
        <v/>
      </c>
      <c r="K1703" s="31" t="str">
        <f t="shared" si="184"/>
        <v/>
      </c>
      <c r="L1703" s="31" t="str">
        <f>IF(OR(B1703="",C1703=""),"",IFERROR(E1703 / SUMIFS('📅 Resumen Diario'!$D$5:$D$504, '📅 Resumen Diario'!$B$5:$B$504, B1703, '📅 Resumen Diario'!$C$5:$C$504, D1703) * SUMIFS('📅 Resumen Diario'!$K$5:$K$504, '📅 Resumen Diario'!$B$5:$B$504, B1703, '📅 Resumen Diario'!$C$5:$C$504, D1703), 0))</f>
        <v/>
      </c>
      <c r="M1703" s="31" t="str">
        <f t="shared" si="185"/>
        <v/>
      </c>
      <c r="N1703" s="31" t="str">
        <f t="shared" si="186"/>
        <v/>
      </c>
      <c r="O1703" s="31" t="str">
        <f>IF(OR(B1703="",C1703=""),"",K1703-N1703 + IFERROR(E1703 / SUMIFS('📅 Resumen Diario'!$D$5:$D$504, '📅 Resumen Diario'!$B$5:$B$504, B1703, '📅 Resumen Diario'!$C$5:$C$504, D1703) * (SUMIFS('📋 Detalle Diario'!$E$5:$E$489, '📋 Detalle Diario'!$B$5:$B$489, B1703, '📋 Detalle Diario'!$C$5:$C$489, D1703) * 135 + SUMIFS('📋 Detalle Diario'!$I$5:$I$489, '📋 Detalle Diario'!$B$5:$B$489, B1703, '📋 Detalle Diario'!$C$5:$C$489, D1703) * 200), 0))</f>
        <v/>
      </c>
      <c r="P1703" s="32" t="str">
        <f t="shared" si="187"/>
        <v/>
      </c>
      <c r="Q1703" s="33" t="str">
        <f t="shared" si="188"/>
        <v/>
      </c>
    </row>
    <row r="1704" spans="2:17" ht="18" customHeight="1" x14ac:dyDescent="0.3">
      <c r="B1704" s="26"/>
      <c r="C1704" s="17"/>
      <c r="D1704" s="27"/>
      <c r="E1704" s="18"/>
      <c r="F1704" s="18"/>
      <c r="G1704" s="18"/>
      <c r="H1704" s="30" t="str">
        <f t="shared" si="182"/>
        <v/>
      </c>
      <c r="I1704" s="31" t="str">
        <f>IF(OR(B1704="",C1704=""),"",IFERROR(E1704*IF(E1704="",0,VLOOKUP(C1704,'📦 Precios Proforma'!$B$5:$D$104,IF(D1704="DIA",2,3),FALSE)),0))</f>
        <v/>
      </c>
      <c r="J1704" s="31" t="str">
        <f t="shared" si="183"/>
        <v/>
      </c>
      <c r="K1704" s="31" t="str">
        <f t="shared" si="184"/>
        <v/>
      </c>
      <c r="L1704" s="31" t="str">
        <f>IF(OR(B1704="",C1704=""),"",IFERROR(E1704 / SUMIFS('📅 Resumen Diario'!$D$5:$D$504, '📅 Resumen Diario'!$B$5:$B$504, B1704, '📅 Resumen Diario'!$C$5:$C$504, D1704) * SUMIFS('📅 Resumen Diario'!$K$5:$K$504, '📅 Resumen Diario'!$B$5:$B$504, B1704, '📅 Resumen Diario'!$C$5:$C$504, D1704), 0))</f>
        <v/>
      </c>
      <c r="M1704" s="31" t="str">
        <f t="shared" si="185"/>
        <v/>
      </c>
      <c r="N1704" s="31" t="str">
        <f t="shared" si="186"/>
        <v/>
      </c>
      <c r="O1704" s="31" t="str">
        <f>IF(OR(B1704="",C1704=""),"",K1704-N1704 + IFERROR(E1704 / SUMIFS('📅 Resumen Diario'!$D$5:$D$504, '📅 Resumen Diario'!$B$5:$B$504, B1704, '📅 Resumen Diario'!$C$5:$C$504, D1704) * (SUMIFS('📋 Detalle Diario'!$E$5:$E$489, '📋 Detalle Diario'!$B$5:$B$489, B1704, '📋 Detalle Diario'!$C$5:$C$489, D1704) * 135 + SUMIFS('📋 Detalle Diario'!$I$5:$I$489, '📋 Detalle Diario'!$B$5:$B$489, B1704, '📋 Detalle Diario'!$C$5:$C$489, D1704) * 200), 0))</f>
        <v/>
      </c>
      <c r="P1704" s="32" t="str">
        <f t="shared" si="187"/>
        <v/>
      </c>
      <c r="Q1704" s="33" t="str">
        <f t="shared" si="188"/>
        <v/>
      </c>
    </row>
    <row r="1705" spans="2:17" ht="18" customHeight="1" x14ac:dyDescent="0.3">
      <c r="B1705" s="26"/>
      <c r="C1705" s="28"/>
      <c r="D1705" s="27"/>
      <c r="E1705" s="29"/>
      <c r="F1705" s="29"/>
      <c r="G1705" s="29"/>
      <c r="H1705" s="30" t="str">
        <f t="shared" si="182"/>
        <v/>
      </c>
      <c r="I1705" s="31" t="str">
        <f>IF(OR(B1705="",C1705=""),"",IFERROR(E1705*IF(E1705="",0,VLOOKUP(C1705,'📦 Precios Proforma'!$B$5:$D$104,IF(D1705="DIA",2,3),FALSE)),0))</f>
        <v/>
      </c>
      <c r="J1705" s="31" t="str">
        <f t="shared" si="183"/>
        <v/>
      </c>
      <c r="K1705" s="31" t="str">
        <f t="shared" si="184"/>
        <v/>
      </c>
      <c r="L1705" s="31" t="str">
        <f>IF(OR(B1705="",C1705=""),"",IFERROR(E1705 / SUMIFS('📅 Resumen Diario'!$D$5:$D$504, '📅 Resumen Diario'!$B$5:$B$504, B1705, '📅 Resumen Diario'!$C$5:$C$504, D1705) * SUMIFS('📅 Resumen Diario'!$K$5:$K$504, '📅 Resumen Diario'!$B$5:$B$504, B1705, '📅 Resumen Diario'!$C$5:$C$504, D1705), 0))</f>
        <v/>
      </c>
      <c r="M1705" s="31" t="str">
        <f t="shared" si="185"/>
        <v/>
      </c>
      <c r="N1705" s="31" t="str">
        <f t="shared" si="186"/>
        <v/>
      </c>
      <c r="O1705" s="31" t="str">
        <f>IF(OR(B1705="",C1705=""),"",K1705-N1705 + IFERROR(E1705 / SUMIFS('📅 Resumen Diario'!$D$5:$D$504, '📅 Resumen Diario'!$B$5:$B$504, B1705, '📅 Resumen Diario'!$C$5:$C$504, D1705) * (SUMIFS('📋 Detalle Diario'!$E$5:$E$489, '📋 Detalle Diario'!$B$5:$B$489, B1705, '📋 Detalle Diario'!$C$5:$C$489, D1705) * 135 + SUMIFS('📋 Detalle Diario'!$I$5:$I$489, '📋 Detalle Diario'!$B$5:$B$489, B1705, '📋 Detalle Diario'!$C$5:$C$489, D1705) * 200), 0))</f>
        <v/>
      </c>
      <c r="P1705" s="32" t="str">
        <f t="shared" si="187"/>
        <v/>
      </c>
      <c r="Q1705" s="33" t="str">
        <f t="shared" si="188"/>
        <v/>
      </c>
    </row>
    <row r="1706" spans="2:17" ht="18" customHeight="1" x14ac:dyDescent="0.3">
      <c r="B1706" s="26"/>
      <c r="C1706" s="17"/>
      <c r="D1706" s="27"/>
      <c r="E1706" s="18"/>
      <c r="F1706" s="18"/>
      <c r="G1706" s="18"/>
      <c r="H1706" s="30" t="str">
        <f t="shared" si="182"/>
        <v/>
      </c>
      <c r="I1706" s="31" t="str">
        <f>IF(OR(B1706="",C1706=""),"",IFERROR(E1706*IF(E1706="",0,VLOOKUP(C1706,'📦 Precios Proforma'!$B$5:$D$104,IF(D1706="DIA",2,3),FALSE)),0))</f>
        <v/>
      </c>
      <c r="J1706" s="31" t="str">
        <f t="shared" si="183"/>
        <v/>
      </c>
      <c r="K1706" s="31" t="str">
        <f t="shared" si="184"/>
        <v/>
      </c>
      <c r="L1706" s="31" t="str">
        <f>IF(OR(B1706="",C1706=""),"",IFERROR(E1706 / SUMIFS('📅 Resumen Diario'!$D$5:$D$504, '📅 Resumen Diario'!$B$5:$B$504, B1706, '📅 Resumen Diario'!$C$5:$C$504, D1706) * SUMIFS('📅 Resumen Diario'!$K$5:$K$504, '📅 Resumen Diario'!$B$5:$B$504, B1706, '📅 Resumen Diario'!$C$5:$C$504, D1706), 0))</f>
        <v/>
      </c>
      <c r="M1706" s="31" t="str">
        <f t="shared" si="185"/>
        <v/>
      </c>
      <c r="N1706" s="31" t="str">
        <f t="shared" si="186"/>
        <v/>
      </c>
      <c r="O1706" s="31" t="str">
        <f>IF(OR(B1706="",C1706=""),"",K1706-N1706 + IFERROR(E1706 / SUMIFS('📅 Resumen Diario'!$D$5:$D$504, '📅 Resumen Diario'!$B$5:$B$504, B1706, '📅 Resumen Diario'!$C$5:$C$504, D1706) * (SUMIFS('📋 Detalle Diario'!$E$5:$E$489, '📋 Detalle Diario'!$B$5:$B$489, B1706, '📋 Detalle Diario'!$C$5:$C$489, D1706) * 135 + SUMIFS('📋 Detalle Diario'!$I$5:$I$489, '📋 Detalle Diario'!$B$5:$B$489, B1706, '📋 Detalle Diario'!$C$5:$C$489, D1706) * 200), 0))</f>
        <v/>
      </c>
      <c r="P1706" s="32" t="str">
        <f t="shared" si="187"/>
        <v/>
      </c>
      <c r="Q1706" s="33" t="str">
        <f t="shared" si="188"/>
        <v/>
      </c>
    </row>
    <row r="1707" spans="2:17" ht="18" customHeight="1" x14ac:dyDescent="0.3">
      <c r="B1707" s="26"/>
      <c r="C1707" s="28"/>
      <c r="D1707" s="27"/>
      <c r="E1707" s="29"/>
      <c r="F1707" s="29"/>
      <c r="G1707" s="29"/>
      <c r="H1707" s="30" t="str">
        <f t="shared" si="182"/>
        <v/>
      </c>
      <c r="I1707" s="31" t="str">
        <f>IF(OR(B1707="",C1707=""),"",IFERROR(E1707*IF(E1707="",0,VLOOKUP(C1707,'📦 Precios Proforma'!$B$5:$D$104,IF(D1707="DIA",2,3),FALSE)),0))</f>
        <v/>
      </c>
      <c r="J1707" s="31" t="str">
        <f t="shared" si="183"/>
        <v/>
      </c>
      <c r="K1707" s="31" t="str">
        <f t="shared" si="184"/>
        <v/>
      </c>
      <c r="L1707" s="31" t="str">
        <f>IF(OR(B1707="",C1707=""),"",IFERROR(E1707 / SUMIFS('📅 Resumen Diario'!$D$5:$D$504, '📅 Resumen Diario'!$B$5:$B$504, B1707, '📅 Resumen Diario'!$C$5:$C$504, D1707) * SUMIFS('📅 Resumen Diario'!$K$5:$K$504, '📅 Resumen Diario'!$B$5:$B$504, B1707, '📅 Resumen Diario'!$C$5:$C$504, D1707), 0))</f>
        <v/>
      </c>
      <c r="M1707" s="31" t="str">
        <f t="shared" si="185"/>
        <v/>
      </c>
      <c r="N1707" s="31" t="str">
        <f t="shared" si="186"/>
        <v/>
      </c>
      <c r="O1707" s="31" t="str">
        <f>IF(OR(B1707="",C1707=""),"",K1707-N1707 + IFERROR(E1707 / SUMIFS('📅 Resumen Diario'!$D$5:$D$504, '📅 Resumen Diario'!$B$5:$B$504, B1707, '📅 Resumen Diario'!$C$5:$C$504, D1707) * (SUMIFS('📋 Detalle Diario'!$E$5:$E$489, '📋 Detalle Diario'!$B$5:$B$489, B1707, '📋 Detalle Diario'!$C$5:$C$489, D1707) * 135 + SUMIFS('📋 Detalle Diario'!$I$5:$I$489, '📋 Detalle Diario'!$B$5:$B$489, B1707, '📋 Detalle Diario'!$C$5:$C$489, D1707) * 200), 0))</f>
        <v/>
      </c>
      <c r="P1707" s="32" t="str">
        <f t="shared" si="187"/>
        <v/>
      </c>
      <c r="Q1707" s="33" t="str">
        <f t="shared" si="188"/>
        <v/>
      </c>
    </row>
    <row r="1708" spans="2:17" ht="18" customHeight="1" x14ac:dyDescent="0.3">
      <c r="B1708" s="26"/>
      <c r="C1708" s="17"/>
      <c r="D1708" s="27"/>
      <c r="E1708" s="18"/>
      <c r="F1708" s="18"/>
      <c r="G1708" s="18"/>
      <c r="H1708" s="30" t="str">
        <f t="shared" si="182"/>
        <v/>
      </c>
      <c r="I1708" s="31" t="str">
        <f>IF(OR(B1708="",C1708=""),"",IFERROR(E1708*IF(E1708="",0,VLOOKUP(C1708,'📦 Precios Proforma'!$B$5:$D$104,IF(D1708="DIA",2,3),FALSE)),0))</f>
        <v/>
      </c>
      <c r="J1708" s="31" t="str">
        <f t="shared" si="183"/>
        <v/>
      </c>
      <c r="K1708" s="31" t="str">
        <f t="shared" si="184"/>
        <v/>
      </c>
      <c r="L1708" s="31" t="str">
        <f>IF(OR(B1708="",C1708=""),"",IFERROR(E1708 / SUMIFS('📅 Resumen Diario'!$D$5:$D$504, '📅 Resumen Diario'!$B$5:$B$504, B1708, '📅 Resumen Diario'!$C$5:$C$504, D1708) * SUMIFS('📅 Resumen Diario'!$K$5:$K$504, '📅 Resumen Diario'!$B$5:$B$504, B1708, '📅 Resumen Diario'!$C$5:$C$504, D1708), 0))</f>
        <v/>
      </c>
      <c r="M1708" s="31" t="str">
        <f t="shared" si="185"/>
        <v/>
      </c>
      <c r="N1708" s="31" t="str">
        <f t="shared" si="186"/>
        <v/>
      </c>
      <c r="O1708" s="31" t="str">
        <f>IF(OR(B1708="",C1708=""),"",K1708-N1708 + IFERROR(E1708 / SUMIFS('📅 Resumen Diario'!$D$5:$D$504, '📅 Resumen Diario'!$B$5:$B$504, B1708, '📅 Resumen Diario'!$C$5:$C$504, D1708) * (SUMIFS('📋 Detalle Diario'!$E$5:$E$489, '📋 Detalle Diario'!$B$5:$B$489, B1708, '📋 Detalle Diario'!$C$5:$C$489, D1708) * 135 + SUMIFS('📋 Detalle Diario'!$I$5:$I$489, '📋 Detalle Diario'!$B$5:$B$489, B1708, '📋 Detalle Diario'!$C$5:$C$489, D1708) * 200), 0))</f>
        <v/>
      </c>
      <c r="P1708" s="32" t="str">
        <f t="shared" si="187"/>
        <v/>
      </c>
      <c r="Q1708" s="33" t="str">
        <f t="shared" si="188"/>
        <v/>
      </c>
    </row>
    <row r="1709" spans="2:17" ht="18" customHeight="1" x14ac:dyDescent="0.3">
      <c r="B1709" s="26"/>
      <c r="C1709" s="28"/>
      <c r="D1709" s="27"/>
      <c r="E1709" s="29"/>
      <c r="F1709" s="29"/>
      <c r="G1709" s="29"/>
      <c r="H1709" s="30" t="str">
        <f t="shared" si="182"/>
        <v/>
      </c>
      <c r="I1709" s="31" t="str">
        <f>IF(OR(B1709="",C1709=""),"",IFERROR(E1709*IF(E1709="",0,VLOOKUP(C1709,'📦 Precios Proforma'!$B$5:$D$104,IF(D1709="DIA",2,3),FALSE)),0))</f>
        <v/>
      </c>
      <c r="J1709" s="31" t="str">
        <f t="shared" si="183"/>
        <v/>
      </c>
      <c r="K1709" s="31" t="str">
        <f t="shared" si="184"/>
        <v/>
      </c>
      <c r="L1709" s="31" t="str">
        <f>IF(OR(B1709="",C1709=""),"",IFERROR(E1709 / SUMIFS('📅 Resumen Diario'!$D$5:$D$504, '📅 Resumen Diario'!$B$5:$B$504, B1709, '📅 Resumen Diario'!$C$5:$C$504, D1709) * SUMIFS('📅 Resumen Diario'!$K$5:$K$504, '📅 Resumen Diario'!$B$5:$B$504, B1709, '📅 Resumen Diario'!$C$5:$C$504, D1709), 0))</f>
        <v/>
      </c>
      <c r="M1709" s="31" t="str">
        <f t="shared" si="185"/>
        <v/>
      </c>
      <c r="N1709" s="31" t="str">
        <f t="shared" si="186"/>
        <v/>
      </c>
      <c r="O1709" s="31" t="str">
        <f>IF(OR(B1709="",C1709=""),"",K1709-N1709 + IFERROR(E1709 / SUMIFS('📅 Resumen Diario'!$D$5:$D$504, '📅 Resumen Diario'!$B$5:$B$504, B1709, '📅 Resumen Diario'!$C$5:$C$504, D1709) * (SUMIFS('📋 Detalle Diario'!$E$5:$E$489, '📋 Detalle Diario'!$B$5:$B$489, B1709, '📋 Detalle Diario'!$C$5:$C$489, D1709) * 135 + SUMIFS('📋 Detalle Diario'!$I$5:$I$489, '📋 Detalle Diario'!$B$5:$B$489, B1709, '📋 Detalle Diario'!$C$5:$C$489, D1709) * 200), 0))</f>
        <v/>
      </c>
      <c r="P1709" s="32" t="str">
        <f t="shared" si="187"/>
        <v/>
      </c>
      <c r="Q1709" s="33" t="str">
        <f t="shared" si="188"/>
        <v/>
      </c>
    </row>
    <row r="1710" spans="2:17" ht="18" customHeight="1" x14ac:dyDescent="0.3">
      <c r="B1710" s="26"/>
      <c r="C1710" s="17"/>
      <c r="D1710" s="27"/>
      <c r="E1710" s="18"/>
      <c r="F1710" s="18"/>
      <c r="G1710" s="18"/>
      <c r="H1710" s="30" t="str">
        <f t="shared" si="182"/>
        <v/>
      </c>
      <c r="I1710" s="31" t="str">
        <f>IF(OR(B1710="",C1710=""),"",IFERROR(E1710*IF(E1710="",0,VLOOKUP(C1710,'📦 Precios Proforma'!$B$5:$D$104,IF(D1710="DIA",2,3),FALSE)),0))</f>
        <v/>
      </c>
      <c r="J1710" s="31" t="str">
        <f t="shared" si="183"/>
        <v/>
      </c>
      <c r="K1710" s="31" t="str">
        <f t="shared" si="184"/>
        <v/>
      </c>
      <c r="L1710" s="31" t="str">
        <f>IF(OR(B1710="",C1710=""),"",IFERROR(E1710 / SUMIFS('📅 Resumen Diario'!$D$5:$D$504, '📅 Resumen Diario'!$B$5:$B$504, B1710, '📅 Resumen Diario'!$C$5:$C$504, D1710) * SUMIFS('📅 Resumen Diario'!$K$5:$K$504, '📅 Resumen Diario'!$B$5:$B$504, B1710, '📅 Resumen Diario'!$C$5:$C$504, D1710), 0))</f>
        <v/>
      </c>
      <c r="M1710" s="31" t="str">
        <f t="shared" si="185"/>
        <v/>
      </c>
      <c r="N1710" s="31" t="str">
        <f t="shared" si="186"/>
        <v/>
      </c>
      <c r="O1710" s="31" t="str">
        <f>IF(OR(B1710="",C1710=""),"",K1710-N1710 + IFERROR(E1710 / SUMIFS('📅 Resumen Diario'!$D$5:$D$504, '📅 Resumen Diario'!$B$5:$B$504, B1710, '📅 Resumen Diario'!$C$5:$C$504, D1710) * (SUMIFS('📋 Detalle Diario'!$E$5:$E$489, '📋 Detalle Diario'!$B$5:$B$489, B1710, '📋 Detalle Diario'!$C$5:$C$489, D1710) * 135 + SUMIFS('📋 Detalle Diario'!$I$5:$I$489, '📋 Detalle Diario'!$B$5:$B$489, B1710, '📋 Detalle Diario'!$C$5:$C$489, D1710) * 200), 0))</f>
        <v/>
      </c>
      <c r="P1710" s="32" t="str">
        <f t="shared" si="187"/>
        <v/>
      </c>
      <c r="Q1710" s="33" t="str">
        <f t="shared" si="188"/>
        <v/>
      </c>
    </row>
    <row r="1711" spans="2:17" ht="18" customHeight="1" x14ac:dyDescent="0.3">
      <c r="B1711" s="26"/>
      <c r="C1711" s="28"/>
      <c r="D1711" s="27"/>
      <c r="E1711" s="29"/>
      <c r="F1711" s="29"/>
      <c r="G1711" s="29"/>
      <c r="H1711" s="30" t="str">
        <f t="shared" si="182"/>
        <v/>
      </c>
      <c r="I1711" s="31" t="str">
        <f>IF(OR(B1711="",C1711=""),"",IFERROR(E1711*IF(E1711="",0,VLOOKUP(C1711,'📦 Precios Proforma'!$B$5:$D$104,IF(D1711="DIA",2,3),FALSE)),0))</f>
        <v/>
      </c>
      <c r="J1711" s="31" t="str">
        <f t="shared" si="183"/>
        <v/>
      </c>
      <c r="K1711" s="31" t="str">
        <f t="shared" si="184"/>
        <v/>
      </c>
      <c r="L1711" s="31" t="str">
        <f>IF(OR(B1711="",C1711=""),"",IFERROR(E1711 / SUMIFS('📅 Resumen Diario'!$D$5:$D$504, '📅 Resumen Diario'!$B$5:$B$504, B1711, '📅 Resumen Diario'!$C$5:$C$504, D1711) * SUMIFS('📅 Resumen Diario'!$K$5:$K$504, '📅 Resumen Diario'!$B$5:$B$504, B1711, '📅 Resumen Diario'!$C$5:$C$504, D1711), 0))</f>
        <v/>
      </c>
      <c r="M1711" s="31" t="str">
        <f t="shared" si="185"/>
        <v/>
      </c>
      <c r="N1711" s="31" t="str">
        <f t="shared" si="186"/>
        <v/>
      </c>
      <c r="O1711" s="31" t="str">
        <f>IF(OR(B1711="",C1711=""),"",K1711-N1711 + IFERROR(E1711 / SUMIFS('📅 Resumen Diario'!$D$5:$D$504, '📅 Resumen Diario'!$B$5:$B$504, B1711, '📅 Resumen Diario'!$C$5:$C$504, D1711) * (SUMIFS('📋 Detalle Diario'!$E$5:$E$489, '📋 Detalle Diario'!$B$5:$B$489, B1711, '📋 Detalle Diario'!$C$5:$C$489, D1711) * 135 + SUMIFS('📋 Detalle Diario'!$I$5:$I$489, '📋 Detalle Diario'!$B$5:$B$489, B1711, '📋 Detalle Diario'!$C$5:$C$489, D1711) * 200), 0))</f>
        <v/>
      </c>
      <c r="P1711" s="32" t="str">
        <f t="shared" si="187"/>
        <v/>
      </c>
      <c r="Q1711" s="33" t="str">
        <f t="shared" si="188"/>
        <v/>
      </c>
    </row>
    <row r="1712" spans="2:17" ht="18" customHeight="1" x14ac:dyDescent="0.3">
      <c r="B1712" s="26"/>
      <c r="C1712" s="17"/>
      <c r="D1712" s="27"/>
      <c r="E1712" s="18"/>
      <c r="F1712" s="18"/>
      <c r="G1712" s="18"/>
      <c r="H1712" s="30" t="str">
        <f t="shared" si="182"/>
        <v/>
      </c>
      <c r="I1712" s="31" t="str">
        <f>IF(OR(B1712="",C1712=""),"",IFERROR(E1712*IF(E1712="",0,VLOOKUP(C1712,'📦 Precios Proforma'!$B$5:$D$104,IF(D1712="DIA",2,3),FALSE)),0))</f>
        <v/>
      </c>
      <c r="J1712" s="31" t="str">
        <f t="shared" si="183"/>
        <v/>
      </c>
      <c r="K1712" s="31" t="str">
        <f t="shared" si="184"/>
        <v/>
      </c>
      <c r="L1712" s="31" t="str">
        <f>IF(OR(B1712="",C1712=""),"",IFERROR(E1712 / SUMIFS('📅 Resumen Diario'!$D$5:$D$504, '📅 Resumen Diario'!$B$5:$B$504, B1712, '📅 Resumen Diario'!$C$5:$C$504, D1712) * SUMIFS('📅 Resumen Diario'!$K$5:$K$504, '📅 Resumen Diario'!$B$5:$B$504, B1712, '📅 Resumen Diario'!$C$5:$C$504, D1712), 0))</f>
        <v/>
      </c>
      <c r="M1712" s="31" t="str">
        <f t="shared" si="185"/>
        <v/>
      </c>
      <c r="N1712" s="31" t="str">
        <f t="shared" si="186"/>
        <v/>
      </c>
      <c r="O1712" s="31" t="str">
        <f>IF(OR(B1712="",C1712=""),"",K1712-N1712 + IFERROR(E1712 / SUMIFS('📅 Resumen Diario'!$D$5:$D$504, '📅 Resumen Diario'!$B$5:$B$504, B1712, '📅 Resumen Diario'!$C$5:$C$504, D1712) * (SUMIFS('📋 Detalle Diario'!$E$5:$E$489, '📋 Detalle Diario'!$B$5:$B$489, B1712, '📋 Detalle Diario'!$C$5:$C$489, D1712) * 135 + SUMIFS('📋 Detalle Diario'!$I$5:$I$489, '📋 Detalle Diario'!$B$5:$B$489, B1712, '📋 Detalle Diario'!$C$5:$C$489, D1712) * 200), 0))</f>
        <v/>
      </c>
      <c r="P1712" s="32" t="str">
        <f t="shared" si="187"/>
        <v/>
      </c>
      <c r="Q1712" s="33" t="str">
        <f t="shared" si="188"/>
        <v/>
      </c>
    </row>
    <row r="1713" spans="2:17" ht="18" customHeight="1" x14ac:dyDescent="0.3">
      <c r="B1713" s="26"/>
      <c r="C1713" s="28"/>
      <c r="D1713" s="27"/>
      <c r="E1713" s="29"/>
      <c r="F1713" s="29"/>
      <c r="G1713" s="29"/>
      <c r="H1713" s="30" t="str">
        <f t="shared" si="182"/>
        <v/>
      </c>
      <c r="I1713" s="31" t="str">
        <f>IF(OR(B1713="",C1713=""),"",IFERROR(E1713*IF(E1713="",0,VLOOKUP(C1713,'📦 Precios Proforma'!$B$5:$D$104,IF(D1713="DIA",2,3),FALSE)),0))</f>
        <v/>
      </c>
      <c r="J1713" s="31" t="str">
        <f t="shared" si="183"/>
        <v/>
      </c>
      <c r="K1713" s="31" t="str">
        <f t="shared" si="184"/>
        <v/>
      </c>
      <c r="L1713" s="31" t="str">
        <f>IF(OR(B1713="",C1713=""),"",IFERROR(E1713 / SUMIFS('📅 Resumen Diario'!$D$5:$D$504, '📅 Resumen Diario'!$B$5:$B$504, B1713, '📅 Resumen Diario'!$C$5:$C$504, D1713) * SUMIFS('📅 Resumen Diario'!$K$5:$K$504, '📅 Resumen Diario'!$B$5:$B$504, B1713, '📅 Resumen Diario'!$C$5:$C$504, D1713), 0))</f>
        <v/>
      </c>
      <c r="M1713" s="31" t="str">
        <f t="shared" si="185"/>
        <v/>
      </c>
      <c r="N1713" s="31" t="str">
        <f t="shared" si="186"/>
        <v/>
      </c>
      <c r="O1713" s="31" t="str">
        <f>IF(OR(B1713="",C1713=""),"",K1713-N1713 + IFERROR(E1713 / SUMIFS('📅 Resumen Diario'!$D$5:$D$504, '📅 Resumen Diario'!$B$5:$B$504, B1713, '📅 Resumen Diario'!$C$5:$C$504, D1713) * (SUMIFS('📋 Detalle Diario'!$E$5:$E$489, '📋 Detalle Diario'!$B$5:$B$489, B1713, '📋 Detalle Diario'!$C$5:$C$489, D1713) * 135 + SUMIFS('📋 Detalle Diario'!$I$5:$I$489, '📋 Detalle Diario'!$B$5:$B$489, B1713, '📋 Detalle Diario'!$C$5:$C$489, D1713) * 200), 0))</f>
        <v/>
      </c>
      <c r="P1713" s="32" t="str">
        <f t="shared" si="187"/>
        <v/>
      </c>
      <c r="Q1713" s="33" t="str">
        <f t="shared" si="188"/>
        <v/>
      </c>
    </row>
    <row r="1714" spans="2:17" ht="18" customHeight="1" x14ac:dyDescent="0.3">
      <c r="B1714" s="26"/>
      <c r="C1714" s="17"/>
      <c r="D1714" s="27"/>
      <c r="E1714" s="18"/>
      <c r="F1714" s="18"/>
      <c r="G1714" s="18"/>
      <c r="H1714" s="30" t="str">
        <f t="shared" si="182"/>
        <v/>
      </c>
      <c r="I1714" s="31" t="str">
        <f>IF(OR(B1714="",C1714=""),"",IFERROR(E1714*IF(E1714="",0,VLOOKUP(C1714,'📦 Precios Proforma'!$B$5:$D$104,IF(D1714="DIA",2,3),FALSE)),0))</f>
        <v/>
      </c>
      <c r="J1714" s="31" t="str">
        <f t="shared" si="183"/>
        <v/>
      </c>
      <c r="K1714" s="31" t="str">
        <f t="shared" si="184"/>
        <v/>
      </c>
      <c r="L1714" s="31" t="str">
        <f>IF(OR(B1714="",C1714=""),"",IFERROR(E1714 / SUMIFS('📅 Resumen Diario'!$D$5:$D$504, '📅 Resumen Diario'!$B$5:$B$504, B1714, '📅 Resumen Diario'!$C$5:$C$504, D1714) * SUMIFS('📅 Resumen Diario'!$K$5:$K$504, '📅 Resumen Diario'!$B$5:$B$504, B1714, '📅 Resumen Diario'!$C$5:$C$504, D1714), 0))</f>
        <v/>
      </c>
      <c r="M1714" s="31" t="str">
        <f t="shared" si="185"/>
        <v/>
      </c>
      <c r="N1714" s="31" t="str">
        <f t="shared" si="186"/>
        <v/>
      </c>
      <c r="O1714" s="31" t="str">
        <f>IF(OR(B1714="",C1714=""),"",K1714-N1714 + IFERROR(E1714 / SUMIFS('📅 Resumen Diario'!$D$5:$D$504, '📅 Resumen Diario'!$B$5:$B$504, B1714, '📅 Resumen Diario'!$C$5:$C$504, D1714) * (SUMIFS('📋 Detalle Diario'!$E$5:$E$489, '📋 Detalle Diario'!$B$5:$B$489, B1714, '📋 Detalle Diario'!$C$5:$C$489, D1714) * 135 + SUMIFS('📋 Detalle Diario'!$I$5:$I$489, '📋 Detalle Diario'!$B$5:$B$489, B1714, '📋 Detalle Diario'!$C$5:$C$489, D1714) * 200), 0))</f>
        <v/>
      </c>
      <c r="P1714" s="32" t="str">
        <f t="shared" si="187"/>
        <v/>
      </c>
      <c r="Q1714" s="33" t="str">
        <f t="shared" si="188"/>
        <v/>
      </c>
    </row>
    <row r="1715" spans="2:17" ht="18" customHeight="1" x14ac:dyDescent="0.3">
      <c r="B1715" s="26"/>
      <c r="C1715" s="28"/>
      <c r="D1715" s="27"/>
      <c r="E1715" s="29"/>
      <c r="F1715" s="29"/>
      <c r="G1715" s="29"/>
      <c r="H1715" s="30" t="str">
        <f t="shared" si="182"/>
        <v/>
      </c>
      <c r="I1715" s="31" t="str">
        <f>IF(OR(B1715="",C1715=""),"",IFERROR(E1715*IF(E1715="",0,VLOOKUP(C1715,'📦 Precios Proforma'!$B$5:$D$104,IF(D1715="DIA",2,3),FALSE)),0))</f>
        <v/>
      </c>
      <c r="J1715" s="31" t="str">
        <f t="shared" si="183"/>
        <v/>
      </c>
      <c r="K1715" s="31" t="str">
        <f t="shared" si="184"/>
        <v/>
      </c>
      <c r="L1715" s="31" t="str">
        <f>IF(OR(B1715="",C1715=""),"",IFERROR(E1715 / SUMIFS('📅 Resumen Diario'!$D$5:$D$504, '📅 Resumen Diario'!$B$5:$B$504, B1715, '📅 Resumen Diario'!$C$5:$C$504, D1715) * SUMIFS('📅 Resumen Diario'!$K$5:$K$504, '📅 Resumen Diario'!$B$5:$B$504, B1715, '📅 Resumen Diario'!$C$5:$C$504, D1715), 0))</f>
        <v/>
      </c>
      <c r="M1715" s="31" t="str">
        <f t="shared" si="185"/>
        <v/>
      </c>
      <c r="N1715" s="31" t="str">
        <f t="shared" si="186"/>
        <v/>
      </c>
      <c r="O1715" s="31" t="str">
        <f>IF(OR(B1715="",C1715=""),"",K1715-N1715 + IFERROR(E1715 / SUMIFS('📅 Resumen Diario'!$D$5:$D$504, '📅 Resumen Diario'!$B$5:$B$504, B1715, '📅 Resumen Diario'!$C$5:$C$504, D1715) * (SUMIFS('📋 Detalle Diario'!$E$5:$E$489, '📋 Detalle Diario'!$B$5:$B$489, B1715, '📋 Detalle Diario'!$C$5:$C$489, D1715) * 135 + SUMIFS('📋 Detalle Diario'!$I$5:$I$489, '📋 Detalle Diario'!$B$5:$B$489, B1715, '📋 Detalle Diario'!$C$5:$C$489, D1715) * 200), 0))</f>
        <v/>
      </c>
      <c r="P1715" s="32" t="str">
        <f t="shared" si="187"/>
        <v/>
      </c>
      <c r="Q1715" s="33" t="str">
        <f t="shared" si="188"/>
        <v/>
      </c>
    </row>
    <row r="1716" spans="2:17" ht="18" customHeight="1" x14ac:dyDescent="0.3">
      <c r="B1716" s="26"/>
      <c r="C1716" s="17"/>
      <c r="D1716" s="27"/>
      <c r="E1716" s="18"/>
      <c r="F1716" s="18"/>
      <c r="G1716" s="18"/>
      <c r="H1716" s="30" t="str">
        <f t="shared" si="182"/>
        <v/>
      </c>
      <c r="I1716" s="31" t="str">
        <f>IF(OR(B1716="",C1716=""),"",IFERROR(E1716*IF(E1716="",0,VLOOKUP(C1716,'📦 Precios Proforma'!$B$5:$D$104,IF(D1716="DIA",2,3),FALSE)),0))</f>
        <v/>
      </c>
      <c r="J1716" s="31" t="str">
        <f t="shared" si="183"/>
        <v/>
      </c>
      <c r="K1716" s="31" t="str">
        <f t="shared" si="184"/>
        <v/>
      </c>
      <c r="L1716" s="31" t="str">
        <f>IF(OR(B1716="",C1716=""),"",IFERROR(E1716 / SUMIFS('📅 Resumen Diario'!$D$5:$D$504, '📅 Resumen Diario'!$B$5:$B$504, B1716, '📅 Resumen Diario'!$C$5:$C$504, D1716) * SUMIFS('📅 Resumen Diario'!$K$5:$K$504, '📅 Resumen Diario'!$B$5:$B$504, B1716, '📅 Resumen Diario'!$C$5:$C$504, D1716), 0))</f>
        <v/>
      </c>
      <c r="M1716" s="31" t="str">
        <f t="shared" si="185"/>
        <v/>
      </c>
      <c r="N1716" s="31" t="str">
        <f t="shared" si="186"/>
        <v/>
      </c>
      <c r="O1716" s="31" t="str">
        <f>IF(OR(B1716="",C1716=""),"",K1716-N1716 + IFERROR(E1716 / SUMIFS('📅 Resumen Diario'!$D$5:$D$504, '📅 Resumen Diario'!$B$5:$B$504, B1716, '📅 Resumen Diario'!$C$5:$C$504, D1716) * (SUMIFS('📋 Detalle Diario'!$E$5:$E$489, '📋 Detalle Diario'!$B$5:$B$489, B1716, '📋 Detalle Diario'!$C$5:$C$489, D1716) * 135 + SUMIFS('📋 Detalle Diario'!$I$5:$I$489, '📋 Detalle Diario'!$B$5:$B$489, B1716, '📋 Detalle Diario'!$C$5:$C$489, D1716) * 200), 0))</f>
        <v/>
      </c>
      <c r="P1716" s="32" t="str">
        <f t="shared" si="187"/>
        <v/>
      </c>
      <c r="Q1716" s="33" t="str">
        <f t="shared" si="188"/>
        <v/>
      </c>
    </row>
    <row r="1717" spans="2:17" ht="18" customHeight="1" x14ac:dyDescent="0.3">
      <c r="B1717" s="26"/>
      <c r="C1717" s="28"/>
      <c r="D1717" s="27"/>
      <c r="E1717" s="29"/>
      <c r="F1717" s="29"/>
      <c r="G1717" s="29"/>
      <c r="H1717" s="30" t="str">
        <f t="shared" si="182"/>
        <v/>
      </c>
      <c r="I1717" s="31" t="str">
        <f>IF(OR(B1717="",C1717=""),"",IFERROR(E1717*IF(E1717="",0,VLOOKUP(C1717,'📦 Precios Proforma'!$B$5:$D$104,IF(D1717="DIA",2,3),FALSE)),0))</f>
        <v/>
      </c>
      <c r="J1717" s="31" t="str">
        <f t="shared" si="183"/>
        <v/>
      </c>
      <c r="K1717" s="31" t="str">
        <f t="shared" si="184"/>
        <v/>
      </c>
      <c r="L1717" s="31" t="str">
        <f>IF(OR(B1717="",C1717=""),"",IFERROR(E1717 / SUMIFS('📅 Resumen Diario'!$D$5:$D$504, '📅 Resumen Diario'!$B$5:$B$504, B1717, '📅 Resumen Diario'!$C$5:$C$504, D1717) * SUMIFS('📅 Resumen Diario'!$K$5:$K$504, '📅 Resumen Diario'!$B$5:$B$504, B1717, '📅 Resumen Diario'!$C$5:$C$504, D1717), 0))</f>
        <v/>
      </c>
      <c r="M1717" s="31" t="str">
        <f t="shared" si="185"/>
        <v/>
      </c>
      <c r="N1717" s="31" t="str">
        <f t="shared" si="186"/>
        <v/>
      </c>
      <c r="O1717" s="31" t="str">
        <f>IF(OR(B1717="",C1717=""),"",K1717-N1717 + IFERROR(E1717 / SUMIFS('📅 Resumen Diario'!$D$5:$D$504, '📅 Resumen Diario'!$B$5:$B$504, B1717, '📅 Resumen Diario'!$C$5:$C$504, D1717) * (SUMIFS('📋 Detalle Diario'!$E$5:$E$489, '📋 Detalle Diario'!$B$5:$B$489, B1717, '📋 Detalle Diario'!$C$5:$C$489, D1717) * 135 + SUMIFS('📋 Detalle Diario'!$I$5:$I$489, '📋 Detalle Diario'!$B$5:$B$489, B1717, '📋 Detalle Diario'!$C$5:$C$489, D1717) * 200), 0))</f>
        <v/>
      </c>
      <c r="P1717" s="32" t="str">
        <f t="shared" si="187"/>
        <v/>
      </c>
      <c r="Q1717" s="33" t="str">
        <f t="shared" si="188"/>
        <v/>
      </c>
    </row>
    <row r="1718" spans="2:17" ht="18" customHeight="1" x14ac:dyDescent="0.3">
      <c r="B1718" s="26"/>
      <c r="C1718" s="17"/>
      <c r="D1718" s="27"/>
      <c r="E1718" s="18"/>
      <c r="F1718" s="18"/>
      <c r="G1718" s="18"/>
      <c r="H1718" s="30" t="str">
        <f t="shared" si="182"/>
        <v/>
      </c>
      <c r="I1718" s="31" t="str">
        <f>IF(OR(B1718="",C1718=""),"",IFERROR(E1718*IF(E1718="",0,VLOOKUP(C1718,'📦 Precios Proforma'!$B$5:$D$104,IF(D1718="DIA",2,3),FALSE)),0))</f>
        <v/>
      </c>
      <c r="J1718" s="31" t="str">
        <f t="shared" si="183"/>
        <v/>
      </c>
      <c r="K1718" s="31" t="str">
        <f t="shared" si="184"/>
        <v/>
      </c>
      <c r="L1718" s="31" t="str">
        <f>IF(OR(B1718="",C1718=""),"",IFERROR(E1718 / SUMIFS('📅 Resumen Diario'!$D$5:$D$504, '📅 Resumen Diario'!$B$5:$B$504, B1718, '📅 Resumen Diario'!$C$5:$C$504, D1718) * SUMIFS('📅 Resumen Diario'!$K$5:$K$504, '📅 Resumen Diario'!$B$5:$B$504, B1718, '📅 Resumen Diario'!$C$5:$C$504, D1718), 0))</f>
        <v/>
      </c>
      <c r="M1718" s="31" t="str">
        <f t="shared" si="185"/>
        <v/>
      </c>
      <c r="N1718" s="31" t="str">
        <f t="shared" si="186"/>
        <v/>
      </c>
      <c r="O1718" s="31" t="str">
        <f>IF(OR(B1718="",C1718=""),"",K1718-N1718 + IFERROR(E1718 / SUMIFS('📅 Resumen Diario'!$D$5:$D$504, '📅 Resumen Diario'!$B$5:$B$504, B1718, '📅 Resumen Diario'!$C$5:$C$504, D1718) * (SUMIFS('📋 Detalle Diario'!$E$5:$E$489, '📋 Detalle Diario'!$B$5:$B$489, B1718, '📋 Detalle Diario'!$C$5:$C$489, D1718) * 135 + SUMIFS('📋 Detalle Diario'!$I$5:$I$489, '📋 Detalle Diario'!$B$5:$B$489, B1718, '📋 Detalle Diario'!$C$5:$C$489, D1718) * 200), 0))</f>
        <v/>
      </c>
      <c r="P1718" s="32" t="str">
        <f t="shared" si="187"/>
        <v/>
      </c>
      <c r="Q1718" s="33" t="str">
        <f t="shared" si="188"/>
        <v/>
      </c>
    </row>
    <row r="1719" spans="2:17" ht="18" customHeight="1" x14ac:dyDescent="0.3">
      <c r="B1719" s="26"/>
      <c r="C1719" s="28"/>
      <c r="D1719" s="27"/>
      <c r="E1719" s="29"/>
      <c r="F1719" s="29"/>
      <c r="G1719" s="29"/>
      <c r="H1719" s="30" t="str">
        <f t="shared" si="182"/>
        <v/>
      </c>
      <c r="I1719" s="31" t="str">
        <f>IF(OR(B1719="",C1719=""),"",IFERROR(E1719*IF(E1719="",0,VLOOKUP(C1719,'📦 Precios Proforma'!$B$5:$D$104,IF(D1719="DIA",2,3),FALSE)),0))</f>
        <v/>
      </c>
      <c r="J1719" s="31" t="str">
        <f t="shared" si="183"/>
        <v/>
      </c>
      <c r="K1719" s="31" t="str">
        <f t="shared" si="184"/>
        <v/>
      </c>
      <c r="L1719" s="31" t="str">
        <f>IF(OR(B1719="",C1719=""),"",IFERROR(E1719 / SUMIFS('📅 Resumen Diario'!$D$5:$D$504, '📅 Resumen Diario'!$B$5:$B$504, B1719, '📅 Resumen Diario'!$C$5:$C$504, D1719) * SUMIFS('📅 Resumen Diario'!$K$5:$K$504, '📅 Resumen Diario'!$B$5:$B$504, B1719, '📅 Resumen Diario'!$C$5:$C$504, D1719), 0))</f>
        <v/>
      </c>
      <c r="M1719" s="31" t="str">
        <f t="shared" si="185"/>
        <v/>
      </c>
      <c r="N1719" s="31" t="str">
        <f t="shared" si="186"/>
        <v/>
      </c>
      <c r="O1719" s="31" t="str">
        <f>IF(OR(B1719="",C1719=""),"",K1719-N1719 + IFERROR(E1719 / SUMIFS('📅 Resumen Diario'!$D$5:$D$504, '📅 Resumen Diario'!$B$5:$B$504, B1719, '📅 Resumen Diario'!$C$5:$C$504, D1719) * (SUMIFS('📋 Detalle Diario'!$E$5:$E$489, '📋 Detalle Diario'!$B$5:$B$489, B1719, '📋 Detalle Diario'!$C$5:$C$489, D1719) * 135 + SUMIFS('📋 Detalle Diario'!$I$5:$I$489, '📋 Detalle Diario'!$B$5:$B$489, B1719, '📋 Detalle Diario'!$C$5:$C$489, D1719) * 200), 0))</f>
        <v/>
      </c>
      <c r="P1719" s="32" t="str">
        <f t="shared" si="187"/>
        <v/>
      </c>
      <c r="Q1719" s="33" t="str">
        <f t="shared" si="188"/>
        <v/>
      </c>
    </row>
    <row r="1720" spans="2:17" ht="18" customHeight="1" x14ac:dyDescent="0.3">
      <c r="B1720" s="26"/>
      <c r="C1720" s="17"/>
      <c r="D1720" s="27"/>
      <c r="E1720" s="18"/>
      <c r="F1720" s="18"/>
      <c r="G1720" s="18"/>
      <c r="H1720" s="30" t="str">
        <f t="shared" si="182"/>
        <v/>
      </c>
      <c r="I1720" s="31" t="str">
        <f>IF(OR(B1720="",C1720=""),"",IFERROR(E1720*IF(E1720="",0,VLOOKUP(C1720,'📦 Precios Proforma'!$B$5:$D$104,IF(D1720="DIA",2,3),FALSE)),0))</f>
        <v/>
      </c>
      <c r="J1720" s="31" t="str">
        <f t="shared" si="183"/>
        <v/>
      </c>
      <c r="K1720" s="31" t="str">
        <f t="shared" si="184"/>
        <v/>
      </c>
      <c r="L1720" s="31" t="str">
        <f>IF(OR(B1720="",C1720=""),"",IFERROR(E1720 / SUMIFS('📅 Resumen Diario'!$D$5:$D$504, '📅 Resumen Diario'!$B$5:$B$504, B1720, '📅 Resumen Diario'!$C$5:$C$504, D1720) * SUMIFS('📅 Resumen Diario'!$K$5:$K$504, '📅 Resumen Diario'!$B$5:$B$504, B1720, '📅 Resumen Diario'!$C$5:$C$504, D1720), 0))</f>
        <v/>
      </c>
      <c r="M1720" s="31" t="str">
        <f t="shared" si="185"/>
        <v/>
      </c>
      <c r="N1720" s="31" t="str">
        <f t="shared" si="186"/>
        <v/>
      </c>
      <c r="O1720" s="31" t="str">
        <f>IF(OR(B1720="",C1720=""),"",K1720-N1720 + IFERROR(E1720 / SUMIFS('📅 Resumen Diario'!$D$5:$D$504, '📅 Resumen Diario'!$B$5:$B$504, B1720, '📅 Resumen Diario'!$C$5:$C$504, D1720) * (SUMIFS('📋 Detalle Diario'!$E$5:$E$489, '📋 Detalle Diario'!$B$5:$B$489, B1720, '📋 Detalle Diario'!$C$5:$C$489, D1720) * 135 + SUMIFS('📋 Detalle Diario'!$I$5:$I$489, '📋 Detalle Diario'!$B$5:$B$489, B1720, '📋 Detalle Diario'!$C$5:$C$489, D1720) * 200), 0))</f>
        <v/>
      </c>
      <c r="P1720" s="32" t="str">
        <f t="shared" si="187"/>
        <v/>
      </c>
      <c r="Q1720" s="33" t="str">
        <f t="shared" si="188"/>
        <v/>
      </c>
    </row>
    <row r="1721" spans="2:17" ht="18" customHeight="1" x14ac:dyDescent="0.3">
      <c r="B1721" s="26"/>
      <c r="C1721" s="28"/>
      <c r="D1721" s="27"/>
      <c r="E1721" s="29"/>
      <c r="F1721" s="29"/>
      <c r="G1721" s="29"/>
      <c r="H1721" s="30" t="str">
        <f t="shared" si="182"/>
        <v/>
      </c>
      <c r="I1721" s="31" t="str">
        <f>IF(OR(B1721="",C1721=""),"",IFERROR(E1721*IF(E1721="",0,VLOOKUP(C1721,'📦 Precios Proforma'!$B$5:$D$104,IF(D1721="DIA",2,3),FALSE)),0))</f>
        <v/>
      </c>
      <c r="J1721" s="31" t="str">
        <f t="shared" si="183"/>
        <v/>
      </c>
      <c r="K1721" s="31" t="str">
        <f t="shared" si="184"/>
        <v/>
      </c>
      <c r="L1721" s="31" t="str">
        <f>IF(OR(B1721="",C1721=""),"",IFERROR(E1721 / SUMIFS('📅 Resumen Diario'!$D$5:$D$504, '📅 Resumen Diario'!$B$5:$B$504, B1721, '📅 Resumen Diario'!$C$5:$C$504, D1721) * SUMIFS('📅 Resumen Diario'!$K$5:$K$504, '📅 Resumen Diario'!$B$5:$B$504, B1721, '📅 Resumen Diario'!$C$5:$C$504, D1721), 0))</f>
        <v/>
      </c>
      <c r="M1721" s="31" t="str">
        <f t="shared" si="185"/>
        <v/>
      </c>
      <c r="N1721" s="31" t="str">
        <f t="shared" si="186"/>
        <v/>
      </c>
      <c r="O1721" s="31" t="str">
        <f>IF(OR(B1721="",C1721=""),"",K1721-N1721 + IFERROR(E1721 / SUMIFS('📅 Resumen Diario'!$D$5:$D$504, '📅 Resumen Diario'!$B$5:$B$504, B1721, '📅 Resumen Diario'!$C$5:$C$504, D1721) * (SUMIFS('📋 Detalle Diario'!$E$5:$E$489, '📋 Detalle Diario'!$B$5:$B$489, B1721, '📋 Detalle Diario'!$C$5:$C$489, D1721) * 135 + SUMIFS('📋 Detalle Diario'!$I$5:$I$489, '📋 Detalle Diario'!$B$5:$B$489, B1721, '📋 Detalle Diario'!$C$5:$C$489, D1721) * 200), 0))</f>
        <v/>
      </c>
      <c r="P1721" s="32" t="str">
        <f t="shared" si="187"/>
        <v/>
      </c>
      <c r="Q1721" s="33" t="str">
        <f t="shared" si="188"/>
        <v/>
      </c>
    </row>
    <row r="1722" spans="2:17" ht="18" customHeight="1" x14ac:dyDescent="0.3">
      <c r="B1722" s="26"/>
      <c r="C1722" s="17"/>
      <c r="D1722" s="27"/>
      <c r="E1722" s="18"/>
      <c r="F1722" s="18"/>
      <c r="G1722" s="18"/>
      <c r="H1722" s="30" t="str">
        <f t="shared" si="182"/>
        <v/>
      </c>
      <c r="I1722" s="31" t="str">
        <f>IF(OR(B1722="",C1722=""),"",IFERROR(E1722*IF(E1722="",0,VLOOKUP(C1722,'📦 Precios Proforma'!$B$5:$D$104,IF(D1722="DIA",2,3),FALSE)),0))</f>
        <v/>
      </c>
      <c r="J1722" s="31" t="str">
        <f t="shared" si="183"/>
        <v/>
      </c>
      <c r="K1722" s="31" t="str">
        <f t="shared" si="184"/>
        <v/>
      </c>
      <c r="L1722" s="31" t="str">
        <f>IF(OR(B1722="",C1722=""),"",IFERROR(E1722 / SUMIFS('📅 Resumen Diario'!$D$5:$D$504, '📅 Resumen Diario'!$B$5:$B$504, B1722, '📅 Resumen Diario'!$C$5:$C$504, D1722) * SUMIFS('📅 Resumen Diario'!$K$5:$K$504, '📅 Resumen Diario'!$B$5:$B$504, B1722, '📅 Resumen Diario'!$C$5:$C$504, D1722), 0))</f>
        <v/>
      </c>
      <c r="M1722" s="31" t="str">
        <f t="shared" si="185"/>
        <v/>
      </c>
      <c r="N1722" s="31" t="str">
        <f t="shared" si="186"/>
        <v/>
      </c>
      <c r="O1722" s="31" t="str">
        <f>IF(OR(B1722="",C1722=""),"",K1722-N1722 + IFERROR(E1722 / SUMIFS('📅 Resumen Diario'!$D$5:$D$504, '📅 Resumen Diario'!$B$5:$B$504, B1722, '📅 Resumen Diario'!$C$5:$C$504, D1722) * (SUMIFS('📋 Detalle Diario'!$E$5:$E$489, '📋 Detalle Diario'!$B$5:$B$489, B1722, '📋 Detalle Diario'!$C$5:$C$489, D1722) * 135 + SUMIFS('📋 Detalle Diario'!$I$5:$I$489, '📋 Detalle Diario'!$B$5:$B$489, B1722, '📋 Detalle Diario'!$C$5:$C$489, D1722) * 200), 0))</f>
        <v/>
      </c>
      <c r="P1722" s="32" t="str">
        <f t="shared" si="187"/>
        <v/>
      </c>
      <c r="Q1722" s="33" t="str">
        <f t="shared" si="188"/>
        <v/>
      </c>
    </row>
    <row r="1723" spans="2:17" ht="18" customHeight="1" x14ac:dyDescent="0.3">
      <c r="B1723" s="26"/>
      <c r="C1723" s="28"/>
      <c r="D1723" s="27"/>
      <c r="E1723" s="29"/>
      <c r="F1723" s="29"/>
      <c r="G1723" s="29"/>
      <c r="H1723" s="30" t="str">
        <f t="shared" si="182"/>
        <v/>
      </c>
      <c r="I1723" s="31" t="str">
        <f>IF(OR(B1723="",C1723=""),"",IFERROR(E1723*IF(E1723="",0,VLOOKUP(C1723,'📦 Precios Proforma'!$B$5:$D$104,IF(D1723="DIA",2,3),FALSE)),0))</f>
        <v/>
      </c>
      <c r="J1723" s="31" t="str">
        <f t="shared" si="183"/>
        <v/>
      </c>
      <c r="K1723" s="31" t="str">
        <f t="shared" si="184"/>
        <v/>
      </c>
      <c r="L1723" s="31" t="str">
        <f>IF(OR(B1723="",C1723=""),"",IFERROR(E1723 / SUMIFS('📅 Resumen Diario'!$D$5:$D$504, '📅 Resumen Diario'!$B$5:$B$504, B1723, '📅 Resumen Diario'!$C$5:$C$504, D1723) * SUMIFS('📅 Resumen Diario'!$K$5:$K$504, '📅 Resumen Diario'!$B$5:$B$504, B1723, '📅 Resumen Diario'!$C$5:$C$504, D1723), 0))</f>
        <v/>
      </c>
      <c r="M1723" s="31" t="str">
        <f t="shared" si="185"/>
        <v/>
      </c>
      <c r="N1723" s="31" t="str">
        <f t="shared" si="186"/>
        <v/>
      </c>
      <c r="O1723" s="31" t="str">
        <f>IF(OR(B1723="",C1723=""),"",K1723-N1723 + IFERROR(E1723 / SUMIFS('📅 Resumen Diario'!$D$5:$D$504, '📅 Resumen Diario'!$B$5:$B$504, B1723, '📅 Resumen Diario'!$C$5:$C$504, D1723) * (SUMIFS('📋 Detalle Diario'!$E$5:$E$489, '📋 Detalle Diario'!$B$5:$B$489, B1723, '📋 Detalle Diario'!$C$5:$C$489, D1723) * 135 + SUMIFS('📋 Detalle Diario'!$I$5:$I$489, '📋 Detalle Diario'!$B$5:$B$489, B1723, '📋 Detalle Diario'!$C$5:$C$489, D1723) * 200), 0))</f>
        <v/>
      </c>
      <c r="P1723" s="32" t="str">
        <f t="shared" si="187"/>
        <v/>
      </c>
      <c r="Q1723" s="33" t="str">
        <f t="shared" si="188"/>
        <v/>
      </c>
    </row>
    <row r="1724" spans="2:17" ht="18" customHeight="1" x14ac:dyDescent="0.3">
      <c r="B1724" s="26"/>
      <c r="C1724" s="17"/>
      <c r="D1724" s="27"/>
      <c r="E1724" s="18"/>
      <c r="F1724" s="18"/>
      <c r="G1724" s="18"/>
      <c r="H1724" s="30" t="str">
        <f t="shared" si="182"/>
        <v/>
      </c>
      <c r="I1724" s="31" t="str">
        <f>IF(OR(B1724="",C1724=""),"",IFERROR(E1724*IF(E1724="",0,VLOOKUP(C1724,'📦 Precios Proforma'!$B$5:$D$104,IF(D1724="DIA",2,3),FALSE)),0))</f>
        <v/>
      </c>
      <c r="J1724" s="31" t="str">
        <f t="shared" si="183"/>
        <v/>
      </c>
      <c r="K1724" s="31" t="str">
        <f t="shared" si="184"/>
        <v/>
      </c>
      <c r="L1724" s="31" t="str">
        <f>IF(OR(B1724="",C1724=""),"",IFERROR(E1724 / SUMIFS('📅 Resumen Diario'!$D$5:$D$504, '📅 Resumen Diario'!$B$5:$B$504, B1724, '📅 Resumen Diario'!$C$5:$C$504, D1724) * SUMIFS('📅 Resumen Diario'!$K$5:$K$504, '📅 Resumen Diario'!$B$5:$B$504, B1724, '📅 Resumen Diario'!$C$5:$C$504, D1724), 0))</f>
        <v/>
      </c>
      <c r="M1724" s="31" t="str">
        <f t="shared" si="185"/>
        <v/>
      </c>
      <c r="N1724" s="31" t="str">
        <f t="shared" si="186"/>
        <v/>
      </c>
      <c r="O1724" s="31" t="str">
        <f>IF(OR(B1724="",C1724=""),"",K1724-N1724 + IFERROR(E1724 / SUMIFS('📅 Resumen Diario'!$D$5:$D$504, '📅 Resumen Diario'!$B$5:$B$504, B1724, '📅 Resumen Diario'!$C$5:$C$504, D1724) * (SUMIFS('📋 Detalle Diario'!$E$5:$E$489, '📋 Detalle Diario'!$B$5:$B$489, B1724, '📋 Detalle Diario'!$C$5:$C$489, D1724) * 135 + SUMIFS('📋 Detalle Diario'!$I$5:$I$489, '📋 Detalle Diario'!$B$5:$B$489, B1724, '📋 Detalle Diario'!$C$5:$C$489, D1724) * 200), 0))</f>
        <v/>
      </c>
      <c r="P1724" s="32" t="str">
        <f t="shared" si="187"/>
        <v/>
      </c>
      <c r="Q1724" s="33" t="str">
        <f t="shared" si="188"/>
        <v/>
      </c>
    </row>
    <row r="1725" spans="2:17" ht="18" customHeight="1" x14ac:dyDescent="0.3">
      <c r="B1725" s="26"/>
      <c r="C1725" s="28"/>
      <c r="D1725" s="27"/>
      <c r="E1725" s="29"/>
      <c r="F1725" s="29"/>
      <c r="G1725" s="29"/>
      <c r="H1725" s="30" t="str">
        <f t="shared" si="182"/>
        <v/>
      </c>
      <c r="I1725" s="31" t="str">
        <f>IF(OR(B1725="",C1725=""),"",IFERROR(E1725*IF(E1725="",0,VLOOKUP(C1725,'📦 Precios Proforma'!$B$5:$D$104,IF(D1725="DIA",2,3),FALSE)),0))</f>
        <v/>
      </c>
      <c r="J1725" s="31" t="str">
        <f t="shared" si="183"/>
        <v/>
      </c>
      <c r="K1725" s="31" t="str">
        <f t="shared" si="184"/>
        <v/>
      </c>
      <c r="L1725" s="31" t="str">
        <f>IF(OR(B1725="",C1725=""),"",IFERROR(E1725 / SUMIFS('📅 Resumen Diario'!$D$5:$D$504, '📅 Resumen Diario'!$B$5:$B$504, B1725, '📅 Resumen Diario'!$C$5:$C$504, D1725) * SUMIFS('📅 Resumen Diario'!$K$5:$K$504, '📅 Resumen Diario'!$B$5:$B$504, B1725, '📅 Resumen Diario'!$C$5:$C$504, D1725), 0))</f>
        <v/>
      </c>
      <c r="M1725" s="31" t="str">
        <f t="shared" si="185"/>
        <v/>
      </c>
      <c r="N1725" s="31" t="str">
        <f t="shared" si="186"/>
        <v/>
      </c>
      <c r="O1725" s="31" t="str">
        <f>IF(OR(B1725="",C1725=""),"",K1725-N1725 + IFERROR(E1725 / SUMIFS('📅 Resumen Diario'!$D$5:$D$504, '📅 Resumen Diario'!$B$5:$B$504, B1725, '📅 Resumen Diario'!$C$5:$C$504, D1725) * (SUMIFS('📋 Detalle Diario'!$E$5:$E$489, '📋 Detalle Diario'!$B$5:$B$489, B1725, '📋 Detalle Diario'!$C$5:$C$489, D1725) * 135 + SUMIFS('📋 Detalle Diario'!$I$5:$I$489, '📋 Detalle Diario'!$B$5:$B$489, B1725, '📋 Detalle Diario'!$C$5:$C$489, D1725) * 200), 0))</f>
        <v/>
      </c>
      <c r="P1725" s="32" t="str">
        <f t="shared" si="187"/>
        <v/>
      </c>
      <c r="Q1725" s="33" t="str">
        <f t="shared" si="188"/>
        <v/>
      </c>
    </row>
    <row r="1726" spans="2:17" ht="18" customHeight="1" x14ac:dyDescent="0.3">
      <c r="B1726" s="26"/>
      <c r="C1726" s="17"/>
      <c r="D1726" s="27"/>
      <c r="E1726" s="18"/>
      <c r="F1726" s="18"/>
      <c r="G1726" s="18"/>
      <c r="H1726" s="30" t="str">
        <f t="shared" si="182"/>
        <v/>
      </c>
      <c r="I1726" s="31" t="str">
        <f>IF(OR(B1726="",C1726=""),"",IFERROR(E1726*IF(E1726="",0,VLOOKUP(C1726,'📦 Precios Proforma'!$B$5:$D$104,IF(D1726="DIA",2,3),FALSE)),0))</f>
        <v/>
      </c>
      <c r="J1726" s="31" t="str">
        <f t="shared" si="183"/>
        <v/>
      </c>
      <c r="K1726" s="31" t="str">
        <f t="shared" si="184"/>
        <v/>
      </c>
      <c r="L1726" s="31" t="str">
        <f>IF(OR(B1726="",C1726=""),"",IFERROR(E1726 / SUMIFS('📅 Resumen Diario'!$D$5:$D$504, '📅 Resumen Diario'!$B$5:$B$504, B1726, '📅 Resumen Diario'!$C$5:$C$504, D1726) * SUMIFS('📅 Resumen Diario'!$K$5:$K$504, '📅 Resumen Diario'!$B$5:$B$504, B1726, '📅 Resumen Diario'!$C$5:$C$504, D1726), 0))</f>
        <v/>
      </c>
      <c r="M1726" s="31" t="str">
        <f t="shared" si="185"/>
        <v/>
      </c>
      <c r="N1726" s="31" t="str">
        <f t="shared" si="186"/>
        <v/>
      </c>
      <c r="O1726" s="31" t="str">
        <f>IF(OR(B1726="",C1726=""),"",K1726-N1726 + IFERROR(E1726 / SUMIFS('📅 Resumen Diario'!$D$5:$D$504, '📅 Resumen Diario'!$B$5:$B$504, B1726, '📅 Resumen Diario'!$C$5:$C$504, D1726) * (SUMIFS('📋 Detalle Diario'!$E$5:$E$489, '📋 Detalle Diario'!$B$5:$B$489, B1726, '📋 Detalle Diario'!$C$5:$C$489, D1726) * 135 + SUMIFS('📋 Detalle Diario'!$I$5:$I$489, '📋 Detalle Diario'!$B$5:$B$489, B1726, '📋 Detalle Diario'!$C$5:$C$489, D1726) * 200), 0))</f>
        <v/>
      </c>
      <c r="P1726" s="32" t="str">
        <f t="shared" si="187"/>
        <v/>
      </c>
      <c r="Q1726" s="33" t="str">
        <f t="shared" si="188"/>
        <v/>
      </c>
    </row>
    <row r="1727" spans="2:17" ht="18" customHeight="1" x14ac:dyDescent="0.3">
      <c r="B1727" s="26"/>
      <c r="C1727" s="28"/>
      <c r="D1727" s="27"/>
      <c r="E1727" s="29"/>
      <c r="F1727" s="29"/>
      <c r="G1727" s="29"/>
      <c r="H1727" s="30" t="str">
        <f t="shared" si="182"/>
        <v/>
      </c>
      <c r="I1727" s="31" t="str">
        <f>IF(OR(B1727="",C1727=""),"",IFERROR(E1727*IF(E1727="",0,VLOOKUP(C1727,'📦 Precios Proforma'!$B$5:$D$104,IF(D1727="DIA",2,3),FALSE)),0))</f>
        <v/>
      </c>
      <c r="J1727" s="31" t="str">
        <f t="shared" si="183"/>
        <v/>
      </c>
      <c r="K1727" s="31" t="str">
        <f t="shared" si="184"/>
        <v/>
      </c>
      <c r="L1727" s="31" t="str">
        <f>IF(OR(B1727="",C1727=""),"",IFERROR(E1727 / SUMIFS('📅 Resumen Diario'!$D$5:$D$504, '📅 Resumen Diario'!$B$5:$B$504, B1727, '📅 Resumen Diario'!$C$5:$C$504, D1727) * SUMIFS('📅 Resumen Diario'!$K$5:$K$504, '📅 Resumen Diario'!$B$5:$B$504, B1727, '📅 Resumen Diario'!$C$5:$C$504, D1727), 0))</f>
        <v/>
      </c>
      <c r="M1727" s="31" t="str">
        <f t="shared" si="185"/>
        <v/>
      </c>
      <c r="N1727" s="31" t="str">
        <f t="shared" si="186"/>
        <v/>
      </c>
      <c r="O1727" s="31" t="str">
        <f>IF(OR(B1727="",C1727=""),"",K1727-N1727 + IFERROR(E1727 / SUMIFS('📅 Resumen Diario'!$D$5:$D$504, '📅 Resumen Diario'!$B$5:$B$504, B1727, '📅 Resumen Diario'!$C$5:$C$504, D1727) * (SUMIFS('📋 Detalle Diario'!$E$5:$E$489, '📋 Detalle Diario'!$B$5:$B$489, B1727, '📋 Detalle Diario'!$C$5:$C$489, D1727) * 135 + SUMIFS('📋 Detalle Diario'!$I$5:$I$489, '📋 Detalle Diario'!$B$5:$B$489, B1727, '📋 Detalle Diario'!$C$5:$C$489, D1727) * 200), 0))</f>
        <v/>
      </c>
      <c r="P1727" s="32" t="str">
        <f t="shared" si="187"/>
        <v/>
      </c>
      <c r="Q1727" s="33" t="str">
        <f t="shared" si="188"/>
        <v/>
      </c>
    </row>
    <row r="1728" spans="2:17" ht="18" customHeight="1" x14ac:dyDescent="0.3">
      <c r="B1728" s="26"/>
      <c r="C1728" s="17"/>
      <c r="D1728" s="27"/>
      <c r="E1728" s="18"/>
      <c r="F1728" s="18"/>
      <c r="G1728" s="18"/>
      <c r="H1728" s="30" t="str">
        <f t="shared" si="182"/>
        <v/>
      </c>
      <c r="I1728" s="31" t="str">
        <f>IF(OR(B1728="",C1728=""),"",IFERROR(E1728*IF(E1728="",0,VLOOKUP(C1728,'📦 Precios Proforma'!$B$5:$D$104,IF(D1728="DIA",2,3),FALSE)),0))</f>
        <v/>
      </c>
      <c r="J1728" s="31" t="str">
        <f t="shared" si="183"/>
        <v/>
      </c>
      <c r="K1728" s="31" t="str">
        <f t="shared" si="184"/>
        <v/>
      </c>
      <c r="L1728" s="31" t="str">
        <f>IF(OR(B1728="",C1728=""),"",IFERROR(E1728 / SUMIFS('📅 Resumen Diario'!$D$5:$D$504, '📅 Resumen Diario'!$B$5:$B$504, B1728, '📅 Resumen Diario'!$C$5:$C$504, D1728) * SUMIFS('📅 Resumen Diario'!$K$5:$K$504, '📅 Resumen Diario'!$B$5:$B$504, B1728, '📅 Resumen Diario'!$C$5:$C$504, D1728), 0))</f>
        <v/>
      </c>
      <c r="M1728" s="31" t="str">
        <f t="shared" si="185"/>
        <v/>
      </c>
      <c r="N1728" s="31" t="str">
        <f t="shared" si="186"/>
        <v/>
      </c>
      <c r="O1728" s="31" t="str">
        <f>IF(OR(B1728="",C1728=""),"",K1728-N1728 + IFERROR(E1728 / SUMIFS('📅 Resumen Diario'!$D$5:$D$504, '📅 Resumen Diario'!$B$5:$B$504, B1728, '📅 Resumen Diario'!$C$5:$C$504, D1728) * (SUMIFS('📋 Detalle Diario'!$E$5:$E$489, '📋 Detalle Diario'!$B$5:$B$489, B1728, '📋 Detalle Diario'!$C$5:$C$489, D1728) * 135 + SUMIFS('📋 Detalle Diario'!$I$5:$I$489, '📋 Detalle Diario'!$B$5:$B$489, B1728, '📋 Detalle Diario'!$C$5:$C$489, D1728) * 200), 0))</f>
        <v/>
      </c>
      <c r="P1728" s="32" t="str">
        <f t="shared" si="187"/>
        <v/>
      </c>
      <c r="Q1728" s="33" t="str">
        <f t="shared" si="188"/>
        <v/>
      </c>
    </row>
    <row r="1729" spans="2:17" ht="18" customHeight="1" x14ac:dyDescent="0.3">
      <c r="B1729" s="26"/>
      <c r="C1729" s="28"/>
      <c r="D1729" s="27"/>
      <c r="E1729" s="29"/>
      <c r="F1729" s="29"/>
      <c r="G1729" s="29"/>
      <c r="H1729" s="30" t="str">
        <f t="shared" si="182"/>
        <v/>
      </c>
      <c r="I1729" s="31" t="str">
        <f>IF(OR(B1729="",C1729=""),"",IFERROR(E1729*IF(E1729="",0,VLOOKUP(C1729,'📦 Precios Proforma'!$B$5:$D$104,IF(D1729="DIA",2,3),FALSE)),0))</f>
        <v/>
      </c>
      <c r="J1729" s="31" t="str">
        <f t="shared" si="183"/>
        <v/>
      </c>
      <c r="K1729" s="31" t="str">
        <f t="shared" si="184"/>
        <v/>
      </c>
      <c r="L1729" s="31" t="str">
        <f>IF(OR(B1729="",C1729=""),"",IFERROR(E1729 / SUMIFS('📅 Resumen Diario'!$D$5:$D$504, '📅 Resumen Diario'!$B$5:$B$504, B1729, '📅 Resumen Diario'!$C$5:$C$504, D1729) * SUMIFS('📅 Resumen Diario'!$K$5:$K$504, '📅 Resumen Diario'!$B$5:$B$504, B1729, '📅 Resumen Diario'!$C$5:$C$504, D1729), 0))</f>
        <v/>
      </c>
      <c r="M1729" s="31" t="str">
        <f t="shared" si="185"/>
        <v/>
      </c>
      <c r="N1729" s="31" t="str">
        <f t="shared" si="186"/>
        <v/>
      </c>
      <c r="O1729" s="31" t="str">
        <f>IF(OR(B1729="",C1729=""),"",K1729-N1729 + IFERROR(E1729 / SUMIFS('📅 Resumen Diario'!$D$5:$D$504, '📅 Resumen Diario'!$B$5:$B$504, B1729, '📅 Resumen Diario'!$C$5:$C$504, D1729) * (SUMIFS('📋 Detalle Diario'!$E$5:$E$489, '📋 Detalle Diario'!$B$5:$B$489, B1729, '📋 Detalle Diario'!$C$5:$C$489, D1729) * 135 + SUMIFS('📋 Detalle Diario'!$I$5:$I$489, '📋 Detalle Diario'!$B$5:$B$489, B1729, '📋 Detalle Diario'!$C$5:$C$489, D1729) * 200), 0))</f>
        <v/>
      </c>
      <c r="P1729" s="32" t="str">
        <f t="shared" si="187"/>
        <v/>
      </c>
      <c r="Q1729" s="33" t="str">
        <f t="shared" si="188"/>
        <v/>
      </c>
    </row>
    <row r="1730" spans="2:17" ht="18" customHeight="1" x14ac:dyDescent="0.3">
      <c r="B1730" s="26"/>
      <c r="C1730" s="17"/>
      <c r="D1730" s="27"/>
      <c r="E1730" s="18"/>
      <c r="F1730" s="18"/>
      <c r="G1730" s="18"/>
      <c r="H1730" s="30" t="str">
        <f t="shared" si="182"/>
        <v/>
      </c>
      <c r="I1730" s="31" t="str">
        <f>IF(OR(B1730="",C1730=""),"",IFERROR(E1730*IF(E1730="",0,VLOOKUP(C1730,'📦 Precios Proforma'!$B$5:$D$104,IF(D1730="DIA",2,3),FALSE)),0))</f>
        <v/>
      </c>
      <c r="J1730" s="31" t="str">
        <f t="shared" si="183"/>
        <v/>
      </c>
      <c r="K1730" s="31" t="str">
        <f t="shared" si="184"/>
        <v/>
      </c>
      <c r="L1730" s="31" t="str">
        <f>IF(OR(B1730="",C1730=""),"",IFERROR(E1730 / SUMIFS('📅 Resumen Diario'!$D$5:$D$504, '📅 Resumen Diario'!$B$5:$B$504, B1730, '📅 Resumen Diario'!$C$5:$C$504, D1730) * SUMIFS('📅 Resumen Diario'!$K$5:$K$504, '📅 Resumen Diario'!$B$5:$B$504, B1730, '📅 Resumen Diario'!$C$5:$C$504, D1730), 0))</f>
        <v/>
      </c>
      <c r="M1730" s="31" t="str">
        <f t="shared" si="185"/>
        <v/>
      </c>
      <c r="N1730" s="31" t="str">
        <f t="shared" si="186"/>
        <v/>
      </c>
      <c r="O1730" s="31" t="str">
        <f>IF(OR(B1730="",C1730=""),"",K1730-N1730 + IFERROR(E1730 / SUMIFS('📅 Resumen Diario'!$D$5:$D$504, '📅 Resumen Diario'!$B$5:$B$504, B1730, '📅 Resumen Diario'!$C$5:$C$504, D1730) * (SUMIFS('📋 Detalle Diario'!$E$5:$E$489, '📋 Detalle Diario'!$B$5:$B$489, B1730, '📋 Detalle Diario'!$C$5:$C$489, D1730) * 135 + SUMIFS('📋 Detalle Diario'!$I$5:$I$489, '📋 Detalle Diario'!$B$5:$B$489, B1730, '📋 Detalle Diario'!$C$5:$C$489, D1730) * 200), 0))</f>
        <v/>
      </c>
      <c r="P1730" s="32" t="str">
        <f t="shared" si="187"/>
        <v/>
      </c>
      <c r="Q1730" s="33" t="str">
        <f t="shared" si="188"/>
        <v/>
      </c>
    </row>
    <row r="1731" spans="2:17" ht="18" customHeight="1" x14ac:dyDescent="0.3">
      <c r="B1731" s="26"/>
      <c r="C1731" s="28"/>
      <c r="D1731" s="27"/>
      <c r="E1731" s="29"/>
      <c r="F1731" s="29"/>
      <c r="G1731" s="29"/>
      <c r="H1731" s="30" t="str">
        <f t="shared" si="182"/>
        <v/>
      </c>
      <c r="I1731" s="31" t="str">
        <f>IF(OR(B1731="",C1731=""),"",IFERROR(E1731*IF(E1731="",0,VLOOKUP(C1731,'📦 Precios Proforma'!$B$5:$D$104,IF(D1731="DIA",2,3),FALSE)),0))</f>
        <v/>
      </c>
      <c r="J1731" s="31" t="str">
        <f t="shared" si="183"/>
        <v/>
      </c>
      <c r="K1731" s="31" t="str">
        <f t="shared" si="184"/>
        <v/>
      </c>
      <c r="L1731" s="31" t="str">
        <f>IF(OR(B1731="",C1731=""),"",IFERROR(E1731 / SUMIFS('📅 Resumen Diario'!$D$5:$D$504, '📅 Resumen Diario'!$B$5:$B$504, B1731, '📅 Resumen Diario'!$C$5:$C$504, D1731) * SUMIFS('📅 Resumen Diario'!$K$5:$K$504, '📅 Resumen Diario'!$B$5:$B$504, B1731, '📅 Resumen Diario'!$C$5:$C$504, D1731), 0))</f>
        <v/>
      </c>
      <c r="M1731" s="31" t="str">
        <f t="shared" si="185"/>
        <v/>
      </c>
      <c r="N1731" s="31" t="str">
        <f t="shared" si="186"/>
        <v/>
      </c>
      <c r="O1731" s="31" t="str">
        <f>IF(OR(B1731="",C1731=""),"",K1731-N1731 + IFERROR(E1731 / SUMIFS('📅 Resumen Diario'!$D$5:$D$504, '📅 Resumen Diario'!$B$5:$B$504, B1731, '📅 Resumen Diario'!$C$5:$C$504, D1731) * (SUMIFS('📋 Detalle Diario'!$E$5:$E$489, '📋 Detalle Diario'!$B$5:$B$489, B1731, '📋 Detalle Diario'!$C$5:$C$489, D1731) * 135 + SUMIFS('📋 Detalle Diario'!$I$5:$I$489, '📋 Detalle Diario'!$B$5:$B$489, B1731, '📋 Detalle Diario'!$C$5:$C$489, D1731) * 200), 0))</f>
        <v/>
      </c>
      <c r="P1731" s="32" t="str">
        <f t="shared" si="187"/>
        <v/>
      </c>
      <c r="Q1731" s="33" t="str">
        <f t="shared" si="188"/>
        <v/>
      </c>
    </row>
    <row r="1732" spans="2:17" ht="18" customHeight="1" x14ac:dyDescent="0.3">
      <c r="B1732" s="26"/>
      <c r="C1732" s="17"/>
      <c r="D1732" s="27"/>
      <c r="E1732" s="18"/>
      <c r="F1732" s="18"/>
      <c r="G1732" s="18"/>
      <c r="H1732" s="30" t="str">
        <f t="shared" si="182"/>
        <v/>
      </c>
      <c r="I1732" s="31" t="str">
        <f>IF(OR(B1732="",C1732=""),"",IFERROR(E1732*IF(E1732="",0,VLOOKUP(C1732,'📦 Precios Proforma'!$B$5:$D$104,IF(D1732="DIA",2,3),FALSE)),0))</f>
        <v/>
      </c>
      <c r="J1732" s="31" t="str">
        <f t="shared" si="183"/>
        <v/>
      </c>
      <c r="K1732" s="31" t="str">
        <f t="shared" si="184"/>
        <v/>
      </c>
      <c r="L1732" s="31" t="str">
        <f>IF(OR(B1732="",C1732=""),"",IFERROR(E1732 / SUMIFS('📅 Resumen Diario'!$D$5:$D$504, '📅 Resumen Diario'!$B$5:$B$504, B1732, '📅 Resumen Diario'!$C$5:$C$504, D1732) * SUMIFS('📅 Resumen Diario'!$K$5:$K$504, '📅 Resumen Diario'!$B$5:$B$504, B1732, '📅 Resumen Diario'!$C$5:$C$504, D1732), 0))</f>
        <v/>
      </c>
      <c r="M1732" s="31" t="str">
        <f t="shared" si="185"/>
        <v/>
      </c>
      <c r="N1732" s="31" t="str">
        <f t="shared" si="186"/>
        <v/>
      </c>
      <c r="O1732" s="31" t="str">
        <f>IF(OR(B1732="",C1732=""),"",K1732-N1732 + IFERROR(E1732 / SUMIFS('📅 Resumen Diario'!$D$5:$D$504, '📅 Resumen Diario'!$B$5:$B$504, B1732, '📅 Resumen Diario'!$C$5:$C$504, D1732) * (SUMIFS('📋 Detalle Diario'!$E$5:$E$489, '📋 Detalle Diario'!$B$5:$B$489, B1732, '📋 Detalle Diario'!$C$5:$C$489, D1732) * 135 + SUMIFS('📋 Detalle Diario'!$I$5:$I$489, '📋 Detalle Diario'!$B$5:$B$489, B1732, '📋 Detalle Diario'!$C$5:$C$489, D1732) * 200), 0))</f>
        <v/>
      </c>
      <c r="P1732" s="32" t="str">
        <f t="shared" si="187"/>
        <v/>
      </c>
      <c r="Q1732" s="33" t="str">
        <f t="shared" si="188"/>
        <v/>
      </c>
    </row>
    <row r="1733" spans="2:17" ht="18" customHeight="1" x14ac:dyDescent="0.3">
      <c r="B1733" s="26"/>
      <c r="C1733" s="28"/>
      <c r="D1733" s="27"/>
      <c r="E1733" s="29"/>
      <c r="F1733" s="29"/>
      <c r="G1733" s="29"/>
      <c r="H1733" s="30" t="str">
        <f t="shared" si="182"/>
        <v/>
      </c>
      <c r="I1733" s="31" t="str">
        <f>IF(OR(B1733="",C1733=""),"",IFERROR(E1733*IF(E1733="",0,VLOOKUP(C1733,'📦 Precios Proforma'!$B$5:$D$104,IF(D1733="DIA",2,3),FALSE)),0))</f>
        <v/>
      </c>
      <c r="J1733" s="31" t="str">
        <f t="shared" si="183"/>
        <v/>
      </c>
      <c r="K1733" s="31" t="str">
        <f t="shared" si="184"/>
        <v/>
      </c>
      <c r="L1733" s="31" t="str">
        <f>IF(OR(B1733="",C1733=""),"",IFERROR(E1733 / SUMIFS('📅 Resumen Diario'!$D$5:$D$504, '📅 Resumen Diario'!$B$5:$B$504, B1733, '📅 Resumen Diario'!$C$5:$C$504, D1733) * SUMIFS('📅 Resumen Diario'!$K$5:$K$504, '📅 Resumen Diario'!$B$5:$B$504, B1733, '📅 Resumen Diario'!$C$5:$C$504, D1733), 0))</f>
        <v/>
      </c>
      <c r="M1733" s="31" t="str">
        <f t="shared" si="185"/>
        <v/>
      </c>
      <c r="N1733" s="31" t="str">
        <f t="shared" si="186"/>
        <v/>
      </c>
      <c r="O1733" s="31" t="str">
        <f>IF(OR(B1733="",C1733=""),"",K1733-N1733 + IFERROR(E1733 / SUMIFS('📅 Resumen Diario'!$D$5:$D$504, '📅 Resumen Diario'!$B$5:$B$504, B1733, '📅 Resumen Diario'!$C$5:$C$504, D1733) * (SUMIFS('📋 Detalle Diario'!$E$5:$E$489, '📋 Detalle Diario'!$B$5:$B$489, B1733, '📋 Detalle Diario'!$C$5:$C$489, D1733) * 135 + SUMIFS('📋 Detalle Diario'!$I$5:$I$489, '📋 Detalle Diario'!$B$5:$B$489, B1733, '📋 Detalle Diario'!$C$5:$C$489, D1733) * 200), 0))</f>
        <v/>
      </c>
      <c r="P1733" s="32" t="str">
        <f t="shared" si="187"/>
        <v/>
      </c>
      <c r="Q1733" s="33" t="str">
        <f t="shared" si="188"/>
        <v/>
      </c>
    </row>
    <row r="1734" spans="2:17" ht="18" customHeight="1" x14ac:dyDescent="0.3">
      <c r="B1734" s="26"/>
      <c r="C1734" s="17"/>
      <c r="D1734" s="27"/>
      <c r="E1734" s="18"/>
      <c r="F1734" s="18"/>
      <c r="G1734" s="18"/>
      <c r="H1734" s="30" t="str">
        <f t="shared" si="182"/>
        <v/>
      </c>
      <c r="I1734" s="31" t="str">
        <f>IF(OR(B1734="",C1734=""),"",IFERROR(E1734*IF(E1734="",0,VLOOKUP(C1734,'📦 Precios Proforma'!$B$5:$D$104,IF(D1734="DIA",2,3),FALSE)),0))</f>
        <v/>
      </c>
      <c r="J1734" s="31" t="str">
        <f t="shared" si="183"/>
        <v/>
      </c>
      <c r="K1734" s="31" t="str">
        <f t="shared" si="184"/>
        <v/>
      </c>
      <c r="L1734" s="31" t="str">
        <f>IF(OR(B1734="",C1734=""),"",IFERROR(E1734 / SUMIFS('📅 Resumen Diario'!$D$5:$D$504, '📅 Resumen Diario'!$B$5:$B$504, B1734, '📅 Resumen Diario'!$C$5:$C$504, D1734) * SUMIFS('📅 Resumen Diario'!$K$5:$K$504, '📅 Resumen Diario'!$B$5:$B$504, B1734, '📅 Resumen Diario'!$C$5:$C$504, D1734), 0))</f>
        <v/>
      </c>
      <c r="M1734" s="31" t="str">
        <f t="shared" si="185"/>
        <v/>
      </c>
      <c r="N1734" s="31" t="str">
        <f t="shared" si="186"/>
        <v/>
      </c>
      <c r="O1734" s="31" t="str">
        <f>IF(OR(B1734="",C1734=""),"",K1734-N1734 + IFERROR(E1734 / SUMIFS('📅 Resumen Diario'!$D$5:$D$504, '📅 Resumen Diario'!$B$5:$B$504, B1734, '📅 Resumen Diario'!$C$5:$C$504, D1734) * (SUMIFS('📋 Detalle Diario'!$E$5:$E$489, '📋 Detalle Diario'!$B$5:$B$489, B1734, '📋 Detalle Diario'!$C$5:$C$489, D1734) * 135 + SUMIFS('📋 Detalle Diario'!$I$5:$I$489, '📋 Detalle Diario'!$B$5:$B$489, B1734, '📋 Detalle Diario'!$C$5:$C$489, D1734) * 200), 0))</f>
        <v/>
      </c>
      <c r="P1734" s="32" t="str">
        <f t="shared" si="187"/>
        <v/>
      </c>
      <c r="Q1734" s="33" t="str">
        <f t="shared" si="188"/>
        <v/>
      </c>
    </row>
    <row r="1735" spans="2:17" ht="18" customHeight="1" x14ac:dyDescent="0.3">
      <c r="B1735" s="26"/>
      <c r="C1735" s="28"/>
      <c r="D1735" s="27"/>
      <c r="E1735" s="29"/>
      <c r="F1735" s="29"/>
      <c r="G1735" s="29"/>
      <c r="H1735" s="30" t="str">
        <f t="shared" ref="H1735:H1798" si="189">IF(OR(B1735="",C1735=""),"",F1735+G1735)</f>
        <v/>
      </c>
      <c r="I1735" s="31" t="str">
        <f>IF(OR(B1735="",C1735=""),"",IFERROR(E1735*IF(E1735="",0,VLOOKUP(C1735,'📦 Precios Proforma'!$B$5:$D$104,IF(D1735="DIA",2,3),FALSE)),0))</f>
        <v/>
      </c>
      <c r="J1735" s="31" t="str">
        <f t="shared" ref="J1735:J1798" si="190">IF(OR(B1735="",C1735=""),"",IF(D1735="DIA",H1735*1.01,H1735*1.35))</f>
        <v/>
      </c>
      <c r="K1735" s="31" t="str">
        <f t="shared" ref="K1735:K1798" si="191">IF(OR(B1735="",C1735=""),"",I1735+J1735)</f>
        <v/>
      </c>
      <c r="L1735" s="31" t="str">
        <f>IF(OR(B1735="",C1735=""),"",IFERROR(E1735 / SUMIFS('📅 Resumen Diario'!$D$5:$D$504, '📅 Resumen Diario'!$B$5:$B$504, B1735, '📅 Resumen Diario'!$C$5:$C$504, D1735) * SUMIFS('📅 Resumen Diario'!$K$5:$K$504, '📅 Resumen Diario'!$B$5:$B$504, B1735, '📅 Resumen Diario'!$C$5:$C$504, D1735), 0))</f>
        <v/>
      </c>
      <c r="M1735" s="31" t="str">
        <f t="shared" ref="M1735:M1798" si="192">IF(OR(B1735="",C1735=""),"",H1735*0.09)</f>
        <v/>
      </c>
      <c r="N1735" s="31" t="str">
        <f t="shared" ref="N1735:N1798" si="193">IF(OR(B1735="",C1735=""),"",L1735+M1735)</f>
        <v/>
      </c>
      <c r="O1735" s="31" t="str">
        <f>IF(OR(B1735="",C1735=""),"",K1735-N1735 + IFERROR(E1735 / SUMIFS('📅 Resumen Diario'!$D$5:$D$504, '📅 Resumen Diario'!$B$5:$B$504, B1735, '📅 Resumen Diario'!$C$5:$C$504, D1735) * (SUMIFS('📋 Detalle Diario'!$E$5:$E$489, '📋 Detalle Diario'!$B$5:$B$489, B1735, '📋 Detalle Diario'!$C$5:$C$489, D1735) * 135 + SUMIFS('📋 Detalle Diario'!$I$5:$I$489, '📋 Detalle Diario'!$B$5:$B$489, B1735, '📋 Detalle Diario'!$C$5:$C$489, D1735) * 200), 0))</f>
        <v/>
      </c>
      <c r="P1735" s="32" t="str">
        <f t="shared" ref="P1735:P1798" si="194">IF(OR(B1735="",C1735=""),"",IF(K1735=0, 0, O1735/K1735))</f>
        <v/>
      </c>
      <c r="Q1735" s="33" t="str">
        <f t="shared" ref="Q1735:Q1798" si="195">IF(B1735="","",IF(ISNUMBER(B1735),YEAR(B1735)&amp;"-"&amp;IF(MONTH(B1735)&lt;10,"0","")&amp;MONTH(B1735),LEFT(B1735,7)))</f>
        <v/>
      </c>
    </row>
    <row r="1736" spans="2:17" ht="18" customHeight="1" x14ac:dyDescent="0.3">
      <c r="B1736" s="26"/>
      <c r="C1736" s="17"/>
      <c r="D1736" s="27"/>
      <c r="E1736" s="18"/>
      <c r="F1736" s="18"/>
      <c r="G1736" s="18"/>
      <c r="H1736" s="30" t="str">
        <f t="shared" si="189"/>
        <v/>
      </c>
      <c r="I1736" s="31" t="str">
        <f>IF(OR(B1736="",C1736=""),"",IFERROR(E1736*IF(E1736="",0,VLOOKUP(C1736,'📦 Precios Proforma'!$B$5:$D$104,IF(D1736="DIA",2,3),FALSE)),0))</f>
        <v/>
      </c>
      <c r="J1736" s="31" t="str">
        <f t="shared" si="190"/>
        <v/>
      </c>
      <c r="K1736" s="31" t="str">
        <f t="shared" si="191"/>
        <v/>
      </c>
      <c r="L1736" s="31" t="str">
        <f>IF(OR(B1736="",C1736=""),"",IFERROR(E1736 / SUMIFS('📅 Resumen Diario'!$D$5:$D$504, '📅 Resumen Diario'!$B$5:$B$504, B1736, '📅 Resumen Diario'!$C$5:$C$504, D1736) * SUMIFS('📅 Resumen Diario'!$K$5:$K$504, '📅 Resumen Diario'!$B$5:$B$504, B1736, '📅 Resumen Diario'!$C$5:$C$504, D1736), 0))</f>
        <v/>
      </c>
      <c r="M1736" s="31" t="str">
        <f t="shared" si="192"/>
        <v/>
      </c>
      <c r="N1736" s="31" t="str">
        <f t="shared" si="193"/>
        <v/>
      </c>
      <c r="O1736" s="31" t="str">
        <f>IF(OR(B1736="",C1736=""),"",K1736-N1736 + IFERROR(E1736 / SUMIFS('📅 Resumen Diario'!$D$5:$D$504, '📅 Resumen Diario'!$B$5:$B$504, B1736, '📅 Resumen Diario'!$C$5:$C$504, D1736) * (SUMIFS('📋 Detalle Diario'!$E$5:$E$489, '📋 Detalle Diario'!$B$5:$B$489, B1736, '📋 Detalle Diario'!$C$5:$C$489, D1736) * 135 + SUMIFS('📋 Detalle Diario'!$I$5:$I$489, '📋 Detalle Diario'!$B$5:$B$489, B1736, '📋 Detalle Diario'!$C$5:$C$489, D1736) * 200), 0))</f>
        <v/>
      </c>
      <c r="P1736" s="32" t="str">
        <f t="shared" si="194"/>
        <v/>
      </c>
      <c r="Q1736" s="33" t="str">
        <f t="shared" si="195"/>
        <v/>
      </c>
    </row>
    <row r="1737" spans="2:17" ht="18" customHeight="1" x14ac:dyDescent="0.3">
      <c r="B1737" s="26"/>
      <c r="C1737" s="28"/>
      <c r="D1737" s="27"/>
      <c r="E1737" s="29"/>
      <c r="F1737" s="29"/>
      <c r="G1737" s="29"/>
      <c r="H1737" s="30" t="str">
        <f t="shared" si="189"/>
        <v/>
      </c>
      <c r="I1737" s="31" t="str">
        <f>IF(OR(B1737="",C1737=""),"",IFERROR(E1737*IF(E1737="",0,VLOOKUP(C1737,'📦 Precios Proforma'!$B$5:$D$104,IF(D1737="DIA",2,3),FALSE)),0))</f>
        <v/>
      </c>
      <c r="J1737" s="31" t="str">
        <f t="shared" si="190"/>
        <v/>
      </c>
      <c r="K1737" s="31" t="str">
        <f t="shared" si="191"/>
        <v/>
      </c>
      <c r="L1737" s="31" t="str">
        <f>IF(OR(B1737="",C1737=""),"",IFERROR(E1737 / SUMIFS('📅 Resumen Diario'!$D$5:$D$504, '📅 Resumen Diario'!$B$5:$B$504, B1737, '📅 Resumen Diario'!$C$5:$C$504, D1737) * SUMIFS('📅 Resumen Diario'!$K$5:$K$504, '📅 Resumen Diario'!$B$5:$B$504, B1737, '📅 Resumen Diario'!$C$5:$C$504, D1737), 0))</f>
        <v/>
      </c>
      <c r="M1737" s="31" t="str">
        <f t="shared" si="192"/>
        <v/>
      </c>
      <c r="N1737" s="31" t="str">
        <f t="shared" si="193"/>
        <v/>
      </c>
      <c r="O1737" s="31" t="str">
        <f>IF(OR(B1737="",C1737=""),"",K1737-N1737 + IFERROR(E1737 / SUMIFS('📅 Resumen Diario'!$D$5:$D$504, '📅 Resumen Diario'!$B$5:$B$504, B1737, '📅 Resumen Diario'!$C$5:$C$504, D1737) * (SUMIFS('📋 Detalle Diario'!$E$5:$E$489, '📋 Detalle Diario'!$B$5:$B$489, B1737, '📋 Detalle Diario'!$C$5:$C$489, D1737) * 135 + SUMIFS('📋 Detalle Diario'!$I$5:$I$489, '📋 Detalle Diario'!$B$5:$B$489, B1737, '📋 Detalle Diario'!$C$5:$C$489, D1737) * 200), 0))</f>
        <v/>
      </c>
      <c r="P1737" s="32" t="str">
        <f t="shared" si="194"/>
        <v/>
      </c>
      <c r="Q1737" s="33" t="str">
        <f t="shared" si="195"/>
        <v/>
      </c>
    </row>
    <row r="1738" spans="2:17" ht="18" customHeight="1" x14ac:dyDescent="0.3">
      <c r="B1738" s="26"/>
      <c r="C1738" s="17"/>
      <c r="D1738" s="27"/>
      <c r="E1738" s="18"/>
      <c r="F1738" s="18"/>
      <c r="G1738" s="18"/>
      <c r="H1738" s="30" t="str">
        <f t="shared" si="189"/>
        <v/>
      </c>
      <c r="I1738" s="31" t="str">
        <f>IF(OR(B1738="",C1738=""),"",IFERROR(E1738*IF(E1738="",0,VLOOKUP(C1738,'📦 Precios Proforma'!$B$5:$D$104,IF(D1738="DIA",2,3),FALSE)),0))</f>
        <v/>
      </c>
      <c r="J1738" s="31" t="str">
        <f t="shared" si="190"/>
        <v/>
      </c>
      <c r="K1738" s="31" t="str">
        <f t="shared" si="191"/>
        <v/>
      </c>
      <c r="L1738" s="31" t="str">
        <f>IF(OR(B1738="",C1738=""),"",IFERROR(E1738 / SUMIFS('📅 Resumen Diario'!$D$5:$D$504, '📅 Resumen Diario'!$B$5:$B$504, B1738, '📅 Resumen Diario'!$C$5:$C$504, D1738) * SUMIFS('📅 Resumen Diario'!$K$5:$K$504, '📅 Resumen Diario'!$B$5:$B$504, B1738, '📅 Resumen Diario'!$C$5:$C$504, D1738), 0))</f>
        <v/>
      </c>
      <c r="M1738" s="31" t="str">
        <f t="shared" si="192"/>
        <v/>
      </c>
      <c r="N1738" s="31" t="str">
        <f t="shared" si="193"/>
        <v/>
      </c>
      <c r="O1738" s="31" t="str">
        <f>IF(OR(B1738="",C1738=""),"",K1738-N1738 + IFERROR(E1738 / SUMIFS('📅 Resumen Diario'!$D$5:$D$504, '📅 Resumen Diario'!$B$5:$B$504, B1738, '📅 Resumen Diario'!$C$5:$C$504, D1738) * (SUMIFS('📋 Detalle Diario'!$E$5:$E$489, '📋 Detalle Diario'!$B$5:$B$489, B1738, '📋 Detalle Diario'!$C$5:$C$489, D1738) * 135 + SUMIFS('📋 Detalle Diario'!$I$5:$I$489, '📋 Detalle Diario'!$B$5:$B$489, B1738, '📋 Detalle Diario'!$C$5:$C$489, D1738) * 200), 0))</f>
        <v/>
      </c>
      <c r="P1738" s="32" t="str">
        <f t="shared" si="194"/>
        <v/>
      </c>
      <c r="Q1738" s="33" t="str">
        <f t="shared" si="195"/>
        <v/>
      </c>
    </row>
    <row r="1739" spans="2:17" ht="18" customHeight="1" x14ac:dyDescent="0.3">
      <c r="B1739" s="26"/>
      <c r="C1739" s="28"/>
      <c r="D1739" s="27"/>
      <c r="E1739" s="29"/>
      <c r="F1739" s="29"/>
      <c r="G1739" s="29"/>
      <c r="H1739" s="30" t="str">
        <f t="shared" si="189"/>
        <v/>
      </c>
      <c r="I1739" s="31" t="str">
        <f>IF(OR(B1739="",C1739=""),"",IFERROR(E1739*IF(E1739="",0,VLOOKUP(C1739,'📦 Precios Proforma'!$B$5:$D$104,IF(D1739="DIA",2,3),FALSE)),0))</f>
        <v/>
      </c>
      <c r="J1739" s="31" t="str">
        <f t="shared" si="190"/>
        <v/>
      </c>
      <c r="K1739" s="31" t="str">
        <f t="shared" si="191"/>
        <v/>
      </c>
      <c r="L1739" s="31" t="str">
        <f>IF(OR(B1739="",C1739=""),"",IFERROR(E1739 / SUMIFS('📅 Resumen Diario'!$D$5:$D$504, '📅 Resumen Diario'!$B$5:$B$504, B1739, '📅 Resumen Diario'!$C$5:$C$504, D1739) * SUMIFS('📅 Resumen Diario'!$K$5:$K$504, '📅 Resumen Diario'!$B$5:$B$504, B1739, '📅 Resumen Diario'!$C$5:$C$504, D1739), 0))</f>
        <v/>
      </c>
      <c r="M1739" s="31" t="str">
        <f t="shared" si="192"/>
        <v/>
      </c>
      <c r="N1739" s="31" t="str">
        <f t="shared" si="193"/>
        <v/>
      </c>
      <c r="O1739" s="31" t="str">
        <f>IF(OR(B1739="",C1739=""),"",K1739-N1739 + IFERROR(E1739 / SUMIFS('📅 Resumen Diario'!$D$5:$D$504, '📅 Resumen Diario'!$B$5:$B$504, B1739, '📅 Resumen Diario'!$C$5:$C$504, D1739) * (SUMIFS('📋 Detalle Diario'!$E$5:$E$489, '📋 Detalle Diario'!$B$5:$B$489, B1739, '📋 Detalle Diario'!$C$5:$C$489, D1739) * 135 + SUMIFS('📋 Detalle Diario'!$I$5:$I$489, '📋 Detalle Diario'!$B$5:$B$489, B1739, '📋 Detalle Diario'!$C$5:$C$489, D1739) * 200), 0))</f>
        <v/>
      </c>
      <c r="P1739" s="32" t="str">
        <f t="shared" si="194"/>
        <v/>
      </c>
      <c r="Q1739" s="33" t="str">
        <f t="shared" si="195"/>
        <v/>
      </c>
    </row>
    <row r="1740" spans="2:17" ht="18" customHeight="1" x14ac:dyDescent="0.3">
      <c r="B1740" s="26"/>
      <c r="C1740" s="17"/>
      <c r="D1740" s="27"/>
      <c r="E1740" s="18"/>
      <c r="F1740" s="18"/>
      <c r="G1740" s="18"/>
      <c r="H1740" s="30" t="str">
        <f t="shared" si="189"/>
        <v/>
      </c>
      <c r="I1740" s="31" t="str">
        <f>IF(OR(B1740="",C1740=""),"",IFERROR(E1740*IF(E1740="",0,VLOOKUP(C1740,'📦 Precios Proforma'!$B$5:$D$104,IF(D1740="DIA",2,3),FALSE)),0))</f>
        <v/>
      </c>
      <c r="J1740" s="31" t="str">
        <f t="shared" si="190"/>
        <v/>
      </c>
      <c r="K1740" s="31" t="str">
        <f t="shared" si="191"/>
        <v/>
      </c>
      <c r="L1740" s="31" t="str">
        <f>IF(OR(B1740="",C1740=""),"",IFERROR(E1740 / SUMIFS('📅 Resumen Diario'!$D$5:$D$504, '📅 Resumen Diario'!$B$5:$B$504, B1740, '📅 Resumen Diario'!$C$5:$C$504, D1740) * SUMIFS('📅 Resumen Diario'!$K$5:$K$504, '📅 Resumen Diario'!$B$5:$B$504, B1740, '📅 Resumen Diario'!$C$5:$C$504, D1740), 0))</f>
        <v/>
      </c>
      <c r="M1740" s="31" t="str">
        <f t="shared" si="192"/>
        <v/>
      </c>
      <c r="N1740" s="31" t="str">
        <f t="shared" si="193"/>
        <v/>
      </c>
      <c r="O1740" s="31" t="str">
        <f>IF(OR(B1740="",C1740=""),"",K1740-N1740 + IFERROR(E1740 / SUMIFS('📅 Resumen Diario'!$D$5:$D$504, '📅 Resumen Diario'!$B$5:$B$504, B1740, '📅 Resumen Diario'!$C$5:$C$504, D1740) * (SUMIFS('📋 Detalle Diario'!$E$5:$E$489, '📋 Detalle Diario'!$B$5:$B$489, B1740, '📋 Detalle Diario'!$C$5:$C$489, D1740) * 135 + SUMIFS('📋 Detalle Diario'!$I$5:$I$489, '📋 Detalle Diario'!$B$5:$B$489, B1740, '📋 Detalle Diario'!$C$5:$C$489, D1740) * 200), 0))</f>
        <v/>
      </c>
      <c r="P1740" s="32" t="str">
        <f t="shared" si="194"/>
        <v/>
      </c>
      <c r="Q1740" s="33" t="str">
        <f t="shared" si="195"/>
        <v/>
      </c>
    </row>
    <row r="1741" spans="2:17" ht="18" customHeight="1" x14ac:dyDescent="0.3">
      <c r="B1741" s="26"/>
      <c r="C1741" s="28"/>
      <c r="D1741" s="27"/>
      <c r="E1741" s="29"/>
      <c r="F1741" s="29"/>
      <c r="G1741" s="29"/>
      <c r="H1741" s="30" t="str">
        <f t="shared" si="189"/>
        <v/>
      </c>
      <c r="I1741" s="31" t="str">
        <f>IF(OR(B1741="",C1741=""),"",IFERROR(E1741*IF(E1741="",0,VLOOKUP(C1741,'📦 Precios Proforma'!$B$5:$D$104,IF(D1741="DIA",2,3),FALSE)),0))</f>
        <v/>
      </c>
      <c r="J1741" s="31" t="str">
        <f t="shared" si="190"/>
        <v/>
      </c>
      <c r="K1741" s="31" t="str">
        <f t="shared" si="191"/>
        <v/>
      </c>
      <c r="L1741" s="31" t="str">
        <f>IF(OR(B1741="",C1741=""),"",IFERROR(E1741 / SUMIFS('📅 Resumen Diario'!$D$5:$D$504, '📅 Resumen Diario'!$B$5:$B$504, B1741, '📅 Resumen Diario'!$C$5:$C$504, D1741) * SUMIFS('📅 Resumen Diario'!$K$5:$K$504, '📅 Resumen Diario'!$B$5:$B$504, B1741, '📅 Resumen Diario'!$C$5:$C$504, D1741), 0))</f>
        <v/>
      </c>
      <c r="M1741" s="31" t="str">
        <f t="shared" si="192"/>
        <v/>
      </c>
      <c r="N1741" s="31" t="str">
        <f t="shared" si="193"/>
        <v/>
      </c>
      <c r="O1741" s="31" t="str">
        <f>IF(OR(B1741="",C1741=""),"",K1741-N1741 + IFERROR(E1741 / SUMIFS('📅 Resumen Diario'!$D$5:$D$504, '📅 Resumen Diario'!$B$5:$B$504, B1741, '📅 Resumen Diario'!$C$5:$C$504, D1741) * (SUMIFS('📋 Detalle Diario'!$E$5:$E$489, '📋 Detalle Diario'!$B$5:$B$489, B1741, '📋 Detalle Diario'!$C$5:$C$489, D1741) * 135 + SUMIFS('📋 Detalle Diario'!$I$5:$I$489, '📋 Detalle Diario'!$B$5:$B$489, B1741, '📋 Detalle Diario'!$C$5:$C$489, D1741) * 200), 0))</f>
        <v/>
      </c>
      <c r="P1741" s="32" t="str">
        <f t="shared" si="194"/>
        <v/>
      </c>
      <c r="Q1741" s="33" t="str">
        <f t="shared" si="195"/>
        <v/>
      </c>
    </row>
    <row r="1742" spans="2:17" ht="18" customHeight="1" x14ac:dyDescent="0.3">
      <c r="B1742" s="26"/>
      <c r="C1742" s="17"/>
      <c r="D1742" s="27"/>
      <c r="E1742" s="18"/>
      <c r="F1742" s="18"/>
      <c r="G1742" s="18"/>
      <c r="H1742" s="30" t="str">
        <f t="shared" si="189"/>
        <v/>
      </c>
      <c r="I1742" s="31" t="str">
        <f>IF(OR(B1742="",C1742=""),"",IFERROR(E1742*IF(E1742="",0,VLOOKUP(C1742,'📦 Precios Proforma'!$B$5:$D$104,IF(D1742="DIA",2,3),FALSE)),0))</f>
        <v/>
      </c>
      <c r="J1742" s="31" t="str">
        <f t="shared" si="190"/>
        <v/>
      </c>
      <c r="K1742" s="31" t="str">
        <f t="shared" si="191"/>
        <v/>
      </c>
      <c r="L1742" s="31" t="str">
        <f>IF(OR(B1742="",C1742=""),"",IFERROR(E1742 / SUMIFS('📅 Resumen Diario'!$D$5:$D$504, '📅 Resumen Diario'!$B$5:$B$504, B1742, '📅 Resumen Diario'!$C$5:$C$504, D1742) * SUMIFS('📅 Resumen Diario'!$K$5:$K$504, '📅 Resumen Diario'!$B$5:$B$504, B1742, '📅 Resumen Diario'!$C$5:$C$504, D1742), 0))</f>
        <v/>
      </c>
      <c r="M1742" s="31" t="str">
        <f t="shared" si="192"/>
        <v/>
      </c>
      <c r="N1742" s="31" t="str">
        <f t="shared" si="193"/>
        <v/>
      </c>
      <c r="O1742" s="31" t="str">
        <f>IF(OR(B1742="",C1742=""),"",K1742-N1742 + IFERROR(E1742 / SUMIFS('📅 Resumen Diario'!$D$5:$D$504, '📅 Resumen Diario'!$B$5:$B$504, B1742, '📅 Resumen Diario'!$C$5:$C$504, D1742) * (SUMIFS('📋 Detalle Diario'!$E$5:$E$489, '📋 Detalle Diario'!$B$5:$B$489, B1742, '📋 Detalle Diario'!$C$5:$C$489, D1742) * 135 + SUMIFS('📋 Detalle Diario'!$I$5:$I$489, '📋 Detalle Diario'!$B$5:$B$489, B1742, '📋 Detalle Diario'!$C$5:$C$489, D1742) * 200), 0))</f>
        <v/>
      </c>
      <c r="P1742" s="32" t="str">
        <f t="shared" si="194"/>
        <v/>
      </c>
      <c r="Q1742" s="33" t="str">
        <f t="shared" si="195"/>
        <v/>
      </c>
    </row>
    <row r="1743" spans="2:17" ht="18" customHeight="1" x14ac:dyDescent="0.3">
      <c r="B1743" s="26"/>
      <c r="C1743" s="28"/>
      <c r="D1743" s="27"/>
      <c r="E1743" s="29"/>
      <c r="F1743" s="29"/>
      <c r="G1743" s="29"/>
      <c r="H1743" s="30" t="str">
        <f t="shared" si="189"/>
        <v/>
      </c>
      <c r="I1743" s="31" t="str">
        <f>IF(OR(B1743="",C1743=""),"",IFERROR(E1743*IF(E1743="",0,VLOOKUP(C1743,'📦 Precios Proforma'!$B$5:$D$104,IF(D1743="DIA",2,3),FALSE)),0))</f>
        <v/>
      </c>
      <c r="J1743" s="31" t="str">
        <f t="shared" si="190"/>
        <v/>
      </c>
      <c r="K1743" s="31" t="str">
        <f t="shared" si="191"/>
        <v/>
      </c>
      <c r="L1743" s="31" t="str">
        <f>IF(OR(B1743="",C1743=""),"",IFERROR(E1743 / SUMIFS('📅 Resumen Diario'!$D$5:$D$504, '📅 Resumen Diario'!$B$5:$B$504, B1743, '📅 Resumen Diario'!$C$5:$C$504, D1743) * SUMIFS('📅 Resumen Diario'!$K$5:$K$504, '📅 Resumen Diario'!$B$5:$B$504, B1743, '📅 Resumen Diario'!$C$5:$C$504, D1743), 0))</f>
        <v/>
      </c>
      <c r="M1743" s="31" t="str">
        <f t="shared" si="192"/>
        <v/>
      </c>
      <c r="N1743" s="31" t="str">
        <f t="shared" si="193"/>
        <v/>
      </c>
      <c r="O1743" s="31" t="str">
        <f>IF(OR(B1743="",C1743=""),"",K1743-N1743 + IFERROR(E1743 / SUMIFS('📅 Resumen Diario'!$D$5:$D$504, '📅 Resumen Diario'!$B$5:$B$504, B1743, '📅 Resumen Diario'!$C$5:$C$504, D1743) * (SUMIFS('📋 Detalle Diario'!$E$5:$E$489, '📋 Detalle Diario'!$B$5:$B$489, B1743, '📋 Detalle Diario'!$C$5:$C$489, D1743) * 135 + SUMIFS('📋 Detalle Diario'!$I$5:$I$489, '📋 Detalle Diario'!$B$5:$B$489, B1743, '📋 Detalle Diario'!$C$5:$C$489, D1743) * 200), 0))</f>
        <v/>
      </c>
      <c r="P1743" s="32" t="str">
        <f t="shared" si="194"/>
        <v/>
      </c>
      <c r="Q1743" s="33" t="str">
        <f t="shared" si="195"/>
        <v/>
      </c>
    </row>
    <row r="1744" spans="2:17" ht="18" customHeight="1" x14ac:dyDescent="0.3">
      <c r="B1744" s="26"/>
      <c r="C1744" s="17"/>
      <c r="D1744" s="27"/>
      <c r="E1744" s="18"/>
      <c r="F1744" s="18"/>
      <c r="G1744" s="18"/>
      <c r="H1744" s="30" t="str">
        <f t="shared" si="189"/>
        <v/>
      </c>
      <c r="I1744" s="31" t="str">
        <f>IF(OR(B1744="",C1744=""),"",IFERROR(E1744*IF(E1744="",0,VLOOKUP(C1744,'📦 Precios Proforma'!$B$5:$D$104,IF(D1744="DIA",2,3),FALSE)),0))</f>
        <v/>
      </c>
      <c r="J1744" s="31" t="str">
        <f t="shared" si="190"/>
        <v/>
      </c>
      <c r="K1744" s="31" t="str">
        <f t="shared" si="191"/>
        <v/>
      </c>
      <c r="L1744" s="31" t="str">
        <f>IF(OR(B1744="",C1744=""),"",IFERROR(E1744 / SUMIFS('📅 Resumen Diario'!$D$5:$D$504, '📅 Resumen Diario'!$B$5:$B$504, B1744, '📅 Resumen Diario'!$C$5:$C$504, D1744) * SUMIFS('📅 Resumen Diario'!$K$5:$K$504, '📅 Resumen Diario'!$B$5:$B$504, B1744, '📅 Resumen Diario'!$C$5:$C$504, D1744), 0))</f>
        <v/>
      </c>
      <c r="M1744" s="31" t="str">
        <f t="shared" si="192"/>
        <v/>
      </c>
      <c r="N1744" s="31" t="str">
        <f t="shared" si="193"/>
        <v/>
      </c>
      <c r="O1744" s="31" t="str">
        <f>IF(OR(B1744="",C1744=""),"",K1744-N1744 + IFERROR(E1744 / SUMIFS('📅 Resumen Diario'!$D$5:$D$504, '📅 Resumen Diario'!$B$5:$B$504, B1744, '📅 Resumen Diario'!$C$5:$C$504, D1744) * (SUMIFS('📋 Detalle Diario'!$E$5:$E$489, '📋 Detalle Diario'!$B$5:$B$489, B1744, '📋 Detalle Diario'!$C$5:$C$489, D1744) * 135 + SUMIFS('📋 Detalle Diario'!$I$5:$I$489, '📋 Detalle Diario'!$B$5:$B$489, B1744, '📋 Detalle Diario'!$C$5:$C$489, D1744) * 200), 0))</f>
        <v/>
      </c>
      <c r="P1744" s="32" t="str">
        <f t="shared" si="194"/>
        <v/>
      </c>
      <c r="Q1744" s="33" t="str">
        <f t="shared" si="195"/>
        <v/>
      </c>
    </row>
    <row r="1745" spans="2:17" ht="18" customHeight="1" x14ac:dyDescent="0.3">
      <c r="B1745" s="26"/>
      <c r="C1745" s="28"/>
      <c r="D1745" s="27"/>
      <c r="E1745" s="29"/>
      <c r="F1745" s="29"/>
      <c r="G1745" s="29"/>
      <c r="H1745" s="30" t="str">
        <f t="shared" si="189"/>
        <v/>
      </c>
      <c r="I1745" s="31" t="str">
        <f>IF(OR(B1745="",C1745=""),"",IFERROR(E1745*IF(E1745="",0,VLOOKUP(C1745,'📦 Precios Proforma'!$B$5:$D$104,IF(D1745="DIA",2,3),FALSE)),0))</f>
        <v/>
      </c>
      <c r="J1745" s="31" t="str">
        <f t="shared" si="190"/>
        <v/>
      </c>
      <c r="K1745" s="31" t="str">
        <f t="shared" si="191"/>
        <v/>
      </c>
      <c r="L1745" s="31" t="str">
        <f>IF(OR(B1745="",C1745=""),"",IFERROR(E1745 / SUMIFS('📅 Resumen Diario'!$D$5:$D$504, '📅 Resumen Diario'!$B$5:$B$504, B1745, '📅 Resumen Diario'!$C$5:$C$504, D1745) * SUMIFS('📅 Resumen Diario'!$K$5:$K$504, '📅 Resumen Diario'!$B$5:$B$504, B1745, '📅 Resumen Diario'!$C$5:$C$504, D1745), 0))</f>
        <v/>
      </c>
      <c r="M1745" s="31" t="str">
        <f t="shared" si="192"/>
        <v/>
      </c>
      <c r="N1745" s="31" t="str">
        <f t="shared" si="193"/>
        <v/>
      </c>
      <c r="O1745" s="31" t="str">
        <f>IF(OR(B1745="",C1745=""),"",K1745-N1745 + IFERROR(E1745 / SUMIFS('📅 Resumen Diario'!$D$5:$D$504, '📅 Resumen Diario'!$B$5:$B$504, B1745, '📅 Resumen Diario'!$C$5:$C$504, D1745) * (SUMIFS('📋 Detalle Diario'!$E$5:$E$489, '📋 Detalle Diario'!$B$5:$B$489, B1745, '📋 Detalle Diario'!$C$5:$C$489, D1745) * 135 + SUMIFS('📋 Detalle Diario'!$I$5:$I$489, '📋 Detalle Diario'!$B$5:$B$489, B1745, '📋 Detalle Diario'!$C$5:$C$489, D1745) * 200), 0))</f>
        <v/>
      </c>
      <c r="P1745" s="32" t="str">
        <f t="shared" si="194"/>
        <v/>
      </c>
      <c r="Q1745" s="33" t="str">
        <f t="shared" si="195"/>
        <v/>
      </c>
    </row>
    <row r="1746" spans="2:17" ht="18" customHeight="1" x14ac:dyDescent="0.3">
      <c r="B1746" s="26"/>
      <c r="C1746" s="17"/>
      <c r="D1746" s="27"/>
      <c r="E1746" s="18"/>
      <c r="F1746" s="18"/>
      <c r="G1746" s="18"/>
      <c r="H1746" s="30" t="str">
        <f t="shared" si="189"/>
        <v/>
      </c>
      <c r="I1746" s="31" t="str">
        <f>IF(OR(B1746="",C1746=""),"",IFERROR(E1746*IF(E1746="",0,VLOOKUP(C1746,'📦 Precios Proforma'!$B$5:$D$104,IF(D1746="DIA",2,3),FALSE)),0))</f>
        <v/>
      </c>
      <c r="J1746" s="31" t="str">
        <f t="shared" si="190"/>
        <v/>
      </c>
      <c r="K1746" s="31" t="str">
        <f t="shared" si="191"/>
        <v/>
      </c>
      <c r="L1746" s="31" t="str">
        <f>IF(OR(B1746="",C1746=""),"",IFERROR(E1746 / SUMIFS('📅 Resumen Diario'!$D$5:$D$504, '📅 Resumen Diario'!$B$5:$B$504, B1746, '📅 Resumen Diario'!$C$5:$C$504, D1746) * SUMIFS('📅 Resumen Diario'!$K$5:$K$504, '📅 Resumen Diario'!$B$5:$B$504, B1746, '📅 Resumen Diario'!$C$5:$C$504, D1746), 0))</f>
        <v/>
      </c>
      <c r="M1746" s="31" t="str">
        <f t="shared" si="192"/>
        <v/>
      </c>
      <c r="N1746" s="31" t="str">
        <f t="shared" si="193"/>
        <v/>
      </c>
      <c r="O1746" s="31" t="str">
        <f>IF(OR(B1746="",C1746=""),"",K1746-N1746 + IFERROR(E1746 / SUMIFS('📅 Resumen Diario'!$D$5:$D$504, '📅 Resumen Diario'!$B$5:$B$504, B1746, '📅 Resumen Diario'!$C$5:$C$504, D1746) * (SUMIFS('📋 Detalle Diario'!$E$5:$E$489, '📋 Detalle Diario'!$B$5:$B$489, B1746, '📋 Detalle Diario'!$C$5:$C$489, D1746) * 135 + SUMIFS('📋 Detalle Diario'!$I$5:$I$489, '📋 Detalle Diario'!$B$5:$B$489, B1746, '📋 Detalle Diario'!$C$5:$C$489, D1746) * 200), 0))</f>
        <v/>
      </c>
      <c r="P1746" s="32" t="str">
        <f t="shared" si="194"/>
        <v/>
      </c>
      <c r="Q1746" s="33" t="str">
        <f t="shared" si="195"/>
        <v/>
      </c>
    </row>
    <row r="1747" spans="2:17" ht="18" customHeight="1" x14ac:dyDescent="0.3">
      <c r="B1747" s="26"/>
      <c r="C1747" s="28"/>
      <c r="D1747" s="27"/>
      <c r="E1747" s="29"/>
      <c r="F1747" s="29"/>
      <c r="G1747" s="29"/>
      <c r="H1747" s="30" t="str">
        <f t="shared" si="189"/>
        <v/>
      </c>
      <c r="I1747" s="31" t="str">
        <f>IF(OR(B1747="",C1747=""),"",IFERROR(E1747*IF(E1747="",0,VLOOKUP(C1747,'📦 Precios Proforma'!$B$5:$D$104,IF(D1747="DIA",2,3),FALSE)),0))</f>
        <v/>
      </c>
      <c r="J1747" s="31" t="str">
        <f t="shared" si="190"/>
        <v/>
      </c>
      <c r="K1747" s="31" t="str">
        <f t="shared" si="191"/>
        <v/>
      </c>
      <c r="L1747" s="31" t="str">
        <f>IF(OR(B1747="",C1747=""),"",IFERROR(E1747 / SUMIFS('📅 Resumen Diario'!$D$5:$D$504, '📅 Resumen Diario'!$B$5:$B$504, B1747, '📅 Resumen Diario'!$C$5:$C$504, D1747) * SUMIFS('📅 Resumen Diario'!$K$5:$K$504, '📅 Resumen Diario'!$B$5:$B$504, B1747, '📅 Resumen Diario'!$C$5:$C$504, D1747), 0))</f>
        <v/>
      </c>
      <c r="M1747" s="31" t="str">
        <f t="shared" si="192"/>
        <v/>
      </c>
      <c r="N1747" s="31" t="str">
        <f t="shared" si="193"/>
        <v/>
      </c>
      <c r="O1747" s="31" t="str">
        <f>IF(OR(B1747="",C1747=""),"",K1747-N1747 + IFERROR(E1747 / SUMIFS('📅 Resumen Diario'!$D$5:$D$504, '📅 Resumen Diario'!$B$5:$B$504, B1747, '📅 Resumen Diario'!$C$5:$C$504, D1747) * (SUMIFS('📋 Detalle Diario'!$E$5:$E$489, '📋 Detalle Diario'!$B$5:$B$489, B1747, '📋 Detalle Diario'!$C$5:$C$489, D1747) * 135 + SUMIFS('📋 Detalle Diario'!$I$5:$I$489, '📋 Detalle Diario'!$B$5:$B$489, B1747, '📋 Detalle Diario'!$C$5:$C$489, D1747) * 200), 0))</f>
        <v/>
      </c>
      <c r="P1747" s="32" t="str">
        <f t="shared" si="194"/>
        <v/>
      </c>
      <c r="Q1747" s="33" t="str">
        <f t="shared" si="195"/>
        <v/>
      </c>
    </row>
    <row r="1748" spans="2:17" ht="18" customHeight="1" x14ac:dyDescent="0.3">
      <c r="B1748" s="26"/>
      <c r="C1748" s="17"/>
      <c r="D1748" s="27"/>
      <c r="E1748" s="18"/>
      <c r="F1748" s="18"/>
      <c r="G1748" s="18"/>
      <c r="H1748" s="30" t="str">
        <f t="shared" si="189"/>
        <v/>
      </c>
      <c r="I1748" s="31" t="str">
        <f>IF(OR(B1748="",C1748=""),"",IFERROR(E1748*IF(E1748="",0,VLOOKUP(C1748,'📦 Precios Proforma'!$B$5:$D$104,IF(D1748="DIA",2,3),FALSE)),0))</f>
        <v/>
      </c>
      <c r="J1748" s="31" t="str">
        <f t="shared" si="190"/>
        <v/>
      </c>
      <c r="K1748" s="31" t="str">
        <f t="shared" si="191"/>
        <v/>
      </c>
      <c r="L1748" s="31" t="str">
        <f>IF(OR(B1748="",C1748=""),"",IFERROR(E1748 / SUMIFS('📅 Resumen Diario'!$D$5:$D$504, '📅 Resumen Diario'!$B$5:$B$504, B1748, '📅 Resumen Diario'!$C$5:$C$504, D1748) * SUMIFS('📅 Resumen Diario'!$K$5:$K$504, '📅 Resumen Diario'!$B$5:$B$504, B1748, '📅 Resumen Diario'!$C$5:$C$504, D1748), 0))</f>
        <v/>
      </c>
      <c r="M1748" s="31" t="str">
        <f t="shared" si="192"/>
        <v/>
      </c>
      <c r="N1748" s="31" t="str">
        <f t="shared" si="193"/>
        <v/>
      </c>
      <c r="O1748" s="31" t="str">
        <f>IF(OR(B1748="",C1748=""),"",K1748-N1748 + IFERROR(E1748 / SUMIFS('📅 Resumen Diario'!$D$5:$D$504, '📅 Resumen Diario'!$B$5:$B$504, B1748, '📅 Resumen Diario'!$C$5:$C$504, D1748) * (SUMIFS('📋 Detalle Diario'!$E$5:$E$489, '📋 Detalle Diario'!$B$5:$B$489, B1748, '📋 Detalle Diario'!$C$5:$C$489, D1748) * 135 + SUMIFS('📋 Detalle Diario'!$I$5:$I$489, '📋 Detalle Diario'!$B$5:$B$489, B1748, '📋 Detalle Diario'!$C$5:$C$489, D1748) * 200), 0))</f>
        <v/>
      </c>
      <c r="P1748" s="32" t="str">
        <f t="shared" si="194"/>
        <v/>
      </c>
      <c r="Q1748" s="33" t="str">
        <f t="shared" si="195"/>
        <v/>
      </c>
    </row>
    <row r="1749" spans="2:17" ht="18" customHeight="1" x14ac:dyDescent="0.3">
      <c r="B1749" s="26"/>
      <c r="C1749" s="28"/>
      <c r="D1749" s="27"/>
      <c r="E1749" s="29"/>
      <c r="F1749" s="29"/>
      <c r="G1749" s="29"/>
      <c r="H1749" s="30" t="str">
        <f t="shared" si="189"/>
        <v/>
      </c>
      <c r="I1749" s="31" t="str">
        <f>IF(OR(B1749="",C1749=""),"",IFERROR(E1749*IF(E1749="",0,VLOOKUP(C1749,'📦 Precios Proforma'!$B$5:$D$104,IF(D1749="DIA",2,3),FALSE)),0))</f>
        <v/>
      </c>
      <c r="J1749" s="31" t="str">
        <f t="shared" si="190"/>
        <v/>
      </c>
      <c r="K1749" s="31" t="str">
        <f t="shared" si="191"/>
        <v/>
      </c>
      <c r="L1749" s="31" t="str">
        <f>IF(OR(B1749="",C1749=""),"",IFERROR(E1749 / SUMIFS('📅 Resumen Diario'!$D$5:$D$504, '📅 Resumen Diario'!$B$5:$B$504, B1749, '📅 Resumen Diario'!$C$5:$C$504, D1749) * SUMIFS('📅 Resumen Diario'!$K$5:$K$504, '📅 Resumen Diario'!$B$5:$B$504, B1749, '📅 Resumen Diario'!$C$5:$C$504, D1749), 0))</f>
        <v/>
      </c>
      <c r="M1749" s="31" t="str">
        <f t="shared" si="192"/>
        <v/>
      </c>
      <c r="N1749" s="31" t="str">
        <f t="shared" si="193"/>
        <v/>
      </c>
      <c r="O1749" s="31" t="str">
        <f>IF(OR(B1749="",C1749=""),"",K1749-N1749 + IFERROR(E1749 / SUMIFS('📅 Resumen Diario'!$D$5:$D$504, '📅 Resumen Diario'!$B$5:$B$504, B1749, '📅 Resumen Diario'!$C$5:$C$504, D1749) * (SUMIFS('📋 Detalle Diario'!$E$5:$E$489, '📋 Detalle Diario'!$B$5:$B$489, B1749, '📋 Detalle Diario'!$C$5:$C$489, D1749) * 135 + SUMIFS('📋 Detalle Diario'!$I$5:$I$489, '📋 Detalle Diario'!$B$5:$B$489, B1749, '📋 Detalle Diario'!$C$5:$C$489, D1749) * 200), 0))</f>
        <v/>
      </c>
      <c r="P1749" s="32" t="str">
        <f t="shared" si="194"/>
        <v/>
      </c>
      <c r="Q1749" s="33" t="str">
        <f t="shared" si="195"/>
        <v/>
      </c>
    </row>
    <row r="1750" spans="2:17" ht="18" customHeight="1" x14ac:dyDescent="0.3">
      <c r="B1750" s="26"/>
      <c r="C1750" s="17"/>
      <c r="D1750" s="27"/>
      <c r="E1750" s="18"/>
      <c r="F1750" s="18"/>
      <c r="G1750" s="18"/>
      <c r="H1750" s="30" t="str">
        <f t="shared" si="189"/>
        <v/>
      </c>
      <c r="I1750" s="31" t="str">
        <f>IF(OR(B1750="",C1750=""),"",IFERROR(E1750*IF(E1750="",0,VLOOKUP(C1750,'📦 Precios Proforma'!$B$5:$D$104,IF(D1750="DIA",2,3),FALSE)),0))</f>
        <v/>
      </c>
      <c r="J1750" s="31" t="str">
        <f t="shared" si="190"/>
        <v/>
      </c>
      <c r="K1750" s="31" t="str">
        <f t="shared" si="191"/>
        <v/>
      </c>
      <c r="L1750" s="31" t="str">
        <f>IF(OR(B1750="",C1750=""),"",IFERROR(E1750 / SUMIFS('📅 Resumen Diario'!$D$5:$D$504, '📅 Resumen Diario'!$B$5:$B$504, B1750, '📅 Resumen Diario'!$C$5:$C$504, D1750) * SUMIFS('📅 Resumen Diario'!$K$5:$K$504, '📅 Resumen Diario'!$B$5:$B$504, B1750, '📅 Resumen Diario'!$C$5:$C$504, D1750), 0))</f>
        <v/>
      </c>
      <c r="M1750" s="31" t="str">
        <f t="shared" si="192"/>
        <v/>
      </c>
      <c r="N1750" s="31" t="str">
        <f t="shared" si="193"/>
        <v/>
      </c>
      <c r="O1750" s="31" t="str">
        <f>IF(OR(B1750="",C1750=""),"",K1750-N1750 + IFERROR(E1750 / SUMIFS('📅 Resumen Diario'!$D$5:$D$504, '📅 Resumen Diario'!$B$5:$B$504, B1750, '📅 Resumen Diario'!$C$5:$C$504, D1750) * (SUMIFS('📋 Detalle Diario'!$E$5:$E$489, '📋 Detalle Diario'!$B$5:$B$489, B1750, '📋 Detalle Diario'!$C$5:$C$489, D1750) * 135 + SUMIFS('📋 Detalle Diario'!$I$5:$I$489, '📋 Detalle Diario'!$B$5:$B$489, B1750, '📋 Detalle Diario'!$C$5:$C$489, D1750) * 200), 0))</f>
        <v/>
      </c>
      <c r="P1750" s="32" t="str">
        <f t="shared" si="194"/>
        <v/>
      </c>
      <c r="Q1750" s="33" t="str">
        <f t="shared" si="195"/>
        <v/>
      </c>
    </row>
    <row r="1751" spans="2:17" ht="18" customHeight="1" x14ac:dyDescent="0.3">
      <c r="B1751" s="26"/>
      <c r="C1751" s="28"/>
      <c r="D1751" s="27"/>
      <c r="E1751" s="29"/>
      <c r="F1751" s="29"/>
      <c r="G1751" s="29"/>
      <c r="H1751" s="30" t="str">
        <f t="shared" si="189"/>
        <v/>
      </c>
      <c r="I1751" s="31" t="str">
        <f>IF(OR(B1751="",C1751=""),"",IFERROR(E1751*IF(E1751="",0,VLOOKUP(C1751,'📦 Precios Proforma'!$B$5:$D$104,IF(D1751="DIA",2,3),FALSE)),0))</f>
        <v/>
      </c>
      <c r="J1751" s="31" t="str">
        <f t="shared" si="190"/>
        <v/>
      </c>
      <c r="K1751" s="31" t="str">
        <f t="shared" si="191"/>
        <v/>
      </c>
      <c r="L1751" s="31" t="str">
        <f>IF(OR(B1751="",C1751=""),"",IFERROR(E1751 / SUMIFS('📅 Resumen Diario'!$D$5:$D$504, '📅 Resumen Diario'!$B$5:$B$504, B1751, '📅 Resumen Diario'!$C$5:$C$504, D1751) * SUMIFS('📅 Resumen Diario'!$K$5:$K$504, '📅 Resumen Diario'!$B$5:$B$504, B1751, '📅 Resumen Diario'!$C$5:$C$504, D1751), 0))</f>
        <v/>
      </c>
      <c r="M1751" s="31" t="str">
        <f t="shared" si="192"/>
        <v/>
      </c>
      <c r="N1751" s="31" t="str">
        <f t="shared" si="193"/>
        <v/>
      </c>
      <c r="O1751" s="31" t="str">
        <f>IF(OR(B1751="",C1751=""),"",K1751-N1751 + IFERROR(E1751 / SUMIFS('📅 Resumen Diario'!$D$5:$D$504, '📅 Resumen Diario'!$B$5:$B$504, B1751, '📅 Resumen Diario'!$C$5:$C$504, D1751) * (SUMIFS('📋 Detalle Diario'!$E$5:$E$489, '📋 Detalle Diario'!$B$5:$B$489, B1751, '📋 Detalle Diario'!$C$5:$C$489, D1751) * 135 + SUMIFS('📋 Detalle Diario'!$I$5:$I$489, '📋 Detalle Diario'!$B$5:$B$489, B1751, '📋 Detalle Diario'!$C$5:$C$489, D1751) * 200), 0))</f>
        <v/>
      </c>
      <c r="P1751" s="32" t="str">
        <f t="shared" si="194"/>
        <v/>
      </c>
      <c r="Q1751" s="33" t="str">
        <f t="shared" si="195"/>
        <v/>
      </c>
    </row>
    <row r="1752" spans="2:17" ht="18" customHeight="1" x14ac:dyDescent="0.3">
      <c r="B1752" s="26"/>
      <c r="C1752" s="17"/>
      <c r="D1752" s="27"/>
      <c r="E1752" s="18"/>
      <c r="F1752" s="18"/>
      <c r="G1752" s="18"/>
      <c r="H1752" s="30" t="str">
        <f t="shared" si="189"/>
        <v/>
      </c>
      <c r="I1752" s="31" t="str">
        <f>IF(OR(B1752="",C1752=""),"",IFERROR(E1752*IF(E1752="",0,VLOOKUP(C1752,'📦 Precios Proforma'!$B$5:$D$104,IF(D1752="DIA",2,3),FALSE)),0))</f>
        <v/>
      </c>
      <c r="J1752" s="31" t="str">
        <f t="shared" si="190"/>
        <v/>
      </c>
      <c r="K1752" s="31" t="str">
        <f t="shared" si="191"/>
        <v/>
      </c>
      <c r="L1752" s="31" t="str">
        <f>IF(OR(B1752="",C1752=""),"",IFERROR(E1752 / SUMIFS('📅 Resumen Diario'!$D$5:$D$504, '📅 Resumen Diario'!$B$5:$B$504, B1752, '📅 Resumen Diario'!$C$5:$C$504, D1752) * SUMIFS('📅 Resumen Diario'!$K$5:$K$504, '📅 Resumen Diario'!$B$5:$B$504, B1752, '📅 Resumen Diario'!$C$5:$C$504, D1752), 0))</f>
        <v/>
      </c>
      <c r="M1752" s="31" t="str">
        <f t="shared" si="192"/>
        <v/>
      </c>
      <c r="N1752" s="31" t="str">
        <f t="shared" si="193"/>
        <v/>
      </c>
      <c r="O1752" s="31" t="str">
        <f>IF(OR(B1752="",C1752=""),"",K1752-N1752 + IFERROR(E1752 / SUMIFS('📅 Resumen Diario'!$D$5:$D$504, '📅 Resumen Diario'!$B$5:$B$504, B1752, '📅 Resumen Diario'!$C$5:$C$504, D1752) * (SUMIFS('📋 Detalle Diario'!$E$5:$E$489, '📋 Detalle Diario'!$B$5:$B$489, B1752, '📋 Detalle Diario'!$C$5:$C$489, D1752) * 135 + SUMIFS('📋 Detalle Diario'!$I$5:$I$489, '📋 Detalle Diario'!$B$5:$B$489, B1752, '📋 Detalle Diario'!$C$5:$C$489, D1752) * 200), 0))</f>
        <v/>
      </c>
      <c r="P1752" s="32" t="str">
        <f t="shared" si="194"/>
        <v/>
      </c>
      <c r="Q1752" s="33" t="str">
        <f t="shared" si="195"/>
        <v/>
      </c>
    </row>
    <row r="1753" spans="2:17" ht="18" customHeight="1" x14ac:dyDescent="0.3">
      <c r="B1753" s="26"/>
      <c r="C1753" s="28"/>
      <c r="D1753" s="27"/>
      <c r="E1753" s="29"/>
      <c r="F1753" s="29"/>
      <c r="G1753" s="29"/>
      <c r="H1753" s="30" t="str">
        <f t="shared" si="189"/>
        <v/>
      </c>
      <c r="I1753" s="31" t="str">
        <f>IF(OR(B1753="",C1753=""),"",IFERROR(E1753*IF(E1753="",0,VLOOKUP(C1753,'📦 Precios Proforma'!$B$5:$D$104,IF(D1753="DIA",2,3),FALSE)),0))</f>
        <v/>
      </c>
      <c r="J1753" s="31" t="str">
        <f t="shared" si="190"/>
        <v/>
      </c>
      <c r="K1753" s="31" t="str">
        <f t="shared" si="191"/>
        <v/>
      </c>
      <c r="L1753" s="31" t="str">
        <f>IF(OR(B1753="",C1753=""),"",IFERROR(E1753 / SUMIFS('📅 Resumen Diario'!$D$5:$D$504, '📅 Resumen Diario'!$B$5:$B$504, B1753, '📅 Resumen Diario'!$C$5:$C$504, D1753) * SUMIFS('📅 Resumen Diario'!$K$5:$K$504, '📅 Resumen Diario'!$B$5:$B$504, B1753, '📅 Resumen Diario'!$C$5:$C$504, D1753), 0))</f>
        <v/>
      </c>
      <c r="M1753" s="31" t="str">
        <f t="shared" si="192"/>
        <v/>
      </c>
      <c r="N1753" s="31" t="str">
        <f t="shared" si="193"/>
        <v/>
      </c>
      <c r="O1753" s="31" t="str">
        <f>IF(OR(B1753="",C1753=""),"",K1753-N1753 + IFERROR(E1753 / SUMIFS('📅 Resumen Diario'!$D$5:$D$504, '📅 Resumen Diario'!$B$5:$B$504, B1753, '📅 Resumen Diario'!$C$5:$C$504, D1753) * (SUMIFS('📋 Detalle Diario'!$E$5:$E$489, '📋 Detalle Diario'!$B$5:$B$489, B1753, '📋 Detalle Diario'!$C$5:$C$489, D1753) * 135 + SUMIFS('📋 Detalle Diario'!$I$5:$I$489, '📋 Detalle Diario'!$B$5:$B$489, B1753, '📋 Detalle Diario'!$C$5:$C$489, D1753) * 200), 0))</f>
        <v/>
      </c>
      <c r="P1753" s="32" t="str">
        <f t="shared" si="194"/>
        <v/>
      </c>
      <c r="Q1753" s="33" t="str">
        <f t="shared" si="195"/>
        <v/>
      </c>
    </row>
    <row r="1754" spans="2:17" ht="18" customHeight="1" x14ac:dyDescent="0.3">
      <c r="B1754" s="26"/>
      <c r="C1754" s="17"/>
      <c r="D1754" s="27"/>
      <c r="E1754" s="18"/>
      <c r="F1754" s="18"/>
      <c r="G1754" s="18"/>
      <c r="H1754" s="30" t="str">
        <f t="shared" si="189"/>
        <v/>
      </c>
      <c r="I1754" s="31" t="str">
        <f>IF(OR(B1754="",C1754=""),"",IFERROR(E1754*IF(E1754="",0,VLOOKUP(C1754,'📦 Precios Proforma'!$B$5:$D$104,IF(D1754="DIA",2,3),FALSE)),0))</f>
        <v/>
      </c>
      <c r="J1754" s="31" t="str">
        <f t="shared" si="190"/>
        <v/>
      </c>
      <c r="K1754" s="31" t="str">
        <f t="shared" si="191"/>
        <v/>
      </c>
      <c r="L1754" s="31" t="str">
        <f>IF(OR(B1754="",C1754=""),"",IFERROR(E1754 / SUMIFS('📅 Resumen Diario'!$D$5:$D$504, '📅 Resumen Diario'!$B$5:$B$504, B1754, '📅 Resumen Diario'!$C$5:$C$504, D1754) * SUMIFS('📅 Resumen Diario'!$K$5:$K$504, '📅 Resumen Diario'!$B$5:$B$504, B1754, '📅 Resumen Diario'!$C$5:$C$504, D1754), 0))</f>
        <v/>
      </c>
      <c r="M1754" s="31" t="str">
        <f t="shared" si="192"/>
        <v/>
      </c>
      <c r="N1754" s="31" t="str">
        <f t="shared" si="193"/>
        <v/>
      </c>
      <c r="O1754" s="31" t="str">
        <f>IF(OR(B1754="",C1754=""),"",K1754-N1754 + IFERROR(E1754 / SUMIFS('📅 Resumen Diario'!$D$5:$D$504, '📅 Resumen Diario'!$B$5:$B$504, B1754, '📅 Resumen Diario'!$C$5:$C$504, D1754) * (SUMIFS('📋 Detalle Diario'!$E$5:$E$489, '📋 Detalle Diario'!$B$5:$B$489, B1754, '📋 Detalle Diario'!$C$5:$C$489, D1754) * 135 + SUMIFS('📋 Detalle Diario'!$I$5:$I$489, '📋 Detalle Diario'!$B$5:$B$489, B1754, '📋 Detalle Diario'!$C$5:$C$489, D1754) * 200), 0))</f>
        <v/>
      </c>
      <c r="P1754" s="32" t="str">
        <f t="shared" si="194"/>
        <v/>
      </c>
      <c r="Q1754" s="33" t="str">
        <f t="shared" si="195"/>
        <v/>
      </c>
    </row>
    <row r="1755" spans="2:17" ht="18" customHeight="1" x14ac:dyDescent="0.3">
      <c r="B1755" s="26"/>
      <c r="C1755" s="28"/>
      <c r="D1755" s="27"/>
      <c r="E1755" s="29"/>
      <c r="F1755" s="29"/>
      <c r="G1755" s="29"/>
      <c r="H1755" s="30" t="str">
        <f t="shared" si="189"/>
        <v/>
      </c>
      <c r="I1755" s="31" t="str">
        <f>IF(OR(B1755="",C1755=""),"",IFERROR(E1755*IF(E1755="",0,VLOOKUP(C1755,'📦 Precios Proforma'!$B$5:$D$104,IF(D1755="DIA",2,3),FALSE)),0))</f>
        <v/>
      </c>
      <c r="J1755" s="31" t="str">
        <f t="shared" si="190"/>
        <v/>
      </c>
      <c r="K1755" s="31" t="str">
        <f t="shared" si="191"/>
        <v/>
      </c>
      <c r="L1755" s="31" t="str">
        <f>IF(OR(B1755="",C1755=""),"",IFERROR(E1755 / SUMIFS('📅 Resumen Diario'!$D$5:$D$504, '📅 Resumen Diario'!$B$5:$B$504, B1755, '📅 Resumen Diario'!$C$5:$C$504, D1755) * SUMIFS('📅 Resumen Diario'!$K$5:$K$504, '📅 Resumen Diario'!$B$5:$B$504, B1755, '📅 Resumen Diario'!$C$5:$C$504, D1755), 0))</f>
        <v/>
      </c>
      <c r="M1755" s="31" t="str">
        <f t="shared" si="192"/>
        <v/>
      </c>
      <c r="N1755" s="31" t="str">
        <f t="shared" si="193"/>
        <v/>
      </c>
      <c r="O1755" s="31" t="str">
        <f>IF(OR(B1755="",C1755=""),"",K1755-N1755 + IFERROR(E1755 / SUMIFS('📅 Resumen Diario'!$D$5:$D$504, '📅 Resumen Diario'!$B$5:$B$504, B1755, '📅 Resumen Diario'!$C$5:$C$504, D1755) * (SUMIFS('📋 Detalle Diario'!$E$5:$E$489, '📋 Detalle Diario'!$B$5:$B$489, B1755, '📋 Detalle Diario'!$C$5:$C$489, D1755) * 135 + SUMIFS('📋 Detalle Diario'!$I$5:$I$489, '📋 Detalle Diario'!$B$5:$B$489, B1755, '📋 Detalle Diario'!$C$5:$C$489, D1755) * 200), 0))</f>
        <v/>
      </c>
      <c r="P1755" s="32" t="str">
        <f t="shared" si="194"/>
        <v/>
      </c>
      <c r="Q1755" s="33" t="str">
        <f t="shared" si="195"/>
        <v/>
      </c>
    </row>
    <row r="1756" spans="2:17" ht="18" customHeight="1" x14ac:dyDescent="0.3">
      <c r="B1756" s="26"/>
      <c r="C1756" s="17"/>
      <c r="D1756" s="27"/>
      <c r="E1756" s="18"/>
      <c r="F1756" s="18"/>
      <c r="G1756" s="18"/>
      <c r="H1756" s="30" t="str">
        <f t="shared" si="189"/>
        <v/>
      </c>
      <c r="I1756" s="31" t="str">
        <f>IF(OR(B1756="",C1756=""),"",IFERROR(E1756*IF(E1756="",0,VLOOKUP(C1756,'📦 Precios Proforma'!$B$5:$D$104,IF(D1756="DIA",2,3),FALSE)),0))</f>
        <v/>
      </c>
      <c r="J1756" s="31" t="str">
        <f t="shared" si="190"/>
        <v/>
      </c>
      <c r="K1756" s="31" t="str">
        <f t="shared" si="191"/>
        <v/>
      </c>
      <c r="L1756" s="31" t="str">
        <f>IF(OR(B1756="",C1756=""),"",IFERROR(E1756 / SUMIFS('📅 Resumen Diario'!$D$5:$D$504, '📅 Resumen Diario'!$B$5:$B$504, B1756, '📅 Resumen Diario'!$C$5:$C$504, D1756) * SUMIFS('📅 Resumen Diario'!$K$5:$K$504, '📅 Resumen Diario'!$B$5:$B$504, B1756, '📅 Resumen Diario'!$C$5:$C$504, D1756), 0))</f>
        <v/>
      </c>
      <c r="M1756" s="31" t="str">
        <f t="shared" si="192"/>
        <v/>
      </c>
      <c r="N1756" s="31" t="str">
        <f t="shared" si="193"/>
        <v/>
      </c>
      <c r="O1756" s="31" t="str">
        <f>IF(OR(B1756="",C1756=""),"",K1756-N1756 + IFERROR(E1756 / SUMIFS('📅 Resumen Diario'!$D$5:$D$504, '📅 Resumen Diario'!$B$5:$B$504, B1756, '📅 Resumen Diario'!$C$5:$C$504, D1756) * (SUMIFS('📋 Detalle Diario'!$E$5:$E$489, '📋 Detalle Diario'!$B$5:$B$489, B1756, '📋 Detalle Diario'!$C$5:$C$489, D1756) * 135 + SUMIFS('📋 Detalle Diario'!$I$5:$I$489, '📋 Detalle Diario'!$B$5:$B$489, B1756, '📋 Detalle Diario'!$C$5:$C$489, D1756) * 200), 0))</f>
        <v/>
      </c>
      <c r="P1756" s="32" t="str">
        <f t="shared" si="194"/>
        <v/>
      </c>
      <c r="Q1756" s="33" t="str">
        <f t="shared" si="195"/>
        <v/>
      </c>
    </row>
    <row r="1757" spans="2:17" ht="18" customHeight="1" x14ac:dyDescent="0.3">
      <c r="B1757" s="26"/>
      <c r="C1757" s="28"/>
      <c r="D1757" s="27"/>
      <c r="E1757" s="29"/>
      <c r="F1757" s="29"/>
      <c r="G1757" s="29"/>
      <c r="H1757" s="30" t="str">
        <f t="shared" si="189"/>
        <v/>
      </c>
      <c r="I1757" s="31" t="str">
        <f>IF(OR(B1757="",C1757=""),"",IFERROR(E1757*IF(E1757="",0,VLOOKUP(C1757,'📦 Precios Proforma'!$B$5:$D$104,IF(D1757="DIA",2,3),FALSE)),0))</f>
        <v/>
      </c>
      <c r="J1757" s="31" t="str">
        <f t="shared" si="190"/>
        <v/>
      </c>
      <c r="K1757" s="31" t="str">
        <f t="shared" si="191"/>
        <v/>
      </c>
      <c r="L1757" s="31" t="str">
        <f>IF(OR(B1757="",C1757=""),"",IFERROR(E1757 / SUMIFS('📅 Resumen Diario'!$D$5:$D$504, '📅 Resumen Diario'!$B$5:$B$504, B1757, '📅 Resumen Diario'!$C$5:$C$504, D1757) * SUMIFS('📅 Resumen Diario'!$K$5:$K$504, '📅 Resumen Diario'!$B$5:$B$504, B1757, '📅 Resumen Diario'!$C$5:$C$504, D1757), 0))</f>
        <v/>
      </c>
      <c r="M1757" s="31" t="str">
        <f t="shared" si="192"/>
        <v/>
      </c>
      <c r="N1757" s="31" t="str">
        <f t="shared" si="193"/>
        <v/>
      </c>
      <c r="O1757" s="31" t="str">
        <f>IF(OR(B1757="",C1757=""),"",K1757-N1757 + IFERROR(E1757 / SUMIFS('📅 Resumen Diario'!$D$5:$D$504, '📅 Resumen Diario'!$B$5:$B$504, B1757, '📅 Resumen Diario'!$C$5:$C$504, D1757) * (SUMIFS('📋 Detalle Diario'!$E$5:$E$489, '📋 Detalle Diario'!$B$5:$B$489, B1757, '📋 Detalle Diario'!$C$5:$C$489, D1757) * 135 + SUMIFS('📋 Detalle Diario'!$I$5:$I$489, '📋 Detalle Diario'!$B$5:$B$489, B1757, '📋 Detalle Diario'!$C$5:$C$489, D1757) * 200), 0))</f>
        <v/>
      </c>
      <c r="P1757" s="32" t="str">
        <f t="shared" si="194"/>
        <v/>
      </c>
      <c r="Q1757" s="33" t="str">
        <f t="shared" si="195"/>
        <v/>
      </c>
    </row>
    <row r="1758" spans="2:17" ht="18" customHeight="1" x14ac:dyDescent="0.3">
      <c r="B1758" s="26"/>
      <c r="C1758" s="17"/>
      <c r="D1758" s="27"/>
      <c r="E1758" s="18"/>
      <c r="F1758" s="18"/>
      <c r="G1758" s="18"/>
      <c r="H1758" s="30" t="str">
        <f t="shared" si="189"/>
        <v/>
      </c>
      <c r="I1758" s="31" t="str">
        <f>IF(OR(B1758="",C1758=""),"",IFERROR(E1758*IF(E1758="",0,VLOOKUP(C1758,'📦 Precios Proforma'!$B$5:$D$104,IF(D1758="DIA",2,3),FALSE)),0))</f>
        <v/>
      </c>
      <c r="J1758" s="31" t="str">
        <f t="shared" si="190"/>
        <v/>
      </c>
      <c r="K1758" s="31" t="str">
        <f t="shared" si="191"/>
        <v/>
      </c>
      <c r="L1758" s="31" t="str">
        <f>IF(OR(B1758="",C1758=""),"",IFERROR(E1758 / SUMIFS('📅 Resumen Diario'!$D$5:$D$504, '📅 Resumen Diario'!$B$5:$B$504, B1758, '📅 Resumen Diario'!$C$5:$C$504, D1758) * SUMIFS('📅 Resumen Diario'!$K$5:$K$504, '📅 Resumen Diario'!$B$5:$B$504, B1758, '📅 Resumen Diario'!$C$5:$C$504, D1758), 0))</f>
        <v/>
      </c>
      <c r="M1758" s="31" t="str">
        <f t="shared" si="192"/>
        <v/>
      </c>
      <c r="N1758" s="31" t="str">
        <f t="shared" si="193"/>
        <v/>
      </c>
      <c r="O1758" s="31" t="str">
        <f>IF(OR(B1758="",C1758=""),"",K1758-N1758 + IFERROR(E1758 / SUMIFS('📅 Resumen Diario'!$D$5:$D$504, '📅 Resumen Diario'!$B$5:$B$504, B1758, '📅 Resumen Diario'!$C$5:$C$504, D1758) * (SUMIFS('📋 Detalle Diario'!$E$5:$E$489, '📋 Detalle Diario'!$B$5:$B$489, B1758, '📋 Detalle Diario'!$C$5:$C$489, D1758) * 135 + SUMIFS('📋 Detalle Diario'!$I$5:$I$489, '📋 Detalle Diario'!$B$5:$B$489, B1758, '📋 Detalle Diario'!$C$5:$C$489, D1758) * 200), 0))</f>
        <v/>
      </c>
      <c r="P1758" s="32" t="str">
        <f t="shared" si="194"/>
        <v/>
      </c>
      <c r="Q1758" s="33" t="str">
        <f t="shared" si="195"/>
        <v/>
      </c>
    </row>
    <row r="1759" spans="2:17" ht="18" customHeight="1" x14ac:dyDescent="0.3">
      <c r="B1759" s="26"/>
      <c r="C1759" s="28"/>
      <c r="D1759" s="27"/>
      <c r="E1759" s="29"/>
      <c r="F1759" s="29"/>
      <c r="G1759" s="29"/>
      <c r="H1759" s="30" t="str">
        <f t="shared" si="189"/>
        <v/>
      </c>
      <c r="I1759" s="31" t="str">
        <f>IF(OR(B1759="",C1759=""),"",IFERROR(E1759*IF(E1759="",0,VLOOKUP(C1759,'📦 Precios Proforma'!$B$5:$D$104,IF(D1759="DIA",2,3),FALSE)),0))</f>
        <v/>
      </c>
      <c r="J1759" s="31" t="str">
        <f t="shared" si="190"/>
        <v/>
      </c>
      <c r="K1759" s="31" t="str">
        <f t="shared" si="191"/>
        <v/>
      </c>
      <c r="L1759" s="31" t="str">
        <f>IF(OR(B1759="",C1759=""),"",IFERROR(E1759 / SUMIFS('📅 Resumen Diario'!$D$5:$D$504, '📅 Resumen Diario'!$B$5:$B$504, B1759, '📅 Resumen Diario'!$C$5:$C$504, D1759) * SUMIFS('📅 Resumen Diario'!$K$5:$K$504, '📅 Resumen Diario'!$B$5:$B$504, B1759, '📅 Resumen Diario'!$C$5:$C$504, D1759), 0))</f>
        <v/>
      </c>
      <c r="M1759" s="31" t="str">
        <f t="shared" si="192"/>
        <v/>
      </c>
      <c r="N1759" s="31" t="str">
        <f t="shared" si="193"/>
        <v/>
      </c>
      <c r="O1759" s="31" t="str">
        <f>IF(OR(B1759="",C1759=""),"",K1759-N1759 + IFERROR(E1759 / SUMIFS('📅 Resumen Diario'!$D$5:$D$504, '📅 Resumen Diario'!$B$5:$B$504, B1759, '📅 Resumen Diario'!$C$5:$C$504, D1759) * (SUMIFS('📋 Detalle Diario'!$E$5:$E$489, '📋 Detalle Diario'!$B$5:$B$489, B1759, '📋 Detalle Diario'!$C$5:$C$489, D1759) * 135 + SUMIFS('📋 Detalle Diario'!$I$5:$I$489, '📋 Detalle Diario'!$B$5:$B$489, B1759, '📋 Detalle Diario'!$C$5:$C$489, D1759) * 200), 0))</f>
        <v/>
      </c>
      <c r="P1759" s="32" t="str">
        <f t="shared" si="194"/>
        <v/>
      </c>
      <c r="Q1759" s="33" t="str">
        <f t="shared" si="195"/>
        <v/>
      </c>
    </row>
    <row r="1760" spans="2:17" ht="18" customHeight="1" x14ac:dyDescent="0.3">
      <c r="B1760" s="26"/>
      <c r="C1760" s="17"/>
      <c r="D1760" s="27"/>
      <c r="E1760" s="18"/>
      <c r="F1760" s="18"/>
      <c r="G1760" s="18"/>
      <c r="H1760" s="30" t="str">
        <f t="shared" si="189"/>
        <v/>
      </c>
      <c r="I1760" s="31" t="str">
        <f>IF(OR(B1760="",C1760=""),"",IFERROR(E1760*IF(E1760="",0,VLOOKUP(C1760,'📦 Precios Proforma'!$B$5:$D$104,IF(D1760="DIA",2,3),FALSE)),0))</f>
        <v/>
      </c>
      <c r="J1760" s="31" t="str">
        <f t="shared" si="190"/>
        <v/>
      </c>
      <c r="K1760" s="31" t="str">
        <f t="shared" si="191"/>
        <v/>
      </c>
      <c r="L1760" s="31" t="str">
        <f>IF(OR(B1760="",C1760=""),"",IFERROR(E1760 / SUMIFS('📅 Resumen Diario'!$D$5:$D$504, '📅 Resumen Diario'!$B$5:$B$504, B1760, '📅 Resumen Diario'!$C$5:$C$504, D1760) * SUMIFS('📅 Resumen Diario'!$K$5:$K$504, '📅 Resumen Diario'!$B$5:$B$504, B1760, '📅 Resumen Diario'!$C$5:$C$504, D1760), 0))</f>
        <v/>
      </c>
      <c r="M1760" s="31" t="str">
        <f t="shared" si="192"/>
        <v/>
      </c>
      <c r="N1760" s="31" t="str">
        <f t="shared" si="193"/>
        <v/>
      </c>
      <c r="O1760" s="31" t="str">
        <f>IF(OR(B1760="",C1760=""),"",K1760-N1760 + IFERROR(E1760 / SUMIFS('📅 Resumen Diario'!$D$5:$D$504, '📅 Resumen Diario'!$B$5:$B$504, B1760, '📅 Resumen Diario'!$C$5:$C$504, D1760) * (SUMIFS('📋 Detalle Diario'!$E$5:$E$489, '📋 Detalle Diario'!$B$5:$B$489, B1760, '📋 Detalle Diario'!$C$5:$C$489, D1760) * 135 + SUMIFS('📋 Detalle Diario'!$I$5:$I$489, '📋 Detalle Diario'!$B$5:$B$489, B1760, '📋 Detalle Diario'!$C$5:$C$489, D1760) * 200), 0))</f>
        <v/>
      </c>
      <c r="P1760" s="32" t="str">
        <f t="shared" si="194"/>
        <v/>
      </c>
      <c r="Q1760" s="33" t="str">
        <f t="shared" si="195"/>
        <v/>
      </c>
    </row>
    <row r="1761" spans="2:17" ht="18" customHeight="1" x14ac:dyDescent="0.3">
      <c r="B1761" s="26"/>
      <c r="C1761" s="28"/>
      <c r="D1761" s="27"/>
      <c r="E1761" s="29"/>
      <c r="F1761" s="29"/>
      <c r="G1761" s="29"/>
      <c r="H1761" s="30" t="str">
        <f t="shared" si="189"/>
        <v/>
      </c>
      <c r="I1761" s="31" t="str">
        <f>IF(OR(B1761="",C1761=""),"",IFERROR(E1761*IF(E1761="",0,VLOOKUP(C1761,'📦 Precios Proforma'!$B$5:$D$104,IF(D1761="DIA",2,3),FALSE)),0))</f>
        <v/>
      </c>
      <c r="J1761" s="31" t="str">
        <f t="shared" si="190"/>
        <v/>
      </c>
      <c r="K1761" s="31" t="str">
        <f t="shared" si="191"/>
        <v/>
      </c>
      <c r="L1761" s="31" t="str">
        <f>IF(OR(B1761="",C1761=""),"",IFERROR(E1761 / SUMIFS('📅 Resumen Diario'!$D$5:$D$504, '📅 Resumen Diario'!$B$5:$B$504, B1761, '📅 Resumen Diario'!$C$5:$C$504, D1761) * SUMIFS('📅 Resumen Diario'!$K$5:$K$504, '📅 Resumen Diario'!$B$5:$B$504, B1761, '📅 Resumen Diario'!$C$5:$C$504, D1761), 0))</f>
        <v/>
      </c>
      <c r="M1761" s="31" t="str">
        <f t="shared" si="192"/>
        <v/>
      </c>
      <c r="N1761" s="31" t="str">
        <f t="shared" si="193"/>
        <v/>
      </c>
      <c r="O1761" s="31" t="str">
        <f>IF(OR(B1761="",C1761=""),"",K1761-N1761 + IFERROR(E1761 / SUMIFS('📅 Resumen Diario'!$D$5:$D$504, '📅 Resumen Diario'!$B$5:$B$504, B1761, '📅 Resumen Diario'!$C$5:$C$504, D1761) * (SUMIFS('📋 Detalle Diario'!$E$5:$E$489, '📋 Detalle Diario'!$B$5:$B$489, B1761, '📋 Detalle Diario'!$C$5:$C$489, D1761) * 135 + SUMIFS('📋 Detalle Diario'!$I$5:$I$489, '📋 Detalle Diario'!$B$5:$B$489, B1761, '📋 Detalle Diario'!$C$5:$C$489, D1761) * 200), 0))</f>
        <v/>
      </c>
      <c r="P1761" s="32" t="str">
        <f t="shared" si="194"/>
        <v/>
      </c>
      <c r="Q1761" s="33" t="str">
        <f t="shared" si="195"/>
        <v/>
      </c>
    </row>
    <row r="1762" spans="2:17" ht="18" customHeight="1" x14ac:dyDescent="0.3">
      <c r="B1762" s="26"/>
      <c r="C1762" s="17"/>
      <c r="D1762" s="27"/>
      <c r="E1762" s="18"/>
      <c r="F1762" s="18"/>
      <c r="G1762" s="18"/>
      <c r="H1762" s="30" t="str">
        <f t="shared" si="189"/>
        <v/>
      </c>
      <c r="I1762" s="31" t="str">
        <f>IF(OR(B1762="",C1762=""),"",IFERROR(E1762*IF(E1762="",0,VLOOKUP(C1762,'📦 Precios Proforma'!$B$5:$D$104,IF(D1762="DIA",2,3),FALSE)),0))</f>
        <v/>
      </c>
      <c r="J1762" s="31" t="str">
        <f t="shared" si="190"/>
        <v/>
      </c>
      <c r="K1762" s="31" t="str">
        <f t="shared" si="191"/>
        <v/>
      </c>
      <c r="L1762" s="31" t="str">
        <f>IF(OR(B1762="",C1762=""),"",IFERROR(E1762 / SUMIFS('📅 Resumen Diario'!$D$5:$D$504, '📅 Resumen Diario'!$B$5:$B$504, B1762, '📅 Resumen Diario'!$C$5:$C$504, D1762) * SUMIFS('📅 Resumen Diario'!$K$5:$K$504, '📅 Resumen Diario'!$B$5:$B$504, B1762, '📅 Resumen Diario'!$C$5:$C$504, D1762), 0))</f>
        <v/>
      </c>
      <c r="M1762" s="31" t="str">
        <f t="shared" si="192"/>
        <v/>
      </c>
      <c r="N1762" s="31" t="str">
        <f t="shared" si="193"/>
        <v/>
      </c>
      <c r="O1762" s="31" t="str">
        <f>IF(OR(B1762="",C1762=""),"",K1762-N1762 + IFERROR(E1762 / SUMIFS('📅 Resumen Diario'!$D$5:$D$504, '📅 Resumen Diario'!$B$5:$B$504, B1762, '📅 Resumen Diario'!$C$5:$C$504, D1762) * (SUMIFS('📋 Detalle Diario'!$E$5:$E$489, '📋 Detalle Diario'!$B$5:$B$489, B1762, '📋 Detalle Diario'!$C$5:$C$489, D1762) * 135 + SUMIFS('📋 Detalle Diario'!$I$5:$I$489, '📋 Detalle Diario'!$B$5:$B$489, B1762, '📋 Detalle Diario'!$C$5:$C$489, D1762) * 200), 0))</f>
        <v/>
      </c>
      <c r="P1762" s="32" t="str">
        <f t="shared" si="194"/>
        <v/>
      </c>
      <c r="Q1762" s="33" t="str">
        <f t="shared" si="195"/>
        <v/>
      </c>
    </row>
    <row r="1763" spans="2:17" ht="18" customHeight="1" x14ac:dyDescent="0.3">
      <c r="B1763" s="26"/>
      <c r="C1763" s="28"/>
      <c r="D1763" s="27"/>
      <c r="E1763" s="29"/>
      <c r="F1763" s="29"/>
      <c r="G1763" s="29"/>
      <c r="H1763" s="30" t="str">
        <f t="shared" si="189"/>
        <v/>
      </c>
      <c r="I1763" s="31" t="str">
        <f>IF(OR(B1763="",C1763=""),"",IFERROR(E1763*IF(E1763="",0,VLOOKUP(C1763,'📦 Precios Proforma'!$B$5:$D$104,IF(D1763="DIA",2,3),FALSE)),0))</f>
        <v/>
      </c>
      <c r="J1763" s="31" t="str">
        <f t="shared" si="190"/>
        <v/>
      </c>
      <c r="K1763" s="31" t="str">
        <f t="shared" si="191"/>
        <v/>
      </c>
      <c r="L1763" s="31" t="str">
        <f>IF(OR(B1763="",C1763=""),"",IFERROR(E1763 / SUMIFS('📅 Resumen Diario'!$D$5:$D$504, '📅 Resumen Diario'!$B$5:$B$504, B1763, '📅 Resumen Diario'!$C$5:$C$504, D1763) * SUMIFS('📅 Resumen Diario'!$K$5:$K$504, '📅 Resumen Diario'!$B$5:$B$504, B1763, '📅 Resumen Diario'!$C$5:$C$504, D1763), 0))</f>
        <v/>
      </c>
      <c r="M1763" s="31" t="str">
        <f t="shared" si="192"/>
        <v/>
      </c>
      <c r="N1763" s="31" t="str">
        <f t="shared" si="193"/>
        <v/>
      </c>
      <c r="O1763" s="31" t="str">
        <f>IF(OR(B1763="",C1763=""),"",K1763-N1763 + IFERROR(E1763 / SUMIFS('📅 Resumen Diario'!$D$5:$D$504, '📅 Resumen Diario'!$B$5:$B$504, B1763, '📅 Resumen Diario'!$C$5:$C$504, D1763) * (SUMIFS('📋 Detalle Diario'!$E$5:$E$489, '📋 Detalle Diario'!$B$5:$B$489, B1763, '📋 Detalle Diario'!$C$5:$C$489, D1763) * 135 + SUMIFS('📋 Detalle Diario'!$I$5:$I$489, '📋 Detalle Diario'!$B$5:$B$489, B1763, '📋 Detalle Diario'!$C$5:$C$489, D1763) * 200), 0))</f>
        <v/>
      </c>
      <c r="P1763" s="32" t="str">
        <f t="shared" si="194"/>
        <v/>
      </c>
      <c r="Q1763" s="33" t="str">
        <f t="shared" si="195"/>
        <v/>
      </c>
    </row>
    <row r="1764" spans="2:17" ht="18" customHeight="1" x14ac:dyDescent="0.3">
      <c r="B1764" s="26"/>
      <c r="C1764" s="17"/>
      <c r="D1764" s="27"/>
      <c r="E1764" s="18"/>
      <c r="F1764" s="18"/>
      <c r="G1764" s="18"/>
      <c r="H1764" s="30" t="str">
        <f t="shared" si="189"/>
        <v/>
      </c>
      <c r="I1764" s="31" t="str">
        <f>IF(OR(B1764="",C1764=""),"",IFERROR(E1764*IF(E1764="",0,VLOOKUP(C1764,'📦 Precios Proforma'!$B$5:$D$104,IF(D1764="DIA",2,3),FALSE)),0))</f>
        <v/>
      </c>
      <c r="J1764" s="31" t="str">
        <f t="shared" si="190"/>
        <v/>
      </c>
      <c r="K1764" s="31" t="str">
        <f t="shared" si="191"/>
        <v/>
      </c>
      <c r="L1764" s="31" t="str">
        <f>IF(OR(B1764="",C1764=""),"",IFERROR(E1764 / SUMIFS('📅 Resumen Diario'!$D$5:$D$504, '📅 Resumen Diario'!$B$5:$B$504, B1764, '📅 Resumen Diario'!$C$5:$C$504, D1764) * SUMIFS('📅 Resumen Diario'!$K$5:$K$504, '📅 Resumen Diario'!$B$5:$B$504, B1764, '📅 Resumen Diario'!$C$5:$C$504, D1764), 0))</f>
        <v/>
      </c>
      <c r="M1764" s="31" t="str">
        <f t="shared" si="192"/>
        <v/>
      </c>
      <c r="N1764" s="31" t="str">
        <f t="shared" si="193"/>
        <v/>
      </c>
      <c r="O1764" s="31" t="str">
        <f>IF(OR(B1764="",C1764=""),"",K1764-N1764 + IFERROR(E1764 / SUMIFS('📅 Resumen Diario'!$D$5:$D$504, '📅 Resumen Diario'!$B$5:$B$504, B1764, '📅 Resumen Diario'!$C$5:$C$504, D1764) * (SUMIFS('📋 Detalle Diario'!$E$5:$E$489, '📋 Detalle Diario'!$B$5:$B$489, B1764, '📋 Detalle Diario'!$C$5:$C$489, D1764) * 135 + SUMIFS('📋 Detalle Diario'!$I$5:$I$489, '📋 Detalle Diario'!$B$5:$B$489, B1764, '📋 Detalle Diario'!$C$5:$C$489, D1764) * 200), 0))</f>
        <v/>
      </c>
      <c r="P1764" s="32" t="str">
        <f t="shared" si="194"/>
        <v/>
      </c>
      <c r="Q1764" s="33" t="str">
        <f t="shared" si="195"/>
        <v/>
      </c>
    </row>
    <row r="1765" spans="2:17" ht="18" customHeight="1" x14ac:dyDescent="0.3">
      <c r="B1765" s="26"/>
      <c r="C1765" s="28"/>
      <c r="D1765" s="27"/>
      <c r="E1765" s="29"/>
      <c r="F1765" s="29"/>
      <c r="G1765" s="29"/>
      <c r="H1765" s="30" t="str">
        <f t="shared" si="189"/>
        <v/>
      </c>
      <c r="I1765" s="31" t="str">
        <f>IF(OR(B1765="",C1765=""),"",IFERROR(E1765*IF(E1765="",0,VLOOKUP(C1765,'📦 Precios Proforma'!$B$5:$D$104,IF(D1765="DIA",2,3),FALSE)),0))</f>
        <v/>
      </c>
      <c r="J1765" s="31" t="str">
        <f t="shared" si="190"/>
        <v/>
      </c>
      <c r="K1765" s="31" t="str">
        <f t="shared" si="191"/>
        <v/>
      </c>
      <c r="L1765" s="31" t="str">
        <f>IF(OR(B1765="",C1765=""),"",IFERROR(E1765 / SUMIFS('📅 Resumen Diario'!$D$5:$D$504, '📅 Resumen Diario'!$B$5:$B$504, B1765, '📅 Resumen Diario'!$C$5:$C$504, D1765) * SUMIFS('📅 Resumen Diario'!$K$5:$K$504, '📅 Resumen Diario'!$B$5:$B$504, B1765, '📅 Resumen Diario'!$C$5:$C$504, D1765), 0))</f>
        <v/>
      </c>
      <c r="M1765" s="31" t="str">
        <f t="shared" si="192"/>
        <v/>
      </c>
      <c r="N1765" s="31" t="str">
        <f t="shared" si="193"/>
        <v/>
      </c>
      <c r="O1765" s="31" t="str">
        <f>IF(OR(B1765="",C1765=""),"",K1765-N1765 + IFERROR(E1765 / SUMIFS('📅 Resumen Diario'!$D$5:$D$504, '📅 Resumen Diario'!$B$5:$B$504, B1765, '📅 Resumen Diario'!$C$5:$C$504, D1765) * (SUMIFS('📋 Detalle Diario'!$E$5:$E$489, '📋 Detalle Diario'!$B$5:$B$489, B1765, '📋 Detalle Diario'!$C$5:$C$489, D1765) * 135 + SUMIFS('📋 Detalle Diario'!$I$5:$I$489, '📋 Detalle Diario'!$B$5:$B$489, B1765, '📋 Detalle Diario'!$C$5:$C$489, D1765) * 200), 0))</f>
        <v/>
      </c>
      <c r="P1765" s="32" t="str">
        <f t="shared" si="194"/>
        <v/>
      </c>
      <c r="Q1765" s="33" t="str">
        <f t="shared" si="195"/>
        <v/>
      </c>
    </row>
    <row r="1766" spans="2:17" ht="18" customHeight="1" x14ac:dyDescent="0.3">
      <c r="B1766" s="26"/>
      <c r="C1766" s="17"/>
      <c r="D1766" s="27"/>
      <c r="E1766" s="18"/>
      <c r="F1766" s="18"/>
      <c r="G1766" s="18"/>
      <c r="H1766" s="30" t="str">
        <f t="shared" si="189"/>
        <v/>
      </c>
      <c r="I1766" s="31" t="str">
        <f>IF(OR(B1766="",C1766=""),"",IFERROR(E1766*IF(E1766="",0,VLOOKUP(C1766,'📦 Precios Proforma'!$B$5:$D$104,IF(D1766="DIA",2,3),FALSE)),0))</f>
        <v/>
      </c>
      <c r="J1766" s="31" t="str">
        <f t="shared" si="190"/>
        <v/>
      </c>
      <c r="K1766" s="31" t="str">
        <f t="shared" si="191"/>
        <v/>
      </c>
      <c r="L1766" s="31" t="str">
        <f>IF(OR(B1766="",C1766=""),"",IFERROR(E1766 / SUMIFS('📅 Resumen Diario'!$D$5:$D$504, '📅 Resumen Diario'!$B$5:$B$504, B1766, '📅 Resumen Diario'!$C$5:$C$504, D1766) * SUMIFS('📅 Resumen Diario'!$K$5:$K$504, '📅 Resumen Diario'!$B$5:$B$504, B1766, '📅 Resumen Diario'!$C$5:$C$504, D1766), 0))</f>
        <v/>
      </c>
      <c r="M1766" s="31" t="str">
        <f t="shared" si="192"/>
        <v/>
      </c>
      <c r="N1766" s="31" t="str">
        <f t="shared" si="193"/>
        <v/>
      </c>
      <c r="O1766" s="31" t="str">
        <f>IF(OR(B1766="",C1766=""),"",K1766-N1766 + IFERROR(E1766 / SUMIFS('📅 Resumen Diario'!$D$5:$D$504, '📅 Resumen Diario'!$B$5:$B$504, B1766, '📅 Resumen Diario'!$C$5:$C$504, D1766) * (SUMIFS('📋 Detalle Diario'!$E$5:$E$489, '📋 Detalle Diario'!$B$5:$B$489, B1766, '📋 Detalle Diario'!$C$5:$C$489, D1766) * 135 + SUMIFS('📋 Detalle Diario'!$I$5:$I$489, '📋 Detalle Diario'!$B$5:$B$489, B1766, '📋 Detalle Diario'!$C$5:$C$489, D1766) * 200), 0))</f>
        <v/>
      </c>
      <c r="P1766" s="32" t="str">
        <f t="shared" si="194"/>
        <v/>
      </c>
      <c r="Q1766" s="33" t="str">
        <f t="shared" si="195"/>
        <v/>
      </c>
    </row>
    <row r="1767" spans="2:17" ht="18" customHeight="1" x14ac:dyDescent="0.3">
      <c r="B1767" s="26"/>
      <c r="C1767" s="28"/>
      <c r="D1767" s="27"/>
      <c r="E1767" s="29"/>
      <c r="F1767" s="29"/>
      <c r="G1767" s="29"/>
      <c r="H1767" s="30" t="str">
        <f t="shared" si="189"/>
        <v/>
      </c>
      <c r="I1767" s="31" t="str">
        <f>IF(OR(B1767="",C1767=""),"",IFERROR(E1767*IF(E1767="",0,VLOOKUP(C1767,'📦 Precios Proforma'!$B$5:$D$104,IF(D1767="DIA",2,3),FALSE)),0))</f>
        <v/>
      </c>
      <c r="J1767" s="31" t="str">
        <f t="shared" si="190"/>
        <v/>
      </c>
      <c r="K1767" s="31" t="str">
        <f t="shared" si="191"/>
        <v/>
      </c>
      <c r="L1767" s="31" t="str">
        <f>IF(OR(B1767="",C1767=""),"",IFERROR(E1767 / SUMIFS('📅 Resumen Diario'!$D$5:$D$504, '📅 Resumen Diario'!$B$5:$B$504, B1767, '📅 Resumen Diario'!$C$5:$C$504, D1767) * SUMIFS('📅 Resumen Diario'!$K$5:$K$504, '📅 Resumen Diario'!$B$5:$B$504, B1767, '📅 Resumen Diario'!$C$5:$C$504, D1767), 0))</f>
        <v/>
      </c>
      <c r="M1767" s="31" t="str">
        <f t="shared" si="192"/>
        <v/>
      </c>
      <c r="N1767" s="31" t="str">
        <f t="shared" si="193"/>
        <v/>
      </c>
      <c r="O1767" s="31" t="str">
        <f>IF(OR(B1767="",C1767=""),"",K1767-N1767 + IFERROR(E1767 / SUMIFS('📅 Resumen Diario'!$D$5:$D$504, '📅 Resumen Diario'!$B$5:$B$504, B1767, '📅 Resumen Diario'!$C$5:$C$504, D1767) * (SUMIFS('📋 Detalle Diario'!$E$5:$E$489, '📋 Detalle Diario'!$B$5:$B$489, B1767, '📋 Detalle Diario'!$C$5:$C$489, D1767) * 135 + SUMIFS('📋 Detalle Diario'!$I$5:$I$489, '📋 Detalle Diario'!$B$5:$B$489, B1767, '📋 Detalle Diario'!$C$5:$C$489, D1767) * 200), 0))</f>
        <v/>
      </c>
      <c r="P1767" s="32" t="str">
        <f t="shared" si="194"/>
        <v/>
      </c>
      <c r="Q1767" s="33" t="str">
        <f t="shared" si="195"/>
        <v/>
      </c>
    </row>
    <row r="1768" spans="2:17" ht="18" customHeight="1" x14ac:dyDescent="0.3">
      <c r="B1768" s="26"/>
      <c r="C1768" s="17"/>
      <c r="D1768" s="27"/>
      <c r="E1768" s="18"/>
      <c r="F1768" s="18"/>
      <c r="G1768" s="18"/>
      <c r="H1768" s="30" t="str">
        <f t="shared" si="189"/>
        <v/>
      </c>
      <c r="I1768" s="31" t="str">
        <f>IF(OR(B1768="",C1768=""),"",IFERROR(E1768*IF(E1768="",0,VLOOKUP(C1768,'📦 Precios Proforma'!$B$5:$D$104,IF(D1768="DIA",2,3),FALSE)),0))</f>
        <v/>
      </c>
      <c r="J1768" s="31" t="str">
        <f t="shared" si="190"/>
        <v/>
      </c>
      <c r="K1768" s="31" t="str">
        <f t="shared" si="191"/>
        <v/>
      </c>
      <c r="L1768" s="31" t="str">
        <f>IF(OR(B1768="",C1768=""),"",IFERROR(E1768 / SUMIFS('📅 Resumen Diario'!$D$5:$D$504, '📅 Resumen Diario'!$B$5:$B$504, B1768, '📅 Resumen Diario'!$C$5:$C$504, D1768) * SUMIFS('📅 Resumen Diario'!$K$5:$K$504, '📅 Resumen Diario'!$B$5:$B$504, B1768, '📅 Resumen Diario'!$C$5:$C$504, D1768), 0))</f>
        <v/>
      </c>
      <c r="M1768" s="31" t="str">
        <f t="shared" si="192"/>
        <v/>
      </c>
      <c r="N1768" s="31" t="str">
        <f t="shared" si="193"/>
        <v/>
      </c>
      <c r="O1768" s="31" t="str">
        <f>IF(OR(B1768="",C1768=""),"",K1768-N1768 + IFERROR(E1768 / SUMIFS('📅 Resumen Diario'!$D$5:$D$504, '📅 Resumen Diario'!$B$5:$B$504, B1768, '📅 Resumen Diario'!$C$5:$C$504, D1768) * (SUMIFS('📋 Detalle Diario'!$E$5:$E$489, '📋 Detalle Diario'!$B$5:$B$489, B1768, '📋 Detalle Diario'!$C$5:$C$489, D1768) * 135 + SUMIFS('📋 Detalle Diario'!$I$5:$I$489, '📋 Detalle Diario'!$B$5:$B$489, B1768, '📋 Detalle Diario'!$C$5:$C$489, D1768) * 200), 0))</f>
        <v/>
      </c>
      <c r="P1768" s="32" t="str">
        <f t="shared" si="194"/>
        <v/>
      </c>
      <c r="Q1768" s="33" t="str">
        <f t="shared" si="195"/>
        <v/>
      </c>
    </row>
    <row r="1769" spans="2:17" ht="18" customHeight="1" x14ac:dyDescent="0.3">
      <c r="B1769" s="26"/>
      <c r="C1769" s="28"/>
      <c r="D1769" s="27"/>
      <c r="E1769" s="29"/>
      <c r="F1769" s="29"/>
      <c r="G1769" s="29"/>
      <c r="H1769" s="30" t="str">
        <f t="shared" si="189"/>
        <v/>
      </c>
      <c r="I1769" s="31" t="str">
        <f>IF(OR(B1769="",C1769=""),"",IFERROR(E1769*IF(E1769="",0,VLOOKUP(C1769,'📦 Precios Proforma'!$B$5:$D$104,IF(D1769="DIA",2,3),FALSE)),0))</f>
        <v/>
      </c>
      <c r="J1769" s="31" t="str">
        <f t="shared" si="190"/>
        <v/>
      </c>
      <c r="K1769" s="31" t="str">
        <f t="shared" si="191"/>
        <v/>
      </c>
      <c r="L1769" s="31" t="str">
        <f>IF(OR(B1769="",C1769=""),"",IFERROR(E1769 / SUMIFS('📅 Resumen Diario'!$D$5:$D$504, '📅 Resumen Diario'!$B$5:$B$504, B1769, '📅 Resumen Diario'!$C$5:$C$504, D1769) * SUMIFS('📅 Resumen Diario'!$K$5:$K$504, '📅 Resumen Diario'!$B$5:$B$504, B1769, '📅 Resumen Diario'!$C$5:$C$504, D1769), 0))</f>
        <v/>
      </c>
      <c r="M1769" s="31" t="str">
        <f t="shared" si="192"/>
        <v/>
      </c>
      <c r="N1769" s="31" t="str">
        <f t="shared" si="193"/>
        <v/>
      </c>
      <c r="O1769" s="31" t="str">
        <f>IF(OR(B1769="",C1769=""),"",K1769-N1769 + IFERROR(E1769 / SUMIFS('📅 Resumen Diario'!$D$5:$D$504, '📅 Resumen Diario'!$B$5:$B$504, B1769, '📅 Resumen Diario'!$C$5:$C$504, D1769) * (SUMIFS('📋 Detalle Diario'!$E$5:$E$489, '📋 Detalle Diario'!$B$5:$B$489, B1769, '📋 Detalle Diario'!$C$5:$C$489, D1769) * 135 + SUMIFS('📋 Detalle Diario'!$I$5:$I$489, '📋 Detalle Diario'!$B$5:$B$489, B1769, '📋 Detalle Diario'!$C$5:$C$489, D1769) * 200), 0))</f>
        <v/>
      </c>
      <c r="P1769" s="32" t="str">
        <f t="shared" si="194"/>
        <v/>
      </c>
      <c r="Q1769" s="33" t="str">
        <f t="shared" si="195"/>
        <v/>
      </c>
    </row>
    <row r="1770" spans="2:17" ht="18" customHeight="1" x14ac:dyDescent="0.3">
      <c r="B1770" s="26"/>
      <c r="C1770" s="17"/>
      <c r="D1770" s="27"/>
      <c r="E1770" s="18"/>
      <c r="F1770" s="18"/>
      <c r="G1770" s="18"/>
      <c r="H1770" s="30" t="str">
        <f t="shared" si="189"/>
        <v/>
      </c>
      <c r="I1770" s="31" t="str">
        <f>IF(OR(B1770="",C1770=""),"",IFERROR(E1770*IF(E1770="",0,VLOOKUP(C1770,'📦 Precios Proforma'!$B$5:$D$104,IF(D1770="DIA",2,3),FALSE)),0))</f>
        <v/>
      </c>
      <c r="J1770" s="31" t="str">
        <f t="shared" si="190"/>
        <v/>
      </c>
      <c r="K1770" s="31" t="str">
        <f t="shared" si="191"/>
        <v/>
      </c>
      <c r="L1770" s="31" t="str">
        <f>IF(OR(B1770="",C1770=""),"",IFERROR(E1770 / SUMIFS('📅 Resumen Diario'!$D$5:$D$504, '📅 Resumen Diario'!$B$5:$B$504, B1770, '📅 Resumen Diario'!$C$5:$C$504, D1770) * SUMIFS('📅 Resumen Diario'!$K$5:$K$504, '📅 Resumen Diario'!$B$5:$B$504, B1770, '📅 Resumen Diario'!$C$5:$C$504, D1770), 0))</f>
        <v/>
      </c>
      <c r="M1770" s="31" t="str">
        <f t="shared" si="192"/>
        <v/>
      </c>
      <c r="N1770" s="31" t="str">
        <f t="shared" si="193"/>
        <v/>
      </c>
      <c r="O1770" s="31" t="str">
        <f>IF(OR(B1770="",C1770=""),"",K1770-N1770 + IFERROR(E1770 / SUMIFS('📅 Resumen Diario'!$D$5:$D$504, '📅 Resumen Diario'!$B$5:$B$504, B1770, '📅 Resumen Diario'!$C$5:$C$504, D1770) * (SUMIFS('📋 Detalle Diario'!$E$5:$E$489, '📋 Detalle Diario'!$B$5:$B$489, B1770, '📋 Detalle Diario'!$C$5:$C$489, D1770) * 135 + SUMIFS('📋 Detalle Diario'!$I$5:$I$489, '📋 Detalle Diario'!$B$5:$B$489, B1770, '📋 Detalle Diario'!$C$5:$C$489, D1770) * 200), 0))</f>
        <v/>
      </c>
      <c r="P1770" s="32" t="str">
        <f t="shared" si="194"/>
        <v/>
      </c>
      <c r="Q1770" s="33" t="str">
        <f t="shared" si="195"/>
        <v/>
      </c>
    </row>
    <row r="1771" spans="2:17" ht="18" customHeight="1" x14ac:dyDescent="0.3">
      <c r="B1771" s="26"/>
      <c r="C1771" s="28"/>
      <c r="D1771" s="27"/>
      <c r="E1771" s="29"/>
      <c r="F1771" s="29"/>
      <c r="G1771" s="29"/>
      <c r="H1771" s="30" t="str">
        <f t="shared" si="189"/>
        <v/>
      </c>
      <c r="I1771" s="31" t="str">
        <f>IF(OR(B1771="",C1771=""),"",IFERROR(E1771*IF(E1771="",0,VLOOKUP(C1771,'📦 Precios Proforma'!$B$5:$D$104,IF(D1771="DIA",2,3),FALSE)),0))</f>
        <v/>
      </c>
      <c r="J1771" s="31" t="str">
        <f t="shared" si="190"/>
        <v/>
      </c>
      <c r="K1771" s="31" t="str">
        <f t="shared" si="191"/>
        <v/>
      </c>
      <c r="L1771" s="31" t="str">
        <f>IF(OR(B1771="",C1771=""),"",IFERROR(E1771 / SUMIFS('📅 Resumen Diario'!$D$5:$D$504, '📅 Resumen Diario'!$B$5:$B$504, B1771, '📅 Resumen Diario'!$C$5:$C$504, D1771) * SUMIFS('📅 Resumen Diario'!$K$5:$K$504, '📅 Resumen Diario'!$B$5:$B$504, B1771, '📅 Resumen Diario'!$C$5:$C$504, D1771), 0))</f>
        <v/>
      </c>
      <c r="M1771" s="31" t="str">
        <f t="shared" si="192"/>
        <v/>
      </c>
      <c r="N1771" s="31" t="str">
        <f t="shared" si="193"/>
        <v/>
      </c>
      <c r="O1771" s="31" t="str">
        <f>IF(OR(B1771="",C1771=""),"",K1771-N1771 + IFERROR(E1771 / SUMIFS('📅 Resumen Diario'!$D$5:$D$504, '📅 Resumen Diario'!$B$5:$B$504, B1771, '📅 Resumen Diario'!$C$5:$C$504, D1771) * (SUMIFS('📋 Detalle Diario'!$E$5:$E$489, '📋 Detalle Diario'!$B$5:$B$489, B1771, '📋 Detalle Diario'!$C$5:$C$489, D1771) * 135 + SUMIFS('📋 Detalle Diario'!$I$5:$I$489, '📋 Detalle Diario'!$B$5:$B$489, B1771, '📋 Detalle Diario'!$C$5:$C$489, D1771) * 200), 0))</f>
        <v/>
      </c>
      <c r="P1771" s="32" t="str">
        <f t="shared" si="194"/>
        <v/>
      </c>
      <c r="Q1771" s="33" t="str">
        <f t="shared" si="195"/>
        <v/>
      </c>
    </row>
    <row r="1772" spans="2:17" ht="18" customHeight="1" x14ac:dyDescent="0.3">
      <c r="B1772" s="26"/>
      <c r="C1772" s="17"/>
      <c r="D1772" s="27"/>
      <c r="E1772" s="18"/>
      <c r="F1772" s="18"/>
      <c r="G1772" s="18"/>
      <c r="H1772" s="30" t="str">
        <f t="shared" si="189"/>
        <v/>
      </c>
      <c r="I1772" s="31" t="str">
        <f>IF(OR(B1772="",C1772=""),"",IFERROR(E1772*IF(E1772="",0,VLOOKUP(C1772,'📦 Precios Proforma'!$B$5:$D$104,IF(D1772="DIA",2,3),FALSE)),0))</f>
        <v/>
      </c>
      <c r="J1772" s="31" t="str">
        <f t="shared" si="190"/>
        <v/>
      </c>
      <c r="K1772" s="31" t="str">
        <f t="shared" si="191"/>
        <v/>
      </c>
      <c r="L1772" s="31" t="str">
        <f>IF(OR(B1772="",C1772=""),"",IFERROR(E1772 / SUMIFS('📅 Resumen Diario'!$D$5:$D$504, '📅 Resumen Diario'!$B$5:$B$504, B1772, '📅 Resumen Diario'!$C$5:$C$504, D1772) * SUMIFS('📅 Resumen Diario'!$K$5:$K$504, '📅 Resumen Diario'!$B$5:$B$504, B1772, '📅 Resumen Diario'!$C$5:$C$504, D1772), 0))</f>
        <v/>
      </c>
      <c r="M1772" s="31" t="str">
        <f t="shared" si="192"/>
        <v/>
      </c>
      <c r="N1772" s="31" t="str">
        <f t="shared" si="193"/>
        <v/>
      </c>
      <c r="O1772" s="31" t="str">
        <f>IF(OR(B1772="",C1772=""),"",K1772-N1772 + IFERROR(E1772 / SUMIFS('📅 Resumen Diario'!$D$5:$D$504, '📅 Resumen Diario'!$B$5:$B$504, B1772, '📅 Resumen Diario'!$C$5:$C$504, D1772) * (SUMIFS('📋 Detalle Diario'!$E$5:$E$489, '📋 Detalle Diario'!$B$5:$B$489, B1772, '📋 Detalle Diario'!$C$5:$C$489, D1772) * 135 + SUMIFS('📋 Detalle Diario'!$I$5:$I$489, '📋 Detalle Diario'!$B$5:$B$489, B1772, '📋 Detalle Diario'!$C$5:$C$489, D1772) * 200), 0))</f>
        <v/>
      </c>
      <c r="P1772" s="32" t="str">
        <f t="shared" si="194"/>
        <v/>
      </c>
      <c r="Q1772" s="33" t="str">
        <f t="shared" si="195"/>
        <v/>
      </c>
    </row>
    <row r="1773" spans="2:17" ht="18" customHeight="1" x14ac:dyDescent="0.3">
      <c r="B1773" s="26"/>
      <c r="C1773" s="28"/>
      <c r="D1773" s="27"/>
      <c r="E1773" s="29"/>
      <c r="F1773" s="29"/>
      <c r="G1773" s="29"/>
      <c r="H1773" s="30" t="str">
        <f t="shared" si="189"/>
        <v/>
      </c>
      <c r="I1773" s="31" t="str">
        <f>IF(OR(B1773="",C1773=""),"",IFERROR(E1773*IF(E1773="",0,VLOOKUP(C1773,'📦 Precios Proforma'!$B$5:$D$104,IF(D1773="DIA",2,3),FALSE)),0))</f>
        <v/>
      </c>
      <c r="J1773" s="31" t="str">
        <f t="shared" si="190"/>
        <v/>
      </c>
      <c r="K1773" s="31" t="str">
        <f t="shared" si="191"/>
        <v/>
      </c>
      <c r="L1773" s="31" t="str">
        <f>IF(OR(B1773="",C1773=""),"",IFERROR(E1773 / SUMIFS('📅 Resumen Diario'!$D$5:$D$504, '📅 Resumen Diario'!$B$5:$B$504, B1773, '📅 Resumen Diario'!$C$5:$C$504, D1773) * SUMIFS('📅 Resumen Diario'!$K$5:$K$504, '📅 Resumen Diario'!$B$5:$B$504, B1773, '📅 Resumen Diario'!$C$5:$C$504, D1773), 0))</f>
        <v/>
      </c>
      <c r="M1773" s="31" t="str">
        <f t="shared" si="192"/>
        <v/>
      </c>
      <c r="N1773" s="31" t="str">
        <f t="shared" si="193"/>
        <v/>
      </c>
      <c r="O1773" s="31" t="str">
        <f>IF(OR(B1773="",C1773=""),"",K1773-N1773 + IFERROR(E1773 / SUMIFS('📅 Resumen Diario'!$D$5:$D$504, '📅 Resumen Diario'!$B$5:$B$504, B1773, '📅 Resumen Diario'!$C$5:$C$504, D1773) * (SUMIFS('📋 Detalle Diario'!$E$5:$E$489, '📋 Detalle Diario'!$B$5:$B$489, B1773, '📋 Detalle Diario'!$C$5:$C$489, D1773) * 135 + SUMIFS('📋 Detalle Diario'!$I$5:$I$489, '📋 Detalle Diario'!$B$5:$B$489, B1773, '📋 Detalle Diario'!$C$5:$C$489, D1773) * 200), 0))</f>
        <v/>
      </c>
      <c r="P1773" s="32" t="str">
        <f t="shared" si="194"/>
        <v/>
      </c>
      <c r="Q1773" s="33" t="str">
        <f t="shared" si="195"/>
        <v/>
      </c>
    </row>
    <row r="1774" spans="2:17" ht="18" customHeight="1" x14ac:dyDescent="0.3">
      <c r="B1774" s="26"/>
      <c r="C1774" s="17"/>
      <c r="D1774" s="27"/>
      <c r="E1774" s="18"/>
      <c r="F1774" s="18"/>
      <c r="G1774" s="18"/>
      <c r="H1774" s="30" t="str">
        <f t="shared" si="189"/>
        <v/>
      </c>
      <c r="I1774" s="31" t="str">
        <f>IF(OR(B1774="",C1774=""),"",IFERROR(E1774*IF(E1774="",0,VLOOKUP(C1774,'📦 Precios Proforma'!$B$5:$D$104,IF(D1774="DIA",2,3),FALSE)),0))</f>
        <v/>
      </c>
      <c r="J1774" s="31" t="str">
        <f t="shared" si="190"/>
        <v/>
      </c>
      <c r="K1774" s="31" t="str">
        <f t="shared" si="191"/>
        <v/>
      </c>
      <c r="L1774" s="31" t="str">
        <f>IF(OR(B1774="",C1774=""),"",IFERROR(E1774 / SUMIFS('📅 Resumen Diario'!$D$5:$D$504, '📅 Resumen Diario'!$B$5:$B$504, B1774, '📅 Resumen Diario'!$C$5:$C$504, D1774) * SUMIFS('📅 Resumen Diario'!$K$5:$K$504, '📅 Resumen Diario'!$B$5:$B$504, B1774, '📅 Resumen Diario'!$C$5:$C$504, D1774), 0))</f>
        <v/>
      </c>
      <c r="M1774" s="31" t="str">
        <f t="shared" si="192"/>
        <v/>
      </c>
      <c r="N1774" s="31" t="str">
        <f t="shared" si="193"/>
        <v/>
      </c>
      <c r="O1774" s="31" t="str">
        <f>IF(OR(B1774="",C1774=""),"",K1774-N1774 + IFERROR(E1774 / SUMIFS('📅 Resumen Diario'!$D$5:$D$504, '📅 Resumen Diario'!$B$5:$B$504, B1774, '📅 Resumen Diario'!$C$5:$C$504, D1774) * (SUMIFS('📋 Detalle Diario'!$E$5:$E$489, '📋 Detalle Diario'!$B$5:$B$489, B1774, '📋 Detalle Diario'!$C$5:$C$489, D1774) * 135 + SUMIFS('📋 Detalle Diario'!$I$5:$I$489, '📋 Detalle Diario'!$B$5:$B$489, B1774, '📋 Detalle Diario'!$C$5:$C$489, D1774) * 200), 0))</f>
        <v/>
      </c>
      <c r="P1774" s="32" t="str">
        <f t="shared" si="194"/>
        <v/>
      </c>
      <c r="Q1774" s="33" t="str">
        <f t="shared" si="195"/>
        <v/>
      </c>
    </row>
    <row r="1775" spans="2:17" ht="18" customHeight="1" x14ac:dyDescent="0.3">
      <c r="B1775" s="26"/>
      <c r="C1775" s="28"/>
      <c r="D1775" s="27"/>
      <c r="E1775" s="29"/>
      <c r="F1775" s="29"/>
      <c r="G1775" s="29"/>
      <c r="H1775" s="30" t="str">
        <f t="shared" si="189"/>
        <v/>
      </c>
      <c r="I1775" s="31" t="str">
        <f>IF(OR(B1775="",C1775=""),"",IFERROR(E1775*IF(E1775="",0,VLOOKUP(C1775,'📦 Precios Proforma'!$B$5:$D$104,IF(D1775="DIA",2,3),FALSE)),0))</f>
        <v/>
      </c>
      <c r="J1775" s="31" t="str">
        <f t="shared" si="190"/>
        <v/>
      </c>
      <c r="K1775" s="31" t="str">
        <f t="shared" si="191"/>
        <v/>
      </c>
      <c r="L1775" s="31" t="str">
        <f>IF(OR(B1775="",C1775=""),"",IFERROR(E1775 / SUMIFS('📅 Resumen Diario'!$D$5:$D$504, '📅 Resumen Diario'!$B$5:$B$504, B1775, '📅 Resumen Diario'!$C$5:$C$504, D1775) * SUMIFS('📅 Resumen Diario'!$K$5:$K$504, '📅 Resumen Diario'!$B$5:$B$504, B1775, '📅 Resumen Diario'!$C$5:$C$504, D1775), 0))</f>
        <v/>
      </c>
      <c r="M1775" s="31" t="str">
        <f t="shared" si="192"/>
        <v/>
      </c>
      <c r="N1775" s="31" t="str">
        <f t="shared" si="193"/>
        <v/>
      </c>
      <c r="O1775" s="31" t="str">
        <f>IF(OR(B1775="",C1775=""),"",K1775-N1775 + IFERROR(E1775 / SUMIFS('📅 Resumen Diario'!$D$5:$D$504, '📅 Resumen Diario'!$B$5:$B$504, B1775, '📅 Resumen Diario'!$C$5:$C$504, D1775) * (SUMIFS('📋 Detalle Diario'!$E$5:$E$489, '📋 Detalle Diario'!$B$5:$B$489, B1775, '📋 Detalle Diario'!$C$5:$C$489, D1775) * 135 + SUMIFS('📋 Detalle Diario'!$I$5:$I$489, '📋 Detalle Diario'!$B$5:$B$489, B1775, '📋 Detalle Diario'!$C$5:$C$489, D1775) * 200), 0))</f>
        <v/>
      </c>
      <c r="P1775" s="32" t="str">
        <f t="shared" si="194"/>
        <v/>
      </c>
      <c r="Q1775" s="33" t="str">
        <f t="shared" si="195"/>
        <v/>
      </c>
    </row>
    <row r="1776" spans="2:17" ht="18" customHeight="1" x14ac:dyDescent="0.3">
      <c r="B1776" s="26"/>
      <c r="C1776" s="17"/>
      <c r="D1776" s="27"/>
      <c r="E1776" s="18"/>
      <c r="F1776" s="18"/>
      <c r="G1776" s="18"/>
      <c r="H1776" s="30" t="str">
        <f t="shared" si="189"/>
        <v/>
      </c>
      <c r="I1776" s="31" t="str">
        <f>IF(OR(B1776="",C1776=""),"",IFERROR(E1776*IF(E1776="",0,VLOOKUP(C1776,'📦 Precios Proforma'!$B$5:$D$104,IF(D1776="DIA",2,3),FALSE)),0))</f>
        <v/>
      </c>
      <c r="J1776" s="31" t="str">
        <f t="shared" si="190"/>
        <v/>
      </c>
      <c r="K1776" s="31" t="str">
        <f t="shared" si="191"/>
        <v/>
      </c>
      <c r="L1776" s="31" t="str">
        <f>IF(OR(B1776="",C1776=""),"",IFERROR(E1776 / SUMIFS('📅 Resumen Diario'!$D$5:$D$504, '📅 Resumen Diario'!$B$5:$B$504, B1776, '📅 Resumen Diario'!$C$5:$C$504, D1776) * SUMIFS('📅 Resumen Diario'!$K$5:$K$504, '📅 Resumen Diario'!$B$5:$B$504, B1776, '📅 Resumen Diario'!$C$5:$C$504, D1776), 0))</f>
        <v/>
      </c>
      <c r="M1776" s="31" t="str">
        <f t="shared" si="192"/>
        <v/>
      </c>
      <c r="N1776" s="31" t="str">
        <f t="shared" si="193"/>
        <v/>
      </c>
      <c r="O1776" s="31" t="str">
        <f>IF(OR(B1776="",C1776=""),"",K1776-N1776 + IFERROR(E1776 / SUMIFS('📅 Resumen Diario'!$D$5:$D$504, '📅 Resumen Diario'!$B$5:$B$504, B1776, '📅 Resumen Diario'!$C$5:$C$504, D1776) * (SUMIFS('📋 Detalle Diario'!$E$5:$E$489, '📋 Detalle Diario'!$B$5:$B$489, B1776, '📋 Detalle Diario'!$C$5:$C$489, D1776) * 135 + SUMIFS('📋 Detalle Diario'!$I$5:$I$489, '📋 Detalle Diario'!$B$5:$B$489, B1776, '📋 Detalle Diario'!$C$5:$C$489, D1776) * 200), 0))</f>
        <v/>
      </c>
      <c r="P1776" s="32" t="str">
        <f t="shared" si="194"/>
        <v/>
      </c>
      <c r="Q1776" s="33" t="str">
        <f t="shared" si="195"/>
        <v/>
      </c>
    </row>
    <row r="1777" spans="2:17" ht="18" customHeight="1" x14ac:dyDescent="0.3">
      <c r="B1777" s="26"/>
      <c r="C1777" s="28"/>
      <c r="D1777" s="27"/>
      <c r="E1777" s="29"/>
      <c r="F1777" s="29"/>
      <c r="G1777" s="29"/>
      <c r="H1777" s="30" t="str">
        <f t="shared" si="189"/>
        <v/>
      </c>
      <c r="I1777" s="31" t="str">
        <f>IF(OR(B1777="",C1777=""),"",IFERROR(E1777*IF(E1777="",0,VLOOKUP(C1777,'📦 Precios Proforma'!$B$5:$D$104,IF(D1777="DIA",2,3),FALSE)),0))</f>
        <v/>
      </c>
      <c r="J1777" s="31" t="str">
        <f t="shared" si="190"/>
        <v/>
      </c>
      <c r="K1777" s="31" t="str">
        <f t="shared" si="191"/>
        <v/>
      </c>
      <c r="L1777" s="31" t="str">
        <f>IF(OR(B1777="",C1777=""),"",IFERROR(E1777 / SUMIFS('📅 Resumen Diario'!$D$5:$D$504, '📅 Resumen Diario'!$B$5:$B$504, B1777, '📅 Resumen Diario'!$C$5:$C$504, D1777) * SUMIFS('📅 Resumen Diario'!$K$5:$K$504, '📅 Resumen Diario'!$B$5:$B$504, B1777, '📅 Resumen Diario'!$C$5:$C$504, D1777), 0))</f>
        <v/>
      </c>
      <c r="M1777" s="31" t="str">
        <f t="shared" si="192"/>
        <v/>
      </c>
      <c r="N1777" s="31" t="str">
        <f t="shared" si="193"/>
        <v/>
      </c>
      <c r="O1777" s="31" t="str">
        <f>IF(OR(B1777="",C1777=""),"",K1777-N1777 + IFERROR(E1777 / SUMIFS('📅 Resumen Diario'!$D$5:$D$504, '📅 Resumen Diario'!$B$5:$B$504, B1777, '📅 Resumen Diario'!$C$5:$C$504, D1777) * (SUMIFS('📋 Detalle Diario'!$E$5:$E$489, '📋 Detalle Diario'!$B$5:$B$489, B1777, '📋 Detalle Diario'!$C$5:$C$489, D1777) * 135 + SUMIFS('📋 Detalle Diario'!$I$5:$I$489, '📋 Detalle Diario'!$B$5:$B$489, B1777, '📋 Detalle Diario'!$C$5:$C$489, D1777) * 200), 0))</f>
        <v/>
      </c>
      <c r="P1777" s="32" t="str">
        <f t="shared" si="194"/>
        <v/>
      </c>
      <c r="Q1777" s="33" t="str">
        <f t="shared" si="195"/>
        <v/>
      </c>
    </row>
    <row r="1778" spans="2:17" ht="18" customHeight="1" x14ac:dyDescent="0.3">
      <c r="B1778" s="26"/>
      <c r="C1778" s="17"/>
      <c r="D1778" s="27"/>
      <c r="E1778" s="18"/>
      <c r="F1778" s="18"/>
      <c r="G1778" s="18"/>
      <c r="H1778" s="30" t="str">
        <f t="shared" si="189"/>
        <v/>
      </c>
      <c r="I1778" s="31" t="str">
        <f>IF(OR(B1778="",C1778=""),"",IFERROR(E1778*IF(E1778="",0,VLOOKUP(C1778,'📦 Precios Proforma'!$B$5:$D$104,IF(D1778="DIA",2,3),FALSE)),0))</f>
        <v/>
      </c>
      <c r="J1778" s="31" t="str">
        <f t="shared" si="190"/>
        <v/>
      </c>
      <c r="K1778" s="31" t="str">
        <f t="shared" si="191"/>
        <v/>
      </c>
      <c r="L1778" s="31" t="str">
        <f>IF(OR(B1778="",C1778=""),"",IFERROR(E1778 / SUMIFS('📅 Resumen Diario'!$D$5:$D$504, '📅 Resumen Diario'!$B$5:$B$504, B1778, '📅 Resumen Diario'!$C$5:$C$504, D1778) * SUMIFS('📅 Resumen Diario'!$K$5:$K$504, '📅 Resumen Diario'!$B$5:$B$504, B1778, '📅 Resumen Diario'!$C$5:$C$504, D1778), 0))</f>
        <v/>
      </c>
      <c r="M1778" s="31" t="str">
        <f t="shared" si="192"/>
        <v/>
      </c>
      <c r="N1778" s="31" t="str">
        <f t="shared" si="193"/>
        <v/>
      </c>
      <c r="O1778" s="31" t="str">
        <f>IF(OR(B1778="",C1778=""),"",K1778-N1778 + IFERROR(E1778 / SUMIFS('📅 Resumen Diario'!$D$5:$D$504, '📅 Resumen Diario'!$B$5:$B$504, B1778, '📅 Resumen Diario'!$C$5:$C$504, D1778) * (SUMIFS('📋 Detalle Diario'!$E$5:$E$489, '📋 Detalle Diario'!$B$5:$B$489, B1778, '📋 Detalle Diario'!$C$5:$C$489, D1778) * 135 + SUMIFS('📋 Detalle Diario'!$I$5:$I$489, '📋 Detalle Diario'!$B$5:$B$489, B1778, '📋 Detalle Diario'!$C$5:$C$489, D1778) * 200), 0))</f>
        <v/>
      </c>
      <c r="P1778" s="32" t="str">
        <f t="shared" si="194"/>
        <v/>
      </c>
      <c r="Q1778" s="33" t="str">
        <f t="shared" si="195"/>
        <v/>
      </c>
    </row>
    <row r="1779" spans="2:17" ht="18" customHeight="1" x14ac:dyDescent="0.3">
      <c r="B1779" s="26"/>
      <c r="C1779" s="28"/>
      <c r="D1779" s="27"/>
      <c r="E1779" s="29"/>
      <c r="F1779" s="29"/>
      <c r="G1779" s="29"/>
      <c r="H1779" s="30" t="str">
        <f t="shared" si="189"/>
        <v/>
      </c>
      <c r="I1779" s="31" t="str">
        <f>IF(OR(B1779="",C1779=""),"",IFERROR(E1779*IF(E1779="",0,VLOOKUP(C1779,'📦 Precios Proforma'!$B$5:$D$104,IF(D1779="DIA",2,3),FALSE)),0))</f>
        <v/>
      </c>
      <c r="J1779" s="31" t="str">
        <f t="shared" si="190"/>
        <v/>
      </c>
      <c r="K1779" s="31" t="str">
        <f t="shared" si="191"/>
        <v/>
      </c>
      <c r="L1779" s="31" t="str">
        <f>IF(OR(B1779="",C1779=""),"",IFERROR(E1779 / SUMIFS('📅 Resumen Diario'!$D$5:$D$504, '📅 Resumen Diario'!$B$5:$B$504, B1779, '📅 Resumen Diario'!$C$5:$C$504, D1779) * SUMIFS('📅 Resumen Diario'!$K$5:$K$504, '📅 Resumen Diario'!$B$5:$B$504, B1779, '📅 Resumen Diario'!$C$5:$C$504, D1779), 0))</f>
        <v/>
      </c>
      <c r="M1779" s="31" t="str">
        <f t="shared" si="192"/>
        <v/>
      </c>
      <c r="N1779" s="31" t="str">
        <f t="shared" si="193"/>
        <v/>
      </c>
      <c r="O1779" s="31" t="str">
        <f>IF(OR(B1779="",C1779=""),"",K1779-N1779 + IFERROR(E1779 / SUMIFS('📅 Resumen Diario'!$D$5:$D$504, '📅 Resumen Diario'!$B$5:$B$504, B1779, '📅 Resumen Diario'!$C$5:$C$504, D1779) * (SUMIFS('📋 Detalle Diario'!$E$5:$E$489, '📋 Detalle Diario'!$B$5:$B$489, B1779, '📋 Detalle Diario'!$C$5:$C$489, D1779) * 135 + SUMIFS('📋 Detalle Diario'!$I$5:$I$489, '📋 Detalle Diario'!$B$5:$B$489, B1779, '📋 Detalle Diario'!$C$5:$C$489, D1779) * 200), 0))</f>
        <v/>
      </c>
      <c r="P1779" s="32" t="str">
        <f t="shared" si="194"/>
        <v/>
      </c>
      <c r="Q1779" s="33" t="str">
        <f t="shared" si="195"/>
        <v/>
      </c>
    </row>
    <row r="1780" spans="2:17" ht="18" customHeight="1" x14ac:dyDescent="0.3">
      <c r="B1780" s="26"/>
      <c r="C1780" s="17"/>
      <c r="D1780" s="27"/>
      <c r="E1780" s="18"/>
      <c r="F1780" s="18"/>
      <c r="G1780" s="18"/>
      <c r="H1780" s="30" t="str">
        <f t="shared" si="189"/>
        <v/>
      </c>
      <c r="I1780" s="31" t="str">
        <f>IF(OR(B1780="",C1780=""),"",IFERROR(E1780*IF(E1780="",0,VLOOKUP(C1780,'📦 Precios Proforma'!$B$5:$D$104,IF(D1780="DIA",2,3),FALSE)),0))</f>
        <v/>
      </c>
      <c r="J1780" s="31" t="str">
        <f t="shared" si="190"/>
        <v/>
      </c>
      <c r="K1780" s="31" t="str">
        <f t="shared" si="191"/>
        <v/>
      </c>
      <c r="L1780" s="31" t="str">
        <f>IF(OR(B1780="",C1780=""),"",IFERROR(E1780 / SUMIFS('📅 Resumen Diario'!$D$5:$D$504, '📅 Resumen Diario'!$B$5:$B$504, B1780, '📅 Resumen Diario'!$C$5:$C$504, D1780) * SUMIFS('📅 Resumen Diario'!$K$5:$K$504, '📅 Resumen Diario'!$B$5:$B$504, B1780, '📅 Resumen Diario'!$C$5:$C$504, D1780), 0))</f>
        <v/>
      </c>
      <c r="M1780" s="31" t="str">
        <f t="shared" si="192"/>
        <v/>
      </c>
      <c r="N1780" s="31" t="str">
        <f t="shared" si="193"/>
        <v/>
      </c>
      <c r="O1780" s="31" t="str">
        <f>IF(OR(B1780="",C1780=""),"",K1780-N1780 + IFERROR(E1780 / SUMIFS('📅 Resumen Diario'!$D$5:$D$504, '📅 Resumen Diario'!$B$5:$B$504, B1780, '📅 Resumen Diario'!$C$5:$C$504, D1780) * (SUMIFS('📋 Detalle Diario'!$E$5:$E$489, '📋 Detalle Diario'!$B$5:$B$489, B1780, '📋 Detalle Diario'!$C$5:$C$489, D1780) * 135 + SUMIFS('📋 Detalle Diario'!$I$5:$I$489, '📋 Detalle Diario'!$B$5:$B$489, B1780, '📋 Detalle Diario'!$C$5:$C$489, D1780) * 200), 0))</f>
        <v/>
      </c>
      <c r="P1780" s="32" t="str">
        <f t="shared" si="194"/>
        <v/>
      </c>
      <c r="Q1780" s="33" t="str">
        <f t="shared" si="195"/>
        <v/>
      </c>
    </row>
    <row r="1781" spans="2:17" ht="18" customHeight="1" x14ac:dyDescent="0.3">
      <c r="B1781" s="26"/>
      <c r="C1781" s="28"/>
      <c r="D1781" s="27"/>
      <c r="E1781" s="29"/>
      <c r="F1781" s="29"/>
      <c r="G1781" s="29"/>
      <c r="H1781" s="30" t="str">
        <f t="shared" si="189"/>
        <v/>
      </c>
      <c r="I1781" s="31" t="str">
        <f>IF(OR(B1781="",C1781=""),"",IFERROR(E1781*IF(E1781="",0,VLOOKUP(C1781,'📦 Precios Proforma'!$B$5:$D$104,IF(D1781="DIA",2,3),FALSE)),0))</f>
        <v/>
      </c>
      <c r="J1781" s="31" t="str">
        <f t="shared" si="190"/>
        <v/>
      </c>
      <c r="K1781" s="31" t="str">
        <f t="shared" si="191"/>
        <v/>
      </c>
      <c r="L1781" s="31" t="str">
        <f>IF(OR(B1781="",C1781=""),"",IFERROR(E1781 / SUMIFS('📅 Resumen Diario'!$D$5:$D$504, '📅 Resumen Diario'!$B$5:$B$504, B1781, '📅 Resumen Diario'!$C$5:$C$504, D1781) * SUMIFS('📅 Resumen Diario'!$K$5:$K$504, '📅 Resumen Diario'!$B$5:$B$504, B1781, '📅 Resumen Diario'!$C$5:$C$504, D1781), 0))</f>
        <v/>
      </c>
      <c r="M1781" s="31" t="str">
        <f t="shared" si="192"/>
        <v/>
      </c>
      <c r="N1781" s="31" t="str">
        <f t="shared" si="193"/>
        <v/>
      </c>
      <c r="O1781" s="31" t="str">
        <f>IF(OR(B1781="",C1781=""),"",K1781-N1781 + IFERROR(E1781 / SUMIFS('📅 Resumen Diario'!$D$5:$D$504, '📅 Resumen Diario'!$B$5:$B$504, B1781, '📅 Resumen Diario'!$C$5:$C$504, D1781) * (SUMIFS('📋 Detalle Diario'!$E$5:$E$489, '📋 Detalle Diario'!$B$5:$B$489, B1781, '📋 Detalle Diario'!$C$5:$C$489, D1781) * 135 + SUMIFS('📋 Detalle Diario'!$I$5:$I$489, '📋 Detalle Diario'!$B$5:$B$489, B1781, '📋 Detalle Diario'!$C$5:$C$489, D1781) * 200), 0))</f>
        <v/>
      </c>
      <c r="P1781" s="32" t="str">
        <f t="shared" si="194"/>
        <v/>
      </c>
      <c r="Q1781" s="33" t="str">
        <f t="shared" si="195"/>
        <v/>
      </c>
    </row>
    <row r="1782" spans="2:17" ht="18" customHeight="1" x14ac:dyDescent="0.3">
      <c r="B1782" s="26"/>
      <c r="C1782" s="17"/>
      <c r="D1782" s="27"/>
      <c r="E1782" s="18"/>
      <c r="F1782" s="18"/>
      <c r="G1782" s="18"/>
      <c r="H1782" s="30" t="str">
        <f t="shared" si="189"/>
        <v/>
      </c>
      <c r="I1782" s="31" t="str">
        <f>IF(OR(B1782="",C1782=""),"",IFERROR(E1782*IF(E1782="",0,VLOOKUP(C1782,'📦 Precios Proforma'!$B$5:$D$104,IF(D1782="DIA",2,3),FALSE)),0))</f>
        <v/>
      </c>
      <c r="J1782" s="31" t="str">
        <f t="shared" si="190"/>
        <v/>
      </c>
      <c r="K1782" s="31" t="str">
        <f t="shared" si="191"/>
        <v/>
      </c>
      <c r="L1782" s="31" t="str">
        <f>IF(OR(B1782="",C1782=""),"",IFERROR(E1782 / SUMIFS('📅 Resumen Diario'!$D$5:$D$504, '📅 Resumen Diario'!$B$5:$B$504, B1782, '📅 Resumen Diario'!$C$5:$C$504, D1782) * SUMIFS('📅 Resumen Diario'!$K$5:$K$504, '📅 Resumen Diario'!$B$5:$B$504, B1782, '📅 Resumen Diario'!$C$5:$C$504, D1782), 0))</f>
        <v/>
      </c>
      <c r="M1782" s="31" t="str">
        <f t="shared" si="192"/>
        <v/>
      </c>
      <c r="N1782" s="31" t="str">
        <f t="shared" si="193"/>
        <v/>
      </c>
      <c r="O1782" s="31" t="str">
        <f>IF(OR(B1782="",C1782=""),"",K1782-N1782 + IFERROR(E1782 / SUMIFS('📅 Resumen Diario'!$D$5:$D$504, '📅 Resumen Diario'!$B$5:$B$504, B1782, '📅 Resumen Diario'!$C$5:$C$504, D1782) * (SUMIFS('📋 Detalle Diario'!$E$5:$E$489, '📋 Detalle Diario'!$B$5:$B$489, B1782, '📋 Detalle Diario'!$C$5:$C$489, D1782) * 135 + SUMIFS('📋 Detalle Diario'!$I$5:$I$489, '📋 Detalle Diario'!$B$5:$B$489, B1782, '📋 Detalle Diario'!$C$5:$C$489, D1782) * 200), 0))</f>
        <v/>
      </c>
      <c r="P1782" s="32" t="str">
        <f t="shared" si="194"/>
        <v/>
      </c>
      <c r="Q1782" s="33" t="str">
        <f t="shared" si="195"/>
        <v/>
      </c>
    </row>
    <row r="1783" spans="2:17" ht="18" customHeight="1" x14ac:dyDescent="0.3">
      <c r="B1783" s="26"/>
      <c r="C1783" s="28"/>
      <c r="D1783" s="27"/>
      <c r="E1783" s="29"/>
      <c r="F1783" s="29"/>
      <c r="G1783" s="29"/>
      <c r="H1783" s="30" t="str">
        <f t="shared" si="189"/>
        <v/>
      </c>
      <c r="I1783" s="31" t="str">
        <f>IF(OR(B1783="",C1783=""),"",IFERROR(E1783*IF(E1783="",0,VLOOKUP(C1783,'📦 Precios Proforma'!$B$5:$D$104,IF(D1783="DIA",2,3),FALSE)),0))</f>
        <v/>
      </c>
      <c r="J1783" s="31" t="str">
        <f t="shared" si="190"/>
        <v/>
      </c>
      <c r="K1783" s="31" t="str">
        <f t="shared" si="191"/>
        <v/>
      </c>
      <c r="L1783" s="31" t="str">
        <f>IF(OR(B1783="",C1783=""),"",IFERROR(E1783 / SUMIFS('📅 Resumen Diario'!$D$5:$D$504, '📅 Resumen Diario'!$B$5:$B$504, B1783, '📅 Resumen Diario'!$C$5:$C$504, D1783) * SUMIFS('📅 Resumen Diario'!$K$5:$K$504, '📅 Resumen Diario'!$B$5:$B$504, B1783, '📅 Resumen Diario'!$C$5:$C$504, D1783), 0))</f>
        <v/>
      </c>
      <c r="M1783" s="31" t="str">
        <f t="shared" si="192"/>
        <v/>
      </c>
      <c r="N1783" s="31" t="str">
        <f t="shared" si="193"/>
        <v/>
      </c>
      <c r="O1783" s="31" t="str">
        <f>IF(OR(B1783="",C1783=""),"",K1783-N1783 + IFERROR(E1783 / SUMIFS('📅 Resumen Diario'!$D$5:$D$504, '📅 Resumen Diario'!$B$5:$B$504, B1783, '📅 Resumen Diario'!$C$5:$C$504, D1783) * (SUMIFS('📋 Detalle Diario'!$E$5:$E$489, '📋 Detalle Diario'!$B$5:$B$489, B1783, '📋 Detalle Diario'!$C$5:$C$489, D1783) * 135 + SUMIFS('📋 Detalle Diario'!$I$5:$I$489, '📋 Detalle Diario'!$B$5:$B$489, B1783, '📋 Detalle Diario'!$C$5:$C$489, D1783) * 200), 0))</f>
        <v/>
      </c>
      <c r="P1783" s="32" t="str">
        <f t="shared" si="194"/>
        <v/>
      </c>
      <c r="Q1783" s="33" t="str">
        <f t="shared" si="195"/>
        <v/>
      </c>
    </row>
    <row r="1784" spans="2:17" ht="18" customHeight="1" x14ac:dyDescent="0.3">
      <c r="B1784" s="26"/>
      <c r="C1784" s="17"/>
      <c r="D1784" s="27"/>
      <c r="E1784" s="18"/>
      <c r="F1784" s="18"/>
      <c r="G1784" s="18"/>
      <c r="H1784" s="30" t="str">
        <f t="shared" si="189"/>
        <v/>
      </c>
      <c r="I1784" s="31" t="str">
        <f>IF(OR(B1784="",C1784=""),"",IFERROR(E1784*IF(E1784="",0,VLOOKUP(C1784,'📦 Precios Proforma'!$B$5:$D$104,IF(D1784="DIA",2,3),FALSE)),0))</f>
        <v/>
      </c>
      <c r="J1784" s="31" t="str">
        <f t="shared" si="190"/>
        <v/>
      </c>
      <c r="K1784" s="31" t="str">
        <f t="shared" si="191"/>
        <v/>
      </c>
      <c r="L1784" s="31" t="str">
        <f>IF(OR(B1784="",C1784=""),"",IFERROR(E1784 / SUMIFS('📅 Resumen Diario'!$D$5:$D$504, '📅 Resumen Diario'!$B$5:$B$504, B1784, '📅 Resumen Diario'!$C$5:$C$504, D1784) * SUMIFS('📅 Resumen Diario'!$K$5:$K$504, '📅 Resumen Diario'!$B$5:$B$504, B1784, '📅 Resumen Diario'!$C$5:$C$504, D1784), 0))</f>
        <v/>
      </c>
      <c r="M1784" s="31" t="str">
        <f t="shared" si="192"/>
        <v/>
      </c>
      <c r="N1784" s="31" t="str">
        <f t="shared" si="193"/>
        <v/>
      </c>
      <c r="O1784" s="31" t="str">
        <f>IF(OR(B1784="",C1784=""),"",K1784-N1784 + IFERROR(E1784 / SUMIFS('📅 Resumen Diario'!$D$5:$D$504, '📅 Resumen Diario'!$B$5:$B$504, B1784, '📅 Resumen Diario'!$C$5:$C$504, D1784) * (SUMIFS('📋 Detalle Diario'!$E$5:$E$489, '📋 Detalle Diario'!$B$5:$B$489, B1784, '📋 Detalle Diario'!$C$5:$C$489, D1784) * 135 + SUMIFS('📋 Detalle Diario'!$I$5:$I$489, '📋 Detalle Diario'!$B$5:$B$489, B1784, '📋 Detalle Diario'!$C$5:$C$489, D1784) * 200), 0))</f>
        <v/>
      </c>
      <c r="P1784" s="32" t="str">
        <f t="shared" si="194"/>
        <v/>
      </c>
      <c r="Q1784" s="33" t="str">
        <f t="shared" si="195"/>
        <v/>
      </c>
    </row>
    <row r="1785" spans="2:17" ht="18" customHeight="1" x14ac:dyDescent="0.3">
      <c r="B1785" s="26"/>
      <c r="C1785" s="28"/>
      <c r="D1785" s="27"/>
      <c r="E1785" s="29"/>
      <c r="F1785" s="29"/>
      <c r="G1785" s="29"/>
      <c r="H1785" s="30" t="str">
        <f t="shared" si="189"/>
        <v/>
      </c>
      <c r="I1785" s="31" t="str">
        <f>IF(OR(B1785="",C1785=""),"",IFERROR(E1785*IF(E1785="",0,VLOOKUP(C1785,'📦 Precios Proforma'!$B$5:$D$104,IF(D1785="DIA",2,3),FALSE)),0))</f>
        <v/>
      </c>
      <c r="J1785" s="31" t="str">
        <f t="shared" si="190"/>
        <v/>
      </c>
      <c r="K1785" s="31" t="str">
        <f t="shared" si="191"/>
        <v/>
      </c>
      <c r="L1785" s="31" t="str">
        <f>IF(OR(B1785="",C1785=""),"",IFERROR(E1785 / SUMIFS('📅 Resumen Diario'!$D$5:$D$504, '📅 Resumen Diario'!$B$5:$B$504, B1785, '📅 Resumen Diario'!$C$5:$C$504, D1785) * SUMIFS('📅 Resumen Diario'!$K$5:$K$504, '📅 Resumen Diario'!$B$5:$B$504, B1785, '📅 Resumen Diario'!$C$5:$C$504, D1785), 0))</f>
        <v/>
      </c>
      <c r="M1785" s="31" t="str">
        <f t="shared" si="192"/>
        <v/>
      </c>
      <c r="N1785" s="31" t="str">
        <f t="shared" si="193"/>
        <v/>
      </c>
      <c r="O1785" s="31" t="str">
        <f>IF(OR(B1785="",C1785=""),"",K1785-N1785 + IFERROR(E1785 / SUMIFS('📅 Resumen Diario'!$D$5:$D$504, '📅 Resumen Diario'!$B$5:$B$504, B1785, '📅 Resumen Diario'!$C$5:$C$504, D1785) * (SUMIFS('📋 Detalle Diario'!$E$5:$E$489, '📋 Detalle Diario'!$B$5:$B$489, B1785, '📋 Detalle Diario'!$C$5:$C$489, D1785) * 135 + SUMIFS('📋 Detalle Diario'!$I$5:$I$489, '📋 Detalle Diario'!$B$5:$B$489, B1785, '📋 Detalle Diario'!$C$5:$C$489, D1785) * 200), 0))</f>
        <v/>
      </c>
      <c r="P1785" s="32" t="str">
        <f t="shared" si="194"/>
        <v/>
      </c>
      <c r="Q1785" s="33" t="str">
        <f t="shared" si="195"/>
        <v/>
      </c>
    </row>
    <row r="1786" spans="2:17" ht="18" customHeight="1" x14ac:dyDescent="0.3">
      <c r="B1786" s="26"/>
      <c r="C1786" s="17"/>
      <c r="D1786" s="27"/>
      <c r="E1786" s="18"/>
      <c r="F1786" s="18"/>
      <c r="G1786" s="18"/>
      <c r="H1786" s="30" t="str">
        <f t="shared" si="189"/>
        <v/>
      </c>
      <c r="I1786" s="31" t="str">
        <f>IF(OR(B1786="",C1786=""),"",IFERROR(E1786*IF(E1786="",0,VLOOKUP(C1786,'📦 Precios Proforma'!$B$5:$D$104,IF(D1786="DIA",2,3),FALSE)),0))</f>
        <v/>
      </c>
      <c r="J1786" s="31" t="str">
        <f t="shared" si="190"/>
        <v/>
      </c>
      <c r="K1786" s="31" t="str">
        <f t="shared" si="191"/>
        <v/>
      </c>
      <c r="L1786" s="31" t="str">
        <f>IF(OR(B1786="",C1786=""),"",IFERROR(E1786 / SUMIFS('📅 Resumen Diario'!$D$5:$D$504, '📅 Resumen Diario'!$B$5:$B$504, B1786, '📅 Resumen Diario'!$C$5:$C$504, D1786) * SUMIFS('📅 Resumen Diario'!$K$5:$K$504, '📅 Resumen Diario'!$B$5:$B$504, B1786, '📅 Resumen Diario'!$C$5:$C$504, D1786), 0))</f>
        <v/>
      </c>
      <c r="M1786" s="31" t="str">
        <f t="shared" si="192"/>
        <v/>
      </c>
      <c r="N1786" s="31" t="str">
        <f t="shared" si="193"/>
        <v/>
      </c>
      <c r="O1786" s="31" t="str">
        <f>IF(OR(B1786="",C1786=""),"",K1786-N1786 + IFERROR(E1786 / SUMIFS('📅 Resumen Diario'!$D$5:$D$504, '📅 Resumen Diario'!$B$5:$B$504, B1786, '📅 Resumen Diario'!$C$5:$C$504, D1786) * (SUMIFS('📋 Detalle Diario'!$E$5:$E$489, '📋 Detalle Diario'!$B$5:$B$489, B1786, '📋 Detalle Diario'!$C$5:$C$489, D1786) * 135 + SUMIFS('📋 Detalle Diario'!$I$5:$I$489, '📋 Detalle Diario'!$B$5:$B$489, B1786, '📋 Detalle Diario'!$C$5:$C$489, D1786) * 200), 0))</f>
        <v/>
      </c>
      <c r="P1786" s="32" t="str">
        <f t="shared" si="194"/>
        <v/>
      </c>
      <c r="Q1786" s="33" t="str">
        <f t="shared" si="195"/>
        <v/>
      </c>
    </row>
    <row r="1787" spans="2:17" ht="18" customHeight="1" x14ac:dyDescent="0.3">
      <c r="B1787" s="26"/>
      <c r="C1787" s="28"/>
      <c r="D1787" s="27"/>
      <c r="E1787" s="29"/>
      <c r="F1787" s="29"/>
      <c r="G1787" s="29"/>
      <c r="H1787" s="30" t="str">
        <f t="shared" si="189"/>
        <v/>
      </c>
      <c r="I1787" s="31" t="str">
        <f>IF(OR(B1787="",C1787=""),"",IFERROR(E1787*IF(E1787="",0,VLOOKUP(C1787,'📦 Precios Proforma'!$B$5:$D$104,IF(D1787="DIA",2,3),FALSE)),0))</f>
        <v/>
      </c>
      <c r="J1787" s="31" t="str">
        <f t="shared" si="190"/>
        <v/>
      </c>
      <c r="K1787" s="31" t="str">
        <f t="shared" si="191"/>
        <v/>
      </c>
      <c r="L1787" s="31" t="str">
        <f>IF(OR(B1787="",C1787=""),"",IFERROR(E1787 / SUMIFS('📅 Resumen Diario'!$D$5:$D$504, '📅 Resumen Diario'!$B$5:$B$504, B1787, '📅 Resumen Diario'!$C$5:$C$504, D1787) * SUMIFS('📅 Resumen Diario'!$K$5:$K$504, '📅 Resumen Diario'!$B$5:$B$504, B1787, '📅 Resumen Diario'!$C$5:$C$504, D1787), 0))</f>
        <v/>
      </c>
      <c r="M1787" s="31" t="str">
        <f t="shared" si="192"/>
        <v/>
      </c>
      <c r="N1787" s="31" t="str">
        <f t="shared" si="193"/>
        <v/>
      </c>
      <c r="O1787" s="31" t="str">
        <f>IF(OR(B1787="",C1787=""),"",K1787-N1787 + IFERROR(E1787 / SUMIFS('📅 Resumen Diario'!$D$5:$D$504, '📅 Resumen Diario'!$B$5:$B$504, B1787, '📅 Resumen Diario'!$C$5:$C$504, D1787) * (SUMIFS('📋 Detalle Diario'!$E$5:$E$489, '📋 Detalle Diario'!$B$5:$B$489, B1787, '📋 Detalle Diario'!$C$5:$C$489, D1787) * 135 + SUMIFS('📋 Detalle Diario'!$I$5:$I$489, '📋 Detalle Diario'!$B$5:$B$489, B1787, '📋 Detalle Diario'!$C$5:$C$489, D1787) * 200), 0))</f>
        <v/>
      </c>
      <c r="P1787" s="32" t="str">
        <f t="shared" si="194"/>
        <v/>
      </c>
      <c r="Q1787" s="33" t="str">
        <f t="shared" si="195"/>
        <v/>
      </c>
    </row>
    <row r="1788" spans="2:17" ht="18" customHeight="1" x14ac:dyDescent="0.3">
      <c r="B1788" s="26"/>
      <c r="C1788" s="17"/>
      <c r="D1788" s="27"/>
      <c r="E1788" s="18"/>
      <c r="F1788" s="18"/>
      <c r="G1788" s="18"/>
      <c r="H1788" s="30" t="str">
        <f t="shared" si="189"/>
        <v/>
      </c>
      <c r="I1788" s="31" t="str">
        <f>IF(OR(B1788="",C1788=""),"",IFERROR(E1788*IF(E1788="",0,VLOOKUP(C1788,'📦 Precios Proforma'!$B$5:$D$104,IF(D1788="DIA",2,3),FALSE)),0))</f>
        <v/>
      </c>
      <c r="J1788" s="31" t="str">
        <f t="shared" si="190"/>
        <v/>
      </c>
      <c r="K1788" s="31" t="str">
        <f t="shared" si="191"/>
        <v/>
      </c>
      <c r="L1788" s="31" t="str">
        <f>IF(OR(B1788="",C1788=""),"",IFERROR(E1788 / SUMIFS('📅 Resumen Diario'!$D$5:$D$504, '📅 Resumen Diario'!$B$5:$B$504, B1788, '📅 Resumen Diario'!$C$5:$C$504, D1788) * SUMIFS('📅 Resumen Diario'!$K$5:$K$504, '📅 Resumen Diario'!$B$5:$B$504, B1788, '📅 Resumen Diario'!$C$5:$C$504, D1788), 0))</f>
        <v/>
      </c>
      <c r="M1788" s="31" t="str">
        <f t="shared" si="192"/>
        <v/>
      </c>
      <c r="N1788" s="31" t="str">
        <f t="shared" si="193"/>
        <v/>
      </c>
      <c r="O1788" s="31" t="str">
        <f>IF(OR(B1788="",C1788=""),"",K1788-N1788 + IFERROR(E1788 / SUMIFS('📅 Resumen Diario'!$D$5:$D$504, '📅 Resumen Diario'!$B$5:$B$504, B1788, '📅 Resumen Diario'!$C$5:$C$504, D1788) * (SUMIFS('📋 Detalle Diario'!$E$5:$E$489, '📋 Detalle Diario'!$B$5:$B$489, B1788, '📋 Detalle Diario'!$C$5:$C$489, D1788) * 135 + SUMIFS('📋 Detalle Diario'!$I$5:$I$489, '📋 Detalle Diario'!$B$5:$B$489, B1788, '📋 Detalle Diario'!$C$5:$C$489, D1788) * 200), 0))</f>
        <v/>
      </c>
      <c r="P1788" s="32" t="str">
        <f t="shared" si="194"/>
        <v/>
      </c>
      <c r="Q1788" s="33" t="str">
        <f t="shared" si="195"/>
        <v/>
      </c>
    </row>
    <row r="1789" spans="2:17" ht="18" customHeight="1" x14ac:dyDescent="0.3">
      <c r="B1789" s="26"/>
      <c r="C1789" s="28"/>
      <c r="D1789" s="27"/>
      <c r="E1789" s="29"/>
      <c r="F1789" s="29"/>
      <c r="G1789" s="29"/>
      <c r="H1789" s="30" t="str">
        <f t="shared" si="189"/>
        <v/>
      </c>
      <c r="I1789" s="31" t="str">
        <f>IF(OR(B1789="",C1789=""),"",IFERROR(E1789*IF(E1789="",0,VLOOKUP(C1789,'📦 Precios Proforma'!$B$5:$D$104,IF(D1789="DIA",2,3),FALSE)),0))</f>
        <v/>
      </c>
      <c r="J1789" s="31" t="str">
        <f t="shared" si="190"/>
        <v/>
      </c>
      <c r="K1789" s="31" t="str">
        <f t="shared" si="191"/>
        <v/>
      </c>
      <c r="L1789" s="31" t="str">
        <f>IF(OR(B1789="",C1789=""),"",IFERROR(E1789 / SUMIFS('📅 Resumen Diario'!$D$5:$D$504, '📅 Resumen Diario'!$B$5:$B$504, B1789, '📅 Resumen Diario'!$C$5:$C$504, D1789) * SUMIFS('📅 Resumen Diario'!$K$5:$K$504, '📅 Resumen Diario'!$B$5:$B$504, B1789, '📅 Resumen Diario'!$C$5:$C$504, D1789), 0))</f>
        <v/>
      </c>
      <c r="M1789" s="31" t="str">
        <f t="shared" si="192"/>
        <v/>
      </c>
      <c r="N1789" s="31" t="str">
        <f t="shared" si="193"/>
        <v/>
      </c>
      <c r="O1789" s="31" t="str">
        <f>IF(OR(B1789="",C1789=""),"",K1789-N1789 + IFERROR(E1789 / SUMIFS('📅 Resumen Diario'!$D$5:$D$504, '📅 Resumen Diario'!$B$5:$B$504, B1789, '📅 Resumen Diario'!$C$5:$C$504, D1789) * (SUMIFS('📋 Detalle Diario'!$E$5:$E$489, '📋 Detalle Diario'!$B$5:$B$489, B1789, '📋 Detalle Diario'!$C$5:$C$489, D1789) * 135 + SUMIFS('📋 Detalle Diario'!$I$5:$I$489, '📋 Detalle Diario'!$B$5:$B$489, B1789, '📋 Detalle Diario'!$C$5:$C$489, D1789) * 200), 0))</f>
        <v/>
      </c>
      <c r="P1789" s="32" t="str">
        <f t="shared" si="194"/>
        <v/>
      </c>
      <c r="Q1789" s="33" t="str">
        <f t="shared" si="195"/>
        <v/>
      </c>
    </row>
    <row r="1790" spans="2:17" ht="18" customHeight="1" x14ac:dyDescent="0.3">
      <c r="B1790" s="26"/>
      <c r="C1790" s="17"/>
      <c r="D1790" s="27"/>
      <c r="E1790" s="18"/>
      <c r="F1790" s="18"/>
      <c r="G1790" s="18"/>
      <c r="H1790" s="30" t="str">
        <f t="shared" si="189"/>
        <v/>
      </c>
      <c r="I1790" s="31" t="str">
        <f>IF(OR(B1790="",C1790=""),"",IFERROR(E1790*IF(E1790="",0,VLOOKUP(C1790,'📦 Precios Proforma'!$B$5:$D$104,IF(D1790="DIA",2,3),FALSE)),0))</f>
        <v/>
      </c>
      <c r="J1790" s="31" t="str">
        <f t="shared" si="190"/>
        <v/>
      </c>
      <c r="K1790" s="31" t="str">
        <f t="shared" si="191"/>
        <v/>
      </c>
      <c r="L1790" s="31" t="str">
        <f>IF(OR(B1790="",C1790=""),"",IFERROR(E1790 / SUMIFS('📅 Resumen Diario'!$D$5:$D$504, '📅 Resumen Diario'!$B$5:$B$504, B1790, '📅 Resumen Diario'!$C$5:$C$504, D1790) * SUMIFS('📅 Resumen Diario'!$K$5:$K$504, '📅 Resumen Diario'!$B$5:$B$504, B1790, '📅 Resumen Diario'!$C$5:$C$504, D1790), 0))</f>
        <v/>
      </c>
      <c r="M1790" s="31" t="str">
        <f t="shared" si="192"/>
        <v/>
      </c>
      <c r="N1790" s="31" t="str">
        <f t="shared" si="193"/>
        <v/>
      </c>
      <c r="O1790" s="31" t="str">
        <f>IF(OR(B1790="",C1790=""),"",K1790-N1790 + IFERROR(E1790 / SUMIFS('📅 Resumen Diario'!$D$5:$D$504, '📅 Resumen Diario'!$B$5:$B$504, B1790, '📅 Resumen Diario'!$C$5:$C$504, D1790) * (SUMIFS('📋 Detalle Diario'!$E$5:$E$489, '📋 Detalle Diario'!$B$5:$B$489, B1790, '📋 Detalle Diario'!$C$5:$C$489, D1790) * 135 + SUMIFS('📋 Detalle Diario'!$I$5:$I$489, '📋 Detalle Diario'!$B$5:$B$489, B1790, '📋 Detalle Diario'!$C$5:$C$489, D1790) * 200), 0))</f>
        <v/>
      </c>
      <c r="P1790" s="32" t="str">
        <f t="shared" si="194"/>
        <v/>
      </c>
      <c r="Q1790" s="33" t="str">
        <f t="shared" si="195"/>
        <v/>
      </c>
    </row>
    <row r="1791" spans="2:17" ht="18" customHeight="1" x14ac:dyDescent="0.3">
      <c r="B1791" s="26"/>
      <c r="C1791" s="28"/>
      <c r="D1791" s="27"/>
      <c r="E1791" s="29"/>
      <c r="F1791" s="29"/>
      <c r="G1791" s="29"/>
      <c r="H1791" s="30" t="str">
        <f t="shared" si="189"/>
        <v/>
      </c>
      <c r="I1791" s="31" t="str">
        <f>IF(OR(B1791="",C1791=""),"",IFERROR(E1791*IF(E1791="",0,VLOOKUP(C1791,'📦 Precios Proforma'!$B$5:$D$104,IF(D1791="DIA",2,3),FALSE)),0))</f>
        <v/>
      </c>
      <c r="J1791" s="31" t="str">
        <f t="shared" si="190"/>
        <v/>
      </c>
      <c r="K1791" s="31" t="str">
        <f t="shared" si="191"/>
        <v/>
      </c>
      <c r="L1791" s="31" t="str">
        <f>IF(OR(B1791="",C1791=""),"",IFERROR(E1791 / SUMIFS('📅 Resumen Diario'!$D$5:$D$504, '📅 Resumen Diario'!$B$5:$B$504, B1791, '📅 Resumen Diario'!$C$5:$C$504, D1791) * SUMIFS('📅 Resumen Diario'!$K$5:$K$504, '📅 Resumen Diario'!$B$5:$B$504, B1791, '📅 Resumen Diario'!$C$5:$C$504, D1791), 0))</f>
        <v/>
      </c>
      <c r="M1791" s="31" t="str">
        <f t="shared" si="192"/>
        <v/>
      </c>
      <c r="N1791" s="31" t="str">
        <f t="shared" si="193"/>
        <v/>
      </c>
      <c r="O1791" s="31" t="str">
        <f>IF(OR(B1791="",C1791=""),"",K1791-N1791 + IFERROR(E1791 / SUMIFS('📅 Resumen Diario'!$D$5:$D$504, '📅 Resumen Diario'!$B$5:$B$504, B1791, '📅 Resumen Diario'!$C$5:$C$504, D1791) * (SUMIFS('📋 Detalle Diario'!$E$5:$E$489, '📋 Detalle Diario'!$B$5:$B$489, B1791, '📋 Detalle Diario'!$C$5:$C$489, D1791) * 135 + SUMIFS('📋 Detalle Diario'!$I$5:$I$489, '📋 Detalle Diario'!$B$5:$B$489, B1791, '📋 Detalle Diario'!$C$5:$C$489, D1791) * 200), 0))</f>
        <v/>
      </c>
      <c r="P1791" s="32" t="str">
        <f t="shared" si="194"/>
        <v/>
      </c>
      <c r="Q1791" s="33" t="str">
        <f t="shared" si="195"/>
        <v/>
      </c>
    </row>
    <row r="1792" spans="2:17" ht="18" customHeight="1" x14ac:dyDescent="0.3">
      <c r="B1792" s="26"/>
      <c r="C1792" s="17"/>
      <c r="D1792" s="27"/>
      <c r="E1792" s="18"/>
      <c r="F1792" s="18"/>
      <c r="G1792" s="18"/>
      <c r="H1792" s="30" t="str">
        <f t="shared" si="189"/>
        <v/>
      </c>
      <c r="I1792" s="31" t="str">
        <f>IF(OR(B1792="",C1792=""),"",IFERROR(E1792*IF(E1792="",0,VLOOKUP(C1792,'📦 Precios Proforma'!$B$5:$D$104,IF(D1792="DIA",2,3),FALSE)),0))</f>
        <v/>
      </c>
      <c r="J1792" s="31" t="str">
        <f t="shared" si="190"/>
        <v/>
      </c>
      <c r="K1792" s="31" t="str">
        <f t="shared" si="191"/>
        <v/>
      </c>
      <c r="L1792" s="31" t="str">
        <f>IF(OR(B1792="",C1792=""),"",IFERROR(E1792 / SUMIFS('📅 Resumen Diario'!$D$5:$D$504, '📅 Resumen Diario'!$B$5:$B$504, B1792, '📅 Resumen Diario'!$C$5:$C$504, D1792) * SUMIFS('📅 Resumen Diario'!$K$5:$K$504, '📅 Resumen Diario'!$B$5:$B$504, B1792, '📅 Resumen Diario'!$C$5:$C$504, D1792), 0))</f>
        <v/>
      </c>
      <c r="M1792" s="31" t="str">
        <f t="shared" si="192"/>
        <v/>
      </c>
      <c r="N1792" s="31" t="str">
        <f t="shared" si="193"/>
        <v/>
      </c>
      <c r="O1792" s="31" t="str">
        <f>IF(OR(B1792="",C1792=""),"",K1792-N1792 + IFERROR(E1792 / SUMIFS('📅 Resumen Diario'!$D$5:$D$504, '📅 Resumen Diario'!$B$5:$B$504, B1792, '📅 Resumen Diario'!$C$5:$C$504, D1792) * (SUMIFS('📋 Detalle Diario'!$E$5:$E$489, '📋 Detalle Diario'!$B$5:$B$489, B1792, '📋 Detalle Diario'!$C$5:$C$489, D1792) * 135 + SUMIFS('📋 Detalle Diario'!$I$5:$I$489, '📋 Detalle Diario'!$B$5:$B$489, B1792, '📋 Detalle Diario'!$C$5:$C$489, D1792) * 200), 0))</f>
        <v/>
      </c>
      <c r="P1792" s="32" t="str">
        <f t="shared" si="194"/>
        <v/>
      </c>
      <c r="Q1792" s="33" t="str">
        <f t="shared" si="195"/>
        <v/>
      </c>
    </row>
    <row r="1793" spans="2:17" ht="18" customHeight="1" x14ac:dyDescent="0.3">
      <c r="B1793" s="26"/>
      <c r="C1793" s="28"/>
      <c r="D1793" s="27"/>
      <c r="E1793" s="29"/>
      <c r="F1793" s="29"/>
      <c r="G1793" s="29"/>
      <c r="H1793" s="30" t="str">
        <f t="shared" si="189"/>
        <v/>
      </c>
      <c r="I1793" s="31" t="str">
        <f>IF(OR(B1793="",C1793=""),"",IFERROR(E1793*IF(E1793="",0,VLOOKUP(C1793,'📦 Precios Proforma'!$B$5:$D$104,IF(D1793="DIA",2,3),FALSE)),0))</f>
        <v/>
      </c>
      <c r="J1793" s="31" t="str">
        <f t="shared" si="190"/>
        <v/>
      </c>
      <c r="K1793" s="31" t="str">
        <f t="shared" si="191"/>
        <v/>
      </c>
      <c r="L1793" s="31" t="str">
        <f>IF(OR(B1793="",C1793=""),"",IFERROR(E1793 / SUMIFS('📅 Resumen Diario'!$D$5:$D$504, '📅 Resumen Diario'!$B$5:$B$504, B1793, '📅 Resumen Diario'!$C$5:$C$504, D1793) * SUMIFS('📅 Resumen Diario'!$K$5:$K$504, '📅 Resumen Diario'!$B$5:$B$504, B1793, '📅 Resumen Diario'!$C$5:$C$504, D1793), 0))</f>
        <v/>
      </c>
      <c r="M1793" s="31" t="str">
        <f t="shared" si="192"/>
        <v/>
      </c>
      <c r="N1793" s="31" t="str">
        <f t="shared" si="193"/>
        <v/>
      </c>
      <c r="O1793" s="31" t="str">
        <f>IF(OR(B1793="",C1793=""),"",K1793-N1793 + IFERROR(E1793 / SUMIFS('📅 Resumen Diario'!$D$5:$D$504, '📅 Resumen Diario'!$B$5:$B$504, B1793, '📅 Resumen Diario'!$C$5:$C$504, D1793) * (SUMIFS('📋 Detalle Diario'!$E$5:$E$489, '📋 Detalle Diario'!$B$5:$B$489, B1793, '📋 Detalle Diario'!$C$5:$C$489, D1793) * 135 + SUMIFS('📋 Detalle Diario'!$I$5:$I$489, '📋 Detalle Diario'!$B$5:$B$489, B1793, '📋 Detalle Diario'!$C$5:$C$489, D1793) * 200), 0))</f>
        <v/>
      </c>
      <c r="P1793" s="32" t="str">
        <f t="shared" si="194"/>
        <v/>
      </c>
      <c r="Q1793" s="33" t="str">
        <f t="shared" si="195"/>
        <v/>
      </c>
    </row>
    <row r="1794" spans="2:17" ht="18" customHeight="1" x14ac:dyDescent="0.3">
      <c r="B1794" s="26"/>
      <c r="C1794" s="17"/>
      <c r="D1794" s="27"/>
      <c r="E1794" s="18"/>
      <c r="F1794" s="18"/>
      <c r="G1794" s="18"/>
      <c r="H1794" s="30" t="str">
        <f t="shared" si="189"/>
        <v/>
      </c>
      <c r="I1794" s="31" t="str">
        <f>IF(OR(B1794="",C1794=""),"",IFERROR(E1794*IF(E1794="",0,VLOOKUP(C1794,'📦 Precios Proforma'!$B$5:$D$104,IF(D1794="DIA",2,3),FALSE)),0))</f>
        <v/>
      </c>
      <c r="J1794" s="31" t="str">
        <f t="shared" si="190"/>
        <v/>
      </c>
      <c r="K1794" s="31" t="str">
        <f t="shared" si="191"/>
        <v/>
      </c>
      <c r="L1794" s="31" t="str">
        <f>IF(OR(B1794="",C1794=""),"",IFERROR(E1794 / SUMIFS('📅 Resumen Diario'!$D$5:$D$504, '📅 Resumen Diario'!$B$5:$B$504, B1794, '📅 Resumen Diario'!$C$5:$C$504, D1794) * SUMIFS('📅 Resumen Diario'!$K$5:$K$504, '📅 Resumen Diario'!$B$5:$B$504, B1794, '📅 Resumen Diario'!$C$5:$C$504, D1794), 0))</f>
        <v/>
      </c>
      <c r="M1794" s="31" t="str">
        <f t="shared" si="192"/>
        <v/>
      </c>
      <c r="N1794" s="31" t="str">
        <f t="shared" si="193"/>
        <v/>
      </c>
      <c r="O1794" s="31" t="str">
        <f>IF(OR(B1794="",C1794=""),"",K1794-N1794 + IFERROR(E1794 / SUMIFS('📅 Resumen Diario'!$D$5:$D$504, '📅 Resumen Diario'!$B$5:$B$504, B1794, '📅 Resumen Diario'!$C$5:$C$504, D1794) * (SUMIFS('📋 Detalle Diario'!$E$5:$E$489, '📋 Detalle Diario'!$B$5:$B$489, B1794, '📋 Detalle Diario'!$C$5:$C$489, D1794) * 135 + SUMIFS('📋 Detalle Diario'!$I$5:$I$489, '📋 Detalle Diario'!$B$5:$B$489, B1794, '📋 Detalle Diario'!$C$5:$C$489, D1794) * 200), 0))</f>
        <v/>
      </c>
      <c r="P1794" s="32" t="str">
        <f t="shared" si="194"/>
        <v/>
      </c>
      <c r="Q1794" s="33" t="str">
        <f t="shared" si="195"/>
        <v/>
      </c>
    </row>
    <row r="1795" spans="2:17" ht="18" customHeight="1" x14ac:dyDescent="0.3">
      <c r="B1795" s="26"/>
      <c r="C1795" s="28"/>
      <c r="D1795" s="27"/>
      <c r="E1795" s="29"/>
      <c r="F1795" s="29"/>
      <c r="G1795" s="29"/>
      <c r="H1795" s="30" t="str">
        <f t="shared" si="189"/>
        <v/>
      </c>
      <c r="I1795" s="31" t="str">
        <f>IF(OR(B1795="",C1795=""),"",IFERROR(E1795*IF(E1795="",0,VLOOKUP(C1795,'📦 Precios Proforma'!$B$5:$D$104,IF(D1795="DIA",2,3),FALSE)),0))</f>
        <v/>
      </c>
      <c r="J1795" s="31" t="str">
        <f t="shared" si="190"/>
        <v/>
      </c>
      <c r="K1795" s="31" t="str">
        <f t="shared" si="191"/>
        <v/>
      </c>
      <c r="L1795" s="31" t="str">
        <f>IF(OR(B1795="",C1795=""),"",IFERROR(E1795 / SUMIFS('📅 Resumen Diario'!$D$5:$D$504, '📅 Resumen Diario'!$B$5:$B$504, B1795, '📅 Resumen Diario'!$C$5:$C$504, D1795) * SUMIFS('📅 Resumen Diario'!$K$5:$K$504, '📅 Resumen Diario'!$B$5:$B$504, B1795, '📅 Resumen Diario'!$C$5:$C$504, D1795), 0))</f>
        <v/>
      </c>
      <c r="M1795" s="31" t="str">
        <f t="shared" si="192"/>
        <v/>
      </c>
      <c r="N1795" s="31" t="str">
        <f t="shared" si="193"/>
        <v/>
      </c>
      <c r="O1795" s="31" t="str">
        <f>IF(OR(B1795="",C1795=""),"",K1795-N1795 + IFERROR(E1795 / SUMIFS('📅 Resumen Diario'!$D$5:$D$504, '📅 Resumen Diario'!$B$5:$B$504, B1795, '📅 Resumen Diario'!$C$5:$C$504, D1795) * (SUMIFS('📋 Detalle Diario'!$E$5:$E$489, '📋 Detalle Diario'!$B$5:$B$489, B1795, '📋 Detalle Diario'!$C$5:$C$489, D1795) * 135 + SUMIFS('📋 Detalle Diario'!$I$5:$I$489, '📋 Detalle Diario'!$B$5:$B$489, B1795, '📋 Detalle Diario'!$C$5:$C$489, D1795) * 200), 0))</f>
        <v/>
      </c>
      <c r="P1795" s="32" t="str">
        <f t="shared" si="194"/>
        <v/>
      </c>
      <c r="Q1795" s="33" t="str">
        <f t="shared" si="195"/>
        <v/>
      </c>
    </row>
    <row r="1796" spans="2:17" ht="18" customHeight="1" x14ac:dyDescent="0.3">
      <c r="B1796" s="26"/>
      <c r="C1796" s="17"/>
      <c r="D1796" s="27"/>
      <c r="E1796" s="18"/>
      <c r="F1796" s="18"/>
      <c r="G1796" s="18"/>
      <c r="H1796" s="30" t="str">
        <f t="shared" si="189"/>
        <v/>
      </c>
      <c r="I1796" s="31" t="str">
        <f>IF(OR(B1796="",C1796=""),"",IFERROR(E1796*IF(E1796="",0,VLOOKUP(C1796,'📦 Precios Proforma'!$B$5:$D$104,IF(D1796="DIA",2,3),FALSE)),0))</f>
        <v/>
      </c>
      <c r="J1796" s="31" t="str">
        <f t="shared" si="190"/>
        <v/>
      </c>
      <c r="K1796" s="31" t="str">
        <f t="shared" si="191"/>
        <v/>
      </c>
      <c r="L1796" s="31" t="str">
        <f>IF(OR(B1796="",C1796=""),"",IFERROR(E1796 / SUMIFS('📅 Resumen Diario'!$D$5:$D$504, '📅 Resumen Diario'!$B$5:$B$504, B1796, '📅 Resumen Diario'!$C$5:$C$504, D1796) * SUMIFS('📅 Resumen Diario'!$K$5:$K$504, '📅 Resumen Diario'!$B$5:$B$504, B1796, '📅 Resumen Diario'!$C$5:$C$504, D1796), 0))</f>
        <v/>
      </c>
      <c r="M1796" s="31" t="str">
        <f t="shared" si="192"/>
        <v/>
      </c>
      <c r="N1796" s="31" t="str">
        <f t="shared" si="193"/>
        <v/>
      </c>
      <c r="O1796" s="31" t="str">
        <f>IF(OR(B1796="",C1796=""),"",K1796-N1796 + IFERROR(E1796 / SUMIFS('📅 Resumen Diario'!$D$5:$D$504, '📅 Resumen Diario'!$B$5:$B$504, B1796, '📅 Resumen Diario'!$C$5:$C$504, D1796) * (SUMIFS('📋 Detalle Diario'!$E$5:$E$489, '📋 Detalle Diario'!$B$5:$B$489, B1796, '📋 Detalle Diario'!$C$5:$C$489, D1796) * 135 + SUMIFS('📋 Detalle Diario'!$I$5:$I$489, '📋 Detalle Diario'!$B$5:$B$489, B1796, '📋 Detalle Diario'!$C$5:$C$489, D1796) * 200), 0))</f>
        <v/>
      </c>
      <c r="P1796" s="32" t="str">
        <f t="shared" si="194"/>
        <v/>
      </c>
      <c r="Q1796" s="33" t="str">
        <f t="shared" si="195"/>
        <v/>
      </c>
    </row>
    <row r="1797" spans="2:17" ht="18" customHeight="1" x14ac:dyDescent="0.3">
      <c r="B1797" s="26"/>
      <c r="C1797" s="28"/>
      <c r="D1797" s="27"/>
      <c r="E1797" s="29"/>
      <c r="F1797" s="29"/>
      <c r="G1797" s="29"/>
      <c r="H1797" s="30" t="str">
        <f t="shared" si="189"/>
        <v/>
      </c>
      <c r="I1797" s="31" t="str">
        <f>IF(OR(B1797="",C1797=""),"",IFERROR(E1797*IF(E1797="",0,VLOOKUP(C1797,'📦 Precios Proforma'!$B$5:$D$104,IF(D1797="DIA",2,3),FALSE)),0))</f>
        <v/>
      </c>
      <c r="J1797" s="31" t="str">
        <f t="shared" si="190"/>
        <v/>
      </c>
      <c r="K1797" s="31" t="str">
        <f t="shared" si="191"/>
        <v/>
      </c>
      <c r="L1797" s="31" t="str">
        <f>IF(OR(B1797="",C1797=""),"",IFERROR(E1797 / SUMIFS('📅 Resumen Diario'!$D$5:$D$504, '📅 Resumen Diario'!$B$5:$B$504, B1797, '📅 Resumen Diario'!$C$5:$C$504, D1797) * SUMIFS('📅 Resumen Diario'!$K$5:$K$504, '📅 Resumen Diario'!$B$5:$B$504, B1797, '📅 Resumen Diario'!$C$5:$C$504, D1797), 0))</f>
        <v/>
      </c>
      <c r="M1797" s="31" t="str">
        <f t="shared" si="192"/>
        <v/>
      </c>
      <c r="N1797" s="31" t="str">
        <f t="shared" si="193"/>
        <v/>
      </c>
      <c r="O1797" s="31" t="str">
        <f>IF(OR(B1797="",C1797=""),"",K1797-N1797 + IFERROR(E1797 / SUMIFS('📅 Resumen Diario'!$D$5:$D$504, '📅 Resumen Diario'!$B$5:$B$504, B1797, '📅 Resumen Diario'!$C$5:$C$504, D1797) * (SUMIFS('📋 Detalle Diario'!$E$5:$E$489, '📋 Detalle Diario'!$B$5:$B$489, B1797, '📋 Detalle Diario'!$C$5:$C$489, D1797) * 135 + SUMIFS('📋 Detalle Diario'!$I$5:$I$489, '📋 Detalle Diario'!$B$5:$B$489, B1797, '📋 Detalle Diario'!$C$5:$C$489, D1797) * 200), 0))</f>
        <v/>
      </c>
      <c r="P1797" s="32" t="str">
        <f t="shared" si="194"/>
        <v/>
      </c>
      <c r="Q1797" s="33" t="str">
        <f t="shared" si="195"/>
        <v/>
      </c>
    </row>
    <row r="1798" spans="2:17" ht="18" customHeight="1" x14ac:dyDescent="0.3">
      <c r="B1798" s="26"/>
      <c r="C1798" s="17"/>
      <c r="D1798" s="27"/>
      <c r="E1798" s="18"/>
      <c r="F1798" s="18"/>
      <c r="G1798" s="18"/>
      <c r="H1798" s="30" t="str">
        <f t="shared" si="189"/>
        <v/>
      </c>
      <c r="I1798" s="31" t="str">
        <f>IF(OR(B1798="",C1798=""),"",IFERROR(E1798*IF(E1798="",0,VLOOKUP(C1798,'📦 Precios Proforma'!$B$5:$D$104,IF(D1798="DIA",2,3),FALSE)),0))</f>
        <v/>
      </c>
      <c r="J1798" s="31" t="str">
        <f t="shared" si="190"/>
        <v/>
      </c>
      <c r="K1798" s="31" t="str">
        <f t="shared" si="191"/>
        <v/>
      </c>
      <c r="L1798" s="31" t="str">
        <f>IF(OR(B1798="",C1798=""),"",IFERROR(E1798 / SUMIFS('📅 Resumen Diario'!$D$5:$D$504, '📅 Resumen Diario'!$B$5:$B$504, B1798, '📅 Resumen Diario'!$C$5:$C$504, D1798) * SUMIFS('📅 Resumen Diario'!$K$5:$K$504, '📅 Resumen Diario'!$B$5:$B$504, B1798, '📅 Resumen Diario'!$C$5:$C$504, D1798), 0))</f>
        <v/>
      </c>
      <c r="M1798" s="31" t="str">
        <f t="shared" si="192"/>
        <v/>
      </c>
      <c r="N1798" s="31" t="str">
        <f t="shared" si="193"/>
        <v/>
      </c>
      <c r="O1798" s="31" t="str">
        <f>IF(OR(B1798="",C1798=""),"",K1798-N1798 + IFERROR(E1798 / SUMIFS('📅 Resumen Diario'!$D$5:$D$504, '📅 Resumen Diario'!$B$5:$B$504, B1798, '📅 Resumen Diario'!$C$5:$C$504, D1798) * (SUMIFS('📋 Detalle Diario'!$E$5:$E$489, '📋 Detalle Diario'!$B$5:$B$489, B1798, '📋 Detalle Diario'!$C$5:$C$489, D1798) * 135 + SUMIFS('📋 Detalle Diario'!$I$5:$I$489, '📋 Detalle Diario'!$B$5:$B$489, B1798, '📋 Detalle Diario'!$C$5:$C$489, D1798) * 200), 0))</f>
        <v/>
      </c>
      <c r="P1798" s="32" t="str">
        <f t="shared" si="194"/>
        <v/>
      </c>
      <c r="Q1798" s="33" t="str">
        <f t="shared" si="195"/>
        <v/>
      </c>
    </row>
    <row r="1799" spans="2:17" ht="18" customHeight="1" x14ac:dyDescent="0.3">
      <c r="B1799" s="26"/>
      <c r="C1799" s="28"/>
      <c r="D1799" s="27"/>
      <c r="E1799" s="29"/>
      <c r="F1799" s="29"/>
      <c r="G1799" s="29"/>
      <c r="H1799" s="30" t="str">
        <f t="shared" ref="H1799:H1862" si="196">IF(OR(B1799="",C1799=""),"",F1799+G1799)</f>
        <v/>
      </c>
      <c r="I1799" s="31" t="str">
        <f>IF(OR(B1799="",C1799=""),"",IFERROR(E1799*IF(E1799="",0,VLOOKUP(C1799,'📦 Precios Proforma'!$B$5:$D$104,IF(D1799="DIA",2,3),FALSE)),0))</f>
        <v/>
      </c>
      <c r="J1799" s="31" t="str">
        <f t="shared" ref="J1799:J1862" si="197">IF(OR(B1799="",C1799=""),"",IF(D1799="DIA",H1799*1.01,H1799*1.35))</f>
        <v/>
      </c>
      <c r="K1799" s="31" t="str">
        <f t="shared" ref="K1799:K1862" si="198">IF(OR(B1799="",C1799=""),"",I1799+J1799)</f>
        <v/>
      </c>
      <c r="L1799" s="31" t="str">
        <f>IF(OR(B1799="",C1799=""),"",IFERROR(E1799 / SUMIFS('📅 Resumen Diario'!$D$5:$D$504, '📅 Resumen Diario'!$B$5:$B$504, B1799, '📅 Resumen Diario'!$C$5:$C$504, D1799) * SUMIFS('📅 Resumen Diario'!$K$5:$K$504, '📅 Resumen Diario'!$B$5:$B$504, B1799, '📅 Resumen Diario'!$C$5:$C$504, D1799), 0))</f>
        <v/>
      </c>
      <c r="M1799" s="31" t="str">
        <f t="shared" ref="M1799:M1862" si="199">IF(OR(B1799="",C1799=""),"",H1799*0.09)</f>
        <v/>
      </c>
      <c r="N1799" s="31" t="str">
        <f t="shared" ref="N1799:N1862" si="200">IF(OR(B1799="",C1799=""),"",L1799+M1799)</f>
        <v/>
      </c>
      <c r="O1799" s="31" t="str">
        <f>IF(OR(B1799="",C1799=""),"",K1799-N1799 + IFERROR(E1799 / SUMIFS('📅 Resumen Diario'!$D$5:$D$504, '📅 Resumen Diario'!$B$5:$B$504, B1799, '📅 Resumen Diario'!$C$5:$C$504, D1799) * (SUMIFS('📋 Detalle Diario'!$E$5:$E$489, '📋 Detalle Diario'!$B$5:$B$489, B1799, '📋 Detalle Diario'!$C$5:$C$489, D1799) * 135 + SUMIFS('📋 Detalle Diario'!$I$5:$I$489, '📋 Detalle Diario'!$B$5:$B$489, B1799, '📋 Detalle Diario'!$C$5:$C$489, D1799) * 200), 0))</f>
        <v/>
      </c>
      <c r="P1799" s="32" t="str">
        <f t="shared" ref="P1799:P1862" si="201">IF(OR(B1799="",C1799=""),"",IF(K1799=0, 0, O1799/K1799))</f>
        <v/>
      </c>
      <c r="Q1799" s="33" t="str">
        <f t="shared" ref="Q1799:Q1862" si="202">IF(B1799="","",IF(ISNUMBER(B1799),YEAR(B1799)&amp;"-"&amp;IF(MONTH(B1799)&lt;10,"0","")&amp;MONTH(B1799),LEFT(B1799,7)))</f>
        <v/>
      </c>
    </row>
    <row r="1800" spans="2:17" ht="18" customHeight="1" x14ac:dyDescent="0.3">
      <c r="B1800" s="26"/>
      <c r="C1800" s="17"/>
      <c r="D1800" s="27"/>
      <c r="E1800" s="18"/>
      <c r="F1800" s="18"/>
      <c r="G1800" s="18"/>
      <c r="H1800" s="30" t="str">
        <f t="shared" si="196"/>
        <v/>
      </c>
      <c r="I1800" s="31" t="str">
        <f>IF(OR(B1800="",C1800=""),"",IFERROR(E1800*IF(E1800="",0,VLOOKUP(C1800,'📦 Precios Proforma'!$B$5:$D$104,IF(D1800="DIA",2,3),FALSE)),0))</f>
        <v/>
      </c>
      <c r="J1800" s="31" t="str">
        <f t="shared" si="197"/>
        <v/>
      </c>
      <c r="K1800" s="31" t="str">
        <f t="shared" si="198"/>
        <v/>
      </c>
      <c r="L1800" s="31" t="str">
        <f>IF(OR(B1800="",C1800=""),"",IFERROR(E1800 / SUMIFS('📅 Resumen Diario'!$D$5:$D$504, '📅 Resumen Diario'!$B$5:$B$504, B1800, '📅 Resumen Diario'!$C$5:$C$504, D1800) * SUMIFS('📅 Resumen Diario'!$K$5:$K$504, '📅 Resumen Diario'!$B$5:$B$504, B1800, '📅 Resumen Diario'!$C$5:$C$504, D1800), 0))</f>
        <v/>
      </c>
      <c r="M1800" s="31" t="str">
        <f t="shared" si="199"/>
        <v/>
      </c>
      <c r="N1800" s="31" t="str">
        <f t="shared" si="200"/>
        <v/>
      </c>
      <c r="O1800" s="31" t="str">
        <f>IF(OR(B1800="",C1800=""),"",K1800-N1800 + IFERROR(E1800 / SUMIFS('📅 Resumen Diario'!$D$5:$D$504, '📅 Resumen Diario'!$B$5:$B$504, B1800, '📅 Resumen Diario'!$C$5:$C$504, D1800) * (SUMIFS('📋 Detalle Diario'!$E$5:$E$489, '📋 Detalle Diario'!$B$5:$B$489, B1800, '📋 Detalle Diario'!$C$5:$C$489, D1800) * 135 + SUMIFS('📋 Detalle Diario'!$I$5:$I$489, '📋 Detalle Diario'!$B$5:$B$489, B1800, '📋 Detalle Diario'!$C$5:$C$489, D1800) * 200), 0))</f>
        <v/>
      </c>
      <c r="P1800" s="32" t="str">
        <f t="shared" si="201"/>
        <v/>
      </c>
      <c r="Q1800" s="33" t="str">
        <f t="shared" si="202"/>
        <v/>
      </c>
    </row>
    <row r="1801" spans="2:17" ht="18" customHeight="1" x14ac:dyDescent="0.3">
      <c r="B1801" s="26"/>
      <c r="C1801" s="28"/>
      <c r="D1801" s="27"/>
      <c r="E1801" s="29"/>
      <c r="F1801" s="29"/>
      <c r="G1801" s="29"/>
      <c r="H1801" s="30" t="str">
        <f t="shared" si="196"/>
        <v/>
      </c>
      <c r="I1801" s="31" t="str">
        <f>IF(OR(B1801="",C1801=""),"",IFERROR(E1801*IF(E1801="",0,VLOOKUP(C1801,'📦 Precios Proforma'!$B$5:$D$104,IF(D1801="DIA",2,3),FALSE)),0))</f>
        <v/>
      </c>
      <c r="J1801" s="31" t="str">
        <f t="shared" si="197"/>
        <v/>
      </c>
      <c r="K1801" s="31" t="str">
        <f t="shared" si="198"/>
        <v/>
      </c>
      <c r="L1801" s="31" t="str">
        <f>IF(OR(B1801="",C1801=""),"",IFERROR(E1801 / SUMIFS('📅 Resumen Diario'!$D$5:$D$504, '📅 Resumen Diario'!$B$5:$B$504, B1801, '📅 Resumen Diario'!$C$5:$C$504, D1801) * SUMIFS('📅 Resumen Diario'!$K$5:$K$504, '📅 Resumen Diario'!$B$5:$B$504, B1801, '📅 Resumen Diario'!$C$5:$C$504, D1801), 0))</f>
        <v/>
      </c>
      <c r="M1801" s="31" t="str">
        <f t="shared" si="199"/>
        <v/>
      </c>
      <c r="N1801" s="31" t="str">
        <f t="shared" si="200"/>
        <v/>
      </c>
      <c r="O1801" s="31" t="str">
        <f>IF(OR(B1801="",C1801=""),"",K1801-N1801 + IFERROR(E1801 / SUMIFS('📅 Resumen Diario'!$D$5:$D$504, '📅 Resumen Diario'!$B$5:$B$504, B1801, '📅 Resumen Diario'!$C$5:$C$504, D1801) * (SUMIFS('📋 Detalle Diario'!$E$5:$E$489, '📋 Detalle Diario'!$B$5:$B$489, B1801, '📋 Detalle Diario'!$C$5:$C$489, D1801) * 135 + SUMIFS('📋 Detalle Diario'!$I$5:$I$489, '📋 Detalle Diario'!$B$5:$B$489, B1801, '📋 Detalle Diario'!$C$5:$C$489, D1801) * 200), 0))</f>
        <v/>
      </c>
      <c r="P1801" s="32" t="str">
        <f t="shared" si="201"/>
        <v/>
      </c>
      <c r="Q1801" s="33" t="str">
        <f t="shared" si="202"/>
        <v/>
      </c>
    </row>
    <row r="1802" spans="2:17" ht="18" customHeight="1" x14ac:dyDescent="0.3">
      <c r="B1802" s="26"/>
      <c r="C1802" s="17"/>
      <c r="D1802" s="27"/>
      <c r="E1802" s="18"/>
      <c r="F1802" s="18"/>
      <c r="G1802" s="18"/>
      <c r="H1802" s="30" t="str">
        <f t="shared" si="196"/>
        <v/>
      </c>
      <c r="I1802" s="31" t="str">
        <f>IF(OR(B1802="",C1802=""),"",IFERROR(E1802*IF(E1802="",0,VLOOKUP(C1802,'📦 Precios Proforma'!$B$5:$D$104,IF(D1802="DIA",2,3),FALSE)),0))</f>
        <v/>
      </c>
      <c r="J1802" s="31" t="str">
        <f t="shared" si="197"/>
        <v/>
      </c>
      <c r="K1802" s="31" t="str">
        <f t="shared" si="198"/>
        <v/>
      </c>
      <c r="L1802" s="31" t="str">
        <f>IF(OR(B1802="",C1802=""),"",IFERROR(E1802 / SUMIFS('📅 Resumen Diario'!$D$5:$D$504, '📅 Resumen Diario'!$B$5:$B$504, B1802, '📅 Resumen Diario'!$C$5:$C$504, D1802) * SUMIFS('📅 Resumen Diario'!$K$5:$K$504, '📅 Resumen Diario'!$B$5:$B$504, B1802, '📅 Resumen Diario'!$C$5:$C$504, D1802), 0))</f>
        <v/>
      </c>
      <c r="M1802" s="31" t="str">
        <f t="shared" si="199"/>
        <v/>
      </c>
      <c r="N1802" s="31" t="str">
        <f t="shared" si="200"/>
        <v/>
      </c>
      <c r="O1802" s="31" t="str">
        <f>IF(OR(B1802="",C1802=""),"",K1802-N1802 + IFERROR(E1802 / SUMIFS('📅 Resumen Diario'!$D$5:$D$504, '📅 Resumen Diario'!$B$5:$B$504, B1802, '📅 Resumen Diario'!$C$5:$C$504, D1802) * (SUMIFS('📋 Detalle Diario'!$E$5:$E$489, '📋 Detalle Diario'!$B$5:$B$489, B1802, '📋 Detalle Diario'!$C$5:$C$489, D1802) * 135 + SUMIFS('📋 Detalle Diario'!$I$5:$I$489, '📋 Detalle Diario'!$B$5:$B$489, B1802, '📋 Detalle Diario'!$C$5:$C$489, D1802) * 200), 0))</f>
        <v/>
      </c>
      <c r="P1802" s="32" t="str">
        <f t="shared" si="201"/>
        <v/>
      </c>
      <c r="Q1802" s="33" t="str">
        <f t="shared" si="202"/>
        <v/>
      </c>
    </row>
    <row r="1803" spans="2:17" ht="18" customHeight="1" x14ac:dyDescent="0.3">
      <c r="B1803" s="26"/>
      <c r="C1803" s="28"/>
      <c r="D1803" s="27"/>
      <c r="E1803" s="29"/>
      <c r="F1803" s="29"/>
      <c r="G1803" s="29"/>
      <c r="H1803" s="30" t="str">
        <f t="shared" si="196"/>
        <v/>
      </c>
      <c r="I1803" s="31" t="str">
        <f>IF(OR(B1803="",C1803=""),"",IFERROR(E1803*IF(E1803="",0,VLOOKUP(C1803,'📦 Precios Proforma'!$B$5:$D$104,IF(D1803="DIA",2,3),FALSE)),0))</f>
        <v/>
      </c>
      <c r="J1803" s="31" t="str">
        <f t="shared" si="197"/>
        <v/>
      </c>
      <c r="K1803" s="31" t="str">
        <f t="shared" si="198"/>
        <v/>
      </c>
      <c r="L1803" s="31" t="str">
        <f>IF(OR(B1803="",C1803=""),"",IFERROR(E1803 / SUMIFS('📅 Resumen Diario'!$D$5:$D$504, '📅 Resumen Diario'!$B$5:$B$504, B1803, '📅 Resumen Diario'!$C$5:$C$504, D1803) * SUMIFS('📅 Resumen Diario'!$K$5:$K$504, '📅 Resumen Diario'!$B$5:$B$504, B1803, '📅 Resumen Diario'!$C$5:$C$504, D1803), 0))</f>
        <v/>
      </c>
      <c r="M1803" s="31" t="str">
        <f t="shared" si="199"/>
        <v/>
      </c>
      <c r="N1803" s="31" t="str">
        <f t="shared" si="200"/>
        <v/>
      </c>
      <c r="O1803" s="31" t="str">
        <f>IF(OR(B1803="",C1803=""),"",K1803-N1803 + IFERROR(E1803 / SUMIFS('📅 Resumen Diario'!$D$5:$D$504, '📅 Resumen Diario'!$B$5:$B$504, B1803, '📅 Resumen Diario'!$C$5:$C$504, D1803) * (SUMIFS('📋 Detalle Diario'!$E$5:$E$489, '📋 Detalle Diario'!$B$5:$B$489, B1803, '📋 Detalle Diario'!$C$5:$C$489, D1803) * 135 + SUMIFS('📋 Detalle Diario'!$I$5:$I$489, '📋 Detalle Diario'!$B$5:$B$489, B1803, '📋 Detalle Diario'!$C$5:$C$489, D1803) * 200), 0))</f>
        <v/>
      </c>
      <c r="P1803" s="32" t="str">
        <f t="shared" si="201"/>
        <v/>
      </c>
      <c r="Q1803" s="33" t="str">
        <f t="shared" si="202"/>
        <v/>
      </c>
    </row>
    <row r="1804" spans="2:17" ht="18" customHeight="1" x14ac:dyDescent="0.3">
      <c r="B1804" s="26"/>
      <c r="C1804" s="17"/>
      <c r="D1804" s="27"/>
      <c r="E1804" s="18"/>
      <c r="F1804" s="18"/>
      <c r="G1804" s="18"/>
      <c r="H1804" s="30" t="str">
        <f t="shared" si="196"/>
        <v/>
      </c>
      <c r="I1804" s="31" t="str">
        <f>IF(OR(B1804="",C1804=""),"",IFERROR(E1804*IF(E1804="",0,VLOOKUP(C1804,'📦 Precios Proforma'!$B$5:$D$104,IF(D1804="DIA",2,3),FALSE)),0))</f>
        <v/>
      </c>
      <c r="J1804" s="31" t="str">
        <f t="shared" si="197"/>
        <v/>
      </c>
      <c r="K1804" s="31" t="str">
        <f t="shared" si="198"/>
        <v/>
      </c>
      <c r="L1804" s="31" t="str">
        <f>IF(OR(B1804="",C1804=""),"",IFERROR(E1804 / SUMIFS('📅 Resumen Diario'!$D$5:$D$504, '📅 Resumen Diario'!$B$5:$B$504, B1804, '📅 Resumen Diario'!$C$5:$C$504, D1804) * SUMIFS('📅 Resumen Diario'!$K$5:$K$504, '📅 Resumen Diario'!$B$5:$B$504, B1804, '📅 Resumen Diario'!$C$5:$C$504, D1804), 0))</f>
        <v/>
      </c>
      <c r="M1804" s="31" t="str">
        <f t="shared" si="199"/>
        <v/>
      </c>
      <c r="N1804" s="31" t="str">
        <f t="shared" si="200"/>
        <v/>
      </c>
      <c r="O1804" s="31" t="str">
        <f>IF(OR(B1804="",C1804=""),"",K1804-N1804 + IFERROR(E1804 / SUMIFS('📅 Resumen Diario'!$D$5:$D$504, '📅 Resumen Diario'!$B$5:$B$504, B1804, '📅 Resumen Diario'!$C$5:$C$504, D1804) * (SUMIFS('📋 Detalle Diario'!$E$5:$E$489, '📋 Detalle Diario'!$B$5:$B$489, B1804, '📋 Detalle Diario'!$C$5:$C$489, D1804) * 135 + SUMIFS('📋 Detalle Diario'!$I$5:$I$489, '📋 Detalle Diario'!$B$5:$B$489, B1804, '📋 Detalle Diario'!$C$5:$C$489, D1804) * 200), 0))</f>
        <v/>
      </c>
      <c r="P1804" s="32" t="str">
        <f t="shared" si="201"/>
        <v/>
      </c>
      <c r="Q1804" s="33" t="str">
        <f t="shared" si="202"/>
        <v/>
      </c>
    </row>
    <row r="1805" spans="2:17" ht="18" customHeight="1" x14ac:dyDescent="0.3">
      <c r="B1805" s="26"/>
      <c r="C1805" s="28"/>
      <c r="D1805" s="27"/>
      <c r="E1805" s="29"/>
      <c r="F1805" s="29"/>
      <c r="G1805" s="29"/>
      <c r="H1805" s="30" t="str">
        <f t="shared" si="196"/>
        <v/>
      </c>
      <c r="I1805" s="31" t="str">
        <f>IF(OR(B1805="",C1805=""),"",IFERROR(E1805*IF(E1805="",0,VLOOKUP(C1805,'📦 Precios Proforma'!$B$5:$D$104,IF(D1805="DIA",2,3),FALSE)),0))</f>
        <v/>
      </c>
      <c r="J1805" s="31" t="str">
        <f t="shared" si="197"/>
        <v/>
      </c>
      <c r="K1805" s="31" t="str">
        <f t="shared" si="198"/>
        <v/>
      </c>
      <c r="L1805" s="31" t="str">
        <f>IF(OR(B1805="",C1805=""),"",IFERROR(E1805 / SUMIFS('📅 Resumen Diario'!$D$5:$D$504, '📅 Resumen Diario'!$B$5:$B$504, B1805, '📅 Resumen Diario'!$C$5:$C$504, D1805) * SUMIFS('📅 Resumen Diario'!$K$5:$K$504, '📅 Resumen Diario'!$B$5:$B$504, B1805, '📅 Resumen Diario'!$C$5:$C$504, D1805), 0))</f>
        <v/>
      </c>
      <c r="M1805" s="31" t="str">
        <f t="shared" si="199"/>
        <v/>
      </c>
      <c r="N1805" s="31" t="str">
        <f t="shared" si="200"/>
        <v/>
      </c>
      <c r="O1805" s="31" t="str">
        <f>IF(OR(B1805="",C1805=""),"",K1805-N1805 + IFERROR(E1805 / SUMIFS('📅 Resumen Diario'!$D$5:$D$504, '📅 Resumen Diario'!$B$5:$B$504, B1805, '📅 Resumen Diario'!$C$5:$C$504, D1805) * (SUMIFS('📋 Detalle Diario'!$E$5:$E$489, '📋 Detalle Diario'!$B$5:$B$489, B1805, '📋 Detalle Diario'!$C$5:$C$489, D1805) * 135 + SUMIFS('📋 Detalle Diario'!$I$5:$I$489, '📋 Detalle Diario'!$B$5:$B$489, B1805, '📋 Detalle Diario'!$C$5:$C$489, D1805) * 200), 0))</f>
        <v/>
      </c>
      <c r="P1805" s="32" t="str">
        <f t="shared" si="201"/>
        <v/>
      </c>
      <c r="Q1805" s="33" t="str">
        <f t="shared" si="202"/>
        <v/>
      </c>
    </row>
    <row r="1806" spans="2:17" ht="18" customHeight="1" x14ac:dyDescent="0.3">
      <c r="B1806" s="26"/>
      <c r="C1806" s="17"/>
      <c r="D1806" s="27"/>
      <c r="E1806" s="18"/>
      <c r="F1806" s="18"/>
      <c r="G1806" s="18"/>
      <c r="H1806" s="30" t="str">
        <f t="shared" si="196"/>
        <v/>
      </c>
      <c r="I1806" s="31" t="str">
        <f>IF(OR(B1806="",C1806=""),"",IFERROR(E1806*IF(E1806="",0,VLOOKUP(C1806,'📦 Precios Proforma'!$B$5:$D$104,IF(D1806="DIA",2,3),FALSE)),0))</f>
        <v/>
      </c>
      <c r="J1806" s="31" t="str">
        <f t="shared" si="197"/>
        <v/>
      </c>
      <c r="K1806" s="31" t="str">
        <f t="shared" si="198"/>
        <v/>
      </c>
      <c r="L1806" s="31" t="str">
        <f>IF(OR(B1806="",C1806=""),"",IFERROR(E1806 / SUMIFS('📅 Resumen Diario'!$D$5:$D$504, '📅 Resumen Diario'!$B$5:$B$504, B1806, '📅 Resumen Diario'!$C$5:$C$504, D1806) * SUMIFS('📅 Resumen Diario'!$K$5:$K$504, '📅 Resumen Diario'!$B$5:$B$504, B1806, '📅 Resumen Diario'!$C$5:$C$504, D1806), 0))</f>
        <v/>
      </c>
      <c r="M1806" s="31" t="str">
        <f t="shared" si="199"/>
        <v/>
      </c>
      <c r="N1806" s="31" t="str">
        <f t="shared" si="200"/>
        <v/>
      </c>
      <c r="O1806" s="31" t="str">
        <f>IF(OR(B1806="",C1806=""),"",K1806-N1806 + IFERROR(E1806 / SUMIFS('📅 Resumen Diario'!$D$5:$D$504, '📅 Resumen Diario'!$B$5:$B$504, B1806, '📅 Resumen Diario'!$C$5:$C$504, D1806) * (SUMIFS('📋 Detalle Diario'!$E$5:$E$489, '📋 Detalle Diario'!$B$5:$B$489, B1806, '📋 Detalle Diario'!$C$5:$C$489, D1806) * 135 + SUMIFS('📋 Detalle Diario'!$I$5:$I$489, '📋 Detalle Diario'!$B$5:$B$489, B1806, '📋 Detalle Diario'!$C$5:$C$489, D1806) * 200), 0))</f>
        <v/>
      </c>
      <c r="P1806" s="32" t="str">
        <f t="shared" si="201"/>
        <v/>
      </c>
      <c r="Q1806" s="33" t="str">
        <f t="shared" si="202"/>
        <v/>
      </c>
    </row>
    <row r="1807" spans="2:17" ht="18" customHeight="1" x14ac:dyDescent="0.3">
      <c r="B1807" s="26"/>
      <c r="C1807" s="28"/>
      <c r="D1807" s="27"/>
      <c r="E1807" s="29"/>
      <c r="F1807" s="29"/>
      <c r="G1807" s="29"/>
      <c r="H1807" s="30" t="str">
        <f t="shared" si="196"/>
        <v/>
      </c>
      <c r="I1807" s="31" t="str">
        <f>IF(OR(B1807="",C1807=""),"",IFERROR(E1807*IF(E1807="",0,VLOOKUP(C1807,'📦 Precios Proforma'!$B$5:$D$104,IF(D1807="DIA",2,3),FALSE)),0))</f>
        <v/>
      </c>
      <c r="J1807" s="31" t="str">
        <f t="shared" si="197"/>
        <v/>
      </c>
      <c r="K1807" s="31" t="str">
        <f t="shared" si="198"/>
        <v/>
      </c>
      <c r="L1807" s="31" t="str">
        <f>IF(OR(B1807="",C1807=""),"",IFERROR(E1807 / SUMIFS('📅 Resumen Diario'!$D$5:$D$504, '📅 Resumen Diario'!$B$5:$B$504, B1807, '📅 Resumen Diario'!$C$5:$C$504, D1807) * SUMIFS('📅 Resumen Diario'!$K$5:$K$504, '📅 Resumen Diario'!$B$5:$B$504, B1807, '📅 Resumen Diario'!$C$5:$C$504, D1807), 0))</f>
        <v/>
      </c>
      <c r="M1807" s="31" t="str">
        <f t="shared" si="199"/>
        <v/>
      </c>
      <c r="N1807" s="31" t="str">
        <f t="shared" si="200"/>
        <v/>
      </c>
      <c r="O1807" s="31" t="str">
        <f>IF(OR(B1807="",C1807=""),"",K1807-N1807 + IFERROR(E1807 / SUMIFS('📅 Resumen Diario'!$D$5:$D$504, '📅 Resumen Diario'!$B$5:$B$504, B1807, '📅 Resumen Diario'!$C$5:$C$504, D1807) * (SUMIFS('📋 Detalle Diario'!$E$5:$E$489, '📋 Detalle Diario'!$B$5:$B$489, B1807, '📋 Detalle Diario'!$C$5:$C$489, D1807) * 135 + SUMIFS('📋 Detalle Diario'!$I$5:$I$489, '📋 Detalle Diario'!$B$5:$B$489, B1807, '📋 Detalle Diario'!$C$5:$C$489, D1807) * 200), 0))</f>
        <v/>
      </c>
      <c r="P1807" s="32" t="str">
        <f t="shared" si="201"/>
        <v/>
      </c>
      <c r="Q1807" s="33" t="str">
        <f t="shared" si="202"/>
        <v/>
      </c>
    </row>
    <row r="1808" spans="2:17" ht="18" customHeight="1" x14ac:dyDescent="0.3">
      <c r="B1808" s="26"/>
      <c r="C1808" s="17"/>
      <c r="D1808" s="27"/>
      <c r="E1808" s="18"/>
      <c r="F1808" s="18"/>
      <c r="G1808" s="18"/>
      <c r="H1808" s="30" t="str">
        <f t="shared" si="196"/>
        <v/>
      </c>
      <c r="I1808" s="31" t="str">
        <f>IF(OR(B1808="",C1808=""),"",IFERROR(E1808*IF(E1808="",0,VLOOKUP(C1808,'📦 Precios Proforma'!$B$5:$D$104,IF(D1808="DIA",2,3),FALSE)),0))</f>
        <v/>
      </c>
      <c r="J1808" s="31" t="str">
        <f t="shared" si="197"/>
        <v/>
      </c>
      <c r="K1808" s="31" t="str">
        <f t="shared" si="198"/>
        <v/>
      </c>
      <c r="L1808" s="31" t="str">
        <f>IF(OR(B1808="",C1808=""),"",IFERROR(E1808 / SUMIFS('📅 Resumen Diario'!$D$5:$D$504, '📅 Resumen Diario'!$B$5:$B$504, B1808, '📅 Resumen Diario'!$C$5:$C$504, D1808) * SUMIFS('📅 Resumen Diario'!$K$5:$K$504, '📅 Resumen Diario'!$B$5:$B$504, B1808, '📅 Resumen Diario'!$C$5:$C$504, D1808), 0))</f>
        <v/>
      </c>
      <c r="M1808" s="31" t="str">
        <f t="shared" si="199"/>
        <v/>
      </c>
      <c r="N1808" s="31" t="str">
        <f t="shared" si="200"/>
        <v/>
      </c>
      <c r="O1808" s="31" t="str">
        <f>IF(OR(B1808="",C1808=""),"",K1808-N1808 + IFERROR(E1808 / SUMIFS('📅 Resumen Diario'!$D$5:$D$504, '📅 Resumen Diario'!$B$5:$B$504, B1808, '📅 Resumen Diario'!$C$5:$C$504, D1808) * (SUMIFS('📋 Detalle Diario'!$E$5:$E$489, '📋 Detalle Diario'!$B$5:$B$489, B1808, '📋 Detalle Diario'!$C$5:$C$489, D1808) * 135 + SUMIFS('📋 Detalle Diario'!$I$5:$I$489, '📋 Detalle Diario'!$B$5:$B$489, B1808, '📋 Detalle Diario'!$C$5:$C$489, D1808) * 200), 0))</f>
        <v/>
      </c>
      <c r="P1808" s="32" t="str">
        <f t="shared" si="201"/>
        <v/>
      </c>
      <c r="Q1808" s="33" t="str">
        <f t="shared" si="202"/>
        <v/>
      </c>
    </row>
    <row r="1809" spans="2:17" ht="18" customHeight="1" x14ac:dyDescent="0.3">
      <c r="B1809" s="26"/>
      <c r="C1809" s="28"/>
      <c r="D1809" s="27"/>
      <c r="E1809" s="29"/>
      <c r="F1809" s="29"/>
      <c r="G1809" s="29"/>
      <c r="H1809" s="30" t="str">
        <f t="shared" si="196"/>
        <v/>
      </c>
      <c r="I1809" s="31" t="str">
        <f>IF(OR(B1809="",C1809=""),"",IFERROR(E1809*IF(E1809="",0,VLOOKUP(C1809,'📦 Precios Proforma'!$B$5:$D$104,IF(D1809="DIA",2,3),FALSE)),0))</f>
        <v/>
      </c>
      <c r="J1809" s="31" t="str">
        <f t="shared" si="197"/>
        <v/>
      </c>
      <c r="K1809" s="31" t="str">
        <f t="shared" si="198"/>
        <v/>
      </c>
      <c r="L1809" s="31" t="str">
        <f>IF(OR(B1809="",C1809=""),"",IFERROR(E1809 / SUMIFS('📅 Resumen Diario'!$D$5:$D$504, '📅 Resumen Diario'!$B$5:$B$504, B1809, '📅 Resumen Diario'!$C$5:$C$504, D1809) * SUMIFS('📅 Resumen Diario'!$K$5:$K$504, '📅 Resumen Diario'!$B$5:$B$504, B1809, '📅 Resumen Diario'!$C$5:$C$504, D1809), 0))</f>
        <v/>
      </c>
      <c r="M1809" s="31" t="str">
        <f t="shared" si="199"/>
        <v/>
      </c>
      <c r="N1809" s="31" t="str">
        <f t="shared" si="200"/>
        <v/>
      </c>
      <c r="O1809" s="31" t="str">
        <f>IF(OR(B1809="",C1809=""),"",K1809-N1809 + IFERROR(E1809 / SUMIFS('📅 Resumen Diario'!$D$5:$D$504, '📅 Resumen Diario'!$B$5:$B$504, B1809, '📅 Resumen Diario'!$C$5:$C$504, D1809) * (SUMIFS('📋 Detalle Diario'!$E$5:$E$489, '📋 Detalle Diario'!$B$5:$B$489, B1809, '📋 Detalle Diario'!$C$5:$C$489, D1809) * 135 + SUMIFS('📋 Detalle Diario'!$I$5:$I$489, '📋 Detalle Diario'!$B$5:$B$489, B1809, '📋 Detalle Diario'!$C$5:$C$489, D1809) * 200), 0))</f>
        <v/>
      </c>
      <c r="P1809" s="32" t="str">
        <f t="shared" si="201"/>
        <v/>
      </c>
      <c r="Q1809" s="33" t="str">
        <f t="shared" si="202"/>
        <v/>
      </c>
    </row>
    <row r="1810" spans="2:17" ht="18" customHeight="1" x14ac:dyDescent="0.3">
      <c r="B1810" s="26"/>
      <c r="C1810" s="17"/>
      <c r="D1810" s="27"/>
      <c r="E1810" s="18"/>
      <c r="F1810" s="18"/>
      <c r="G1810" s="18"/>
      <c r="H1810" s="30" t="str">
        <f t="shared" si="196"/>
        <v/>
      </c>
      <c r="I1810" s="31" t="str">
        <f>IF(OR(B1810="",C1810=""),"",IFERROR(E1810*IF(E1810="",0,VLOOKUP(C1810,'📦 Precios Proforma'!$B$5:$D$104,IF(D1810="DIA",2,3),FALSE)),0))</f>
        <v/>
      </c>
      <c r="J1810" s="31" t="str">
        <f t="shared" si="197"/>
        <v/>
      </c>
      <c r="K1810" s="31" t="str">
        <f t="shared" si="198"/>
        <v/>
      </c>
      <c r="L1810" s="31" t="str">
        <f>IF(OR(B1810="",C1810=""),"",IFERROR(E1810 / SUMIFS('📅 Resumen Diario'!$D$5:$D$504, '📅 Resumen Diario'!$B$5:$B$504, B1810, '📅 Resumen Diario'!$C$5:$C$504, D1810) * SUMIFS('📅 Resumen Diario'!$K$5:$K$504, '📅 Resumen Diario'!$B$5:$B$504, B1810, '📅 Resumen Diario'!$C$5:$C$504, D1810), 0))</f>
        <v/>
      </c>
      <c r="M1810" s="31" t="str">
        <f t="shared" si="199"/>
        <v/>
      </c>
      <c r="N1810" s="31" t="str">
        <f t="shared" si="200"/>
        <v/>
      </c>
      <c r="O1810" s="31" t="str">
        <f>IF(OR(B1810="",C1810=""),"",K1810-N1810 + IFERROR(E1810 / SUMIFS('📅 Resumen Diario'!$D$5:$D$504, '📅 Resumen Diario'!$B$5:$B$504, B1810, '📅 Resumen Diario'!$C$5:$C$504, D1810) * (SUMIFS('📋 Detalle Diario'!$E$5:$E$489, '📋 Detalle Diario'!$B$5:$B$489, B1810, '📋 Detalle Diario'!$C$5:$C$489, D1810) * 135 + SUMIFS('📋 Detalle Diario'!$I$5:$I$489, '📋 Detalle Diario'!$B$5:$B$489, B1810, '📋 Detalle Diario'!$C$5:$C$489, D1810) * 200), 0))</f>
        <v/>
      </c>
      <c r="P1810" s="32" t="str">
        <f t="shared" si="201"/>
        <v/>
      </c>
      <c r="Q1810" s="33" t="str">
        <f t="shared" si="202"/>
        <v/>
      </c>
    </row>
    <row r="1811" spans="2:17" ht="18" customHeight="1" x14ac:dyDescent="0.3">
      <c r="B1811" s="26"/>
      <c r="C1811" s="28"/>
      <c r="D1811" s="27"/>
      <c r="E1811" s="29"/>
      <c r="F1811" s="29"/>
      <c r="G1811" s="29"/>
      <c r="H1811" s="30" t="str">
        <f t="shared" si="196"/>
        <v/>
      </c>
      <c r="I1811" s="31" t="str">
        <f>IF(OR(B1811="",C1811=""),"",IFERROR(E1811*IF(E1811="",0,VLOOKUP(C1811,'📦 Precios Proforma'!$B$5:$D$104,IF(D1811="DIA",2,3),FALSE)),0))</f>
        <v/>
      </c>
      <c r="J1811" s="31" t="str">
        <f t="shared" si="197"/>
        <v/>
      </c>
      <c r="K1811" s="31" t="str">
        <f t="shared" si="198"/>
        <v/>
      </c>
      <c r="L1811" s="31" t="str">
        <f>IF(OR(B1811="",C1811=""),"",IFERROR(E1811 / SUMIFS('📅 Resumen Diario'!$D$5:$D$504, '📅 Resumen Diario'!$B$5:$B$504, B1811, '📅 Resumen Diario'!$C$5:$C$504, D1811) * SUMIFS('📅 Resumen Diario'!$K$5:$K$504, '📅 Resumen Diario'!$B$5:$B$504, B1811, '📅 Resumen Diario'!$C$5:$C$504, D1811), 0))</f>
        <v/>
      </c>
      <c r="M1811" s="31" t="str">
        <f t="shared" si="199"/>
        <v/>
      </c>
      <c r="N1811" s="31" t="str">
        <f t="shared" si="200"/>
        <v/>
      </c>
      <c r="O1811" s="31" t="str">
        <f>IF(OR(B1811="",C1811=""),"",K1811-N1811 + IFERROR(E1811 / SUMIFS('📅 Resumen Diario'!$D$5:$D$504, '📅 Resumen Diario'!$B$5:$B$504, B1811, '📅 Resumen Diario'!$C$5:$C$504, D1811) * (SUMIFS('📋 Detalle Diario'!$E$5:$E$489, '📋 Detalle Diario'!$B$5:$B$489, B1811, '📋 Detalle Diario'!$C$5:$C$489, D1811) * 135 + SUMIFS('📋 Detalle Diario'!$I$5:$I$489, '📋 Detalle Diario'!$B$5:$B$489, B1811, '📋 Detalle Diario'!$C$5:$C$489, D1811) * 200), 0))</f>
        <v/>
      </c>
      <c r="P1811" s="32" t="str">
        <f t="shared" si="201"/>
        <v/>
      </c>
      <c r="Q1811" s="33" t="str">
        <f t="shared" si="202"/>
        <v/>
      </c>
    </row>
    <row r="1812" spans="2:17" ht="18" customHeight="1" x14ac:dyDescent="0.3">
      <c r="B1812" s="26"/>
      <c r="C1812" s="17"/>
      <c r="D1812" s="27"/>
      <c r="E1812" s="18"/>
      <c r="F1812" s="18"/>
      <c r="G1812" s="18"/>
      <c r="H1812" s="30" t="str">
        <f t="shared" si="196"/>
        <v/>
      </c>
      <c r="I1812" s="31" t="str">
        <f>IF(OR(B1812="",C1812=""),"",IFERROR(E1812*IF(E1812="",0,VLOOKUP(C1812,'📦 Precios Proforma'!$B$5:$D$104,IF(D1812="DIA",2,3),FALSE)),0))</f>
        <v/>
      </c>
      <c r="J1812" s="31" t="str">
        <f t="shared" si="197"/>
        <v/>
      </c>
      <c r="K1812" s="31" t="str">
        <f t="shared" si="198"/>
        <v/>
      </c>
      <c r="L1812" s="31" t="str">
        <f>IF(OR(B1812="",C1812=""),"",IFERROR(E1812 / SUMIFS('📅 Resumen Diario'!$D$5:$D$504, '📅 Resumen Diario'!$B$5:$B$504, B1812, '📅 Resumen Diario'!$C$5:$C$504, D1812) * SUMIFS('📅 Resumen Diario'!$K$5:$K$504, '📅 Resumen Diario'!$B$5:$B$504, B1812, '📅 Resumen Diario'!$C$5:$C$504, D1812), 0))</f>
        <v/>
      </c>
      <c r="M1812" s="31" t="str">
        <f t="shared" si="199"/>
        <v/>
      </c>
      <c r="N1812" s="31" t="str">
        <f t="shared" si="200"/>
        <v/>
      </c>
      <c r="O1812" s="31" t="str">
        <f>IF(OR(B1812="",C1812=""),"",K1812-N1812 + IFERROR(E1812 / SUMIFS('📅 Resumen Diario'!$D$5:$D$504, '📅 Resumen Diario'!$B$5:$B$504, B1812, '📅 Resumen Diario'!$C$5:$C$504, D1812) * (SUMIFS('📋 Detalle Diario'!$E$5:$E$489, '📋 Detalle Diario'!$B$5:$B$489, B1812, '📋 Detalle Diario'!$C$5:$C$489, D1812) * 135 + SUMIFS('📋 Detalle Diario'!$I$5:$I$489, '📋 Detalle Diario'!$B$5:$B$489, B1812, '📋 Detalle Diario'!$C$5:$C$489, D1812) * 200), 0))</f>
        <v/>
      </c>
      <c r="P1812" s="32" t="str">
        <f t="shared" si="201"/>
        <v/>
      </c>
      <c r="Q1812" s="33" t="str">
        <f t="shared" si="202"/>
        <v/>
      </c>
    </row>
    <row r="1813" spans="2:17" ht="18" customHeight="1" x14ac:dyDescent="0.3">
      <c r="B1813" s="26"/>
      <c r="C1813" s="28"/>
      <c r="D1813" s="27"/>
      <c r="E1813" s="29"/>
      <c r="F1813" s="29"/>
      <c r="G1813" s="29"/>
      <c r="H1813" s="30" t="str">
        <f t="shared" si="196"/>
        <v/>
      </c>
      <c r="I1813" s="31" t="str">
        <f>IF(OR(B1813="",C1813=""),"",IFERROR(E1813*IF(E1813="",0,VLOOKUP(C1813,'📦 Precios Proforma'!$B$5:$D$104,IF(D1813="DIA",2,3),FALSE)),0))</f>
        <v/>
      </c>
      <c r="J1813" s="31" t="str">
        <f t="shared" si="197"/>
        <v/>
      </c>
      <c r="K1813" s="31" t="str">
        <f t="shared" si="198"/>
        <v/>
      </c>
      <c r="L1813" s="31" t="str">
        <f>IF(OR(B1813="",C1813=""),"",IFERROR(E1813 / SUMIFS('📅 Resumen Diario'!$D$5:$D$504, '📅 Resumen Diario'!$B$5:$B$504, B1813, '📅 Resumen Diario'!$C$5:$C$504, D1813) * SUMIFS('📅 Resumen Diario'!$K$5:$K$504, '📅 Resumen Diario'!$B$5:$B$504, B1813, '📅 Resumen Diario'!$C$5:$C$504, D1813), 0))</f>
        <v/>
      </c>
      <c r="M1813" s="31" t="str">
        <f t="shared" si="199"/>
        <v/>
      </c>
      <c r="N1813" s="31" t="str">
        <f t="shared" si="200"/>
        <v/>
      </c>
      <c r="O1813" s="31" t="str">
        <f>IF(OR(B1813="",C1813=""),"",K1813-N1813 + IFERROR(E1813 / SUMIFS('📅 Resumen Diario'!$D$5:$D$504, '📅 Resumen Diario'!$B$5:$B$504, B1813, '📅 Resumen Diario'!$C$5:$C$504, D1813) * (SUMIFS('📋 Detalle Diario'!$E$5:$E$489, '📋 Detalle Diario'!$B$5:$B$489, B1813, '📋 Detalle Diario'!$C$5:$C$489, D1813) * 135 + SUMIFS('📋 Detalle Diario'!$I$5:$I$489, '📋 Detalle Diario'!$B$5:$B$489, B1813, '📋 Detalle Diario'!$C$5:$C$489, D1813) * 200), 0))</f>
        <v/>
      </c>
      <c r="P1813" s="32" t="str">
        <f t="shared" si="201"/>
        <v/>
      </c>
      <c r="Q1813" s="33" t="str">
        <f t="shared" si="202"/>
        <v/>
      </c>
    </row>
    <row r="1814" spans="2:17" ht="18" customHeight="1" x14ac:dyDescent="0.3">
      <c r="B1814" s="26"/>
      <c r="C1814" s="17"/>
      <c r="D1814" s="27"/>
      <c r="E1814" s="18"/>
      <c r="F1814" s="18"/>
      <c r="G1814" s="18"/>
      <c r="H1814" s="30" t="str">
        <f t="shared" si="196"/>
        <v/>
      </c>
      <c r="I1814" s="31" t="str">
        <f>IF(OR(B1814="",C1814=""),"",IFERROR(E1814*IF(E1814="",0,VLOOKUP(C1814,'📦 Precios Proforma'!$B$5:$D$104,IF(D1814="DIA",2,3),FALSE)),0))</f>
        <v/>
      </c>
      <c r="J1814" s="31" t="str">
        <f t="shared" si="197"/>
        <v/>
      </c>
      <c r="K1814" s="31" t="str">
        <f t="shared" si="198"/>
        <v/>
      </c>
      <c r="L1814" s="31" t="str">
        <f>IF(OR(B1814="",C1814=""),"",IFERROR(E1814 / SUMIFS('📅 Resumen Diario'!$D$5:$D$504, '📅 Resumen Diario'!$B$5:$B$504, B1814, '📅 Resumen Diario'!$C$5:$C$504, D1814) * SUMIFS('📅 Resumen Diario'!$K$5:$K$504, '📅 Resumen Diario'!$B$5:$B$504, B1814, '📅 Resumen Diario'!$C$5:$C$504, D1814), 0))</f>
        <v/>
      </c>
      <c r="M1814" s="31" t="str">
        <f t="shared" si="199"/>
        <v/>
      </c>
      <c r="N1814" s="31" t="str">
        <f t="shared" si="200"/>
        <v/>
      </c>
      <c r="O1814" s="31" t="str">
        <f>IF(OR(B1814="",C1814=""),"",K1814-N1814 + IFERROR(E1814 / SUMIFS('📅 Resumen Diario'!$D$5:$D$504, '📅 Resumen Diario'!$B$5:$B$504, B1814, '📅 Resumen Diario'!$C$5:$C$504, D1814) * (SUMIFS('📋 Detalle Diario'!$E$5:$E$489, '📋 Detalle Diario'!$B$5:$B$489, B1814, '📋 Detalle Diario'!$C$5:$C$489, D1814) * 135 + SUMIFS('📋 Detalle Diario'!$I$5:$I$489, '📋 Detalle Diario'!$B$5:$B$489, B1814, '📋 Detalle Diario'!$C$5:$C$489, D1814) * 200), 0))</f>
        <v/>
      </c>
      <c r="P1814" s="32" t="str">
        <f t="shared" si="201"/>
        <v/>
      </c>
      <c r="Q1814" s="33" t="str">
        <f t="shared" si="202"/>
        <v/>
      </c>
    </row>
    <row r="1815" spans="2:17" ht="18" customHeight="1" x14ac:dyDescent="0.3">
      <c r="B1815" s="26"/>
      <c r="C1815" s="28"/>
      <c r="D1815" s="27"/>
      <c r="E1815" s="29"/>
      <c r="F1815" s="29"/>
      <c r="G1815" s="29"/>
      <c r="H1815" s="30" t="str">
        <f t="shared" si="196"/>
        <v/>
      </c>
      <c r="I1815" s="31" t="str">
        <f>IF(OR(B1815="",C1815=""),"",IFERROR(E1815*IF(E1815="",0,VLOOKUP(C1815,'📦 Precios Proforma'!$B$5:$D$104,IF(D1815="DIA",2,3),FALSE)),0))</f>
        <v/>
      </c>
      <c r="J1815" s="31" t="str">
        <f t="shared" si="197"/>
        <v/>
      </c>
      <c r="K1815" s="31" t="str">
        <f t="shared" si="198"/>
        <v/>
      </c>
      <c r="L1815" s="31" t="str">
        <f>IF(OR(B1815="",C1815=""),"",IFERROR(E1815 / SUMIFS('📅 Resumen Diario'!$D$5:$D$504, '📅 Resumen Diario'!$B$5:$B$504, B1815, '📅 Resumen Diario'!$C$5:$C$504, D1815) * SUMIFS('📅 Resumen Diario'!$K$5:$K$504, '📅 Resumen Diario'!$B$5:$B$504, B1815, '📅 Resumen Diario'!$C$5:$C$504, D1815), 0))</f>
        <v/>
      </c>
      <c r="M1815" s="31" t="str">
        <f t="shared" si="199"/>
        <v/>
      </c>
      <c r="N1815" s="31" t="str">
        <f t="shared" si="200"/>
        <v/>
      </c>
      <c r="O1815" s="31" t="str">
        <f>IF(OR(B1815="",C1815=""),"",K1815-N1815 + IFERROR(E1815 / SUMIFS('📅 Resumen Diario'!$D$5:$D$504, '📅 Resumen Diario'!$B$5:$B$504, B1815, '📅 Resumen Diario'!$C$5:$C$504, D1815) * (SUMIFS('📋 Detalle Diario'!$E$5:$E$489, '📋 Detalle Diario'!$B$5:$B$489, B1815, '📋 Detalle Diario'!$C$5:$C$489, D1815) * 135 + SUMIFS('📋 Detalle Diario'!$I$5:$I$489, '📋 Detalle Diario'!$B$5:$B$489, B1815, '📋 Detalle Diario'!$C$5:$C$489, D1815) * 200), 0))</f>
        <v/>
      </c>
      <c r="P1815" s="32" t="str">
        <f t="shared" si="201"/>
        <v/>
      </c>
      <c r="Q1815" s="33" t="str">
        <f t="shared" si="202"/>
        <v/>
      </c>
    </row>
    <row r="1816" spans="2:17" ht="18" customHeight="1" x14ac:dyDescent="0.3">
      <c r="B1816" s="26"/>
      <c r="C1816" s="17"/>
      <c r="D1816" s="27"/>
      <c r="E1816" s="18"/>
      <c r="F1816" s="18"/>
      <c r="G1816" s="18"/>
      <c r="H1816" s="30" t="str">
        <f t="shared" si="196"/>
        <v/>
      </c>
      <c r="I1816" s="31" t="str">
        <f>IF(OR(B1816="",C1816=""),"",IFERROR(E1816*IF(E1816="",0,VLOOKUP(C1816,'📦 Precios Proforma'!$B$5:$D$104,IF(D1816="DIA",2,3),FALSE)),0))</f>
        <v/>
      </c>
      <c r="J1816" s="31" t="str">
        <f t="shared" si="197"/>
        <v/>
      </c>
      <c r="K1816" s="31" t="str">
        <f t="shared" si="198"/>
        <v/>
      </c>
      <c r="L1816" s="31" t="str">
        <f>IF(OR(B1816="",C1816=""),"",IFERROR(E1816 / SUMIFS('📅 Resumen Diario'!$D$5:$D$504, '📅 Resumen Diario'!$B$5:$B$504, B1816, '📅 Resumen Diario'!$C$5:$C$504, D1816) * SUMIFS('📅 Resumen Diario'!$K$5:$K$504, '📅 Resumen Diario'!$B$5:$B$504, B1816, '📅 Resumen Diario'!$C$5:$C$504, D1816), 0))</f>
        <v/>
      </c>
      <c r="M1816" s="31" t="str">
        <f t="shared" si="199"/>
        <v/>
      </c>
      <c r="N1816" s="31" t="str">
        <f t="shared" si="200"/>
        <v/>
      </c>
      <c r="O1816" s="31" t="str">
        <f>IF(OR(B1816="",C1816=""),"",K1816-N1816 + IFERROR(E1816 / SUMIFS('📅 Resumen Diario'!$D$5:$D$504, '📅 Resumen Diario'!$B$5:$B$504, B1816, '📅 Resumen Diario'!$C$5:$C$504, D1816) * (SUMIFS('📋 Detalle Diario'!$E$5:$E$489, '📋 Detalle Diario'!$B$5:$B$489, B1816, '📋 Detalle Diario'!$C$5:$C$489, D1816) * 135 + SUMIFS('📋 Detalle Diario'!$I$5:$I$489, '📋 Detalle Diario'!$B$5:$B$489, B1816, '📋 Detalle Diario'!$C$5:$C$489, D1816) * 200), 0))</f>
        <v/>
      </c>
      <c r="P1816" s="32" t="str">
        <f t="shared" si="201"/>
        <v/>
      </c>
      <c r="Q1816" s="33" t="str">
        <f t="shared" si="202"/>
        <v/>
      </c>
    </row>
    <row r="1817" spans="2:17" ht="18" customHeight="1" x14ac:dyDescent="0.3">
      <c r="B1817" s="26"/>
      <c r="C1817" s="28"/>
      <c r="D1817" s="27"/>
      <c r="E1817" s="29"/>
      <c r="F1817" s="29"/>
      <c r="G1817" s="29"/>
      <c r="H1817" s="30" t="str">
        <f t="shared" si="196"/>
        <v/>
      </c>
      <c r="I1817" s="31" t="str">
        <f>IF(OR(B1817="",C1817=""),"",IFERROR(E1817*IF(E1817="",0,VLOOKUP(C1817,'📦 Precios Proforma'!$B$5:$D$104,IF(D1817="DIA",2,3),FALSE)),0))</f>
        <v/>
      </c>
      <c r="J1817" s="31" t="str">
        <f t="shared" si="197"/>
        <v/>
      </c>
      <c r="K1817" s="31" t="str">
        <f t="shared" si="198"/>
        <v/>
      </c>
      <c r="L1817" s="31" t="str">
        <f>IF(OR(B1817="",C1817=""),"",IFERROR(E1817 / SUMIFS('📅 Resumen Diario'!$D$5:$D$504, '📅 Resumen Diario'!$B$5:$B$504, B1817, '📅 Resumen Diario'!$C$5:$C$504, D1817) * SUMIFS('📅 Resumen Diario'!$K$5:$K$504, '📅 Resumen Diario'!$B$5:$B$504, B1817, '📅 Resumen Diario'!$C$5:$C$504, D1817), 0))</f>
        <v/>
      </c>
      <c r="M1817" s="31" t="str">
        <f t="shared" si="199"/>
        <v/>
      </c>
      <c r="N1817" s="31" t="str">
        <f t="shared" si="200"/>
        <v/>
      </c>
      <c r="O1817" s="31" t="str">
        <f>IF(OR(B1817="",C1817=""),"",K1817-N1817 + IFERROR(E1817 / SUMIFS('📅 Resumen Diario'!$D$5:$D$504, '📅 Resumen Diario'!$B$5:$B$504, B1817, '📅 Resumen Diario'!$C$5:$C$504, D1817) * (SUMIFS('📋 Detalle Diario'!$E$5:$E$489, '📋 Detalle Diario'!$B$5:$B$489, B1817, '📋 Detalle Diario'!$C$5:$C$489, D1817) * 135 + SUMIFS('📋 Detalle Diario'!$I$5:$I$489, '📋 Detalle Diario'!$B$5:$B$489, B1817, '📋 Detalle Diario'!$C$5:$C$489, D1817) * 200), 0))</f>
        <v/>
      </c>
      <c r="P1817" s="32" t="str">
        <f t="shared" si="201"/>
        <v/>
      </c>
      <c r="Q1817" s="33" t="str">
        <f t="shared" si="202"/>
        <v/>
      </c>
    </row>
    <row r="1818" spans="2:17" ht="18" customHeight="1" x14ac:dyDescent="0.3">
      <c r="B1818" s="26"/>
      <c r="C1818" s="17"/>
      <c r="D1818" s="27"/>
      <c r="E1818" s="18"/>
      <c r="F1818" s="18"/>
      <c r="G1818" s="18"/>
      <c r="H1818" s="30" t="str">
        <f t="shared" si="196"/>
        <v/>
      </c>
      <c r="I1818" s="31" t="str">
        <f>IF(OR(B1818="",C1818=""),"",IFERROR(E1818*IF(E1818="",0,VLOOKUP(C1818,'📦 Precios Proforma'!$B$5:$D$104,IF(D1818="DIA",2,3),FALSE)),0))</f>
        <v/>
      </c>
      <c r="J1818" s="31" t="str">
        <f t="shared" si="197"/>
        <v/>
      </c>
      <c r="K1818" s="31" t="str">
        <f t="shared" si="198"/>
        <v/>
      </c>
      <c r="L1818" s="31" t="str">
        <f>IF(OR(B1818="",C1818=""),"",IFERROR(E1818 / SUMIFS('📅 Resumen Diario'!$D$5:$D$504, '📅 Resumen Diario'!$B$5:$B$504, B1818, '📅 Resumen Diario'!$C$5:$C$504, D1818) * SUMIFS('📅 Resumen Diario'!$K$5:$K$504, '📅 Resumen Diario'!$B$5:$B$504, B1818, '📅 Resumen Diario'!$C$5:$C$504, D1818), 0))</f>
        <v/>
      </c>
      <c r="M1818" s="31" t="str">
        <f t="shared" si="199"/>
        <v/>
      </c>
      <c r="N1818" s="31" t="str">
        <f t="shared" si="200"/>
        <v/>
      </c>
      <c r="O1818" s="31" t="str">
        <f>IF(OR(B1818="",C1818=""),"",K1818-N1818 + IFERROR(E1818 / SUMIFS('📅 Resumen Diario'!$D$5:$D$504, '📅 Resumen Diario'!$B$5:$B$504, B1818, '📅 Resumen Diario'!$C$5:$C$504, D1818) * (SUMIFS('📋 Detalle Diario'!$E$5:$E$489, '📋 Detalle Diario'!$B$5:$B$489, B1818, '📋 Detalle Diario'!$C$5:$C$489, D1818) * 135 + SUMIFS('📋 Detalle Diario'!$I$5:$I$489, '📋 Detalle Diario'!$B$5:$B$489, B1818, '📋 Detalle Diario'!$C$5:$C$489, D1818) * 200), 0))</f>
        <v/>
      </c>
      <c r="P1818" s="32" t="str">
        <f t="shared" si="201"/>
        <v/>
      </c>
      <c r="Q1818" s="33" t="str">
        <f t="shared" si="202"/>
        <v/>
      </c>
    </row>
    <row r="1819" spans="2:17" ht="18" customHeight="1" x14ac:dyDescent="0.3">
      <c r="B1819" s="26"/>
      <c r="C1819" s="28"/>
      <c r="D1819" s="27"/>
      <c r="E1819" s="29"/>
      <c r="F1819" s="29"/>
      <c r="G1819" s="29"/>
      <c r="H1819" s="30" t="str">
        <f t="shared" si="196"/>
        <v/>
      </c>
      <c r="I1819" s="31" t="str">
        <f>IF(OR(B1819="",C1819=""),"",IFERROR(E1819*IF(E1819="",0,VLOOKUP(C1819,'📦 Precios Proforma'!$B$5:$D$104,IF(D1819="DIA",2,3),FALSE)),0))</f>
        <v/>
      </c>
      <c r="J1819" s="31" t="str">
        <f t="shared" si="197"/>
        <v/>
      </c>
      <c r="K1819" s="31" t="str">
        <f t="shared" si="198"/>
        <v/>
      </c>
      <c r="L1819" s="31" t="str">
        <f>IF(OR(B1819="",C1819=""),"",IFERROR(E1819 / SUMIFS('📅 Resumen Diario'!$D$5:$D$504, '📅 Resumen Diario'!$B$5:$B$504, B1819, '📅 Resumen Diario'!$C$5:$C$504, D1819) * SUMIFS('📅 Resumen Diario'!$K$5:$K$504, '📅 Resumen Diario'!$B$5:$B$504, B1819, '📅 Resumen Diario'!$C$5:$C$504, D1819), 0))</f>
        <v/>
      </c>
      <c r="M1819" s="31" t="str">
        <f t="shared" si="199"/>
        <v/>
      </c>
      <c r="N1819" s="31" t="str">
        <f t="shared" si="200"/>
        <v/>
      </c>
      <c r="O1819" s="31" t="str">
        <f>IF(OR(B1819="",C1819=""),"",K1819-N1819 + IFERROR(E1819 / SUMIFS('📅 Resumen Diario'!$D$5:$D$504, '📅 Resumen Diario'!$B$5:$B$504, B1819, '📅 Resumen Diario'!$C$5:$C$504, D1819) * (SUMIFS('📋 Detalle Diario'!$E$5:$E$489, '📋 Detalle Diario'!$B$5:$B$489, B1819, '📋 Detalle Diario'!$C$5:$C$489, D1819) * 135 + SUMIFS('📋 Detalle Diario'!$I$5:$I$489, '📋 Detalle Diario'!$B$5:$B$489, B1819, '📋 Detalle Diario'!$C$5:$C$489, D1819) * 200), 0))</f>
        <v/>
      </c>
      <c r="P1819" s="32" t="str">
        <f t="shared" si="201"/>
        <v/>
      </c>
      <c r="Q1819" s="33" t="str">
        <f t="shared" si="202"/>
        <v/>
      </c>
    </row>
    <row r="1820" spans="2:17" ht="18" customHeight="1" x14ac:dyDescent="0.3">
      <c r="B1820" s="26"/>
      <c r="C1820" s="17"/>
      <c r="D1820" s="27"/>
      <c r="E1820" s="18"/>
      <c r="F1820" s="18"/>
      <c r="G1820" s="18"/>
      <c r="H1820" s="30" t="str">
        <f t="shared" si="196"/>
        <v/>
      </c>
      <c r="I1820" s="31" t="str">
        <f>IF(OR(B1820="",C1820=""),"",IFERROR(E1820*IF(E1820="",0,VLOOKUP(C1820,'📦 Precios Proforma'!$B$5:$D$104,IF(D1820="DIA",2,3),FALSE)),0))</f>
        <v/>
      </c>
      <c r="J1820" s="31" t="str">
        <f t="shared" si="197"/>
        <v/>
      </c>
      <c r="K1820" s="31" t="str">
        <f t="shared" si="198"/>
        <v/>
      </c>
      <c r="L1820" s="31" t="str">
        <f>IF(OR(B1820="",C1820=""),"",IFERROR(E1820 / SUMIFS('📅 Resumen Diario'!$D$5:$D$504, '📅 Resumen Diario'!$B$5:$B$504, B1820, '📅 Resumen Diario'!$C$5:$C$504, D1820) * SUMIFS('📅 Resumen Diario'!$K$5:$K$504, '📅 Resumen Diario'!$B$5:$B$504, B1820, '📅 Resumen Diario'!$C$5:$C$504, D1820), 0))</f>
        <v/>
      </c>
      <c r="M1820" s="31" t="str">
        <f t="shared" si="199"/>
        <v/>
      </c>
      <c r="N1820" s="31" t="str">
        <f t="shared" si="200"/>
        <v/>
      </c>
      <c r="O1820" s="31" t="str">
        <f>IF(OR(B1820="",C1820=""),"",K1820-N1820 + IFERROR(E1820 / SUMIFS('📅 Resumen Diario'!$D$5:$D$504, '📅 Resumen Diario'!$B$5:$B$504, B1820, '📅 Resumen Diario'!$C$5:$C$504, D1820) * (SUMIFS('📋 Detalle Diario'!$E$5:$E$489, '📋 Detalle Diario'!$B$5:$B$489, B1820, '📋 Detalle Diario'!$C$5:$C$489, D1820) * 135 + SUMIFS('📋 Detalle Diario'!$I$5:$I$489, '📋 Detalle Diario'!$B$5:$B$489, B1820, '📋 Detalle Diario'!$C$5:$C$489, D1820) * 200), 0))</f>
        <v/>
      </c>
      <c r="P1820" s="32" t="str">
        <f t="shared" si="201"/>
        <v/>
      </c>
      <c r="Q1820" s="33" t="str">
        <f t="shared" si="202"/>
        <v/>
      </c>
    </row>
    <row r="1821" spans="2:17" ht="18" customHeight="1" x14ac:dyDescent="0.3">
      <c r="B1821" s="26"/>
      <c r="C1821" s="28"/>
      <c r="D1821" s="27"/>
      <c r="E1821" s="29"/>
      <c r="F1821" s="29"/>
      <c r="G1821" s="29"/>
      <c r="H1821" s="30" t="str">
        <f t="shared" si="196"/>
        <v/>
      </c>
      <c r="I1821" s="31" t="str">
        <f>IF(OR(B1821="",C1821=""),"",IFERROR(E1821*IF(E1821="",0,VLOOKUP(C1821,'📦 Precios Proforma'!$B$5:$D$104,IF(D1821="DIA",2,3),FALSE)),0))</f>
        <v/>
      </c>
      <c r="J1821" s="31" t="str">
        <f t="shared" si="197"/>
        <v/>
      </c>
      <c r="K1821" s="31" t="str">
        <f t="shared" si="198"/>
        <v/>
      </c>
      <c r="L1821" s="31" t="str">
        <f>IF(OR(B1821="",C1821=""),"",IFERROR(E1821 / SUMIFS('📅 Resumen Diario'!$D$5:$D$504, '📅 Resumen Diario'!$B$5:$B$504, B1821, '📅 Resumen Diario'!$C$5:$C$504, D1821) * SUMIFS('📅 Resumen Diario'!$K$5:$K$504, '📅 Resumen Diario'!$B$5:$B$504, B1821, '📅 Resumen Diario'!$C$5:$C$504, D1821), 0))</f>
        <v/>
      </c>
      <c r="M1821" s="31" t="str">
        <f t="shared" si="199"/>
        <v/>
      </c>
      <c r="N1821" s="31" t="str">
        <f t="shared" si="200"/>
        <v/>
      </c>
      <c r="O1821" s="31" t="str">
        <f>IF(OR(B1821="",C1821=""),"",K1821-N1821 + IFERROR(E1821 / SUMIFS('📅 Resumen Diario'!$D$5:$D$504, '📅 Resumen Diario'!$B$5:$B$504, B1821, '📅 Resumen Diario'!$C$5:$C$504, D1821) * (SUMIFS('📋 Detalle Diario'!$E$5:$E$489, '📋 Detalle Diario'!$B$5:$B$489, B1821, '📋 Detalle Diario'!$C$5:$C$489, D1821) * 135 + SUMIFS('📋 Detalle Diario'!$I$5:$I$489, '📋 Detalle Diario'!$B$5:$B$489, B1821, '📋 Detalle Diario'!$C$5:$C$489, D1821) * 200), 0))</f>
        <v/>
      </c>
      <c r="P1821" s="32" t="str">
        <f t="shared" si="201"/>
        <v/>
      </c>
      <c r="Q1821" s="33" t="str">
        <f t="shared" si="202"/>
        <v/>
      </c>
    </row>
    <row r="1822" spans="2:17" ht="18" customHeight="1" x14ac:dyDescent="0.3">
      <c r="B1822" s="26"/>
      <c r="C1822" s="17"/>
      <c r="D1822" s="27"/>
      <c r="E1822" s="18"/>
      <c r="F1822" s="18"/>
      <c r="G1822" s="18"/>
      <c r="H1822" s="30" t="str">
        <f t="shared" si="196"/>
        <v/>
      </c>
      <c r="I1822" s="31" t="str">
        <f>IF(OR(B1822="",C1822=""),"",IFERROR(E1822*IF(E1822="",0,VLOOKUP(C1822,'📦 Precios Proforma'!$B$5:$D$104,IF(D1822="DIA",2,3),FALSE)),0))</f>
        <v/>
      </c>
      <c r="J1822" s="31" t="str">
        <f t="shared" si="197"/>
        <v/>
      </c>
      <c r="K1822" s="31" t="str">
        <f t="shared" si="198"/>
        <v/>
      </c>
      <c r="L1822" s="31" t="str">
        <f>IF(OR(B1822="",C1822=""),"",IFERROR(E1822 / SUMIFS('📅 Resumen Diario'!$D$5:$D$504, '📅 Resumen Diario'!$B$5:$B$504, B1822, '📅 Resumen Diario'!$C$5:$C$504, D1822) * SUMIFS('📅 Resumen Diario'!$K$5:$K$504, '📅 Resumen Diario'!$B$5:$B$504, B1822, '📅 Resumen Diario'!$C$5:$C$504, D1822), 0))</f>
        <v/>
      </c>
      <c r="M1822" s="31" t="str">
        <f t="shared" si="199"/>
        <v/>
      </c>
      <c r="N1822" s="31" t="str">
        <f t="shared" si="200"/>
        <v/>
      </c>
      <c r="O1822" s="31" t="str">
        <f>IF(OR(B1822="",C1822=""),"",K1822-N1822 + IFERROR(E1822 / SUMIFS('📅 Resumen Diario'!$D$5:$D$504, '📅 Resumen Diario'!$B$5:$B$504, B1822, '📅 Resumen Diario'!$C$5:$C$504, D1822) * (SUMIFS('📋 Detalle Diario'!$E$5:$E$489, '📋 Detalle Diario'!$B$5:$B$489, B1822, '📋 Detalle Diario'!$C$5:$C$489, D1822) * 135 + SUMIFS('📋 Detalle Diario'!$I$5:$I$489, '📋 Detalle Diario'!$B$5:$B$489, B1822, '📋 Detalle Diario'!$C$5:$C$489, D1822) * 200), 0))</f>
        <v/>
      </c>
      <c r="P1822" s="32" t="str">
        <f t="shared" si="201"/>
        <v/>
      </c>
      <c r="Q1822" s="33" t="str">
        <f t="shared" si="202"/>
        <v/>
      </c>
    </row>
    <row r="1823" spans="2:17" ht="18" customHeight="1" x14ac:dyDescent="0.3">
      <c r="B1823" s="26"/>
      <c r="C1823" s="28"/>
      <c r="D1823" s="27"/>
      <c r="E1823" s="29"/>
      <c r="F1823" s="29"/>
      <c r="G1823" s="29"/>
      <c r="H1823" s="30" t="str">
        <f t="shared" si="196"/>
        <v/>
      </c>
      <c r="I1823" s="31" t="str">
        <f>IF(OR(B1823="",C1823=""),"",IFERROR(E1823*IF(E1823="",0,VLOOKUP(C1823,'📦 Precios Proforma'!$B$5:$D$104,IF(D1823="DIA",2,3),FALSE)),0))</f>
        <v/>
      </c>
      <c r="J1823" s="31" t="str">
        <f t="shared" si="197"/>
        <v/>
      </c>
      <c r="K1823" s="31" t="str">
        <f t="shared" si="198"/>
        <v/>
      </c>
      <c r="L1823" s="31" t="str">
        <f>IF(OR(B1823="",C1823=""),"",IFERROR(E1823 / SUMIFS('📅 Resumen Diario'!$D$5:$D$504, '📅 Resumen Diario'!$B$5:$B$504, B1823, '📅 Resumen Diario'!$C$5:$C$504, D1823) * SUMIFS('📅 Resumen Diario'!$K$5:$K$504, '📅 Resumen Diario'!$B$5:$B$504, B1823, '📅 Resumen Diario'!$C$5:$C$504, D1823), 0))</f>
        <v/>
      </c>
      <c r="M1823" s="31" t="str">
        <f t="shared" si="199"/>
        <v/>
      </c>
      <c r="N1823" s="31" t="str">
        <f t="shared" si="200"/>
        <v/>
      </c>
      <c r="O1823" s="31" t="str">
        <f>IF(OR(B1823="",C1823=""),"",K1823-N1823 + IFERROR(E1823 / SUMIFS('📅 Resumen Diario'!$D$5:$D$504, '📅 Resumen Diario'!$B$5:$B$504, B1823, '📅 Resumen Diario'!$C$5:$C$504, D1823) * (SUMIFS('📋 Detalle Diario'!$E$5:$E$489, '📋 Detalle Diario'!$B$5:$B$489, B1823, '📋 Detalle Diario'!$C$5:$C$489, D1823) * 135 + SUMIFS('📋 Detalle Diario'!$I$5:$I$489, '📋 Detalle Diario'!$B$5:$B$489, B1823, '📋 Detalle Diario'!$C$5:$C$489, D1823) * 200), 0))</f>
        <v/>
      </c>
      <c r="P1823" s="32" t="str">
        <f t="shared" si="201"/>
        <v/>
      </c>
      <c r="Q1823" s="33" t="str">
        <f t="shared" si="202"/>
        <v/>
      </c>
    </row>
    <row r="1824" spans="2:17" ht="18" customHeight="1" x14ac:dyDescent="0.3">
      <c r="B1824" s="26"/>
      <c r="C1824" s="17"/>
      <c r="D1824" s="27"/>
      <c r="E1824" s="18"/>
      <c r="F1824" s="18"/>
      <c r="G1824" s="18"/>
      <c r="H1824" s="30" t="str">
        <f t="shared" si="196"/>
        <v/>
      </c>
      <c r="I1824" s="31" t="str">
        <f>IF(OR(B1824="",C1824=""),"",IFERROR(E1824*IF(E1824="",0,VLOOKUP(C1824,'📦 Precios Proforma'!$B$5:$D$104,IF(D1824="DIA",2,3),FALSE)),0))</f>
        <v/>
      </c>
      <c r="J1824" s="31" t="str">
        <f t="shared" si="197"/>
        <v/>
      </c>
      <c r="K1824" s="31" t="str">
        <f t="shared" si="198"/>
        <v/>
      </c>
      <c r="L1824" s="31" t="str">
        <f>IF(OR(B1824="",C1824=""),"",IFERROR(E1824 / SUMIFS('📅 Resumen Diario'!$D$5:$D$504, '📅 Resumen Diario'!$B$5:$B$504, B1824, '📅 Resumen Diario'!$C$5:$C$504, D1824) * SUMIFS('📅 Resumen Diario'!$K$5:$K$504, '📅 Resumen Diario'!$B$5:$B$504, B1824, '📅 Resumen Diario'!$C$5:$C$504, D1824), 0))</f>
        <v/>
      </c>
      <c r="M1824" s="31" t="str">
        <f t="shared" si="199"/>
        <v/>
      </c>
      <c r="N1824" s="31" t="str">
        <f t="shared" si="200"/>
        <v/>
      </c>
      <c r="O1824" s="31" t="str">
        <f>IF(OR(B1824="",C1824=""),"",K1824-N1824 + IFERROR(E1824 / SUMIFS('📅 Resumen Diario'!$D$5:$D$504, '📅 Resumen Diario'!$B$5:$B$504, B1824, '📅 Resumen Diario'!$C$5:$C$504, D1824) * (SUMIFS('📋 Detalle Diario'!$E$5:$E$489, '📋 Detalle Diario'!$B$5:$B$489, B1824, '📋 Detalle Diario'!$C$5:$C$489, D1824) * 135 + SUMIFS('📋 Detalle Diario'!$I$5:$I$489, '📋 Detalle Diario'!$B$5:$B$489, B1824, '📋 Detalle Diario'!$C$5:$C$489, D1824) * 200), 0))</f>
        <v/>
      </c>
      <c r="P1824" s="32" t="str">
        <f t="shared" si="201"/>
        <v/>
      </c>
      <c r="Q1824" s="33" t="str">
        <f t="shared" si="202"/>
        <v/>
      </c>
    </row>
    <row r="1825" spans="2:17" ht="18" customHeight="1" x14ac:dyDescent="0.3">
      <c r="B1825" s="26"/>
      <c r="C1825" s="28"/>
      <c r="D1825" s="27"/>
      <c r="E1825" s="29"/>
      <c r="F1825" s="29"/>
      <c r="G1825" s="29"/>
      <c r="H1825" s="30" t="str">
        <f t="shared" si="196"/>
        <v/>
      </c>
      <c r="I1825" s="31" t="str">
        <f>IF(OR(B1825="",C1825=""),"",IFERROR(E1825*IF(E1825="",0,VLOOKUP(C1825,'📦 Precios Proforma'!$B$5:$D$104,IF(D1825="DIA",2,3),FALSE)),0))</f>
        <v/>
      </c>
      <c r="J1825" s="31" t="str">
        <f t="shared" si="197"/>
        <v/>
      </c>
      <c r="K1825" s="31" t="str">
        <f t="shared" si="198"/>
        <v/>
      </c>
      <c r="L1825" s="31" t="str">
        <f>IF(OR(B1825="",C1825=""),"",IFERROR(E1825 / SUMIFS('📅 Resumen Diario'!$D$5:$D$504, '📅 Resumen Diario'!$B$5:$B$504, B1825, '📅 Resumen Diario'!$C$5:$C$504, D1825) * SUMIFS('📅 Resumen Diario'!$K$5:$K$504, '📅 Resumen Diario'!$B$5:$B$504, B1825, '📅 Resumen Diario'!$C$5:$C$504, D1825), 0))</f>
        <v/>
      </c>
      <c r="M1825" s="31" t="str">
        <f t="shared" si="199"/>
        <v/>
      </c>
      <c r="N1825" s="31" t="str">
        <f t="shared" si="200"/>
        <v/>
      </c>
      <c r="O1825" s="31" t="str">
        <f>IF(OR(B1825="",C1825=""),"",K1825-N1825 + IFERROR(E1825 / SUMIFS('📅 Resumen Diario'!$D$5:$D$504, '📅 Resumen Diario'!$B$5:$B$504, B1825, '📅 Resumen Diario'!$C$5:$C$504, D1825) * (SUMIFS('📋 Detalle Diario'!$E$5:$E$489, '📋 Detalle Diario'!$B$5:$B$489, B1825, '📋 Detalle Diario'!$C$5:$C$489, D1825) * 135 + SUMIFS('📋 Detalle Diario'!$I$5:$I$489, '📋 Detalle Diario'!$B$5:$B$489, B1825, '📋 Detalle Diario'!$C$5:$C$489, D1825) * 200), 0))</f>
        <v/>
      </c>
      <c r="P1825" s="32" t="str">
        <f t="shared" si="201"/>
        <v/>
      </c>
      <c r="Q1825" s="33" t="str">
        <f t="shared" si="202"/>
        <v/>
      </c>
    </row>
    <row r="1826" spans="2:17" ht="18" customHeight="1" x14ac:dyDescent="0.3">
      <c r="B1826" s="26"/>
      <c r="C1826" s="17"/>
      <c r="D1826" s="27"/>
      <c r="E1826" s="18"/>
      <c r="F1826" s="18"/>
      <c r="G1826" s="18"/>
      <c r="H1826" s="30" t="str">
        <f t="shared" si="196"/>
        <v/>
      </c>
      <c r="I1826" s="31" t="str">
        <f>IF(OR(B1826="",C1826=""),"",IFERROR(E1826*IF(E1826="",0,VLOOKUP(C1826,'📦 Precios Proforma'!$B$5:$D$104,IF(D1826="DIA",2,3),FALSE)),0))</f>
        <v/>
      </c>
      <c r="J1826" s="31" t="str">
        <f t="shared" si="197"/>
        <v/>
      </c>
      <c r="K1826" s="31" t="str">
        <f t="shared" si="198"/>
        <v/>
      </c>
      <c r="L1826" s="31" t="str">
        <f>IF(OR(B1826="",C1826=""),"",IFERROR(E1826 / SUMIFS('📅 Resumen Diario'!$D$5:$D$504, '📅 Resumen Diario'!$B$5:$B$504, B1826, '📅 Resumen Diario'!$C$5:$C$504, D1826) * SUMIFS('📅 Resumen Diario'!$K$5:$K$504, '📅 Resumen Diario'!$B$5:$B$504, B1826, '📅 Resumen Diario'!$C$5:$C$504, D1826), 0))</f>
        <v/>
      </c>
      <c r="M1826" s="31" t="str">
        <f t="shared" si="199"/>
        <v/>
      </c>
      <c r="N1826" s="31" t="str">
        <f t="shared" si="200"/>
        <v/>
      </c>
      <c r="O1826" s="31" t="str">
        <f>IF(OR(B1826="",C1826=""),"",K1826-N1826 + IFERROR(E1826 / SUMIFS('📅 Resumen Diario'!$D$5:$D$504, '📅 Resumen Diario'!$B$5:$B$504, B1826, '📅 Resumen Diario'!$C$5:$C$504, D1826) * (SUMIFS('📋 Detalle Diario'!$E$5:$E$489, '📋 Detalle Diario'!$B$5:$B$489, B1826, '📋 Detalle Diario'!$C$5:$C$489, D1826) * 135 + SUMIFS('📋 Detalle Diario'!$I$5:$I$489, '📋 Detalle Diario'!$B$5:$B$489, B1826, '📋 Detalle Diario'!$C$5:$C$489, D1826) * 200), 0))</f>
        <v/>
      </c>
      <c r="P1826" s="32" t="str">
        <f t="shared" si="201"/>
        <v/>
      </c>
      <c r="Q1826" s="33" t="str">
        <f t="shared" si="202"/>
        <v/>
      </c>
    </row>
    <row r="1827" spans="2:17" ht="18" customHeight="1" x14ac:dyDescent="0.3">
      <c r="B1827" s="26"/>
      <c r="C1827" s="28"/>
      <c r="D1827" s="27"/>
      <c r="E1827" s="29"/>
      <c r="F1827" s="29"/>
      <c r="G1827" s="29"/>
      <c r="H1827" s="30" t="str">
        <f t="shared" si="196"/>
        <v/>
      </c>
      <c r="I1827" s="31" t="str">
        <f>IF(OR(B1827="",C1827=""),"",IFERROR(E1827*IF(E1827="",0,VLOOKUP(C1827,'📦 Precios Proforma'!$B$5:$D$104,IF(D1827="DIA",2,3),FALSE)),0))</f>
        <v/>
      </c>
      <c r="J1827" s="31" t="str">
        <f t="shared" si="197"/>
        <v/>
      </c>
      <c r="K1827" s="31" t="str">
        <f t="shared" si="198"/>
        <v/>
      </c>
      <c r="L1827" s="31" t="str">
        <f>IF(OR(B1827="",C1827=""),"",IFERROR(E1827 / SUMIFS('📅 Resumen Diario'!$D$5:$D$504, '📅 Resumen Diario'!$B$5:$B$504, B1827, '📅 Resumen Diario'!$C$5:$C$504, D1827) * SUMIFS('📅 Resumen Diario'!$K$5:$K$504, '📅 Resumen Diario'!$B$5:$B$504, B1827, '📅 Resumen Diario'!$C$5:$C$504, D1827), 0))</f>
        <v/>
      </c>
      <c r="M1827" s="31" t="str">
        <f t="shared" si="199"/>
        <v/>
      </c>
      <c r="N1827" s="31" t="str">
        <f t="shared" si="200"/>
        <v/>
      </c>
      <c r="O1827" s="31" t="str">
        <f>IF(OR(B1827="",C1827=""),"",K1827-N1827 + IFERROR(E1827 / SUMIFS('📅 Resumen Diario'!$D$5:$D$504, '📅 Resumen Diario'!$B$5:$B$504, B1827, '📅 Resumen Diario'!$C$5:$C$504, D1827) * (SUMIFS('📋 Detalle Diario'!$E$5:$E$489, '📋 Detalle Diario'!$B$5:$B$489, B1827, '📋 Detalle Diario'!$C$5:$C$489, D1827) * 135 + SUMIFS('📋 Detalle Diario'!$I$5:$I$489, '📋 Detalle Diario'!$B$5:$B$489, B1827, '📋 Detalle Diario'!$C$5:$C$489, D1827) * 200), 0))</f>
        <v/>
      </c>
      <c r="P1827" s="32" t="str">
        <f t="shared" si="201"/>
        <v/>
      </c>
      <c r="Q1827" s="33" t="str">
        <f t="shared" si="202"/>
        <v/>
      </c>
    </row>
    <row r="1828" spans="2:17" ht="18" customHeight="1" x14ac:dyDescent="0.3">
      <c r="B1828" s="26"/>
      <c r="C1828" s="17"/>
      <c r="D1828" s="27"/>
      <c r="E1828" s="18"/>
      <c r="F1828" s="18"/>
      <c r="G1828" s="18"/>
      <c r="H1828" s="30" t="str">
        <f t="shared" si="196"/>
        <v/>
      </c>
      <c r="I1828" s="31" t="str">
        <f>IF(OR(B1828="",C1828=""),"",IFERROR(E1828*IF(E1828="",0,VLOOKUP(C1828,'📦 Precios Proforma'!$B$5:$D$104,IF(D1828="DIA",2,3),FALSE)),0))</f>
        <v/>
      </c>
      <c r="J1828" s="31" t="str">
        <f t="shared" si="197"/>
        <v/>
      </c>
      <c r="K1828" s="31" t="str">
        <f t="shared" si="198"/>
        <v/>
      </c>
      <c r="L1828" s="31" t="str">
        <f>IF(OR(B1828="",C1828=""),"",IFERROR(E1828 / SUMIFS('📅 Resumen Diario'!$D$5:$D$504, '📅 Resumen Diario'!$B$5:$B$504, B1828, '📅 Resumen Diario'!$C$5:$C$504, D1828) * SUMIFS('📅 Resumen Diario'!$K$5:$K$504, '📅 Resumen Diario'!$B$5:$B$504, B1828, '📅 Resumen Diario'!$C$5:$C$504, D1828), 0))</f>
        <v/>
      </c>
      <c r="M1828" s="31" t="str">
        <f t="shared" si="199"/>
        <v/>
      </c>
      <c r="N1828" s="31" t="str">
        <f t="shared" si="200"/>
        <v/>
      </c>
      <c r="O1828" s="31" t="str">
        <f>IF(OR(B1828="",C1828=""),"",K1828-N1828 + IFERROR(E1828 / SUMIFS('📅 Resumen Diario'!$D$5:$D$504, '📅 Resumen Diario'!$B$5:$B$504, B1828, '📅 Resumen Diario'!$C$5:$C$504, D1828) * (SUMIFS('📋 Detalle Diario'!$E$5:$E$489, '📋 Detalle Diario'!$B$5:$B$489, B1828, '📋 Detalle Diario'!$C$5:$C$489, D1828) * 135 + SUMIFS('📋 Detalle Diario'!$I$5:$I$489, '📋 Detalle Diario'!$B$5:$B$489, B1828, '📋 Detalle Diario'!$C$5:$C$489, D1828) * 200), 0))</f>
        <v/>
      </c>
      <c r="P1828" s="32" t="str">
        <f t="shared" si="201"/>
        <v/>
      </c>
      <c r="Q1828" s="33" t="str">
        <f t="shared" si="202"/>
        <v/>
      </c>
    </row>
    <row r="1829" spans="2:17" ht="18" customHeight="1" x14ac:dyDescent="0.3">
      <c r="B1829" s="26"/>
      <c r="C1829" s="28"/>
      <c r="D1829" s="27"/>
      <c r="E1829" s="29"/>
      <c r="F1829" s="29"/>
      <c r="G1829" s="29"/>
      <c r="H1829" s="30" t="str">
        <f t="shared" si="196"/>
        <v/>
      </c>
      <c r="I1829" s="31" t="str">
        <f>IF(OR(B1829="",C1829=""),"",IFERROR(E1829*IF(E1829="",0,VLOOKUP(C1829,'📦 Precios Proforma'!$B$5:$D$104,IF(D1829="DIA",2,3),FALSE)),0))</f>
        <v/>
      </c>
      <c r="J1829" s="31" t="str">
        <f t="shared" si="197"/>
        <v/>
      </c>
      <c r="K1829" s="31" t="str">
        <f t="shared" si="198"/>
        <v/>
      </c>
      <c r="L1829" s="31" t="str">
        <f>IF(OR(B1829="",C1829=""),"",IFERROR(E1829 / SUMIFS('📅 Resumen Diario'!$D$5:$D$504, '📅 Resumen Diario'!$B$5:$B$504, B1829, '📅 Resumen Diario'!$C$5:$C$504, D1829) * SUMIFS('📅 Resumen Diario'!$K$5:$K$504, '📅 Resumen Diario'!$B$5:$B$504, B1829, '📅 Resumen Diario'!$C$5:$C$504, D1829), 0))</f>
        <v/>
      </c>
      <c r="M1829" s="31" t="str">
        <f t="shared" si="199"/>
        <v/>
      </c>
      <c r="N1829" s="31" t="str">
        <f t="shared" si="200"/>
        <v/>
      </c>
      <c r="O1829" s="31" t="str">
        <f>IF(OR(B1829="",C1829=""),"",K1829-N1829 + IFERROR(E1829 / SUMIFS('📅 Resumen Diario'!$D$5:$D$504, '📅 Resumen Diario'!$B$5:$B$504, B1829, '📅 Resumen Diario'!$C$5:$C$504, D1829) * (SUMIFS('📋 Detalle Diario'!$E$5:$E$489, '📋 Detalle Diario'!$B$5:$B$489, B1829, '📋 Detalle Diario'!$C$5:$C$489, D1829) * 135 + SUMIFS('📋 Detalle Diario'!$I$5:$I$489, '📋 Detalle Diario'!$B$5:$B$489, B1829, '📋 Detalle Diario'!$C$5:$C$489, D1829) * 200), 0))</f>
        <v/>
      </c>
      <c r="P1829" s="32" t="str">
        <f t="shared" si="201"/>
        <v/>
      </c>
      <c r="Q1829" s="33" t="str">
        <f t="shared" si="202"/>
        <v/>
      </c>
    </row>
    <row r="1830" spans="2:17" ht="18" customHeight="1" x14ac:dyDescent="0.3">
      <c r="B1830" s="26"/>
      <c r="C1830" s="17"/>
      <c r="D1830" s="27"/>
      <c r="E1830" s="18"/>
      <c r="F1830" s="18"/>
      <c r="G1830" s="18"/>
      <c r="H1830" s="30" t="str">
        <f t="shared" si="196"/>
        <v/>
      </c>
      <c r="I1830" s="31" t="str">
        <f>IF(OR(B1830="",C1830=""),"",IFERROR(E1830*IF(E1830="",0,VLOOKUP(C1830,'📦 Precios Proforma'!$B$5:$D$104,IF(D1830="DIA",2,3),FALSE)),0))</f>
        <v/>
      </c>
      <c r="J1830" s="31" t="str">
        <f t="shared" si="197"/>
        <v/>
      </c>
      <c r="K1830" s="31" t="str">
        <f t="shared" si="198"/>
        <v/>
      </c>
      <c r="L1830" s="31" t="str">
        <f>IF(OR(B1830="",C1830=""),"",IFERROR(E1830 / SUMIFS('📅 Resumen Diario'!$D$5:$D$504, '📅 Resumen Diario'!$B$5:$B$504, B1830, '📅 Resumen Diario'!$C$5:$C$504, D1830) * SUMIFS('📅 Resumen Diario'!$K$5:$K$504, '📅 Resumen Diario'!$B$5:$B$504, B1830, '📅 Resumen Diario'!$C$5:$C$504, D1830), 0))</f>
        <v/>
      </c>
      <c r="M1830" s="31" t="str">
        <f t="shared" si="199"/>
        <v/>
      </c>
      <c r="N1830" s="31" t="str">
        <f t="shared" si="200"/>
        <v/>
      </c>
      <c r="O1830" s="31" t="str">
        <f>IF(OR(B1830="",C1830=""),"",K1830-N1830 + IFERROR(E1830 / SUMIFS('📅 Resumen Diario'!$D$5:$D$504, '📅 Resumen Diario'!$B$5:$B$504, B1830, '📅 Resumen Diario'!$C$5:$C$504, D1830) * (SUMIFS('📋 Detalle Diario'!$E$5:$E$489, '📋 Detalle Diario'!$B$5:$B$489, B1830, '📋 Detalle Diario'!$C$5:$C$489, D1830) * 135 + SUMIFS('📋 Detalle Diario'!$I$5:$I$489, '📋 Detalle Diario'!$B$5:$B$489, B1830, '📋 Detalle Diario'!$C$5:$C$489, D1830) * 200), 0))</f>
        <v/>
      </c>
      <c r="P1830" s="32" t="str">
        <f t="shared" si="201"/>
        <v/>
      </c>
      <c r="Q1830" s="33" t="str">
        <f t="shared" si="202"/>
        <v/>
      </c>
    </row>
    <row r="1831" spans="2:17" ht="18" customHeight="1" x14ac:dyDescent="0.3">
      <c r="B1831" s="26"/>
      <c r="C1831" s="28"/>
      <c r="D1831" s="27"/>
      <c r="E1831" s="29"/>
      <c r="F1831" s="29"/>
      <c r="G1831" s="29"/>
      <c r="H1831" s="30" t="str">
        <f t="shared" si="196"/>
        <v/>
      </c>
      <c r="I1831" s="31" t="str">
        <f>IF(OR(B1831="",C1831=""),"",IFERROR(E1831*IF(E1831="",0,VLOOKUP(C1831,'📦 Precios Proforma'!$B$5:$D$104,IF(D1831="DIA",2,3),FALSE)),0))</f>
        <v/>
      </c>
      <c r="J1831" s="31" t="str">
        <f t="shared" si="197"/>
        <v/>
      </c>
      <c r="K1831" s="31" t="str">
        <f t="shared" si="198"/>
        <v/>
      </c>
      <c r="L1831" s="31" t="str">
        <f>IF(OR(B1831="",C1831=""),"",IFERROR(E1831 / SUMIFS('📅 Resumen Diario'!$D$5:$D$504, '📅 Resumen Diario'!$B$5:$B$504, B1831, '📅 Resumen Diario'!$C$5:$C$504, D1831) * SUMIFS('📅 Resumen Diario'!$K$5:$K$504, '📅 Resumen Diario'!$B$5:$B$504, B1831, '📅 Resumen Diario'!$C$5:$C$504, D1831), 0))</f>
        <v/>
      </c>
      <c r="M1831" s="31" t="str">
        <f t="shared" si="199"/>
        <v/>
      </c>
      <c r="N1831" s="31" t="str">
        <f t="shared" si="200"/>
        <v/>
      </c>
      <c r="O1831" s="31" t="str">
        <f>IF(OR(B1831="",C1831=""),"",K1831-N1831 + IFERROR(E1831 / SUMIFS('📅 Resumen Diario'!$D$5:$D$504, '📅 Resumen Diario'!$B$5:$B$504, B1831, '📅 Resumen Diario'!$C$5:$C$504, D1831) * (SUMIFS('📋 Detalle Diario'!$E$5:$E$489, '📋 Detalle Diario'!$B$5:$B$489, B1831, '📋 Detalle Diario'!$C$5:$C$489, D1831) * 135 + SUMIFS('📋 Detalle Diario'!$I$5:$I$489, '📋 Detalle Diario'!$B$5:$B$489, B1831, '📋 Detalle Diario'!$C$5:$C$489, D1831) * 200), 0))</f>
        <v/>
      </c>
      <c r="P1831" s="32" t="str">
        <f t="shared" si="201"/>
        <v/>
      </c>
      <c r="Q1831" s="33" t="str">
        <f t="shared" si="202"/>
        <v/>
      </c>
    </row>
    <row r="1832" spans="2:17" ht="18" customHeight="1" x14ac:dyDescent="0.3">
      <c r="B1832" s="26"/>
      <c r="C1832" s="17"/>
      <c r="D1832" s="27"/>
      <c r="E1832" s="18"/>
      <c r="F1832" s="18"/>
      <c r="G1832" s="18"/>
      <c r="H1832" s="30" t="str">
        <f t="shared" si="196"/>
        <v/>
      </c>
      <c r="I1832" s="31" t="str">
        <f>IF(OR(B1832="",C1832=""),"",IFERROR(E1832*IF(E1832="",0,VLOOKUP(C1832,'📦 Precios Proforma'!$B$5:$D$104,IF(D1832="DIA",2,3),FALSE)),0))</f>
        <v/>
      </c>
      <c r="J1832" s="31" t="str">
        <f t="shared" si="197"/>
        <v/>
      </c>
      <c r="K1832" s="31" t="str">
        <f t="shared" si="198"/>
        <v/>
      </c>
      <c r="L1832" s="31" t="str">
        <f>IF(OR(B1832="",C1832=""),"",IFERROR(E1832 / SUMIFS('📅 Resumen Diario'!$D$5:$D$504, '📅 Resumen Diario'!$B$5:$B$504, B1832, '📅 Resumen Diario'!$C$5:$C$504, D1832) * SUMIFS('📅 Resumen Diario'!$K$5:$K$504, '📅 Resumen Diario'!$B$5:$B$504, B1832, '📅 Resumen Diario'!$C$5:$C$504, D1832), 0))</f>
        <v/>
      </c>
      <c r="M1832" s="31" t="str">
        <f t="shared" si="199"/>
        <v/>
      </c>
      <c r="N1832" s="31" t="str">
        <f t="shared" si="200"/>
        <v/>
      </c>
      <c r="O1832" s="31" t="str">
        <f>IF(OR(B1832="",C1832=""),"",K1832-N1832 + IFERROR(E1832 / SUMIFS('📅 Resumen Diario'!$D$5:$D$504, '📅 Resumen Diario'!$B$5:$B$504, B1832, '📅 Resumen Diario'!$C$5:$C$504, D1832) * (SUMIFS('📋 Detalle Diario'!$E$5:$E$489, '📋 Detalle Diario'!$B$5:$B$489, B1832, '📋 Detalle Diario'!$C$5:$C$489, D1832) * 135 + SUMIFS('📋 Detalle Diario'!$I$5:$I$489, '📋 Detalle Diario'!$B$5:$B$489, B1832, '📋 Detalle Diario'!$C$5:$C$489, D1832) * 200), 0))</f>
        <v/>
      </c>
      <c r="P1832" s="32" t="str">
        <f t="shared" si="201"/>
        <v/>
      </c>
      <c r="Q1832" s="33" t="str">
        <f t="shared" si="202"/>
        <v/>
      </c>
    </row>
    <row r="1833" spans="2:17" ht="18" customHeight="1" x14ac:dyDescent="0.3">
      <c r="B1833" s="26"/>
      <c r="C1833" s="28"/>
      <c r="D1833" s="27"/>
      <c r="E1833" s="29"/>
      <c r="F1833" s="29"/>
      <c r="G1833" s="29"/>
      <c r="H1833" s="30" t="str">
        <f t="shared" si="196"/>
        <v/>
      </c>
      <c r="I1833" s="31" t="str">
        <f>IF(OR(B1833="",C1833=""),"",IFERROR(E1833*IF(E1833="",0,VLOOKUP(C1833,'📦 Precios Proforma'!$B$5:$D$104,IF(D1833="DIA",2,3),FALSE)),0))</f>
        <v/>
      </c>
      <c r="J1833" s="31" t="str">
        <f t="shared" si="197"/>
        <v/>
      </c>
      <c r="K1833" s="31" t="str">
        <f t="shared" si="198"/>
        <v/>
      </c>
      <c r="L1833" s="31" t="str">
        <f>IF(OR(B1833="",C1833=""),"",IFERROR(E1833 / SUMIFS('📅 Resumen Diario'!$D$5:$D$504, '📅 Resumen Diario'!$B$5:$B$504, B1833, '📅 Resumen Diario'!$C$5:$C$504, D1833) * SUMIFS('📅 Resumen Diario'!$K$5:$K$504, '📅 Resumen Diario'!$B$5:$B$504, B1833, '📅 Resumen Diario'!$C$5:$C$504, D1833), 0))</f>
        <v/>
      </c>
      <c r="M1833" s="31" t="str">
        <f t="shared" si="199"/>
        <v/>
      </c>
      <c r="N1833" s="31" t="str">
        <f t="shared" si="200"/>
        <v/>
      </c>
      <c r="O1833" s="31" t="str">
        <f>IF(OR(B1833="",C1833=""),"",K1833-N1833 + IFERROR(E1833 / SUMIFS('📅 Resumen Diario'!$D$5:$D$504, '📅 Resumen Diario'!$B$5:$B$504, B1833, '📅 Resumen Diario'!$C$5:$C$504, D1833) * (SUMIFS('📋 Detalle Diario'!$E$5:$E$489, '📋 Detalle Diario'!$B$5:$B$489, B1833, '📋 Detalle Diario'!$C$5:$C$489, D1833) * 135 + SUMIFS('📋 Detalle Diario'!$I$5:$I$489, '📋 Detalle Diario'!$B$5:$B$489, B1833, '📋 Detalle Diario'!$C$5:$C$489, D1833) * 200), 0))</f>
        <v/>
      </c>
      <c r="P1833" s="32" t="str">
        <f t="shared" si="201"/>
        <v/>
      </c>
      <c r="Q1833" s="33" t="str">
        <f t="shared" si="202"/>
        <v/>
      </c>
    </row>
    <row r="1834" spans="2:17" ht="18" customHeight="1" x14ac:dyDescent="0.3">
      <c r="B1834" s="26"/>
      <c r="C1834" s="17"/>
      <c r="D1834" s="27"/>
      <c r="E1834" s="18"/>
      <c r="F1834" s="18"/>
      <c r="G1834" s="18"/>
      <c r="H1834" s="30" t="str">
        <f t="shared" si="196"/>
        <v/>
      </c>
      <c r="I1834" s="31" t="str">
        <f>IF(OR(B1834="",C1834=""),"",IFERROR(E1834*IF(E1834="",0,VLOOKUP(C1834,'📦 Precios Proforma'!$B$5:$D$104,IF(D1834="DIA",2,3),FALSE)),0))</f>
        <v/>
      </c>
      <c r="J1834" s="31" t="str">
        <f t="shared" si="197"/>
        <v/>
      </c>
      <c r="K1834" s="31" t="str">
        <f t="shared" si="198"/>
        <v/>
      </c>
      <c r="L1834" s="31" t="str">
        <f>IF(OR(B1834="",C1834=""),"",IFERROR(E1834 / SUMIFS('📅 Resumen Diario'!$D$5:$D$504, '📅 Resumen Diario'!$B$5:$B$504, B1834, '📅 Resumen Diario'!$C$5:$C$504, D1834) * SUMIFS('📅 Resumen Diario'!$K$5:$K$504, '📅 Resumen Diario'!$B$5:$B$504, B1834, '📅 Resumen Diario'!$C$5:$C$504, D1834), 0))</f>
        <v/>
      </c>
      <c r="M1834" s="31" t="str">
        <f t="shared" si="199"/>
        <v/>
      </c>
      <c r="N1834" s="31" t="str">
        <f t="shared" si="200"/>
        <v/>
      </c>
      <c r="O1834" s="31" t="str">
        <f>IF(OR(B1834="",C1834=""),"",K1834-N1834 + IFERROR(E1834 / SUMIFS('📅 Resumen Diario'!$D$5:$D$504, '📅 Resumen Diario'!$B$5:$B$504, B1834, '📅 Resumen Diario'!$C$5:$C$504, D1834) * (SUMIFS('📋 Detalle Diario'!$E$5:$E$489, '📋 Detalle Diario'!$B$5:$B$489, B1834, '📋 Detalle Diario'!$C$5:$C$489, D1834) * 135 + SUMIFS('📋 Detalle Diario'!$I$5:$I$489, '📋 Detalle Diario'!$B$5:$B$489, B1834, '📋 Detalle Diario'!$C$5:$C$489, D1834) * 200), 0))</f>
        <v/>
      </c>
      <c r="P1834" s="32" t="str">
        <f t="shared" si="201"/>
        <v/>
      </c>
      <c r="Q1834" s="33" t="str">
        <f t="shared" si="202"/>
        <v/>
      </c>
    </row>
    <row r="1835" spans="2:17" ht="18" customHeight="1" x14ac:dyDescent="0.3">
      <c r="B1835" s="26"/>
      <c r="C1835" s="28"/>
      <c r="D1835" s="27"/>
      <c r="E1835" s="29"/>
      <c r="F1835" s="29"/>
      <c r="G1835" s="29"/>
      <c r="H1835" s="30" t="str">
        <f t="shared" si="196"/>
        <v/>
      </c>
      <c r="I1835" s="31" t="str">
        <f>IF(OR(B1835="",C1835=""),"",IFERROR(E1835*IF(E1835="",0,VLOOKUP(C1835,'📦 Precios Proforma'!$B$5:$D$104,IF(D1835="DIA",2,3),FALSE)),0))</f>
        <v/>
      </c>
      <c r="J1835" s="31" t="str">
        <f t="shared" si="197"/>
        <v/>
      </c>
      <c r="K1835" s="31" t="str">
        <f t="shared" si="198"/>
        <v/>
      </c>
      <c r="L1835" s="31" t="str">
        <f>IF(OR(B1835="",C1835=""),"",IFERROR(E1835 / SUMIFS('📅 Resumen Diario'!$D$5:$D$504, '📅 Resumen Diario'!$B$5:$B$504, B1835, '📅 Resumen Diario'!$C$5:$C$504, D1835) * SUMIFS('📅 Resumen Diario'!$K$5:$K$504, '📅 Resumen Diario'!$B$5:$B$504, B1835, '📅 Resumen Diario'!$C$5:$C$504, D1835), 0))</f>
        <v/>
      </c>
      <c r="M1835" s="31" t="str">
        <f t="shared" si="199"/>
        <v/>
      </c>
      <c r="N1835" s="31" t="str">
        <f t="shared" si="200"/>
        <v/>
      </c>
      <c r="O1835" s="31" t="str">
        <f>IF(OR(B1835="",C1835=""),"",K1835-N1835 + IFERROR(E1835 / SUMIFS('📅 Resumen Diario'!$D$5:$D$504, '📅 Resumen Diario'!$B$5:$B$504, B1835, '📅 Resumen Diario'!$C$5:$C$504, D1835) * (SUMIFS('📋 Detalle Diario'!$E$5:$E$489, '📋 Detalle Diario'!$B$5:$B$489, B1835, '📋 Detalle Diario'!$C$5:$C$489, D1835) * 135 + SUMIFS('📋 Detalle Diario'!$I$5:$I$489, '📋 Detalle Diario'!$B$5:$B$489, B1835, '📋 Detalle Diario'!$C$5:$C$489, D1835) * 200), 0))</f>
        <v/>
      </c>
      <c r="P1835" s="32" t="str">
        <f t="shared" si="201"/>
        <v/>
      </c>
      <c r="Q1835" s="33" t="str">
        <f t="shared" si="202"/>
        <v/>
      </c>
    </row>
    <row r="1836" spans="2:17" ht="18" customHeight="1" x14ac:dyDescent="0.3">
      <c r="B1836" s="26"/>
      <c r="C1836" s="17"/>
      <c r="D1836" s="27"/>
      <c r="E1836" s="18"/>
      <c r="F1836" s="18"/>
      <c r="G1836" s="18"/>
      <c r="H1836" s="30" t="str">
        <f t="shared" si="196"/>
        <v/>
      </c>
      <c r="I1836" s="31" t="str">
        <f>IF(OR(B1836="",C1836=""),"",IFERROR(E1836*IF(E1836="",0,VLOOKUP(C1836,'📦 Precios Proforma'!$B$5:$D$104,IF(D1836="DIA",2,3),FALSE)),0))</f>
        <v/>
      </c>
      <c r="J1836" s="31" t="str">
        <f t="shared" si="197"/>
        <v/>
      </c>
      <c r="K1836" s="31" t="str">
        <f t="shared" si="198"/>
        <v/>
      </c>
      <c r="L1836" s="31" t="str">
        <f>IF(OR(B1836="",C1836=""),"",IFERROR(E1836 / SUMIFS('📅 Resumen Diario'!$D$5:$D$504, '📅 Resumen Diario'!$B$5:$B$504, B1836, '📅 Resumen Diario'!$C$5:$C$504, D1836) * SUMIFS('📅 Resumen Diario'!$K$5:$K$504, '📅 Resumen Diario'!$B$5:$B$504, B1836, '📅 Resumen Diario'!$C$5:$C$504, D1836), 0))</f>
        <v/>
      </c>
      <c r="M1836" s="31" t="str">
        <f t="shared" si="199"/>
        <v/>
      </c>
      <c r="N1836" s="31" t="str">
        <f t="shared" si="200"/>
        <v/>
      </c>
      <c r="O1836" s="31" t="str">
        <f>IF(OR(B1836="",C1836=""),"",K1836-N1836 + IFERROR(E1836 / SUMIFS('📅 Resumen Diario'!$D$5:$D$504, '📅 Resumen Diario'!$B$5:$B$504, B1836, '📅 Resumen Diario'!$C$5:$C$504, D1836) * (SUMIFS('📋 Detalle Diario'!$E$5:$E$489, '📋 Detalle Diario'!$B$5:$B$489, B1836, '📋 Detalle Diario'!$C$5:$C$489, D1836) * 135 + SUMIFS('📋 Detalle Diario'!$I$5:$I$489, '📋 Detalle Diario'!$B$5:$B$489, B1836, '📋 Detalle Diario'!$C$5:$C$489, D1836) * 200), 0))</f>
        <v/>
      </c>
      <c r="P1836" s="32" t="str">
        <f t="shared" si="201"/>
        <v/>
      </c>
      <c r="Q1836" s="33" t="str">
        <f t="shared" si="202"/>
        <v/>
      </c>
    </row>
    <row r="1837" spans="2:17" ht="18" customHeight="1" x14ac:dyDescent="0.3">
      <c r="B1837" s="26"/>
      <c r="C1837" s="28"/>
      <c r="D1837" s="27"/>
      <c r="E1837" s="29"/>
      <c r="F1837" s="29"/>
      <c r="G1837" s="29"/>
      <c r="H1837" s="30" t="str">
        <f t="shared" si="196"/>
        <v/>
      </c>
      <c r="I1837" s="31" t="str">
        <f>IF(OR(B1837="",C1837=""),"",IFERROR(E1837*IF(E1837="",0,VLOOKUP(C1837,'📦 Precios Proforma'!$B$5:$D$104,IF(D1837="DIA",2,3),FALSE)),0))</f>
        <v/>
      </c>
      <c r="J1837" s="31" t="str">
        <f t="shared" si="197"/>
        <v/>
      </c>
      <c r="K1837" s="31" t="str">
        <f t="shared" si="198"/>
        <v/>
      </c>
      <c r="L1837" s="31" t="str">
        <f>IF(OR(B1837="",C1837=""),"",IFERROR(E1837 / SUMIFS('📅 Resumen Diario'!$D$5:$D$504, '📅 Resumen Diario'!$B$5:$B$504, B1837, '📅 Resumen Diario'!$C$5:$C$504, D1837) * SUMIFS('📅 Resumen Diario'!$K$5:$K$504, '📅 Resumen Diario'!$B$5:$B$504, B1837, '📅 Resumen Diario'!$C$5:$C$504, D1837), 0))</f>
        <v/>
      </c>
      <c r="M1837" s="31" t="str">
        <f t="shared" si="199"/>
        <v/>
      </c>
      <c r="N1837" s="31" t="str">
        <f t="shared" si="200"/>
        <v/>
      </c>
      <c r="O1837" s="31" t="str">
        <f>IF(OR(B1837="",C1837=""),"",K1837-N1837 + IFERROR(E1837 / SUMIFS('📅 Resumen Diario'!$D$5:$D$504, '📅 Resumen Diario'!$B$5:$B$504, B1837, '📅 Resumen Diario'!$C$5:$C$504, D1837) * (SUMIFS('📋 Detalle Diario'!$E$5:$E$489, '📋 Detalle Diario'!$B$5:$B$489, B1837, '📋 Detalle Diario'!$C$5:$C$489, D1837) * 135 + SUMIFS('📋 Detalle Diario'!$I$5:$I$489, '📋 Detalle Diario'!$B$5:$B$489, B1837, '📋 Detalle Diario'!$C$5:$C$489, D1837) * 200), 0))</f>
        <v/>
      </c>
      <c r="P1837" s="32" t="str">
        <f t="shared" si="201"/>
        <v/>
      </c>
      <c r="Q1837" s="33" t="str">
        <f t="shared" si="202"/>
        <v/>
      </c>
    </row>
    <row r="1838" spans="2:17" ht="18" customHeight="1" x14ac:dyDescent="0.3">
      <c r="B1838" s="26"/>
      <c r="C1838" s="17"/>
      <c r="D1838" s="27"/>
      <c r="E1838" s="18"/>
      <c r="F1838" s="18"/>
      <c r="G1838" s="18"/>
      <c r="H1838" s="30" t="str">
        <f t="shared" si="196"/>
        <v/>
      </c>
      <c r="I1838" s="31" t="str">
        <f>IF(OR(B1838="",C1838=""),"",IFERROR(E1838*IF(E1838="",0,VLOOKUP(C1838,'📦 Precios Proforma'!$B$5:$D$104,IF(D1838="DIA",2,3),FALSE)),0))</f>
        <v/>
      </c>
      <c r="J1838" s="31" t="str">
        <f t="shared" si="197"/>
        <v/>
      </c>
      <c r="K1838" s="31" t="str">
        <f t="shared" si="198"/>
        <v/>
      </c>
      <c r="L1838" s="31" t="str">
        <f>IF(OR(B1838="",C1838=""),"",IFERROR(E1838 / SUMIFS('📅 Resumen Diario'!$D$5:$D$504, '📅 Resumen Diario'!$B$5:$B$504, B1838, '📅 Resumen Diario'!$C$5:$C$504, D1838) * SUMIFS('📅 Resumen Diario'!$K$5:$K$504, '📅 Resumen Diario'!$B$5:$B$504, B1838, '📅 Resumen Diario'!$C$5:$C$504, D1838), 0))</f>
        <v/>
      </c>
      <c r="M1838" s="31" t="str">
        <f t="shared" si="199"/>
        <v/>
      </c>
      <c r="N1838" s="31" t="str">
        <f t="shared" si="200"/>
        <v/>
      </c>
      <c r="O1838" s="31" t="str">
        <f>IF(OR(B1838="",C1838=""),"",K1838-N1838 + IFERROR(E1838 / SUMIFS('📅 Resumen Diario'!$D$5:$D$504, '📅 Resumen Diario'!$B$5:$B$504, B1838, '📅 Resumen Diario'!$C$5:$C$504, D1838) * (SUMIFS('📋 Detalle Diario'!$E$5:$E$489, '📋 Detalle Diario'!$B$5:$B$489, B1838, '📋 Detalle Diario'!$C$5:$C$489, D1838) * 135 + SUMIFS('📋 Detalle Diario'!$I$5:$I$489, '📋 Detalle Diario'!$B$5:$B$489, B1838, '📋 Detalle Diario'!$C$5:$C$489, D1838) * 200), 0))</f>
        <v/>
      </c>
      <c r="P1838" s="32" t="str">
        <f t="shared" si="201"/>
        <v/>
      </c>
      <c r="Q1838" s="33" t="str">
        <f t="shared" si="202"/>
        <v/>
      </c>
    </row>
    <row r="1839" spans="2:17" ht="18" customHeight="1" x14ac:dyDescent="0.3">
      <c r="B1839" s="26"/>
      <c r="C1839" s="28"/>
      <c r="D1839" s="27"/>
      <c r="E1839" s="29"/>
      <c r="F1839" s="29"/>
      <c r="G1839" s="29"/>
      <c r="H1839" s="30" t="str">
        <f t="shared" si="196"/>
        <v/>
      </c>
      <c r="I1839" s="31" t="str">
        <f>IF(OR(B1839="",C1839=""),"",IFERROR(E1839*IF(E1839="",0,VLOOKUP(C1839,'📦 Precios Proforma'!$B$5:$D$104,IF(D1839="DIA",2,3),FALSE)),0))</f>
        <v/>
      </c>
      <c r="J1839" s="31" t="str">
        <f t="shared" si="197"/>
        <v/>
      </c>
      <c r="K1839" s="31" t="str">
        <f t="shared" si="198"/>
        <v/>
      </c>
      <c r="L1839" s="31" t="str">
        <f>IF(OR(B1839="",C1839=""),"",IFERROR(E1839 / SUMIFS('📅 Resumen Diario'!$D$5:$D$504, '📅 Resumen Diario'!$B$5:$B$504, B1839, '📅 Resumen Diario'!$C$5:$C$504, D1839) * SUMIFS('📅 Resumen Diario'!$K$5:$K$504, '📅 Resumen Diario'!$B$5:$B$504, B1839, '📅 Resumen Diario'!$C$5:$C$504, D1839), 0))</f>
        <v/>
      </c>
      <c r="M1839" s="31" t="str">
        <f t="shared" si="199"/>
        <v/>
      </c>
      <c r="N1839" s="31" t="str">
        <f t="shared" si="200"/>
        <v/>
      </c>
      <c r="O1839" s="31" t="str">
        <f>IF(OR(B1839="",C1839=""),"",K1839-N1839 + IFERROR(E1839 / SUMIFS('📅 Resumen Diario'!$D$5:$D$504, '📅 Resumen Diario'!$B$5:$B$504, B1839, '📅 Resumen Diario'!$C$5:$C$504, D1839) * (SUMIFS('📋 Detalle Diario'!$E$5:$E$489, '📋 Detalle Diario'!$B$5:$B$489, B1839, '📋 Detalle Diario'!$C$5:$C$489, D1839) * 135 + SUMIFS('📋 Detalle Diario'!$I$5:$I$489, '📋 Detalle Diario'!$B$5:$B$489, B1839, '📋 Detalle Diario'!$C$5:$C$489, D1839) * 200), 0))</f>
        <v/>
      </c>
      <c r="P1839" s="32" t="str">
        <f t="shared" si="201"/>
        <v/>
      </c>
      <c r="Q1839" s="33" t="str">
        <f t="shared" si="202"/>
        <v/>
      </c>
    </row>
    <row r="1840" spans="2:17" ht="18" customHeight="1" x14ac:dyDescent="0.3">
      <c r="B1840" s="26"/>
      <c r="C1840" s="17"/>
      <c r="D1840" s="27"/>
      <c r="E1840" s="18"/>
      <c r="F1840" s="18"/>
      <c r="G1840" s="18"/>
      <c r="H1840" s="30" t="str">
        <f t="shared" si="196"/>
        <v/>
      </c>
      <c r="I1840" s="31" t="str">
        <f>IF(OR(B1840="",C1840=""),"",IFERROR(E1840*IF(E1840="",0,VLOOKUP(C1840,'📦 Precios Proforma'!$B$5:$D$104,IF(D1840="DIA",2,3),FALSE)),0))</f>
        <v/>
      </c>
      <c r="J1840" s="31" t="str">
        <f t="shared" si="197"/>
        <v/>
      </c>
      <c r="K1840" s="31" t="str">
        <f t="shared" si="198"/>
        <v/>
      </c>
      <c r="L1840" s="31" t="str">
        <f>IF(OR(B1840="",C1840=""),"",IFERROR(E1840 / SUMIFS('📅 Resumen Diario'!$D$5:$D$504, '📅 Resumen Diario'!$B$5:$B$504, B1840, '📅 Resumen Diario'!$C$5:$C$504, D1840) * SUMIFS('📅 Resumen Diario'!$K$5:$K$504, '📅 Resumen Diario'!$B$5:$B$504, B1840, '📅 Resumen Diario'!$C$5:$C$504, D1840), 0))</f>
        <v/>
      </c>
      <c r="M1840" s="31" t="str">
        <f t="shared" si="199"/>
        <v/>
      </c>
      <c r="N1840" s="31" t="str">
        <f t="shared" si="200"/>
        <v/>
      </c>
      <c r="O1840" s="31" t="str">
        <f>IF(OR(B1840="",C1840=""),"",K1840-N1840 + IFERROR(E1840 / SUMIFS('📅 Resumen Diario'!$D$5:$D$504, '📅 Resumen Diario'!$B$5:$B$504, B1840, '📅 Resumen Diario'!$C$5:$C$504, D1840) * (SUMIFS('📋 Detalle Diario'!$E$5:$E$489, '📋 Detalle Diario'!$B$5:$B$489, B1840, '📋 Detalle Diario'!$C$5:$C$489, D1840) * 135 + SUMIFS('📋 Detalle Diario'!$I$5:$I$489, '📋 Detalle Diario'!$B$5:$B$489, B1840, '📋 Detalle Diario'!$C$5:$C$489, D1840) * 200), 0))</f>
        <v/>
      </c>
      <c r="P1840" s="32" t="str">
        <f t="shared" si="201"/>
        <v/>
      </c>
      <c r="Q1840" s="33" t="str">
        <f t="shared" si="202"/>
        <v/>
      </c>
    </row>
    <row r="1841" spans="2:17" ht="18" customHeight="1" x14ac:dyDescent="0.3">
      <c r="B1841" s="26"/>
      <c r="C1841" s="28"/>
      <c r="D1841" s="27"/>
      <c r="E1841" s="29"/>
      <c r="F1841" s="29"/>
      <c r="G1841" s="29"/>
      <c r="H1841" s="30" t="str">
        <f t="shared" si="196"/>
        <v/>
      </c>
      <c r="I1841" s="31" t="str">
        <f>IF(OR(B1841="",C1841=""),"",IFERROR(E1841*IF(E1841="",0,VLOOKUP(C1841,'📦 Precios Proforma'!$B$5:$D$104,IF(D1841="DIA",2,3),FALSE)),0))</f>
        <v/>
      </c>
      <c r="J1841" s="31" t="str">
        <f t="shared" si="197"/>
        <v/>
      </c>
      <c r="K1841" s="31" t="str">
        <f t="shared" si="198"/>
        <v/>
      </c>
      <c r="L1841" s="31" t="str">
        <f>IF(OR(B1841="",C1841=""),"",IFERROR(E1841 / SUMIFS('📅 Resumen Diario'!$D$5:$D$504, '📅 Resumen Diario'!$B$5:$B$504, B1841, '📅 Resumen Diario'!$C$5:$C$504, D1841) * SUMIFS('📅 Resumen Diario'!$K$5:$K$504, '📅 Resumen Diario'!$B$5:$B$504, B1841, '📅 Resumen Diario'!$C$5:$C$504, D1841), 0))</f>
        <v/>
      </c>
      <c r="M1841" s="31" t="str">
        <f t="shared" si="199"/>
        <v/>
      </c>
      <c r="N1841" s="31" t="str">
        <f t="shared" si="200"/>
        <v/>
      </c>
      <c r="O1841" s="31" t="str">
        <f>IF(OR(B1841="",C1841=""),"",K1841-N1841 + IFERROR(E1841 / SUMIFS('📅 Resumen Diario'!$D$5:$D$504, '📅 Resumen Diario'!$B$5:$B$504, B1841, '📅 Resumen Diario'!$C$5:$C$504, D1841) * (SUMIFS('📋 Detalle Diario'!$E$5:$E$489, '📋 Detalle Diario'!$B$5:$B$489, B1841, '📋 Detalle Diario'!$C$5:$C$489, D1841) * 135 + SUMIFS('📋 Detalle Diario'!$I$5:$I$489, '📋 Detalle Diario'!$B$5:$B$489, B1841, '📋 Detalle Diario'!$C$5:$C$489, D1841) * 200), 0))</f>
        <v/>
      </c>
      <c r="P1841" s="32" t="str">
        <f t="shared" si="201"/>
        <v/>
      </c>
      <c r="Q1841" s="33" t="str">
        <f t="shared" si="202"/>
        <v/>
      </c>
    </row>
    <row r="1842" spans="2:17" ht="18" customHeight="1" x14ac:dyDescent="0.3">
      <c r="B1842" s="26"/>
      <c r="C1842" s="17"/>
      <c r="D1842" s="27"/>
      <c r="E1842" s="18"/>
      <c r="F1842" s="18"/>
      <c r="G1842" s="18"/>
      <c r="H1842" s="30" t="str">
        <f t="shared" si="196"/>
        <v/>
      </c>
      <c r="I1842" s="31" t="str">
        <f>IF(OR(B1842="",C1842=""),"",IFERROR(E1842*IF(E1842="",0,VLOOKUP(C1842,'📦 Precios Proforma'!$B$5:$D$104,IF(D1842="DIA",2,3),FALSE)),0))</f>
        <v/>
      </c>
      <c r="J1842" s="31" t="str">
        <f t="shared" si="197"/>
        <v/>
      </c>
      <c r="K1842" s="31" t="str">
        <f t="shared" si="198"/>
        <v/>
      </c>
      <c r="L1842" s="31" t="str">
        <f>IF(OR(B1842="",C1842=""),"",IFERROR(E1842 / SUMIFS('📅 Resumen Diario'!$D$5:$D$504, '📅 Resumen Diario'!$B$5:$B$504, B1842, '📅 Resumen Diario'!$C$5:$C$504, D1842) * SUMIFS('📅 Resumen Diario'!$K$5:$K$504, '📅 Resumen Diario'!$B$5:$B$504, B1842, '📅 Resumen Diario'!$C$5:$C$504, D1842), 0))</f>
        <v/>
      </c>
      <c r="M1842" s="31" t="str">
        <f t="shared" si="199"/>
        <v/>
      </c>
      <c r="N1842" s="31" t="str">
        <f t="shared" si="200"/>
        <v/>
      </c>
      <c r="O1842" s="31" t="str">
        <f>IF(OR(B1842="",C1842=""),"",K1842-N1842 + IFERROR(E1842 / SUMIFS('📅 Resumen Diario'!$D$5:$D$504, '📅 Resumen Diario'!$B$5:$B$504, B1842, '📅 Resumen Diario'!$C$5:$C$504, D1842) * (SUMIFS('📋 Detalle Diario'!$E$5:$E$489, '📋 Detalle Diario'!$B$5:$B$489, B1842, '📋 Detalle Diario'!$C$5:$C$489, D1842) * 135 + SUMIFS('📋 Detalle Diario'!$I$5:$I$489, '📋 Detalle Diario'!$B$5:$B$489, B1842, '📋 Detalle Diario'!$C$5:$C$489, D1842) * 200), 0))</f>
        <v/>
      </c>
      <c r="P1842" s="32" t="str">
        <f t="shared" si="201"/>
        <v/>
      </c>
      <c r="Q1842" s="33" t="str">
        <f t="shared" si="202"/>
        <v/>
      </c>
    </row>
    <row r="1843" spans="2:17" ht="18" customHeight="1" x14ac:dyDescent="0.3">
      <c r="B1843" s="26"/>
      <c r="C1843" s="28"/>
      <c r="D1843" s="27"/>
      <c r="E1843" s="29"/>
      <c r="F1843" s="29"/>
      <c r="G1843" s="29"/>
      <c r="H1843" s="30" t="str">
        <f t="shared" si="196"/>
        <v/>
      </c>
      <c r="I1843" s="31" t="str">
        <f>IF(OR(B1843="",C1843=""),"",IFERROR(E1843*IF(E1843="",0,VLOOKUP(C1843,'📦 Precios Proforma'!$B$5:$D$104,IF(D1843="DIA",2,3),FALSE)),0))</f>
        <v/>
      </c>
      <c r="J1843" s="31" t="str">
        <f t="shared" si="197"/>
        <v/>
      </c>
      <c r="K1843" s="31" t="str">
        <f t="shared" si="198"/>
        <v/>
      </c>
      <c r="L1843" s="31" t="str">
        <f>IF(OR(B1843="",C1843=""),"",IFERROR(E1843 / SUMIFS('📅 Resumen Diario'!$D$5:$D$504, '📅 Resumen Diario'!$B$5:$B$504, B1843, '📅 Resumen Diario'!$C$5:$C$504, D1843) * SUMIFS('📅 Resumen Diario'!$K$5:$K$504, '📅 Resumen Diario'!$B$5:$B$504, B1843, '📅 Resumen Diario'!$C$5:$C$504, D1843), 0))</f>
        <v/>
      </c>
      <c r="M1843" s="31" t="str">
        <f t="shared" si="199"/>
        <v/>
      </c>
      <c r="N1843" s="31" t="str">
        <f t="shared" si="200"/>
        <v/>
      </c>
      <c r="O1843" s="31" t="str">
        <f>IF(OR(B1843="",C1843=""),"",K1843-N1843 + IFERROR(E1843 / SUMIFS('📅 Resumen Diario'!$D$5:$D$504, '📅 Resumen Diario'!$B$5:$B$504, B1843, '📅 Resumen Diario'!$C$5:$C$504, D1843) * (SUMIFS('📋 Detalle Diario'!$E$5:$E$489, '📋 Detalle Diario'!$B$5:$B$489, B1843, '📋 Detalle Diario'!$C$5:$C$489, D1843) * 135 + SUMIFS('📋 Detalle Diario'!$I$5:$I$489, '📋 Detalle Diario'!$B$5:$B$489, B1843, '📋 Detalle Diario'!$C$5:$C$489, D1843) * 200), 0))</f>
        <v/>
      </c>
      <c r="P1843" s="32" t="str">
        <f t="shared" si="201"/>
        <v/>
      </c>
      <c r="Q1843" s="33" t="str">
        <f t="shared" si="202"/>
        <v/>
      </c>
    </row>
    <row r="1844" spans="2:17" ht="18" customHeight="1" x14ac:dyDescent="0.3">
      <c r="B1844" s="26"/>
      <c r="C1844" s="17"/>
      <c r="D1844" s="27"/>
      <c r="E1844" s="18"/>
      <c r="F1844" s="18"/>
      <c r="G1844" s="18"/>
      <c r="H1844" s="30" t="str">
        <f t="shared" si="196"/>
        <v/>
      </c>
      <c r="I1844" s="31" t="str">
        <f>IF(OR(B1844="",C1844=""),"",IFERROR(E1844*IF(E1844="",0,VLOOKUP(C1844,'📦 Precios Proforma'!$B$5:$D$104,IF(D1844="DIA",2,3),FALSE)),0))</f>
        <v/>
      </c>
      <c r="J1844" s="31" t="str">
        <f t="shared" si="197"/>
        <v/>
      </c>
      <c r="K1844" s="31" t="str">
        <f t="shared" si="198"/>
        <v/>
      </c>
      <c r="L1844" s="31" t="str">
        <f>IF(OR(B1844="",C1844=""),"",IFERROR(E1844 / SUMIFS('📅 Resumen Diario'!$D$5:$D$504, '📅 Resumen Diario'!$B$5:$B$504, B1844, '📅 Resumen Diario'!$C$5:$C$504, D1844) * SUMIFS('📅 Resumen Diario'!$K$5:$K$504, '📅 Resumen Diario'!$B$5:$B$504, B1844, '📅 Resumen Diario'!$C$5:$C$504, D1844), 0))</f>
        <v/>
      </c>
      <c r="M1844" s="31" t="str">
        <f t="shared" si="199"/>
        <v/>
      </c>
      <c r="N1844" s="31" t="str">
        <f t="shared" si="200"/>
        <v/>
      </c>
      <c r="O1844" s="31" t="str">
        <f>IF(OR(B1844="",C1844=""),"",K1844-N1844 + IFERROR(E1844 / SUMIFS('📅 Resumen Diario'!$D$5:$D$504, '📅 Resumen Diario'!$B$5:$B$504, B1844, '📅 Resumen Diario'!$C$5:$C$504, D1844) * (SUMIFS('📋 Detalle Diario'!$E$5:$E$489, '📋 Detalle Diario'!$B$5:$B$489, B1844, '📋 Detalle Diario'!$C$5:$C$489, D1844) * 135 + SUMIFS('📋 Detalle Diario'!$I$5:$I$489, '📋 Detalle Diario'!$B$5:$B$489, B1844, '📋 Detalle Diario'!$C$5:$C$489, D1844) * 200), 0))</f>
        <v/>
      </c>
      <c r="P1844" s="32" t="str">
        <f t="shared" si="201"/>
        <v/>
      </c>
      <c r="Q1844" s="33" t="str">
        <f t="shared" si="202"/>
        <v/>
      </c>
    </row>
    <row r="1845" spans="2:17" ht="18" customHeight="1" x14ac:dyDescent="0.3">
      <c r="B1845" s="26"/>
      <c r="C1845" s="28"/>
      <c r="D1845" s="27"/>
      <c r="E1845" s="29"/>
      <c r="F1845" s="29"/>
      <c r="G1845" s="29"/>
      <c r="H1845" s="30" t="str">
        <f t="shared" si="196"/>
        <v/>
      </c>
      <c r="I1845" s="31" t="str">
        <f>IF(OR(B1845="",C1845=""),"",IFERROR(E1845*IF(E1845="",0,VLOOKUP(C1845,'📦 Precios Proforma'!$B$5:$D$104,IF(D1845="DIA",2,3),FALSE)),0))</f>
        <v/>
      </c>
      <c r="J1845" s="31" t="str">
        <f t="shared" si="197"/>
        <v/>
      </c>
      <c r="K1845" s="31" t="str">
        <f t="shared" si="198"/>
        <v/>
      </c>
      <c r="L1845" s="31" t="str">
        <f>IF(OR(B1845="",C1845=""),"",IFERROR(E1845 / SUMIFS('📅 Resumen Diario'!$D$5:$D$504, '📅 Resumen Diario'!$B$5:$B$504, B1845, '📅 Resumen Diario'!$C$5:$C$504, D1845) * SUMIFS('📅 Resumen Diario'!$K$5:$K$504, '📅 Resumen Diario'!$B$5:$B$504, B1845, '📅 Resumen Diario'!$C$5:$C$504, D1845), 0))</f>
        <v/>
      </c>
      <c r="M1845" s="31" t="str">
        <f t="shared" si="199"/>
        <v/>
      </c>
      <c r="N1845" s="31" t="str">
        <f t="shared" si="200"/>
        <v/>
      </c>
      <c r="O1845" s="31" t="str">
        <f>IF(OR(B1845="",C1845=""),"",K1845-N1845 + IFERROR(E1845 / SUMIFS('📅 Resumen Diario'!$D$5:$D$504, '📅 Resumen Diario'!$B$5:$B$504, B1845, '📅 Resumen Diario'!$C$5:$C$504, D1845) * (SUMIFS('📋 Detalle Diario'!$E$5:$E$489, '📋 Detalle Diario'!$B$5:$B$489, B1845, '📋 Detalle Diario'!$C$5:$C$489, D1845) * 135 + SUMIFS('📋 Detalle Diario'!$I$5:$I$489, '📋 Detalle Diario'!$B$5:$B$489, B1845, '📋 Detalle Diario'!$C$5:$C$489, D1845) * 200), 0))</f>
        <v/>
      </c>
      <c r="P1845" s="32" t="str">
        <f t="shared" si="201"/>
        <v/>
      </c>
      <c r="Q1845" s="33" t="str">
        <f t="shared" si="202"/>
        <v/>
      </c>
    </row>
    <row r="1846" spans="2:17" ht="18" customHeight="1" x14ac:dyDescent="0.3">
      <c r="B1846" s="26"/>
      <c r="C1846" s="17"/>
      <c r="D1846" s="27"/>
      <c r="E1846" s="18"/>
      <c r="F1846" s="18"/>
      <c r="G1846" s="18"/>
      <c r="H1846" s="30" t="str">
        <f t="shared" si="196"/>
        <v/>
      </c>
      <c r="I1846" s="31" t="str">
        <f>IF(OR(B1846="",C1846=""),"",IFERROR(E1846*IF(E1846="",0,VLOOKUP(C1846,'📦 Precios Proforma'!$B$5:$D$104,IF(D1846="DIA",2,3),FALSE)),0))</f>
        <v/>
      </c>
      <c r="J1846" s="31" t="str">
        <f t="shared" si="197"/>
        <v/>
      </c>
      <c r="K1846" s="31" t="str">
        <f t="shared" si="198"/>
        <v/>
      </c>
      <c r="L1846" s="31" t="str">
        <f>IF(OR(B1846="",C1846=""),"",IFERROR(E1846 / SUMIFS('📅 Resumen Diario'!$D$5:$D$504, '📅 Resumen Diario'!$B$5:$B$504, B1846, '📅 Resumen Diario'!$C$5:$C$504, D1846) * SUMIFS('📅 Resumen Diario'!$K$5:$K$504, '📅 Resumen Diario'!$B$5:$B$504, B1846, '📅 Resumen Diario'!$C$5:$C$504, D1846), 0))</f>
        <v/>
      </c>
      <c r="M1846" s="31" t="str">
        <f t="shared" si="199"/>
        <v/>
      </c>
      <c r="N1846" s="31" t="str">
        <f t="shared" si="200"/>
        <v/>
      </c>
      <c r="O1846" s="31" t="str">
        <f>IF(OR(B1846="",C1846=""),"",K1846-N1846 + IFERROR(E1846 / SUMIFS('📅 Resumen Diario'!$D$5:$D$504, '📅 Resumen Diario'!$B$5:$B$504, B1846, '📅 Resumen Diario'!$C$5:$C$504, D1846) * (SUMIFS('📋 Detalle Diario'!$E$5:$E$489, '📋 Detalle Diario'!$B$5:$B$489, B1846, '📋 Detalle Diario'!$C$5:$C$489, D1846) * 135 + SUMIFS('📋 Detalle Diario'!$I$5:$I$489, '📋 Detalle Diario'!$B$5:$B$489, B1846, '📋 Detalle Diario'!$C$5:$C$489, D1846) * 200), 0))</f>
        <v/>
      </c>
      <c r="P1846" s="32" t="str">
        <f t="shared" si="201"/>
        <v/>
      </c>
      <c r="Q1846" s="33" t="str">
        <f t="shared" si="202"/>
        <v/>
      </c>
    </row>
    <row r="1847" spans="2:17" ht="18" customHeight="1" x14ac:dyDescent="0.3">
      <c r="B1847" s="26"/>
      <c r="C1847" s="28"/>
      <c r="D1847" s="27"/>
      <c r="E1847" s="29"/>
      <c r="F1847" s="29"/>
      <c r="G1847" s="29"/>
      <c r="H1847" s="30" t="str">
        <f t="shared" si="196"/>
        <v/>
      </c>
      <c r="I1847" s="31" t="str">
        <f>IF(OR(B1847="",C1847=""),"",IFERROR(E1847*IF(E1847="",0,VLOOKUP(C1847,'📦 Precios Proforma'!$B$5:$D$104,IF(D1847="DIA",2,3),FALSE)),0))</f>
        <v/>
      </c>
      <c r="J1847" s="31" t="str">
        <f t="shared" si="197"/>
        <v/>
      </c>
      <c r="K1847" s="31" t="str">
        <f t="shared" si="198"/>
        <v/>
      </c>
      <c r="L1847" s="31" t="str">
        <f>IF(OR(B1847="",C1847=""),"",IFERROR(E1847 / SUMIFS('📅 Resumen Diario'!$D$5:$D$504, '📅 Resumen Diario'!$B$5:$B$504, B1847, '📅 Resumen Diario'!$C$5:$C$504, D1847) * SUMIFS('📅 Resumen Diario'!$K$5:$K$504, '📅 Resumen Diario'!$B$5:$B$504, B1847, '📅 Resumen Diario'!$C$5:$C$504, D1847), 0))</f>
        <v/>
      </c>
      <c r="M1847" s="31" t="str">
        <f t="shared" si="199"/>
        <v/>
      </c>
      <c r="N1847" s="31" t="str">
        <f t="shared" si="200"/>
        <v/>
      </c>
      <c r="O1847" s="31" t="str">
        <f>IF(OR(B1847="",C1847=""),"",K1847-N1847 + IFERROR(E1847 / SUMIFS('📅 Resumen Diario'!$D$5:$D$504, '📅 Resumen Diario'!$B$5:$B$504, B1847, '📅 Resumen Diario'!$C$5:$C$504, D1847) * (SUMIFS('📋 Detalle Diario'!$E$5:$E$489, '📋 Detalle Diario'!$B$5:$B$489, B1847, '📋 Detalle Diario'!$C$5:$C$489, D1847) * 135 + SUMIFS('📋 Detalle Diario'!$I$5:$I$489, '📋 Detalle Diario'!$B$5:$B$489, B1847, '📋 Detalle Diario'!$C$5:$C$489, D1847) * 200), 0))</f>
        <v/>
      </c>
      <c r="P1847" s="32" t="str">
        <f t="shared" si="201"/>
        <v/>
      </c>
      <c r="Q1847" s="33" t="str">
        <f t="shared" si="202"/>
        <v/>
      </c>
    </row>
    <row r="1848" spans="2:17" ht="18" customHeight="1" x14ac:dyDescent="0.3">
      <c r="B1848" s="26"/>
      <c r="C1848" s="17"/>
      <c r="D1848" s="27"/>
      <c r="E1848" s="18"/>
      <c r="F1848" s="18"/>
      <c r="G1848" s="18"/>
      <c r="H1848" s="30" t="str">
        <f t="shared" si="196"/>
        <v/>
      </c>
      <c r="I1848" s="31" t="str">
        <f>IF(OR(B1848="",C1848=""),"",IFERROR(E1848*IF(E1848="",0,VLOOKUP(C1848,'📦 Precios Proforma'!$B$5:$D$104,IF(D1848="DIA",2,3),FALSE)),0))</f>
        <v/>
      </c>
      <c r="J1848" s="31" t="str">
        <f t="shared" si="197"/>
        <v/>
      </c>
      <c r="K1848" s="31" t="str">
        <f t="shared" si="198"/>
        <v/>
      </c>
      <c r="L1848" s="31" t="str">
        <f>IF(OR(B1848="",C1848=""),"",IFERROR(E1848 / SUMIFS('📅 Resumen Diario'!$D$5:$D$504, '📅 Resumen Diario'!$B$5:$B$504, B1848, '📅 Resumen Diario'!$C$5:$C$504, D1848) * SUMIFS('📅 Resumen Diario'!$K$5:$K$504, '📅 Resumen Diario'!$B$5:$B$504, B1848, '📅 Resumen Diario'!$C$5:$C$504, D1848), 0))</f>
        <v/>
      </c>
      <c r="M1848" s="31" t="str">
        <f t="shared" si="199"/>
        <v/>
      </c>
      <c r="N1848" s="31" t="str">
        <f t="shared" si="200"/>
        <v/>
      </c>
      <c r="O1848" s="31" t="str">
        <f>IF(OR(B1848="",C1848=""),"",K1848-N1848 + IFERROR(E1848 / SUMIFS('📅 Resumen Diario'!$D$5:$D$504, '📅 Resumen Diario'!$B$5:$B$504, B1848, '📅 Resumen Diario'!$C$5:$C$504, D1848) * (SUMIFS('📋 Detalle Diario'!$E$5:$E$489, '📋 Detalle Diario'!$B$5:$B$489, B1848, '📋 Detalle Diario'!$C$5:$C$489, D1848) * 135 + SUMIFS('📋 Detalle Diario'!$I$5:$I$489, '📋 Detalle Diario'!$B$5:$B$489, B1848, '📋 Detalle Diario'!$C$5:$C$489, D1848) * 200), 0))</f>
        <v/>
      </c>
      <c r="P1848" s="32" t="str">
        <f t="shared" si="201"/>
        <v/>
      </c>
      <c r="Q1848" s="33" t="str">
        <f t="shared" si="202"/>
        <v/>
      </c>
    </row>
    <row r="1849" spans="2:17" ht="18" customHeight="1" x14ac:dyDescent="0.3">
      <c r="B1849" s="26"/>
      <c r="C1849" s="28"/>
      <c r="D1849" s="27"/>
      <c r="E1849" s="29"/>
      <c r="F1849" s="29"/>
      <c r="G1849" s="29"/>
      <c r="H1849" s="30" t="str">
        <f t="shared" si="196"/>
        <v/>
      </c>
      <c r="I1849" s="31" t="str">
        <f>IF(OR(B1849="",C1849=""),"",IFERROR(E1849*IF(E1849="",0,VLOOKUP(C1849,'📦 Precios Proforma'!$B$5:$D$104,IF(D1849="DIA",2,3),FALSE)),0))</f>
        <v/>
      </c>
      <c r="J1849" s="31" t="str">
        <f t="shared" si="197"/>
        <v/>
      </c>
      <c r="K1849" s="31" t="str">
        <f t="shared" si="198"/>
        <v/>
      </c>
      <c r="L1849" s="31" t="str">
        <f>IF(OR(B1849="",C1849=""),"",IFERROR(E1849 / SUMIFS('📅 Resumen Diario'!$D$5:$D$504, '📅 Resumen Diario'!$B$5:$B$504, B1849, '📅 Resumen Diario'!$C$5:$C$504, D1849) * SUMIFS('📅 Resumen Diario'!$K$5:$K$504, '📅 Resumen Diario'!$B$5:$B$504, B1849, '📅 Resumen Diario'!$C$5:$C$504, D1849), 0))</f>
        <v/>
      </c>
      <c r="M1849" s="31" t="str">
        <f t="shared" si="199"/>
        <v/>
      </c>
      <c r="N1849" s="31" t="str">
        <f t="shared" si="200"/>
        <v/>
      </c>
      <c r="O1849" s="31" t="str">
        <f>IF(OR(B1849="",C1849=""),"",K1849-N1849 + IFERROR(E1849 / SUMIFS('📅 Resumen Diario'!$D$5:$D$504, '📅 Resumen Diario'!$B$5:$B$504, B1849, '📅 Resumen Diario'!$C$5:$C$504, D1849) * (SUMIFS('📋 Detalle Diario'!$E$5:$E$489, '📋 Detalle Diario'!$B$5:$B$489, B1849, '📋 Detalle Diario'!$C$5:$C$489, D1849) * 135 + SUMIFS('📋 Detalle Diario'!$I$5:$I$489, '📋 Detalle Diario'!$B$5:$B$489, B1849, '📋 Detalle Diario'!$C$5:$C$489, D1849) * 200), 0))</f>
        <v/>
      </c>
      <c r="P1849" s="32" t="str">
        <f t="shared" si="201"/>
        <v/>
      </c>
      <c r="Q1849" s="33" t="str">
        <f t="shared" si="202"/>
        <v/>
      </c>
    </row>
    <row r="1850" spans="2:17" ht="18" customHeight="1" x14ac:dyDescent="0.3">
      <c r="B1850" s="26"/>
      <c r="C1850" s="17"/>
      <c r="D1850" s="27"/>
      <c r="E1850" s="18"/>
      <c r="F1850" s="18"/>
      <c r="G1850" s="18"/>
      <c r="H1850" s="30" t="str">
        <f t="shared" si="196"/>
        <v/>
      </c>
      <c r="I1850" s="31" t="str">
        <f>IF(OR(B1850="",C1850=""),"",IFERROR(E1850*IF(E1850="",0,VLOOKUP(C1850,'📦 Precios Proforma'!$B$5:$D$104,IF(D1850="DIA",2,3),FALSE)),0))</f>
        <v/>
      </c>
      <c r="J1850" s="31" t="str">
        <f t="shared" si="197"/>
        <v/>
      </c>
      <c r="K1850" s="31" t="str">
        <f t="shared" si="198"/>
        <v/>
      </c>
      <c r="L1850" s="31" t="str">
        <f>IF(OR(B1850="",C1850=""),"",IFERROR(E1850 / SUMIFS('📅 Resumen Diario'!$D$5:$D$504, '📅 Resumen Diario'!$B$5:$B$504, B1850, '📅 Resumen Diario'!$C$5:$C$504, D1850) * SUMIFS('📅 Resumen Diario'!$K$5:$K$504, '📅 Resumen Diario'!$B$5:$B$504, B1850, '📅 Resumen Diario'!$C$5:$C$504, D1850), 0))</f>
        <v/>
      </c>
      <c r="M1850" s="31" t="str">
        <f t="shared" si="199"/>
        <v/>
      </c>
      <c r="N1850" s="31" t="str">
        <f t="shared" si="200"/>
        <v/>
      </c>
      <c r="O1850" s="31" t="str">
        <f>IF(OR(B1850="",C1850=""),"",K1850-N1850 + IFERROR(E1850 / SUMIFS('📅 Resumen Diario'!$D$5:$D$504, '📅 Resumen Diario'!$B$5:$B$504, B1850, '📅 Resumen Diario'!$C$5:$C$504, D1850) * (SUMIFS('📋 Detalle Diario'!$E$5:$E$489, '📋 Detalle Diario'!$B$5:$B$489, B1850, '📋 Detalle Diario'!$C$5:$C$489, D1850) * 135 + SUMIFS('📋 Detalle Diario'!$I$5:$I$489, '📋 Detalle Diario'!$B$5:$B$489, B1850, '📋 Detalle Diario'!$C$5:$C$489, D1850) * 200), 0))</f>
        <v/>
      </c>
      <c r="P1850" s="32" t="str">
        <f t="shared" si="201"/>
        <v/>
      </c>
      <c r="Q1850" s="33" t="str">
        <f t="shared" si="202"/>
        <v/>
      </c>
    </row>
    <row r="1851" spans="2:17" ht="18" customHeight="1" x14ac:dyDescent="0.3">
      <c r="B1851" s="26"/>
      <c r="C1851" s="28"/>
      <c r="D1851" s="27"/>
      <c r="E1851" s="29"/>
      <c r="F1851" s="29"/>
      <c r="G1851" s="29"/>
      <c r="H1851" s="30" t="str">
        <f t="shared" si="196"/>
        <v/>
      </c>
      <c r="I1851" s="31" t="str">
        <f>IF(OR(B1851="",C1851=""),"",IFERROR(E1851*IF(E1851="",0,VLOOKUP(C1851,'📦 Precios Proforma'!$B$5:$D$104,IF(D1851="DIA",2,3),FALSE)),0))</f>
        <v/>
      </c>
      <c r="J1851" s="31" t="str">
        <f t="shared" si="197"/>
        <v/>
      </c>
      <c r="K1851" s="31" t="str">
        <f t="shared" si="198"/>
        <v/>
      </c>
      <c r="L1851" s="31" t="str">
        <f>IF(OR(B1851="",C1851=""),"",IFERROR(E1851 / SUMIFS('📅 Resumen Diario'!$D$5:$D$504, '📅 Resumen Diario'!$B$5:$B$504, B1851, '📅 Resumen Diario'!$C$5:$C$504, D1851) * SUMIFS('📅 Resumen Diario'!$K$5:$K$504, '📅 Resumen Diario'!$B$5:$B$504, B1851, '📅 Resumen Diario'!$C$5:$C$504, D1851), 0))</f>
        <v/>
      </c>
      <c r="M1851" s="31" t="str">
        <f t="shared" si="199"/>
        <v/>
      </c>
      <c r="N1851" s="31" t="str">
        <f t="shared" si="200"/>
        <v/>
      </c>
      <c r="O1851" s="31" t="str">
        <f>IF(OR(B1851="",C1851=""),"",K1851-N1851 + IFERROR(E1851 / SUMIFS('📅 Resumen Diario'!$D$5:$D$504, '📅 Resumen Diario'!$B$5:$B$504, B1851, '📅 Resumen Diario'!$C$5:$C$504, D1851) * (SUMIFS('📋 Detalle Diario'!$E$5:$E$489, '📋 Detalle Diario'!$B$5:$B$489, B1851, '📋 Detalle Diario'!$C$5:$C$489, D1851) * 135 + SUMIFS('📋 Detalle Diario'!$I$5:$I$489, '📋 Detalle Diario'!$B$5:$B$489, B1851, '📋 Detalle Diario'!$C$5:$C$489, D1851) * 200), 0))</f>
        <v/>
      </c>
      <c r="P1851" s="32" t="str">
        <f t="shared" si="201"/>
        <v/>
      </c>
      <c r="Q1851" s="33" t="str">
        <f t="shared" si="202"/>
        <v/>
      </c>
    </row>
    <row r="1852" spans="2:17" ht="18" customHeight="1" x14ac:dyDescent="0.3">
      <c r="B1852" s="26"/>
      <c r="C1852" s="17"/>
      <c r="D1852" s="27"/>
      <c r="E1852" s="18"/>
      <c r="F1852" s="18"/>
      <c r="G1852" s="18"/>
      <c r="H1852" s="30" t="str">
        <f t="shared" si="196"/>
        <v/>
      </c>
      <c r="I1852" s="31" t="str">
        <f>IF(OR(B1852="",C1852=""),"",IFERROR(E1852*IF(E1852="",0,VLOOKUP(C1852,'📦 Precios Proforma'!$B$5:$D$104,IF(D1852="DIA",2,3),FALSE)),0))</f>
        <v/>
      </c>
      <c r="J1852" s="31" t="str">
        <f t="shared" si="197"/>
        <v/>
      </c>
      <c r="K1852" s="31" t="str">
        <f t="shared" si="198"/>
        <v/>
      </c>
      <c r="L1852" s="31" t="str">
        <f>IF(OR(B1852="",C1852=""),"",IFERROR(E1852 / SUMIFS('📅 Resumen Diario'!$D$5:$D$504, '📅 Resumen Diario'!$B$5:$B$504, B1852, '📅 Resumen Diario'!$C$5:$C$504, D1852) * SUMIFS('📅 Resumen Diario'!$K$5:$K$504, '📅 Resumen Diario'!$B$5:$B$504, B1852, '📅 Resumen Diario'!$C$5:$C$504, D1852), 0))</f>
        <v/>
      </c>
      <c r="M1852" s="31" t="str">
        <f t="shared" si="199"/>
        <v/>
      </c>
      <c r="N1852" s="31" t="str">
        <f t="shared" si="200"/>
        <v/>
      </c>
      <c r="O1852" s="31" t="str">
        <f>IF(OR(B1852="",C1852=""),"",K1852-N1852 + IFERROR(E1852 / SUMIFS('📅 Resumen Diario'!$D$5:$D$504, '📅 Resumen Diario'!$B$5:$B$504, B1852, '📅 Resumen Diario'!$C$5:$C$504, D1852) * (SUMIFS('📋 Detalle Diario'!$E$5:$E$489, '📋 Detalle Diario'!$B$5:$B$489, B1852, '📋 Detalle Diario'!$C$5:$C$489, D1852) * 135 + SUMIFS('📋 Detalle Diario'!$I$5:$I$489, '📋 Detalle Diario'!$B$5:$B$489, B1852, '📋 Detalle Diario'!$C$5:$C$489, D1852) * 200), 0))</f>
        <v/>
      </c>
      <c r="P1852" s="32" t="str">
        <f t="shared" si="201"/>
        <v/>
      </c>
      <c r="Q1852" s="33" t="str">
        <f t="shared" si="202"/>
        <v/>
      </c>
    </row>
    <row r="1853" spans="2:17" ht="18" customHeight="1" x14ac:dyDescent="0.3">
      <c r="B1853" s="26"/>
      <c r="C1853" s="28"/>
      <c r="D1853" s="27"/>
      <c r="E1853" s="29"/>
      <c r="F1853" s="29"/>
      <c r="G1853" s="29"/>
      <c r="H1853" s="30" t="str">
        <f t="shared" si="196"/>
        <v/>
      </c>
      <c r="I1853" s="31" t="str">
        <f>IF(OR(B1853="",C1853=""),"",IFERROR(E1853*IF(E1853="",0,VLOOKUP(C1853,'📦 Precios Proforma'!$B$5:$D$104,IF(D1853="DIA",2,3),FALSE)),0))</f>
        <v/>
      </c>
      <c r="J1853" s="31" t="str">
        <f t="shared" si="197"/>
        <v/>
      </c>
      <c r="K1853" s="31" t="str">
        <f t="shared" si="198"/>
        <v/>
      </c>
      <c r="L1853" s="31" t="str">
        <f>IF(OR(B1853="",C1853=""),"",IFERROR(E1853 / SUMIFS('📅 Resumen Diario'!$D$5:$D$504, '📅 Resumen Diario'!$B$5:$B$504, B1853, '📅 Resumen Diario'!$C$5:$C$504, D1853) * SUMIFS('📅 Resumen Diario'!$K$5:$K$504, '📅 Resumen Diario'!$B$5:$B$504, B1853, '📅 Resumen Diario'!$C$5:$C$504, D1853), 0))</f>
        <v/>
      </c>
      <c r="M1853" s="31" t="str">
        <f t="shared" si="199"/>
        <v/>
      </c>
      <c r="N1853" s="31" t="str">
        <f t="shared" si="200"/>
        <v/>
      </c>
      <c r="O1853" s="31" t="str">
        <f>IF(OR(B1853="",C1853=""),"",K1853-N1853 + IFERROR(E1853 / SUMIFS('📅 Resumen Diario'!$D$5:$D$504, '📅 Resumen Diario'!$B$5:$B$504, B1853, '📅 Resumen Diario'!$C$5:$C$504, D1853) * (SUMIFS('📋 Detalle Diario'!$E$5:$E$489, '📋 Detalle Diario'!$B$5:$B$489, B1853, '📋 Detalle Diario'!$C$5:$C$489, D1853) * 135 + SUMIFS('📋 Detalle Diario'!$I$5:$I$489, '📋 Detalle Diario'!$B$5:$B$489, B1853, '📋 Detalle Diario'!$C$5:$C$489, D1853) * 200), 0))</f>
        <v/>
      </c>
      <c r="P1853" s="32" t="str">
        <f t="shared" si="201"/>
        <v/>
      </c>
      <c r="Q1853" s="33" t="str">
        <f t="shared" si="202"/>
        <v/>
      </c>
    </row>
    <row r="1854" spans="2:17" ht="18" customHeight="1" x14ac:dyDescent="0.3">
      <c r="B1854" s="26"/>
      <c r="C1854" s="17"/>
      <c r="D1854" s="27"/>
      <c r="E1854" s="18"/>
      <c r="F1854" s="18"/>
      <c r="G1854" s="18"/>
      <c r="H1854" s="30" t="str">
        <f t="shared" si="196"/>
        <v/>
      </c>
      <c r="I1854" s="31" t="str">
        <f>IF(OR(B1854="",C1854=""),"",IFERROR(E1854*IF(E1854="",0,VLOOKUP(C1854,'📦 Precios Proforma'!$B$5:$D$104,IF(D1854="DIA",2,3),FALSE)),0))</f>
        <v/>
      </c>
      <c r="J1854" s="31" t="str">
        <f t="shared" si="197"/>
        <v/>
      </c>
      <c r="K1854" s="31" t="str">
        <f t="shared" si="198"/>
        <v/>
      </c>
      <c r="L1854" s="31" t="str">
        <f>IF(OR(B1854="",C1854=""),"",IFERROR(E1854 / SUMIFS('📅 Resumen Diario'!$D$5:$D$504, '📅 Resumen Diario'!$B$5:$B$504, B1854, '📅 Resumen Diario'!$C$5:$C$504, D1854) * SUMIFS('📅 Resumen Diario'!$K$5:$K$504, '📅 Resumen Diario'!$B$5:$B$504, B1854, '📅 Resumen Diario'!$C$5:$C$504, D1854), 0))</f>
        <v/>
      </c>
      <c r="M1854" s="31" t="str">
        <f t="shared" si="199"/>
        <v/>
      </c>
      <c r="N1854" s="31" t="str">
        <f t="shared" si="200"/>
        <v/>
      </c>
      <c r="O1854" s="31" t="str">
        <f>IF(OR(B1854="",C1854=""),"",K1854-N1854 + IFERROR(E1854 / SUMIFS('📅 Resumen Diario'!$D$5:$D$504, '📅 Resumen Diario'!$B$5:$B$504, B1854, '📅 Resumen Diario'!$C$5:$C$504, D1854) * (SUMIFS('📋 Detalle Diario'!$E$5:$E$489, '📋 Detalle Diario'!$B$5:$B$489, B1854, '📋 Detalle Diario'!$C$5:$C$489, D1854) * 135 + SUMIFS('📋 Detalle Diario'!$I$5:$I$489, '📋 Detalle Diario'!$B$5:$B$489, B1854, '📋 Detalle Diario'!$C$5:$C$489, D1854) * 200), 0))</f>
        <v/>
      </c>
      <c r="P1854" s="32" t="str">
        <f t="shared" si="201"/>
        <v/>
      </c>
      <c r="Q1854" s="33" t="str">
        <f t="shared" si="202"/>
        <v/>
      </c>
    </row>
    <row r="1855" spans="2:17" ht="18" customHeight="1" x14ac:dyDescent="0.3">
      <c r="B1855" s="26"/>
      <c r="C1855" s="28"/>
      <c r="D1855" s="27"/>
      <c r="E1855" s="29"/>
      <c r="F1855" s="29"/>
      <c r="G1855" s="29"/>
      <c r="H1855" s="30" t="str">
        <f t="shared" si="196"/>
        <v/>
      </c>
      <c r="I1855" s="31" t="str">
        <f>IF(OR(B1855="",C1855=""),"",IFERROR(E1855*IF(E1855="",0,VLOOKUP(C1855,'📦 Precios Proforma'!$B$5:$D$104,IF(D1855="DIA",2,3),FALSE)),0))</f>
        <v/>
      </c>
      <c r="J1855" s="31" t="str">
        <f t="shared" si="197"/>
        <v/>
      </c>
      <c r="K1855" s="31" t="str">
        <f t="shared" si="198"/>
        <v/>
      </c>
      <c r="L1855" s="31" t="str">
        <f>IF(OR(B1855="",C1855=""),"",IFERROR(E1855 / SUMIFS('📅 Resumen Diario'!$D$5:$D$504, '📅 Resumen Diario'!$B$5:$B$504, B1855, '📅 Resumen Diario'!$C$5:$C$504, D1855) * SUMIFS('📅 Resumen Diario'!$K$5:$K$504, '📅 Resumen Diario'!$B$5:$B$504, B1855, '📅 Resumen Diario'!$C$5:$C$504, D1855), 0))</f>
        <v/>
      </c>
      <c r="M1855" s="31" t="str">
        <f t="shared" si="199"/>
        <v/>
      </c>
      <c r="N1855" s="31" t="str">
        <f t="shared" si="200"/>
        <v/>
      </c>
      <c r="O1855" s="31" t="str">
        <f>IF(OR(B1855="",C1855=""),"",K1855-N1855 + IFERROR(E1855 / SUMIFS('📅 Resumen Diario'!$D$5:$D$504, '📅 Resumen Diario'!$B$5:$B$504, B1855, '📅 Resumen Diario'!$C$5:$C$504, D1855) * (SUMIFS('📋 Detalle Diario'!$E$5:$E$489, '📋 Detalle Diario'!$B$5:$B$489, B1855, '📋 Detalle Diario'!$C$5:$C$489, D1855) * 135 + SUMIFS('📋 Detalle Diario'!$I$5:$I$489, '📋 Detalle Diario'!$B$5:$B$489, B1855, '📋 Detalle Diario'!$C$5:$C$489, D1855) * 200), 0))</f>
        <v/>
      </c>
      <c r="P1855" s="32" t="str">
        <f t="shared" si="201"/>
        <v/>
      </c>
      <c r="Q1855" s="33" t="str">
        <f t="shared" si="202"/>
        <v/>
      </c>
    </row>
    <row r="1856" spans="2:17" ht="18" customHeight="1" x14ac:dyDescent="0.3">
      <c r="B1856" s="26"/>
      <c r="C1856" s="17"/>
      <c r="D1856" s="27"/>
      <c r="E1856" s="18"/>
      <c r="F1856" s="18"/>
      <c r="G1856" s="18"/>
      <c r="H1856" s="30" t="str">
        <f t="shared" si="196"/>
        <v/>
      </c>
      <c r="I1856" s="31" t="str">
        <f>IF(OR(B1856="",C1856=""),"",IFERROR(E1856*IF(E1856="",0,VLOOKUP(C1856,'📦 Precios Proforma'!$B$5:$D$104,IF(D1856="DIA",2,3),FALSE)),0))</f>
        <v/>
      </c>
      <c r="J1856" s="31" t="str">
        <f t="shared" si="197"/>
        <v/>
      </c>
      <c r="K1856" s="31" t="str">
        <f t="shared" si="198"/>
        <v/>
      </c>
      <c r="L1856" s="31" t="str">
        <f>IF(OR(B1856="",C1856=""),"",IFERROR(E1856 / SUMIFS('📅 Resumen Diario'!$D$5:$D$504, '📅 Resumen Diario'!$B$5:$B$504, B1856, '📅 Resumen Diario'!$C$5:$C$504, D1856) * SUMIFS('📅 Resumen Diario'!$K$5:$K$504, '📅 Resumen Diario'!$B$5:$B$504, B1856, '📅 Resumen Diario'!$C$5:$C$504, D1856), 0))</f>
        <v/>
      </c>
      <c r="M1856" s="31" t="str">
        <f t="shared" si="199"/>
        <v/>
      </c>
      <c r="N1856" s="31" t="str">
        <f t="shared" si="200"/>
        <v/>
      </c>
      <c r="O1856" s="31" t="str">
        <f>IF(OR(B1856="",C1856=""),"",K1856-N1856 + IFERROR(E1856 / SUMIFS('📅 Resumen Diario'!$D$5:$D$504, '📅 Resumen Diario'!$B$5:$B$504, B1856, '📅 Resumen Diario'!$C$5:$C$504, D1856) * (SUMIFS('📋 Detalle Diario'!$E$5:$E$489, '📋 Detalle Diario'!$B$5:$B$489, B1856, '📋 Detalle Diario'!$C$5:$C$489, D1856) * 135 + SUMIFS('📋 Detalle Diario'!$I$5:$I$489, '📋 Detalle Diario'!$B$5:$B$489, B1856, '📋 Detalle Diario'!$C$5:$C$489, D1856) * 200), 0))</f>
        <v/>
      </c>
      <c r="P1856" s="32" t="str">
        <f t="shared" si="201"/>
        <v/>
      </c>
      <c r="Q1856" s="33" t="str">
        <f t="shared" si="202"/>
        <v/>
      </c>
    </row>
    <row r="1857" spans="2:17" ht="18" customHeight="1" x14ac:dyDescent="0.3">
      <c r="B1857" s="26"/>
      <c r="C1857" s="28"/>
      <c r="D1857" s="27"/>
      <c r="E1857" s="29"/>
      <c r="F1857" s="29"/>
      <c r="G1857" s="29"/>
      <c r="H1857" s="30" t="str">
        <f t="shared" si="196"/>
        <v/>
      </c>
      <c r="I1857" s="31" t="str">
        <f>IF(OR(B1857="",C1857=""),"",IFERROR(E1857*IF(E1857="",0,VLOOKUP(C1857,'📦 Precios Proforma'!$B$5:$D$104,IF(D1857="DIA",2,3),FALSE)),0))</f>
        <v/>
      </c>
      <c r="J1857" s="31" t="str">
        <f t="shared" si="197"/>
        <v/>
      </c>
      <c r="K1857" s="31" t="str">
        <f t="shared" si="198"/>
        <v/>
      </c>
      <c r="L1857" s="31" t="str">
        <f>IF(OR(B1857="",C1857=""),"",IFERROR(E1857 / SUMIFS('📅 Resumen Diario'!$D$5:$D$504, '📅 Resumen Diario'!$B$5:$B$504, B1857, '📅 Resumen Diario'!$C$5:$C$504, D1857) * SUMIFS('📅 Resumen Diario'!$K$5:$K$504, '📅 Resumen Diario'!$B$5:$B$504, B1857, '📅 Resumen Diario'!$C$5:$C$504, D1857), 0))</f>
        <v/>
      </c>
      <c r="M1857" s="31" t="str">
        <f t="shared" si="199"/>
        <v/>
      </c>
      <c r="N1857" s="31" t="str">
        <f t="shared" si="200"/>
        <v/>
      </c>
      <c r="O1857" s="31" t="str">
        <f>IF(OR(B1857="",C1857=""),"",K1857-N1857 + IFERROR(E1857 / SUMIFS('📅 Resumen Diario'!$D$5:$D$504, '📅 Resumen Diario'!$B$5:$B$504, B1857, '📅 Resumen Diario'!$C$5:$C$504, D1857) * (SUMIFS('📋 Detalle Diario'!$E$5:$E$489, '📋 Detalle Diario'!$B$5:$B$489, B1857, '📋 Detalle Diario'!$C$5:$C$489, D1857) * 135 + SUMIFS('📋 Detalle Diario'!$I$5:$I$489, '📋 Detalle Diario'!$B$5:$B$489, B1857, '📋 Detalle Diario'!$C$5:$C$489, D1857) * 200), 0))</f>
        <v/>
      </c>
      <c r="P1857" s="32" t="str">
        <f t="shared" si="201"/>
        <v/>
      </c>
      <c r="Q1857" s="33" t="str">
        <f t="shared" si="202"/>
        <v/>
      </c>
    </row>
    <row r="1858" spans="2:17" ht="18" customHeight="1" x14ac:dyDescent="0.3">
      <c r="B1858" s="26"/>
      <c r="C1858" s="17"/>
      <c r="D1858" s="27"/>
      <c r="E1858" s="18"/>
      <c r="F1858" s="18"/>
      <c r="G1858" s="18"/>
      <c r="H1858" s="30" t="str">
        <f t="shared" si="196"/>
        <v/>
      </c>
      <c r="I1858" s="31" t="str">
        <f>IF(OR(B1858="",C1858=""),"",IFERROR(E1858*IF(E1858="",0,VLOOKUP(C1858,'📦 Precios Proforma'!$B$5:$D$104,IF(D1858="DIA",2,3),FALSE)),0))</f>
        <v/>
      </c>
      <c r="J1858" s="31" t="str">
        <f t="shared" si="197"/>
        <v/>
      </c>
      <c r="K1858" s="31" t="str">
        <f t="shared" si="198"/>
        <v/>
      </c>
      <c r="L1858" s="31" t="str">
        <f>IF(OR(B1858="",C1858=""),"",IFERROR(E1858 / SUMIFS('📅 Resumen Diario'!$D$5:$D$504, '📅 Resumen Diario'!$B$5:$B$504, B1858, '📅 Resumen Diario'!$C$5:$C$504, D1858) * SUMIFS('📅 Resumen Diario'!$K$5:$K$504, '📅 Resumen Diario'!$B$5:$B$504, B1858, '📅 Resumen Diario'!$C$5:$C$504, D1858), 0))</f>
        <v/>
      </c>
      <c r="M1858" s="31" t="str">
        <f t="shared" si="199"/>
        <v/>
      </c>
      <c r="N1858" s="31" t="str">
        <f t="shared" si="200"/>
        <v/>
      </c>
      <c r="O1858" s="31" t="str">
        <f>IF(OR(B1858="",C1858=""),"",K1858-N1858 + IFERROR(E1858 / SUMIFS('📅 Resumen Diario'!$D$5:$D$504, '📅 Resumen Diario'!$B$5:$B$504, B1858, '📅 Resumen Diario'!$C$5:$C$504, D1858) * (SUMIFS('📋 Detalle Diario'!$E$5:$E$489, '📋 Detalle Diario'!$B$5:$B$489, B1858, '📋 Detalle Diario'!$C$5:$C$489, D1858) * 135 + SUMIFS('📋 Detalle Diario'!$I$5:$I$489, '📋 Detalle Diario'!$B$5:$B$489, B1858, '📋 Detalle Diario'!$C$5:$C$489, D1858) * 200), 0))</f>
        <v/>
      </c>
      <c r="P1858" s="32" t="str">
        <f t="shared" si="201"/>
        <v/>
      </c>
      <c r="Q1858" s="33" t="str">
        <f t="shared" si="202"/>
        <v/>
      </c>
    </row>
    <row r="1859" spans="2:17" ht="18" customHeight="1" x14ac:dyDescent="0.3">
      <c r="B1859" s="26"/>
      <c r="C1859" s="28"/>
      <c r="D1859" s="27"/>
      <c r="E1859" s="29"/>
      <c r="F1859" s="29"/>
      <c r="G1859" s="29"/>
      <c r="H1859" s="30" t="str">
        <f t="shared" si="196"/>
        <v/>
      </c>
      <c r="I1859" s="31" t="str">
        <f>IF(OR(B1859="",C1859=""),"",IFERROR(E1859*IF(E1859="",0,VLOOKUP(C1859,'📦 Precios Proforma'!$B$5:$D$104,IF(D1859="DIA",2,3),FALSE)),0))</f>
        <v/>
      </c>
      <c r="J1859" s="31" t="str">
        <f t="shared" si="197"/>
        <v/>
      </c>
      <c r="K1859" s="31" t="str">
        <f t="shared" si="198"/>
        <v/>
      </c>
      <c r="L1859" s="31" t="str">
        <f>IF(OR(B1859="",C1859=""),"",IFERROR(E1859 / SUMIFS('📅 Resumen Diario'!$D$5:$D$504, '📅 Resumen Diario'!$B$5:$B$504, B1859, '📅 Resumen Diario'!$C$5:$C$504, D1859) * SUMIFS('📅 Resumen Diario'!$K$5:$K$504, '📅 Resumen Diario'!$B$5:$B$504, B1859, '📅 Resumen Diario'!$C$5:$C$504, D1859), 0))</f>
        <v/>
      </c>
      <c r="M1859" s="31" t="str">
        <f t="shared" si="199"/>
        <v/>
      </c>
      <c r="N1859" s="31" t="str">
        <f t="shared" si="200"/>
        <v/>
      </c>
      <c r="O1859" s="31" t="str">
        <f>IF(OR(B1859="",C1859=""),"",K1859-N1859 + IFERROR(E1859 / SUMIFS('📅 Resumen Diario'!$D$5:$D$504, '📅 Resumen Diario'!$B$5:$B$504, B1859, '📅 Resumen Diario'!$C$5:$C$504, D1859) * (SUMIFS('📋 Detalle Diario'!$E$5:$E$489, '📋 Detalle Diario'!$B$5:$B$489, B1859, '📋 Detalle Diario'!$C$5:$C$489, D1859) * 135 + SUMIFS('📋 Detalle Diario'!$I$5:$I$489, '📋 Detalle Diario'!$B$5:$B$489, B1859, '📋 Detalle Diario'!$C$5:$C$489, D1859) * 200), 0))</f>
        <v/>
      </c>
      <c r="P1859" s="32" t="str">
        <f t="shared" si="201"/>
        <v/>
      </c>
      <c r="Q1859" s="33" t="str">
        <f t="shared" si="202"/>
        <v/>
      </c>
    </row>
    <row r="1860" spans="2:17" ht="18" customHeight="1" x14ac:dyDescent="0.3">
      <c r="B1860" s="26"/>
      <c r="C1860" s="17"/>
      <c r="D1860" s="27"/>
      <c r="E1860" s="18"/>
      <c r="F1860" s="18"/>
      <c r="G1860" s="18"/>
      <c r="H1860" s="30" t="str">
        <f t="shared" si="196"/>
        <v/>
      </c>
      <c r="I1860" s="31" t="str">
        <f>IF(OR(B1860="",C1860=""),"",IFERROR(E1860*IF(E1860="",0,VLOOKUP(C1860,'📦 Precios Proforma'!$B$5:$D$104,IF(D1860="DIA",2,3),FALSE)),0))</f>
        <v/>
      </c>
      <c r="J1860" s="31" t="str">
        <f t="shared" si="197"/>
        <v/>
      </c>
      <c r="K1860" s="31" t="str">
        <f t="shared" si="198"/>
        <v/>
      </c>
      <c r="L1860" s="31" t="str">
        <f>IF(OR(B1860="",C1860=""),"",IFERROR(E1860 / SUMIFS('📅 Resumen Diario'!$D$5:$D$504, '📅 Resumen Diario'!$B$5:$B$504, B1860, '📅 Resumen Diario'!$C$5:$C$504, D1860) * SUMIFS('📅 Resumen Diario'!$K$5:$K$504, '📅 Resumen Diario'!$B$5:$B$504, B1860, '📅 Resumen Diario'!$C$5:$C$504, D1860), 0))</f>
        <v/>
      </c>
      <c r="M1860" s="31" t="str">
        <f t="shared" si="199"/>
        <v/>
      </c>
      <c r="N1860" s="31" t="str">
        <f t="shared" si="200"/>
        <v/>
      </c>
      <c r="O1860" s="31" t="str">
        <f>IF(OR(B1860="",C1860=""),"",K1860-N1860 + IFERROR(E1860 / SUMIFS('📅 Resumen Diario'!$D$5:$D$504, '📅 Resumen Diario'!$B$5:$B$504, B1860, '📅 Resumen Diario'!$C$5:$C$504, D1860) * (SUMIFS('📋 Detalle Diario'!$E$5:$E$489, '📋 Detalle Diario'!$B$5:$B$489, B1860, '📋 Detalle Diario'!$C$5:$C$489, D1860) * 135 + SUMIFS('📋 Detalle Diario'!$I$5:$I$489, '📋 Detalle Diario'!$B$5:$B$489, B1860, '📋 Detalle Diario'!$C$5:$C$489, D1860) * 200), 0))</f>
        <v/>
      </c>
      <c r="P1860" s="32" t="str">
        <f t="shared" si="201"/>
        <v/>
      </c>
      <c r="Q1860" s="33" t="str">
        <f t="shared" si="202"/>
        <v/>
      </c>
    </row>
    <row r="1861" spans="2:17" ht="18" customHeight="1" x14ac:dyDescent="0.3">
      <c r="B1861" s="26"/>
      <c r="C1861" s="28"/>
      <c r="D1861" s="27"/>
      <c r="E1861" s="29"/>
      <c r="F1861" s="29"/>
      <c r="G1861" s="29"/>
      <c r="H1861" s="30" t="str">
        <f t="shared" si="196"/>
        <v/>
      </c>
      <c r="I1861" s="31" t="str">
        <f>IF(OR(B1861="",C1861=""),"",IFERROR(E1861*IF(E1861="",0,VLOOKUP(C1861,'📦 Precios Proforma'!$B$5:$D$104,IF(D1861="DIA",2,3),FALSE)),0))</f>
        <v/>
      </c>
      <c r="J1861" s="31" t="str">
        <f t="shared" si="197"/>
        <v/>
      </c>
      <c r="K1861" s="31" t="str">
        <f t="shared" si="198"/>
        <v/>
      </c>
      <c r="L1861" s="31" t="str">
        <f>IF(OR(B1861="",C1861=""),"",IFERROR(E1861 / SUMIFS('📅 Resumen Diario'!$D$5:$D$504, '📅 Resumen Diario'!$B$5:$B$504, B1861, '📅 Resumen Diario'!$C$5:$C$504, D1861) * SUMIFS('📅 Resumen Diario'!$K$5:$K$504, '📅 Resumen Diario'!$B$5:$B$504, B1861, '📅 Resumen Diario'!$C$5:$C$504, D1861), 0))</f>
        <v/>
      </c>
      <c r="M1861" s="31" t="str">
        <f t="shared" si="199"/>
        <v/>
      </c>
      <c r="N1861" s="31" t="str">
        <f t="shared" si="200"/>
        <v/>
      </c>
      <c r="O1861" s="31" t="str">
        <f>IF(OR(B1861="",C1861=""),"",K1861-N1861 + IFERROR(E1861 / SUMIFS('📅 Resumen Diario'!$D$5:$D$504, '📅 Resumen Diario'!$B$5:$B$504, B1861, '📅 Resumen Diario'!$C$5:$C$504, D1861) * (SUMIFS('📋 Detalle Diario'!$E$5:$E$489, '📋 Detalle Diario'!$B$5:$B$489, B1861, '📋 Detalle Diario'!$C$5:$C$489, D1861) * 135 + SUMIFS('📋 Detalle Diario'!$I$5:$I$489, '📋 Detalle Diario'!$B$5:$B$489, B1861, '📋 Detalle Diario'!$C$5:$C$489, D1861) * 200), 0))</f>
        <v/>
      </c>
      <c r="P1861" s="32" t="str">
        <f t="shared" si="201"/>
        <v/>
      </c>
      <c r="Q1861" s="33" t="str">
        <f t="shared" si="202"/>
        <v/>
      </c>
    </row>
    <row r="1862" spans="2:17" ht="18" customHeight="1" x14ac:dyDescent="0.3">
      <c r="B1862" s="26"/>
      <c r="C1862" s="17"/>
      <c r="D1862" s="27"/>
      <c r="E1862" s="18"/>
      <c r="F1862" s="18"/>
      <c r="G1862" s="18"/>
      <c r="H1862" s="30" t="str">
        <f t="shared" si="196"/>
        <v/>
      </c>
      <c r="I1862" s="31" t="str">
        <f>IF(OR(B1862="",C1862=""),"",IFERROR(E1862*IF(E1862="",0,VLOOKUP(C1862,'📦 Precios Proforma'!$B$5:$D$104,IF(D1862="DIA",2,3),FALSE)),0))</f>
        <v/>
      </c>
      <c r="J1862" s="31" t="str">
        <f t="shared" si="197"/>
        <v/>
      </c>
      <c r="K1862" s="31" t="str">
        <f t="shared" si="198"/>
        <v/>
      </c>
      <c r="L1862" s="31" t="str">
        <f>IF(OR(B1862="",C1862=""),"",IFERROR(E1862 / SUMIFS('📅 Resumen Diario'!$D$5:$D$504, '📅 Resumen Diario'!$B$5:$B$504, B1862, '📅 Resumen Diario'!$C$5:$C$504, D1862) * SUMIFS('📅 Resumen Diario'!$K$5:$K$504, '📅 Resumen Diario'!$B$5:$B$504, B1862, '📅 Resumen Diario'!$C$5:$C$504, D1862), 0))</f>
        <v/>
      </c>
      <c r="M1862" s="31" t="str">
        <f t="shared" si="199"/>
        <v/>
      </c>
      <c r="N1862" s="31" t="str">
        <f t="shared" si="200"/>
        <v/>
      </c>
      <c r="O1862" s="31" t="str">
        <f>IF(OR(B1862="",C1862=""),"",K1862-N1862 + IFERROR(E1862 / SUMIFS('📅 Resumen Diario'!$D$5:$D$504, '📅 Resumen Diario'!$B$5:$B$504, B1862, '📅 Resumen Diario'!$C$5:$C$504, D1862) * (SUMIFS('📋 Detalle Diario'!$E$5:$E$489, '📋 Detalle Diario'!$B$5:$B$489, B1862, '📋 Detalle Diario'!$C$5:$C$489, D1862) * 135 + SUMIFS('📋 Detalle Diario'!$I$5:$I$489, '📋 Detalle Diario'!$B$5:$B$489, B1862, '📋 Detalle Diario'!$C$5:$C$489, D1862) * 200), 0))</f>
        <v/>
      </c>
      <c r="P1862" s="32" t="str">
        <f t="shared" si="201"/>
        <v/>
      </c>
      <c r="Q1862" s="33" t="str">
        <f t="shared" si="202"/>
        <v/>
      </c>
    </row>
    <row r="1863" spans="2:17" ht="18" customHeight="1" x14ac:dyDescent="0.3">
      <c r="B1863" s="26"/>
      <c r="C1863" s="28"/>
      <c r="D1863" s="27"/>
      <c r="E1863" s="29"/>
      <c r="F1863" s="29"/>
      <c r="G1863" s="29"/>
      <c r="H1863" s="30" t="str">
        <f t="shared" ref="H1863:H1926" si="203">IF(OR(B1863="",C1863=""),"",F1863+G1863)</f>
        <v/>
      </c>
      <c r="I1863" s="31" t="str">
        <f>IF(OR(B1863="",C1863=""),"",IFERROR(E1863*IF(E1863="",0,VLOOKUP(C1863,'📦 Precios Proforma'!$B$5:$D$104,IF(D1863="DIA",2,3),FALSE)),0))</f>
        <v/>
      </c>
      <c r="J1863" s="31" t="str">
        <f t="shared" ref="J1863:J1926" si="204">IF(OR(B1863="",C1863=""),"",IF(D1863="DIA",H1863*1.01,H1863*1.35))</f>
        <v/>
      </c>
      <c r="K1863" s="31" t="str">
        <f t="shared" ref="K1863:K1926" si="205">IF(OR(B1863="",C1863=""),"",I1863+J1863)</f>
        <v/>
      </c>
      <c r="L1863" s="31" t="str">
        <f>IF(OR(B1863="",C1863=""),"",IFERROR(E1863 / SUMIFS('📅 Resumen Diario'!$D$5:$D$504, '📅 Resumen Diario'!$B$5:$B$504, B1863, '📅 Resumen Diario'!$C$5:$C$504, D1863) * SUMIFS('📅 Resumen Diario'!$K$5:$K$504, '📅 Resumen Diario'!$B$5:$B$504, B1863, '📅 Resumen Diario'!$C$5:$C$504, D1863), 0))</f>
        <v/>
      </c>
      <c r="M1863" s="31" t="str">
        <f t="shared" ref="M1863:M1926" si="206">IF(OR(B1863="",C1863=""),"",H1863*0.09)</f>
        <v/>
      </c>
      <c r="N1863" s="31" t="str">
        <f t="shared" ref="N1863:N1926" si="207">IF(OR(B1863="",C1863=""),"",L1863+M1863)</f>
        <v/>
      </c>
      <c r="O1863" s="31" t="str">
        <f>IF(OR(B1863="",C1863=""),"",K1863-N1863 + IFERROR(E1863 / SUMIFS('📅 Resumen Diario'!$D$5:$D$504, '📅 Resumen Diario'!$B$5:$B$504, B1863, '📅 Resumen Diario'!$C$5:$C$504, D1863) * (SUMIFS('📋 Detalle Diario'!$E$5:$E$489, '📋 Detalle Diario'!$B$5:$B$489, B1863, '📋 Detalle Diario'!$C$5:$C$489, D1863) * 135 + SUMIFS('📋 Detalle Diario'!$I$5:$I$489, '📋 Detalle Diario'!$B$5:$B$489, B1863, '📋 Detalle Diario'!$C$5:$C$489, D1863) * 200), 0))</f>
        <v/>
      </c>
      <c r="P1863" s="32" t="str">
        <f t="shared" ref="P1863:P1926" si="208">IF(OR(B1863="",C1863=""),"",IF(K1863=0, 0, O1863/K1863))</f>
        <v/>
      </c>
      <c r="Q1863" s="33" t="str">
        <f t="shared" ref="Q1863:Q1926" si="209">IF(B1863="","",IF(ISNUMBER(B1863),YEAR(B1863)&amp;"-"&amp;IF(MONTH(B1863)&lt;10,"0","")&amp;MONTH(B1863),LEFT(B1863,7)))</f>
        <v/>
      </c>
    </row>
    <row r="1864" spans="2:17" ht="18" customHeight="1" x14ac:dyDescent="0.3">
      <c r="B1864" s="26"/>
      <c r="C1864" s="17"/>
      <c r="D1864" s="27"/>
      <c r="E1864" s="18"/>
      <c r="F1864" s="18"/>
      <c r="G1864" s="18"/>
      <c r="H1864" s="30" t="str">
        <f t="shared" si="203"/>
        <v/>
      </c>
      <c r="I1864" s="31" t="str">
        <f>IF(OR(B1864="",C1864=""),"",IFERROR(E1864*IF(E1864="",0,VLOOKUP(C1864,'📦 Precios Proforma'!$B$5:$D$104,IF(D1864="DIA",2,3),FALSE)),0))</f>
        <v/>
      </c>
      <c r="J1864" s="31" t="str">
        <f t="shared" si="204"/>
        <v/>
      </c>
      <c r="K1864" s="31" t="str">
        <f t="shared" si="205"/>
        <v/>
      </c>
      <c r="L1864" s="31" t="str">
        <f>IF(OR(B1864="",C1864=""),"",IFERROR(E1864 / SUMIFS('📅 Resumen Diario'!$D$5:$D$504, '📅 Resumen Diario'!$B$5:$B$504, B1864, '📅 Resumen Diario'!$C$5:$C$504, D1864) * SUMIFS('📅 Resumen Diario'!$K$5:$K$504, '📅 Resumen Diario'!$B$5:$B$504, B1864, '📅 Resumen Diario'!$C$5:$C$504, D1864), 0))</f>
        <v/>
      </c>
      <c r="M1864" s="31" t="str">
        <f t="shared" si="206"/>
        <v/>
      </c>
      <c r="N1864" s="31" t="str">
        <f t="shared" si="207"/>
        <v/>
      </c>
      <c r="O1864" s="31" t="str">
        <f>IF(OR(B1864="",C1864=""),"",K1864-N1864 + IFERROR(E1864 / SUMIFS('📅 Resumen Diario'!$D$5:$D$504, '📅 Resumen Diario'!$B$5:$B$504, B1864, '📅 Resumen Diario'!$C$5:$C$504, D1864) * (SUMIFS('📋 Detalle Diario'!$E$5:$E$489, '📋 Detalle Diario'!$B$5:$B$489, B1864, '📋 Detalle Diario'!$C$5:$C$489, D1864) * 135 + SUMIFS('📋 Detalle Diario'!$I$5:$I$489, '📋 Detalle Diario'!$B$5:$B$489, B1864, '📋 Detalle Diario'!$C$5:$C$489, D1864) * 200), 0))</f>
        <v/>
      </c>
      <c r="P1864" s="32" t="str">
        <f t="shared" si="208"/>
        <v/>
      </c>
      <c r="Q1864" s="33" t="str">
        <f t="shared" si="209"/>
        <v/>
      </c>
    </row>
    <row r="1865" spans="2:17" ht="18" customHeight="1" x14ac:dyDescent="0.3">
      <c r="B1865" s="26"/>
      <c r="C1865" s="28"/>
      <c r="D1865" s="27"/>
      <c r="E1865" s="29"/>
      <c r="F1865" s="29"/>
      <c r="G1865" s="29"/>
      <c r="H1865" s="30" t="str">
        <f t="shared" si="203"/>
        <v/>
      </c>
      <c r="I1865" s="31" t="str">
        <f>IF(OR(B1865="",C1865=""),"",IFERROR(E1865*IF(E1865="",0,VLOOKUP(C1865,'📦 Precios Proforma'!$B$5:$D$104,IF(D1865="DIA",2,3),FALSE)),0))</f>
        <v/>
      </c>
      <c r="J1865" s="31" t="str">
        <f t="shared" si="204"/>
        <v/>
      </c>
      <c r="K1865" s="31" t="str">
        <f t="shared" si="205"/>
        <v/>
      </c>
      <c r="L1865" s="31" t="str">
        <f>IF(OR(B1865="",C1865=""),"",IFERROR(E1865 / SUMIFS('📅 Resumen Diario'!$D$5:$D$504, '📅 Resumen Diario'!$B$5:$B$504, B1865, '📅 Resumen Diario'!$C$5:$C$504, D1865) * SUMIFS('📅 Resumen Diario'!$K$5:$K$504, '📅 Resumen Diario'!$B$5:$B$504, B1865, '📅 Resumen Diario'!$C$5:$C$504, D1865), 0))</f>
        <v/>
      </c>
      <c r="M1865" s="31" t="str">
        <f t="shared" si="206"/>
        <v/>
      </c>
      <c r="N1865" s="31" t="str">
        <f t="shared" si="207"/>
        <v/>
      </c>
      <c r="O1865" s="31" t="str">
        <f>IF(OR(B1865="",C1865=""),"",K1865-N1865 + IFERROR(E1865 / SUMIFS('📅 Resumen Diario'!$D$5:$D$504, '📅 Resumen Diario'!$B$5:$B$504, B1865, '📅 Resumen Diario'!$C$5:$C$504, D1865) * (SUMIFS('📋 Detalle Diario'!$E$5:$E$489, '📋 Detalle Diario'!$B$5:$B$489, B1865, '📋 Detalle Diario'!$C$5:$C$489, D1865) * 135 + SUMIFS('📋 Detalle Diario'!$I$5:$I$489, '📋 Detalle Diario'!$B$5:$B$489, B1865, '📋 Detalle Diario'!$C$5:$C$489, D1865) * 200), 0))</f>
        <v/>
      </c>
      <c r="P1865" s="32" t="str">
        <f t="shared" si="208"/>
        <v/>
      </c>
      <c r="Q1865" s="33" t="str">
        <f t="shared" si="209"/>
        <v/>
      </c>
    </row>
    <row r="1866" spans="2:17" ht="18" customHeight="1" x14ac:dyDescent="0.3">
      <c r="B1866" s="26"/>
      <c r="C1866" s="17"/>
      <c r="D1866" s="27"/>
      <c r="E1866" s="18"/>
      <c r="F1866" s="18"/>
      <c r="G1866" s="18"/>
      <c r="H1866" s="30" t="str">
        <f t="shared" si="203"/>
        <v/>
      </c>
      <c r="I1866" s="31" t="str">
        <f>IF(OR(B1866="",C1866=""),"",IFERROR(E1866*IF(E1866="",0,VLOOKUP(C1866,'📦 Precios Proforma'!$B$5:$D$104,IF(D1866="DIA",2,3),FALSE)),0))</f>
        <v/>
      </c>
      <c r="J1866" s="31" t="str">
        <f t="shared" si="204"/>
        <v/>
      </c>
      <c r="K1866" s="31" t="str">
        <f t="shared" si="205"/>
        <v/>
      </c>
      <c r="L1866" s="31" t="str">
        <f>IF(OR(B1866="",C1866=""),"",IFERROR(E1866 / SUMIFS('📅 Resumen Diario'!$D$5:$D$504, '📅 Resumen Diario'!$B$5:$B$504, B1866, '📅 Resumen Diario'!$C$5:$C$504, D1866) * SUMIFS('📅 Resumen Diario'!$K$5:$K$504, '📅 Resumen Diario'!$B$5:$B$504, B1866, '📅 Resumen Diario'!$C$5:$C$504, D1866), 0))</f>
        <v/>
      </c>
      <c r="M1866" s="31" t="str">
        <f t="shared" si="206"/>
        <v/>
      </c>
      <c r="N1866" s="31" t="str">
        <f t="shared" si="207"/>
        <v/>
      </c>
      <c r="O1866" s="31" t="str">
        <f>IF(OR(B1866="",C1866=""),"",K1866-N1866 + IFERROR(E1866 / SUMIFS('📅 Resumen Diario'!$D$5:$D$504, '📅 Resumen Diario'!$B$5:$B$504, B1866, '📅 Resumen Diario'!$C$5:$C$504, D1866) * (SUMIFS('📋 Detalle Diario'!$E$5:$E$489, '📋 Detalle Diario'!$B$5:$B$489, B1866, '📋 Detalle Diario'!$C$5:$C$489, D1866) * 135 + SUMIFS('📋 Detalle Diario'!$I$5:$I$489, '📋 Detalle Diario'!$B$5:$B$489, B1866, '📋 Detalle Diario'!$C$5:$C$489, D1866) * 200), 0))</f>
        <v/>
      </c>
      <c r="P1866" s="32" t="str">
        <f t="shared" si="208"/>
        <v/>
      </c>
      <c r="Q1866" s="33" t="str">
        <f t="shared" si="209"/>
        <v/>
      </c>
    </row>
    <row r="1867" spans="2:17" ht="18" customHeight="1" x14ac:dyDescent="0.3">
      <c r="B1867" s="26"/>
      <c r="C1867" s="28"/>
      <c r="D1867" s="27"/>
      <c r="E1867" s="29"/>
      <c r="F1867" s="29"/>
      <c r="G1867" s="29"/>
      <c r="H1867" s="30" t="str">
        <f t="shared" si="203"/>
        <v/>
      </c>
      <c r="I1867" s="31" t="str">
        <f>IF(OR(B1867="",C1867=""),"",IFERROR(E1867*IF(E1867="",0,VLOOKUP(C1867,'📦 Precios Proforma'!$B$5:$D$104,IF(D1867="DIA",2,3),FALSE)),0))</f>
        <v/>
      </c>
      <c r="J1867" s="31" t="str">
        <f t="shared" si="204"/>
        <v/>
      </c>
      <c r="K1867" s="31" t="str">
        <f t="shared" si="205"/>
        <v/>
      </c>
      <c r="L1867" s="31" t="str">
        <f>IF(OR(B1867="",C1867=""),"",IFERROR(E1867 / SUMIFS('📅 Resumen Diario'!$D$5:$D$504, '📅 Resumen Diario'!$B$5:$B$504, B1867, '📅 Resumen Diario'!$C$5:$C$504, D1867) * SUMIFS('📅 Resumen Diario'!$K$5:$K$504, '📅 Resumen Diario'!$B$5:$B$504, B1867, '📅 Resumen Diario'!$C$5:$C$504, D1867), 0))</f>
        <v/>
      </c>
      <c r="M1867" s="31" t="str">
        <f t="shared" si="206"/>
        <v/>
      </c>
      <c r="N1867" s="31" t="str">
        <f t="shared" si="207"/>
        <v/>
      </c>
      <c r="O1867" s="31" t="str">
        <f>IF(OR(B1867="",C1867=""),"",K1867-N1867 + IFERROR(E1867 / SUMIFS('📅 Resumen Diario'!$D$5:$D$504, '📅 Resumen Diario'!$B$5:$B$504, B1867, '📅 Resumen Diario'!$C$5:$C$504, D1867) * (SUMIFS('📋 Detalle Diario'!$E$5:$E$489, '📋 Detalle Diario'!$B$5:$B$489, B1867, '📋 Detalle Diario'!$C$5:$C$489, D1867) * 135 + SUMIFS('📋 Detalle Diario'!$I$5:$I$489, '📋 Detalle Diario'!$B$5:$B$489, B1867, '📋 Detalle Diario'!$C$5:$C$489, D1867) * 200), 0))</f>
        <v/>
      </c>
      <c r="P1867" s="32" t="str">
        <f t="shared" si="208"/>
        <v/>
      </c>
      <c r="Q1867" s="33" t="str">
        <f t="shared" si="209"/>
        <v/>
      </c>
    </row>
    <row r="1868" spans="2:17" ht="18" customHeight="1" x14ac:dyDescent="0.3">
      <c r="B1868" s="26"/>
      <c r="C1868" s="17"/>
      <c r="D1868" s="27"/>
      <c r="E1868" s="18"/>
      <c r="F1868" s="18"/>
      <c r="G1868" s="18"/>
      <c r="H1868" s="30" t="str">
        <f t="shared" si="203"/>
        <v/>
      </c>
      <c r="I1868" s="31" t="str">
        <f>IF(OR(B1868="",C1868=""),"",IFERROR(E1868*IF(E1868="",0,VLOOKUP(C1868,'📦 Precios Proforma'!$B$5:$D$104,IF(D1868="DIA",2,3),FALSE)),0))</f>
        <v/>
      </c>
      <c r="J1868" s="31" t="str">
        <f t="shared" si="204"/>
        <v/>
      </c>
      <c r="K1868" s="31" t="str">
        <f t="shared" si="205"/>
        <v/>
      </c>
      <c r="L1868" s="31" t="str">
        <f>IF(OR(B1868="",C1868=""),"",IFERROR(E1868 / SUMIFS('📅 Resumen Diario'!$D$5:$D$504, '📅 Resumen Diario'!$B$5:$B$504, B1868, '📅 Resumen Diario'!$C$5:$C$504, D1868) * SUMIFS('📅 Resumen Diario'!$K$5:$K$504, '📅 Resumen Diario'!$B$5:$B$504, B1868, '📅 Resumen Diario'!$C$5:$C$504, D1868), 0))</f>
        <v/>
      </c>
      <c r="M1868" s="31" t="str">
        <f t="shared" si="206"/>
        <v/>
      </c>
      <c r="N1868" s="31" t="str">
        <f t="shared" si="207"/>
        <v/>
      </c>
      <c r="O1868" s="31" t="str">
        <f>IF(OR(B1868="",C1868=""),"",K1868-N1868 + IFERROR(E1868 / SUMIFS('📅 Resumen Diario'!$D$5:$D$504, '📅 Resumen Diario'!$B$5:$B$504, B1868, '📅 Resumen Diario'!$C$5:$C$504, D1868) * (SUMIFS('📋 Detalle Diario'!$E$5:$E$489, '📋 Detalle Diario'!$B$5:$B$489, B1868, '📋 Detalle Diario'!$C$5:$C$489, D1868) * 135 + SUMIFS('📋 Detalle Diario'!$I$5:$I$489, '📋 Detalle Diario'!$B$5:$B$489, B1868, '📋 Detalle Diario'!$C$5:$C$489, D1868) * 200), 0))</f>
        <v/>
      </c>
      <c r="P1868" s="32" t="str">
        <f t="shared" si="208"/>
        <v/>
      </c>
      <c r="Q1868" s="33" t="str">
        <f t="shared" si="209"/>
        <v/>
      </c>
    </row>
    <row r="1869" spans="2:17" ht="18" customHeight="1" x14ac:dyDescent="0.3">
      <c r="B1869" s="26"/>
      <c r="C1869" s="28"/>
      <c r="D1869" s="27"/>
      <c r="E1869" s="29"/>
      <c r="F1869" s="29"/>
      <c r="G1869" s="29"/>
      <c r="H1869" s="30" t="str">
        <f t="shared" si="203"/>
        <v/>
      </c>
      <c r="I1869" s="31" t="str">
        <f>IF(OR(B1869="",C1869=""),"",IFERROR(E1869*IF(E1869="",0,VLOOKUP(C1869,'📦 Precios Proforma'!$B$5:$D$104,IF(D1869="DIA",2,3),FALSE)),0))</f>
        <v/>
      </c>
      <c r="J1869" s="31" t="str">
        <f t="shared" si="204"/>
        <v/>
      </c>
      <c r="K1869" s="31" t="str">
        <f t="shared" si="205"/>
        <v/>
      </c>
      <c r="L1869" s="31" t="str">
        <f>IF(OR(B1869="",C1869=""),"",IFERROR(E1869 / SUMIFS('📅 Resumen Diario'!$D$5:$D$504, '📅 Resumen Diario'!$B$5:$B$504, B1869, '📅 Resumen Diario'!$C$5:$C$504, D1869) * SUMIFS('📅 Resumen Diario'!$K$5:$K$504, '📅 Resumen Diario'!$B$5:$B$504, B1869, '📅 Resumen Diario'!$C$5:$C$504, D1869), 0))</f>
        <v/>
      </c>
      <c r="M1869" s="31" t="str">
        <f t="shared" si="206"/>
        <v/>
      </c>
      <c r="N1869" s="31" t="str">
        <f t="shared" si="207"/>
        <v/>
      </c>
      <c r="O1869" s="31" t="str">
        <f>IF(OR(B1869="",C1869=""),"",K1869-N1869 + IFERROR(E1869 / SUMIFS('📅 Resumen Diario'!$D$5:$D$504, '📅 Resumen Diario'!$B$5:$B$504, B1869, '📅 Resumen Diario'!$C$5:$C$504, D1869) * (SUMIFS('📋 Detalle Diario'!$E$5:$E$489, '📋 Detalle Diario'!$B$5:$B$489, B1869, '📋 Detalle Diario'!$C$5:$C$489, D1869) * 135 + SUMIFS('📋 Detalle Diario'!$I$5:$I$489, '📋 Detalle Diario'!$B$5:$B$489, B1869, '📋 Detalle Diario'!$C$5:$C$489, D1869) * 200), 0))</f>
        <v/>
      </c>
      <c r="P1869" s="32" t="str">
        <f t="shared" si="208"/>
        <v/>
      </c>
      <c r="Q1869" s="33" t="str">
        <f t="shared" si="209"/>
        <v/>
      </c>
    </row>
    <row r="1870" spans="2:17" ht="18" customHeight="1" x14ac:dyDescent="0.3">
      <c r="B1870" s="26"/>
      <c r="C1870" s="17"/>
      <c r="D1870" s="27"/>
      <c r="E1870" s="18"/>
      <c r="F1870" s="18"/>
      <c r="G1870" s="18"/>
      <c r="H1870" s="30" t="str">
        <f t="shared" si="203"/>
        <v/>
      </c>
      <c r="I1870" s="31" t="str">
        <f>IF(OR(B1870="",C1870=""),"",IFERROR(E1870*IF(E1870="",0,VLOOKUP(C1870,'📦 Precios Proforma'!$B$5:$D$104,IF(D1870="DIA",2,3),FALSE)),0))</f>
        <v/>
      </c>
      <c r="J1870" s="31" t="str">
        <f t="shared" si="204"/>
        <v/>
      </c>
      <c r="K1870" s="31" t="str">
        <f t="shared" si="205"/>
        <v/>
      </c>
      <c r="L1870" s="31" t="str">
        <f>IF(OR(B1870="",C1870=""),"",IFERROR(E1870 / SUMIFS('📅 Resumen Diario'!$D$5:$D$504, '📅 Resumen Diario'!$B$5:$B$504, B1870, '📅 Resumen Diario'!$C$5:$C$504, D1870) * SUMIFS('📅 Resumen Diario'!$K$5:$K$504, '📅 Resumen Diario'!$B$5:$B$504, B1870, '📅 Resumen Diario'!$C$5:$C$504, D1870), 0))</f>
        <v/>
      </c>
      <c r="M1870" s="31" t="str">
        <f t="shared" si="206"/>
        <v/>
      </c>
      <c r="N1870" s="31" t="str">
        <f t="shared" si="207"/>
        <v/>
      </c>
      <c r="O1870" s="31" t="str">
        <f>IF(OR(B1870="",C1870=""),"",K1870-N1870 + IFERROR(E1870 / SUMIFS('📅 Resumen Diario'!$D$5:$D$504, '📅 Resumen Diario'!$B$5:$B$504, B1870, '📅 Resumen Diario'!$C$5:$C$504, D1870) * (SUMIFS('📋 Detalle Diario'!$E$5:$E$489, '📋 Detalle Diario'!$B$5:$B$489, B1870, '📋 Detalle Diario'!$C$5:$C$489, D1870) * 135 + SUMIFS('📋 Detalle Diario'!$I$5:$I$489, '📋 Detalle Diario'!$B$5:$B$489, B1870, '📋 Detalle Diario'!$C$5:$C$489, D1870) * 200), 0))</f>
        <v/>
      </c>
      <c r="P1870" s="32" t="str">
        <f t="shared" si="208"/>
        <v/>
      </c>
      <c r="Q1870" s="33" t="str">
        <f t="shared" si="209"/>
        <v/>
      </c>
    </row>
    <row r="1871" spans="2:17" ht="18" customHeight="1" x14ac:dyDescent="0.3">
      <c r="B1871" s="26"/>
      <c r="C1871" s="28"/>
      <c r="D1871" s="27"/>
      <c r="E1871" s="29"/>
      <c r="F1871" s="29"/>
      <c r="G1871" s="29"/>
      <c r="H1871" s="30" t="str">
        <f t="shared" si="203"/>
        <v/>
      </c>
      <c r="I1871" s="31" t="str">
        <f>IF(OR(B1871="",C1871=""),"",IFERROR(E1871*IF(E1871="",0,VLOOKUP(C1871,'📦 Precios Proforma'!$B$5:$D$104,IF(D1871="DIA",2,3),FALSE)),0))</f>
        <v/>
      </c>
      <c r="J1871" s="31" t="str">
        <f t="shared" si="204"/>
        <v/>
      </c>
      <c r="K1871" s="31" t="str">
        <f t="shared" si="205"/>
        <v/>
      </c>
      <c r="L1871" s="31" t="str">
        <f>IF(OR(B1871="",C1871=""),"",IFERROR(E1871 / SUMIFS('📅 Resumen Diario'!$D$5:$D$504, '📅 Resumen Diario'!$B$5:$B$504, B1871, '📅 Resumen Diario'!$C$5:$C$504, D1871) * SUMIFS('📅 Resumen Diario'!$K$5:$K$504, '📅 Resumen Diario'!$B$5:$B$504, B1871, '📅 Resumen Diario'!$C$5:$C$504, D1871), 0))</f>
        <v/>
      </c>
      <c r="M1871" s="31" t="str">
        <f t="shared" si="206"/>
        <v/>
      </c>
      <c r="N1871" s="31" t="str">
        <f t="shared" si="207"/>
        <v/>
      </c>
      <c r="O1871" s="31" t="str">
        <f>IF(OR(B1871="",C1871=""),"",K1871-N1871 + IFERROR(E1871 / SUMIFS('📅 Resumen Diario'!$D$5:$D$504, '📅 Resumen Diario'!$B$5:$B$504, B1871, '📅 Resumen Diario'!$C$5:$C$504, D1871) * (SUMIFS('📋 Detalle Diario'!$E$5:$E$489, '📋 Detalle Diario'!$B$5:$B$489, B1871, '📋 Detalle Diario'!$C$5:$C$489, D1871) * 135 + SUMIFS('📋 Detalle Diario'!$I$5:$I$489, '📋 Detalle Diario'!$B$5:$B$489, B1871, '📋 Detalle Diario'!$C$5:$C$489, D1871) * 200), 0))</f>
        <v/>
      </c>
      <c r="P1871" s="32" t="str">
        <f t="shared" si="208"/>
        <v/>
      </c>
      <c r="Q1871" s="33" t="str">
        <f t="shared" si="209"/>
        <v/>
      </c>
    </row>
    <row r="1872" spans="2:17" ht="18" customHeight="1" x14ac:dyDescent="0.3">
      <c r="B1872" s="26"/>
      <c r="C1872" s="17"/>
      <c r="D1872" s="27"/>
      <c r="E1872" s="18"/>
      <c r="F1872" s="18"/>
      <c r="G1872" s="18"/>
      <c r="H1872" s="30" t="str">
        <f t="shared" si="203"/>
        <v/>
      </c>
      <c r="I1872" s="31" t="str">
        <f>IF(OR(B1872="",C1872=""),"",IFERROR(E1872*IF(E1872="",0,VLOOKUP(C1872,'📦 Precios Proforma'!$B$5:$D$104,IF(D1872="DIA",2,3),FALSE)),0))</f>
        <v/>
      </c>
      <c r="J1872" s="31" t="str">
        <f t="shared" si="204"/>
        <v/>
      </c>
      <c r="K1872" s="31" t="str">
        <f t="shared" si="205"/>
        <v/>
      </c>
      <c r="L1872" s="31" t="str">
        <f>IF(OR(B1872="",C1872=""),"",IFERROR(E1872 / SUMIFS('📅 Resumen Diario'!$D$5:$D$504, '📅 Resumen Diario'!$B$5:$B$504, B1872, '📅 Resumen Diario'!$C$5:$C$504, D1872) * SUMIFS('📅 Resumen Diario'!$K$5:$K$504, '📅 Resumen Diario'!$B$5:$B$504, B1872, '📅 Resumen Diario'!$C$5:$C$504, D1872), 0))</f>
        <v/>
      </c>
      <c r="M1872" s="31" t="str">
        <f t="shared" si="206"/>
        <v/>
      </c>
      <c r="N1872" s="31" t="str">
        <f t="shared" si="207"/>
        <v/>
      </c>
      <c r="O1872" s="31" t="str">
        <f>IF(OR(B1872="",C1872=""),"",K1872-N1872 + IFERROR(E1872 / SUMIFS('📅 Resumen Diario'!$D$5:$D$504, '📅 Resumen Diario'!$B$5:$B$504, B1872, '📅 Resumen Diario'!$C$5:$C$504, D1872) * (SUMIFS('📋 Detalle Diario'!$E$5:$E$489, '📋 Detalle Diario'!$B$5:$B$489, B1872, '📋 Detalle Diario'!$C$5:$C$489, D1872) * 135 + SUMIFS('📋 Detalle Diario'!$I$5:$I$489, '📋 Detalle Diario'!$B$5:$B$489, B1872, '📋 Detalle Diario'!$C$5:$C$489, D1872) * 200), 0))</f>
        <v/>
      </c>
      <c r="P1872" s="32" t="str">
        <f t="shared" si="208"/>
        <v/>
      </c>
      <c r="Q1872" s="33" t="str">
        <f t="shared" si="209"/>
        <v/>
      </c>
    </row>
    <row r="1873" spans="2:17" ht="18" customHeight="1" x14ac:dyDescent="0.3">
      <c r="B1873" s="26"/>
      <c r="C1873" s="28"/>
      <c r="D1873" s="27"/>
      <c r="E1873" s="29"/>
      <c r="F1873" s="29"/>
      <c r="G1873" s="29"/>
      <c r="H1873" s="30" t="str">
        <f t="shared" si="203"/>
        <v/>
      </c>
      <c r="I1873" s="31" t="str">
        <f>IF(OR(B1873="",C1873=""),"",IFERROR(E1873*IF(E1873="",0,VLOOKUP(C1873,'📦 Precios Proforma'!$B$5:$D$104,IF(D1873="DIA",2,3),FALSE)),0))</f>
        <v/>
      </c>
      <c r="J1873" s="31" t="str">
        <f t="shared" si="204"/>
        <v/>
      </c>
      <c r="K1873" s="31" t="str">
        <f t="shared" si="205"/>
        <v/>
      </c>
      <c r="L1873" s="31" t="str">
        <f>IF(OR(B1873="",C1873=""),"",IFERROR(E1873 / SUMIFS('📅 Resumen Diario'!$D$5:$D$504, '📅 Resumen Diario'!$B$5:$B$504, B1873, '📅 Resumen Diario'!$C$5:$C$504, D1873) * SUMIFS('📅 Resumen Diario'!$K$5:$K$504, '📅 Resumen Diario'!$B$5:$B$504, B1873, '📅 Resumen Diario'!$C$5:$C$504, D1873), 0))</f>
        <v/>
      </c>
      <c r="M1873" s="31" t="str">
        <f t="shared" si="206"/>
        <v/>
      </c>
      <c r="N1873" s="31" t="str">
        <f t="shared" si="207"/>
        <v/>
      </c>
      <c r="O1873" s="31" t="str">
        <f>IF(OR(B1873="",C1873=""),"",K1873-N1873 + IFERROR(E1873 / SUMIFS('📅 Resumen Diario'!$D$5:$D$504, '📅 Resumen Diario'!$B$5:$B$504, B1873, '📅 Resumen Diario'!$C$5:$C$504, D1873) * (SUMIFS('📋 Detalle Diario'!$E$5:$E$489, '📋 Detalle Diario'!$B$5:$B$489, B1873, '📋 Detalle Diario'!$C$5:$C$489, D1873) * 135 + SUMIFS('📋 Detalle Diario'!$I$5:$I$489, '📋 Detalle Diario'!$B$5:$B$489, B1873, '📋 Detalle Diario'!$C$5:$C$489, D1873) * 200), 0))</f>
        <v/>
      </c>
      <c r="P1873" s="32" t="str">
        <f t="shared" si="208"/>
        <v/>
      </c>
      <c r="Q1873" s="33" t="str">
        <f t="shared" si="209"/>
        <v/>
      </c>
    </row>
    <row r="1874" spans="2:17" ht="18" customHeight="1" x14ac:dyDescent="0.3">
      <c r="B1874" s="26"/>
      <c r="C1874" s="17"/>
      <c r="D1874" s="27"/>
      <c r="E1874" s="18"/>
      <c r="F1874" s="18"/>
      <c r="G1874" s="18"/>
      <c r="H1874" s="30" t="str">
        <f t="shared" si="203"/>
        <v/>
      </c>
      <c r="I1874" s="31" t="str">
        <f>IF(OR(B1874="",C1874=""),"",IFERROR(E1874*IF(E1874="",0,VLOOKUP(C1874,'📦 Precios Proforma'!$B$5:$D$104,IF(D1874="DIA",2,3),FALSE)),0))</f>
        <v/>
      </c>
      <c r="J1874" s="31" t="str">
        <f t="shared" si="204"/>
        <v/>
      </c>
      <c r="K1874" s="31" t="str">
        <f t="shared" si="205"/>
        <v/>
      </c>
      <c r="L1874" s="31" t="str">
        <f>IF(OR(B1874="",C1874=""),"",IFERROR(E1874 / SUMIFS('📅 Resumen Diario'!$D$5:$D$504, '📅 Resumen Diario'!$B$5:$B$504, B1874, '📅 Resumen Diario'!$C$5:$C$504, D1874) * SUMIFS('📅 Resumen Diario'!$K$5:$K$504, '📅 Resumen Diario'!$B$5:$B$504, B1874, '📅 Resumen Diario'!$C$5:$C$504, D1874), 0))</f>
        <v/>
      </c>
      <c r="M1874" s="31" t="str">
        <f t="shared" si="206"/>
        <v/>
      </c>
      <c r="N1874" s="31" t="str">
        <f t="shared" si="207"/>
        <v/>
      </c>
      <c r="O1874" s="31" t="str">
        <f>IF(OR(B1874="",C1874=""),"",K1874-N1874 + IFERROR(E1874 / SUMIFS('📅 Resumen Diario'!$D$5:$D$504, '📅 Resumen Diario'!$B$5:$B$504, B1874, '📅 Resumen Diario'!$C$5:$C$504, D1874) * (SUMIFS('📋 Detalle Diario'!$E$5:$E$489, '📋 Detalle Diario'!$B$5:$B$489, B1874, '📋 Detalle Diario'!$C$5:$C$489, D1874) * 135 + SUMIFS('📋 Detalle Diario'!$I$5:$I$489, '📋 Detalle Diario'!$B$5:$B$489, B1874, '📋 Detalle Diario'!$C$5:$C$489, D1874) * 200), 0))</f>
        <v/>
      </c>
      <c r="P1874" s="32" t="str">
        <f t="shared" si="208"/>
        <v/>
      </c>
      <c r="Q1874" s="33" t="str">
        <f t="shared" si="209"/>
        <v/>
      </c>
    </row>
    <row r="1875" spans="2:17" ht="18" customHeight="1" x14ac:dyDescent="0.3">
      <c r="B1875" s="26"/>
      <c r="C1875" s="28"/>
      <c r="D1875" s="27"/>
      <c r="E1875" s="29"/>
      <c r="F1875" s="29"/>
      <c r="G1875" s="29"/>
      <c r="H1875" s="30" t="str">
        <f t="shared" si="203"/>
        <v/>
      </c>
      <c r="I1875" s="31" t="str">
        <f>IF(OR(B1875="",C1875=""),"",IFERROR(E1875*IF(E1875="",0,VLOOKUP(C1875,'📦 Precios Proforma'!$B$5:$D$104,IF(D1875="DIA",2,3),FALSE)),0))</f>
        <v/>
      </c>
      <c r="J1875" s="31" t="str">
        <f t="shared" si="204"/>
        <v/>
      </c>
      <c r="K1875" s="31" t="str">
        <f t="shared" si="205"/>
        <v/>
      </c>
      <c r="L1875" s="31" t="str">
        <f>IF(OR(B1875="",C1875=""),"",IFERROR(E1875 / SUMIFS('📅 Resumen Diario'!$D$5:$D$504, '📅 Resumen Diario'!$B$5:$B$504, B1875, '📅 Resumen Diario'!$C$5:$C$504, D1875) * SUMIFS('📅 Resumen Diario'!$K$5:$K$504, '📅 Resumen Diario'!$B$5:$B$504, B1875, '📅 Resumen Diario'!$C$5:$C$504, D1875), 0))</f>
        <v/>
      </c>
      <c r="M1875" s="31" t="str">
        <f t="shared" si="206"/>
        <v/>
      </c>
      <c r="N1875" s="31" t="str">
        <f t="shared" si="207"/>
        <v/>
      </c>
      <c r="O1875" s="31" t="str">
        <f>IF(OR(B1875="",C1875=""),"",K1875-N1875 + IFERROR(E1875 / SUMIFS('📅 Resumen Diario'!$D$5:$D$504, '📅 Resumen Diario'!$B$5:$B$504, B1875, '📅 Resumen Diario'!$C$5:$C$504, D1875) * (SUMIFS('📋 Detalle Diario'!$E$5:$E$489, '📋 Detalle Diario'!$B$5:$B$489, B1875, '📋 Detalle Diario'!$C$5:$C$489, D1875) * 135 + SUMIFS('📋 Detalle Diario'!$I$5:$I$489, '📋 Detalle Diario'!$B$5:$B$489, B1875, '📋 Detalle Diario'!$C$5:$C$489, D1875) * 200), 0))</f>
        <v/>
      </c>
      <c r="P1875" s="32" t="str">
        <f t="shared" si="208"/>
        <v/>
      </c>
      <c r="Q1875" s="33" t="str">
        <f t="shared" si="209"/>
        <v/>
      </c>
    </row>
    <row r="1876" spans="2:17" ht="18" customHeight="1" x14ac:dyDescent="0.3">
      <c r="B1876" s="26"/>
      <c r="C1876" s="17"/>
      <c r="D1876" s="27"/>
      <c r="E1876" s="18"/>
      <c r="F1876" s="18"/>
      <c r="G1876" s="18"/>
      <c r="H1876" s="30" t="str">
        <f t="shared" si="203"/>
        <v/>
      </c>
      <c r="I1876" s="31" t="str">
        <f>IF(OR(B1876="",C1876=""),"",IFERROR(E1876*IF(E1876="",0,VLOOKUP(C1876,'📦 Precios Proforma'!$B$5:$D$104,IF(D1876="DIA",2,3),FALSE)),0))</f>
        <v/>
      </c>
      <c r="J1876" s="31" t="str">
        <f t="shared" si="204"/>
        <v/>
      </c>
      <c r="K1876" s="31" t="str">
        <f t="shared" si="205"/>
        <v/>
      </c>
      <c r="L1876" s="31" t="str">
        <f>IF(OR(B1876="",C1876=""),"",IFERROR(E1876 / SUMIFS('📅 Resumen Diario'!$D$5:$D$504, '📅 Resumen Diario'!$B$5:$B$504, B1876, '📅 Resumen Diario'!$C$5:$C$504, D1876) * SUMIFS('📅 Resumen Diario'!$K$5:$K$504, '📅 Resumen Diario'!$B$5:$B$504, B1876, '📅 Resumen Diario'!$C$5:$C$504, D1876), 0))</f>
        <v/>
      </c>
      <c r="M1876" s="31" t="str">
        <f t="shared" si="206"/>
        <v/>
      </c>
      <c r="N1876" s="31" t="str">
        <f t="shared" si="207"/>
        <v/>
      </c>
      <c r="O1876" s="31" t="str">
        <f>IF(OR(B1876="",C1876=""),"",K1876-N1876 + IFERROR(E1876 / SUMIFS('📅 Resumen Diario'!$D$5:$D$504, '📅 Resumen Diario'!$B$5:$B$504, B1876, '📅 Resumen Diario'!$C$5:$C$504, D1876) * (SUMIFS('📋 Detalle Diario'!$E$5:$E$489, '📋 Detalle Diario'!$B$5:$B$489, B1876, '📋 Detalle Diario'!$C$5:$C$489, D1876) * 135 + SUMIFS('📋 Detalle Diario'!$I$5:$I$489, '📋 Detalle Diario'!$B$5:$B$489, B1876, '📋 Detalle Diario'!$C$5:$C$489, D1876) * 200), 0))</f>
        <v/>
      </c>
      <c r="P1876" s="32" t="str">
        <f t="shared" si="208"/>
        <v/>
      </c>
      <c r="Q1876" s="33" t="str">
        <f t="shared" si="209"/>
        <v/>
      </c>
    </row>
    <row r="1877" spans="2:17" ht="18" customHeight="1" x14ac:dyDescent="0.3">
      <c r="B1877" s="26"/>
      <c r="C1877" s="28"/>
      <c r="D1877" s="27"/>
      <c r="E1877" s="29"/>
      <c r="F1877" s="29"/>
      <c r="G1877" s="29"/>
      <c r="H1877" s="30" t="str">
        <f t="shared" si="203"/>
        <v/>
      </c>
      <c r="I1877" s="31" t="str">
        <f>IF(OR(B1877="",C1877=""),"",IFERROR(E1877*IF(E1877="",0,VLOOKUP(C1877,'📦 Precios Proforma'!$B$5:$D$104,IF(D1877="DIA",2,3),FALSE)),0))</f>
        <v/>
      </c>
      <c r="J1877" s="31" t="str">
        <f t="shared" si="204"/>
        <v/>
      </c>
      <c r="K1877" s="31" t="str">
        <f t="shared" si="205"/>
        <v/>
      </c>
      <c r="L1877" s="31" t="str">
        <f>IF(OR(B1877="",C1877=""),"",IFERROR(E1877 / SUMIFS('📅 Resumen Diario'!$D$5:$D$504, '📅 Resumen Diario'!$B$5:$B$504, B1877, '📅 Resumen Diario'!$C$5:$C$504, D1877) * SUMIFS('📅 Resumen Diario'!$K$5:$K$504, '📅 Resumen Diario'!$B$5:$B$504, B1877, '📅 Resumen Diario'!$C$5:$C$504, D1877), 0))</f>
        <v/>
      </c>
      <c r="M1877" s="31" t="str">
        <f t="shared" si="206"/>
        <v/>
      </c>
      <c r="N1877" s="31" t="str">
        <f t="shared" si="207"/>
        <v/>
      </c>
      <c r="O1877" s="31" t="str">
        <f>IF(OR(B1877="",C1877=""),"",K1877-N1877 + IFERROR(E1877 / SUMIFS('📅 Resumen Diario'!$D$5:$D$504, '📅 Resumen Diario'!$B$5:$B$504, B1877, '📅 Resumen Diario'!$C$5:$C$504, D1877) * (SUMIFS('📋 Detalle Diario'!$E$5:$E$489, '📋 Detalle Diario'!$B$5:$B$489, B1877, '📋 Detalle Diario'!$C$5:$C$489, D1877) * 135 + SUMIFS('📋 Detalle Diario'!$I$5:$I$489, '📋 Detalle Diario'!$B$5:$B$489, B1877, '📋 Detalle Diario'!$C$5:$C$489, D1877) * 200), 0))</f>
        <v/>
      </c>
      <c r="P1877" s="32" t="str">
        <f t="shared" si="208"/>
        <v/>
      </c>
      <c r="Q1877" s="33" t="str">
        <f t="shared" si="209"/>
        <v/>
      </c>
    </row>
    <row r="1878" spans="2:17" ht="18" customHeight="1" x14ac:dyDescent="0.3">
      <c r="B1878" s="26"/>
      <c r="C1878" s="17"/>
      <c r="D1878" s="27"/>
      <c r="E1878" s="18"/>
      <c r="F1878" s="18"/>
      <c r="G1878" s="18"/>
      <c r="H1878" s="30" t="str">
        <f t="shared" si="203"/>
        <v/>
      </c>
      <c r="I1878" s="31" t="str">
        <f>IF(OR(B1878="",C1878=""),"",IFERROR(E1878*IF(E1878="",0,VLOOKUP(C1878,'📦 Precios Proforma'!$B$5:$D$104,IF(D1878="DIA",2,3),FALSE)),0))</f>
        <v/>
      </c>
      <c r="J1878" s="31" t="str">
        <f t="shared" si="204"/>
        <v/>
      </c>
      <c r="K1878" s="31" t="str">
        <f t="shared" si="205"/>
        <v/>
      </c>
      <c r="L1878" s="31" t="str">
        <f>IF(OR(B1878="",C1878=""),"",IFERROR(E1878 / SUMIFS('📅 Resumen Diario'!$D$5:$D$504, '📅 Resumen Diario'!$B$5:$B$504, B1878, '📅 Resumen Diario'!$C$5:$C$504, D1878) * SUMIFS('📅 Resumen Diario'!$K$5:$K$504, '📅 Resumen Diario'!$B$5:$B$504, B1878, '📅 Resumen Diario'!$C$5:$C$504, D1878), 0))</f>
        <v/>
      </c>
      <c r="M1878" s="31" t="str">
        <f t="shared" si="206"/>
        <v/>
      </c>
      <c r="N1878" s="31" t="str">
        <f t="shared" si="207"/>
        <v/>
      </c>
      <c r="O1878" s="31" t="str">
        <f>IF(OR(B1878="",C1878=""),"",K1878-N1878 + IFERROR(E1878 / SUMIFS('📅 Resumen Diario'!$D$5:$D$504, '📅 Resumen Diario'!$B$5:$B$504, B1878, '📅 Resumen Diario'!$C$5:$C$504, D1878) * (SUMIFS('📋 Detalle Diario'!$E$5:$E$489, '📋 Detalle Diario'!$B$5:$B$489, B1878, '📋 Detalle Diario'!$C$5:$C$489, D1878) * 135 + SUMIFS('📋 Detalle Diario'!$I$5:$I$489, '📋 Detalle Diario'!$B$5:$B$489, B1878, '📋 Detalle Diario'!$C$5:$C$489, D1878) * 200), 0))</f>
        <v/>
      </c>
      <c r="P1878" s="32" t="str">
        <f t="shared" si="208"/>
        <v/>
      </c>
      <c r="Q1878" s="33" t="str">
        <f t="shared" si="209"/>
        <v/>
      </c>
    </row>
    <row r="1879" spans="2:17" ht="18" customHeight="1" x14ac:dyDescent="0.3">
      <c r="B1879" s="26"/>
      <c r="C1879" s="28"/>
      <c r="D1879" s="27"/>
      <c r="E1879" s="29"/>
      <c r="F1879" s="29"/>
      <c r="G1879" s="29"/>
      <c r="H1879" s="30" t="str">
        <f t="shared" si="203"/>
        <v/>
      </c>
      <c r="I1879" s="31" t="str">
        <f>IF(OR(B1879="",C1879=""),"",IFERROR(E1879*IF(E1879="",0,VLOOKUP(C1879,'📦 Precios Proforma'!$B$5:$D$104,IF(D1879="DIA",2,3),FALSE)),0))</f>
        <v/>
      </c>
      <c r="J1879" s="31" t="str">
        <f t="shared" si="204"/>
        <v/>
      </c>
      <c r="K1879" s="31" t="str">
        <f t="shared" si="205"/>
        <v/>
      </c>
      <c r="L1879" s="31" t="str">
        <f>IF(OR(B1879="",C1879=""),"",IFERROR(E1879 / SUMIFS('📅 Resumen Diario'!$D$5:$D$504, '📅 Resumen Diario'!$B$5:$B$504, B1879, '📅 Resumen Diario'!$C$5:$C$504, D1879) * SUMIFS('📅 Resumen Diario'!$K$5:$K$504, '📅 Resumen Diario'!$B$5:$B$504, B1879, '📅 Resumen Diario'!$C$5:$C$504, D1879), 0))</f>
        <v/>
      </c>
      <c r="M1879" s="31" t="str">
        <f t="shared" si="206"/>
        <v/>
      </c>
      <c r="N1879" s="31" t="str">
        <f t="shared" si="207"/>
        <v/>
      </c>
      <c r="O1879" s="31" t="str">
        <f>IF(OR(B1879="",C1879=""),"",K1879-N1879 + IFERROR(E1879 / SUMIFS('📅 Resumen Diario'!$D$5:$D$504, '📅 Resumen Diario'!$B$5:$B$504, B1879, '📅 Resumen Diario'!$C$5:$C$504, D1879) * (SUMIFS('📋 Detalle Diario'!$E$5:$E$489, '📋 Detalle Diario'!$B$5:$B$489, B1879, '📋 Detalle Diario'!$C$5:$C$489, D1879) * 135 + SUMIFS('📋 Detalle Diario'!$I$5:$I$489, '📋 Detalle Diario'!$B$5:$B$489, B1879, '📋 Detalle Diario'!$C$5:$C$489, D1879) * 200), 0))</f>
        <v/>
      </c>
      <c r="P1879" s="32" t="str">
        <f t="shared" si="208"/>
        <v/>
      </c>
      <c r="Q1879" s="33" t="str">
        <f t="shared" si="209"/>
        <v/>
      </c>
    </row>
    <row r="1880" spans="2:17" ht="18" customHeight="1" x14ac:dyDescent="0.3">
      <c r="B1880" s="26"/>
      <c r="C1880" s="17"/>
      <c r="D1880" s="27"/>
      <c r="E1880" s="18"/>
      <c r="F1880" s="18"/>
      <c r="G1880" s="18"/>
      <c r="H1880" s="30" t="str">
        <f t="shared" si="203"/>
        <v/>
      </c>
      <c r="I1880" s="31" t="str">
        <f>IF(OR(B1880="",C1880=""),"",IFERROR(E1880*IF(E1880="",0,VLOOKUP(C1880,'📦 Precios Proforma'!$B$5:$D$104,IF(D1880="DIA",2,3),FALSE)),0))</f>
        <v/>
      </c>
      <c r="J1880" s="31" t="str">
        <f t="shared" si="204"/>
        <v/>
      </c>
      <c r="K1880" s="31" t="str">
        <f t="shared" si="205"/>
        <v/>
      </c>
      <c r="L1880" s="31" t="str">
        <f>IF(OR(B1880="",C1880=""),"",IFERROR(E1880 / SUMIFS('📅 Resumen Diario'!$D$5:$D$504, '📅 Resumen Diario'!$B$5:$B$504, B1880, '📅 Resumen Diario'!$C$5:$C$504, D1880) * SUMIFS('📅 Resumen Diario'!$K$5:$K$504, '📅 Resumen Diario'!$B$5:$B$504, B1880, '📅 Resumen Diario'!$C$5:$C$504, D1880), 0))</f>
        <v/>
      </c>
      <c r="M1880" s="31" t="str">
        <f t="shared" si="206"/>
        <v/>
      </c>
      <c r="N1880" s="31" t="str">
        <f t="shared" si="207"/>
        <v/>
      </c>
      <c r="O1880" s="31" t="str">
        <f>IF(OR(B1880="",C1880=""),"",K1880-N1880 + IFERROR(E1880 / SUMIFS('📅 Resumen Diario'!$D$5:$D$504, '📅 Resumen Diario'!$B$5:$B$504, B1880, '📅 Resumen Diario'!$C$5:$C$504, D1880) * (SUMIFS('📋 Detalle Diario'!$E$5:$E$489, '📋 Detalle Diario'!$B$5:$B$489, B1880, '📋 Detalle Diario'!$C$5:$C$489, D1880) * 135 + SUMIFS('📋 Detalle Diario'!$I$5:$I$489, '📋 Detalle Diario'!$B$5:$B$489, B1880, '📋 Detalle Diario'!$C$5:$C$489, D1880) * 200), 0))</f>
        <v/>
      </c>
      <c r="P1880" s="32" t="str">
        <f t="shared" si="208"/>
        <v/>
      </c>
      <c r="Q1880" s="33" t="str">
        <f t="shared" si="209"/>
        <v/>
      </c>
    </row>
    <row r="1881" spans="2:17" ht="18" customHeight="1" x14ac:dyDescent="0.3">
      <c r="B1881" s="26"/>
      <c r="C1881" s="28"/>
      <c r="D1881" s="27"/>
      <c r="E1881" s="29"/>
      <c r="F1881" s="29"/>
      <c r="G1881" s="29"/>
      <c r="H1881" s="30" t="str">
        <f t="shared" si="203"/>
        <v/>
      </c>
      <c r="I1881" s="31" t="str">
        <f>IF(OR(B1881="",C1881=""),"",IFERROR(E1881*IF(E1881="",0,VLOOKUP(C1881,'📦 Precios Proforma'!$B$5:$D$104,IF(D1881="DIA",2,3),FALSE)),0))</f>
        <v/>
      </c>
      <c r="J1881" s="31" t="str">
        <f t="shared" si="204"/>
        <v/>
      </c>
      <c r="K1881" s="31" t="str">
        <f t="shared" si="205"/>
        <v/>
      </c>
      <c r="L1881" s="31" t="str">
        <f>IF(OR(B1881="",C1881=""),"",IFERROR(E1881 / SUMIFS('📅 Resumen Diario'!$D$5:$D$504, '📅 Resumen Diario'!$B$5:$B$504, B1881, '📅 Resumen Diario'!$C$5:$C$504, D1881) * SUMIFS('📅 Resumen Diario'!$K$5:$K$504, '📅 Resumen Diario'!$B$5:$B$504, B1881, '📅 Resumen Diario'!$C$5:$C$504, D1881), 0))</f>
        <v/>
      </c>
      <c r="M1881" s="31" t="str">
        <f t="shared" si="206"/>
        <v/>
      </c>
      <c r="N1881" s="31" t="str">
        <f t="shared" si="207"/>
        <v/>
      </c>
      <c r="O1881" s="31" t="str">
        <f>IF(OR(B1881="",C1881=""),"",K1881-N1881 + IFERROR(E1881 / SUMIFS('📅 Resumen Diario'!$D$5:$D$504, '📅 Resumen Diario'!$B$5:$B$504, B1881, '📅 Resumen Diario'!$C$5:$C$504, D1881) * (SUMIFS('📋 Detalle Diario'!$E$5:$E$489, '📋 Detalle Diario'!$B$5:$B$489, B1881, '📋 Detalle Diario'!$C$5:$C$489, D1881) * 135 + SUMIFS('📋 Detalle Diario'!$I$5:$I$489, '📋 Detalle Diario'!$B$5:$B$489, B1881, '📋 Detalle Diario'!$C$5:$C$489, D1881) * 200), 0))</f>
        <v/>
      </c>
      <c r="P1881" s="32" t="str">
        <f t="shared" si="208"/>
        <v/>
      </c>
      <c r="Q1881" s="33" t="str">
        <f t="shared" si="209"/>
        <v/>
      </c>
    </row>
    <row r="1882" spans="2:17" ht="18" customHeight="1" x14ac:dyDescent="0.3">
      <c r="B1882" s="26"/>
      <c r="C1882" s="17"/>
      <c r="D1882" s="27"/>
      <c r="E1882" s="18"/>
      <c r="F1882" s="18"/>
      <c r="G1882" s="18"/>
      <c r="H1882" s="30" t="str">
        <f t="shared" si="203"/>
        <v/>
      </c>
      <c r="I1882" s="31" t="str">
        <f>IF(OR(B1882="",C1882=""),"",IFERROR(E1882*IF(E1882="",0,VLOOKUP(C1882,'📦 Precios Proforma'!$B$5:$D$104,IF(D1882="DIA",2,3),FALSE)),0))</f>
        <v/>
      </c>
      <c r="J1882" s="31" t="str">
        <f t="shared" si="204"/>
        <v/>
      </c>
      <c r="K1882" s="31" t="str">
        <f t="shared" si="205"/>
        <v/>
      </c>
      <c r="L1882" s="31" t="str">
        <f>IF(OR(B1882="",C1882=""),"",IFERROR(E1882 / SUMIFS('📅 Resumen Diario'!$D$5:$D$504, '📅 Resumen Diario'!$B$5:$B$504, B1882, '📅 Resumen Diario'!$C$5:$C$504, D1882) * SUMIFS('📅 Resumen Diario'!$K$5:$K$504, '📅 Resumen Diario'!$B$5:$B$504, B1882, '📅 Resumen Diario'!$C$5:$C$504, D1882), 0))</f>
        <v/>
      </c>
      <c r="M1882" s="31" t="str">
        <f t="shared" si="206"/>
        <v/>
      </c>
      <c r="N1882" s="31" t="str">
        <f t="shared" si="207"/>
        <v/>
      </c>
      <c r="O1882" s="31" t="str">
        <f>IF(OR(B1882="",C1882=""),"",K1882-N1882 + IFERROR(E1882 / SUMIFS('📅 Resumen Diario'!$D$5:$D$504, '📅 Resumen Diario'!$B$5:$B$504, B1882, '📅 Resumen Diario'!$C$5:$C$504, D1882) * (SUMIFS('📋 Detalle Diario'!$E$5:$E$489, '📋 Detalle Diario'!$B$5:$B$489, B1882, '📋 Detalle Diario'!$C$5:$C$489, D1882) * 135 + SUMIFS('📋 Detalle Diario'!$I$5:$I$489, '📋 Detalle Diario'!$B$5:$B$489, B1882, '📋 Detalle Diario'!$C$5:$C$489, D1882) * 200), 0))</f>
        <v/>
      </c>
      <c r="P1882" s="32" t="str">
        <f t="shared" si="208"/>
        <v/>
      </c>
      <c r="Q1882" s="33" t="str">
        <f t="shared" si="209"/>
        <v/>
      </c>
    </row>
    <row r="1883" spans="2:17" ht="18" customHeight="1" x14ac:dyDescent="0.3">
      <c r="B1883" s="26"/>
      <c r="C1883" s="28"/>
      <c r="D1883" s="27"/>
      <c r="E1883" s="29"/>
      <c r="F1883" s="29"/>
      <c r="G1883" s="29"/>
      <c r="H1883" s="30" t="str">
        <f t="shared" si="203"/>
        <v/>
      </c>
      <c r="I1883" s="31" t="str">
        <f>IF(OR(B1883="",C1883=""),"",IFERROR(E1883*IF(E1883="",0,VLOOKUP(C1883,'📦 Precios Proforma'!$B$5:$D$104,IF(D1883="DIA",2,3),FALSE)),0))</f>
        <v/>
      </c>
      <c r="J1883" s="31" t="str">
        <f t="shared" si="204"/>
        <v/>
      </c>
      <c r="K1883" s="31" t="str">
        <f t="shared" si="205"/>
        <v/>
      </c>
      <c r="L1883" s="31" t="str">
        <f>IF(OR(B1883="",C1883=""),"",IFERROR(E1883 / SUMIFS('📅 Resumen Diario'!$D$5:$D$504, '📅 Resumen Diario'!$B$5:$B$504, B1883, '📅 Resumen Diario'!$C$5:$C$504, D1883) * SUMIFS('📅 Resumen Diario'!$K$5:$K$504, '📅 Resumen Diario'!$B$5:$B$504, B1883, '📅 Resumen Diario'!$C$5:$C$504, D1883), 0))</f>
        <v/>
      </c>
      <c r="M1883" s="31" t="str">
        <f t="shared" si="206"/>
        <v/>
      </c>
      <c r="N1883" s="31" t="str">
        <f t="shared" si="207"/>
        <v/>
      </c>
      <c r="O1883" s="31" t="str">
        <f>IF(OR(B1883="",C1883=""),"",K1883-N1883 + IFERROR(E1883 / SUMIFS('📅 Resumen Diario'!$D$5:$D$504, '📅 Resumen Diario'!$B$5:$B$504, B1883, '📅 Resumen Diario'!$C$5:$C$504, D1883) * (SUMIFS('📋 Detalle Diario'!$E$5:$E$489, '📋 Detalle Diario'!$B$5:$B$489, B1883, '📋 Detalle Diario'!$C$5:$C$489, D1883) * 135 + SUMIFS('📋 Detalle Diario'!$I$5:$I$489, '📋 Detalle Diario'!$B$5:$B$489, B1883, '📋 Detalle Diario'!$C$5:$C$489, D1883) * 200), 0))</f>
        <v/>
      </c>
      <c r="P1883" s="32" t="str">
        <f t="shared" si="208"/>
        <v/>
      </c>
      <c r="Q1883" s="33" t="str">
        <f t="shared" si="209"/>
        <v/>
      </c>
    </row>
    <row r="1884" spans="2:17" ht="18" customHeight="1" x14ac:dyDescent="0.3">
      <c r="B1884" s="26"/>
      <c r="C1884" s="17"/>
      <c r="D1884" s="27"/>
      <c r="E1884" s="18"/>
      <c r="F1884" s="18"/>
      <c r="G1884" s="18"/>
      <c r="H1884" s="30" t="str">
        <f t="shared" si="203"/>
        <v/>
      </c>
      <c r="I1884" s="31" t="str">
        <f>IF(OR(B1884="",C1884=""),"",IFERROR(E1884*IF(E1884="",0,VLOOKUP(C1884,'📦 Precios Proforma'!$B$5:$D$104,IF(D1884="DIA",2,3),FALSE)),0))</f>
        <v/>
      </c>
      <c r="J1884" s="31" t="str">
        <f t="shared" si="204"/>
        <v/>
      </c>
      <c r="K1884" s="31" t="str">
        <f t="shared" si="205"/>
        <v/>
      </c>
      <c r="L1884" s="31" t="str">
        <f>IF(OR(B1884="",C1884=""),"",IFERROR(E1884 / SUMIFS('📅 Resumen Diario'!$D$5:$D$504, '📅 Resumen Diario'!$B$5:$B$504, B1884, '📅 Resumen Diario'!$C$5:$C$504, D1884) * SUMIFS('📅 Resumen Diario'!$K$5:$K$504, '📅 Resumen Diario'!$B$5:$B$504, B1884, '📅 Resumen Diario'!$C$5:$C$504, D1884), 0))</f>
        <v/>
      </c>
      <c r="M1884" s="31" t="str">
        <f t="shared" si="206"/>
        <v/>
      </c>
      <c r="N1884" s="31" t="str">
        <f t="shared" si="207"/>
        <v/>
      </c>
      <c r="O1884" s="31" t="str">
        <f>IF(OR(B1884="",C1884=""),"",K1884-N1884 + IFERROR(E1884 / SUMIFS('📅 Resumen Diario'!$D$5:$D$504, '📅 Resumen Diario'!$B$5:$B$504, B1884, '📅 Resumen Diario'!$C$5:$C$504, D1884) * (SUMIFS('📋 Detalle Diario'!$E$5:$E$489, '📋 Detalle Diario'!$B$5:$B$489, B1884, '📋 Detalle Diario'!$C$5:$C$489, D1884) * 135 + SUMIFS('📋 Detalle Diario'!$I$5:$I$489, '📋 Detalle Diario'!$B$5:$B$489, B1884, '📋 Detalle Diario'!$C$5:$C$489, D1884) * 200), 0))</f>
        <v/>
      </c>
      <c r="P1884" s="32" t="str">
        <f t="shared" si="208"/>
        <v/>
      </c>
      <c r="Q1884" s="33" t="str">
        <f t="shared" si="209"/>
        <v/>
      </c>
    </row>
    <row r="1885" spans="2:17" ht="18" customHeight="1" x14ac:dyDescent="0.3">
      <c r="B1885" s="26"/>
      <c r="C1885" s="28"/>
      <c r="D1885" s="27"/>
      <c r="E1885" s="29"/>
      <c r="F1885" s="29"/>
      <c r="G1885" s="29"/>
      <c r="H1885" s="30" t="str">
        <f t="shared" si="203"/>
        <v/>
      </c>
      <c r="I1885" s="31" t="str">
        <f>IF(OR(B1885="",C1885=""),"",IFERROR(E1885*IF(E1885="",0,VLOOKUP(C1885,'📦 Precios Proforma'!$B$5:$D$104,IF(D1885="DIA",2,3),FALSE)),0))</f>
        <v/>
      </c>
      <c r="J1885" s="31" t="str">
        <f t="shared" si="204"/>
        <v/>
      </c>
      <c r="K1885" s="31" t="str">
        <f t="shared" si="205"/>
        <v/>
      </c>
      <c r="L1885" s="31" t="str">
        <f>IF(OR(B1885="",C1885=""),"",IFERROR(E1885 / SUMIFS('📅 Resumen Diario'!$D$5:$D$504, '📅 Resumen Diario'!$B$5:$B$504, B1885, '📅 Resumen Diario'!$C$5:$C$504, D1885) * SUMIFS('📅 Resumen Diario'!$K$5:$K$504, '📅 Resumen Diario'!$B$5:$B$504, B1885, '📅 Resumen Diario'!$C$5:$C$504, D1885), 0))</f>
        <v/>
      </c>
      <c r="M1885" s="31" t="str">
        <f t="shared" si="206"/>
        <v/>
      </c>
      <c r="N1885" s="31" t="str">
        <f t="shared" si="207"/>
        <v/>
      </c>
      <c r="O1885" s="31" t="str">
        <f>IF(OR(B1885="",C1885=""),"",K1885-N1885 + IFERROR(E1885 / SUMIFS('📅 Resumen Diario'!$D$5:$D$504, '📅 Resumen Diario'!$B$5:$B$504, B1885, '📅 Resumen Diario'!$C$5:$C$504, D1885) * (SUMIFS('📋 Detalle Diario'!$E$5:$E$489, '📋 Detalle Diario'!$B$5:$B$489, B1885, '📋 Detalle Diario'!$C$5:$C$489, D1885) * 135 + SUMIFS('📋 Detalle Diario'!$I$5:$I$489, '📋 Detalle Diario'!$B$5:$B$489, B1885, '📋 Detalle Diario'!$C$5:$C$489, D1885) * 200), 0))</f>
        <v/>
      </c>
      <c r="P1885" s="32" t="str">
        <f t="shared" si="208"/>
        <v/>
      </c>
      <c r="Q1885" s="33" t="str">
        <f t="shared" si="209"/>
        <v/>
      </c>
    </row>
    <row r="1886" spans="2:17" ht="18" customHeight="1" x14ac:dyDescent="0.3">
      <c r="B1886" s="26"/>
      <c r="C1886" s="17"/>
      <c r="D1886" s="27"/>
      <c r="E1886" s="18"/>
      <c r="F1886" s="18"/>
      <c r="G1886" s="18"/>
      <c r="H1886" s="30" t="str">
        <f t="shared" si="203"/>
        <v/>
      </c>
      <c r="I1886" s="31" t="str">
        <f>IF(OR(B1886="",C1886=""),"",IFERROR(E1886*IF(E1886="",0,VLOOKUP(C1886,'📦 Precios Proforma'!$B$5:$D$104,IF(D1886="DIA",2,3),FALSE)),0))</f>
        <v/>
      </c>
      <c r="J1886" s="31" t="str">
        <f t="shared" si="204"/>
        <v/>
      </c>
      <c r="K1886" s="31" t="str">
        <f t="shared" si="205"/>
        <v/>
      </c>
      <c r="L1886" s="31" t="str">
        <f>IF(OR(B1886="",C1886=""),"",IFERROR(E1886 / SUMIFS('📅 Resumen Diario'!$D$5:$D$504, '📅 Resumen Diario'!$B$5:$B$504, B1886, '📅 Resumen Diario'!$C$5:$C$504, D1886) * SUMIFS('📅 Resumen Diario'!$K$5:$K$504, '📅 Resumen Diario'!$B$5:$B$504, B1886, '📅 Resumen Diario'!$C$5:$C$504, D1886), 0))</f>
        <v/>
      </c>
      <c r="M1886" s="31" t="str">
        <f t="shared" si="206"/>
        <v/>
      </c>
      <c r="N1886" s="31" t="str">
        <f t="shared" si="207"/>
        <v/>
      </c>
      <c r="O1886" s="31" t="str">
        <f>IF(OR(B1886="",C1886=""),"",K1886-N1886 + IFERROR(E1886 / SUMIFS('📅 Resumen Diario'!$D$5:$D$504, '📅 Resumen Diario'!$B$5:$B$504, B1886, '📅 Resumen Diario'!$C$5:$C$504, D1886) * (SUMIFS('📋 Detalle Diario'!$E$5:$E$489, '📋 Detalle Diario'!$B$5:$B$489, B1886, '📋 Detalle Diario'!$C$5:$C$489, D1886) * 135 + SUMIFS('📋 Detalle Diario'!$I$5:$I$489, '📋 Detalle Diario'!$B$5:$B$489, B1886, '📋 Detalle Diario'!$C$5:$C$489, D1886) * 200), 0))</f>
        <v/>
      </c>
      <c r="P1886" s="32" t="str">
        <f t="shared" si="208"/>
        <v/>
      </c>
      <c r="Q1886" s="33" t="str">
        <f t="shared" si="209"/>
        <v/>
      </c>
    </row>
    <row r="1887" spans="2:17" ht="18" customHeight="1" x14ac:dyDescent="0.3">
      <c r="B1887" s="26"/>
      <c r="C1887" s="28"/>
      <c r="D1887" s="27"/>
      <c r="E1887" s="29"/>
      <c r="F1887" s="29"/>
      <c r="G1887" s="29"/>
      <c r="H1887" s="30" t="str">
        <f t="shared" si="203"/>
        <v/>
      </c>
      <c r="I1887" s="31" t="str">
        <f>IF(OR(B1887="",C1887=""),"",IFERROR(E1887*IF(E1887="",0,VLOOKUP(C1887,'📦 Precios Proforma'!$B$5:$D$104,IF(D1887="DIA",2,3),FALSE)),0))</f>
        <v/>
      </c>
      <c r="J1887" s="31" t="str">
        <f t="shared" si="204"/>
        <v/>
      </c>
      <c r="K1887" s="31" t="str">
        <f t="shared" si="205"/>
        <v/>
      </c>
      <c r="L1887" s="31" t="str">
        <f>IF(OR(B1887="",C1887=""),"",IFERROR(E1887 / SUMIFS('📅 Resumen Diario'!$D$5:$D$504, '📅 Resumen Diario'!$B$5:$B$504, B1887, '📅 Resumen Diario'!$C$5:$C$504, D1887) * SUMIFS('📅 Resumen Diario'!$K$5:$K$504, '📅 Resumen Diario'!$B$5:$B$504, B1887, '📅 Resumen Diario'!$C$5:$C$504, D1887), 0))</f>
        <v/>
      </c>
      <c r="M1887" s="31" t="str">
        <f t="shared" si="206"/>
        <v/>
      </c>
      <c r="N1887" s="31" t="str">
        <f t="shared" si="207"/>
        <v/>
      </c>
      <c r="O1887" s="31" t="str">
        <f>IF(OR(B1887="",C1887=""),"",K1887-N1887 + IFERROR(E1887 / SUMIFS('📅 Resumen Diario'!$D$5:$D$504, '📅 Resumen Diario'!$B$5:$B$504, B1887, '📅 Resumen Diario'!$C$5:$C$504, D1887) * (SUMIFS('📋 Detalle Diario'!$E$5:$E$489, '📋 Detalle Diario'!$B$5:$B$489, B1887, '📋 Detalle Diario'!$C$5:$C$489, D1887) * 135 + SUMIFS('📋 Detalle Diario'!$I$5:$I$489, '📋 Detalle Diario'!$B$5:$B$489, B1887, '📋 Detalle Diario'!$C$5:$C$489, D1887) * 200), 0))</f>
        <v/>
      </c>
      <c r="P1887" s="32" t="str">
        <f t="shared" si="208"/>
        <v/>
      </c>
      <c r="Q1887" s="33" t="str">
        <f t="shared" si="209"/>
        <v/>
      </c>
    </row>
    <row r="1888" spans="2:17" ht="18" customHeight="1" x14ac:dyDescent="0.3">
      <c r="B1888" s="26"/>
      <c r="C1888" s="17"/>
      <c r="D1888" s="27"/>
      <c r="E1888" s="18"/>
      <c r="F1888" s="18"/>
      <c r="G1888" s="18"/>
      <c r="H1888" s="30" t="str">
        <f t="shared" si="203"/>
        <v/>
      </c>
      <c r="I1888" s="31" t="str">
        <f>IF(OR(B1888="",C1888=""),"",IFERROR(E1888*IF(E1888="",0,VLOOKUP(C1888,'📦 Precios Proforma'!$B$5:$D$104,IF(D1888="DIA",2,3),FALSE)),0))</f>
        <v/>
      </c>
      <c r="J1888" s="31" t="str">
        <f t="shared" si="204"/>
        <v/>
      </c>
      <c r="K1888" s="31" t="str">
        <f t="shared" si="205"/>
        <v/>
      </c>
      <c r="L1888" s="31" t="str">
        <f>IF(OR(B1888="",C1888=""),"",IFERROR(E1888 / SUMIFS('📅 Resumen Diario'!$D$5:$D$504, '📅 Resumen Diario'!$B$5:$B$504, B1888, '📅 Resumen Diario'!$C$5:$C$504, D1888) * SUMIFS('📅 Resumen Diario'!$K$5:$K$504, '📅 Resumen Diario'!$B$5:$B$504, B1888, '📅 Resumen Diario'!$C$5:$C$504, D1888), 0))</f>
        <v/>
      </c>
      <c r="M1888" s="31" t="str">
        <f t="shared" si="206"/>
        <v/>
      </c>
      <c r="N1888" s="31" t="str">
        <f t="shared" si="207"/>
        <v/>
      </c>
      <c r="O1888" s="31" t="str">
        <f>IF(OR(B1888="",C1888=""),"",K1888-N1888 + IFERROR(E1888 / SUMIFS('📅 Resumen Diario'!$D$5:$D$504, '📅 Resumen Diario'!$B$5:$B$504, B1888, '📅 Resumen Diario'!$C$5:$C$504, D1888) * (SUMIFS('📋 Detalle Diario'!$E$5:$E$489, '📋 Detalle Diario'!$B$5:$B$489, B1888, '📋 Detalle Diario'!$C$5:$C$489, D1888) * 135 + SUMIFS('📋 Detalle Diario'!$I$5:$I$489, '📋 Detalle Diario'!$B$5:$B$489, B1888, '📋 Detalle Diario'!$C$5:$C$489, D1888) * 200), 0))</f>
        <v/>
      </c>
      <c r="P1888" s="32" t="str">
        <f t="shared" si="208"/>
        <v/>
      </c>
      <c r="Q1888" s="33" t="str">
        <f t="shared" si="209"/>
        <v/>
      </c>
    </row>
    <row r="1889" spans="2:17" ht="18" customHeight="1" x14ac:dyDescent="0.3">
      <c r="B1889" s="26"/>
      <c r="C1889" s="28"/>
      <c r="D1889" s="27"/>
      <c r="E1889" s="29"/>
      <c r="F1889" s="29"/>
      <c r="G1889" s="29"/>
      <c r="H1889" s="30" t="str">
        <f t="shared" si="203"/>
        <v/>
      </c>
      <c r="I1889" s="31" t="str">
        <f>IF(OR(B1889="",C1889=""),"",IFERROR(E1889*IF(E1889="",0,VLOOKUP(C1889,'📦 Precios Proforma'!$B$5:$D$104,IF(D1889="DIA",2,3),FALSE)),0))</f>
        <v/>
      </c>
      <c r="J1889" s="31" t="str">
        <f t="shared" si="204"/>
        <v/>
      </c>
      <c r="K1889" s="31" t="str">
        <f t="shared" si="205"/>
        <v/>
      </c>
      <c r="L1889" s="31" t="str">
        <f>IF(OR(B1889="",C1889=""),"",IFERROR(E1889 / SUMIFS('📅 Resumen Diario'!$D$5:$D$504, '📅 Resumen Diario'!$B$5:$B$504, B1889, '📅 Resumen Diario'!$C$5:$C$504, D1889) * SUMIFS('📅 Resumen Diario'!$K$5:$K$504, '📅 Resumen Diario'!$B$5:$B$504, B1889, '📅 Resumen Diario'!$C$5:$C$504, D1889), 0))</f>
        <v/>
      </c>
      <c r="M1889" s="31" t="str">
        <f t="shared" si="206"/>
        <v/>
      </c>
      <c r="N1889" s="31" t="str">
        <f t="shared" si="207"/>
        <v/>
      </c>
      <c r="O1889" s="31" t="str">
        <f>IF(OR(B1889="",C1889=""),"",K1889-N1889 + IFERROR(E1889 / SUMIFS('📅 Resumen Diario'!$D$5:$D$504, '📅 Resumen Diario'!$B$5:$B$504, B1889, '📅 Resumen Diario'!$C$5:$C$504, D1889) * (SUMIFS('📋 Detalle Diario'!$E$5:$E$489, '📋 Detalle Diario'!$B$5:$B$489, B1889, '📋 Detalle Diario'!$C$5:$C$489, D1889) * 135 + SUMIFS('📋 Detalle Diario'!$I$5:$I$489, '📋 Detalle Diario'!$B$5:$B$489, B1889, '📋 Detalle Diario'!$C$5:$C$489, D1889) * 200), 0))</f>
        <v/>
      </c>
      <c r="P1889" s="32" t="str">
        <f t="shared" si="208"/>
        <v/>
      </c>
      <c r="Q1889" s="33" t="str">
        <f t="shared" si="209"/>
        <v/>
      </c>
    </row>
    <row r="1890" spans="2:17" ht="18" customHeight="1" x14ac:dyDescent="0.3">
      <c r="B1890" s="26"/>
      <c r="C1890" s="17"/>
      <c r="D1890" s="27"/>
      <c r="E1890" s="18"/>
      <c r="F1890" s="18"/>
      <c r="G1890" s="18"/>
      <c r="H1890" s="30" t="str">
        <f t="shared" si="203"/>
        <v/>
      </c>
      <c r="I1890" s="31" t="str">
        <f>IF(OR(B1890="",C1890=""),"",IFERROR(E1890*IF(E1890="",0,VLOOKUP(C1890,'📦 Precios Proforma'!$B$5:$D$104,IF(D1890="DIA",2,3),FALSE)),0))</f>
        <v/>
      </c>
      <c r="J1890" s="31" t="str">
        <f t="shared" si="204"/>
        <v/>
      </c>
      <c r="K1890" s="31" t="str">
        <f t="shared" si="205"/>
        <v/>
      </c>
      <c r="L1890" s="31" t="str">
        <f>IF(OR(B1890="",C1890=""),"",IFERROR(E1890 / SUMIFS('📅 Resumen Diario'!$D$5:$D$504, '📅 Resumen Diario'!$B$5:$B$504, B1890, '📅 Resumen Diario'!$C$5:$C$504, D1890) * SUMIFS('📅 Resumen Diario'!$K$5:$K$504, '📅 Resumen Diario'!$B$5:$B$504, B1890, '📅 Resumen Diario'!$C$5:$C$504, D1890), 0))</f>
        <v/>
      </c>
      <c r="M1890" s="31" t="str">
        <f t="shared" si="206"/>
        <v/>
      </c>
      <c r="N1890" s="31" t="str">
        <f t="shared" si="207"/>
        <v/>
      </c>
      <c r="O1890" s="31" t="str">
        <f>IF(OR(B1890="",C1890=""),"",K1890-N1890 + IFERROR(E1890 / SUMIFS('📅 Resumen Diario'!$D$5:$D$504, '📅 Resumen Diario'!$B$5:$B$504, B1890, '📅 Resumen Diario'!$C$5:$C$504, D1890) * (SUMIFS('📋 Detalle Diario'!$E$5:$E$489, '📋 Detalle Diario'!$B$5:$B$489, B1890, '📋 Detalle Diario'!$C$5:$C$489, D1890) * 135 + SUMIFS('📋 Detalle Diario'!$I$5:$I$489, '📋 Detalle Diario'!$B$5:$B$489, B1890, '📋 Detalle Diario'!$C$5:$C$489, D1890) * 200), 0))</f>
        <v/>
      </c>
      <c r="P1890" s="32" t="str">
        <f t="shared" si="208"/>
        <v/>
      </c>
      <c r="Q1890" s="33" t="str">
        <f t="shared" si="209"/>
        <v/>
      </c>
    </row>
    <row r="1891" spans="2:17" ht="18" customHeight="1" x14ac:dyDescent="0.3">
      <c r="B1891" s="26"/>
      <c r="C1891" s="28"/>
      <c r="D1891" s="27"/>
      <c r="E1891" s="29"/>
      <c r="F1891" s="29"/>
      <c r="G1891" s="29"/>
      <c r="H1891" s="30" t="str">
        <f t="shared" si="203"/>
        <v/>
      </c>
      <c r="I1891" s="31" t="str">
        <f>IF(OR(B1891="",C1891=""),"",IFERROR(E1891*IF(E1891="",0,VLOOKUP(C1891,'📦 Precios Proforma'!$B$5:$D$104,IF(D1891="DIA",2,3),FALSE)),0))</f>
        <v/>
      </c>
      <c r="J1891" s="31" t="str">
        <f t="shared" si="204"/>
        <v/>
      </c>
      <c r="K1891" s="31" t="str">
        <f t="shared" si="205"/>
        <v/>
      </c>
      <c r="L1891" s="31" t="str">
        <f>IF(OR(B1891="",C1891=""),"",IFERROR(E1891 / SUMIFS('📅 Resumen Diario'!$D$5:$D$504, '📅 Resumen Diario'!$B$5:$B$504, B1891, '📅 Resumen Diario'!$C$5:$C$504, D1891) * SUMIFS('📅 Resumen Diario'!$K$5:$K$504, '📅 Resumen Diario'!$B$5:$B$504, B1891, '📅 Resumen Diario'!$C$5:$C$504, D1891), 0))</f>
        <v/>
      </c>
      <c r="M1891" s="31" t="str">
        <f t="shared" si="206"/>
        <v/>
      </c>
      <c r="N1891" s="31" t="str">
        <f t="shared" si="207"/>
        <v/>
      </c>
      <c r="O1891" s="31" t="str">
        <f>IF(OR(B1891="",C1891=""),"",K1891-N1891 + IFERROR(E1891 / SUMIFS('📅 Resumen Diario'!$D$5:$D$504, '📅 Resumen Diario'!$B$5:$B$504, B1891, '📅 Resumen Diario'!$C$5:$C$504, D1891) * (SUMIFS('📋 Detalle Diario'!$E$5:$E$489, '📋 Detalle Diario'!$B$5:$B$489, B1891, '📋 Detalle Diario'!$C$5:$C$489, D1891) * 135 + SUMIFS('📋 Detalle Diario'!$I$5:$I$489, '📋 Detalle Diario'!$B$5:$B$489, B1891, '📋 Detalle Diario'!$C$5:$C$489, D1891) * 200), 0))</f>
        <v/>
      </c>
      <c r="P1891" s="32" t="str">
        <f t="shared" si="208"/>
        <v/>
      </c>
      <c r="Q1891" s="33" t="str">
        <f t="shared" si="209"/>
        <v/>
      </c>
    </row>
    <row r="1892" spans="2:17" ht="18" customHeight="1" x14ac:dyDescent="0.3">
      <c r="B1892" s="26"/>
      <c r="C1892" s="17"/>
      <c r="D1892" s="27"/>
      <c r="E1892" s="18"/>
      <c r="F1892" s="18"/>
      <c r="G1892" s="18"/>
      <c r="H1892" s="30" t="str">
        <f t="shared" si="203"/>
        <v/>
      </c>
      <c r="I1892" s="31" t="str">
        <f>IF(OR(B1892="",C1892=""),"",IFERROR(E1892*IF(E1892="",0,VLOOKUP(C1892,'📦 Precios Proforma'!$B$5:$D$104,IF(D1892="DIA",2,3),FALSE)),0))</f>
        <v/>
      </c>
      <c r="J1892" s="31" t="str">
        <f t="shared" si="204"/>
        <v/>
      </c>
      <c r="K1892" s="31" t="str">
        <f t="shared" si="205"/>
        <v/>
      </c>
      <c r="L1892" s="31" t="str">
        <f>IF(OR(B1892="",C1892=""),"",IFERROR(E1892 / SUMIFS('📅 Resumen Diario'!$D$5:$D$504, '📅 Resumen Diario'!$B$5:$B$504, B1892, '📅 Resumen Diario'!$C$5:$C$504, D1892) * SUMIFS('📅 Resumen Diario'!$K$5:$K$504, '📅 Resumen Diario'!$B$5:$B$504, B1892, '📅 Resumen Diario'!$C$5:$C$504, D1892), 0))</f>
        <v/>
      </c>
      <c r="M1892" s="31" t="str">
        <f t="shared" si="206"/>
        <v/>
      </c>
      <c r="N1892" s="31" t="str">
        <f t="shared" si="207"/>
        <v/>
      </c>
      <c r="O1892" s="31" t="str">
        <f>IF(OR(B1892="",C1892=""),"",K1892-N1892 + IFERROR(E1892 / SUMIFS('📅 Resumen Diario'!$D$5:$D$504, '📅 Resumen Diario'!$B$5:$B$504, B1892, '📅 Resumen Diario'!$C$5:$C$504, D1892) * (SUMIFS('📋 Detalle Diario'!$E$5:$E$489, '📋 Detalle Diario'!$B$5:$B$489, B1892, '📋 Detalle Diario'!$C$5:$C$489, D1892) * 135 + SUMIFS('📋 Detalle Diario'!$I$5:$I$489, '📋 Detalle Diario'!$B$5:$B$489, B1892, '📋 Detalle Diario'!$C$5:$C$489, D1892) * 200), 0))</f>
        <v/>
      </c>
      <c r="P1892" s="32" t="str">
        <f t="shared" si="208"/>
        <v/>
      </c>
      <c r="Q1892" s="33" t="str">
        <f t="shared" si="209"/>
        <v/>
      </c>
    </row>
    <row r="1893" spans="2:17" ht="18" customHeight="1" x14ac:dyDescent="0.3">
      <c r="B1893" s="26"/>
      <c r="C1893" s="28"/>
      <c r="D1893" s="27"/>
      <c r="E1893" s="29"/>
      <c r="F1893" s="29"/>
      <c r="G1893" s="29"/>
      <c r="H1893" s="30" t="str">
        <f t="shared" si="203"/>
        <v/>
      </c>
      <c r="I1893" s="31" t="str">
        <f>IF(OR(B1893="",C1893=""),"",IFERROR(E1893*IF(E1893="",0,VLOOKUP(C1893,'📦 Precios Proforma'!$B$5:$D$104,IF(D1893="DIA",2,3),FALSE)),0))</f>
        <v/>
      </c>
      <c r="J1893" s="31" t="str">
        <f t="shared" si="204"/>
        <v/>
      </c>
      <c r="K1893" s="31" t="str">
        <f t="shared" si="205"/>
        <v/>
      </c>
      <c r="L1893" s="31" t="str">
        <f>IF(OR(B1893="",C1893=""),"",IFERROR(E1893 / SUMIFS('📅 Resumen Diario'!$D$5:$D$504, '📅 Resumen Diario'!$B$5:$B$504, B1893, '📅 Resumen Diario'!$C$5:$C$504, D1893) * SUMIFS('📅 Resumen Diario'!$K$5:$K$504, '📅 Resumen Diario'!$B$5:$B$504, B1893, '📅 Resumen Diario'!$C$5:$C$504, D1893), 0))</f>
        <v/>
      </c>
      <c r="M1893" s="31" t="str">
        <f t="shared" si="206"/>
        <v/>
      </c>
      <c r="N1893" s="31" t="str">
        <f t="shared" si="207"/>
        <v/>
      </c>
      <c r="O1893" s="31" t="str">
        <f>IF(OR(B1893="",C1893=""),"",K1893-N1893 + IFERROR(E1893 / SUMIFS('📅 Resumen Diario'!$D$5:$D$504, '📅 Resumen Diario'!$B$5:$B$504, B1893, '📅 Resumen Diario'!$C$5:$C$504, D1893) * (SUMIFS('📋 Detalle Diario'!$E$5:$E$489, '📋 Detalle Diario'!$B$5:$B$489, B1893, '📋 Detalle Diario'!$C$5:$C$489, D1893) * 135 + SUMIFS('📋 Detalle Diario'!$I$5:$I$489, '📋 Detalle Diario'!$B$5:$B$489, B1893, '📋 Detalle Diario'!$C$5:$C$489, D1893) * 200), 0))</f>
        <v/>
      </c>
      <c r="P1893" s="32" t="str">
        <f t="shared" si="208"/>
        <v/>
      </c>
      <c r="Q1893" s="33" t="str">
        <f t="shared" si="209"/>
        <v/>
      </c>
    </row>
    <row r="1894" spans="2:17" ht="18" customHeight="1" x14ac:dyDescent="0.3">
      <c r="B1894" s="26"/>
      <c r="C1894" s="17"/>
      <c r="D1894" s="27"/>
      <c r="E1894" s="18"/>
      <c r="F1894" s="18"/>
      <c r="G1894" s="18"/>
      <c r="H1894" s="30" t="str">
        <f t="shared" si="203"/>
        <v/>
      </c>
      <c r="I1894" s="31" t="str">
        <f>IF(OR(B1894="",C1894=""),"",IFERROR(E1894*IF(E1894="",0,VLOOKUP(C1894,'📦 Precios Proforma'!$B$5:$D$104,IF(D1894="DIA",2,3),FALSE)),0))</f>
        <v/>
      </c>
      <c r="J1894" s="31" t="str">
        <f t="shared" si="204"/>
        <v/>
      </c>
      <c r="K1894" s="31" t="str">
        <f t="shared" si="205"/>
        <v/>
      </c>
      <c r="L1894" s="31" t="str">
        <f>IF(OR(B1894="",C1894=""),"",IFERROR(E1894 / SUMIFS('📅 Resumen Diario'!$D$5:$D$504, '📅 Resumen Diario'!$B$5:$B$504, B1894, '📅 Resumen Diario'!$C$5:$C$504, D1894) * SUMIFS('📅 Resumen Diario'!$K$5:$K$504, '📅 Resumen Diario'!$B$5:$B$504, B1894, '📅 Resumen Diario'!$C$5:$C$504, D1894), 0))</f>
        <v/>
      </c>
      <c r="M1894" s="31" t="str">
        <f t="shared" si="206"/>
        <v/>
      </c>
      <c r="N1894" s="31" t="str">
        <f t="shared" si="207"/>
        <v/>
      </c>
      <c r="O1894" s="31" t="str">
        <f>IF(OR(B1894="",C1894=""),"",K1894-N1894 + IFERROR(E1894 / SUMIFS('📅 Resumen Diario'!$D$5:$D$504, '📅 Resumen Diario'!$B$5:$B$504, B1894, '📅 Resumen Diario'!$C$5:$C$504, D1894) * (SUMIFS('📋 Detalle Diario'!$E$5:$E$489, '📋 Detalle Diario'!$B$5:$B$489, B1894, '📋 Detalle Diario'!$C$5:$C$489, D1894) * 135 + SUMIFS('📋 Detalle Diario'!$I$5:$I$489, '📋 Detalle Diario'!$B$5:$B$489, B1894, '📋 Detalle Diario'!$C$5:$C$489, D1894) * 200), 0))</f>
        <v/>
      </c>
      <c r="P1894" s="32" t="str">
        <f t="shared" si="208"/>
        <v/>
      </c>
      <c r="Q1894" s="33" t="str">
        <f t="shared" si="209"/>
        <v/>
      </c>
    </row>
    <row r="1895" spans="2:17" ht="18" customHeight="1" x14ac:dyDescent="0.3">
      <c r="B1895" s="26"/>
      <c r="C1895" s="28"/>
      <c r="D1895" s="27"/>
      <c r="E1895" s="29"/>
      <c r="F1895" s="29"/>
      <c r="G1895" s="29"/>
      <c r="H1895" s="30" t="str">
        <f t="shared" si="203"/>
        <v/>
      </c>
      <c r="I1895" s="31" t="str">
        <f>IF(OR(B1895="",C1895=""),"",IFERROR(E1895*IF(E1895="",0,VLOOKUP(C1895,'📦 Precios Proforma'!$B$5:$D$104,IF(D1895="DIA",2,3),FALSE)),0))</f>
        <v/>
      </c>
      <c r="J1895" s="31" t="str">
        <f t="shared" si="204"/>
        <v/>
      </c>
      <c r="K1895" s="31" t="str">
        <f t="shared" si="205"/>
        <v/>
      </c>
      <c r="L1895" s="31" t="str">
        <f>IF(OR(B1895="",C1895=""),"",IFERROR(E1895 / SUMIFS('📅 Resumen Diario'!$D$5:$D$504, '📅 Resumen Diario'!$B$5:$B$504, B1895, '📅 Resumen Diario'!$C$5:$C$504, D1895) * SUMIFS('📅 Resumen Diario'!$K$5:$K$504, '📅 Resumen Diario'!$B$5:$B$504, B1895, '📅 Resumen Diario'!$C$5:$C$504, D1895), 0))</f>
        <v/>
      </c>
      <c r="M1895" s="31" t="str">
        <f t="shared" si="206"/>
        <v/>
      </c>
      <c r="N1895" s="31" t="str">
        <f t="shared" si="207"/>
        <v/>
      </c>
      <c r="O1895" s="31" t="str">
        <f>IF(OR(B1895="",C1895=""),"",K1895-N1895 + IFERROR(E1895 / SUMIFS('📅 Resumen Diario'!$D$5:$D$504, '📅 Resumen Diario'!$B$5:$B$504, B1895, '📅 Resumen Diario'!$C$5:$C$504, D1895) * (SUMIFS('📋 Detalle Diario'!$E$5:$E$489, '📋 Detalle Diario'!$B$5:$B$489, B1895, '📋 Detalle Diario'!$C$5:$C$489, D1895) * 135 + SUMIFS('📋 Detalle Diario'!$I$5:$I$489, '📋 Detalle Diario'!$B$5:$B$489, B1895, '📋 Detalle Diario'!$C$5:$C$489, D1895) * 200), 0))</f>
        <v/>
      </c>
      <c r="P1895" s="32" t="str">
        <f t="shared" si="208"/>
        <v/>
      </c>
      <c r="Q1895" s="33" t="str">
        <f t="shared" si="209"/>
        <v/>
      </c>
    </row>
    <row r="1896" spans="2:17" ht="18" customHeight="1" x14ac:dyDescent="0.3">
      <c r="B1896" s="26"/>
      <c r="C1896" s="17"/>
      <c r="D1896" s="27"/>
      <c r="E1896" s="18"/>
      <c r="F1896" s="18"/>
      <c r="G1896" s="18"/>
      <c r="H1896" s="30" t="str">
        <f t="shared" si="203"/>
        <v/>
      </c>
      <c r="I1896" s="31" t="str">
        <f>IF(OR(B1896="",C1896=""),"",IFERROR(E1896*IF(E1896="",0,VLOOKUP(C1896,'📦 Precios Proforma'!$B$5:$D$104,IF(D1896="DIA",2,3),FALSE)),0))</f>
        <v/>
      </c>
      <c r="J1896" s="31" t="str">
        <f t="shared" si="204"/>
        <v/>
      </c>
      <c r="K1896" s="31" t="str">
        <f t="shared" si="205"/>
        <v/>
      </c>
      <c r="L1896" s="31" t="str">
        <f>IF(OR(B1896="",C1896=""),"",IFERROR(E1896 / SUMIFS('📅 Resumen Diario'!$D$5:$D$504, '📅 Resumen Diario'!$B$5:$B$504, B1896, '📅 Resumen Diario'!$C$5:$C$504, D1896) * SUMIFS('📅 Resumen Diario'!$K$5:$K$504, '📅 Resumen Diario'!$B$5:$B$504, B1896, '📅 Resumen Diario'!$C$5:$C$504, D1896), 0))</f>
        <v/>
      </c>
      <c r="M1896" s="31" t="str">
        <f t="shared" si="206"/>
        <v/>
      </c>
      <c r="N1896" s="31" t="str">
        <f t="shared" si="207"/>
        <v/>
      </c>
      <c r="O1896" s="31" t="str">
        <f>IF(OR(B1896="",C1896=""),"",K1896-N1896 + IFERROR(E1896 / SUMIFS('📅 Resumen Diario'!$D$5:$D$504, '📅 Resumen Diario'!$B$5:$B$504, B1896, '📅 Resumen Diario'!$C$5:$C$504, D1896) * (SUMIFS('📋 Detalle Diario'!$E$5:$E$489, '📋 Detalle Diario'!$B$5:$B$489, B1896, '📋 Detalle Diario'!$C$5:$C$489, D1896) * 135 + SUMIFS('📋 Detalle Diario'!$I$5:$I$489, '📋 Detalle Diario'!$B$5:$B$489, B1896, '📋 Detalle Diario'!$C$5:$C$489, D1896) * 200), 0))</f>
        <v/>
      </c>
      <c r="P1896" s="32" t="str">
        <f t="shared" si="208"/>
        <v/>
      </c>
      <c r="Q1896" s="33" t="str">
        <f t="shared" si="209"/>
        <v/>
      </c>
    </row>
    <row r="1897" spans="2:17" ht="18" customHeight="1" x14ac:dyDescent="0.3">
      <c r="B1897" s="26"/>
      <c r="C1897" s="28"/>
      <c r="D1897" s="27"/>
      <c r="E1897" s="29"/>
      <c r="F1897" s="29"/>
      <c r="G1897" s="29"/>
      <c r="H1897" s="30" t="str">
        <f t="shared" si="203"/>
        <v/>
      </c>
      <c r="I1897" s="31" t="str">
        <f>IF(OR(B1897="",C1897=""),"",IFERROR(E1897*IF(E1897="",0,VLOOKUP(C1897,'📦 Precios Proforma'!$B$5:$D$104,IF(D1897="DIA",2,3),FALSE)),0))</f>
        <v/>
      </c>
      <c r="J1897" s="31" t="str">
        <f t="shared" si="204"/>
        <v/>
      </c>
      <c r="K1897" s="31" t="str">
        <f t="shared" si="205"/>
        <v/>
      </c>
      <c r="L1897" s="31" t="str">
        <f>IF(OR(B1897="",C1897=""),"",IFERROR(E1897 / SUMIFS('📅 Resumen Diario'!$D$5:$D$504, '📅 Resumen Diario'!$B$5:$B$504, B1897, '📅 Resumen Diario'!$C$5:$C$504, D1897) * SUMIFS('📅 Resumen Diario'!$K$5:$K$504, '📅 Resumen Diario'!$B$5:$B$504, B1897, '📅 Resumen Diario'!$C$5:$C$504, D1897), 0))</f>
        <v/>
      </c>
      <c r="M1897" s="31" t="str">
        <f t="shared" si="206"/>
        <v/>
      </c>
      <c r="N1897" s="31" t="str">
        <f t="shared" si="207"/>
        <v/>
      </c>
      <c r="O1897" s="31" t="str">
        <f>IF(OR(B1897="",C1897=""),"",K1897-N1897 + IFERROR(E1897 / SUMIFS('📅 Resumen Diario'!$D$5:$D$504, '📅 Resumen Diario'!$B$5:$B$504, B1897, '📅 Resumen Diario'!$C$5:$C$504, D1897) * (SUMIFS('📋 Detalle Diario'!$E$5:$E$489, '📋 Detalle Diario'!$B$5:$B$489, B1897, '📋 Detalle Diario'!$C$5:$C$489, D1897) * 135 + SUMIFS('📋 Detalle Diario'!$I$5:$I$489, '📋 Detalle Diario'!$B$5:$B$489, B1897, '📋 Detalle Diario'!$C$5:$C$489, D1897) * 200), 0))</f>
        <v/>
      </c>
      <c r="P1897" s="32" t="str">
        <f t="shared" si="208"/>
        <v/>
      </c>
      <c r="Q1897" s="33" t="str">
        <f t="shared" si="209"/>
        <v/>
      </c>
    </row>
    <row r="1898" spans="2:17" ht="18" customHeight="1" x14ac:dyDescent="0.3">
      <c r="B1898" s="26"/>
      <c r="C1898" s="17"/>
      <c r="D1898" s="27"/>
      <c r="E1898" s="18"/>
      <c r="F1898" s="18"/>
      <c r="G1898" s="18"/>
      <c r="H1898" s="30" t="str">
        <f t="shared" si="203"/>
        <v/>
      </c>
      <c r="I1898" s="31" t="str">
        <f>IF(OR(B1898="",C1898=""),"",IFERROR(E1898*IF(E1898="",0,VLOOKUP(C1898,'📦 Precios Proforma'!$B$5:$D$104,IF(D1898="DIA",2,3),FALSE)),0))</f>
        <v/>
      </c>
      <c r="J1898" s="31" t="str">
        <f t="shared" si="204"/>
        <v/>
      </c>
      <c r="K1898" s="31" t="str">
        <f t="shared" si="205"/>
        <v/>
      </c>
      <c r="L1898" s="31" t="str">
        <f>IF(OR(B1898="",C1898=""),"",IFERROR(E1898 / SUMIFS('📅 Resumen Diario'!$D$5:$D$504, '📅 Resumen Diario'!$B$5:$B$504, B1898, '📅 Resumen Diario'!$C$5:$C$504, D1898) * SUMIFS('📅 Resumen Diario'!$K$5:$K$504, '📅 Resumen Diario'!$B$5:$B$504, B1898, '📅 Resumen Diario'!$C$5:$C$504, D1898), 0))</f>
        <v/>
      </c>
      <c r="M1898" s="31" t="str">
        <f t="shared" si="206"/>
        <v/>
      </c>
      <c r="N1898" s="31" t="str">
        <f t="shared" si="207"/>
        <v/>
      </c>
      <c r="O1898" s="31" t="str">
        <f>IF(OR(B1898="",C1898=""),"",K1898-N1898 + IFERROR(E1898 / SUMIFS('📅 Resumen Diario'!$D$5:$D$504, '📅 Resumen Diario'!$B$5:$B$504, B1898, '📅 Resumen Diario'!$C$5:$C$504, D1898) * (SUMIFS('📋 Detalle Diario'!$E$5:$E$489, '📋 Detalle Diario'!$B$5:$B$489, B1898, '📋 Detalle Diario'!$C$5:$C$489, D1898) * 135 + SUMIFS('📋 Detalle Diario'!$I$5:$I$489, '📋 Detalle Diario'!$B$5:$B$489, B1898, '📋 Detalle Diario'!$C$5:$C$489, D1898) * 200), 0))</f>
        <v/>
      </c>
      <c r="P1898" s="32" t="str">
        <f t="shared" si="208"/>
        <v/>
      </c>
      <c r="Q1898" s="33" t="str">
        <f t="shared" si="209"/>
        <v/>
      </c>
    </row>
    <row r="1899" spans="2:17" ht="18" customHeight="1" x14ac:dyDescent="0.3">
      <c r="B1899" s="26"/>
      <c r="C1899" s="28"/>
      <c r="D1899" s="27"/>
      <c r="E1899" s="29"/>
      <c r="F1899" s="29"/>
      <c r="G1899" s="29"/>
      <c r="H1899" s="30" t="str">
        <f t="shared" si="203"/>
        <v/>
      </c>
      <c r="I1899" s="31" t="str">
        <f>IF(OR(B1899="",C1899=""),"",IFERROR(E1899*IF(E1899="",0,VLOOKUP(C1899,'📦 Precios Proforma'!$B$5:$D$104,IF(D1899="DIA",2,3),FALSE)),0))</f>
        <v/>
      </c>
      <c r="J1899" s="31" t="str">
        <f t="shared" si="204"/>
        <v/>
      </c>
      <c r="K1899" s="31" t="str">
        <f t="shared" si="205"/>
        <v/>
      </c>
      <c r="L1899" s="31" t="str">
        <f>IF(OR(B1899="",C1899=""),"",IFERROR(E1899 / SUMIFS('📅 Resumen Diario'!$D$5:$D$504, '📅 Resumen Diario'!$B$5:$B$504, B1899, '📅 Resumen Diario'!$C$5:$C$504, D1899) * SUMIFS('📅 Resumen Diario'!$K$5:$K$504, '📅 Resumen Diario'!$B$5:$B$504, B1899, '📅 Resumen Diario'!$C$5:$C$504, D1899), 0))</f>
        <v/>
      </c>
      <c r="M1899" s="31" t="str">
        <f t="shared" si="206"/>
        <v/>
      </c>
      <c r="N1899" s="31" t="str">
        <f t="shared" si="207"/>
        <v/>
      </c>
      <c r="O1899" s="31" t="str">
        <f>IF(OR(B1899="",C1899=""),"",K1899-N1899 + IFERROR(E1899 / SUMIFS('📅 Resumen Diario'!$D$5:$D$504, '📅 Resumen Diario'!$B$5:$B$504, B1899, '📅 Resumen Diario'!$C$5:$C$504, D1899) * (SUMIFS('📋 Detalle Diario'!$E$5:$E$489, '📋 Detalle Diario'!$B$5:$B$489, B1899, '📋 Detalle Diario'!$C$5:$C$489, D1899) * 135 + SUMIFS('📋 Detalle Diario'!$I$5:$I$489, '📋 Detalle Diario'!$B$5:$B$489, B1899, '📋 Detalle Diario'!$C$5:$C$489, D1899) * 200), 0))</f>
        <v/>
      </c>
      <c r="P1899" s="32" t="str">
        <f t="shared" si="208"/>
        <v/>
      </c>
      <c r="Q1899" s="33" t="str">
        <f t="shared" si="209"/>
        <v/>
      </c>
    </row>
    <row r="1900" spans="2:17" ht="18" customHeight="1" x14ac:dyDescent="0.3">
      <c r="B1900" s="26"/>
      <c r="C1900" s="17"/>
      <c r="D1900" s="27"/>
      <c r="E1900" s="18"/>
      <c r="F1900" s="18"/>
      <c r="G1900" s="18"/>
      <c r="H1900" s="30" t="str">
        <f t="shared" si="203"/>
        <v/>
      </c>
      <c r="I1900" s="31" t="str">
        <f>IF(OR(B1900="",C1900=""),"",IFERROR(E1900*IF(E1900="",0,VLOOKUP(C1900,'📦 Precios Proforma'!$B$5:$D$104,IF(D1900="DIA",2,3),FALSE)),0))</f>
        <v/>
      </c>
      <c r="J1900" s="31" t="str">
        <f t="shared" si="204"/>
        <v/>
      </c>
      <c r="K1900" s="31" t="str">
        <f t="shared" si="205"/>
        <v/>
      </c>
      <c r="L1900" s="31" t="str">
        <f>IF(OR(B1900="",C1900=""),"",IFERROR(E1900 / SUMIFS('📅 Resumen Diario'!$D$5:$D$504, '📅 Resumen Diario'!$B$5:$B$504, B1900, '📅 Resumen Diario'!$C$5:$C$504, D1900) * SUMIFS('📅 Resumen Diario'!$K$5:$K$504, '📅 Resumen Diario'!$B$5:$B$504, B1900, '📅 Resumen Diario'!$C$5:$C$504, D1900), 0))</f>
        <v/>
      </c>
      <c r="M1900" s="31" t="str">
        <f t="shared" si="206"/>
        <v/>
      </c>
      <c r="N1900" s="31" t="str">
        <f t="shared" si="207"/>
        <v/>
      </c>
      <c r="O1900" s="31" t="str">
        <f>IF(OR(B1900="",C1900=""),"",K1900-N1900 + IFERROR(E1900 / SUMIFS('📅 Resumen Diario'!$D$5:$D$504, '📅 Resumen Diario'!$B$5:$B$504, B1900, '📅 Resumen Diario'!$C$5:$C$504, D1900) * (SUMIFS('📋 Detalle Diario'!$E$5:$E$489, '📋 Detalle Diario'!$B$5:$B$489, B1900, '📋 Detalle Diario'!$C$5:$C$489, D1900) * 135 + SUMIFS('📋 Detalle Diario'!$I$5:$I$489, '📋 Detalle Diario'!$B$5:$B$489, B1900, '📋 Detalle Diario'!$C$5:$C$489, D1900) * 200), 0))</f>
        <v/>
      </c>
      <c r="P1900" s="32" t="str">
        <f t="shared" si="208"/>
        <v/>
      </c>
      <c r="Q1900" s="33" t="str">
        <f t="shared" si="209"/>
        <v/>
      </c>
    </row>
    <row r="1901" spans="2:17" ht="18" customHeight="1" x14ac:dyDescent="0.3">
      <c r="B1901" s="26"/>
      <c r="C1901" s="28"/>
      <c r="D1901" s="27"/>
      <c r="E1901" s="29"/>
      <c r="F1901" s="29"/>
      <c r="G1901" s="29"/>
      <c r="H1901" s="30" t="str">
        <f t="shared" si="203"/>
        <v/>
      </c>
      <c r="I1901" s="31" t="str">
        <f>IF(OR(B1901="",C1901=""),"",IFERROR(E1901*IF(E1901="",0,VLOOKUP(C1901,'📦 Precios Proforma'!$B$5:$D$104,IF(D1901="DIA",2,3),FALSE)),0))</f>
        <v/>
      </c>
      <c r="J1901" s="31" t="str">
        <f t="shared" si="204"/>
        <v/>
      </c>
      <c r="K1901" s="31" t="str">
        <f t="shared" si="205"/>
        <v/>
      </c>
      <c r="L1901" s="31" t="str">
        <f>IF(OR(B1901="",C1901=""),"",IFERROR(E1901 / SUMIFS('📅 Resumen Diario'!$D$5:$D$504, '📅 Resumen Diario'!$B$5:$B$504, B1901, '📅 Resumen Diario'!$C$5:$C$504, D1901) * SUMIFS('📅 Resumen Diario'!$K$5:$K$504, '📅 Resumen Diario'!$B$5:$B$504, B1901, '📅 Resumen Diario'!$C$5:$C$504, D1901), 0))</f>
        <v/>
      </c>
      <c r="M1901" s="31" t="str">
        <f t="shared" si="206"/>
        <v/>
      </c>
      <c r="N1901" s="31" t="str">
        <f t="shared" si="207"/>
        <v/>
      </c>
      <c r="O1901" s="31" t="str">
        <f>IF(OR(B1901="",C1901=""),"",K1901-N1901 + IFERROR(E1901 / SUMIFS('📅 Resumen Diario'!$D$5:$D$504, '📅 Resumen Diario'!$B$5:$B$504, B1901, '📅 Resumen Diario'!$C$5:$C$504, D1901) * (SUMIFS('📋 Detalle Diario'!$E$5:$E$489, '📋 Detalle Diario'!$B$5:$B$489, B1901, '📋 Detalle Diario'!$C$5:$C$489, D1901) * 135 + SUMIFS('📋 Detalle Diario'!$I$5:$I$489, '📋 Detalle Diario'!$B$5:$B$489, B1901, '📋 Detalle Diario'!$C$5:$C$489, D1901) * 200), 0))</f>
        <v/>
      </c>
      <c r="P1901" s="32" t="str">
        <f t="shared" si="208"/>
        <v/>
      </c>
      <c r="Q1901" s="33" t="str">
        <f t="shared" si="209"/>
        <v/>
      </c>
    </row>
    <row r="1902" spans="2:17" ht="18" customHeight="1" x14ac:dyDescent="0.3">
      <c r="B1902" s="26"/>
      <c r="C1902" s="17"/>
      <c r="D1902" s="27"/>
      <c r="E1902" s="18"/>
      <c r="F1902" s="18"/>
      <c r="G1902" s="18"/>
      <c r="H1902" s="30" t="str">
        <f t="shared" si="203"/>
        <v/>
      </c>
      <c r="I1902" s="31" t="str">
        <f>IF(OR(B1902="",C1902=""),"",IFERROR(E1902*IF(E1902="",0,VLOOKUP(C1902,'📦 Precios Proforma'!$B$5:$D$104,IF(D1902="DIA",2,3),FALSE)),0))</f>
        <v/>
      </c>
      <c r="J1902" s="31" t="str">
        <f t="shared" si="204"/>
        <v/>
      </c>
      <c r="K1902" s="31" t="str">
        <f t="shared" si="205"/>
        <v/>
      </c>
      <c r="L1902" s="31" t="str">
        <f>IF(OR(B1902="",C1902=""),"",IFERROR(E1902 / SUMIFS('📅 Resumen Diario'!$D$5:$D$504, '📅 Resumen Diario'!$B$5:$B$504, B1902, '📅 Resumen Diario'!$C$5:$C$504, D1902) * SUMIFS('📅 Resumen Diario'!$K$5:$K$504, '📅 Resumen Diario'!$B$5:$B$504, B1902, '📅 Resumen Diario'!$C$5:$C$504, D1902), 0))</f>
        <v/>
      </c>
      <c r="M1902" s="31" t="str">
        <f t="shared" si="206"/>
        <v/>
      </c>
      <c r="N1902" s="31" t="str">
        <f t="shared" si="207"/>
        <v/>
      </c>
      <c r="O1902" s="31" t="str">
        <f>IF(OR(B1902="",C1902=""),"",K1902-N1902 + IFERROR(E1902 / SUMIFS('📅 Resumen Diario'!$D$5:$D$504, '📅 Resumen Diario'!$B$5:$B$504, B1902, '📅 Resumen Diario'!$C$5:$C$504, D1902) * (SUMIFS('📋 Detalle Diario'!$E$5:$E$489, '📋 Detalle Diario'!$B$5:$B$489, B1902, '📋 Detalle Diario'!$C$5:$C$489, D1902) * 135 + SUMIFS('📋 Detalle Diario'!$I$5:$I$489, '📋 Detalle Diario'!$B$5:$B$489, B1902, '📋 Detalle Diario'!$C$5:$C$489, D1902) * 200), 0))</f>
        <v/>
      </c>
      <c r="P1902" s="32" t="str">
        <f t="shared" si="208"/>
        <v/>
      </c>
      <c r="Q1902" s="33" t="str">
        <f t="shared" si="209"/>
        <v/>
      </c>
    </row>
    <row r="1903" spans="2:17" ht="18" customHeight="1" x14ac:dyDescent="0.3">
      <c r="B1903" s="26"/>
      <c r="C1903" s="28"/>
      <c r="D1903" s="27"/>
      <c r="E1903" s="29"/>
      <c r="F1903" s="29"/>
      <c r="G1903" s="29"/>
      <c r="H1903" s="30" t="str">
        <f t="shared" si="203"/>
        <v/>
      </c>
      <c r="I1903" s="31" t="str">
        <f>IF(OR(B1903="",C1903=""),"",IFERROR(E1903*IF(E1903="",0,VLOOKUP(C1903,'📦 Precios Proforma'!$B$5:$D$104,IF(D1903="DIA",2,3),FALSE)),0))</f>
        <v/>
      </c>
      <c r="J1903" s="31" t="str">
        <f t="shared" si="204"/>
        <v/>
      </c>
      <c r="K1903" s="31" t="str">
        <f t="shared" si="205"/>
        <v/>
      </c>
      <c r="L1903" s="31" t="str">
        <f>IF(OR(B1903="",C1903=""),"",IFERROR(E1903 / SUMIFS('📅 Resumen Diario'!$D$5:$D$504, '📅 Resumen Diario'!$B$5:$B$504, B1903, '📅 Resumen Diario'!$C$5:$C$504, D1903) * SUMIFS('📅 Resumen Diario'!$K$5:$K$504, '📅 Resumen Diario'!$B$5:$B$504, B1903, '📅 Resumen Diario'!$C$5:$C$504, D1903), 0))</f>
        <v/>
      </c>
      <c r="M1903" s="31" t="str">
        <f t="shared" si="206"/>
        <v/>
      </c>
      <c r="N1903" s="31" t="str">
        <f t="shared" si="207"/>
        <v/>
      </c>
      <c r="O1903" s="31" t="str">
        <f>IF(OR(B1903="",C1903=""),"",K1903-N1903 + IFERROR(E1903 / SUMIFS('📅 Resumen Diario'!$D$5:$D$504, '📅 Resumen Diario'!$B$5:$B$504, B1903, '📅 Resumen Diario'!$C$5:$C$504, D1903) * (SUMIFS('📋 Detalle Diario'!$E$5:$E$489, '📋 Detalle Diario'!$B$5:$B$489, B1903, '📋 Detalle Diario'!$C$5:$C$489, D1903) * 135 + SUMIFS('📋 Detalle Diario'!$I$5:$I$489, '📋 Detalle Diario'!$B$5:$B$489, B1903, '📋 Detalle Diario'!$C$5:$C$489, D1903) * 200), 0))</f>
        <v/>
      </c>
      <c r="P1903" s="32" t="str">
        <f t="shared" si="208"/>
        <v/>
      </c>
      <c r="Q1903" s="33" t="str">
        <f t="shared" si="209"/>
        <v/>
      </c>
    </row>
    <row r="1904" spans="2:17" ht="18" customHeight="1" x14ac:dyDescent="0.3">
      <c r="B1904" s="26"/>
      <c r="C1904" s="17"/>
      <c r="D1904" s="27"/>
      <c r="E1904" s="18"/>
      <c r="F1904" s="18"/>
      <c r="G1904" s="18"/>
      <c r="H1904" s="30" t="str">
        <f t="shared" si="203"/>
        <v/>
      </c>
      <c r="I1904" s="31" t="str">
        <f>IF(OR(B1904="",C1904=""),"",IFERROR(E1904*IF(E1904="",0,VLOOKUP(C1904,'📦 Precios Proforma'!$B$5:$D$104,IF(D1904="DIA",2,3),FALSE)),0))</f>
        <v/>
      </c>
      <c r="J1904" s="31" t="str">
        <f t="shared" si="204"/>
        <v/>
      </c>
      <c r="K1904" s="31" t="str">
        <f t="shared" si="205"/>
        <v/>
      </c>
      <c r="L1904" s="31" t="str">
        <f>IF(OR(B1904="",C1904=""),"",IFERROR(E1904 / SUMIFS('📅 Resumen Diario'!$D$5:$D$504, '📅 Resumen Diario'!$B$5:$B$504, B1904, '📅 Resumen Diario'!$C$5:$C$504, D1904) * SUMIFS('📅 Resumen Diario'!$K$5:$K$504, '📅 Resumen Diario'!$B$5:$B$504, B1904, '📅 Resumen Diario'!$C$5:$C$504, D1904), 0))</f>
        <v/>
      </c>
      <c r="M1904" s="31" t="str">
        <f t="shared" si="206"/>
        <v/>
      </c>
      <c r="N1904" s="31" t="str">
        <f t="shared" si="207"/>
        <v/>
      </c>
      <c r="O1904" s="31" t="str">
        <f>IF(OR(B1904="",C1904=""),"",K1904-N1904 + IFERROR(E1904 / SUMIFS('📅 Resumen Diario'!$D$5:$D$504, '📅 Resumen Diario'!$B$5:$B$504, B1904, '📅 Resumen Diario'!$C$5:$C$504, D1904) * (SUMIFS('📋 Detalle Diario'!$E$5:$E$489, '📋 Detalle Diario'!$B$5:$B$489, B1904, '📋 Detalle Diario'!$C$5:$C$489, D1904) * 135 + SUMIFS('📋 Detalle Diario'!$I$5:$I$489, '📋 Detalle Diario'!$B$5:$B$489, B1904, '📋 Detalle Diario'!$C$5:$C$489, D1904) * 200), 0))</f>
        <v/>
      </c>
      <c r="P1904" s="32" t="str">
        <f t="shared" si="208"/>
        <v/>
      </c>
      <c r="Q1904" s="33" t="str">
        <f t="shared" si="209"/>
        <v/>
      </c>
    </row>
    <row r="1905" spans="2:17" ht="18" customHeight="1" x14ac:dyDescent="0.3">
      <c r="B1905" s="26"/>
      <c r="C1905" s="28"/>
      <c r="D1905" s="27"/>
      <c r="E1905" s="29"/>
      <c r="F1905" s="29"/>
      <c r="G1905" s="29"/>
      <c r="H1905" s="30" t="str">
        <f t="shared" si="203"/>
        <v/>
      </c>
      <c r="I1905" s="31" t="str">
        <f>IF(OR(B1905="",C1905=""),"",IFERROR(E1905*IF(E1905="",0,VLOOKUP(C1905,'📦 Precios Proforma'!$B$5:$D$104,IF(D1905="DIA",2,3),FALSE)),0))</f>
        <v/>
      </c>
      <c r="J1905" s="31" t="str">
        <f t="shared" si="204"/>
        <v/>
      </c>
      <c r="K1905" s="31" t="str">
        <f t="shared" si="205"/>
        <v/>
      </c>
      <c r="L1905" s="31" t="str">
        <f>IF(OR(B1905="",C1905=""),"",IFERROR(E1905 / SUMIFS('📅 Resumen Diario'!$D$5:$D$504, '📅 Resumen Diario'!$B$5:$B$504, B1905, '📅 Resumen Diario'!$C$5:$C$504, D1905) * SUMIFS('📅 Resumen Diario'!$K$5:$K$504, '📅 Resumen Diario'!$B$5:$B$504, B1905, '📅 Resumen Diario'!$C$5:$C$504, D1905), 0))</f>
        <v/>
      </c>
      <c r="M1905" s="31" t="str">
        <f t="shared" si="206"/>
        <v/>
      </c>
      <c r="N1905" s="31" t="str">
        <f t="shared" si="207"/>
        <v/>
      </c>
      <c r="O1905" s="31" t="str">
        <f>IF(OR(B1905="",C1905=""),"",K1905-N1905 + IFERROR(E1905 / SUMIFS('📅 Resumen Diario'!$D$5:$D$504, '📅 Resumen Diario'!$B$5:$B$504, B1905, '📅 Resumen Diario'!$C$5:$C$504, D1905) * (SUMIFS('📋 Detalle Diario'!$E$5:$E$489, '📋 Detalle Diario'!$B$5:$B$489, B1905, '📋 Detalle Diario'!$C$5:$C$489, D1905) * 135 + SUMIFS('📋 Detalle Diario'!$I$5:$I$489, '📋 Detalle Diario'!$B$5:$B$489, B1905, '📋 Detalle Diario'!$C$5:$C$489, D1905) * 200), 0))</f>
        <v/>
      </c>
      <c r="P1905" s="32" t="str">
        <f t="shared" si="208"/>
        <v/>
      </c>
      <c r="Q1905" s="33" t="str">
        <f t="shared" si="209"/>
        <v/>
      </c>
    </row>
    <row r="1906" spans="2:17" ht="18" customHeight="1" x14ac:dyDescent="0.3">
      <c r="B1906" s="26"/>
      <c r="C1906" s="17"/>
      <c r="D1906" s="27"/>
      <c r="E1906" s="18"/>
      <c r="F1906" s="18"/>
      <c r="G1906" s="18"/>
      <c r="H1906" s="30" t="str">
        <f t="shared" si="203"/>
        <v/>
      </c>
      <c r="I1906" s="31" t="str">
        <f>IF(OR(B1906="",C1906=""),"",IFERROR(E1906*IF(E1906="",0,VLOOKUP(C1906,'📦 Precios Proforma'!$B$5:$D$104,IF(D1906="DIA",2,3),FALSE)),0))</f>
        <v/>
      </c>
      <c r="J1906" s="31" t="str">
        <f t="shared" si="204"/>
        <v/>
      </c>
      <c r="K1906" s="31" t="str">
        <f t="shared" si="205"/>
        <v/>
      </c>
      <c r="L1906" s="31" t="str">
        <f>IF(OR(B1906="",C1906=""),"",IFERROR(E1906 / SUMIFS('📅 Resumen Diario'!$D$5:$D$504, '📅 Resumen Diario'!$B$5:$B$504, B1906, '📅 Resumen Diario'!$C$5:$C$504, D1906) * SUMIFS('📅 Resumen Diario'!$K$5:$K$504, '📅 Resumen Diario'!$B$5:$B$504, B1906, '📅 Resumen Diario'!$C$5:$C$504, D1906), 0))</f>
        <v/>
      </c>
      <c r="M1906" s="31" t="str">
        <f t="shared" si="206"/>
        <v/>
      </c>
      <c r="N1906" s="31" t="str">
        <f t="shared" si="207"/>
        <v/>
      </c>
      <c r="O1906" s="31" t="str">
        <f>IF(OR(B1906="",C1906=""),"",K1906-N1906 + IFERROR(E1906 / SUMIFS('📅 Resumen Diario'!$D$5:$D$504, '📅 Resumen Diario'!$B$5:$B$504, B1906, '📅 Resumen Diario'!$C$5:$C$504, D1906) * (SUMIFS('📋 Detalle Diario'!$E$5:$E$489, '📋 Detalle Diario'!$B$5:$B$489, B1906, '📋 Detalle Diario'!$C$5:$C$489, D1906) * 135 + SUMIFS('📋 Detalle Diario'!$I$5:$I$489, '📋 Detalle Diario'!$B$5:$B$489, B1906, '📋 Detalle Diario'!$C$5:$C$489, D1906) * 200), 0))</f>
        <v/>
      </c>
      <c r="P1906" s="32" t="str">
        <f t="shared" si="208"/>
        <v/>
      </c>
      <c r="Q1906" s="33" t="str">
        <f t="shared" si="209"/>
        <v/>
      </c>
    </row>
    <row r="1907" spans="2:17" ht="18" customHeight="1" x14ac:dyDescent="0.3">
      <c r="B1907" s="26"/>
      <c r="C1907" s="28"/>
      <c r="D1907" s="27"/>
      <c r="E1907" s="29"/>
      <c r="F1907" s="29"/>
      <c r="G1907" s="29"/>
      <c r="H1907" s="30" t="str">
        <f t="shared" si="203"/>
        <v/>
      </c>
      <c r="I1907" s="31" t="str">
        <f>IF(OR(B1907="",C1907=""),"",IFERROR(E1907*IF(E1907="",0,VLOOKUP(C1907,'📦 Precios Proforma'!$B$5:$D$104,IF(D1907="DIA",2,3),FALSE)),0))</f>
        <v/>
      </c>
      <c r="J1907" s="31" t="str">
        <f t="shared" si="204"/>
        <v/>
      </c>
      <c r="K1907" s="31" t="str">
        <f t="shared" si="205"/>
        <v/>
      </c>
      <c r="L1907" s="31" t="str">
        <f>IF(OR(B1907="",C1907=""),"",IFERROR(E1907 / SUMIFS('📅 Resumen Diario'!$D$5:$D$504, '📅 Resumen Diario'!$B$5:$B$504, B1907, '📅 Resumen Diario'!$C$5:$C$504, D1907) * SUMIFS('📅 Resumen Diario'!$K$5:$K$504, '📅 Resumen Diario'!$B$5:$B$504, B1907, '📅 Resumen Diario'!$C$5:$C$504, D1907), 0))</f>
        <v/>
      </c>
      <c r="M1907" s="31" t="str">
        <f t="shared" si="206"/>
        <v/>
      </c>
      <c r="N1907" s="31" t="str">
        <f t="shared" si="207"/>
        <v/>
      </c>
      <c r="O1907" s="31" t="str">
        <f>IF(OR(B1907="",C1907=""),"",K1907-N1907 + IFERROR(E1907 / SUMIFS('📅 Resumen Diario'!$D$5:$D$504, '📅 Resumen Diario'!$B$5:$B$504, B1907, '📅 Resumen Diario'!$C$5:$C$504, D1907) * (SUMIFS('📋 Detalle Diario'!$E$5:$E$489, '📋 Detalle Diario'!$B$5:$B$489, B1907, '📋 Detalle Diario'!$C$5:$C$489, D1907) * 135 + SUMIFS('📋 Detalle Diario'!$I$5:$I$489, '📋 Detalle Diario'!$B$5:$B$489, B1907, '📋 Detalle Diario'!$C$5:$C$489, D1907) * 200), 0))</f>
        <v/>
      </c>
      <c r="P1907" s="32" t="str">
        <f t="shared" si="208"/>
        <v/>
      </c>
      <c r="Q1907" s="33" t="str">
        <f t="shared" si="209"/>
        <v/>
      </c>
    </row>
    <row r="1908" spans="2:17" ht="18" customHeight="1" x14ac:dyDescent="0.3">
      <c r="B1908" s="26"/>
      <c r="C1908" s="17"/>
      <c r="D1908" s="27"/>
      <c r="E1908" s="18"/>
      <c r="F1908" s="18"/>
      <c r="G1908" s="18"/>
      <c r="H1908" s="30" t="str">
        <f t="shared" si="203"/>
        <v/>
      </c>
      <c r="I1908" s="31" t="str">
        <f>IF(OR(B1908="",C1908=""),"",IFERROR(E1908*IF(E1908="",0,VLOOKUP(C1908,'📦 Precios Proforma'!$B$5:$D$104,IF(D1908="DIA",2,3),FALSE)),0))</f>
        <v/>
      </c>
      <c r="J1908" s="31" t="str">
        <f t="shared" si="204"/>
        <v/>
      </c>
      <c r="K1908" s="31" t="str">
        <f t="shared" si="205"/>
        <v/>
      </c>
      <c r="L1908" s="31" t="str">
        <f>IF(OR(B1908="",C1908=""),"",IFERROR(E1908 / SUMIFS('📅 Resumen Diario'!$D$5:$D$504, '📅 Resumen Diario'!$B$5:$B$504, B1908, '📅 Resumen Diario'!$C$5:$C$504, D1908) * SUMIFS('📅 Resumen Diario'!$K$5:$K$504, '📅 Resumen Diario'!$B$5:$B$504, B1908, '📅 Resumen Diario'!$C$5:$C$504, D1908), 0))</f>
        <v/>
      </c>
      <c r="M1908" s="31" t="str">
        <f t="shared" si="206"/>
        <v/>
      </c>
      <c r="N1908" s="31" t="str">
        <f t="shared" si="207"/>
        <v/>
      </c>
      <c r="O1908" s="31" t="str">
        <f>IF(OR(B1908="",C1908=""),"",K1908-N1908 + IFERROR(E1908 / SUMIFS('📅 Resumen Diario'!$D$5:$D$504, '📅 Resumen Diario'!$B$5:$B$504, B1908, '📅 Resumen Diario'!$C$5:$C$504, D1908) * (SUMIFS('📋 Detalle Diario'!$E$5:$E$489, '📋 Detalle Diario'!$B$5:$B$489, B1908, '📋 Detalle Diario'!$C$5:$C$489, D1908) * 135 + SUMIFS('📋 Detalle Diario'!$I$5:$I$489, '📋 Detalle Diario'!$B$5:$B$489, B1908, '📋 Detalle Diario'!$C$5:$C$489, D1908) * 200), 0))</f>
        <v/>
      </c>
      <c r="P1908" s="32" t="str">
        <f t="shared" si="208"/>
        <v/>
      </c>
      <c r="Q1908" s="33" t="str">
        <f t="shared" si="209"/>
        <v/>
      </c>
    </row>
    <row r="1909" spans="2:17" ht="18" customHeight="1" x14ac:dyDescent="0.3">
      <c r="B1909" s="26"/>
      <c r="C1909" s="28"/>
      <c r="D1909" s="27"/>
      <c r="E1909" s="29"/>
      <c r="F1909" s="29"/>
      <c r="G1909" s="29"/>
      <c r="H1909" s="30" t="str">
        <f t="shared" si="203"/>
        <v/>
      </c>
      <c r="I1909" s="31" t="str">
        <f>IF(OR(B1909="",C1909=""),"",IFERROR(E1909*IF(E1909="",0,VLOOKUP(C1909,'📦 Precios Proforma'!$B$5:$D$104,IF(D1909="DIA",2,3),FALSE)),0))</f>
        <v/>
      </c>
      <c r="J1909" s="31" t="str">
        <f t="shared" si="204"/>
        <v/>
      </c>
      <c r="K1909" s="31" t="str">
        <f t="shared" si="205"/>
        <v/>
      </c>
      <c r="L1909" s="31" t="str">
        <f>IF(OR(B1909="",C1909=""),"",IFERROR(E1909 / SUMIFS('📅 Resumen Diario'!$D$5:$D$504, '📅 Resumen Diario'!$B$5:$B$504, B1909, '📅 Resumen Diario'!$C$5:$C$504, D1909) * SUMIFS('📅 Resumen Diario'!$K$5:$K$504, '📅 Resumen Diario'!$B$5:$B$504, B1909, '📅 Resumen Diario'!$C$5:$C$504, D1909), 0))</f>
        <v/>
      </c>
      <c r="M1909" s="31" t="str">
        <f t="shared" si="206"/>
        <v/>
      </c>
      <c r="N1909" s="31" t="str">
        <f t="shared" si="207"/>
        <v/>
      </c>
      <c r="O1909" s="31" t="str">
        <f>IF(OR(B1909="",C1909=""),"",K1909-N1909 + IFERROR(E1909 / SUMIFS('📅 Resumen Diario'!$D$5:$D$504, '📅 Resumen Diario'!$B$5:$B$504, B1909, '📅 Resumen Diario'!$C$5:$C$504, D1909) * (SUMIFS('📋 Detalle Diario'!$E$5:$E$489, '📋 Detalle Diario'!$B$5:$B$489, B1909, '📋 Detalle Diario'!$C$5:$C$489, D1909) * 135 + SUMIFS('📋 Detalle Diario'!$I$5:$I$489, '📋 Detalle Diario'!$B$5:$B$489, B1909, '📋 Detalle Diario'!$C$5:$C$489, D1909) * 200), 0))</f>
        <v/>
      </c>
      <c r="P1909" s="32" t="str">
        <f t="shared" si="208"/>
        <v/>
      </c>
      <c r="Q1909" s="33" t="str">
        <f t="shared" si="209"/>
        <v/>
      </c>
    </row>
    <row r="1910" spans="2:17" ht="18" customHeight="1" x14ac:dyDescent="0.3">
      <c r="B1910" s="26"/>
      <c r="C1910" s="17"/>
      <c r="D1910" s="27"/>
      <c r="E1910" s="18"/>
      <c r="F1910" s="18"/>
      <c r="G1910" s="18"/>
      <c r="H1910" s="30" t="str">
        <f t="shared" si="203"/>
        <v/>
      </c>
      <c r="I1910" s="31" t="str">
        <f>IF(OR(B1910="",C1910=""),"",IFERROR(E1910*IF(E1910="",0,VLOOKUP(C1910,'📦 Precios Proforma'!$B$5:$D$104,IF(D1910="DIA",2,3),FALSE)),0))</f>
        <v/>
      </c>
      <c r="J1910" s="31" t="str">
        <f t="shared" si="204"/>
        <v/>
      </c>
      <c r="K1910" s="31" t="str">
        <f t="shared" si="205"/>
        <v/>
      </c>
      <c r="L1910" s="31" t="str">
        <f>IF(OR(B1910="",C1910=""),"",IFERROR(E1910 / SUMIFS('📅 Resumen Diario'!$D$5:$D$504, '📅 Resumen Diario'!$B$5:$B$504, B1910, '📅 Resumen Diario'!$C$5:$C$504, D1910) * SUMIFS('📅 Resumen Diario'!$K$5:$K$504, '📅 Resumen Diario'!$B$5:$B$504, B1910, '📅 Resumen Diario'!$C$5:$C$504, D1910), 0))</f>
        <v/>
      </c>
      <c r="M1910" s="31" t="str">
        <f t="shared" si="206"/>
        <v/>
      </c>
      <c r="N1910" s="31" t="str">
        <f t="shared" si="207"/>
        <v/>
      </c>
      <c r="O1910" s="31" t="str">
        <f>IF(OR(B1910="",C1910=""),"",K1910-N1910 + IFERROR(E1910 / SUMIFS('📅 Resumen Diario'!$D$5:$D$504, '📅 Resumen Diario'!$B$5:$B$504, B1910, '📅 Resumen Diario'!$C$5:$C$504, D1910) * (SUMIFS('📋 Detalle Diario'!$E$5:$E$489, '📋 Detalle Diario'!$B$5:$B$489, B1910, '📋 Detalle Diario'!$C$5:$C$489, D1910) * 135 + SUMIFS('📋 Detalle Diario'!$I$5:$I$489, '📋 Detalle Diario'!$B$5:$B$489, B1910, '📋 Detalle Diario'!$C$5:$C$489, D1910) * 200), 0))</f>
        <v/>
      </c>
      <c r="P1910" s="32" t="str">
        <f t="shared" si="208"/>
        <v/>
      </c>
      <c r="Q1910" s="33" t="str">
        <f t="shared" si="209"/>
        <v/>
      </c>
    </row>
    <row r="1911" spans="2:17" ht="18" customHeight="1" x14ac:dyDescent="0.3">
      <c r="B1911" s="26"/>
      <c r="C1911" s="28"/>
      <c r="D1911" s="27"/>
      <c r="E1911" s="29"/>
      <c r="F1911" s="29"/>
      <c r="G1911" s="29"/>
      <c r="H1911" s="30" t="str">
        <f t="shared" si="203"/>
        <v/>
      </c>
      <c r="I1911" s="31" t="str">
        <f>IF(OR(B1911="",C1911=""),"",IFERROR(E1911*IF(E1911="",0,VLOOKUP(C1911,'📦 Precios Proforma'!$B$5:$D$104,IF(D1911="DIA",2,3),FALSE)),0))</f>
        <v/>
      </c>
      <c r="J1911" s="31" t="str">
        <f t="shared" si="204"/>
        <v/>
      </c>
      <c r="K1911" s="31" t="str">
        <f t="shared" si="205"/>
        <v/>
      </c>
      <c r="L1911" s="31" t="str">
        <f>IF(OR(B1911="",C1911=""),"",IFERROR(E1911 / SUMIFS('📅 Resumen Diario'!$D$5:$D$504, '📅 Resumen Diario'!$B$5:$B$504, B1911, '📅 Resumen Diario'!$C$5:$C$504, D1911) * SUMIFS('📅 Resumen Diario'!$K$5:$K$504, '📅 Resumen Diario'!$B$5:$B$504, B1911, '📅 Resumen Diario'!$C$5:$C$504, D1911), 0))</f>
        <v/>
      </c>
      <c r="M1911" s="31" t="str">
        <f t="shared" si="206"/>
        <v/>
      </c>
      <c r="N1911" s="31" t="str">
        <f t="shared" si="207"/>
        <v/>
      </c>
      <c r="O1911" s="31" t="str">
        <f>IF(OR(B1911="",C1911=""),"",K1911-N1911 + IFERROR(E1911 / SUMIFS('📅 Resumen Diario'!$D$5:$D$504, '📅 Resumen Diario'!$B$5:$B$504, B1911, '📅 Resumen Diario'!$C$5:$C$504, D1911) * (SUMIFS('📋 Detalle Diario'!$E$5:$E$489, '📋 Detalle Diario'!$B$5:$B$489, B1911, '📋 Detalle Diario'!$C$5:$C$489, D1911) * 135 + SUMIFS('📋 Detalle Diario'!$I$5:$I$489, '📋 Detalle Diario'!$B$5:$B$489, B1911, '📋 Detalle Diario'!$C$5:$C$489, D1911) * 200), 0))</f>
        <v/>
      </c>
      <c r="P1911" s="32" t="str">
        <f t="shared" si="208"/>
        <v/>
      </c>
      <c r="Q1911" s="33" t="str">
        <f t="shared" si="209"/>
        <v/>
      </c>
    </row>
    <row r="1912" spans="2:17" ht="18" customHeight="1" x14ac:dyDescent="0.3">
      <c r="B1912" s="26"/>
      <c r="C1912" s="17"/>
      <c r="D1912" s="27"/>
      <c r="E1912" s="18"/>
      <c r="F1912" s="18"/>
      <c r="G1912" s="18"/>
      <c r="H1912" s="30" t="str">
        <f t="shared" si="203"/>
        <v/>
      </c>
      <c r="I1912" s="31" t="str">
        <f>IF(OR(B1912="",C1912=""),"",IFERROR(E1912*IF(E1912="",0,VLOOKUP(C1912,'📦 Precios Proforma'!$B$5:$D$104,IF(D1912="DIA",2,3),FALSE)),0))</f>
        <v/>
      </c>
      <c r="J1912" s="31" t="str">
        <f t="shared" si="204"/>
        <v/>
      </c>
      <c r="K1912" s="31" t="str">
        <f t="shared" si="205"/>
        <v/>
      </c>
      <c r="L1912" s="31" t="str">
        <f>IF(OR(B1912="",C1912=""),"",IFERROR(E1912 / SUMIFS('📅 Resumen Diario'!$D$5:$D$504, '📅 Resumen Diario'!$B$5:$B$504, B1912, '📅 Resumen Diario'!$C$5:$C$504, D1912) * SUMIFS('📅 Resumen Diario'!$K$5:$K$504, '📅 Resumen Diario'!$B$5:$B$504, B1912, '📅 Resumen Diario'!$C$5:$C$504, D1912), 0))</f>
        <v/>
      </c>
      <c r="M1912" s="31" t="str">
        <f t="shared" si="206"/>
        <v/>
      </c>
      <c r="N1912" s="31" t="str">
        <f t="shared" si="207"/>
        <v/>
      </c>
      <c r="O1912" s="31" t="str">
        <f>IF(OR(B1912="",C1912=""),"",K1912-N1912 + IFERROR(E1912 / SUMIFS('📅 Resumen Diario'!$D$5:$D$504, '📅 Resumen Diario'!$B$5:$B$504, B1912, '📅 Resumen Diario'!$C$5:$C$504, D1912) * (SUMIFS('📋 Detalle Diario'!$E$5:$E$489, '📋 Detalle Diario'!$B$5:$B$489, B1912, '📋 Detalle Diario'!$C$5:$C$489, D1912) * 135 + SUMIFS('📋 Detalle Diario'!$I$5:$I$489, '📋 Detalle Diario'!$B$5:$B$489, B1912, '📋 Detalle Diario'!$C$5:$C$489, D1912) * 200), 0))</f>
        <v/>
      </c>
      <c r="P1912" s="32" t="str">
        <f t="shared" si="208"/>
        <v/>
      </c>
      <c r="Q1912" s="33" t="str">
        <f t="shared" si="209"/>
        <v/>
      </c>
    </row>
    <row r="1913" spans="2:17" ht="18" customHeight="1" x14ac:dyDescent="0.3">
      <c r="B1913" s="26"/>
      <c r="C1913" s="28"/>
      <c r="D1913" s="27"/>
      <c r="E1913" s="29"/>
      <c r="F1913" s="29"/>
      <c r="G1913" s="29"/>
      <c r="H1913" s="30" t="str">
        <f t="shared" si="203"/>
        <v/>
      </c>
      <c r="I1913" s="31" t="str">
        <f>IF(OR(B1913="",C1913=""),"",IFERROR(E1913*IF(E1913="",0,VLOOKUP(C1913,'📦 Precios Proforma'!$B$5:$D$104,IF(D1913="DIA",2,3),FALSE)),0))</f>
        <v/>
      </c>
      <c r="J1913" s="31" t="str">
        <f t="shared" si="204"/>
        <v/>
      </c>
      <c r="K1913" s="31" t="str">
        <f t="shared" si="205"/>
        <v/>
      </c>
      <c r="L1913" s="31" t="str">
        <f>IF(OR(B1913="",C1913=""),"",IFERROR(E1913 / SUMIFS('📅 Resumen Diario'!$D$5:$D$504, '📅 Resumen Diario'!$B$5:$B$504, B1913, '📅 Resumen Diario'!$C$5:$C$504, D1913) * SUMIFS('📅 Resumen Diario'!$K$5:$K$504, '📅 Resumen Diario'!$B$5:$B$504, B1913, '📅 Resumen Diario'!$C$5:$C$504, D1913), 0))</f>
        <v/>
      </c>
      <c r="M1913" s="31" t="str">
        <f t="shared" si="206"/>
        <v/>
      </c>
      <c r="N1913" s="31" t="str">
        <f t="shared" si="207"/>
        <v/>
      </c>
      <c r="O1913" s="31" t="str">
        <f>IF(OR(B1913="",C1913=""),"",K1913-N1913 + IFERROR(E1913 / SUMIFS('📅 Resumen Diario'!$D$5:$D$504, '📅 Resumen Diario'!$B$5:$B$504, B1913, '📅 Resumen Diario'!$C$5:$C$504, D1913) * (SUMIFS('📋 Detalle Diario'!$E$5:$E$489, '📋 Detalle Diario'!$B$5:$B$489, B1913, '📋 Detalle Diario'!$C$5:$C$489, D1913) * 135 + SUMIFS('📋 Detalle Diario'!$I$5:$I$489, '📋 Detalle Diario'!$B$5:$B$489, B1913, '📋 Detalle Diario'!$C$5:$C$489, D1913) * 200), 0))</f>
        <v/>
      </c>
      <c r="P1913" s="32" t="str">
        <f t="shared" si="208"/>
        <v/>
      </c>
      <c r="Q1913" s="33" t="str">
        <f t="shared" si="209"/>
        <v/>
      </c>
    </row>
    <row r="1914" spans="2:17" ht="18" customHeight="1" x14ac:dyDescent="0.3">
      <c r="B1914" s="26"/>
      <c r="C1914" s="17"/>
      <c r="D1914" s="27"/>
      <c r="E1914" s="18"/>
      <c r="F1914" s="18"/>
      <c r="G1914" s="18"/>
      <c r="H1914" s="30" t="str">
        <f t="shared" si="203"/>
        <v/>
      </c>
      <c r="I1914" s="31" t="str">
        <f>IF(OR(B1914="",C1914=""),"",IFERROR(E1914*IF(E1914="",0,VLOOKUP(C1914,'📦 Precios Proforma'!$B$5:$D$104,IF(D1914="DIA",2,3),FALSE)),0))</f>
        <v/>
      </c>
      <c r="J1914" s="31" t="str">
        <f t="shared" si="204"/>
        <v/>
      </c>
      <c r="K1914" s="31" t="str">
        <f t="shared" si="205"/>
        <v/>
      </c>
      <c r="L1914" s="31" t="str">
        <f>IF(OR(B1914="",C1914=""),"",IFERROR(E1914 / SUMIFS('📅 Resumen Diario'!$D$5:$D$504, '📅 Resumen Diario'!$B$5:$B$504, B1914, '📅 Resumen Diario'!$C$5:$C$504, D1914) * SUMIFS('📅 Resumen Diario'!$K$5:$K$504, '📅 Resumen Diario'!$B$5:$B$504, B1914, '📅 Resumen Diario'!$C$5:$C$504, D1914), 0))</f>
        <v/>
      </c>
      <c r="M1914" s="31" t="str">
        <f t="shared" si="206"/>
        <v/>
      </c>
      <c r="N1914" s="31" t="str">
        <f t="shared" si="207"/>
        <v/>
      </c>
      <c r="O1914" s="31" t="str">
        <f>IF(OR(B1914="",C1914=""),"",K1914-N1914 + IFERROR(E1914 / SUMIFS('📅 Resumen Diario'!$D$5:$D$504, '📅 Resumen Diario'!$B$5:$B$504, B1914, '📅 Resumen Diario'!$C$5:$C$504, D1914) * (SUMIFS('📋 Detalle Diario'!$E$5:$E$489, '📋 Detalle Diario'!$B$5:$B$489, B1914, '📋 Detalle Diario'!$C$5:$C$489, D1914) * 135 + SUMIFS('📋 Detalle Diario'!$I$5:$I$489, '📋 Detalle Diario'!$B$5:$B$489, B1914, '📋 Detalle Diario'!$C$5:$C$489, D1914) * 200), 0))</f>
        <v/>
      </c>
      <c r="P1914" s="32" t="str">
        <f t="shared" si="208"/>
        <v/>
      </c>
      <c r="Q1914" s="33" t="str">
        <f t="shared" si="209"/>
        <v/>
      </c>
    </row>
    <row r="1915" spans="2:17" ht="18" customHeight="1" x14ac:dyDescent="0.3">
      <c r="B1915" s="26"/>
      <c r="C1915" s="28"/>
      <c r="D1915" s="27"/>
      <c r="E1915" s="29"/>
      <c r="F1915" s="29"/>
      <c r="G1915" s="29"/>
      <c r="H1915" s="30" t="str">
        <f t="shared" si="203"/>
        <v/>
      </c>
      <c r="I1915" s="31" t="str">
        <f>IF(OR(B1915="",C1915=""),"",IFERROR(E1915*IF(E1915="",0,VLOOKUP(C1915,'📦 Precios Proforma'!$B$5:$D$104,IF(D1915="DIA",2,3),FALSE)),0))</f>
        <v/>
      </c>
      <c r="J1915" s="31" t="str">
        <f t="shared" si="204"/>
        <v/>
      </c>
      <c r="K1915" s="31" t="str">
        <f t="shared" si="205"/>
        <v/>
      </c>
      <c r="L1915" s="31" t="str">
        <f>IF(OR(B1915="",C1915=""),"",IFERROR(E1915 / SUMIFS('📅 Resumen Diario'!$D$5:$D$504, '📅 Resumen Diario'!$B$5:$B$504, B1915, '📅 Resumen Diario'!$C$5:$C$504, D1915) * SUMIFS('📅 Resumen Diario'!$K$5:$K$504, '📅 Resumen Diario'!$B$5:$B$504, B1915, '📅 Resumen Diario'!$C$5:$C$504, D1915), 0))</f>
        <v/>
      </c>
      <c r="M1915" s="31" t="str">
        <f t="shared" si="206"/>
        <v/>
      </c>
      <c r="N1915" s="31" t="str">
        <f t="shared" si="207"/>
        <v/>
      </c>
      <c r="O1915" s="31" t="str">
        <f>IF(OR(B1915="",C1915=""),"",K1915-N1915 + IFERROR(E1915 / SUMIFS('📅 Resumen Diario'!$D$5:$D$504, '📅 Resumen Diario'!$B$5:$B$504, B1915, '📅 Resumen Diario'!$C$5:$C$504, D1915) * (SUMIFS('📋 Detalle Diario'!$E$5:$E$489, '📋 Detalle Diario'!$B$5:$B$489, B1915, '📋 Detalle Diario'!$C$5:$C$489, D1915) * 135 + SUMIFS('📋 Detalle Diario'!$I$5:$I$489, '📋 Detalle Diario'!$B$5:$B$489, B1915, '📋 Detalle Diario'!$C$5:$C$489, D1915) * 200), 0))</f>
        <v/>
      </c>
      <c r="P1915" s="32" t="str">
        <f t="shared" si="208"/>
        <v/>
      </c>
      <c r="Q1915" s="33" t="str">
        <f t="shared" si="209"/>
        <v/>
      </c>
    </row>
    <row r="1916" spans="2:17" ht="18" customHeight="1" x14ac:dyDescent="0.3">
      <c r="B1916" s="26"/>
      <c r="C1916" s="17"/>
      <c r="D1916" s="27"/>
      <c r="E1916" s="18"/>
      <c r="F1916" s="18"/>
      <c r="G1916" s="18"/>
      <c r="H1916" s="30" t="str">
        <f t="shared" si="203"/>
        <v/>
      </c>
      <c r="I1916" s="31" t="str">
        <f>IF(OR(B1916="",C1916=""),"",IFERROR(E1916*IF(E1916="",0,VLOOKUP(C1916,'📦 Precios Proforma'!$B$5:$D$104,IF(D1916="DIA",2,3),FALSE)),0))</f>
        <v/>
      </c>
      <c r="J1916" s="31" t="str">
        <f t="shared" si="204"/>
        <v/>
      </c>
      <c r="K1916" s="31" t="str">
        <f t="shared" si="205"/>
        <v/>
      </c>
      <c r="L1916" s="31" t="str">
        <f>IF(OR(B1916="",C1916=""),"",IFERROR(E1916 / SUMIFS('📅 Resumen Diario'!$D$5:$D$504, '📅 Resumen Diario'!$B$5:$B$504, B1916, '📅 Resumen Diario'!$C$5:$C$504, D1916) * SUMIFS('📅 Resumen Diario'!$K$5:$K$504, '📅 Resumen Diario'!$B$5:$B$504, B1916, '📅 Resumen Diario'!$C$5:$C$504, D1916), 0))</f>
        <v/>
      </c>
      <c r="M1916" s="31" t="str">
        <f t="shared" si="206"/>
        <v/>
      </c>
      <c r="N1916" s="31" t="str">
        <f t="shared" si="207"/>
        <v/>
      </c>
      <c r="O1916" s="31" t="str">
        <f>IF(OR(B1916="",C1916=""),"",K1916-N1916 + IFERROR(E1916 / SUMIFS('📅 Resumen Diario'!$D$5:$D$504, '📅 Resumen Diario'!$B$5:$B$504, B1916, '📅 Resumen Diario'!$C$5:$C$504, D1916) * (SUMIFS('📋 Detalle Diario'!$E$5:$E$489, '📋 Detalle Diario'!$B$5:$B$489, B1916, '📋 Detalle Diario'!$C$5:$C$489, D1916) * 135 + SUMIFS('📋 Detalle Diario'!$I$5:$I$489, '📋 Detalle Diario'!$B$5:$B$489, B1916, '📋 Detalle Diario'!$C$5:$C$489, D1916) * 200), 0))</f>
        <v/>
      </c>
      <c r="P1916" s="32" t="str">
        <f t="shared" si="208"/>
        <v/>
      </c>
      <c r="Q1916" s="33" t="str">
        <f t="shared" si="209"/>
        <v/>
      </c>
    </row>
    <row r="1917" spans="2:17" ht="18" customHeight="1" x14ac:dyDescent="0.3">
      <c r="B1917" s="26"/>
      <c r="C1917" s="28"/>
      <c r="D1917" s="27"/>
      <c r="E1917" s="29"/>
      <c r="F1917" s="29"/>
      <c r="G1917" s="29"/>
      <c r="H1917" s="30" t="str">
        <f t="shared" si="203"/>
        <v/>
      </c>
      <c r="I1917" s="31" t="str">
        <f>IF(OR(B1917="",C1917=""),"",IFERROR(E1917*IF(E1917="",0,VLOOKUP(C1917,'📦 Precios Proforma'!$B$5:$D$104,IF(D1917="DIA",2,3),FALSE)),0))</f>
        <v/>
      </c>
      <c r="J1917" s="31" t="str">
        <f t="shared" si="204"/>
        <v/>
      </c>
      <c r="K1917" s="31" t="str">
        <f t="shared" si="205"/>
        <v/>
      </c>
      <c r="L1917" s="31" t="str">
        <f>IF(OR(B1917="",C1917=""),"",IFERROR(E1917 / SUMIFS('📅 Resumen Diario'!$D$5:$D$504, '📅 Resumen Diario'!$B$5:$B$504, B1917, '📅 Resumen Diario'!$C$5:$C$504, D1917) * SUMIFS('📅 Resumen Diario'!$K$5:$K$504, '📅 Resumen Diario'!$B$5:$B$504, B1917, '📅 Resumen Diario'!$C$5:$C$504, D1917), 0))</f>
        <v/>
      </c>
      <c r="M1917" s="31" t="str">
        <f t="shared" si="206"/>
        <v/>
      </c>
      <c r="N1917" s="31" t="str">
        <f t="shared" si="207"/>
        <v/>
      </c>
      <c r="O1917" s="31" t="str">
        <f>IF(OR(B1917="",C1917=""),"",K1917-N1917 + IFERROR(E1917 / SUMIFS('📅 Resumen Diario'!$D$5:$D$504, '📅 Resumen Diario'!$B$5:$B$504, B1917, '📅 Resumen Diario'!$C$5:$C$504, D1917) * (SUMIFS('📋 Detalle Diario'!$E$5:$E$489, '📋 Detalle Diario'!$B$5:$B$489, B1917, '📋 Detalle Diario'!$C$5:$C$489, D1917) * 135 + SUMIFS('📋 Detalle Diario'!$I$5:$I$489, '📋 Detalle Diario'!$B$5:$B$489, B1917, '📋 Detalle Diario'!$C$5:$C$489, D1917) * 200), 0))</f>
        <v/>
      </c>
      <c r="P1917" s="32" t="str">
        <f t="shared" si="208"/>
        <v/>
      </c>
      <c r="Q1917" s="33" t="str">
        <f t="shared" si="209"/>
        <v/>
      </c>
    </row>
    <row r="1918" spans="2:17" ht="18" customHeight="1" x14ac:dyDescent="0.3">
      <c r="B1918" s="26"/>
      <c r="C1918" s="17"/>
      <c r="D1918" s="27"/>
      <c r="E1918" s="18"/>
      <c r="F1918" s="18"/>
      <c r="G1918" s="18"/>
      <c r="H1918" s="30" t="str">
        <f t="shared" si="203"/>
        <v/>
      </c>
      <c r="I1918" s="31" t="str">
        <f>IF(OR(B1918="",C1918=""),"",IFERROR(E1918*IF(E1918="",0,VLOOKUP(C1918,'📦 Precios Proforma'!$B$5:$D$104,IF(D1918="DIA",2,3),FALSE)),0))</f>
        <v/>
      </c>
      <c r="J1918" s="31" t="str">
        <f t="shared" si="204"/>
        <v/>
      </c>
      <c r="K1918" s="31" t="str">
        <f t="shared" si="205"/>
        <v/>
      </c>
      <c r="L1918" s="31" t="str">
        <f>IF(OR(B1918="",C1918=""),"",IFERROR(E1918 / SUMIFS('📅 Resumen Diario'!$D$5:$D$504, '📅 Resumen Diario'!$B$5:$B$504, B1918, '📅 Resumen Diario'!$C$5:$C$504, D1918) * SUMIFS('📅 Resumen Diario'!$K$5:$K$504, '📅 Resumen Diario'!$B$5:$B$504, B1918, '📅 Resumen Diario'!$C$5:$C$504, D1918), 0))</f>
        <v/>
      </c>
      <c r="M1918" s="31" t="str">
        <f t="shared" si="206"/>
        <v/>
      </c>
      <c r="N1918" s="31" t="str">
        <f t="shared" si="207"/>
        <v/>
      </c>
      <c r="O1918" s="31" t="str">
        <f>IF(OR(B1918="",C1918=""),"",K1918-N1918 + IFERROR(E1918 / SUMIFS('📅 Resumen Diario'!$D$5:$D$504, '📅 Resumen Diario'!$B$5:$B$504, B1918, '📅 Resumen Diario'!$C$5:$C$504, D1918) * (SUMIFS('📋 Detalle Diario'!$E$5:$E$489, '📋 Detalle Diario'!$B$5:$B$489, B1918, '📋 Detalle Diario'!$C$5:$C$489, D1918) * 135 + SUMIFS('📋 Detalle Diario'!$I$5:$I$489, '📋 Detalle Diario'!$B$5:$B$489, B1918, '📋 Detalle Diario'!$C$5:$C$489, D1918) * 200), 0))</f>
        <v/>
      </c>
      <c r="P1918" s="32" t="str">
        <f t="shared" si="208"/>
        <v/>
      </c>
      <c r="Q1918" s="33" t="str">
        <f t="shared" si="209"/>
        <v/>
      </c>
    </row>
    <row r="1919" spans="2:17" ht="18" customHeight="1" x14ac:dyDescent="0.3">
      <c r="B1919" s="26"/>
      <c r="C1919" s="28"/>
      <c r="D1919" s="27"/>
      <c r="E1919" s="29"/>
      <c r="F1919" s="29"/>
      <c r="G1919" s="29"/>
      <c r="H1919" s="30" t="str">
        <f t="shared" si="203"/>
        <v/>
      </c>
      <c r="I1919" s="31" t="str">
        <f>IF(OR(B1919="",C1919=""),"",IFERROR(E1919*IF(E1919="",0,VLOOKUP(C1919,'📦 Precios Proforma'!$B$5:$D$104,IF(D1919="DIA",2,3),FALSE)),0))</f>
        <v/>
      </c>
      <c r="J1919" s="31" t="str">
        <f t="shared" si="204"/>
        <v/>
      </c>
      <c r="K1919" s="31" t="str">
        <f t="shared" si="205"/>
        <v/>
      </c>
      <c r="L1919" s="31" t="str">
        <f>IF(OR(B1919="",C1919=""),"",IFERROR(E1919 / SUMIFS('📅 Resumen Diario'!$D$5:$D$504, '📅 Resumen Diario'!$B$5:$B$504, B1919, '📅 Resumen Diario'!$C$5:$C$504, D1919) * SUMIFS('📅 Resumen Diario'!$K$5:$K$504, '📅 Resumen Diario'!$B$5:$B$504, B1919, '📅 Resumen Diario'!$C$5:$C$504, D1919), 0))</f>
        <v/>
      </c>
      <c r="M1919" s="31" t="str">
        <f t="shared" si="206"/>
        <v/>
      </c>
      <c r="N1919" s="31" t="str">
        <f t="shared" si="207"/>
        <v/>
      </c>
      <c r="O1919" s="31" t="str">
        <f>IF(OR(B1919="",C1919=""),"",K1919-N1919 + IFERROR(E1919 / SUMIFS('📅 Resumen Diario'!$D$5:$D$504, '📅 Resumen Diario'!$B$5:$B$504, B1919, '📅 Resumen Diario'!$C$5:$C$504, D1919) * (SUMIFS('📋 Detalle Diario'!$E$5:$E$489, '📋 Detalle Diario'!$B$5:$B$489, B1919, '📋 Detalle Diario'!$C$5:$C$489, D1919) * 135 + SUMIFS('📋 Detalle Diario'!$I$5:$I$489, '📋 Detalle Diario'!$B$5:$B$489, B1919, '📋 Detalle Diario'!$C$5:$C$489, D1919) * 200), 0))</f>
        <v/>
      </c>
      <c r="P1919" s="32" t="str">
        <f t="shared" si="208"/>
        <v/>
      </c>
      <c r="Q1919" s="33" t="str">
        <f t="shared" si="209"/>
        <v/>
      </c>
    </row>
    <row r="1920" spans="2:17" ht="18" customHeight="1" x14ac:dyDescent="0.3">
      <c r="B1920" s="26"/>
      <c r="C1920" s="17"/>
      <c r="D1920" s="27"/>
      <c r="E1920" s="18"/>
      <c r="F1920" s="18"/>
      <c r="G1920" s="18"/>
      <c r="H1920" s="30" t="str">
        <f t="shared" si="203"/>
        <v/>
      </c>
      <c r="I1920" s="31" t="str">
        <f>IF(OR(B1920="",C1920=""),"",IFERROR(E1920*IF(E1920="",0,VLOOKUP(C1920,'📦 Precios Proforma'!$B$5:$D$104,IF(D1920="DIA",2,3),FALSE)),0))</f>
        <v/>
      </c>
      <c r="J1920" s="31" t="str">
        <f t="shared" si="204"/>
        <v/>
      </c>
      <c r="K1920" s="31" t="str">
        <f t="shared" si="205"/>
        <v/>
      </c>
      <c r="L1920" s="31" t="str">
        <f>IF(OR(B1920="",C1920=""),"",IFERROR(E1920 / SUMIFS('📅 Resumen Diario'!$D$5:$D$504, '📅 Resumen Diario'!$B$5:$B$504, B1920, '📅 Resumen Diario'!$C$5:$C$504, D1920) * SUMIFS('📅 Resumen Diario'!$K$5:$K$504, '📅 Resumen Diario'!$B$5:$B$504, B1920, '📅 Resumen Diario'!$C$5:$C$504, D1920), 0))</f>
        <v/>
      </c>
      <c r="M1920" s="31" t="str">
        <f t="shared" si="206"/>
        <v/>
      </c>
      <c r="N1920" s="31" t="str">
        <f t="shared" si="207"/>
        <v/>
      </c>
      <c r="O1920" s="31" t="str">
        <f>IF(OR(B1920="",C1920=""),"",K1920-N1920 + IFERROR(E1920 / SUMIFS('📅 Resumen Diario'!$D$5:$D$504, '📅 Resumen Diario'!$B$5:$B$504, B1920, '📅 Resumen Diario'!$C$5:$C$504, D1920) * (SUMIFS('📋 Detalle Diario'!$E$5:$E$489, '📋 Detalle Diario'!$B$5:$B$489, B1920, '📋 Detalle Diario'!$C$5:$C$489, D1920) * 135 + SUMIFS('📋 Detalle Diario'!$I$5:$I$489, '📋 Detalle Diario'!$B$5:$B$489, B1920, '📋 Detalle Diario'!$C$5:$C$489, D1920) * 200), 0))</f>
        <v/>
      </c>
      <c r="P1920" s="32" t="str">
        <f t="shared" si="208"/>
        <v/>
      </c>
      <c r="Q1920" s="33" t="str">
        <f t="shared" si="209"/>
        <v/>
      </c>
    </row>
    <row r="1921" spans="2:17" ht="18" customHeight="1" x14ac:dyDescent="0.3">
      <c r="B1921" s="26"/>
      <c r="C1921" s="28"/>
      <c r="D1921" s="27"/>
      <c r="E1921" s="29"/>
      <c r="F1921" s="29"/>
      <c r="G1921" s="29"/>
      <c r="H1921" s="30" t="str">
        <f t="shared" si="203"/>
        <v/>
      </c>
      <c r="I1921" s="31" t="str">
        <f>IF(OR(B1921="",C1921=""),"",IFERROR(E1921*IF(E1921="",0,VLOOKUP(C1921,'📦 Precios Proforma'!$B$5:$D$104,IF(D1921="DIA",2,3),FALSE)),0))</f>
        <v/>
      </c>
      <c r="J1921" s="31" t="str">
        <f t="shared" si="204"/>
        <v/>
      </c>
      <c r="K1921" s="31" t="str">
        <f t="shared" si="205"/>
        <v/>
      </c>
      <c r="L1921" s="31" t="str">
        <f>IF(OR(B1921="",C1921=""),"",IFERROR(E1921 / SUMIFS('📅 Resumen Diario'!$D$5:$D$504, '📅 Resumen Diario'!$B$5:$B$504, B1921, '📅 Resumen Diario'!$C$5:$C$504, D1921) * SUMIFS('📅 Resumen Diario'!$K$5:$K$504, '📅 Resumen Diario'!$B$5:$B$504, B1921, '📅 Resumen Diario'!$C$5:$C$504, D1921), 0))</f>
        <v/>
      </c>
      <c r="M1921" s="31" t="str">
        <f t="shared" si="206"/>
        <v/>
      </c>
      <c r="N1921" s="31" t="str">
        <f t="shared" si="207"/>
        <v/>
      </c>
      <c r="O1921" s="31" t="str">
        <f>IF(OR(B1921="",C1921=""),"",K1921-N1921 + IFERROR(E1921 / SUMIFS('📅 Resumen Diario'!$D$5:$D$504, '📅 Resumen Diario'!$B$5:$B$504, B1921, '📅 Resumen Diario'!$C$5:$C$504, D1921) * (SUMIFS('📋 Detalle Diario'!$E$5:$E$489, '📋 Detalle Diario'!$B$5:$B$489, B1921, '📋 Detalle Diario'!$C$5:$C$489, D1921) * 135 + SUMIFS('📋 Detalle Diario'!$I$5:$I$489, '📋 Detalle Diario'!$B$5:$B$489, B1921, '📋 Detalle Diario'!$C$5:$C$489, D1921) * 200), 0))</f>
        <v/>
      </c>
      <c r="P1921" s="32" t="str">
        <f t="shared" si="208"/>
        <v/>
      </c>
      <c r="Q1921" s="33" t="str">
        <f t="shared" si="209"/>
        <v/>
      </c>
    </row>
    <row r="1922" spans="2:17" ht="18" customHeight="1" x14ac:dyDescent="0.3">
      <c r="B1922" s="26"/>
      <c r="C1922" s="17"/>
      <c r="D1922" s="27"/>
      <c r="E1922" s="18"/>
      <c r="F1922" s="18"/>
      <c r="G1922" s="18"/>
      <c r="H1922" s="30" t="str">
        <f t="shared" si="203"/>
        <v/>
      </c>
      <c r="I1922" s="31" t="str">
        <f>IF(OR(B1922="",C1922=""),"",IFERROR(E1922*IF(E1922="",0,VLOOKUP(C1922,'📦 Precios Proforma'!$B$5:$D$104,IF(D1922="DIA",2,3),FALSE)),0))</f>
        <v/>
      </c>
      <c r="J1922" s="31" t="str">
        <f t="shared" si="204"/>
        <v/>
      </c>
      <c r="K1922" s="31" t="str">
        <f t="shared" si="205"/>
        <v/>
      </c>
      <c r="L1922" s="31" t="str">
        <f>IF(OR(B1922="",C1922=""),"",IFERROR(E1922 / SUMIFS('📅 Resumen Diario'!$D$5:$D$504, '📅 Resumen Diario'!$B$5:$B$504, B1922, '📅 Resumen Diario'!$C$5:$C$504, D1922) * SUMIFS('📅 Resumen Diario'!$K$5:$K$504, '📅 Resumen Diario'!$B$5:$B$504, B1922, '📅 Resumen Diario'!$C$5:$C$504, D1922), 0))</f>
        <v/>
      </c>
      <c r="M1922" s="31" t="str">
        <f t="shared" si="206"/>
        <v/>
      </c>
      <c r="N1922" s="31" t="str">
        <f t="shared" si="207"/>
        <v/>
      </c>
      <c r="O1922" s="31" t="str">
        <f>IF(OR(B1922="",C1922=""),"",K1922-N1922 + IFERROR(E1922 / SUMIFS('📅 Resumen Diario'!$D$5:$D$504, '📅 Resumen Diario'!$B$5:$B$504, B1922, '📅 Resumen Diario'!$C$5:$C$504, D1922) * (SUMIFS('📋 Detalle Diario'!$E$5:$E$489, '📋 Detalle Diario'!$B$5:$B$489, B1922, '📋 Detalle Diario'!$C$5:$C$489, D1922) * 135 + SUMIFS('📋 Detalle Diario'!$I$5:$I$489, '📋 Detalle Diario'!$B$5:$B$489, B1922, '📋 Detalle Diario'!$C$5:$C$489, D1922) * 200), 0))</f>
        <v/>
      </c>
      <c r="P1922" s="32" t="str">
        <f t="shared" si="208"/>
        <v/>
      </c>
      <c r="Q1922" s="33" t="str">
        <f t="shared" si="209"/>
        <v/>
      </c>
    </row>
    <row r="1923" spans="2:17" ht="18" customHeight="1" x14ac:dyDescent="0.3">
      <c r="B1923" s="26"/>
      <c r="C1923" s="28"/>
      <c r="D1923" s="27"/>
      <c r="E1923" s="29"/>
      <c r="F1923" s="29"/>
      <c r="G1923" s="29"/>
      <c r="H1923" s="30" t="str">
        <f t="shared" si="203"/>
        <v/>
      </c>
      <c r="I1923" s="31" t="str">
        <f>IF(OR(B1923="",C1923=""),"",IFERROR(E1923*IF(E1923="",0,VLOOKUP(C1923,'📦 Precios Proforma'!$B$5:$D$104,IF(D1923="DIA",2,3),FALSE)),0))</f>
        <v/>
      </c>
      <c r="J1923" s="31" t="str">
        <f t="shared" si="204"/>
        <v/>
      </c>
      <c r="K1923" s="31" t="str">
        <f t="shared" si="205"/>
        <v/>
      </c>
      <c r="L1923" s="31" t="str">
        <f>IF(OR(B1923="",C1923=""),"",IFERROR(E1923 / SUMIFS('📅 Resumen Diario'!$D$5:$D$504, '📅 Resumen Diario'!$B$5:$B$504, B1923, '📅 Resumen Diario'!$C$5:$C$504, D1923) * SUMIFS('📅 Resumen Diario'!$K$5:$K$504, '📅 Resumen Diario'!$B$5:$B$504, B1923, '📅 Resumen Diario'!$C$5:$C$504, D1923), 0))</f>
        <v/>
      </c>
      <c r="M1923" s="31" t="str">
        <f t="shared" si="206"/>
        <v/>
      </c>
      <c r="N1923" s="31" t="str">
        <f t="shared" si="207"/>
        <v/>
      </c>
      <c r="O1923" s="31" t="str">
        <f>IF(OR(B1923="",C1923=""),"",K1923-N1923 + IFERROR(E1923 / SUMIFS('📅 Resumen Diario'!$D$5:$D$504, '📅 Resumen Diario'!$B$5:$B$504, B1923, '📅 Resumen Diario'!$C$5:$C$504, D1923) * (SUMIFS('📋 Detalle Diario'!$E$5:$E$489, '📋 Detalle Diario'!$B$5:$B$489, B1923, '📋 Detalle Diario'!$C$5:$C$489, D1923) * 135 + SUMIFS('📋 Detalle Diario'!$I$5:$I$489, '📋 Detalle Diario'!$B$5:$B$489, B1923, '📋 Detalle Diario'!$C$5:$C$489, D1923) * 200), 0))</f>
        <v/>
      </c>
      <c r="P1923" s="32" t="str">
        <f t="shared" si="208"/>
        <v/>
      </c>
      <c r="Q1923" s="33" t="str">
        <f t="shared" si="209"/>
        <v/>
      </c>
    </row>
    <row r="1924" spans="2:17" ht="18" customHeight="1" x14ac:dyDescent="0.3">
      <c r="B1924" s="26"/>
      <c r="C1924" s="17"/>
      <c r="D1924" s="27"/>
      <c r="E1924" s="18"/>
      <c r="F1924" s="18"/>
      <c r="G1924" s="18"/>
      <c r="H1924" s="30" t="str">
        <f t="shared" si="203"/>
        <v/>
      </c>
      <c r="I1924" s="31" t="str">
        <f>IF(OR(B1924="",C1924=""),"",IFERROR(E1924*IF(E1924="",0,VLOOKUP(C1924,'📦 Precios Proforma'!$B$5:$D$104,IF(D1924="DIA",2,3),FALSE)),0))</f>
        <v/>
      </c>
      <c r="J1924" s="31" t="str">
        <f t="shared" si="204"/>
        <v/>
      </c>
      <c r="K1924" s="31" t="str">
        <f t="shared" si="205"/>
        <v/>
      </c>
      <c r="L1924" s="31" t="str">
        <f>IF(OR(B1924="",C1924=""),"",IFERROR(E1924 / SUMIFS('📅 Resumen Diario'!$D$5:$D$504, '📅 Resumen Diario'!$B$5:$B$504, B1924, '📅 Resumen Diario'!$C$5:$C$504, D1924) * SUMIFS('📅 Resumen Diario'!$K$5:$K$504, '📅 Resumen Diario'!$B$5:$B$504, B1924, '📅 Resumen Diario'!$C$5:$C$504, D1924), 0))</f>
        <v/>
      </c>
      <c r="M1924" s="31" t="str">
        <f t="shared" si="206"/>
        <v/>
      </c>
      <c r="N1924" s="31" t="str">
        <f t="shared" si="207"/>
        <v/>
      </c>
      <c r="O1924" s="31" t="str">
        <f>IF(OR(B1924="",C1924=""),"",K1924-N1924 + IFERROR(E1924 / SUMIFS('📅 Resumen Diario'!$D$5:$D$504, '📅 Resumen Diario'!$B$5:$B$504, B1924, '📅 Resumen Diario'!$C$5:$C$504, D1924) * (SUMIFS('📋 Detalle Diario'!$E$5:$E$489, '📋 Detalle Diario'!$B$5:$B$489, B1924, '📋 Detalle Diario'!$C$5:$C$489, D1924) * 135 + SUMIFS('📋 Detalle Diario'!$I$5:$I$489, '📋 Detalle Diario'!$B$5:$B$489, B1924, '📋 Detalle Diario'!$C$5:$C$489, D1924) * 200), 0))</f>
        <v/>
      </c>
      <c r="P1924" s="32" t="str">
        <f t="shared" si="208"/>
        <v/>
      </c>
      <c r="Q1924" s="33" t="str">
        <f t="shared" si="209"/>
        <v/>
      </c>
    </row>
    <row r="1925" spans="2:17" ht="18" customHeight="1" x14ac:dyDescent="0.3">
      <c r="B1925" s="26"/>
      <c r="C1925" s="28"/>
      <c r="D1925" s="27"/>
      <c r="E1925" s="29"/>
      <c r="F1925" s="29"/>
      <c r="G1925" s="29"/>
      <c r="H1925" s="30" t="str">
        <f t="shared" si="203"/>
        <v/>
      </c>
      <c r="I1925" s="31" t="str">
        <f>IF(OR(B1925="",C1925=""),"",IFERROR(E1925*IF(E1925="",0,VLOOKUP(C1925,'📦 Precios Proforma'!$B$5:$D$104,IF(D1925="DIA",2,3),FALSE)),0))</f>
        <v/>
      </c>
      <c r="J1925" s="31" t="str">
        <f t="shared" si="204"/>
        <v/>
      </c>
      <c r="K1925" s="31" t="str">
        <f t="shared" si="205"/>
        <v/>
      </c>
      <c r="L1925" s="31" t="str">
        <f>IF(OR(B1925="",C1925=""),"",IFERROR(E1925 / SUMIFS('📅 Resumen Diario'!$D$5:$D$504, '📅 Resumen Diario'!$B$5:$B$504, B1925, '📅 Resumen Diario'!$C$5:$C$504, D1925) * SUMIFS('📅 Resumen Diario'!$K$5:$K$504, '📅 Resumen Diario'!$B$5:$B$504, B1925, '📅 Resumen Diario'!$C$5:$C$504, D1925), 0))</f>
        <v/>
      </c>
      <c r="M1925" s="31" t="str">
        <f t="shared" si="206"/>
        <v/>
      </c>
      <c r="N1925" s="31" t="str">
        <f t="shared" si="207"/>
        <v/>
      </c>
      <c r="O1925" s="31" t="str">
        <f>IF(OR(B1925="",C1925=""),"",K1925-N1925 + IFERROR(E1925 / SUMIFS('📅 Resumen Diario'!$D$5:$D$504, '📅 Resumen Diario'!$B$5:$B$504, B1925, '📅 Resumen Diario'!$C$5:$C$504, D1925) * (SUMIFS('📋 Detalle Diario'!$E$5:$E$489, '📋 Detalle Diario'!$B$5:$B$489, B1925, '📋 Detalle Diario'!$C$5:$C$489, D1925) * 135 + SUMIFS('📋 Detalle Diario'!$I$5:$I$489, '📋 Detalle Diario'!$B$5:$B$489, B1925, '📋 Detalle Diario'!$C$5:$C$489, D1925) * 200), 0))</f>
        <v/>
      </c>
      <c r="P1925" s="32" t="str">
        <f t="shared" si="208"/>
        <v/>
      </c>
      <c r="Q1925" s="33" t="str">
        <f t="shared" si="209"/>
        <v/>
      </c>
    </row>
    <row r="1926" spans="2:17" ht="18" customHeight="1" x14ac:dyDescent="0.3">
      <c r="B1926" s="26"/>
      <c r="C1926" s="17"/>
      <c r="D1926" s="27"/>
      <c r="E1926" s="18"/>
      <c r="F1926" s="18"/>
      <c r="G1926" s="18"/>
      <c r="H1926" s="30" t="str">
        <f t="shared" si="203"/>
        <v/>
      </c>
      <c r="I1926" s="31" t="str">
        <f>IF(OR(B1926="",C1926=""),"",IFERROR(E1926*IF(E1926="",0,VLOOKUP(C1926,'📦 Precios Proforma'!$B$5:$D$104,IF(D1926="DIA",2,3),FALSE)),0))</f>
        <v/>
      </c>
      <c r="J1926" s="31" t="str">
        <f t="shared" si="204"/>
        <v/>
      </c>
      <c r="K1926" s="31" t="str">
        <f t="shared" si="205"/>
        <v/>
      </c>
      <c r="L1926" s="31" t="str">
        <f>IF(OR(B1926="",C1926=""),"",IFERROR(E1926 / SUMIFS('📅 Resumen Diario'!$D$5:$D$504, '📅 Resumen Diario'!$B$5:$B$504, B1926, '📅 Resumen Diario'!$C$5:$C$504, D1926) * SUMIFS('📅 Resumen Diario'!$K$5:$K$504, '📅 Resumen Diario'!$B$5:$B$504, B1926, '📅 Resumen Diario'!$C$5:$C$504, D1926), 0))</f>
        <v/>
      </c>
      <c r="M1926" s="31" t="str">
        <f t="shared" si="206"/>
        <v/>
      </c>
      <c r="N1926" s="31" t="str">
        <f t="shared" si="207"/>
        <v/>
      </c>
      <c r="O1926" s="31" t="str">
        <f>IF(OR(B1926="",C1926=""),"",K1926-N1926 + IFERROR(E1926 / SUMIFS('📅 Resumen Diario'!$D$5:$D$504, '📅 Resumen Diario'!$B$5:$B$504, B1926, '📅 Resumen Diario'!$C$5:$C$504, D1926) * (SUMIFS('📋 Detalle Diario'!$E$5:$E$489, '📋 Detalle Diario'!$B$5:$B$489, B1926, '📋 Detalle Diario'!$C$5:$C$489, D1926) * 135 + SUMIFS('📋 Detalle Diario'!$I$5:$I$489, '📋 Detalle Diario'!$B$5:$B$489, B1926, '📋 Detalle Diario'!$C$5:$C$489, D1926) * 200), 0))</f>
        <v/>
      </c>
      <c r="P1926" s="32" t="str">
        <f t="shared" si="208"/>
        <v/>
      </c>
      <c r="Q1926" s="33" t="str">
        <f t="shared" si="209"/>
        <v/>
      </c>
    </row>
    <row r="1927" spans="2:17" ht="18" customHeight="1" x14ac:dyDescent="0.3">
      <c r="B1927" s="26"/>
      <c r="C1927" s="28"/>
      <c r="D1927" s="27"/>
      <c r="E1927" s="29"/>
      <c r="F1927" s="29"/>
      <c r="G1927" s="29"/>
      <c r="H1927" s="30" t="str">
        <f t="shared" ref="H1927:H1990" si="210">IF(OR(B1927="",C1927=""),"",F1927+G1927)</f>
        <v/>
      </c>
      <c r="I1927" s="31" t="str">
        <f>IF(OR(B1927="",C1927=""),"",IFERROR(E1927*IF(E1927="",0,VLOOKUP(C1927,'📦 Precios Proforma'!$B$5:$D$104,IF(D1927="DIA",2,3),FALSE)),0))</f>
        <v/>
      </c>
      <c r="J1927" s="31" t="str">
        <f t="shared" ref="J1927:J1990" si="211">IF(OR(B1927="",C1927=""),"",IF(D1927="DIA",H1927*1.01,H1927*1.35))</f>
        <v/>
      </c>
      <c r="K1927" s="31" t="str">
        <f t="shared" ref="K1927:K1990" si="212">IF(OR(B1927="",C1927=""),"",I1927+J1927)</f>
        <v/>
      </c>
      <c r="L1927" s="31" t="str">
        <f>IF(OR(B1927="",C1927=""),"",IFERROR(E1927 / SUMIFS('📅 Resumen Diario'!$D$5:$D$504, '📅 Resumen Diario'!$B$5:$B$504, B1927, '📅 Resumen Diario'!$C$5:$C$504, D1927) * SUMIFS('📅 Resumen Diario'!$K$5:$K$504, '📅 Resumen Diario'!$B$5:$B$504, B1927, '📅 Resumen Diario'!$C$5:$C$504, D1927), 0))</f>
        <v/>
      </c>
      <c r="M1927" s="31" t="str">
        <f t="shared" ref="M1927:M1990" si="213">IF(OR(B1927="",C1927=""),"",H1927*0.09)</f>
        <v/>
      </c>
      <c r="N1927" s="31" t="str">
        <f t="shared" ref="N1927:N1990" si="214">IF(OR(B1927="",C1927=""),"",L1927+M1927)</f>
        <v/>
      </c>
      <c r="O1927" s="31" t="str">
        <f>IF(OR(B1927="",C1927=""),"",K1927-N1927 + IFERROR(E1927 / SUMIFS('📅 Resumen Diario'!$D$5:$D$504, '📅 Resumen Diario'!$B$5:$B$504, B1927, '📅 Resumen Diario'!$C$5:$C$504, D1927) * (SUMIFS('📋 Detalle Diario'!$E$5:$E$489, '📋 Detalle Diario'!$B$5:$B$489, B1927, '📋 Detalle Diario'!$C$5:$C$489, D1927) * 135 + SUMIFS('📋 Detalle Diario'!$I$5:$I$489, '📋 Detalle Diario'!$B$5:$B$489, B1927, '📋 Detalle Diario'!$C$5:$C$489, D1927) * 200), 0))</f>
        <v/>
      </c>
      <c r="P1927" s="32" t="str">
        <f t="shared" ref="P1927:P1990" si="215">IF(OR(B1927="",C1927=""),"",IF(K1927=0, 0, O1927/K1927))</f>
        <v/>
      </c>
      <c r="Q1927" s="33" t="str">
        <f t="shared" ref="Q1927:Q1990" si="216">IF(B1927="","",IF(ISNUMBER(B1927),YEAR(B1927)&amp;"-"&amp;IF(MONTH(B1927)&lt;10,"0","")&amp;MONTH(B1927),LEFT(B1927,7)))</f>
        <v/>
      </c>
    </row>
    <row r="1928" spans="2:17" ht="18" customHeight="1" x14ac:dyDescent="0.3">
      <c r="B1928" s="26"/>
      <c r="C1928" s="17"/>
      <c r="D1928" s="27"/>
      <c r="E1928" s="18"/>
      <c r="F1928" s="18"/>
      <c r="G1928" s="18"/>
      <c r="H1928" s="30" t="str">
        <f t="shared" si="210"/>
        <v/>
      </c>
      <c r="I1928" s="31" t="str">
        <f>IF(OR(B1928="",C1928=""),"",IFERROR(E1928*IF(E1928="",0,VLOOKUP(C1928,'📦 Precios Proforma'!$B$5:$D$104,IF(D1928="DIA",2,3),FALSE)),0))</f>
        <v/>
      </c>
      <c r="J1928" s="31" t="str">
        <f t="shared" si="211"/>
        <v/>
      </c>
      <c r="K1928" s="31" t="str">
        <f t="shared" si="212"/>
        <v/>
      </c>
      <c r="L1928" s="31" t="str">
        <f>IF(OR(B1928="",C1928=""),"",IFERROR(E1928 / SUMIFS('📅 Resumen Diario'!$D$5:$D$504, '📅 Resumen Diario'!$B$5:$B$504, B1928, '📅 Resumen Diario'!$C$5:$C$504, D1928) * SUMIFS('📅 Resumen Diario'!$K$5:$K$504, '📅 Resumen Diario'!$B$5:$B$504, B1928, '📅 Resumen Diario'!$C$5:$C$504, D1928), 0))</f>
        <v/>
      </c>
      <c r="M1928" s="31" t="str">
        <f t="shared" si="213"/>
        <v/>
      </c>
      <c r="N1928" s="31" t="str">
        <f t="shared" si="214"/>
        <v/>
      </c>
      <c r="O1928" s="31" t="str">
        <f>IF(OR(B1928="",C1928=""),"",K1928-N1928 + IFERROR(E1928 / SUMIFS('📅 Resumen Diario'!$D$5:$D$504, '📅 Resumen Diario'!$B$5:$B$504, B1928, '📅 Resumen Diario'!$C$5:$C$504, D1928) * (SUMIFS('📋 Detalle Diario'!$E$5:$E$489, '📋 Detalle Diario'!$B$5:$B$489, B1928, '📋 Detalle Diario'!$C$5:$C$489, D1928) * 135 + SUMIFS('📋 Detalle Diario'!$I$5:$I$489, '📋 Detalle Diario'!$B$5:$B$489, B1928, '📋 Detalle Diario'!$C$5:$C$489, D1928) * 200), 0))</f>
        <v/>
      </c>
      <c r="P1928" s="32" t="str">
        <f t="shared" si="215"/>
        <v/>
      </c>
      <c r="Q1928" s="33" t="str">
        <f t="shared" si="216"/>
        <v/>
      </c>
    </row>
    <row r="1929" spans="2:17" ht="18" customHeight="1" x14ac:dyDescent="0.3">
      <c r="B1929" s="26"/>
      <c r="C1929" s="28"/>
      <c r="D1929" s="27"/>
      <c r="E1929" s="29"/>
      <c r="F1929" s="29"/>
      <c r="G1929" s="29"/>
      <c r="H1929" s="30" t="str">
        <f t="shared" si="210"/>
        <v/>
      </c>
      <c r="I1929" s="31" t="str">
        <f>IF(OR(B1929="",C1929=""),"",IFERROR(E1929*IF(E1929="",0,VLOOKUP(C1929,'📦 Precios Proforma'!$B$5:$D$104,IF(D1929="DIA",2,3),FALSE)),0))</f>
        <v/>
      </c>
      <c r="J1929" s="31" t="str">
        <f t="shared" si="211"/>
        <v/>
      </c>
      <c r="K1929" s="31" t="str">
        <f t="shared" si="212"/>
        <v/>
      </c>
      <c r="L1929" s="31" t="str">
        <f>IF(OR(B1929="",C1929=""),"",IFERROR(E1929 / SUMIFS('📅 Resumen Diario'!$D$5:$D$504, '📅 Resumen Diario'!$B$5:$B$504, B1929, '📅 Resumen Diario'!$C$5:$C$504, D1929) * SUMIFS('📅 Resumen Diario'!$K$5:$K$504, '📅 Resumen Diario'!$B$5:$B$504, B1929, '📅 Resumen Diario'!$C$5:$C$504, D1929), 0))</f>
        <v/>
      </c>
      <c r="M1929" s="31" t="str">
        <f t="shared" si="213"/>
        <v/>
      </c>
      <c r="N1929" s="31" t="str">
        <f t="shared" si="214"/>
        <v/>
      </c>
      <c r="O1929" s="31" t="str">
        <f>IF(OR(B1929="",C1929=""),"",K1929-N1929 + IFERROR(E1929 / SUMIFS('📅 Resumen Diario'!$D$5:$D$504, '📅 Resumen Diario'!$B$5:$B$504, B1929, '📅 Resumen Diario'!$C$5:$C$504, D1929) * (SUMIFS('📋 Detalle Diario'!$E$5:$E$489, '📋 Detalle Diario'!$B$5:$B$489, B1929, '📋 Detalle Diario'!$C$5:$C$489, D1929) * 135 + SUMIFS('📋 Detalle Diario'!$I$5:$I$489, '📋 Detalle Diario'!$B$5:$B$489, B1929, '📋 Detalle Diario'!$C$5:$C$489, D1929) * 200), 0))</f>
        <v/>
      </c>
      <c r="P1929" s="32" t="str">
        <f t="shared" si="215"/>
        <v/>
      </c>
      <c r="Q1929" s="33" t="str">
        <f t="shared" si="216"/>
        <v/>
      </c>
    </row>
    <row r="1930" spans="2:17" ht="18" customHeight="1" x14ac:dyDescent="0.3">
      <c r="B1930" s="26"/>
      <c r="C1930" s="17"/>
      <c r="D1930" s="27"/>
      <c r="E1930" s="18"/>
      <c r="F1930" s="18"/>
      <c r="G1930" s="18"/>
      <c r="H1930" s="30" t="str">
        <f t="shared" si="210"/>
        <v/>
      </c>
      <c r="I1930" s="31" t="str">
        <f>IF(OR(B1930="",C1930=""),"",IFERROR(E1930*IF(E1930="",0,VLOOKUP(C1930,'📦 Precios Proforma'!$B$5:$D$104,IF(D1930="DIA",2,3),FALSE)),0))</f>
        <v/>
      </c>
      <c r="J1930" s="31" t="str">
        <f t="shared" si="211"/>
        <v/>
      </c>
      <c r="K1930" s="31" t="str">
        <f t="shared" si="212"/>
        <v/>
      </c>
      <c r="L1930" s="31" t="str">
        <f>IF(OR(B1930="",C1930=""),"",IFERROR(E1930 / SUMIFS('📅 Resumen Diario'!$D$5:$D$504, '📅 Resumen Diario'!$B$5:$B$504, B1930, '📅 Resumen Diario'!$C$5:$C$504, D1930) * SUMIFS('📅 Resumen Diario'!$K$5:$K$504, '📅 Resumen Diario'!$B$5:$B$504, B1930, '📅 Resumen Diario'!$C$5:$C$504, D1930), 0))</f>
        <v/>
      </c>
      <c r="M1930" s="31" t="str">
        <f t="shared" si="213"/>
        <v/>
      </c>
      <c r="N1930" s="31" t="str">
        <f t="shared" si="214"/>
        <v/>
      </c>
      <c r="O1930" s="31" t="str">
        <f>IF(OR(B1930="",C1930=""),"",K1930-N1930 + IFERROR(E1930 / SUMIFS('📅 Resumen Diario'!$D$5:$D$504, '📅 Resumen Diario'!$B$5:$B$504, B1930, '📅 Resumen Diario'!$C$5:$C$504, D1930) * (SUMIFS('📋 Detalle Diario'!$E$5:$E$489, '📋 Detalle Diario'!$B$5:$B$489, B1930, '📋 Detalle Diario'!$C$5:$C$489, D1930) * 135 + SUMIFS('📋 Detalle Diario'!$I$5:$I$489, '📋 Detalle Diario'!$B$5:$B$489, B1930, '📋 Detalle Diario'!$C$5:$C$489, D1930) * 200), 0))</f>
        <v/>
      </c>
      <c r="P1930" s="32" t="str">
        <f t="shared" si="215"/>
        <v/>
      </c>
      <c r="Q1930" s="33" t="str">
        <f t="shared" si="216"/>
        <v/>
      </c>
    </row>
    <row r="1931" spans="2:17" ht="18" customHeight="1" x14ac:dyDescent="0.3">
      <c r="B1931" s="26"/>
      <c r="C1931" s="28"/>
      <c r="D1931" s="27"/>
      <c r="E1931" s="29"/>
      <c r="F1931" s="29"/>
      <c r="G1931" s="29"/>
      <c r="H1931" s="30" t="str">
        <f t="shared" si="210"/>
        <v/>
      </c>
      <c r="I1931" s="31" t="str">
        <f>IF(OR(B1931="",C1931=""),"",IFERROR(E1931*IF(E1931="",0,VLOOKUP(C1931,'📦 Precios Proforma'!$B$5:$D$104,IF(D1931="DIA",2,3),FALSE)),0))</f>
        <v/>
      </c>
      <c r="J1931" s="31" t="str">
        <f t="shared" si="211"/>
        <v/>
      </c>
      <c r="K1931" s="31" t="str">
        <f t="shared" si="212"/>
        <v/>
      </c>
      <c r="L1931" s="31" t="str">
        <f>IF(OR(B1931="",C1931=""),"",IFERROR(E1931 / SUMIFS('📅 Resumen Diario'!$D$5:$D$504, '📅 Resumen Diario'!$B$5:$B$504, B1931, '📅 Resumen Diario'!$C$5:$C$504, D1931) * SUMIFS('📅 Resumen Diario'!$K$5:$K$504, '📅 Resumen Diario'!$B$5:$B$504, B1931, '📅 Resumen Diario'!$C$5:$C$504, D1931), 0))</f>
        <v/>
      </c>
      <c r="M1931" s="31" t="str">
        <f t="shared" si="213"/>
        <v/>
      </c>
      <c r="N1931" s="31" t="str">
        <f t="shared" si="214"/>
        <v/>
      </c>
      <c r="O1931" s="31" t="str">
        <f>IF(OR(B1931="",C1931=""),"",K1931-N1931 + IFERROR(E1931 / SUMIFS('📅 Resumen Diario'!$D$5:$D$504, '📅 Resumen Diario'!$B$5:$B$504, B1931, '📅 Resumen Diario'!$C$5:$C$504, D1931) * (SUMIFS('📋 Detalle Diario'!$E$5:$E$489, '📋 Detalle Diario'!$B$5:$B$489, B1931, '📋 Detalle Diario'!$C$5:$C$489, D1931) * 135 + SUMIFS('📋 Detalle Diario'!$I$5:$I$489, '📋 Detalle Diario'!$B$5:$B$489, B1931, '📋 Detalle Diario'!$C$5:$C$489, D1931) * 200), 0))</f>
        <v/>
      </c>
      <c r="P1931" s="32" t="str">
        <f t="shared" si="215"/>
        <v/>
      </c>
      <c r="Q1931" s="33" t="str">
        <f t="shared" si="216"/>
        <v/>
      </c>
    </row>
    <row r="1932" spans="2:17" ht="18" customHeight="1" x14ac:dyDescent="0.3">
      <c r="B1932" s="26"/>
      <c r="C1932" s="17"/>
      <c r="D1932" s="27"/>
      <c r="E1932" s="18"/>
      <c r="F1932" s="18"/>
      <c r="G1932" s="18"/>
      <c r="H1932" s="30" t="str">
        <f t="shared" si="210"/>
        <v/>
      </c>
      <c r="I1932" s="31" t="str">
        <f>IF(OR(B1932="",C1932=""),"",IFERROR(E1932*IF(E1932="",0,VLOOKUP(C1932,'📦 Precios Proforma'!$B$5:$D$104,IF(D1932="DIA",2,3),FALSE)),0))</f>
        <v/>
      </c>
      <c r="J1932" s="31" t="str">
        <f t="shared" si="211"/>
        <v/>
      </c>
      <c r="K1932" s="31" t="str">
        <f t="shared" si="212"/>
        <v/>
      </c>
      <c r="L1932" s="31" t="str">
        <f>IF(OR(B1932="",C1932=""),"",IFERROR(E1932 / SUMIFS('📅 Resumen Diario'!$D$5:$D$504, '📅 Resumen Diario'!$B$5:$B$504, B1932, '📅 Resumen Diario'!$C$5:$C$504, D1932) * SUMIFS('📅 Resumen Diario'!$K$5:$K$504, '📅 Resumen Diario'!$B$5:$B$504, B1932, '📅 Resumen Diario'!$C$5:$C$504, D1932), 0))</f>
        <v/>
      </c>
      <c r="M1932" s="31" t="str">
        <f t="shared" si="213"/>
        <v/>
      </c>
      <c r="N1932" s="31" t="str">
        <f t="shared" si="214"/>
        <v/>
      </c>
      <c r="O1932" s="31" t="str">
        <f>IF(OR(B1932="",C1932=""),"",K1932-N1932 + IFERROR(E1932 / SUMIFS('📅 Resumen Diario'!$D$5:$D$504, '📅 Resumen Diario'!$B$5:$B$504, B1932, '📅 Resumen Diario'!$C$5:$C$504, D1932) * (SUMIFS('📋 Detalle Diario'!$E$5:$E$489, '📋 Detalle Diario'!$B$5:$B$489, B1932, '📋 Detalle Diario'!$C$5:$C$489, D1932) * 135 + SUMIFS('📋 Detalle Diario'!$I$5:$I$489, '📋 Detalle Diario'!$B$5:$B$489, B1932, '📋 Detalle Diario'!$C$5:$C$489, D1932) * 200), 0))</f>
        <v/>
      </c>
      <c r="P1932" s="32" t="str">
        <f t="shared" si="215"/>
        <v/>
      </c>
      <c r="Q1932" s="33" t="str">
        <f t="shared" si="216"/>
        <v/>
      </c>
    </row>
    <row r="1933" spans="2:17" ht="18" customHeight="1" x14ac:dyDescent="0.3">
      <c r="B1933" s="26"/>
      <c r="C1933" s="28"/>
      <c r="D1933" s="27"/>
      <c r="E1933" s="29"/>
      <c r="F1933" s="29"/>
      <c r="G1933" s="29"/>
      <c r="H1933" s="30" t="str">
        <f t="shared" si="210"/>
        <v/>
      </c>
      <c r="I1933" s="31" t="str">
        <f>IF(OR(B1933="",C1933=""),"",IFERROR(E1933*IF(E1933="",0,VLOOKUP(C1933,'📦 Precios Proforma'!$B$5:$D$104,IF(D1933="DIA",2,3),FALSE)),0))</f>
        <v/>
      </c>
      <c r="J1933" s="31" t="str">
        <f t="shared" si="211"/>
        <v/>
      </c>
      <c r="K1933" s="31" t="str">
        <f t="shared" si="212"/>
        <v/>
      </c>
      <c r="L1933" s="31" t="str">
        <f>IF(OR(B1933="",C1933=""),"",IFERROR(E1933 / SUMIFS('📅 Resumen Diario'!$D$5:$D$504, '📅 Resumen Diario'!$B$5:$B$504, B1933, '📅 Resumen Diario'!$C$5:$C$504, D1933) * SUMIFS('📅 Resumen Diario'!$K$5:$K$504, '📅 Resumen Diario'!$B$5:$B$504, B1933, '📅 Resumen Diario'!$C$5:$C$504, D1933), 0))</f>
        <v/>
      </c>
      <c r="M1933" s="31" t="str">
        <f t="shared" si="213"/>
        <v/>
      </c>
      <c r="N1933" s="31" t="str">
        <f t="shared" si="214"/>
        <v/>
      </c>
      <c r="O1933" s="31" t="str">
        <f>IF(OR(B1933="",C1933=""),"",K1933-N1933 + IFERROR(E1933 / SUMIFS('📅 Resumen Diario'!$D$5:$D$504, '📅 Resumen Diario'!$B$5:$B$504, B1933, '📅 Resumen Diario'!$C$5:$C$504, D1933) * (SUMIFS('📋 Detalle Diario'!$E$5:$E$489, '📋 Detalle Diario'!$B$5:$B$489, B1933, '📋 Detalle Diario'!$C$5:$C$489, D1933) * 135 + SUMIFS('📋 Detalle Diario'!$I$5:$I$489, '📋 Detalle Diario'!$B$5:$B$489, B1933, '📋 Detalle Diario'!$C$5:$C$489, D1933) * 200), 0))</f>
        <v/>
      </c>
      <c r="P1933" s="32" t="str">
        <f t="shared" si="215"/>
        <v/>
      </c>
      <c r="Q1933" s="33" t="str">
        <f t="shared" si="216"/>
        <v/>
      </c>
    </row>
    <row r="1934" spans="2:17" ht="18" customHeight="1" x14ac:dyDescent="0.3">
      <c r="B1934" s="26"/>
      <c r="C1934" s="17"/>
      <c r="D1934" s="27"/>
      <c r="E1934" s="18"/>
      <c r="F1934" s="18"/>
      <c r="G1934" s="18"/>
      <c r="H1934" s="30" t="str">
        <f t="shared" si="210"/>
        <v/>
      </c>
      <c r="I1934" s="31" t="str">
        <f>IF(OR(B1934="",C1934=""),"",IFERROR(E1934*IF(E1934="",0,VLOOKUP(C1934,'📦 Precios Proforma'!$B$5:$D$104,IF(D1934="DIA",2,3),FALSE)),0))</f>
        <v/>
      </c>
      <c r="J1934" s="31" t="str">
        <f t="shared" si="211"/>
        <v/>
      </c>
      <c r="K1934" s="31" t="str">
        <f t="shared" si="212"/>
        <v/>
      </c>
      <c r="L1934" s="31" t="str">
        <f>IF(OR(B1934="",C1934=""),"",IFERROR(E1934 / SUMIFS('📅 Resumen Diario'!$D$5:$D$504, '📅 Resumen Diario'!$B$5:$B$504, B1934, '📅 Resumen Diario'!$C$5:$C$504, D1934) * SUMIFS('📅 Resumen Diario'!$K$5:$K$504, '📅 Resumen Diario'!$B$5:$B$504, B1934, '📅 Resumen Diario'!$C$5:$C$504, D1934), 0))</f>
        <v/>
      </c>
      <c r="M1934" s="31" t="str">
        <f t="shared" si="213"/>
        <v/>
      </c>
      <c r="N1934" s="31" t="str">
        <f t="shared" si="214"/>
        <v/>
      </c>
      <c r="O1934" s="31" t="str">
        <f>IF(OR(B1934="",C1934=""),"",K1934-N1934 + IFERROR(E1934 / SUMIFS('📅 Resumen Diario'!$D$5:$D$504, '📅 Resumen Diario'!$B$5:$B$504, B1934, '📅 Resumen Diario'!$C$5:$C$504, D1934) * (SUMIFS('📋 Detalle Diario'!$E$5:$E$489, '📋 Detalle Diario'!$B$5:$B$489, B1934, '📋 Detalle Diario'!$C$5:$C$489, D1934) * 135 + SUMIFS('📋 Detalle Diario'!$I$5:$I$489, '📋 Detalle Diario'!$B$5:$B$489, B1934, '📋 Detalle Diario'!$C$5:$C$489, D1934) * 200), 0))</f>
        <v/>
      </c>
      <c r="P1934" s="32" t="str">
        <f t="shared" si="215"/>
        <v/>
      </c>
      <c r="Q1934" s="33" t="str">
        <f t="shared" si="216"/>
        <v/>
      </c>
    </row>
    <row r="1935" spans="2:17" ht="18" customHeight="1" x14ac:dyDescent="0.3">
      <c r="B1935" s="26"/>
      <c r="C1935" s="28"/>
      <c r="D1935" s="27"/>
      <c r="E1935" s="29"/>
      <c r="F1935" s="29"/>
      <c r="G1935" s="29"/>
      <c r="H1935" s="30" t="str">
        <f t="shared" si="210"/>
        <v/>
      </c>
      <c r="I1935" s="31" t="str">
        <f>IF(OR(B1935="",C1935=""),"",IFERROR(E1935*IF(E1935="",0,VLOOKUP(C1935,'📦 Precios Proforma'!$B$5:$D$104,IF(D1935="DIA",2,3),FALSE)),0))</f>
        <v/>
      </c>
      <c r="J1935" s="31" t="str">
        <f t="shared" si="211"/>
        <v/>
      </c>
      <c r="K1935" s="31" t="str">
        <f t="shared" si="212"/>
        <v/>
      </c>
      <c r="L1935" s="31" t="str">
        <f>IF(OR(B1935="",C1935=""),"",IFERROR(E1935 / SUMIFS('📅 Resumen Diario'!$D$5:$D$504, '📅 Resumen Diario'!$B$5:$B$504, B1935, '📅 Resumen Diario'!$C$5:$C$504, D1935) * SUMIFS('📅 Resumen Diario'!$K$5:$K$504, '📅 Resumen Diario'!$B$5:$B$504, B1935, '📅 Resumen Diario'!$C$5:$C$504, D1935), 0))</f>
        <v/>
      </c>
      <c r="M1935" s="31" t="str">
        <f t="shared" si="213"/>
        <v/>
      </c>
      <c r="N1935" s="31" t="str">
        <f t="shared" si="214"/>
        <v/>
      </c>
      <c r="O1935" s="31" t="str">
        <f>IF(OR(B1935="",C1935=""),"",K1935-N1935 + IFERROR(E1935 / SUMIFS('📅 Resumen Diario'!$D$5:$D$504, '📅 Resumen Diario'!$B$5:$B$504, B1935, '📅 Resumen Diario'!$C$5:$C$504, D1935) * (SUMIFS('📋 Detalle Diario'!$E$5:$E$489, '📋 Detalle Diario'!$B$5:$B$489, B1935, '📋 Detalle Diario'!$C$5:$C$489, D1935) * 135 + SUMIFS('📋 Detalle Diario'!$I$5:$I$489, '📋 Detalle Diario'!$B$5:$B$489, B1935, '📋 Detalle Diario'!$C$5:$C$489, D1935) * 200), 0))</f>
        <v/>
      </c>
      <c r="P1935" s="32" t="str">
        <f t="shared" si="215"/>
        <v/>
      </c>
      <c r="Q1935" s="33" t="str">
        <f t="shared" si="216"/>
        <v/>
      </c>
    </row>
    <row r="1936" spans="2:17" ht="18" customHeight="1" x14ac:dyDescent="0.3">
      <c r="B1936" s="26"/>
      <c r="C1936" s="17"/>
      <c r="D1936" s="27"/>
      <c r="E1936" s="18"/>
      <c r="F1936" s="18"/>
      <c r="G1936" s="18"/>
      <c r="H1936" s="30" t="str">
        <f t="shared" si="210"/>
        <v/>
      </c>
      <c r="I1936" s="31" t="str">
        <f>IF(OR(B1936="",C1936=""),"",IFERROR(E1936*IF(E1936="",0,VLOOKUP(C1936,'📦 Precios Proforma'!$B$5:$D$104,IF(D1936="DIA",2,3),FALSE)),0))</f>
        <v/>
      </c>
      <c r="J1936" s="31" t="str">
        <f t="shared" si="211"/>
        <v/>
      </c>
      <c r="K1936" s="31" t="str">
        <f t="shared" si="212"/>
        <v/>
      </c>
      <c r="L1936" s="31" t="str">
        <f>IF(OR(B1936="",C1936=""),"",IFERROR(E1936 / SUMIFS('📅 Resumen Diario'!$D$5:$D$504, '📅 Resumen Diario'!$B$5:$B$504, B1936, '📅 Resumen Diario'!$C$5:$C$504, D1936) * SUMIFS('📅 Resumen Diario'!$K$5:$K$504, '📅 Resumen Diario'!$B$5:$B$504, B1936, '📅 Resumen Diario'!$C$5:$C$504, D1936), 0))</f>
        <v/>
      </c>
      <c r="M1936" s="31" t="str">
        <f t="shared" si="213"/>
        <v/>
      </c>
      <c r="N1936" s="31" t="str">
        <f t="shared" si="214"/>
        <v/>
      </c>
      <c r="O1936" s="31" t="str">
        <f>IF(OR(B1936="",C1936=""),"",K1936-N1936 + IFERROR(E1936 / SUMIFS('📅 Resumen Diario'!$D$5:$D$504, '📅 Resumen Diario'!$B$5:$B$504, B1936, '📅 Resumen Diario'!$C$5:$C$504, D1936) * (SUMIFS('📋 Detalle Diario'!$E$5:$E$489, '📋 Detalle Diario'!$B$5:$B$489, B1936, '📋 Detalle Diario'!$C$5:$C$489, D1936) * 135 + SUMIFS('📋 Detalle Diario'!$I$5:$I$489, '📋 Detalle Diario'!$B$5:$B$489, B1936, '📋 Detalle Diario'!$C$5:$C$489, D1936) * 200), 0))</f>
        <v/>
      </c>
      <c r="P1936" s="32" t="str">
        <f t="shared" si="215"/>
        <v/>
      </c>
      <c r="Q1936" s="33" t="str">
        <f t="shared" si="216"/>
        <v/>
      </c>
    </row>
    <row r="1937" spans="2:17" ht="18" customHeight="1" x14ac:dyDescent="0.3">
      <c r="B1937" s="26"/>
      <c r="C1937" s="28"/>
      <c r="D1937" s="27"/>
      <c r="E1937" s="29"/>
      <c r="F1937" s="29"/>
      <c r="G1937" s="29"/>
      <c r="H1937" s="30" t="str">
        <f t="shared" si="210"/>
        <v/>
      </c>
      <c r="I1937" s="31" t="str">
        <f>IF(OR(B1937="",C1937=""),"",IFERROR(E1937*IF(E1937="",0,VLOOKUP(C1937,'📦 Precios Proforma'!$B$5:$D$104,IF(D1937="DIA",2,3),FALSE)),0))</f>
        <v/>
      </c>
      <c r="J1937" s="31" t="str">
        <f t="shared" si="211"/>
        <v/>
      </c>
      <c r="K1937" s="31" t="str">
        <f t="shared" si="212"/>
        <v/>
      </c>
      <c r="L1937" s="31" t="str">
        <f>IF(OR(B1937="",C1937=""),"",IFERROR(E1937 / SUMIFS('📅 Resumen Diario'!$D$5:$D$504, '📅 Resumen Diario'!$B$5:$B$504, B1937, '📅 Resumen Diario'!$C$5:$C$504, D1937) * SUMIFS('📅 Resumen Diario'!$K$5:$K$504, '📅 Resumen Diario'!$B$5:$B$504, B1937, '📅 Resumen Diario'!$C$5:$C$504, D1937), 0))</f>
        <v/>
      </c>
      <c r="M1937" s="31" t="str">
        <f t="shared" si="213"/>
        <v/>
      </c>
      <c r="N1937" s="31" t="str">
        <f t="shared" si="214"/>
        <v/>
      </c>
      <c r="O1937" s="31" t="str">
        <f>IF(OR(B1937="",C1937=""),"",K1937-N1937 + IFERROR(E1937 / SUMIFS('📅 Resumen Diario'!$D$5:$D$504, '📅 Resumen Diario'!$B$5:$B$504, B1937, '📅 Resumen Diario'!$C$5:$C$504, D1937) * (SUMIFS('📋 Detalle Diario'!$E$5:$E$489, '📋 Detalle Diario'!$B$5:$B$489, B1937, '📋 Detalle Diario'!$C$5:$C$489, D1937) * 135 + SUMIFS('📋 Detalle Diario'!$I$5:$I$489, '📋 Detalle Diario'!$B$5:$B$489, B1937, '📋 Detalle Diario'!$C$5:$C$489, D1937) * 200), 0))</f>
        <v/>
      </c>
      <c r="P1937" s="32" t="str">
        <f t="shared" si="215"/>
        <v/>
      </c>
      <c r="Q1937" s="33" t="str">
        <f t="shared" si="216"/>
        <v/>
      </c>
    </row>
    <row r="1938" spans="2:17" ht="18" customHeight="1" x14ac:dyDescent="0.3">
      <c r="B1938" s="26"/>
      <c r="C1938" s="17"/>
      <c r="D1938" s="27"/>
      <c r="E1938" s="18"/>
      <c r="F1938" s="18"/>
      <c r="G1938" s="18"/>
      <c r="H1938" s="30" t="str">
        <f t="shared" si="210"/>
        <v/>
      </c>
      <c r="I1938" s="31" t="str">
        <f>IF(OR(B1938="",C1938=""),"",IFERROR(E1938*IF(E1938="",0,VLOOKUP(C1938,'📦 Precios Proforma'!$B$5:$D$104,IF(D1938="DIA",2,3),FALSE)),0))</f>
        <v/>
      </c>
      <c r="J1938" s="31" t="str">
        <f t="shared" si="211"/>
        <v/>
      </c>
      <c r="K1938" s="31" t="str">
        <f t="shared" si="212"/>
        <v/>
      </c>
      <c r="L1938" s="31" t="str">
        <f>IF(OR(B1938="",C1938=""),"",IFERROR(E1938 / SUMIFS('📅 Resumen Diario'!$D$5:$D$504, '📅 Resumen Diario'!$B$5:$B$504, B1938, '📅 Resumen Diario'!$C$5:$C$504, D1938) * SUMIFS('📅 Resumen Diario'!$K$5:$K$504, '📅 Resumen Diario'!$B$5:$B$504, B1938, '📅 Resumen Diario'!$C$5:$C$504, D1938), 0))</f>
        <v/>
      </c>
      <c r="M1938" s="31" t="str">
        <f t="shared" si="213"/>
        <v/>
      </c>
      <c r="N1938" s="31" t="str">
        <f t="shared" si="214"/>
        <v/>
      </c>
      <c r="O1938" s="31" t="str">
        <f>IF(OR(B1938="",C1938=""),"",K1938-N1938 + IFERROR(E1938 / SUMIFS('📅 Resumen Diario'!$D$5:$D$504, '📅 Resumen Diario'!$B$5:$B$504, B1938, '📅 Resumen Diario'!$C$5:$C$504, D1938) * (SUMIFS('📋 Detalle Diario'!$E$5:$E$489, '📋 Detalle Diario'!$B$5:$B$489, B1938, '📋 Detalle Diario'!$C$5:$C$489, D1938) * 135 + SUMIFS('📋 Detalle Diario'!$I$5:$I$489, '📋 Detalle Diario'!$B$5:$B$489, B1938, '📋 Detalle Diario'!$C$5:$C$489, D1938) * 200), 0))</f>
        <v/>
      </c>
      <c r="P1938" s="32" t="str">
        <f t="shared" si="215"/>
        <v/>
      </c>
      <c r="Q1938" s="33" t="str">
        <f t="shared" si="216"/>
        <v/>
      </c>
    </row>
    <row r="1939" spans="2:17" ht="18" customHeight="1" x14ac:dyDescent="0.3">
      <c r="B1939" s="26"/>
      <c r="C1939" s="28"/>
      <c r="D1939" s="27"/>
      <c r="E1939" s="29"/>
      <c r="F1939" s="29"/>
      <c r="G1939" s="29"/>
      <c r="H1939" s="30" t="str">
        <f t="shared" si="210"/>
        <v/>
      </c>
      <c r="I1939" s="31" t="str">
        <f>IF(OR(B1939="",C1939=""),"",IFERROR(E1939*IF(E1939="",0,VLOOKUP(C1939,'📦 Precios Proforma'!$B$5:$D$104,IF(D1939="DIA",2,3),FALSE)),0))</f>
        <v/>
      </c>
      <c r="J1939" s="31" t="str">
        <f t="shared" si="211"/>
        <v/>
      </c>
      <c r="K1939" s="31" t="str">
        <f t="shared" si="212"/>
        <v/>
      </c>
      <c r="L1939" s="31" t="str">
        <f>IF(OR(B1939="",C1939=""),"",IFERROR(E1939 / SUMIFS('📅 Resumen Diario'!$D$5:$D$504, '📅 Resumen Diario'!$B$5:$B$504, B1939, '📅 Resumen Diario'!$C$5:$C$504, D1939) * SUMIFS('📅 Resumen Diario'!$K$5:$K$504, '📅 Resumen Diario'!$B$5:$B$504, B1939, '📅 Resumen Diario'!$C$5:$C$504, D1939), 0))</f>
        <v/>
      </c>
      <c r="M1939" s="31" t="str">
        <f t="shared" si="213"/>
        <v/>
      </c>
      <c r="N1939" s="31" t="str">
        <f t="shared" si="214"/>
        <v/>
      </c>
      <c r="O1939" s="31" t="str">
        <f>IF(OR(B1939="",C1939=""),"",K1939-N1939 + IFERROR(E1939 / SUMIFS('📅 Resumen Diario'!$D$5:$D$504, '📅 Resumen Diario'!$B$5:$B$504, B1939, '📅 Resumen Diario'!$C$5:$C$504, D1939) * (SUMIFS('📋 Detalle Diario'!$E$5:$E$489, '📋 Detalle Diario'!$B$5:$B$489, B1939, '📋 Detalle Diario'!$C$5:$C$489, D1939) * 135 + SUMIFS('📋 Detalle Diario'!$I$5:$I$489, '📋 Detalle Diario'!$B$5:$B$489, B1939, '📋 Detalle Diario'!$C$5:$C$489, D1939) * 200), 0))</f>
        <v/>
      </c>
      <c r="P1939" s="32" t="str">
        <f t="shared" si="215"/>
        <v/>
      </c>
      <c r="Q1939" s="33" t="str">
        <f t="shared" si="216"/>
        <v/>
      </c>
    </row>
    <row r="1940" spans="2:17" ht="18" customHeight="1" x14ac:dyDescent="0.3">
      <c r="B1940" s="26"/>
      <c r="C1940" s="17"/>
      <c r="D1940" s="27"/>
      <c r="E1940" s="18"/>
      <c r="F1940" s="18"/>
      <c r="G1940" s="18"/>
      <c r="H1940" s="30" t="str">
        <f t="shared" si="210"/>
        <v/>
      </c>
      <c r="I1940" s="31" t="str">
        <f>IF(OR(B1940="",C1940=""),"",IFERROR(E1940*IF(E1940="",0,VLOOKUP(C1940,'📦 Precios Proforma'!$B$5:$D$104,IF(D1940="DIA",2,3),FALSE)),0))</f>
        <v/>
      </c>
      <c r="J1940" s="31" t="str">
        <f t="shared" si="211"/>
        <v/>
      </c>
      <c r="K1940" s="31" t="str">
        <f t="shared" si="212"/>
        <v/>
      </c>
      <c r="L1940" s="31" t="str">
        <f>IF(OR(B1940="",C1940=""),"",IFERROR(E1940 / SUMIFS('📅 Resumen Diario'!$D$5:$D$504, '📅 Resumen Diario'!$B$5:$B$504, B1940, '📅 Resumen Diario'!$C$5:$C$504, D1940) * SUMIFS('📅 Resumen Diario'!$K$5:$K$504, '📅 Resumen Diario'!$B$5:$B$504, B1940, '📅 Resumen Diario'!$C$5:$C$504, D1940), 0))</f>
        <v/>
      </c>
      <c r="M1940" s="31" t="str">
        <f t="shared" si="213"/>
        <v/>
      </c>
      <c r="N1940" s="31" t="str">
        <f t="shared" si="214"/>
        <v/>
      </c>
      <c r="O1940" s="31" t="str">
        <f>IF(OR(B1940="",C1940=""),"",K1940-N1940 + IFERROR(E1940 / SUMIFS('📅 Resumen Diario'!$D$5:$D$504, '📅 Resumen Diario'!$B$5:$B$504, B1940, '📅 Resumen Diario'!$C$5:$C$504, D1940) * (SUMIFS('📋 Detalle Diario'!$E$5:$E$489, '📋 Detalle Diario'!$B$5:$B$489, B1940, '📋 Detalle Diario'!$C$5:$C$489, D1940) * 135 + SUMIFS('📋 Detalle Diario'!$I$5:$I$489, '📋 Detalle Diario'!$B$5:$B$489, B1940, '📋 Detalle Diario'!$C$5:$C$489, D1940) * 200), 0))</f>
        <v/>
      </c>
      <c r="P1940" s="32" t="str">
        <f t="shared" si="215"/>
        <v/>
      </c>
      <c r="Q1940" s="33" t="str">
        <f t="shared" si="216"/>
        <v/>
      </c>
    </row>
    <row r="1941" spans="2:17" ht="18" customHeight="1" x14ac:dyDescent="0.3">
      <c r="B1941" s="26"/>
      <c r="C1941" s="28"/>
      <c r="D1941" s="27"/>
      <c r="E1941" s="29"/>
      <c r="F1941" s="29"/>
      <c r="G1941" s="29"/>
      <c r="H1941" s="30" t="str">
        <f t="shared" si="210"/>
        <v/>
      </c>
      <c r="I1941" s="31" t="str">
        <f>IF(OR(B1941="",C1941=""),"",IFERROR(E1941*IF(E1941="",0,VLOOKUP(C1941,'📦 Precios Proforma'!$B$5:$D$104,IF(D1941="DIA",2,3),FALSE)),0))</f>
        <v/>
      </c>
      <c r="J1941" s="31" t="str">
        <f t="shared" si="211"/>
        <v/>
      </c>
      <c r="K1941" s="31" t="str">
        <f t="shared" si="212"/>
        <v/>
      </c>
      <c r="L1941" s="31" t="str">
        <f>IF(OR(B1941="",C1941=""),"",IFERROR(E1941 / SUMIFS('📅 Resumen Diario'!$D$5:$D$504, '📅 Resumen Diario'!$B$5:$B$504, B1941, '📅 Resumen Diario'!$C$5:$C$504, D1941) * SUMIFS('📅 Resumen Diario'!$K$5:$K$504, '📅 Resumen Diario'!$B$5:$B$504, B1941, '📅 Resumen Diario'!$C$5:$C$504, D1941), 0))</f>
        <v/>
      </c>
      <c r="M1941" s="31" t="str">
        <f t="shared" si="213"/>
        <v/>
      </c>
      <c r="N1941" s="31" t="str">
        <f t="shared" si="214"/>
        <v/>
      </c>
      <c r="O1941" s="31" t="str">
        <f>IF(OR(B1941="",C1941=""),"",K1941-N1941 + IFERROR(E1941 / SUMIFS('📅 Resumen Diario'!$D$5:$D$504, '📅 Resumen Diario'!$B$5:$B$504, B1941, '📅 Resumen Diario'!$C$5:$C$504, D1941) * (SUMIFS('📋 Detalle Diario'!$E$5:$E$489, '📋 Detalle Diario'!$B$5:$B$489, B1941, '📋 Detalle Diario'!$C$5:$C$489, D1941) * 135 + SUMIFS('📋 Detalle Diario'!$I$5:$I$489, '📋 Detalle Diario'!$B$5:$B$489, B1941, '📋 Detalle Diario'!$C$5:$C$489, D1941) * 200), 0))</f>
        <v/>
      </c>
      <c r="P1941" s="32" t="str">
        <f t="shared" si="215"/>
        <v/>
      </c>
      <c r="Q1941" s="33" t="str">
        <f t="shared" si="216"/>
        <v/>
      </c>
    </row>
    <row r="1942" spans="2:17" ht="18" customHeight="1" x14ac:dyDescent="0.3">
      <c r="B1942" s="26"/>
      <c r="C1942" s="17"/>
      <c r="D1942" s="27"/>
      <c r="E1942" s="18"/>
      <c r="F1942" s="18"/>
      <c r="G1942" s="18"/>
      <c r="H1942" s="30" t="str">
        <f t="shared" si="210"/>
        <v/>
      </c>
      <c r="I1942" s="31" t="str">
        <f>IF(OR(B1942="",C1942=""),"",IFERROR(E1942*IF(E1942="",0,VLOOKUP(C1942,'📦 Precios Proforma'!$B$5:$D$104,IF(D1942="DIA",2,3),FALSE)),0))</f>
        <v/>
      </c>
      <c r="J1942" s="31" t="str">
        <f t="shared" si="211"/>
        <v/>
      </c>
      <c r="K1942" s="31" t="str">
        <f t="shared" si="212"/>
        <v/>
      </c>
      <c r="L1942" s="31" t="str">
        <f>IF(OR(B1942="",C1942=""),"",IFERROR(E1942 / SUMIFS('📅 Resumen Diario'!$D$5:$D$504, '📅 Resumen Diario'!$B$5:$B$504, B1942, '📅 Resumen Diario'!$C$5:$C$504, D1942) * SUMIFS('📅 Resumen Diario'!$K$5:$K$504, '📅 Resumen Diario'!$B$5:$B$504, B1942, '📅 Resumen Diario'!$C$5:$C$504, D1942), 0))</f>
        <v/>
      </c>
      <c r="M1942" s="31" t="str">
        <f t="shared" si="213"/>
        <v/>
      </c>
      <c r="N1942" s="31" t="str">
        <f t="shared" si="214"/>
        <v/>
      </c>
      <c r="O1942" s="31" t="str">
        <f>IF(OR(B1942="",C1942=""),"",K1942-N1942 + IFERROR(E1942 / SUMIFS('📅 Resumen Diario'!$D$5:$D$504, '📅 Resumen Diario'!$B$5:$B$504, B1942, '📅 Resumen Diario'!$C$5:$C$504, D1942) * (SUMIFS('📋 Detalle Diario'!$E$5:$E$489, '📋 Detalle Diario'!$B$5:$B$489, B1942, '📋 Detalle Diario'!$C$5:$C$489, D1942) * 135 + SUMIFS('📋 Detalle Diario'!$I$5:$I$489, '📋 Detalle Diario'!$B$5:$B$489, B1942, '📋 Detalle Diario'!$C$5:$C$489, D1942) * 200), 0))</f>
        <v/>
      </c>
      <c r="P1942" s="32" t="str">
        <f t="shared" si="215"/>
        <v/>
      </c>
      <c r="Q1942" s="33" t="str">
        <f t="shared" si="216"/>
        <v/>
      </c>
    </row>
    <row r="1943" spans="2:17" ht="18" customHeight="1" x14ac:dyDescent="0.3">
      <c r="B1943" s="26"/>
      <c r="C1943" s="28"/>
      <c r="D1943" s="27"/>
      <c r="E1943" s="29"/>
      <c r="F1943" s="29"/>
      <c r="G1943" s="29"/>
      <c r="H1943" s="30" t="str">
        <f t="shared" si="210"/>
        <v/>
      </c>
      <c r="I1943" s="31" t="str">
        <f>IF(OR(B1943="",C1943=""),"",IFERROR(E1943*IF(E1943="",0,VLOOKUP(C1943,'📦 Precios Proforma'!$B$5:$D$104,IF(D1943="DIA",2,3),FALSE)),0))</f>
        <v/>
      </c>
      <c r="J1943" s="31" t="str">
        <f t="shared" si="211"/>
        <v/>
      </c>
      <c r="K1943" s="31" t="str">
        <f t="shared" si="212"/>
        <v/>
      </c>
      <c r="L1943" s="31" t="str">
        <f>IF(OR(B1943="",C1943=""),"",IFERROR(E1943 / SUMIFS('📅 Resumen Diario'!$D$5:$D$504, '📅 Resumen Diario'!$B$5:$B$504, B1943, '📅 Resumen Diario'!$C$5:$C$504, D1943) * SUMIFS('📅 Resumen Diario'!$K$5:$K$504, '📅 Resumen Diario'!$B$5:$B$504, B1943, '📅 Resumen Diario'!$C$5:$C$504, D1943), 0))</f>
        <v/>
      </c>
      <c r="M1943" s="31" t="str">
        <f t="shared" si="213"/>
        <v/>
      </c>
      <c r="N1943" s="31" t="str">
        <f t="shared" si="214"/>
        <v/>
      </c>
      <c r="O1943" s="31" t="str">
        <f>IF(OR(B1943="",C1943=""),"",K1943-N1943 + IFERROR(E1943 / SUMIFS('📅 Resumen Diario'!$D$5:$D$504, '📅 Resumen Diario'!$B$5:$B$504, B1943, '📅 Resumen Diario'!$C$5:$C$504, D1943) * (SUMIFS('📋 Detalle Diario'!$E$5:$E$489, '📋 Detalle Diario'!$B$5:$B$489, B1943, '📋 Detalle Diario'!$C$5:$C$489, D1943) * 135 + SUMIFS('📋 Detalle Diario'!$I$5:$I$489, '📋 Detalle Diario'!$B$5:$B$489, B1943, '📋 Detalle Diario'!$C$5:$C$489, D1943) * 200), 0))</f>
        <v/>
      </c>
      <c r="P1943" s="32" t="str">
        <f t="shared" si="215"/>
        <v/>
      </c>
      <c r="Q1943" s="33" t="str">
        <f t="shared" si="216"/>
        <v/>
      </c>
    </row>
    <row r="1944" spans="2:17" ht="18" customHeight="1" x14ac:dyDescent="0.3">
      <c r="B1944" s="26"/>
      <c r="C1944" s="17"/>
      <c r="D1944" s="27"/>
      <c r="E1944" s="18"/>
      <c r="F1944" s="18"/>
      <c r="G1944" s="18"/>
      <c r="H1944" s="30" t="str">
        <f t="shared" si="210"/>
        <v/>
      </c>
      <c r="I1944" s="31" t="str">
        <f>IF(OR(B1944="",C1944=""),"",IFERROR(E1944*IF(E1944="",0,VLOOKUP(C1944,'📦 Precios Proforma'!$B$5:$D$104,IF(D1944="DIA",2,3),FALSE)),0))</f>
        <v/>
      </c>
      <c r="J1944" s="31" t="str">
        <f t="shared" si="211"/>
        <v/>
      </c>
      <c r="K1944" s="31" t="str">
        <f t="shared" si="212"/>
        <v/>
      </c>
      <c r="L1944" s="31" t="str">
        <f>IF(OR(B1944="",C1944=""),"",IFERROR(E1944 / SUMIFS('📅 Resumen Diario'!$D$5:$D$504, '📅 Resumen Diario'!$B$5:$B$504, B1944, '📅 Resumen Diario'!$C$5:$C$504, D1944) * SUMIFS('📅 Resumen Diario'!$K$5:$K$504, '📅 Resumen Diario'!$B$5:$B$504, B1944, '📅 Resumen Diario'!$C$5:$C$504, D1944), 0))</f>
        <v/>
      </c>
      <c r="M1944" s="31" t="str">
        <f t="shared" si="213"/>
        <v/>
      </c>
      <c r="N1944" s="31" t="str">
        <f t="shared" si="214"/>
        <v/>
      </c>
      <c r="O1944" s="31" t="str">
        <f>IF(OR(B1944="",C1944=""),"",K1944-N1944 + IFERROR(E1944 / SUMIFS('📅 Resumen Diario'!$D$5:$D$504, '📅 Resumen Diario'!$B$5:$B$504, B1944, '📅 Resumen Diario'!$C$5:$C$504, D1944) * (SUMIFS('📋 Detalle Diario'!$E$5:$E$489, '📋 Detalle Diario'!$B$5:$B$489, B1944, '📋 Detalle Diario'!$C$5:$C$489, D1944) * 135 + SUMIFS('📋 Detalle Diario'!$I$5:$I$489, '📋 Detalle Diario'!$B$5:$B$489, B1944, '📋 Detalle Diario'!$C$5:$C$489, D1944) * 200), 0))</f>
        <v/>
      </c>
      <c r="P1944" s="32" t="str">
        <f t="shared" si="215"/>
        <v/>
      </c>
      <c r="Q1944" s="33" t="str">
        <f t="shared" si="216"/>
        <v/>
      </c>
    </row>
    <row r="1945" spans="2:17" ht="18" customHeight="1" x14ac:dyDescent="0.3">
      <c r="B1945" s="26"/>
      <c r="C1945" s="28"/>
      <c r="D1945" s="27"/>
      <c r="E1945" s="29"/>
      <c r="F1945" s="29"/>
      <c r="G1945" s="29"/>
      <c r="H1945" s="30" t="str">
        <f t="shared" si="210"/>
        <v/>
      </c>
      <c r="I1945" s="31" t="str">
        <f>IF(OR(B1945="",C1945=""),"",IFERROR(E1945*IF(E1945="",0,VLOOKUP(C1945,'📦 Precios Proforma'!$B$5:$D$104,IF(D1945="DIA",2,3),FALSE)),0))</f>
        <v/>
      </c>
      <c r="J1945" s="31" t="str">
        <f t="shared" si="211"/>
        <v/>
      </c>
      <c r="K1945" s="31" t="str">
        <f t="shared" si="212"/>
        <v/>
      </c>
      <c r="L1945" s="31" t="str">
        <f>IF(OR(B1945="",C1945=""),"",IFERROR(E1945 / SUMIFS('📅 Resumen Diario'!$D$5:$D$504, '📅 Resumen Diario'!$B$5:$B$504, B1945, '📅 Resumen Diario'!$C$5:$C$504, D1945) * SUMIFS('📅 Resumen Diario'!$K$5:$K$504, '📅 Resumen Diario'!$B$5:$B$504, B1945, '📅 Resumen Diario'!$C$5:$C$504, D1945), 0))</f>
        <v/>
      </c>
      <c r="M1945" s="31" t="str">
        <f t="shared" si="213"/>
        <v/>
      </c>
      <c r="N1945" s="31" t="str">
        <f t="shared" si="214"/>
        <v/>
      </c>
      <c r="O1945" s="31" t="str">
        <f>IF(OR(B1945="",C1945=""),"",K1945-N1945 + IFERROR(E1945 / SUMIFS('📅 Resumen Diario'!$D$5:$D$504, '📅 Resumen Diario'!$B$5:$B$504, B1945, '📅 Resumen Diario'!$C$5:$C$504, D1945) * (SUMIFS('📋 Detalle Diario'!$E$5:$E$489, '📋 Detalle Diario'!$B$5:$B$489, B1945, '📋 Detalle Diario'!$C$5:$C$489, D1945) * 135 + SUMIFS('📋 Detalle Diario'!$I$5:$I$489, '📋 Detalle Diario'!$B$5:$B$489, B1945, '📋 Detalle Diario'!$C$5:$C$489, D1945) * 200), 0))</f>
        <v/>
      </c>
      <c r="P1945" s="32" t="str">
        <f t="shared" si="215"/>
        <v/>
      </c>
      <c r="Q1945" s="33" t="str">
        <f t="shared" si="216"/>
        <v/>
      </c>
    </row>
    <row r="1946" spans="2:17" ht="18" customHeight="1" x14ac:dyDescent="0.3">
      <c r="B1946" s="26"/>
      <c r="C1946" s="17"/>
      <c r="D1946" s="27"/>
      <c r="E1946" s="18"/>
      <c r="F1946" s="18"/>
      <c r="G1946" s="18"/>
      <c r="H1946" s="30" t="str">
        <f t="shared" si="210"/>
        <v/>
      </c>
      <c r="I1946" s="31" t="str">
        <f>IF(OR(B1946="",C1946=""),"",IFERROR(E1946*IF(E1946="",0,VLOOKUP(C1946,'📦 Precios Proforma'!$B$5:$D$104,IF(D1946="DIA",2,3),FALSE)),0))</f>
        <v/>
      </c>
      <c r="J1946" s="31" t="str">
        <f t="shared" si="211"/>
        <v/>
      </c>
      <c r="K1946" s="31" t="str">
        <f t="shared" si="212"/>
        <v/>
      </c>
      <c r="L1946" s="31" t="str">
        <f>IF(OR(B1946="",C1946=""),"",IFERROR(E1946 / SUMIFS('📅 Resumen Diario'!$D$5:$D$504, '📅 Resumen Diario'!$B$5:$B$504, B1946, '📅 Resumen Diario'!$C$5:$C$504, D1946) * SUMIFS('📅 Resumen Diario'!$K$5:$K$504, '📅 Resumen Diario'!$B$5:$B$504, B1946, '📅 Resumen Diario'!$C$5:$C$504, D1946), 0))</f>
        <v/>
      </c>
      <c r="M1946" s="31" t="str">
        <f t="shared" si="213"/>
        <v/>
      </c>
      <c r="N1946" s="31" t="str">
        <f t="shared" si="214"/>
        <v/>
      </c>
      <c r="O1946" s="31" t="str">
        <f>IF(OR(B1946="",C1946=""),"",K1946-N1946 + IFERROR(E1946 / SUMIFS('📅 Resumen Diario'!$D$5:$D$504, '📅 Resumen Diario'!$B$5:$B$504, B1946, '📅 Resumen Diario'!$C$5:$C$504, D1946) * (SUMIFS('📋 Detalle Diario'!$E$5:$E$489, '📋 Detalle Diario'!$B$5:$B$489, B1946, '📋 Detalle Diario'!$C$5:$C$489, D1946) * 135 + SUMIFS('📋 Detalle Diario'!$I$5:$I$489, '📋 Detalle Diario'!$B$5:$B$489, B1946, '📋 Detalle Diario'!$C$5:$C$489, D1946) * 200), 0))</f>
        <v/>
      </c>
      <c r="P1946" s="32" t="str">
        <f t="shared" si="215"/>
        <v/>
      </c>
      <c r="Q1946" s="33" t="str">
        <f t="shared" si="216"/>
        <v/>
      </c>
    </row>
    <row r="1947" spans="2:17" ht="18" customHeight="1" x14ac:dyDescent="0.3">
      <c r="B1947" s="26"/>
      <c r="C1947" s="28"/>
      <c r="D1947" s="27"/>
      <c r="E1947" s="29"/>
      <c r="F1947" s="29"/>
      <c r="G1947" s="29"/>
      <c r="H1947" s="30" t="str">
        <f t="shared" si="210"/>
        <v/>
      </c>
      <c r="I1947" s="31" t="str">
        <f>IF(OR(B1947="",C1947=""),"",IFERROR(E1947*IF(E1947="",0,VLOOKUP(C1947,'📦 Precios Proforma'!$B$5:$D$104,IF(D1947="DIA",2,3),FALSE)),0))</f>
        <v/>
      </c>
      <c r="J1947" s="31" t="str">
        <f t="shared" si="211"/>
        <v/>
      </c>
      <c r="K1947" s="31" t="str">
        <f t="shared" si="212"/>
        <v/>
      </c>
      <c r="L1947" s="31" t="str">
        <f>IF(OR(B1947="",C1947=""),"",IFERROR(E1947 / SUMIFS('📅 Resumen Diario'!$D$5:$D$504, '📅 Resumen Diario'!$B$5:$B$504, B1947, '📅 Resumen Diario'!$C$5:$C$504, D1947) * SUMIFS('📅 Resumen Diario'!$K$5:$K$504, '📅 Resumen Diario'!$B$5:$B$504, B1947, '📅 Resumen Diario'!$C$5:$C$504, D1947), 0))</f>
        <v/>
      </c>
      <c r="M1947" s="31" t="str">
        <f t="shared" si="213"/>
        <v/>
      </c>
      <c r="N1947" s="31" t="str">
        <f t="shared" si="214"/>
        <v/>
      </c>
      <c r="O1947" s="31" t="str">
        <f>IF(OR(B1947="",C1947=""),"",K1947-N1947 + IFERROR(E1947 / SUMIFS('📅 Resumen Diario'!$D$5:$D$504, '📅 Resumen Diario'!$B$5:$B$504, B1947, '📅 Resumen Diario'!$C$5:$C$504, D1947) * (SUMIFS('📋 Detalle Diario'!$E$5:$E$489, '📋 Detalle Diario'!$B$5:$B$489, B1947, '📋 Detalle Diario'!$C$5:$C$489, D1947) * 135 + SUMIFS('📋 Detalle Diario'!$I$5:$I$489, '📋 Detalle Diario'!$B$5:$B$489, B1947, '📋 Detalle Diario'!$C$5:$C$489, D1947) * 200), 0))</f>
        <v/>
      </c>
      <c r="P1947" s="32" t="str">
        <f t="shared" si="215"/>
        <v/>
      </c>
      <c r="Q1947" s="33" t="str">
        <f t="shared" si="216"/>
        <v/>
      </c>
    </row>
    <row r="1948" spans="2:17" ht="18" customHeight="1" x14ac:dyDescent="0.3">
      <c r="B1948" s="26"/>
      <c r="C1948" s="17"/>
      <c r="D1948" s="27"/>
      <c r="E1948" s="18"/>
      <c r="F1948" s="18"/>
      <c r="G1948" s="18"/>
      <c r="H1948" s="30" t="str">
        <f t="shared" si="210"/>
        <v/>
      </c>
      <c r="I1948" s="31" t="str">
        <f>IF(OR(B1948="",C1948=""),"",IFERROR(E1948*IF(E1948="",0,VLOOKUP(C1948,'📦 Precios Proforma'!$B$5:$D$104,IF(D1948="DIA",2,3),FALSE)),0))</f>
        <v/>
      </c>
      <c r="J1948" s="31" t="str">
        <f t="shared" si="211"/>
        <v/>
      </c>
      <c r="K1948" s="31" t="str">
        <f t="shared" si="212"/>
        <v/>
      </c>
      <c r="L1948" s="31" t="str">
        <f>IF(OR(B1948="",C1948=""),"",IFERROR(E1948 / SUMIFS('📅 Resumen Diario'!$D$5:$D$504, '📅 Resumen Diario'!$B$5:$B$504, B1948, '📅 Resumen Diario'!$C$5:$C$504, D1948) * SUMIFS('📅 Resumen Diario'!$K$5:$K$504, '📅 Resumen Diario'!$B$5:$B$504, B1948, '📅 Resumen Diario'!$C$5:$C$504, D1948), 0))</f>
        <v/>
      </c>
      <c r="M1948" s="31" t="str">
        <f t="shared" si="213"/>
        <v/>
      </c>
      <c r="N1948" s="31" t="str">
        <f t="shared" si="214"/>
        <v/>
      </c>
      <c r="O1948" s="31" t="str">
        <f>IF(OR(B1948="",C1948=""),"",K1948-N1948 + IFERROR(E1948 / SUMIFS('📅 Resumen Diario'!$D$5:$D$504, '📅 Resumen Diario'!$B$5:$B$504, B1948, '📅 Resumen Diario'!$C$5:$C$504, D1948) * (SUMIFS('📋 Detalle Diario'!$E$5:$E$489, '📋 Detalle Diario'!$B$5:$B$489, B1948, '📋 Detalle Diario'!$C$5:$C$489, D1948) * 135 + SUMIFS('📋 Detalle Diario'!$I$5:$I$489, '📋 Detalle Diario'!$B$5:$B$489, B1948, '📋 Detalle Diario'!$C$5:$C$489, D1948) * 200), 0))</f>
        <v/>
      </c>
      <c r="P1948" s="32" t="str">
        <f t="shared" si="215"/>
        <v/>
      </c>
      <c r="Q1948" s="33" t="str">
        <f t="shared" si="216"/>
        <v/>
      </c>
    </row>
    <row r="1949" spans="2:17" ht="18" customHeight="1" x14ac:dyDescent="0.3">
      <c r="B1949" s="26"/>
      <c r="C1949" s="28"/>
      <c r="D1949" s="27"/>
      <c r="E1949" s="29"/>
      <c r="F1949" s="29"/>
      <c r="G1949" s="29"/>
      <c r="H1949" s="30" t="str">
        <f t="shared" si="210"/>
        <v/>
      </c>
      <c r="I1949" s="31" t="str">
        <f>IF(OR(B1949="",C1949=""),"",IFERROR(E1949*IF(E1949="",0,VLOOKUP(C1949,'📦 Precios Proforma'!$B$5:$D$104,IF(D1949="DIA",2,3),FALSE)),0))</f>
        <v/>
      </c>
      <c r="J1949" s="31" t="str">
        <f t="shared" si="211"/>
        <v/>
      </c>
      <c r="K1949" s="31" t="str">
        <f t="shared" si="212"/>
        <v/>
      </c>
      <c r="L1949" s="31" t="str">
        <f>IF(OR(B1949="",C1949=""),"",IFERROR(E1949 / SUMIFS('📅 Resumen Diario'!$D$5:$D$504, '📅 Resumen Diario'!$B$5:$B$504, B1949, '📅 Resumen Diario'!$C$5:$C$504, D1949) * SUMIFS('📅 Resumen Diario'!$K$5:$K$504, '📅 Resumen Diario'!$B$5:$B$504, B1949, '📅 Resumen Diario'!$C$5:$C$504, D1949), 0))</f>
        <v/>
      </c>
      <c r="M1949" s="31" t="str">
        <f t="shared" si="213"/>
        <v/>
      </c>
      <c r="N1949" s="31" t="str">
        <f t="shared" si="214"/>
        <v/>
      </c>
      <c r="O1949" s="31" t="str">
        <f>IF(OR(B1949="",C1949=""),"",K1949-N1949 + IFERROR(E1949 / SUMIFS('📅 Resumen Diario'!$D$5:$D$504, '📅 Resumen Diario'!$B$5:$B$504, B1949, '📅 Resumen Diario'!$C$5:$C$504, D1949) * (SUMIFS('📋 Detalle Diario'!$E$5:$E$489, '📋 Detalle Diario'!$B$5:$B$489, B1949, '📋 Detalle Diario'!$C$5:$C$489, D1949) * 135 + SUMIFS('📋 Detalle Diario'!$I$5:$I$489, '📋 Detalle Diario'!$B$5:$B$489, B1949, '📋 Detalle Diario'!$C$5:$C$489, D1949) * 200), 0))</f>
        <v/>
      </c>
      <c r="P1949" s="32" t="str">
        <f t="shared" si="215"/>
        <v/>
      </c>
      <c r="Q1949" s="33" t="str">
        <f t="shared" si="216"/>
        <v/>
      </c>
    </row>
    <row r="1950" spans="2:17" ht="18" customHeight="1" x14ac:dyDescent="0.3">
      <c r="B1950" s="26"/>
      <c r="C1950" s="17"/>
      <c r="D1950" s="27"/>
      <c r="E1950" s="18"/>
      <c r="F1950" s="18"/>
      <c r="G1950" s="18"/>
      <c r="H1950" s="30" t="str">
        <f t="shared" si="210"/>
        <v/>
      </c>
      <c r="I1950" s="31" t="str">
        <f>IF(OR(B1950="",C1950=""),"",IFERROR(E1950*IF(E1950="",0,VLOOKUP(C1950,'📦 Precios Proforma'!$B$5:$D$104,IF(D1950="DIA",2,3),FALSE)),0))</f>
        <v/>
      </c>
      <c r="J1950" s="31" t="str">
        <f t="shared" si="211"/>
        <v/>
      </c>
      <c r="K1950" s="31" t="str">
        <f t="shared" si="212"/>
        <v/>
      </c>
      <c r="L1950" s="31" t="str">
        <f>IF(OR(B1950="",C1950=""),"",IFERROR(E1950 / SUMIFS('📅 Resumen Diario'!$D$5:$D$504, '📅 Resumen Diario'!$B$5:$B$504, B1950, '📅 Resumen Diario'!$C$5:$C$504, D1950) * SUMIFS('📅 Resumen Diario'!$K$5:$K$504, '📅 Resumen Diario'!$B$5:$B$504, B1950, '📅 Resumen Diario'!$C$5:$C$504, D1950), 0))</f>
        <v/>
      </c>
      <c r="M1950" s="31" t="str">
        <f t="shared" si="213"/>
        <v/>
      </c>
      <c r="N1950" s="31" t="str">
        <f t="shared" si="214"/>
        <v/>
      </c>
      <c r="O1950" s="31" t="str">
        <f>IF(OR(B1950="",C1950=""),"",K1950-N1950 + IFERROR(E1950 / SUMIFS('📅 Resumen Diario'!$D$5:$D$504, '📅 Resumen Diario'!$B$5:$B$504, B1950, '📅 Resumen Diario'!$C$5:$C$504, D1950) * (SUMIFS('📋 Detalle Diario'!$E$5:$E$489, '📋 Detalle Diario'!$B$5:$B$489, B1950, '📋 Detalle Diario'!$C$5:$C$489, D1950) * 135 + SUMIFS('📋 Detalle Diario'!$I$5:$I$489, '📋 Detalle Diario'!$B$5:$B$489, B1950, '📋 Detalle Diario'!$C$5:$C$489, D1950) * 200), 0))</f>
        <v/>
      </c>
      <c r="P1950" s="32" t="str">
        <f t="shared" si="215"/>
        <v/>
      </c>
      <c r="Q1950" s="33" t="str">
        <f t="shared" si="216"/>
        <v/>
      </c>
    </row>
    <row r="1951" spans="2:17" ht="18" customHeight="1" x14ac:dyDescent="0.3">
      <c r="B1951" s="26"/>
      <c r="C1951" s="28"/>
      <c r="D1951" s="27"/>
      <c r="E1951" s="29"/>
      <c r="F1951" s="29"/>
      <c r="G1951" s="29"/>
      <c r="H1951" s="30" t="str">
        <f t="shared" si="210"/>
        <v/>
      </c>
      <c r="I1951" s="31" t="str">
        <f>IF(OR(B1951="",C1951=""),"",IFERROR(E1951*IF(E1951="",0,VLOOKUP(C1951,'📦 Precios Proforma'!$B$5:$D$104,IF(D1951="DIA",2,3),FALSE)),0))</f>
        <v/>
      </c>
      <c r="J1951" s="31" t="str">
        <f t="shared" si="211"/>
        <v/>
      </c>
      <c r="K1951" s="31" t="str">
        <f t="shared" si="212"/>
        <v/>
      </c>
      <c r="L1951" s="31" t="str">
        <f>IF(OR(B1951="",C1951=""),"",IFERROR(E1951 / SUMIFS('📅 Resumen Diario'!$D$5:$D$504, '📅 Resumen Diario'!$B$5:$B$504, B1951, '📅 Resumen Diario'!$C$5:$C$504, D1951) * SUMIFS('📅 Resumen Diario'!$K$5:$K$504, '📅 Resumen Diario'!$B$5:$B$504, B1951, '📅 Resumen Diario'!$C$5:$C$504, D1951), 0))</f>
        <v/>
      </c>
      <c r="M1951" s="31" t="str">
        <f t="shared" si="213"/>
        <v/>
      </c>
      <c r="N1951" s="31" t="str">
        <f t="shared" si="214"/>
        <v/>
      </c>
      <c r="O1951" s="31" t="str">
        <f>IF(OR(B1951="",C1951=""),"",K1951-N1951 + IFERROR(E1951 / SUMIFS('📅 Resumen Diario'!$D$5:$D$504, '📅 Resumen Diario'!$B$5:$B$504, B1951, '📅 Resumen Diario'!$C$5:$C$504, D1951) * (SUMIFS('📋 Detalle Diario'!$E$5:$E$489, '📋 Detalle Diario'!$B$5:$B$489, B1951, '📋 Detalle Diario'!$C$5:$C$489, D1951) * 135 + SUMIFS('📋 Detalle Diario'!$I$5:$I$489, '📋 Detalle Diario'!$B$5:$B$489, B1951, '📋 Detalle Diario'!$C$5:$C$489, D1951) * 200), 0))</f>
        <v/>
      </c>
      <c r="P1951" s="32" t="str">
        <f t="shared" si="215"/>
        <v/>
      </c>
      <c r="Q1951" s="33" t="str">
        <f t="shared" si="216"/>
        <v/>
      </c>
    </row>
    <row r="1952" spans="2:17" ht="18" customHeight="1" x14ac:dyDescent="0.3">
      <c r="B1952" s="26"/>
      <c r="C1952" s="17"/>
      <c r="D1952" s="27"/>
      <c r="E1952" s="18"/>
      <c r="F1952" s="18"/>
      <c r="G1952" s="18"/>
      <c r="H1952" s="30" t="str">
        <f t="shared" si="210"/>
        <v/>
      </c>
      <c r="I1952" s="31" t="str">
        <f>IF(OR(B1952="",C1952=""),"",IFERROR(E1952*IF(E1952="",0,VLOOKUP(C1952,'📦 Precios Proforma'!$B$5:$D$104,IF(D1952="DIA",2,3),FALSE)),0))</f>
        <v/>
      </c>
      <c r="J1952" s="31" t="str">
        <f t="shared" si="211"/>
        <v/>
      </c>
      <c r="K1952" s="31" t="str">
        <f t="shared" si="212"/>
        <v/>
      </c>
      <c r="L1952" s="31" t="str">
        <f>IF(OR(B1952="",C1952=""),"",IFERROR(E1952 / SUMIFS('📅 Resumen Diario'!$D$5:$D$504, '📅 Resumen Diario'!$B$5:$B$504, B1952, '📅 Resumen Diario'!$C$5:$C$504, D1952) * SUMIFS('📅 Resumen Diario'!$K$5:$K$504, '📅 Resumen Diario'!$B$5:$B$504, B1952, '📅 Resumen Diario'!$C$5:$C$504, D1952), 0))</f>
        <v/>
      </c>
      <c r="M1952" s="31" t="str">
        <f t="shared" si="213"/>
        <v/>
      </c>
      <c r="N1952" s="31" t="str">
        <f t="shared" si="214"/>
        <v/>
      </c>
      <c r="O1952" s="31" t="str">
        <f>IF(OR(B1952="",C1952=""),"",K1952-N1952 + IFERROR(E1952 / SUMIFS('📅 Resumen Diario'!$D$5:$D$504, '📅 Resumen Diario'!$B$5:$B$504, B1952, '📅 Resumen Diario'!$C$5:$C$504, D1952) * (SUMIFS('📋 Detalle Diario'!$E$5:$E$489, '📋 Detalle Diario'!$B$5:$B$489, B1952, '📋 Detalle Diario'!$C$5:$C$489, D1952) * 135 + SUMIFS('📋 Detalle Diario'!$I$5:$I$489, '📋 Detalle Diario'!$B$5:$B$489, B1952, '📋 Detalle Diario'!$C$5:$C$489, D1952) * 200), 0))</f>
        <v/>
      </c>
      <c r="P1952" s="32" t="str">
        <f t="shared" si="215"/>
        <v/>
      </c>
      <c r="Q1952" s="33" t="str">
        <f t="shared" si="216"/>
        <v/>
      </c>
    </row>
    <row r="1953" spans="2:17" ht="18" customHeight="1" x14ac:dyDescent="0.3">
      <c r="B1953" s="26"/>
      <c r="C1953" s="28"/>
      <c r="D1953" s="27"/>
      <c r="E1953" s="29"/>
      <c r="F1953" s="29"/>
      <c r="G1953" s="29"/>
      <c r="H1953" s="30" t="str">
        <f t="shared" si="210"/>
        <v/>
      </c>
      <c r="I1953" s="31" t="str">
        <f>IF(OR(B1953="",C1953=""),"",IFERROR(E1953*IF(E1953="",0,VLOOKUP(C1953,'📦 Precios Proforma'!$B$5:$D$104,IF(D1953="DIA",2,3),FALSE)),0))</f>
        <v/>
      </c>
      <c r="J1953" s="31" t="str">
        <f t="shared" si="211"/>
        <v/>
      </c>
      <c r="K1953" s="31" t="str">
        <f t="shared" si="212"/>
        <v/>
      </c>
      <c r="L1953" s="31" t="str">
        <f>IF(OR(B1953="",C1953=""),"",IFERROR(E1953 / SUMIFS('📅 Resumen Diario'!$D$5:$D$504, '📅 Resumen Diario'!$B$5:$B$504, B1953, '📅 Resumen Diario'!$C$5:$C$504, D1953) * SUMIFS('📅 Resumen Diario'!$K$5:$K$504, '📅 Resumen Diario'!$B$5:$B$504, B1953, '📅 Resumen Diario'!$C$5:$C$504, D1953), 0))</f>
        <v/>
      </c>
      <c r="M1953" s="31" t="str">
        <f t="shared" si="213"/>
        <v/>
      </c>
      <c r="N1953" s="31" t="str">
        <f t="shared" si="214"/>
        <v/>
      </c>
      <c r="O1953" s="31" t="str">
        <f>IF(OR(B1953="",C1953=""),"",K1953-N1953 + IFERROR(E1953 / SUMIFS('📅 Resumen Diario'!$D$5:$D$504, '📅 Resumen Diario'!$B$5:$B$504, B1953, '📅 Resumen Diario'!$C$5:$C$504, D1953) * (SUMIFS('📋 Detalle Diario'!$E$5:$E$489, '📋 Detalle Diario'!$B$5:$B$489, B1953, '📋 Detalle Diario'!$C$5:$C$489, D1953) * 135 + SUMIFS('📋 Detalle Diario'!$I$5:$I$489, '📋 Detalle Diario'!$B$5:$B$489, B1953, '📋 Detalle Diario'!$C$5:$C$489, D1953) * 200), 0))</f>
        <v/>
      </c>
      <c r="P1953" s="32" t="str">
        <f t="shared" si="215"/>
        <v/>
      </c>
      <c r="Q1953" s="33" t="str">
        <f t="shared" si="216"/>
        <v/>
      </c>
    </row>
    <row r="1954" spans="2:17" ht="18" customHeight="1" x14ac:dyDescent="0.3">
      <c r="B1954" s="26"/>
      <c r="C1954" s="17"/>
      <c r="D1954" s="27"/>
      <c r="E1954" s="18"/>
      <c r="F1954" s="18"/>
      <c r="G1954" s="18"/>
      <c r="H1954" s="30" t="str">
        <f t="shared" si="210"/>
        <v/>
      </c>
      <c r="I1954" s="31" t="str">
        <f>IF(OR(B1954="",C1954=""),"",IFERROR(E1954*IF(E1954="",0,VLOOKUP(C1954,'📦 Precios Proforma'!$B$5:$D$104,IF(D1954="DIA",2,3),FALSE)),0))</f>
        <v/>
      </c>
      <c r="J1954" s="31" t="str">
        <f t="shared" si="211"/>
        <v/>
      </c>
      <c r="K1954" s="31" t="str">
        <f t="shared" si="212"/>
        <v/>
      </c>
      <c r="L1954" s="31" t="str">
        <f>IF(OR(B1954="",C1954=""),"",IFERROR(E1954 / SUMIFS('📅 Resumen Diario'!$D$5:$D$504, '📅 Resumen Diario'!$B$5:$B$504, B1954, '📅 Resumen Diario'!$C$5:$C$504, D1954) * SUMIFS('📅 Resumen Diario'!$K$5:$K$504, '📅 Resumen Diario'!$B$5:$B$504, B1954, '📅 Resumen Diario'!$C$5:$C$504, D1954), 0))</f>
        <v/>
      </c>
      <c r="M1954" s="31" t="str">
        <f t="shared" si="213"/>
        <v/>
      </c>
      <c r="N1954" s="31" t="str">
        <f t="shared" si="214"/>
        <v/>
      </c>
      <c r="O1954" s="31" t="str">
        <f>IF(OR(B1954="",C1954=""),"",K1954-N1954 + IFERROR(E1954 / SUMIFS('📅 Resumen Diario'!$D$5:$D$504, '📅 Resumen Diario'!$B$5:$B$504, B1954, '📅 Resumen Diario'!$C$5:$C$504, D1954) * (SUMIFS('📋 Detalle Diario'!$E$5:$E$489, '📋 Detalle Diario'!$B$5:$B$489, B1954, '📋 Detalle Diario'!$C$5:$C$489, D1954) * 135 + SUMIFS('📋 Detalle Diario'!$I$5:$I$489, '📋 Detalle Diario'!$B$5:$B$489, B1954, '📋 Detalle Diario'!$C$5:$C$489, D1954) * 200), 0))</f>
        <v/>
      </c>
      <c r="P1954" s="32" t="str">
        <f t="shared" si="215"/>
        <v/>
      </c>
      <c r="Q1954" s="33" t="str">
        <f t="shared" si="216"/>
        <v/>
      </c>
    </row>
    <row r="1955" spans="2:17" ht="18" customHeight="1" x14ac:dyDescent="0.3">
      <c r="B1955" s="26"/>
      <c r="C1955" s="28"/>
      <c r="D1955" s="27"/>
      <c r="E1955" s="29"/>
      <c r="F1955" s="29"/>
      <c r="G1955" s="29"/>
      <c r="H1955" s="30" t="str">
        <f t="shared" si="210"/>
        <v/>
      </c>
      <c r="I1955" s="31" t="str">
        <f>IF(OR(B1955="",C1955=""),"",IFERROR(E1955*IF(E1955="",0,VLOOKUP(C1955,'📦 Precios Proforma'!$B$5:$D$104,IF(D1955="DIA",2,3),FALSE)),0))</f>
        <v/>
      </c>
      <c r="J1955" s="31" t="str">
        <f t="shared" si="211"/>
        <v/>
      </c>
      <c r="K1955" s="31" t="str">
        <f t="shared" si="212"/>
        <v/>
      </c>
      <c r="L1955" s="31" t="str">
        <f>IF(OR(B1955="",C1955=""),"",IFERROR(E1955 / SUMIFS('📅 Resumen Diario'!$D$5:$D$504, '📅 Resumen Diario'!$B$5:$B$504, B1955, '📅 Resumen Diario'!$C$5:$C$504, D1955) * SUMIFS('📅 Resumen Diario'!$K$5:$K$504, '📅 Resumen Diario'!$B$5:$B$504, B1955, '📅 Resumen Diario'!$C$5:$C$504, D1955), 0))</f>
        <v/>
      </c>
      <c r="M1955" s="31" t="str">
        <f t="shared" si="213"/>
        <v/>
      </c>
      <c r="N1955" s="31" t="str">
        <f t="shared" si="214"/>
        <v/>
      </c>
      <c r="O1955" s="31" t="str">
        <f>IF(OR(B1955="",C1955=""),"",K1955-N1955 + IFERROR(E1955 / SUMIFS('📅 Resumen Diario'!$D$5:$D$504, '📅 Resumen Diario'!$B$5:$B$504, B1955, '📅 Resumen Diario'!$C$5:$C$504, D1955) * (SUMIFS('📋 Detalle Diario'!$E$5:$E$489, '📋 Detalle Diario'!$B$5:$B$489, B1955, '📋 Detalle Diario'!$C$5:$C$489, D1955) * 135 + SUMIFS('📋 Detalle Diario'!$I$5:$I$489, '📋 Detalle Diario'!$B$5:$B$489, B1955, '📋 Detalle Diario'!$C$5:$C$489, D1955) * 200), 0))</f>
        <v/>
      </c>
      <c r="P1955" s="32" t="str">
        <f t="shared" si="215"/>
        <v/>
      </c>
      <c r="Q1955" s="33" t="str">
        <f t="shared" si="216"/>
        <v/>
      </c>
    </row>
    <row r="1956" spans="2:17" ht="18" customHeight="1" x14ac:dyDescent="0.3">
      <c r="B1956" s="26"/>
      <c r="C1956" s="17"/>
      <c r="D1956" s="27"/>
      <c r="E1956" s="18"/>
      <c r="F1956" s="18"/>
      <c r="G1956" s="18"/>
      <c r="H1956" s="30" t="str">
        <f t="shared" si="210"/>
        <v/>
      </c>
      <c r="I1956" s="31" t="str">
        <f>IF(OR(B1956="",C1956=""),"",IFERROR(E1956*IF(E1956="",0,VLOOKUP(C1956,'📦 Precios Proforma'!$B$5:$D$104,IF(D1956="DIA",2,3),FALSE)),0))</f>
        <v/>
      </c>
      <c r="J1956" s="31" t="str">
        <f t="shared" si="211"/>
        <v/>
      </c>
      <c r="K1956" s="31" t="str">
        <f t="shared" si="212"/>
        <v/>
      </c>
      <c r="L1956" s="31" t="str">
        <f>IF(OR(B1956="",C1956=""),"",IFERROR(E1956 / SUMIFS('📅 Resumen Diario'!$D$5:$D$504, '📅 Resumen Diario'!$B$5:$B$504, B1956, '📅 Resumen Diario'!$C$5:$C$504, D1956) * SUMIFS('📅 Resumen Diario'!$K$5:$K$504, '📅 Resumen Diario'!$B$5:$B$504, B1956, '📅 Resumen Diario'!$C$5:$C$504, D1956), 0))</f>
        <v/>
      </c>
      <c r="M1956" s="31" t="str">
        <f t="shared" si="213"/>
        <v/>
      </c>
      <c r="N1956" s="31" t="str">
        <f t="shared" si="214"/>
        <v/>
      </c>
      <c r="O1956" s="31" t="str">
        <f>IF(OR(B1956="",C1956=""),"",K1956-N1956 + IFERROR(E1956 / SUMIFS('📅 Resumen Diario'!$D$5:$D$504, '📅 Resumen Diario'!$B$5:$B$504, B1956, '📅 Resumen Diario'!$C$5:$C$504, D1956) * (SUMIFS('📋 Detalle Diario'!$E$5:$E$489, '📋 Detalle Diario'!$B$5:$B$489, B1956, '📋 Detalle Diario'!$C$5:$C$489, D1956) * 135 + SUMIFS('📋 Detalle Diario'!$I$5:$I$489, '📋 Detalle Diario'!$B$5:$B$489, B1956, '📋 Detalle Diario'!$C$5:$C$489, D1956) * 200), 0))</f>
        <v/>
      </c>
      <c r="P1956" s="32" t="str">
        <f t="shared" si="215"/>
        <v/>
      </c>
      <c r="Q1956" s="33" t="str">
        <f t="shared" si="216"/>
        <v/>
      </c>
    </row>
    <row r="1957" spans="2:17" ht="18" customHeight="1" x14ac:dyDescent="0.3">
      <c r="B1957" s="26"/>
      <c r="C1957" s="28"/>
      <c r="D1957" s="27"/>
      <c r="E1957" s="29"/>
      <c r="F1957" s="29"/>
      <c r="G1957" s="29"/>
      <c r="H1957" s="30" t="str">
        <f t="shared" si="210"/>
        <v/>
      </c>
      <c r="I1957" s="31" t="str">
        <f>IF(OR(B1957="",C1957=""),"",IFERROR(E1957*IF(E1957="",0,VLOOKUP(C1957,'📦 Precios Proforma'!$B$5:$D$104,IF(D1957="DIA",2,3),FALSE)),0))</f>
        <v/>
      </c>
      <c r="J1957" s="31" t="str">
        <f t="shared" si="211"/>
        <v/>
      </c>
      <c r="K1957" s="31" t="str">
        <f t="shared" si="212"/>
        <v/>
      </c>
      <c r="L1957" s="31" t="str">
        <f>IF(OR(B1957="",C1957=""),"",IFERROR(E1957 / SUMIFS('📅 Resumen Diario'!$D$5:$D$504, '📅 Resumen Diario'!$B$5:$B$504, B1957, '📅 Resumen Diario'!$C$5:$C$504, D1957) * SUMIFS('📅 Resumen Diario'!$K$5:$K$504, '📅 Resumen Diario'!$B$5:$B$504, B1957, '📅 Resumen Diario'!$C$5:$C$504, D1957), 0))</f>
        <v/>
      </c>
      <c r="M1957" s="31" t="str">
        <f t="shared" si="213"/>
        <v/>
      </c>
      <c r="N1957" s="31" t="str">
        <f t="shared" si="214"/>
        <v/>
      </c>
      <c r="O1957" s="31" t="str">
        <f>IF(OR(B1957="",C1957=""),"",K1957-N1957 + IFERROR(E1957 / SUMIFS('📅 Resumen Diario'!$D$5:$D$504, '📅 Resumen Diario'!$B$5:$B$504, B1957, '📅 Resumen Diario'!$C$5:$C$504, D1957) * (SUMIFS('📋 Detalle Diario'!$E$5:$E$489, '📋 Detalle Diario'!$B$5:$B$489, B1957, '📋 Detalle Diario'!$C$5:$C$489, D1957) * 135 + SUMIFS('📋 Detalle Diario'!$I$5:$I$489, '📋 Detalle Diario'!$B$5:$B$489, B1957, '📋 Detalle Diario'!$C$5:$C$489, D1957) * 200), 0))</f>
        <v/>
      </c>
      <c r="P1957" s="32" t="str">
        <f t="shared" si="215"/>
        <v/>
      </c>
      <c r="Q1957" s="33" t="str">
        <f t="shared" si="216"/>
        <v/>
      </c>
    </row>
    <row r="1958" spans="2:17" ht="18" customHeight="1" x14ac:dyDescent="0.3">
      <c r="B1958" s="26"/>
      <c r="C1958" s="17"/>
      <c r="D1958" s="27"/>
      <c r="E1958" s="18"/>
      <c r="F1958" s="18"/>
      <c r="G1958" s="18"/>
      <c r="H1958" s="30" t="str">
        <f t="shared" si="210"/>
        <v/>
      </c>
      <c r="I1958" s="31" t="str">
        <f>IF(OR(B1958="",C1958=""),"",IFERROR(E1958*IF(E1958="",0,VLOOKUP(C1958,'📦 Precios Proforma'!$B$5:$D$104,IF(D1958="DIA",2,3),FALSE)),0))</f>
        <v/>
      </c>
      <c r="J1958" s="31" t="str">
        <f t="shared" si="211"/>
        <v/>
      </c>
      <c r="K1958" s="31" t="str">
        <f t="shared" si="212"/>
        <v/>
      </c>
      <c r="L1958" s="31" t="str">
        <f>IF(OR(B1958="",C1958=""),"",IFERROR(E1958 / SUMIFS('📅 Resumen Diario'!$D$5:$D$504, '📅 Resumen Diario'!$B$5:$B$504, B1958, '📅 Resumen Diario'!$C$5:$C$504, D1958) * SUMIFS('📅 Resumen Diario'!$K$5:$K$504, '📅 Resumen Diario'!$B$5:$B$504, B1958, '📅 Resumen Diario'!$C$5:$C$504, D1958), 0))</f>
        <v/>
      </c>
      <c r="M1958" s="31" t="str">
        <f t="shared" si="213"/>
        <v/>
      </c>
      <c r="N1958" s="31" t="str">
        <f t="shared" si="214"/>
        <v/>
      </c>
      <c r="O1958" s="31" t="str">
        <f>IF(OR(B1958="",C1958=""),"",K1958-N1958 + IFERROR(E1958 / SUMIFS('📅 Resumen Diario'!$D$5:$D$504, '📅 Resumen Diario'!$B$5:$B$504, B1958, '📅 Resumen Diario'!$C$5:$C$504, D1958) * (SUMIFS('📋 Detalle Diario'!$E$5:$E$489, '📋 Detalle Diario'!$B$5:$B$489, B1958, '📋 Detalle Diario'!$C$5:$C$489, D1958) * 135 + SUMIFS('📋 Detalle Diario'!$I$5:$I$489, '📋 Detalle Diario'!$B$5:$B$489, B1958, '📋 Detalle Diario'!$C$5:$C$489, D1958) * 200), 0))</f>
        <v/>
      </c>
      <c r="P1958" s="32" t="str">
        <f t="shared" si="215"/>
        <v/>
      </c>
      <c r="Q1958" s="33" t="str">
        <f t="shared" si="216"/>
        <v/>
      </c>
    </row>
    <row r="1959" spans="2:17" ht="18" customHeight="1" x14ac:dyDescent="0.3">
      <c r="B1959" s="26"/>
      <c r="C1959" s="28"/>
      <c r="D1959" s="27"/>
      <c r="E1959" s="29"/>
      <c r="F1959" s="29"/>
      <c r="G1959" s="29"/>
      <c r="H1959" s="30" t="str">
        <f t="shared" si="210"/>
        <v/>
      </c>
      <c r="I1959" s="31" t="str">
        <f>IF(OR(B1959="",C1959=""),"",IFERROR(E1959*IF(E1959="",0,VLOOKUP(C1959,'📦 Precios Proforma'!$B$5:$D$104,IF(D1959="DIA",2,3),FALSE)),0))</f>
        <v/>
      </c>
      <c r="J1959" s="31" t="str">
        <f t="shared" si="211"/>
        <v/>
      </c>
      <c r="K1959" s="31" t="str">
        <f t="shared" si="212"/>
        <v/>
      </c>
      <c r="L1959" s="31" t="str">
        <f>IF(OR(B1959="",C1959=""),"",IFERROR(E1959 / SUMIFS('📅 Resumen Diario'!$D$5:$D$504, '📅 Resumen Diario'!$B$5:$B$504, B1959, '📅 Resumen Diario'!$C$5:$C$504, D1959) * SUMIFS('📅 Resumen Diario'!$K$5:$K$504, '📅 Resumen Diario'!$B$5:$B$504, B1959, '📅 Resumen Diario'!$C$5:$C$504, D1959), 0))</f>
        <v/>
      </c>
      <c r="M1959" s="31" t="str">
        <f t="shared" si="213"/>
        <v/>
      </c>
      <c r="N1959" s="31" t="str">
        <f t="shared" si="214"/>
        <v/>
      </c>
      <c r="O1959" s="31" t="str">
        <f>IF(OR(B1959="",C1959=""),"",K1959-N1959 + IFERROR(E1959 / SUMIFS('📅 Resumen Diario'!$D$5:$D$504, '📅 Resumen Diario'!$B$5:$B$504, B1959, '📅 Resumen Diario'!$C$5:$C$504, D1959) * (SUMIFS('📋 Detalle Diario'!$E$5:$E$489, '📋 Detalle Diario'!$B$5:$B$489, B1959, '📋 Detalle Diario'!$C$5:$C$489, D1959) * 135 + SUMIFS('📋 Detalle Diario'!$I$5:$I$489, '📋 Detalle Diario'!$B$5:$B$489, B1959, '📋 Detalle Diario'!$C$5:$C$489, D1959) * 200), 0))</f>
        <v/>
      </c>
      <c r="P1959" s="32" t="str">
        <f t="shared" si="215"/>
        <v/>
      </c>
      <c r="Q1959" s="33" t="str">
        <f t="shared" si="216"/>
        <v/>
      </c>
    </row>
    <row r="1960" spans="2:17" ht="18" customHeight="1" x14ac:dyDescent="0.3">
      <c r="B1960" s="26"/>
      <c r="C1960" s="17"/>
      <c r="D1960" s="27"/>
      <c r="E1960" s="18"/>
      <c r="F1960" s="18"/>
      <c r="G1960" s="18"/>
      <c r="H1960" s="30" t="str">
        <f t="shared" si="210"/>
        <v/>
      </c>
      <c r="I1960" s="31" t="str">
        <f>IF(OR(B1960="",C1960=""),"",IFERROR(E1960*IF(E1960="",0,VLOOKUP(C1960,'📦 Precios Proforma'!$B$5:$D$104,IF(D1960="DIA",2,3),FALSE)),0))</f>
        <v/>
      </c>
      <c r="J1960" s="31" t="str">
        <f t="shared" si="211"/>
        <v/>
      </c>
      <c r="K1960" s="31" t="str">
        <f t="shared" si="212"/>
        <v/>
      </c>
      <c r="L1960" s="31" t="str">
        <f>IF(OR(B1960="",C1960=""),"",IFERROR(E1960 / SUMIFS('📅 Resumen Diario'!$D$5:$D$504, '📅 Resumen Diario'!$B$5:$B$504, B1960, '📅 Resumen Diario'!$C$5:$C$504, D1960) * SUMIFS('📅 Resumen Diario'!$K$5:$K$504, '📅 Resumen Diario'!$B$5:$B$504, B1960, '📅 Resumen Diario'!$C$5:$C$504, D1960), 0))</f>
        <v/>
      </c>
      <c r="M1960" s="31" t="str">
        <f t="shared" si="213"/>
        <v/>
      </c>
      <c r="N1960" s="31" t="str">
        <f t="shared" si="214"/>
        <v/>
      </c>
      <c r="O1960" s="31" t="str">
        <f>IF(OR(B1960="",C1960=""),"",K1960-N1960 + IFERROR(E1960 / SUMIFS('📅 Resumen Diario'!$D$5:$D$504, '📅 Resumen Diario'!$B$5:$B$504, B1960, '📅 Resumen Diario'!$C$5:$C$504, D1960) * (SUMIFS('📋 Detalle Diario'!$E$5:$E$489, '📋 Detalle Diario'!$B$5:$B$489, B1960, '📋 Detalle Diario'!$C$5:$C$489, D1960) * 135 + SUMIFS('📋 Detalle Diario'!$I$5:$I$489, '📋 Detalle Diario'!$B$5:$B$489, B1960, '📋 Detalle Diario'!$C$5:$C$489, D1960) * 200), 0))</f>
        <v/>
      </c>
      <c r="P1960" s="32" t="str">
        <f t="shared" si="215"/>
        <v/>
      </c>
      <c r="Q1960" s="33" t="str">
        <f t="shared" si="216"/>
        <v/>
      </c>
    </row>
    <row r="1961" spans="2:17" ht="18" customHeight="1" x14ac:dyDescent="0.3">
      <c r="B1961" s="26"/>
      <c r="C1961" s="28"/>
      <c r="D1961" s="27"/>
      <c r="E1961" s="29"/>
      <c r="F1961" s="29"/>
      <c r="G1961" s="29"/>
      <c r="H1961" s="30" t="str">
        <f t="shared" si="210"/>
        <v/>
      </c>
      <c r="I1961" s="31" t="str">
        <f>IF(OR(B1961="",C1961=""),"",IFERROR(E1961*IF(E1961="",0,VLOOKUP(C1961,'📦 Precios Proforma'!$B$5:$D$104,IF(D1961="DIA",2,3),FALSE)),0))</f>
        <v/>
      </c>
      <c r="J1961" s="31" t="str">
        <f t="shared" si="211"/>
        <v/>
      </c>
      <c r="K1961" s="31" t="str">
        <f t="shared" si="212"/>
        <v/>
      </c>
      <c r="L1961" s="31" t="str">
        <f>IF(OR(B1961="",C1961=""),"",IFERROR(E1961 / SUMIFS('📅 Resumen Diario'!$D$5:$D$504, '📅 Resumen Diario'!$B$5:$B$504, B1961, '📅 Resumen Diario'!$C$5:$C$504, D1961) * SUMIFS('📅 Resumen Diario'!$K$5:$K$504, '📅 Resumen Diario'!$B$5:$B$504, B1961, '📅 Resumen Diario'!$C$5:$C$504, D1961), 0))</f>
        <v/>
      </c>
      <c r="M1961" s="31" t="str">
        <f t="shared" si="213"/>
        <v/>
      </c>
      <c r="N1961" s="31" t="str">
        <f t="shared" si="214"/>
        <v/>
      </c>
      <c r="O1961" s="31" t="str">
        <f>IF(OR(B1961="",C1961=""),"",K1961-N1961 + IFERROR(E1961 / SUMIFS('📅 Resumen Diario'!$D$5:$D$504, '📅 Resumen Diario'!$B$5:$B$504, B1961, '📅 Resumen Diario'!$C$5:$C$504, D1961) * (SUMIFS('📋 Detalle Diario'!$E$5:$E$489, '📋 Detalle Diario'!$B$5:$B$489, B1961, '📋 Detalle Diario'!$C$5:$C$489, D1961) * 135 + SUMIFS('📋 Detalle Diario'!$I$5:$I$489, '📋 Detalle Diario'!$B$5:$B$489, B1961, '📋 Detalle Diario'!$C$5:$C$489, D1961) * 200), 0))</f>
        <v/>
      </c>
      <c r="P1961" s="32" t="str">
        <f t="shared" si="215"/>
        <v/>
      </c>
      <c r="Q1961" s="33" t="str">
        <f t="shared" si="216"/>
        <v/>
      </c>
    </row>
    <row r="1962" spans="2:17" ht="18" customHeight="1" x14ac:dyDescent="0.3">
      <c r="B1962" s="26"/>
      <c r="C1962" s="17"/>
      <c r="D1962" s="27"/>
      <c r="E1962" s="18"/>
      <c r="F1962" s="18"/>
      <c r="G1962" s="18"/>
      <c r="H1962" s="30" t="str">
        <f t="shared" si="210"/>
        <v/>
      </c>
      <c r="I1962" s="31" t="str">
        <f>IF(OR(B1962="",C1962=""),"",IFERROR(E1962*IF(E1962="",0,VLOOKUP(C1962,'📦 Precios Proforma'!$B$5:$D$104,IF(D1962="DIA",2,3),FALSE)),0))</f>
        <v/>
      </c>
      <c r="J1962" s="31" t="str">
        <f t="shared" si="211"/>
        <v/>
      </c>
      <c r="K1962" s="31" t="str">
        <f t="shared" si="212"/>
        <v/>
      </c>
      <c r="L1962" s="31" t="str">
        <f>IF(OR(B1962="",C1962=""),"",IFERROR(E1962 / SUMIFS('📅 Resumen Diario'!$D$5:$D$504, '📅 Resumen Diario'!$B$5:$B$504, B1962, '📅 Resumen Diario'!$C$5:$C$504, D1962) * SUMIFS('📅 Resumen Diario'!$K$5:$K$504, '📅 Resumen Diario'!$B$5:$B$504, B1962, '📅 Resumen Diario'!$C$5:$C$504, D1962), 0))</f>
        <v/>
      </c>
      <c r="M1962" s="31" t="str">
        <f t="shared" si="213"/>
        <v/>
      </c>
      <c r="N1962" s="31" t="str">
        <f t="shared" si="214"/>
        <v/>
      </c>
      <c r="O1962" s="31" t="str">
        <f>IF(OR(B1962="",C1962=""),"",K1962-N1962 + IFERROR(E1962 / SUMIFS('📅 Resumen Diario'!$D$5:$D$504, '📅 Resumen Diario'!$B$5:$B$504, B1962, '📅 Resumen Diario'!$C$5:$C$504, D1962) * (SUMIFS('📋 Detalle Diario'!$E$5:$E$489, '📋 Detalle Diario'!$B$5:$B$489, B1962, '📋 Detalle Diario'!$C$5:$C$489, D1962) * 135 + SUMIFS('📋 Detalle Diario'!$I$5:$I$489, '📋 Detalle Diario'!$B$5:$B$489, B1962, '📋 Detalle Diario'!$C$5:$C$489, D1962) * 200), 0))</f>
        <v/>
      </c>
      <c r="P1962" s="32" t="str">
        <f t="shared" si="215"/>
        <v/>
      </c>
      <c r="Q1962" s="33" t="str">
        <f t="shared" si="216"/>
        <v/>
      </c>
    </row>
    <row r="1963" spans="2:17" ht="18" customHeight="1" x14ac:dyDescent="0.3">
      <c r="B1963" s="26"/>
      <c r="C1963" s="28"/>
      <c r="D1963" s="27"/>
      <c r="E1963" s="29"/>
      <c r="F1963" s="29"/>
      <c r="G1963" s="29"/>
      <c r="H1963" s="30" t="str">
        <f t="shared" si="210"/>
        <v/>
      </c>
      <c r="I1963" s="31" t="str">
        <f>IF(OR(B1963="",C1963=""),"",IFERROR(E1963*IF(E1963="",0,VLOOKUP(C1963,'📦 Precios Proforma'!$B$5:$D$104,IF(D1963="DIA",2,3),FALSE)),0))</f>
        <v/>
      </c>
      <c r="J1963" s="31" t="str">
        <f t="shared" si="211"/>
        <v/>
      </c>
      <c r="K1963" s="31" t="str">
        <f t="shared" si="212"/>
        <v/>
      </c>
      <c r="L1963" s="31" t="str">
        <f>IF(OR(B1963="",C1963=""),"",IFERROR(E1963 / SUMIFS('📅 Resumen Diario'!$D$5:$D$504, '📅 Resumen Diario'!$B$5:$B$504, B1963, '📅 Resumen Diario'!$C$5:$C$504, D1963) * SUMIFS('📅 Resumen Diario'!$K$5:$K$504, '📅 Resumen Diario'!$B$5:$B$504, B1963, '📅 Resumen Diario'!$C$5:$C$504, D1963), 0))</f>
        <v/>
      </c>
      <c r="M1963" s="31" t="str">
        <f t="shared" si="213"/>
        <v/>
      </c>
      <c r="N1963" s="31" t="str">
        <f t="shared" si="214"/>
        <v/>
      </c>
      <c r="O1963" s="31" t="str">
        <f>IF(OR(B1963="",C1963=""),"",K1963-N1963 + IFERROR(E1963 / SUMIFS('📅 Resumen Diario'!$D$5:$D$504, '📅 Resumen Diario'!$B$5:$B$504, B1963, '📅 Resumen Diario'!$C$5:$C$504, D1963) * (SUMIFS('📋 Detalle Diario'!$E$5:$E$489, '📋 Detalle Diario'!$B$5:$B$489, B1963, '📋 Detalle Diario'!$C$5:$C$489, D1963) * 135 + SUMIFS('📋 Detalle Diario'!$I$5:$I$489, '📋 Detalle Diario'!$B$5:$B$489, B1963, '📋 Detalle Diario'!$C$5:$C$489, D1963) * 200), 0))</f>
        <v/>
      </c>
      <c r="P1963" s="32" t="str">
        <f t="shared" si="215"/>
        <v/>
      </c>
      <c r="Q1963" s="33" t="str">
        <f t="shared" si="216"/>
        <v/>
      </c>
    </row>
    <row r="1964" spans="2:17" ht="18" customHeight="1" x14ac:dyDescent="0.3">
      <c r="B1964" s="26"/>
      <c r="C1964" s="17"/>
      <c r="D1964" s="27"/>
      <c r="E1964" s="18"/>
      <c r="F1964" s="18"/>
      <c r="G1964" s="18"/>
      <c r="H1964" s="30" t="str">
        <f t="shared" si="210"/>
        <v/>
      </c>
      <c r="I1964" s="31" t="str">
        <f>IF(OR(B1964="",C1964=""),"",IFERROR(E1964*IF(E1964="",0,VLOOKUP(C1964,'📦 Precios Proforma'!$B$5:$D$104,IF(D1964="DIA",2,3),FALSE)),0))</f>
        <v/>
      </c>
      <c r="J1964" s="31" t="str">
        <f t="shared" si="211"/>
        <v/>
      </c>
      <c r="K1964" s="31" t="str">
        <f t="shared" si="212"/>
        <v/>
      </c>
      <c r="L1964" s="31" t="str">
        <f>IF(OR(B1964="",C1964=""),"",IFERROR(E1964 / SUMIFS('📅 Resumen Diario'!$D$5:$D$504, '📅 Resumen Diario'!$B$5:$B$504, B1964, '📅 Resumen Diario'!$C$5:$C$504, D1964) * SUMIFS('📅 Resumen Diario'!$K$5:$K$504, '📅 Resumen Diario'!$B$5:$B$504, B1964, '📅 Resumen Diario'!$C$5:$C$504, D1964), 0))</f>
        <v/>
      </c>
      <c r="M1964" s="31" t="str">
        <f t="shared" si="213"/>
        <v/>
      </c>
      <c r="N1964" s="31" t="str">
        <f t="shared" si="214"/>
        <v/>
      </c>
      <c r="O1964" s="31" t="str">
        <f>IF(OR(B1964="",C1964=""),"",K1964-N1964 + IFERROR(E1964 / SUMIFS('📅 Resumen Diario'!$D$5:$D$504, '📅 Resumen Diario'!$B$5:$B$504, B1964, '📅 Resumen Diario'!$C$5:$C$504, D1964) * (SUMIFS('📋 Detalle Diario'!$E$5:$E$489, '📋 Detalle Diario'!$B$5:$B$489, B1964, '📋 Detalle Diario'!$C$5:$C$489, D1964) * 135 + SUMIFS('📋 Detalle Diario'!$I$5:$I$489, '📋 Detalle Diario'!$B$5:$B$489, B1964, '📋 Detalle Diario'!$C$5:$C$489, D1964) * 200), 0))</f>
        <v/>
      </c>
      <c r="P1964" s="32" t="str">
        <f t="shared" si="215"/>
        <v/>
      </c>
      <c r="Q1964" s="33" t="str">
        <f t="shared" si="216"/>
        <v/>
      </c>
    </row>
    <row r="1965" spans="2:17" ht="18" customHeight="1" x14ac:dyDescent="0.3">
      <c r="B1965" s="26"/>
      <c r="C1965" s="28"/>
      <c r="D1965" s="27"/>
      <c r="E1965" s="29"/>
      <c r="F1965" s="29"/>
      <c r="G1965" s="29"/>
      <c r="H1965" s="30" t="str">
        <f t="shared" si="210"/>
        <v/>
      </c>
      <c r="I1965" s="31" t="str">
        <f>IF(OR(B1965="",C1965=""),"",IFERROR(E1965*IF(E1965="",0,VLOOKUP(C1965,'📦 Precios Proforma'!$B$5:$D$104,IF(D1965="DIA",2,3),FALSE)),0))</f>
        <v/>
      </c>
      <c r="J1965" s="31" t="str">
        <f t="shared" si="211"/>
        <v/>
      </c>
      <c r="K1965" s="31" t="str">
        <f t="shared" si="212"/>
        <v/>
      </c>
      <c r="L1965" s="31" t="str">
        <f>IF(OR(B1965="",C1965=""),"",IFERROR(E1965 / SUMIFS('📅 Resumen Diario'!$D$5:$D$504, '📅 Resumen Diario'!$B$5:$B$504, B1965, '📅 Resumen Diario'!$C$5:$C$504, D1965) * SUMIFS('📅 Resumen Diario'!$K$5:$K$504, '📅 Resumen Diario'!$B$5:$B$504, B1965, '📅 Resumen Diario'!$C$5:$C$504, D1965), 0))</f>
        <v/>
      </c>
      <c r="M1965" s="31" t="str">
        <f t="shared" si="213"/>
        <v/>
      </c>
      <c r="N1965" s="31" t="str">
        <f t="shared" si="214"/>
        <v/>
      </c>
      <c r="O1965" s="31" t="str">
        <f>IF(OR(B1965="",C1965=""),"",K1965-N1965 + IFERROR(E1965 / SUMIFS('📅 Resumen Diario'!$D$5:$D$504, '📅 Resumen Diario'!$B$5:$B$504, B1965, '📅 Resumen Diario'!$C$5:$C$504, D1965) * (SUMIFS('📋 Detalle Diario'!$E$5:$E$489, '📋 Detalle Diario'!$B$5:$B$489, B1965, '📋 Detalle Diario'!$C$5:$C$489, D1965) * 135 + SUMIFS('📋 Detalle Diario'!$I$5:$I$489, '📋 Detalle Diario'!$B$5:$B$489, B1965, '📋 Detalle Diario'!$C$5:$C$489, D1965) * 200), 0))</f>
        <v/>
      </c>
      <c r="P1965" s="32" t="str">
        <f t="shared" si="215"/>
        <v/>
      </c>
      <c r="Q1965" s="33" t="str">
        <f t="shared" si="216"/>
        <v/>
      </c>
    </row>
    <row r="1966" spans="2:17" ht="18" customHeight="1" x14ac:dyDescent="0.3">
      <c r="B1966" s="26"/>
      <c r="C1966" s="17"/>
      <c r="D1966" s="27"/>
      <c r="E1966" s="18"/>
      <c r="F1966" s="18"/>
      <c r="G1966" s="18"/>
      <c r="H1966" s="30" t="str">
        <f t="shared" si="210"/>
        <v/>
      </c>
      <c r="I1966" s="31" t="str">
        <f>IF(OR(B1966="",C1966=""),"",IFERROR(E1966*IF(E1966="",0,VLOOKUP(C1966,'📦 Precios Proforma'!$B$5:$D$104,IF(D1966="DIA",2,3),FALSE)),0))</f>
        <v/>
      </c>
      <c r="J1966" s="31" t="str">
        <f t="shared" si="211"/>
        <v/>
      </c>
      <c r="K1966" s="31" t="str">
        <f t="shared" si="212"/>
        <v/>
      </c>
      <c r="L1966" s="31" t="str">
        <f>IF(OR(B1966="",C1966=""),"",IFERROR(E1966 / SUMIFS('📅 Resumen Diario'!$D$5:$D$504, '📅 Resumen Diario'!$B$5:$B$504, B1966, '📅 Resumen Diario'!$C$5:$C$504, D1966) * SUMIFS('📅 Resumen Diario'!$K$5:$K$504, '📅 Resumen Diario'!$B$5:$B$504, B1966, '📅 Resumen Diario'!$C$5:$C$504, D1966), 0))</f>
        <v/>
      </c>
      <c r="M1966" s="31" t="str">
        <f t="shared" si="213"/>
        <v/>
      </c>
      <c r="N1966" s="31" t="str">
        <f t="shared" si="214"/>
        <v/>
      </c>
      <c r="O1966" s="31" t="str">
        <f>IF(OR(B1966="",C1966=""),"",K1966-N1966 + IFERROR(E1966 / SUMIFS('📅 Resumen Diario'!$D$5:$D$504, '📅 Resumen Diario'!$B$5:$B$504, B1966, '📅 Resumen Diario'!$C$5:$C$504, D1966) * (SUMIFS('📋 Detalle Diario'!$E$5:$E$489, '📋 Detalle Diario'!$B$5:$B$489, B1966, '📋 Detalle Diario'!$C$5:$C$489, D1966) * 135 + SUMIFS('📋 Detalle Diario'!$I$5:$I$489, '📋 Detalle Diario'!$B$5:$B$489, B1966, '📋 Detalle Diario'!$C$5:$C$489, D1966) * 200), 0))</f>
        <v/>
      </c>
      <c r="P1966" s="32" t="str">
        <f t="shared" si="215"/>
        <v/>
      </c>
      <c r="Q1966" s="33" t="str">
        <f t="shared" si="216"/>
        <v/>
      </c>
    </row>
    <row r="1967" spans="2:17" ht="18" customHeight="1" x14ac:dyDescent="0.3">
      <c r="B1967" s="26"/>
      <c r="C1967" s="28"/>
      <c r="D1967" s="27"/>
      <c r="E1967" s="29"/>
      <c r="F1967" s="29"/>
      <c r="G1967" s="29"/>
      <c r="H1967" s="30" t="str">
        <f t="shared" si="210"/>
        <v/>
      </c>
      <c r="I1967" s="31" t="str">
        <f>IF(OR(B1967="",C1967=""),"",IFERROR(E1967*IF(E1967="",0,VLOOKUP(C1967,'📦 Precios Proforma'!$B$5:$D$104,IF(D1967="DIA",2,3),FALSE)),0))</f>
        <v/>
      </c>
      <c r="J1967" s="31" t="str">
        <f t="shared" si="211"/>
        <v/>
      </c>
      <c r="K1967" s="31" t="str">
        <f t="shared" si="212"/>
        <v/>
      </c>
      <c r="L1967" s="31" t="str">
        <f>IF(OR(B1967="",C1967=""),"",IFERROR(E1967 / SUMIFS('📅 Resumen Diario'!$D$5:$D$504, '📅 Resumen Diario'!$B$5:$B$504, B1967, '📅 Resumen Diario'!$C$5:$C$504, D1967) * SUMIFS('📅 Resumen Diario'!$K$5:$K$504, '📅 Resumen Diario'!$B$5:$B$504, B1967, '📅 Resumen Diario'!$C$5:$C$504, D1967), 0))</f>
        <v/>
      </c>
      <c r="M1967" s="31" t="str">
        <f t="shared" si="213"/>
        <v/>
      </c>
      <c r="N1967" s="31" t="str">
        <f t="shared" si="214"/>
        <v/>
      </c>
      <c r="O1967" s="31" t="str">
        <f>IF(OR(B1967="",C1967=""),"",K1967-N1967 + IFERROR(E1967 / SUMIFS('📅 Resumen Diario'!$D$5:$D$504, '📅 Resumen Diario'!$B$5:$B$504, B1967, '📅 Resumen Diario'!$C$5:$C$504, D1967) * (SUMIFS('📋 Detalle Diario'!$E$5:$E$489, '📋 Detalle Diario'!$B$5:$B$489, B1967, '📋 Detalle Diario'!$C$5:$C$489, D1967) * 135 + SUMIFS('📋 Detalle Diario'!$I$5:$I$489, '📋 Detalle Diario'!$B$5:$B$489, B1967, '📋 Detalle Diario'!$C$5:$C$489, D1967) * 200), 0))</f>
        <v/>
      </c>
      <c r="P1967" s="32" t="str">
        <f t="shared" si="215"/>
        <v/>
      </c>
      <c r="Q1967" s="33" t="str">
        <f t="shared" si="216"/>
        <v/>
      </c>
    </row>
    <row r="1968" spans="2:17" ht="18" customHeight="1" x14ac:dyDescent="0.3">
      <c r="B1968" s="26"/>
      <c r="C1968" s="17"/>
      <c r="D1968" s="27"/>
      <c r="E1968" s="18"/>
      <c r="F1968" s="18"/>
      <c r="G1968" s="18"/>
      <c r="H1968" s="30" t="str">
        <f t="shared" si="210"/>
        <v/>
      </c>
      <c r="I1968" s="31" t="str">
        <f>IF(OR(B1968="",C1968=""),"",IFERROR(E1968*IF(E1968="",0,VLOOKUP(C1968,'📦 Precios Proforma'!$B$5:$D$104,IF(D1968="DIA",2,3),FALSE)),0))</f>
        <v/>
      </c>
      <c r="J1968" s="31" t="str">
        <f t="shared" si="211"/>
        <v/>
      </c>
      <c r="K1968" s="31" t="str">
        <f t="shared" si="212"/>
        <v/>
      </c>
      <c r="L1968" s="31" t="str">
        <f>IF(OR(B1968="",C1968=""),"",IFERROR(E1968 / SUMIFS('📅 Resumen Diario'!$D$5:$D$504, '📅 Resumen Diario'!$B$5:$B$504, B1968, '📅 Resumen Diario'!$C$5:$C$504, D1968) * SUMIFS('📅 Resumen Diario'!$K$5:$K$504, '📅 Resumen Diario'!$B$5:$B$504, B1968, '📅 Resumen Diario'!$C$5:$C$504, D1968), 0))</f>
        <v/>
      </c>
      <c r="M1968" s="31" t="str">
        <f t="shared" si="213"/>
        <v/>
      </c>
      <c r="N1968" s="31" t="str">
        <f t="shared" si="214"/>
        <v/>
      </c>
      <c r="O1968" s="31" t="str">
        <f>IF(OR(B1968="",C1968=""),"",K1968-N1968 + IFERROR(E1968 / SUMIFS('📅 Resumen Diario'!$D$5:$D$504, '📅 Resumen Diario'!$B$5:$B$504, B1968, '📅 Resumen Diario'!$C$5:$C$504, D1968) * (SUMIFS('📋 Detalle Diario'!$E$5:$E$489, '📋 Detalle Diario'!$B$5:$B$489, B1968, '📋 Detalle Diario'!$C$5:$C$489, D1968) * 135 + SUMIFS('📋 Detalle Diario'!$I$5:$I$489, '📋 Detalle Diario'!$B$5:$B$489, B1968, '📋 Detalle Diario'!$C$5:$C$489, D1968) * 200), 0))</f>
        <v/>
      </c>
      <c r="P1968" s="32" t="str">
        <f t="shared" si="215"/>
        <v/>
      </c>
      <c r="Q1968" s="33" t="str">
        <f t="shared" si="216"/>
        <v/>
      </c>
    </row>
    <row r="1969" spans="2:17" ht="18" customHeight="1" x14ac:dyDescent="0.3">
      <c r="B1969" s="26"/>
      <c r="C1969" s="28"/>
      <c r="D1969" s="27"/>
      <c r="E1969" s="29"/>
      <c r="F1969" s="29"/>
      <c r="G1969" s="29"/>
      <c r="H1969" s="30" t="str">
        <f t="shared" si="210"/>
        <v/>
      </c>
      <c r="I1969" s="31" t="str">
        <f>IF(OR(B1969="",C1969=""),"",IFERROR(E1969*IF(E1969="",0,VLOOKUP(C1969,'📦 Precios Proforma'!$B$5:$D$104,IF(D1969="DIA",2,3),FALSE)),0))</f>
        <v/>
      </c>
      <c r="J1969" s="31" t="str">
        <f t="shared" si="211"/>
        <v/>
      </c>
      <c r="K1969" s="31" t="str">
        <f t="shared" si="212"/>
        <v/>
      </c>
      <c r="L1969" s="31" t="str">
        <f>IF(OR(B1969="",C1969=""),"",IFERROR(E1969 / SUMIFS('📅 Resumen Diario'!$D$5:$D$504, '📅 Resumen Diario'!$B$5:$B$504, B1969, '📅 Resumen Diario'!$C$5:$C$504, D1969) * SUMIFS('📅 Resumen Diario'!$K$5:$K$504, '📅 Resumen Diario'!$B$5:$B$504, B1969, '📅 Resumen Diario'!$C$5:$C$504, D1969), 0))</f>
        <v/>
      </c>
      <c r="M1969" s="31" t="str">
        <f t="shared" si="213"/>
        <v/>
      </c>
      <c r="N1969" s="31" t="str">
        <f t="shared" si="214"/>
        <v/>
      </c>
      <c r="O1969" s="31" t="str">
        <f>IF(OR(B1969="",C1969=""),"",K1969-N1969 + IFERROR(E1969 / SUMIFS('📅 Resumen Diario'!$D$5:$D$504, '📅 Resumen Diario'!$B$5:$B$504, B1969, '📅 Resumen Diario'!$C$5:$C$504, D1969) * (SUMIFS('📋 Detalle Diario'!$E$5:$E$489, '📋 Detalle Diario'!$B$5:$B$489, B1969, '📋 Detalle Diario'!$C$5:$C$489, D1969) * 135 + SUMIFS('📋 Detalle Diario'!$I$5:$I$489, '📋 Detalle Diario'!$B$5:$B$489, B1969, '📋 Detalle Diario'!$C$5:$C$489, D1969) * 200), 0))</f>
        <v/>
      </c>
      <c r="P1969" s="32" t="str">
        <f t="shared" si="215"/>
        <v/>
      </c>
      <c r="Q1969" s="33" t="str">
        <f t="shared" si="216"/>
        <v/>
      </c>
    </row>
    <row r="1970" spans="2:17" ht="18" customHeight="1" x14ac:dyDescent="0.3">
      <c r="B1970" s="26"/>
      <c r="C1970" s="17"/>
      <c r="D1970" s="27"/>
      <c r="E1970" s="18"/>
      <c r="F1970" s="18"/>
      <c r="G1970" s="18"/>
      <c r="H1970" s="30" t="str">
        <f t="shared" si="210"/>
        <v/>
      </c>
      <c r="I1970" s="31" t="str">
        <f>IF(OR(B1970="",C1970=""),"",IFERROR(E1970*IF(E1970="",0,VLOOKUP(C1970,'📦 Precios Proforma'!$B$5:$D$104,IF(D1970="DIA",2,3),FALSE)),0))</f>
        <v/>
      </c>
      <c r="J1970" s="31" t="str">
        <f t="shared" si="211"/>
        <v/>
      </c>
      <c r="K1970" s="31" t="str">
        <f t="shared" si="212"/>
        <v/>
      </c>
      <c r="L1970" s="31" t="str">
        <f>IF(OR(B1970="",C1970=""),"",IFERROR(E1970 / SUMIFS('📅 Resumen Diario'!$D$5:$D$504, '📅 Resumen Diario'!$B$5:$B$504, B1970, '📅 Resumen Diario'!$C$5:$C$504, D1970) * SUMIFS('📅 Resumen Diario'!$K$5:$K$504, '📅 Resumen Diario'!$B$5:$B$504, B1970, '📅 Resumen Diario'!$C$5:$C$504, D1970), 0))</f>
        <v/>
      </c>
      <c r="M1970" s="31" t="str">
        <f t="shared" si="213"/>
        <v/>
      </c>
      <c r="N1970" s="31" t="str">
        <f t="shared" si="214"/>
        <v/>
      </c>
      <c r="O1970" s="31" t="str">
        <f>IF(OR(B1970="",C1970=""),"",K1970-N1970 + IFERROR(E1970 / SUMIFS('📅 Resumen Diario'!$D$5:$D$504, '📅 Resumen Diario'!$B$5:$B$504, B1970, '📅 Resumen Diario'!$C$5:$C$504, D1970) * (SUMIFS('📋 Detalle Diario'!$E$5:$E$489, '📋 Detalle Diario'!$B$5:$B$489, B1970, '📋 Detalle Diario'!$C$5:$C$489, D1970) * 135 + SUMIFS('📋 Detalle Diario'!$I$5:$I$489, '📋 Detalle Diario'!$B$5:$B$489, B1970, '📋 Detalle Diario'!$C$5:$C$489, D1970) * 200), 0))</f>
        <v/>
      </c>
      <c r="P1970" s="32" t="str">
        <f t="shared" si="215"/>
        <v/>
      </c>
      <c r="Q1970" s="33" t="str">
        <f t="shared" si="216"/>
        <v/>
      </c>
    </row>
    <row r="1971" spans="2:17" ht="18" customHeight="1" x14ac:dyDescent="0.3">
      <c r="B1971" s="26"/>
      <c r="C1971" s="28"/>
      <c r="D1971" s="27"/>
      <c r="E1971" s="29"/>
      <c r="F1971" s="29"/>
      <c r="G1971" s="29"/>
      <c r="H1971" s="30" t="str">
        <f t="shared" si="210"/>
        <v/>
      </c>
      <c r="I1971" s="31" t="str">
        <f>IF(OR(B1971="",C1971=""),"",IFERROR(E1971*IF(E1971="",0,VLOOKUP(C1971,'📦 Precios Proforma'!$B$5:$D$104,IF(D1971="DIA",2,3),FALSE)),0))</f>
        <v/>
      </c>
      <c r="J1971" s="31" t="str">
        <f t="shared" si="211"/>
        <v/>
      </c>
      <c r="K1971" s="31" t="str">
        <f t="shared" si="212"/>
        <v/>
      </c>
      <c r="L1971" s="31" t="str">
        <f>IF(OR(B1971="",C1971=""),"",IFERROR(E1971 / SUMIFS('📅 Resumen Diario'!$D$5:$D$504, '📅 Resumen Diario'!$B$5:$B$504, B1971, '📅 Resumen Diario'!$C$5:$C$504, D1971) * SUMIFS('📅 Resumen Diario'!$K$5:$K$504, '📅 Resumen Diario'!$B$5:$B$504, B1971, '📅 Resumen Diario'!$C$5:$C$504, D1971), 0))</f>
        <v/>
      </c>
      <c r="M1971" s="31" t="str">
        <f t="shared" si="213"/>
        <v/>
      </c>
      <c r="N1971" s="31" t="str">
        <f t="shared" si="214"/>
        <v/>
      </c>
      <c r="O1971" s="31" t="str">
        <f>IF(OR(B1971="",C1971=""),"",K1971-N1971 + IFERROR(E1971 / SUMIFS('📅 Resumen Diario'!$D$5:$D$504, '📅 Resumen Diario'!$B$5:$B$504, B1971, '📅 Resumen Diario'!$C$5:$C$504, D1971) * (SUMIFS('📋 Detalle Diario'!$E$5:$E$489, '📋 Detalle Diario'!$B$5:$B$489, B1971, '📋 Detalle Diario'!$C$5:$C$489, D1971) * 135 + SUMIFS('📋 Detalle Diario'!$I$5:$I$489, '📋 Detalle Diario'!$B$5:$B$489, B1971, '📋 Detalle Diario'!$C$5:$C$489, D1971) * 200), 0))</f>
        <v/>
      </c>
      <c r="P1971" s="32" t="str">
        <f t="shared" si="215"/>
        <v/>
      </c>
      <c r="Q1971" s="33" t="str">
        <f t="shared" si="216"/>
        <v/>
      </c>
    </row>
    <row r="1972" spans="2:17" ht="18" customHeight="1" x14ac:dyDescent="0.3">
      <c r="B1972" s="26"/>
      <c r="C1972" s="17"/>
      <c r="D1972" s="27"/>
      <c r="E1972" s="18"/>
      <c r="F1972" s="18"/>
      <c r="G1972" s="18"/>
      <c r="H1972" s="30" t="str">
        <f t="shared" si="210"/>
        <v/>
      </c>
      <c r="I1972" s="31" t="str">
        <f>IF(OR(B1972="",C1972=""),"",IFERROR(E1972*IF(E1972="",0,VLOOKUP(C1972,'📦 Precios Proforma'!$B$5:$D$104,IF(D1972="DIA",2,3),FALSE)),0))</f>
        <v/>
      </c>
      <c r="J1972" s="31" t="str">
        <f t="shared" si="211"/>
        <v/>
      </c>
      <c r="K1972" s="31" t="str">
        <f t="shared" si="212"/>
        <v/>
      </c>
      <c r="L1972" s="31" t="str">
        <f>IF(OR(B1972="",C1972=""),"",IFERROR(E1972 / SUMIFS('📅 Resumen Diario'!$D$5:$D$504, '📅 Resumen Diario'!$B$5:$B$504, B1972, '📅 Resumen Diario'!$C$5:$C$504, D1972) * SUMIFS('📅 Resumen Diario'!$K$5:$K$504, '📅 Resumen Diario'!$B$5:$B$504, B1972, '📅 Resumen Diario'!$C$5:$C$504, D1972), 0))</f>
        <v/>
      </c>
      <c r="M1972" s="31" t="str">
        <f t="shared" si="213"/>
        <v/>
      </c>
      <c r="N1972" s="31" t="str">
        <f t="shared" si="214"/>
        <v/>
      </c>
      <c r="O1972" s="31" t="str">
        <f>IF(OR(B1972="",C1972=""),"",K1972-N1972 + IFERROR(E1972 / SUMIFS('📅 Resumen Diario'!$D$5:$D$504, '📅 Resumen Diario'!$B$5:$B$504, B1972, '📅 Resumen Diario'!$C$5:$C$504, D1972) * (SUMIFS('📋 Detalle Diario'!$E$5:$E$489, '📋 Detalle Diario'!$B$5:$B$489, B1972, '📋 Detalle Diario'!$C$5:$C$489, D1972) * 135 + SUMIFS('📋 Detalle Diario'!$I$5:$I$489, '📋 Detalle Diario'!$B$5:$B$489, B1972, '📋 Detalle Diario'!$C$5:$C$489, D1972) * 200), 0))</f>
        <v/>
      </c>
      <c r="P1972" s="32" t="str">
        <f t="shared" si="215"/>
        <v/>
      </c>
      <c r="Q1972" s="33" t="str">
        <f t="shared" si="216"/>
        <v/>
      </c>
    </row>
    <row r="1973" spans="2:17" ht="18" customHeight="1" x14ac:dyDescent="0.3">
      <c r="B1973" s="26"/>
      <c r="C1973" s="28"/>
      <c r="D1973" s="27"/>
      <c r="E1973" s="29"/>
      <c r="F1973" s="29"/>
      <c r="G1973" s="29"/>
      <c r="H1973" s="30" t="str">
        <f t="shared" si="210"/>
        <v/>
      </c>
      <c r="I1973" s="31" t="str">
        <f>IF(OR(B1973="",C1973=""),"",IFERROR(E1973*IF(E1973="",0,VLOOKUP(C1973,'📦 Precios Proforma'!$B$5:$D$104,IF(D1973="DIA",2,3),FALSE)),0))</f>
        <v/>
      </c>
      <c r="J1973" s="31" t="str">
        <f t="shared" si="211"/>
        <v/>
      </c>
      <c r="K1973" s="31" t="str">
        <f t="shared" si="212"/>
        <v/>
      </c>
      <c r="L1973" s="31" t="str">
        <f>IF(OR(B1973="",C1973=""),"",IFERROR(E1973 / SUMIFS('📅 Resumen Diario'!$D$5:$D$504, '📅 Resumen Diario'!$B$5:$B$504, B1973, '📅 Resumen Diario'!$C$5:$C$504, D1973) * SUMIFS('📅 Resumen Diario'!$K$5:$K$504, '📅 Resumen Diario'!$B$5:$B$504, B1973, '📅 Resumen Diario'!$C$5:$C$504, D1973), 0))</f>
        <v/>
      </c>
      <c r="M1973" s="31" t="str">
        <f t="shared" si="213"/>
        <v/>
      </c>
      <c r="N1973" s="31" t="str">
        <f t="shared" si="214"/>
        <v/>
      </c>
      <c r="O1973" s="31" t="str">
        <f>IF(OR(B1973="",C1973=""),"",K1973-N1973 + IFERROR(E1973 / SUMIFS('📅 Resumen Diario'!$D$5:$D$504, '📅 Resumen Diario'!$B$5:$B$504, B1973, '📅 Resumen Diario'!$C$5:$C$504, D1973) * (SUMIFS('📋 Detalle Diario'!$E$5:$E$489, '📋 Detalle Diario'!$B$5:$B$489, B1973, '📋 Detalle Diario'!$C$5:$C$489, D1973) * 135 + SUMIFS('📋 Detalle Diario'!$I$5:$I$489, '📋 Detalle Diario'!$B$5:$B$489, B1973, '📋 Detalle Diario'!$C$5:$C$489, D1973) * 200), 0))</f>
        <v/>
      </c>
      <c r="P1973" s="32" t="str">
        <f t="shared" si="215"/>
        <v/>
      </c>
      <c r="Q1973" s="33" t="str">
        <f t="shared" si="216"/>
        <v/>
      </c>
    </row>
    <row r="1974" spans="2:17" ht="18" customHeight="1" x14ac:dyDescent="0.3">
      <c r="B1974" s="26"/>
      <c r="C1974" s="17"/>
      <c r="D1974" s="27"/>
      <c r="E1974" s="18"/>
      <c r="F1974" s="18"/>
      <c r="G1974" s="18"/>
      <c r="H1974" s="30" t="str">
        <f t="shared" si="210"/>
        <v/>
      </c>
      <c r="I1974" s="31" t="str">
        <f>IF(OR(B1974="",C1974=""),"",IFERROR(E1974*IF(E1974="",0,VLOOKUP(C1974,'📦 Precios Proforma'!$B$5:$D$104,IF(D1974="DIA",2,3),FALSE)),0))</f>
        <v/>
      </c>
      <c r="J1974" s="31" t="str">
        <f t="shared" si="211"/>
        <v/>
      </c>
      <c r="K1974" s="31" t="str">
        <f t="shared" si="212"/>
        <v/>
      </c>
      <c r="L1974" s="31" t="str">
        <f>IF(OR(B1974="",C1974=""),"",IFERROR(E1974 / SUMIFS('📅 Resumen Diario'!$D$5:$D$504, '📅 Resumen Diario'!$B$5:$B$504, B1974, '📅 Resumen Diario'!$C$5:$C$504, D1974) * SUMIFS('📅 Resumen Diario'!$K$5:$K$504, '📅 Resumen Diario'!$B$5:$B$504, B1974, '📅 Resumen Diario'!$C$5:$C$504, D1974), 0))</f>
        <v/>
      </c>
      <c r="M1974" s="31" t="str">
        <f t="shared" si="213"/>
        <v/>
      </c>
      <c r="N1974" s="31" t="str">
        <f t="shared" si="214"/>
        <v/>
      </c>
      <c r="O1974" s="31" t="str">
        <f>IF(OR(B1974="",C1974=""),"",K1974-N1974 + IFERROR(E1974 / SUMIFS('📅 Resumen Diario'!$D$5:$D$504, '📅 Resumen Diario'!$B$5:$B$504, B1974, '📅 Resumen Diario'!$C$5:$C$504, D1974) * (SUMIFS('📋 Detalle Diario'!$E$5:$E$489, '📋 Detalle Diario'!$B$5:$B$489, B1974, '📋 Detalle Diario'!$C$5:$C$489, D1974) * 135 + SUMIFS('📋 Detalle Diario'!$I$5:$I$489, '📋 Detalle Diario'!$B$5:$B$489, B1974, '📋 Detalle Diario'!$C$5:$C$489, D1974) * 200), 0))</f>
        <v/>
      </c>
      <c r="P1974" s="32" t="str">
        <f t="shared" si="215"/>
        <v/>
      </c>
      <c r="Q1974" s="33" t="str">
        <f t="shared" si="216"/>
        <v/>
      </c>
    </row>
    <row r="1975" spans="2:17" ht="18" customHeight="1" x14ac:dyDescent="0.3">
      <c r="B1975" s="26"/>
      <c r="C1975" s="28"/>
      <c r="D1975" s="27"/>
      <c r="E1975" s="29"/>
      <c r="F1975" s="29"/>
      <c r="G1975" s="29"/>
      <c r="H1975" s="30" t="str">
        <f t="shared" si="210"/>
        <v/>
      </c>
      <c r="I1975" s="31" t="str">
        <f>IF(OR(B1975="",C1975=""),"",IFERROR(E1975*IF(E1975="",0,VLOOKUP(C1975,'📦 Precios Proforma'!$B$5:$D$104,IF(D1975="DIA",2,3),FALSE)),0))</f>
        <v/>
      </c>
      <c r="J1975" s="31" t="str">
        <f t="shared" si="211"/>
        <v/>
      </c>
      <c r="K1975" s="31" t="str">
        <f t="shared" si="212"/>
        <v/>
      </c>
      <c r="L1975" s="31" t="str">
        <f>IF(OR(B1975="",C1975=""),"",IFERROR(E1975 / SUMIFS('📅 Resumen Diario'!$D$5:$D$504, '📅 Resumen Diario'!$B$5:$B$504, B1975, '📅 Resumen Diario'!$C$5:$C$504, D1975) * SUMIFS('📅 Resumen Diario'!$K$5:$K$504, '📅 Resumen Diario'!$B$5:$B$504, B1975, '📅 Resumen Diario'!$C$5:$C$504, D1975), 0))</f>
        <v/>
      </c>
      <c r="M1975" s="31" t="str">
        <f t="shared" si="213"/>
        <v/>
      </c>
      <c r="N1975" s="31" t="str">
        <f t="shared" si="214"/>
        <v/>
      </c>
      <c r="O1975" s="31" t="str">
        <f>IF(OR(B1975="",C1975=""),"",K1975-N1975 + IFERROR(E1975 / SUMIFS('📅 Resumen Diario'!$D$5:$D$504, '📅 Resumen Diario'!$B$5:$B$504, B1975, '📅 Resumen Diario'!$C$5:$C$504, D1975) * (SUMIFS('📋 Detalle Diario'!$E$5:$E$489, '📋 Detalle Diario'!$B$5:$B$489, B1975, '📋 Detalle Diario'!$C$5:$C$489, D1975) * 135 + SUMIFS('📋 Detalle Diario'!$I$5:$I$489, '📋 Detalle Diario'!$B$5:$B$489, B1975, '📋 Detalle Diario'!$C$5:$C$489, D1975) * 200), 0))</f>
        <v/>
      </c>
      <c r="P1975" s="32" t="str">
        <f t="shared" si="215"/>
        <v/>
      </c>
      <c r="Q1975" s="33" t="str">
        <f t="shared" si="216"/>
        <v/>
      </c>
    </row>
    <row r="1976" spans="2:17" ht="18" customHeight="1" x14ac:dyDescent="0.3">
      <c r="B1976" s="26"/>
      <c r="C1976" s="17"/>
      <c r="D1976" s="27"/>
      <c r="E1976" s="18"/>
      <c r="F1976" s="18"/>
      <c r="G1976" s="18"/>
      <c r="H1976" s="30" t="str">
        <f t="shared" si="210"/>
        <v/>
      </c>
      <c r="I1976" s="31" t="str">
        <f>IF(OR(B1976="",C1976=""),"",IFERROR(E1976*IF(E1976="",0,VLOOKUP(C1976,'📦 Precios Proforma'!$B$5:$D$104,IF(D1976="DIA",2,3),FALSE)),0))</f>
        <v/>
      </c>
      <c r="J1976" s="31" t="str">
        <f t="shared" si="211"/>
        <v/>
      </c>
      <c r="K1976" s="31" t="str">
        <f t="shared" si="212"/>
        <v/>
      </c>
      <c r="L1976" s="31" t="str">
        <f>IF(OR(B1976="",C1976=""),"",IFERROR(E1976 / SUMIFS('📅 Resumen Diario'!$D$5:$D$504, '📅 Resumen Diario'!$B$5:$B$504, B1976, '📅 Resumen Diario'!$C$5:$C$504, D1976) * SUMIFS('📅 Resumen Diario'!$K$5:$K$504, '📅 Resumen Diario'!$B$5:$B$504, B1976, '📅 Resumen Diario'!$C$5:$C$504, D1976), 0))</f>
        <v/>
      </c>
      <c r="M1976" s="31" t="str">
        <f t="shared" si="213"/>
        <v/>
      </c>
      <c r="N1976" s="31" t="str">
        <f t="shared" si="214"/>
        <v/>
      </c>
      <c r="O1976" s="31" t="str">
        <f>IF(OR(B1976="",C1976=""),"",K1976-N1976 + IFERROR(E1976 / SUMIFS('📅 Resumen Diario'!$D$5:$D$504, '📅 Resumen Diario'!$B$5:$B$504, B1976, '📅 Resumen Diario'!$C$5:$C$504, D1976) * (SUMIFS('📋 Detalle Diario'!$E$5:$E$489, '📋 Detalle Diario'!$B$5:$B$489, B1976, '📋 Detalle Diario'!$C$5:$C$489, D1976) * 135 + SUMIFS('📋 Detalle Diario'!$I$5:$I$489, '📋 Detalle Diario'!$B$5:$B$489, B1976, '📋 Detalle Diario'!$C$5:$C$489, D1976) * 200), 0))</f>
        <v/>
      </c>
      <c r="P1976" s="32" t="str">
        <f t="shared" si="215"/>
        <v/>
      </c>
      <c r="Q1976" s="33" t="str">
        <f t="shared" si="216"/>
        <v/>
      </c>
    </row>
    <row r="1977" spans="2:17" ht="18" customHeight="1" x14ac:dyDescent="0.3">
      <c r="B1977" s="26"/>
      <c r="C1977" s="28"/>
      <c r="D1977" s="27"/>
      <c r="E1977" s="29"/>
      <c r="F1977" s="29"/>
      <c r="G1977" s="29"/>
      <c r="H1977" s="30" t="str">
        <f t="shared" si="210"/>
        <v/>
      </c>
      <c r="I1977" s="31" t="str">
        <f>IF(OR(B1977="",C1977=""),"",IFERROR(E1977*IF(E1977="",0,VLOOKUP(C1977,'📦 Precios Proforma'!$B$5:$D$104,IF(D1977="DIA",2,3),FALSE)),0))</f>
        <v/>
      </c>
      <c r="J1977" s="31" t="str">
        <f t="shared" si="211"/>
        <v/>
      </c>
      <c r="K1977" s="31" t="str">
        <f t="shared" si="212"/>
        <v/>
      </c>
      <c r="L1977" s="31" t="str">
        <f>IF(OR(B1977="",C1977=""),"",IFERROR(E1977 / SUMIFS('📅 Resumen Diario'!$D$5:$D$504, '📅 Resumen Diario'!$B$5:$B$504, B1977, '📅 Resumen Diario'!$C$5:$C$504, D1977) * SUMIFS('📅 Resumen Diario'!$K$5:$K$504, '📅 Resumen Diario'!$B$5:$B$504, B1977, '📅 Resumen Diario'!$C$5:$C$504, D1977), 0))</f>
        <v/>
      </c>
      <c r="M1977" s="31" t="str">
        <f t="shared" si="213"/>
        <v/>
      </c>
      <c r="N1977" s="31" t="str">
        <f t="shared" si="214"/>
        <v/>
      </c>
      <c r="O1977" s="31" t="str">
        <f>IF(OR(B1977="",C1977=""),"",K1977-N1977 + IFERROR(E1977 / SUMIFS('📅 Resumen Diario'!$D$5:$D$504, '📅 Resumen Diario'!$B$5:$B$504, B1977, '📅 Resumen Diario'!$C$5:$C$504, D1977) * (SUMIFS('📋 Detalle Diario'!$E$5:$E$489, '📋 Detalle Diario'!$B$5:$B$489, B1977, '📋 Detalle Diario'!$C$5:$C$489, D1977) * 135 + SUMIFS('📋 Detalle Diario'!$I$5:$I$489, '📋 Detalle Diario'!$B$5:$B$489, B1977, '📋 Detalle Diario'!$C$5:$C$489, D1977) * 200), 0))</f>
        <v/>
      </c>
      <c r="P1977" s="32" t="str">
        <f t="shared" si="215"/>
        <v/>
      </c>
      <c r="Q1977" s="33" t="str">
        <f t="shared" si="216"/>
        <v/>
      </c>
    </row>
    <row r="1978" spans="2:17" ht="18" customHeight="1" x14ac:dyDescent="0.3">
      <c r="B1978" s="26"/>
      <c r="C1978" s="17"/>
      <c r="D1978" s="27"/>
      <c r="E1978" s="18"/>
      <c r="F1978" s="18"/>
      <c r="G1978" s="18"/>
      <c r="H1978" s="30" t="str">
        <f t="shared" si="210"/>
        <v/>
      </c>
      <c r="I1978" s="31" t="str">
        <f>IF(OR(B1978="",C1978=""),"",IFERROR(E1978*IF(E1978="",0,VLOOKUP(C1978,'📦 Precios Proforma'!$B$5:$D$104,IF(D1978="DIA",2,3),FALSE)),0))</f>
        <v/>
      </c>
      <c r="J1978" s="31" t="str">
        <f t="shared" si="211"/>
        <v/>
      </c>
      <c r="K1978" s="31" t="str">
        <f t="shared" si="212"/>
        <v/>
      </c>
      <c r="L1978" s="31" t="str">
        <f>IF(OR(B1978="",C1978=""),"",IFERROR(E1978 / SUMIFS('📅 Resumen Diario'!$D$5:$D$504, '📅 Resumen Diario'!$B$5:$B$504, B1978, '📅 Resumen Diario'!$C$5:$C$504, D1978) * SUMIFS('📅 Resumen Diario'!$K$5:$K$504, '📅 Resumen Diario'!$B$5:$B$504, B1978, '📅 Resumen Diario'!$C$5:$C$504, D1978), 0))</f>
        <v/>
      </c>
      <c r="M1978" s="31" t="str">
        <f t="shared" si="213"/>
        <v/>
      </c>
      <c r="N1978" s="31" t="str">
        <f t="shared" si="214"/>
        <v/>
      </c>
      <c r="O1978" s="31" t="str">
        <f>IF(OR(B1978="",C1978=""),"",K1978-N1978 + IFERROR(E1978 / SUMIFS('📅 Resumen Diario'!$D$5:$D$504, '📅 Resumen Diario'!$B$5:$B$504, B1978, '📅 Resumen Diario'!$C$5:$C$504, D1978) * (SUMIFS('📋 Detalle Diario'!$E$5:$E$489, '📋 Detalle Diario'!$B$5:$B$489, B1978, '📋 Detalle Diario'!$C$5:$C$489, D1978) * 135 + SUMIFS('📋 Detalle Diario'!$I$5:$I$489, '📋 Detalle Diario'!$B$5:$B$489, B1978, '📋 Detalle Diario'!$C$5:$C$489, D1978) * 200), 0))</f>
        <v/>
      </c>
      <c r="P1978" s="32" t="str">
        <f t="shared" si="215"/>
        <v/>
      </c>
      <c r="Q1978" s="33" t="str">
        <f t="shared" si="216"/>
        <v/>
      </c>
    </row>
    <row r="1979" spans="2:17" ht="18" customHeight="1" x14ac:dyDescent="0.3">
      <c r="B1979" s="26"/>
      <c r="C1979" s="28"/>
      <c r="D1979" s="27"/>
      <c r="E1979" s="29"/>
      <c r="F1979" s="29"/>
      <c r="G1979" s="29"/>
      <c r="H1979" s="30" t="str">
        <f t="shared" si="210"/>
        <v/>
      </c>
      <c r="I1979" s="31" t="str">
        <f>IF(OR(B1979="",C1979=""),"",IFERROR(E1979*IF(E1979="",0,VLOOKUP(C1979,'📦 Precios Proforma'!$B$5:$D$104,IF(D1979="DIA",2,3),FALSE)),0))</f>
        <v/>
      </c>
      <c r="J1979" s="31" t="str">
        <f t="shared" si="211"/>
        <v/>
      </c>
      <c r="K1979" s="31" t="str">
        <f t="shared" si="212"/>
        <v/>
      </c>
      <c r="L1979" s="31" t="str">
        <f>IF(OR(B1979="",C1979=""),"",IFERROR(E1979 / SUMIFS('📅 Resumen Diario'!$D$5:$D$504, '📅 Resumen Diario'!$B$5:$B$504, B1979, '📅 Resumen Diario'!$C$5:$C$504, D1979) * SUMIFS('📅 Resumen Diario'!$K$5:$K$504, '📅 Resumen Diario'!$B$5:$B$504, B1979, '📅 Resumen Diario'!$C$5:$C$504, D1979), 0))</f>
        <v/>
      </c>
      <c r="M1979" s="31" t="str">
        <f t="shared" si="213"/>
        <v/>
      </c>
      <c r="N1979" s="31" t="str">
        <f t="shared" si="214"/>
        <v/>
      </c>
      <c r="O1979" s="31" t="str">
        <f>IF(OR(B1979="",C1979=""),"",K1979-N1979 + IFERROR(E1979 / SUMIFS('📅 Resumen Diario'!$D$5:$D$504, '📅 Resumen Diario'!$B$5:$B$504, B1979, '📅 Resumen Diario'!$C$5:$C$504, D1979) * (SUMIFS('📋 Detalle Diario'!$E$5:$E$489, '📋 Detalle Diario'!$B$5:$B$489, B1979, '📋 Detalle Diario'!$C$5:$C$489, D1979) * 135 + SUMIFS('📋 Detalle Diario'!$I$5:$I$489, '📋 Detalle Diario'!$B$5:$B$489, B1979, '📋 Detalle Diario'!$C$5:$C$489, D1979) * 200), 0))</f>
        <v/>
      </c>
      <c r="P1979" s="32" t="str">
        <f t="shared" si="215"/>
        <v/>
      </c>
      <c r="Q1979" s="33" t="str">
        <f t="shared" si="216"/>
        <v/>
      </c>
    </row>
    <row r="1980" spans="2:17" ht="18" customHeight="1" x14ac:dyDescent="0.3">
      <c r="B1980" s="26"/>
      <c r="C1980" s="17"/>
      <c r="D1980" s="27"/>
      <c r="E1980" s="18"/>
      <c r="F1980" s="18"/>
      <c r="G1980" s="18"/>
      <c r="H1980" s="30" t="str">
        <f t="shared" si="210"/>
        <v/>
      </c>
      <c r="I1980" s="31" t="str">
        <f>IF(OR(B1980="",C1980=""),"",IFERROR(E1980*IF(E1980="",0,VLOOKUP(C1980,'📦 Precios Proforma'!$B$5:$D$104,IF(D1980="DIA",2,3),FALSE)),0))</f>
        <v/>
      </c>
      <c r="J1980" s="31" t="str">
        <f t="shared" si="211"/>
        <v/>
      </c>
      <c r="K1980" s="31" t="str">
        <f t="shared" si="212"/>
        <v/>
      </c>
      <c r="L1980" s="31" t="str">
        <f>IF(OR(B1980="",C1980=""),"",IFERROR(E1980 / SUMIFS('📅 Resumen Diario'!$D$5:$D$504, '📅 Resumen Diario'!$B$5:$B$504, B1980, '📅 Resumen Diario'!$C$5:$C$504, D1980) * SUMIFS('📅 Resumen Diario'!$K$5:$K$504, '📅 Resumen Diario'!$B$5:$B$504, B1980, '📅 Resumen Diario'!$C$5:$C$504, D1980), 0))</f>
        <v/>
      </c>
      <c r="M1980" s="31" t="str">
        <f t="shared" si="213"/>
        <v/>
      </c>
      <c r="N1980" s="31" t="str">
        <f t="shared" si="214"/>
        <v/>
      </c>
      <c r="O1980" s="31" t="str">
        <f>IF(OR(B1980="",C1980=""),"",K1980-N1980 + IFERROR(E1980 / SUMIFS('📅 Resumen Diario'!$D$5:$D$504, '📅 Resumen Diario'!$B$5:$B$504, B1980, '📅 Resumen Diario'!$C$5:$C$504, D1980) * (SUMIFS('📋 Detalle Diario'!$E$5:$E$489, '📋 Detalle Diario'!$B$5:$B$489, B1980, '📋 Detalle Diario'!$C$5:$C$489, D1980) * 135 + SUMIFS('📋 Detalle Diario'!$I$5:$I$489, '📋 Detalle Diario'!$B$5:$B$489, B1980, '📋 Detalle Diario'!$C$5:$C$489, D1980) * 200), 0))</f>
        <v/>
      </c>
      <c r="P1980" s="32" t="str">
        <f t="shared" si="215"/>
        <v/>
      </c>
      <c r="Q1980" s="33" t="str">
        <f t="shared" si="216"/>
        <v/>
      </c>
    </row>
    <row r="1981" spans="2:17" ht="18" customHeight="1" x14ac:dyDescent="0.3">
      <c r="B1981" s="26"/>
      <c r="C1981" s="28"/>
      <c r="D1981" s="27"/>
      <c r="E1981" s="29"/>
      <c r="F1981" s="29"/>
      <c r="G1981" s="29"/>
      <c r="H1981" s="30" t="str">
        <f t="shared" si="210"/>
        <v/>
      </c>
      <c r="I1981" s="31" t="str">
        <f>IF(OR(B1981="",C1981=""),"",IFERROR(E1981*IF(E1981="",0,VLOOKUP(C1981,'📦 Precios Proforma'!$B$5:$D$104,IF(D1981="DIA",2,3),FALSE)),0))</f>
        <v/>
      </c>
      <c r="J1981" s="31" t="str">
        <f t="shared" si="211"/>
        <v/>
      </c>
      <c r="K1981" s="31" t="str">
        <f t="shared" si="212"/>
        <v/>
      </c>
      <c r="L1981" s="31" t="str">
        <f>IF(OR(B1981="",C1981=""),"",IFERROR(E1981 / SUMIFS('📅 Resumen Diario'!$D$5:$D$504, '📅 Resumen Diario'!$B$5:$B$504, B1981, '📅 Resumen Diario'!$C$5:$C$504, D1981) * SUMIFS('📅 Resumen Diario'!$K$5:$K$504, '📅 Resumen Diario'!$B$5:$B$504, B1981, '📅 Resumen Diario'!$C$5:$C$504, D1981), 0))</f>
        <v/>
      </c>
      <c r="M1981" s="31" t="str">
        <f t="shared" si="213"/>
        <v/>
      </c>
      <c r="N1981" s="31" t="str">
        <f t="shared" si="214"/>
        <v/>
      </c>
      <c r="O1981" s="31" t="str">
        <f>IF(OR(B1981="",C1981=""),"",K1981-N1981 + IFERROR(E1981 / SUMIFS('📅 Resumen Diario'!$D$5:$D$504, '📅 Resumen Diario'!$B$5:$B$504, B1981, '📅 Resumen Diario'!$C$5:$C$504, D1981) * (SUMIFS('📋 Detalle Diario'!$E$5:$E$489, '📋 Detalle Diario'!$B$5:$B$489, B1981, '📋 Detalle Diario'!$C$5:$C$489, D1981) * 135 + SUMIFS('📋 Detalle Diario'!$I$5:$I$489, '📋 Detalle Diario'!$B$5:$B$489, B1981, '📋 Detalle Diario'!$C$5:$C$489, D1981) * 200), 0))</f>
        <v/>
      </c>
      <c r="P1981" s="32" t="str">
        <f t="shared" si="215"/>
        <v/>
      </c>
      <c r="Q1981" s="33" t="str">
        <f t="shared" si="216"/>
        <v/>
      </c>
    </row>
    <row r="1982" spans="2:17" ht="18" customHeight="1" x14ac:dyDescent="0.3">
      <c r="B1982" s="26"/>
      <c r="C1982" s="17"/>
      <c r="D1982" s="27"/>
      <c r="E1982" s="18"/>
      <c r="F1982" s="18"/>
      <c r="G1982" s="18"/>
      <c r="H1982" s="30" t="str">
        <f t="shared" si="210"/>
        <v/>
      </c>
      <c r="I1982" s="31" t="str">
        <f>IF(OR(B1982="",C1982=""),"",IFERROR(E1982*IF(E1982="",0,VLOOKUP(C1982,'📦 Precios Proforma'!$B$5:$D$104,IF(D1982="DIA",2,3),FALSE)),0))</f>
        <v/>
      </c>
      <c r="J1982" s="31" t="str">
        <f t="shared" si="211"/>
        <v/>
      </c>
      <c r="K1982" s="31" t="str">
        <f t="shared" si="212"/>
        <v/>
      </c>
      <c r="L1982" s="31" t="str">
        <f>IF(OR(B1982="",C1982=""),"",IFERROR(E1982 / SUMIFS('📅 Resumen Diario'!$D$5:$D$504, '📅 Resumen Diario'!$B$5:$B$504, B1982, '📅 Resumen Diario'!$C$5:$C$504, D1982) * SUMIFS('📅 Resumen Diario'!$K$5:$K$504, '📅 Resumen Diario'!$B$5:$B$504, B1982, '📅 Resumen Diario'!$C$5:$C$504, D1982), 0))</f>
        <v/>
      </c>
      <c r="M1982" s="31" t="str">
        <f t="shared" si="213"/>
        <v/>
      </c>
      <c r="N1982" s="31" t="str">
        <f t="shared" si="214"/>
        <v/>
      </c>
      <c r="O1982" s="31" t="str">
        <f>IF(OR(B1982="",C1982=""),"",K1982-N1982 + IFERROR(E1982 / SUMIFS('📅 Resumen Diario'!$D$5:$D$504, '📅 Resumen Diario'!$B$5:$B$504, B1982, '📅 Resumen Diario'!$C$5:$C$504, D1982) * (SUMIFS('📋 Detalle Diario'!$E$5:$E$489, '📋 Detalle Diario'!$B$5:$B$489, B1982, '📋 Detalle Diario'!$C$5:$C$489, D1982) * 135 + SUMIFS('📋 Detalle Diario'!$I$5:$I$489, '📋 Detalle Diario'!$B$5:$B$489, B1982, '📋 Detalle Diario'!$C$5:$C$489, D1982) * 200), 0))</f>
        <v/>
      </c>
      <c r="P1982" s="32" t="str">
        <f t="shared" si="215"/>
        <v/>
      </c>
      <c r="Q1982" s="33" t="str">
        <f t="shared" si="216"/>
        <v/>
      </c>
    </row>
    <row r="1983" spans="2:17" ht="18" customHeight="1" x14ac:dyDescent="0.3">
      <c r="B1983" s="26"/>
      <c r="C1983" s="28"/>
      <c r="D1983" s="27"/>
      <c r="E1983" s="29"/>
      <c r="F1983" s="29"/>
      <c r="G1983" s="29"/>
      <c r="H1983" s="30" t="str">
        <f t="shared" si="210"/>
        <v/>
      </c>
      <c r="I1983" s="31" t="str">
        <f>IF(OR(B1983="",C1983=""),"",IFERROR(E1983*IF(E1983="",0,VLOOKUP(C1983,'📦 Precios Proforma'!$B$5:$D$104,IF(D1983="DIA",2,3),FALSE)),0))</f>
        <v/>
      </c>
      <c r="J1983" s="31" t="str">
        <f t="shared" si="211"/>
        <v/>
      </c>
      <c r="K1983" s="31" t="str">
        <f t="shared" si="212"/>
        <v/>
      </c>
      <c r="L1983" s="31" t="str">
        <f>IF(OR(B1983="",C1983=""),"",IFERROR(E1983 / SUMIFS('📅 Resumen Diario'!$D$5:$D$504, '📅 Resumen Diario'!$B$5:$B$504, B1983, '📅 Resumen Diario'!$C$5:$C$504, D1983) * SUMIFS('📅 Resumen Diario'!$K$5:$K$504, '📅 Resumen Diario'!$B$5:$B$504, B1983, '📅 Resumen Diario'!$C$5:$C$504, D1983), 0))</f>
        <v/>
      </c>
      <c r="M1983" s="31" t="str">
        <f t="shared" si="213"/>
        <v/>
      </c>
      <c r="N1983" s="31" t="str">
        <f t="shared" si="214"/>
        <v/>
      </c>
      <c r="O1983" s="31" t="str">
        <f>IF(OR(B1983="",C1983=""),"",K1983-N1983 + IFERROR(E1983 / SUMIFS('📅 Resumen Diario'!$D$5:$D$504, '📅 Resumen Diario'!$B$5:$B$504, B1983, '📅 Resumen Diario'!$C$5:$C$504, D1983) * (SUMIFS('📋 Detalle Diario'!$E$5:$E$489, '📋 Detalle Diario'!$B$5:$B$489, B1983, '📋 Detalle Diario'!$C$5:$C$489, D1983) * 135 + SUMIFS('📋 Detalle Diario'!$I$5:$I$489, '📋 Detalle Diario'!$B$5:$B$489, B1983, '📋 Detalle Diario'!$C$5:$C$489, D1983) * 200), 0))</f>
        <v/>
      </c>
      <c r="P1983" s="32" t="str">
        <f t="shared" si="215"/>
        <v/>
      </c>
      <c r="Q1983" s="33" t="str">
        <f t="shared" si="216"/>
        <v/>
      </c>
    </row>
    <row r="1984" spans="2:17" ht="18" customHeight="1" x14ac:dyDescent="0.3">
      <c r="B1984" s="26"/>
      <c r="C1984" s="17"/>
      <c r="D1984" s="27"/>
      <c r="E1984" s="18"/>
      <c r="F1984" s="18"/>
      <c r="G1984" s="18"/>
      <c r="H1984" s="30" t="str">
        <f t="shared" si="210"/>
        <v/>
      </c>
      <c r="I1984" s="31" t="str">
        <f>IF(OR(B1984="",C1984=""),"",IFERROR(E1984*IF(E1984="",0,VLOOKUP(C1984,'📦 Precios Proforma'!$B$5:$D$104,IF(D1984="DIA",2,3),FALSE)),0))</f>
        <v/>
      </c>
      <c r="J1984" s="31" t="str">
        <f t="shared" si="211"/>
        <v/>
      </c>
      <c r="K1984" s="31" t="str">
        <f t="shared" si="212"/>
        <v/>
      </c>
      <c r="L1984" s="31" t="str">
        <f>IF(OR(B1984="",C1984=""),"",IFERROR(E1984 / SUMIFS('📅 Resumen Diario'!$D$5:$D$504, '📅 Resumen Diario'!$B$5:$B$504, B1984, '📅 Resumen Diario'!$C$5:$C$504, D1984) * SUMIFS('📅 Resumen Diario'!$K$5:$K$504, '📅 Resumen Diario'!$B$5:$B$504, B1984, '📅 Resumen Diario'!$C$5:$C$504, D1984), 0))</f>
        <v/>
      </c>
      <c r="M1984" s="31" t="str">
        <f t="shared" si="213"/>
        <v/>
      </c>
      <c r="N1984" s="31" t="str">
        <f t="shared" si="214"/>
        <v/>
      </c>
      <c r="O1984" s="31" t="str">
        <f>IF(OR(B1984="",C1984=""),"",K1984-N1984 + IFERROR(E1984 / SUMIFS('📅 Resumen Diario'!$D$5:$D$504, '📅 Resumen Diario'!$B$5:$B$504, B1984, '📅 Resumen Diario'!$C$5:$C$504, D1984) * (SUMIFS('📋 Detalle Diario'!$E$5:$E$489, '📋 Detalle Diario'!$B$5:$B$489, B1984, '📋 Detalle Diario'!$C$5:$C$489, D1984) * 135 + SUMIFS('📋 Detalle Diario'!$I$5:$I$489, '📋 Detalle Diario'!$B$5:$B$489, B1984, '📋 Detalle Diario'!$C$5:$C$489, D1984) * 200), 0))</f>
        <v/>
      </c>
      <c r="P1984" s="32" t="str">
        <f t="shared" si="215"/>
        <v/>
      </c>
      <c r="Q1984" s="33" t="str">
        <f t="shared" si="216"/>
        <v/>
      </c>
    </row>
    <row r="1985" spans="2:17" ht="18" customHeight="1" x14ac:dyDescent="0.3">
      <c r="B1985" s="26"/>
      <c r="C1985" s="28"/>
      <c r="D1985" s="27"/>
      <c r="E1985" s="29"/>
      <c r="F1985" s="29"/>
      <c r="G1985" s="29"/>
      <c r="H1985" s="30" t="str">
        <f t="shared" si="210"/>
        <v/>
      </c>
      <c r="I1985" s="31" t="str">
        <f>IF(OR(B1985="",C1985=""),"",IFERROR(E1985*IF(E1985="",0,VLOOKUP(C1985,'📦 Precios Proforma'!$B$5:$D$104,IF(D1985="DIA",2,3),FALSE)),0))</f>
        <v/>
      </c>
      <c r="J1985" s="31" t="str">
        <f t="shared" si="211"/>
        <v/>
      </c>
      <c r="K1985" s="31" t="str">
        <f t="shared" si="212"/>
        <v/>
      </c>
      <c r="L1985" s="31" t="str">
        <f>IF(OR(B1985="",C1985=""),"",IFERROR(E1985 / SUMIFS('📅 Resumen Diario'!$D$5:$D$504, '📅 Resumen Diario'!$B$5:$B$504, B1985, '📅 Resumen Diario'!$C$5:$C$504, D1985) * SUMIFS('📅 Resumen Diario'!$K$5:$K$504, '📅 Resumen Diario'!$B$5:$B$504, B1985, '📅 Resumen Diario'!$C$5:$C$504, D1985), 0))</f>
        <v/>
      </c>
      <c r="M1985" s="31" t="str">
        <f t="shared" si="213"/>
        <v/>
      </c>
      <c r="N1985" s="31" t="str">
        <f t="shared" si="214"/>
        <v/>
      </c>
      <c r="O1985" s="31" t="str">
        <f>IF(OR(B1985="",C1985=""),"",K1985-N1985 + IFERROR(E1985 / SUMIFS('📅 Resumen Diario'!$D$5:$D$504, '📅 Resumen Diario'!$B$5:$B$504, B1985, '📅 Resumen Diario'!$C$5:$C$504, D1985) * (SUMIFS('📋 Detalle Diario'!$E$5:$E$489, '📋 Detalle Diario'!$B$5:$B$489, B1985, '📋 Detalle Diario'!$C$5:$C$489, D1985) * 135 + SUMIFS('📋 Detalle Diario'!$I$5:$I$489, '📋 Detalle Diario'!$B$5:$B$489, B1985, '📋 Detalle Diario'!$C$5:$C$489, D1985) * 200), 0))</f>
        <v/>
      </c>
      <c r="P1985" s="32" t="str">
        <f t="shared" si="215"/>
        <v/>
      </c>
      <c r="Q1985" s="33" t="str">
        <f t="shared" si="216"/>
        <v/>
      </c>
    </row>
    <row r="1986" spans="2:17" ht="18" customHeight="1" x14ac:dyDescent="0.3">
      <c r="B1986" s="26"/>
      <c r="C1986" s="17"/>
      <c r="D1986" s="27"/>
      <c r="E1986" s="18"/>
      <c r="F1986" s="18"/>
      <c r="G1986" s="18"/>
      <c r="H1986" s="30" t="str">
        <f t="shared" si="210"/>
        <v/>
      </c>
      <c r="I1986" s="31" t="str">
        <f>IF(OR(B1986="",C1986=""),"",IFERROR(E1986*IF(E1986="",0,VLOOKUP(C1986,'📦 Precios Proforma'!$B$5:$D$104,IF(D1986="DIA",2,3),FALSE)),0))</f>
        <v/>
      </c>
      <c r="J1986" s="31" t="str">
        <f t="shared" si="211"/>
        <v/>
      </c>
      <c r="K1986" s="31" t="str">
        <f t="shared" si="212"/>
        <v/>
      </c>
      <c r="L1986" s="31" t="str">
        <f>IF(OR(B1986="",C1986=""),"",IFERROR(E1986 / SUMIFS('📅 Resumen Diario'!$D$5:$D$504, '📅 Resumen Diario'!$B$5:$B$504, B1986, '📅 Resumen Diario'!$C$5:$C$504, D1986) * SUMIFS('📅 Resumen Diario'!$K$5:$K$504, '📅 Resumen Diario'!$B$5:$B$504, B1986, '📅 Resumen Diario'!$C$5:$C$504, D1986), 0))</f>
        <v/>
      </c>
      <c r="M1986" s="31" t="str">
        <f t="shared" si="213"/>
        <v/>
      </c>
      <c r="N1986" s="31" t="str">
        <f t="shared" si="214"/>
        <v/>
      </c>
      <c r="O1986" s="31" t="str">
        <f>IF(OR(B1986="",C1986=""),"",K1986-N1986 + IFERROR(E1986 / SUMIFS('📅 Resumen Diario'!$D$5:$D$504, '📅 Resumen Diario'!$B$5:$B$504, B1986, '📅 Resumen Diario'!$C$5:$C$504, D1986) * (SUMIFS('📋 Detalle Diario'!$E$5:$E$489, '📋 Detalle Diario'!$B$5:$B$489, B1986, '📋 Detalle Diario'!$C$5:$C$489, D1986) * 135 + SUMIFS('📋 Detalle Diario'!$I$5:$I$489, '📋 Detalle Diario'!$B$5:$B$489, B1986, '📋 Detalle Diario'!$C$5:$C$489, D1986) * 200), 0))</f>
        <v/>
      </c>
      <c r="P1986" s="32" t="str">
        <f t="shared" si="215"/>
        <v/>
      </c>
      <c r="Q1986" s="33" t="str">
        <f t="shared" si="216"/>
        <v/>
      </c>
    </row>
    <row r="1987" spans="2:17" ht="18" customHeight="1" x14ac:dyDescent="0.3">
      <c r="B1987" s="26"/>
      <c r="C1987" s="28"/>
      <c r="D1987" s="27"/>
      <c r="E1987" s="29"/>
      <c r="F1987" s="29"/>
      <c r="G1987" s="29"/>
      <c r="H1987" s="30" t="str">
        <f t="shared" si="210"/>
        <v/>
      </c>
      <c r="I1987" s="31" t="str">
        <f>IF(OR(B1987="",C1987=""),"",IFERROR(E1987*IF(E1987="",0,VLOOKUP(C1987,'📦 Precios Proforma'!$B$5:$D$104,IF(D1987="DIA",2,3),FALSE)),0))</f>
        <v/>
      </c>
      <c r="J1987" s="31" t="str">
        <f t="shared" si="211"/>
        <v/>
      </c>
      <c r="K1987" s="31" t="str">
        <f t="shared" si="212"/>
        <v/>
      </c>
      <c r="L1987" s="31" t="str">
        <f>IF(OR(B1987="",C1987=""),"",IFERROR(E1987 / SUMIFS('📅 Resumen Diario'!$D$5:$D$504, '📅 Resumen Diario'!$B$5:$B$504, B1987, '📅 Resumen Diario'!$C$5:$C$504, D1987) * SUMIFS('📅 Resumen Diario'!$K$5:$K$504, '📅 Resumen Diario'!$B$5:$B$504, B1987, '📅 Resumen Diario'!$C$5:$C$504, D1987), 0))</f>
        <v/>
      </c>
      <c r="M1987" s="31" t="str">
        <f t="shared" si="213"/>
        <v/>
      </c>
      <c r="N1987" s="31" t="str">
        <f t="shared" si="214"/>
        <v/>
      </c>
      <c r="O1987" s="31" t="str">
        <f>IF(OR(B1987="",C1987=""),"",K1987-N1987 + IFERROR(E1987 / SUMIFS('📅 Resumen Diario'!$D$5:$D$504, '📅 Resumen Diario'!$B$5:$B$504, B1987, '📅 Resumen Diario'!$C$5:$C$504, D1987) * (SUMIFS('📋 Detalle Diario'!$E$5:$E$489, '📋 Detalle Diario'!$B$5:$B$489, B1987, '📋 Detalle Diario'!$C$5:$C$489, D1987) * 135 + SUMIFS('📋 Detalle Diario'!$I$5:$I$489, '📋 Detalle Diario'!$B$5:$B$489, B1987, '📋 Detalle Diario'!$C$5:$C$489, D1987) * 200), 0))</f>
        <v/>
      </c>
      <c r="P1987" s="32" t="str">
        <f t="shared" si="215"/>
        <v/>
      </c>
      <c r="Q1987" s="33" t="str">
        <f t="shared" si="216"/>
        <v/>
      </c>
    </row>
    <row r="1988" spans="2:17" ht="18" customHeight="1" x14ac:dyDescent="0.3">
      <c r="B1988" s="26"/>
      <c r="C1988" s="17"/>
      <c r="D1988" s="27"/>
      <c r="E1988" s="18"/>
      <c r="F1988" s="18"/>
      <c r="G1988" s="18"/>
      <c r="H1988" s="30" t="str">
        <f t="shared" si="210"/>
        <v/>
      </c>
      <c r="I1988" s="31" t="str">
        <f>IF(OR(B1988="",C1988=""),"",IFERROR(E1988*IF(E1988="",0,VLOOKUP(C1988,'📦 Precios Proforma'!$B$5:$D$104,IF(D1988="DIA",2,3),FALSE)),0))</f>
        <v/>
      </c>
      <c r="J1988" s="31" t="str">
        <f t="shared" si="211"/>
        <v/>
      </c>
      <c r="K1988" s="31" t="str">
        <f t="shared" si="212"/>
        <v/>
      </c>
      <c r="L1988" s="31" t="str">
        <f>IF(OR(B1988="",C1988=""),"",IFERROR(E1988 / SUMIFS('📅 Resumen Diario'!$D$5:$D$504, '📅 Resumen Diario'!$B$5:$B$504, B1988, '📅 Resumen Diario'!$C$5:$C$504, D1988) * SUMIFS('📅 Resumen Diario'!$K$5:$K$504, '📅 Resumen Diario'!$B$5:$B$504, B1988, '📅 Resumen Diario'!$C$5:$C$504, D1988), 0))</f>
        <v/>
      </c>
      <c r="M1988" s="31" t="str">
        <f t="shared" si="213"/>
        <v/>
      </c>
      <c r="N1988" s="31" t="str">
        <f t="shared" si="214"/>
        <v/>
      </c>
      <c r="O1988" s="31" t="str">
        <f>IF(OR(B1988="",C1988=""),"",K1988-N1988 + IFERROR(E1988 / SUMIFS('📅 Resumen Diario'!$D$5:$D$504, '📅 Resumen Diario'!$B$5:$B$504, B1988, '📅 Resumen Diario'!$C$5:$C$504, D1988) * (SUMIFS('📋 Detalle Diario'!$E$5:$E$489, '📋 Detalle Diario'!$B$5:$B$489, B1988, '📋 Detalle Diario'!$C$5:$C$489, D1988) * 135 + SUMIFS('📋 Detalle Diario'!$I$5:$I$489, '📋 Detalle Diario'!$B$5:$B$489, B1988, '📋 Detalle Diario'!$C$5:$C$489, D1988) * 200), 0))</f>
        <v/>
      </c>
      <c r="P1988" s="32" t="str">
        <f t="shared" si="215"/>
        <v/>
      </c>
      <c r="Q1988" s="33" t="str">
        <f t="shared" si="216"/>
        <v/>
      </c>
    </row>
    <row r="1989" spans="2:17" ht="18" customHeight="1" x14ac:dyDescent="0.3">
      <c r="B1989" s="26"/>
      <c r="C1989" s="28"/>
      <c r="D1989" s="27"/>
      <c r="E1989" s="29"/>
      <c r="F1989" s="29"/>
      <c r="G1989" s="29"/>
      <c r="H1989" s="30" t="str">
        <f t="shared" si="210"/>
        <v/>
      </c>
      <c r="I1989" s="31" t="str">
        <f>IF(OR(B1989="",C1989=""),"",IFERROR(E1989*IF(E1989="",0,VLOOKUP(C1989,'📦 Precios Proforma'!$B$5:$D$104,IF(D1989="DIA",2,3),FALSE)),0))</f>
        <v/>
      </c>
      <c r="J1989" s="31" t="str">
        <f t="shared" si="211"/>
        <v/>
      </c>
      <c r="K1989" s="31" t="str">
        <f t="shared" si="212"/>
        <v/>
      </c>
      <c r="L1989" s="31" t="str">
        <f>IF(OR(B1989="",C1989=""),"",IFERROR(E1989 / SUMIFS('📅 Resumen Diario'!$D$5:$D$504, '📅 Resumen Diario'!$B$5:$B$504, B1989, '📅 Resumen Diario'!$C$5:$C$504, D1989) * SUMIFS('📅 Resumen Diario'!$K$5:$K$504, '📅 Resumen Diario'!$B$5:$B$504, B1989, '📅 Resumen Diario'!$C$5:$C$504, D1989), 0))</f>
        <v/>
      </c>
      <c r="M1989" s="31" t="str">
        <f t="shared" si="213"/>
        <v/>
      </c>
      <c r="N1989" s="31" t="str">
        <f t="shared" si="214"/>
        <v/>
      </c>
      <c r="O1989" s="31" t="str">
        <f>IF(OR(B1989="",C1989=""),"",K1989-N1989 + IFERROR(E1989 / SUMIFS('📅 Resumen Diario'!$D$5:$D$504, '📅 Resumen Diario'!$B$5:$B$504, B1989, '📅 Resumen Diario'!$C$5:$C$504, D1989) * (SUMIFS('📋 Detalle Diario'!$E$5:$E$489, '📋 Detalle Diario'!$B$5:$B$489, B1989, '📋 Detalle Diario'!$C$5:$C$489, D1989) * 135 + SUMIFS('📋 Detalle Diario'!$I$5:$I$489, '📋 Detalle Diario'!$B$5:$B$489, B1989, '📋 Detalle Diario'!$C$5:$C$489, D1989) * 200), 0))</f>
        <v/>
      </c>
      <c r="P1989" s="32" t="str">
        <f t="shared" si="215"/>
        <v/>
      </c>
      <c r="Q1989" s="33" t="str">
        <f t="shared" si="216"/>
        <v/>
      </c>
    </row>
    <row r="1990" spans="2:17" ht="18" customHeight="1" x14ac:dyDescent="0.3">
      <c r="B1990" s="26"/>
      <c r="C1990" s="17"/>
      <c r="D1990" s="27"/>
      <c r="E1990" s="18"/>
      <c r="F1990" s="18"/>
      <c r="G1990" s="18"/>
      <c r="H1990" s="30" t="str">
        <f t="shared" si="210"/>
        <v/>
      </c>
      <c r="I1990" s="31" t="str">
        <f>IF(OR(B1990="",C1990=""),"",IFERROR(E1990*IF(E1990="",0,VLOOKUP(C1990,'📦 Precios Proforma'!$B$5:$D$104,IF(D1990="DIA",2,3),FALSE)),0))</f>
        <v/>
      </c>
      <c r="J1990" s="31" t="str">
        <f t="shared" si="211"/>
        <v/>
      </c>
      <c r="K1990" s="31" t="str">
        <f t="shared" si="212"/>
        <v/>
      </c>
      <c r="L1990" s="31" t="str">
        <f>IF(OR(B1990="",C1990=""),"",IFERROR(E1990 / SUMIFS('📅 Resumen Diario'!$D$5:$D$504, '📅 Resumen Diario'!$B$5:$B$504, B1990, '📅 Resumen Diario'!$C$5:$C$504, D1990) * SUMIFS('📅 Resumen Diario'!$K$5:$K$504, '📅 Resumen Diario'!$B$5:$B$504, B1990, '📅 Resumen Diario'!$C$5:$C$504, D1990), 0))</f>
        <v/>
      </c>
      <c r="M1990" s="31" t="str">
        <f t="shared" si="213"/>
        <v/>
      </c>
      <c r="N1990" s="31" t="str">
        <f t="shared" si="214"/>
        <v/>
      </c>
      <c r="O1990" s="31" t="str">
        <f>IF(OR(B1990="",C1990=""),"",K1990-N1990 + IFERROR(E1990 / SUMIFS('📅 Resumen Diario'!$D$5:$D$504, '📅 Resumen Diario'!$B$5:$B$504, B1990, '📅 Resumen Diario'!$C$5:$C$504, D1990) * (SUMIFS('📋 Detalle Diario'!$E$5:$E$489, '📋 Detalle Diario'!$B$5:$B$489, B1990, '📋 Detalle Diario'!$C$5:$C$489, D1990) * 135 + SUMIFS('📋 Detalle Diario'!$I$5:$I$489, '📋 Detalle Diario'!$B$5:$B$489, B1990, '📋 Detalle Diario'!$C$5:$C$489, D1990) * 200), 0))</f>
        <v/>
      </c>
      <c r="P1990" s="32" t="str">
        <f t="shared" si="215"/>
        <v/>
      </c>
      <c r="Q1990" s="33" t="str">
        <f t="shared" si="216"/>
        <v/>
      </c>
    </row>
    <row r="1991" spans="2:17" ht="18" customHeight="1" x14ac:dyDescent="0.3">
      <c r="B1991" s="26"/>
      <c r="C1991" s="28"/>
      <c r="D1991" s="27"/>
      <c r="E1991" s="29"/>
      <c r="F1991" s="29"/>
      <c r="G1991" s="29"/>
      <c r="H1991" s="30" t="str">
        <f t="shared" ref="H1991:H2054" si="217">IF(OR(B1991="",C1991=""),"",F1991+G1991)</f>
        <v/>
      </c>
      <c r="I1991" s="31" t="str">
        <f>IF(OR(B1991="",C1991=""),"",IFERROR(E1991*IF(E1991="",0,VLOOKUP(C1991,'📦 Precios Proforma'!$B$5:$D$104,IF(D1991="DIA",2,3),FALSE)),0))</f>
        <v/>
      </c>
      <c r="J1991" s="31" t="str">
        <f t="shared" ref="J1991:J2054" si="218">IF(OR(B1991="",C1991=""),"",IF(D1991="DIA",H1991*1.01,H1991*1.35))</f>
        <v/>
      </c>
      <c r="K1991" s="31" t="str">
        <f t="shared" ref="K1991:K2054" si="219">IF(OR(B1991="",C1991=""),"",I1991+J1991)</f>
        <v/>
      </c>
      <c r="L1991" s="31" t="str">
        <f>IF(OR(B1991="",C1991=""),"",IFERROR(E1991 / SUMIFS('📅 Resumen Diario'!$D$5:$D$504, '📅 Resumen Diario'!$B$5:$B$504, B1991, '📅 Resumen Diario'!$C$5:$C$504, D1991) * SUMIFS('📅 Resumen Diario'!$K$5:$K$504, '📅 Resumen Diario'!$B$5:$B$504, B1991, '📅 Resumen Diario'!$C$5:$C$504, D1991), 0))</f>
        <v/>
      </c>
      <c r="M1991" s="31" t="str">
        <f t="shared" ref="M1991:M2054" si="220">IF(OR(B1991="",C1991=""),"",H1991*0.09)</f>
        <v/>
      </c>
      <c r="N1991" s="31" t="str">
        <f t="shared" ref="N1991:N2054" si="221">IF(OR(B1991="",C1991=""),"",L1991+M1991)</f>
        <v/>
      </c>
      <c r="O1991" s="31" t="str">
        <f>IF(OR(B1991="",C1991=""),"",K1991-N1991 + IFERROR(E1991 / SUMIFS('📅 Resumen Diario'!$D$5:$D$504, '📅 Resumen Diario'!$B$5:$B$504, B1991, '📅 Resumen Diario'!$C$5:$C$504, D1991) * (SUMIFS('📋 Detalle Diario'!$E$5:$E$489, '📋 Detalle Diario'!$B$5:$B$489, B1991, '📋 Detalle Diario'!$C$5:$C$489, D1991) * 135 + SUMIFS('📋 Detalle Diario'!$I$5:$I$489, '📋 Detalle Diario'!$B$5:$B$489, B1991, '📋 Detalle Diario'!$C$5:$C$489, D1991) * 200), 0))</f>
        <v/>
      </c>
      <c r="P1991" s="32" t="str">
        <f t="shared" ref="P1991:P2054" si="222">IF(OR(B1991="",C1991=""),"",IF(K1991=0, 0, O1991/K1991))</f>
        <v/>
      </c>
      <c r="Q1991" s="33" t="str">
        <f t="shared" ref="Q1991:Q2054" si="223">IF(B1991="","",IF(ISNUMBER(B1991),YEAR(B1991)&amp;"-"&amp;IF(MONTH(B1991)&lt;10,"0","")&amp;MONTH(B1991),LEFT(B1991,7)))</f>
        <v/>
      </c>
    </row>
    <row r="1992" spans="2:17" ht="18" customHeight="1" x14ac:dyDescent="0.3">
      <c r="B1992" s="26"/>
      <c r="C1992" s="17"/>
      <c r="D1992" s="27"/>
      <c r="E1992" s="18"/>
      <c r="F1992" s="18"/>
      <c r="G1992" s="18"/>
      <c r="H1992" s="30" t="str">
        <f t="shared" si="217"/>
        <v/>
      </c>
      <c r="I1992" s="31" t="str">
        <f>IF(OR(B1992="",C1992=""),"",IFERROR(E1992*IF(E1992="",0,VLOOKUP(C1992,'📦 Precios Proforma'!$B$5:$D$104,IF(D1992="DIA",2,3),FALSE)),0))</f>
        <v/>
      </c>
      <c r="J1992" s="31" t="str">
        <f t="shared" si="218"/>
        <v/>
      </c>
      <c r="K1992" s="31" t="str">
        <f t="shared" si="219"/>
        <v/>
      </c>
      <c r="L1992" s="31" t="str">
        <f>IF(OR(B1992="",C1992=""),"",IFERROR(E1992 / SUMIFS('📅 Resumen Diario'!$D$5:$D$504, '📅 Resumen Diario'!$B$5:$B$504, B1992, '📅 Resumen Diario'!$C$5:$C$504, D1992) * SUMIFS('📅 Resumen Diario'!$K$5:$K$504, '📅 Resumen Diario'!$B$5:$B$504, B1992, '📅 Resumen Diario'!$C$5:$C$504, D1992), 0))</f>
        <v/>
      </c>
      <c r="M1992" s="31" t="str">
        <f t="shared" si="220"/>
        <v/>
      </c>
      <c r="N1992" s="31" t="str">
        <f t="shared" si="221"/>
        <v/>
      </c>
      <c r="O1992" s="31" t="str">
        <f>IF(OR(B1992="",C1992=""),"",K1992-N1992 + IFERROR(E1992 / SUMIFS('📅 Resumen Diario'!$D$5:$D$504, '📅 Resumen Diario'!$B$5:$B$504, B1992, '📅 Resumen Diario'!$C$5:$C$504, D1992) * (SUMIFS('📋 Detalle Diario'!$E$5:$E$489, '📋 Detalle Diario'!$B$5:$B$489, B1992, '📋 Detalle Diario'!$C$5:$C$489, D1992) * 135 + SUMIFS('📋 Detalle Diario'!$I$5:$I$489, '📋 Detalle Diario'!$B$5:$B$489, B1992, '📋 Detalle Diario'!$C$5:$C$489, D1992) * 200), 0))</f>
        <v/>
      </c>
      <c r="P1992" s="32" t="str">
        <f t="shared" si="222"/>
        <v/>
      </c>
      <c r="Q1992" s="33" t="str">
        <f t="shared" si="223"/>
        <v/>
      </c>
    </row>
    <row r="1993" spans="2:17" ht="18" customHeight="1" x14ac:dyDescent="0.3">
      <c r="B1993" s="26"/>
      <c r="C1993" s="28"/>
      <c r="D1993" s="27"/>
      <c r="E1993" s="29"/>
      <c r="F1993" s="29"/>
      <c r="G1993" s="29"/>
      <c r="H1993" s="30" t="str">
        <f t="shared" si="217"/>
        <v/>
      </c>
      <c r="I1993" s="31" t="str">
        <f>IF(OR(B1993="",C1993=""),"",IFERROR(E1993*IF(E1993="",0,VLOOKUP(C1993,'📦 Precios Proforma'!$B$5:$D$104,IF(D1993="DIA",2,3),FALSE)),0))</f>
        <v/>
      </c>
      <c r="J1993" s="31" t="str">
        <f t="shared" si="218"/>
        <v/>
      </c>
      <c r="K1993" s="31" t="str">
        <f t="shared" si="219"/>
        <v/>
      </c>
      <c r="L1993" s="31" t="str">
        <f>IF(OR(B1993="",C1993=""),"",IFERROR(E1993 / SUMIFS('📅 Resumen Diario'!$D$5:$D$504, '📅 Resumen Diario'!$B$5:$B$504, B1993, '📅 Resumen Diario'!$C$5:$C$504, D1993) * SUMIFS('📅 Resumen Diario'!$K$5:$K$504, '📅 Resumen Diario'!$B$5:$B$504, B1993, '📅 Resumen Diario'!$C$5:$C$504, D1993), 0))</f>
        <v/>
      </c>
      <c r="M1993" s="31" t="str">
        <f t="shared" si="220"/>
        <v/>
      </c>
      <c r="N1993" s="31" t="str">
        <f t="shared" si="221"/>
        <v/>
      </c>
      <c r="O1993" s="31" t="str">
        <f>IF(OR(B1993="",C1993=""),"",K1993-N1993 + IFERROR(E1993 / SUMIFS('📅 Resumen Diario'!$D$5:$D$504, '📅 Resumen Diario'!$B$5:$B$504, B1993, '📅 Resumen Diario'!$C$5:$C$504, D1993) * (SUMIFS('📋 Detalle Diario'!$E$5:$E$489, '📋 Detalle Diario'!$B$5:$B$489, B1993, '📋 Detalle Diario'!$C$5:$C$489, D1993) * 135 + SUMIFS('📋 Detalle Diario'!$I$5:$I$489, '📋 Detalle Diario'!$B$5:$B$489, B1993, '📋 Detalle Diario'!$C$5:$C$489, D1993) * 200), 0))</f>
        <v/>
      </c>
      <c r="P1993" s="32" t="str">
        <f t="shared" si="222"/>
        <v/>
      </c>
      <c r="Q1993" s="33" t="str">
        <f t="shared" si="223"/>
        <v/>
      </c>
    </row>
    <row r="1994" spans="2:17" ht="18" customHeight="1" x14ac:dyDescent="0.3">
      <c r="B1994" s="26"/>
      <c r="C1994" s="17"/>
      <c r="D1994" s="27"/>
      <c r="E1994" s="18"/>
      <c r="F1994" s="18"/>
      <c r="G1994" s="18"/>
      <c r="H1994" s="30" t="str">
        <f t="shared" si="217"/>
        <v/>
      </c>
      <c r="I1994" s="31" t="str">
        <f>IF(OR(B1994="",C1994=""),"",IFERROR(E1994*IF(E1994="",0,VLOOKUP(C1994,'📦 Precios Proforma'!$B$5:$D$104,IF(D1994="DIA",2,3),FALSE)),0))</f>
        <v/>
      </c>
      <c r="J1994" s="31" t="str">
        <f t="shared" si="218"/>
        <v/>
      </c>
      <c r="K1994" s="31" t="str">
        <f t="shared" si="219"/>
        <v/>
      </c>
      <c r="L1994" s="31" t="str">
        <f>IF(OR(B1994="",C1994=""),"",IFERROR(E1994 / SUMIFS('📅 Resumen Diario'!$D$5:$D$504, '📅 Resumen Diario'!$B$5:$B$504, B1994, '📅 Resumen Diario'!$C$5:$C$504, D1994) * SUMIFS('📅 Resumen Diario'!$K$5:$K$504, '📅 Resumen Diario'!$B$5:$B$504, B1994, '📅 Resumen Diario'!$C$5:$C$504, D1994), 0))</f>
        <v/>
      </c>
      <c r="M1994" s="31" t="str">
        <f t="shared" si="220"/>
        <v/>
      </c>
      <c r="N1994" s="31" t="str">
        <f t="shared" si="221"/>
        <v/>
      </c>
      <c r="O1994" s="31" t="str">
        <f>IF(OR(B1994="",C1994=""),"",K1994-N1994 + IFERROR(E1994 / SUMIFS('📅 Resumen Diario'!$D$5:$D$504, '📅 Resumen Diario'!$B$5:$B$504, B1994, '📅 Resumen Diario'!$C$5:$C$504, D1994) * (SUMIFS('📋 Detalle Diario'!$E$5:$E$489, '📋 Detalle Diario'!$B$5:$B$489, B1994, '📋 Detalle Diario'!$C$5:$C$489, D1994) * 135 + SUMIFS('📋 Detalle Diario'!$I$5:$I$489, '📋 Detalle Diario'!$B$5:$B$489, B1994, '📋 Detalle Diario'!$C$5:$C$489, D1994) * 200), 0))</f>
        <v/>
      </c>
      <c r="P1994" s="32" t="str">
        <f t="shared" si="222"/>
        <v/>
      </c>
      <c r="Q1994" s="33" t="str">
        <f t="shared" si="223"/>
        <v/>
      </c>
    </row>
    <row r="1995" spans="2:17" ht="18" customHeight="1" x14ac:dyDescent="0.3">
      <c r="B1995" s="26"/>
      <c r="C1995" s="28"/>
      <c r="D1995" s="27"/>
      <c r="E1995" s="29"/>
      <c r="F1995" s="29"/>
      <c r="G1995" s="29"/>
      <c r="H1995" s="30" t="str">
        <f t="shared" si="217"/>
        <v/>
      </c>
      <c r="I1995" s="31" t="str">
        <f>IF(OR(B1995="",C1995=""),"",IFERROR(E1995*IF(E1995="",0,VLOOKUP(C1995,'📦 Precios Proforma'!$B$5:$D$104,IF(D1995="DIA",2,3),FALSE)),0))</f>
        <v/>
      </c>
      <c r="J1995" s="31" t="str">
        <f t="shared" si="218"/>
        <v/>
      </c>
      <c r="K1995" s="31" t="str">
        <f t="shared" si="219"/>
        <v/>
      </c>
      <c r="L1995" s="31" t="str">
        <f>IF(OR(B1995="",C1995=""),"",IFERROR(E1995 / SUMIFS('📅 Resumen Diario'!$D$5:$D$504, '📅 Resumen Diario'!$B$5:$B$504, B1995, '📅 Resumen Diario'!$C$5:$C$504, D1995) * SUMIFS('📅 Resumen Diario'!$K$5:$K$504, '📅 Resumen Diario'!$B$5:$B$504, B1995, '📅 Resumen Diario'!$C$5:$C$504, D1995), 0))</f>
        <v/>
      </c>
      <c r="M1995" s="31" t="str">
        <f t="shared" si="220"/>
        <v/>
      </c>
      <c r="N1995" s="31" t="str">
        <f t="shared" si="221"/>
        <v/>
      </c>
      <c r="O1995" s="31" t="str">
        <f>IF(OR(B1995="",C1995=""),"",K1995-N1995 + IFERROR(E1995 / SUMIFS('📅 Resumen Diario'!$D$5:$D$504, '📅 Resumen Diario'!$B$5:$B$504, B1995, '📅 Resumen Diario'!$C$5:$C$504, D1995) * (SUMIFS('📋 Detalle Diario'!$E$5:$E$489, '📋 Detalle Diario'!$B$5:$B$489, B1995, '📋 Detalle Diario'!$C$5:$C$489, D1995) * 135 + SUMIFS('📋 Detalle Diario'!$I$5:$I$489, '📋 Detalle Diario'!$B$5:$B$489, B1995, '📋 Detalle Diario'!$C$5:$C$489, D1995) * 200), 0))</f>
        <v/>
      </c>
      <c r="P1995" s="32" t="str">
        <f t="shared" si="222"/>
        <v/>
      </c>
      <c r="Q1995" s="33" t="str">
        <f t="shared" si="223"/>
        <v/>
      </c>
    </row>
    <row r="1996" spans="2:17" ht="18" customHeight="1" x14ac:dyDescent="0.3">
      <c r="B1996" s="26"/>
      <c r="C1996" s="17"/>
      <c r="D1996" s="27"/>
      <c r="E1996" s="18"/>
      <c r="F1996" s="18"/>
      <c r="G1996" s="18"/>
      <c r="H1996" s="30" t="str">
        <f t="shared" si="217"/>
        <v/>
      </c>
      <c r="I1996" s="31" t="str">
        <f>IF(OR(B1996="",C1996=""),"",IFERROR(E1996*IF(E1996="",0,VLOOKUP(C1996,'📦 Precios Proforma'!$B$5:$D$104,IF(D1996="DIA",2,3),FALSE)),0))</f>
        <v/>
      </c>
      <c r="J1996" s="31" t="str">
        <f t="shared" si="218"/>
        <v/>
      </c>
      <c r="K1996" s="31" t="str">
        <f t="shared" si="219"/>
        <v/>
      </c>
      <c r="L1996" s="31" t="str">
        <f>IF(OR(B1996="",C1996=""),"",IFERROR(E1996 / SUMIFS('📅 Resumen Diario'!$D$5:$D$504, '📅 Resumen Diario'!$B$5:$B$504, B1996, '📅 Resumen Diario'!$C$5:$C$504, D1996) * SUMIFS('📅 Resumen Diario'!$K$5:$K$504, '📅 Resumen Diario'!$B$5:$B$504, B1996, '📅 Resumen Diario'!$C$5:$C$504, D1996), 0))</f>
        <v/>
      </c>
      <c r="M1996" s="31" t="str">
        <f t="shared" si="220"/>
        <v/>
      </c>
      <c r="N1996" s="31" t="str">
        <f t="shared" si="221"/>
        <v/>
      </c>
      <c r="O1996" s="31" t="str">
        <f>IF(OR(B1996="",C1996=""),"",K1996-N1996 + IFERROR(E1996 / SUMIFS('📅 Resumen Diario'!$D$5:$D$504, '📅 Resumen Diario'!$B$5:$B$504, B1996, '📅 Resumen Diario'!$C$5:$C$504, D1996) * (SUMIFS('📋 Detalle Diario'!$E$5:$E$489, '📋 Detalle Diario'!$B$5:$B$489, B1996, '📋 Detalle Diario'!$C$5:$C$489, D1996) * 135 + SUMIFS('📋 Detalle Diario'!$I$5:$I$489, '📋 Detalle Diario'!$B$5:$B$489, B1996, '📋 Detalle Diario'!$C$5:$C$489, D1996) * 200), 0))</f>
        <v/>
      </c>
      <c r="P1996" s="32" t="str">
        <f t="shared" si="222"/>
        <v/>
      </c>
      <c r="Q1996" s="33" t="str">
        <f t="shared" si="223"/>
        <v/>
      </c>
    </row>
    <row r="1997" spans="2:17" ht="18" customHeight="1" x14ac:dyDescent="0.3">
      <c r="B1997" s="26"/>
      <c r="C1997" s="28"/>
      <c r="D1997" s="27"/>
      <c r="E1997" s="29"/>
      <c r="F1997" s="29"/>
      <c r="G1997" s="29"/>
      <c r="H1997" s="30" t="str">
        <f t="shared" si="217"/>
        <v/>
      </c>
      <c r="I1997" s="31" t="str">
        <f>IF(OR(B1997="",C1997=""),"",IFERROR(E1997*IF(E1997="",0,VLOOKUP(C1997,'📦 Precios Proforma'!$B$5:$D$104,IF(D1997="DIA",2,3),FALSE)),0))</f>
        <v/>
      </c>
      <c r="J1997" s="31" t="str">
        <f t="shared" si="218"/>
        <v/>
      </c>
      <c r="K1997" s="31" t="str">
        <f t="shared" si="219"/>
        <v/>
      </c>
      <c r="L1997" s="31" t="str">
        <f>IF(OR(B1997="",C1997=""),"",IFERROR(E1997 / SUMIFS('📅 Resumen Diario'!$D$5:$D$504, '📅 Resumen Diario'!$B$5:$B$504, B1997, '📅 Resumen Diario'!$C$5:$C$504, D1997) * SUMIFS('📅 Resumen Diario'!$K$5:$K$504, '📅 Resumen Diario'!$B$5:$B$504, B1997, '📅 Resumen Diario'!$C$5:$C$504, D1997), 0))</f>
        <v/>
      </c>
      <c r="M1997" s="31" t="str">
        <f t="shared" si="220"/>
        <v/>
      </c>
      <c r="N1997" s="31" t="str">
        <f t="shared" si="221"/>
        <v/>
      </c>
      <c r="O1997" s="31" t="str">
        <f>IF(OR(B1997="",C1997=""),"",K1997-N1997 + IFERROR(E1997 / SUMIFS('📅 Resumen Diario'!$D$5:$D$504, '📅 Resumen Diario'!$B$5:$B$504, B1997, '📅 Resumen Diario'!$C$5:$C$504, D1997) * (SUMIFS('📋 Detalle Diario'!$E$5:$E$489, '📋 Detalle Diario'!$B$5:$B$489, B1997, '📋 Detalle Diario'!$C$5:$C$489, D1997) * 135 + SUMIFS('📋 Detalle Diario'!$I$5:$I$489, '📋 Detalle Diario'!$B$5:$B$489, B1997, '📋 Detalle Diario'!$C$5:$C$489, D1997) * 200), 0))</f>
        <v/>
      </c>
      <c r="P1997" s="32" t="str">
        <f t="shared" si="222"/>
        <v/>
      </c>
      <c r="Q1997" s="33" t="str">
        <f t="shared" si="223"/>
        <v/>
      </c>
    </row>
    <row r="1998" spans="2:17" ht="18" customHeight="1" x14ac:dyDescent="0.3">
      <c r="B1998" s="26"/>
      <c r="C1998" s="17"/>
      <c r="D1998" s="27"/>
      <c r="E1998" s="18"/>
      <c r="F1998" s="18"/>
      <c r="G1998" s="18"/>
      <c r="H1998" s="30" t="str">
        <f t="shared" si="217"/>
        <v/>
      </c>
      <c r="I1998" s="31" t="str">
        <f>IF(OR(B1998="",C1998=""),"",IFERROR(E1998*IF(E1998="",0,VLOOKUP(C1998,'📦 Precios Proforma'!$B$5:$D$104,IF(D1998="DIA",2,3),FALSE)),0))</f>
        <v/>
      </c>
      <c r="J1998" s="31" t="str">
        <f t="shared" si="218"/>
        <v/>
      </c>
      <c r="K1998" s="31" t="str">
        <f t="shared" si="219"/>
        <v/>
      </c>
      <c r="L1998" s="31" t="str">
        <f>IF(OR(B1998="",C1998=""),"",IFERROR(E1998 / SUMIFS('📅 Resumen Diario'!$D$5:$D$504, '📅 Resumen Diario'!$B$5:$B$504, B1998, '📅 Resumen Diario'!$C$5:$C$504, D1998) * SUMIFS('📅 Resumen Diario'!$K$5:$K$504, '📅 Resumen Diario'!$B$5:$B$504, B1998, '📅 Resumen Diario'!$C$5:$C$504, D1998), 0))</f>
        <v/>
      </c>
      <c r="M1998" s="31" t="str">
        <f t="shared" si="220"/>
        <v/>
      </c>
      <c r="N1998" s="31" t="str">
        <f t="shared" si="221"/>
        <v/>
      </c>
      <c r="O1998" s="31" t="str">
        <f>IF(OR(B1998="",C1998=""),"",K1998-N1998 + IFERROR(E1998 / SUMIFS('📅 Resumen Diario'!$D$5:$D$504, '📅 Resumen Diario'!$B$5:$B$504, B1998, '📅 Resumen Diario'!$C$5:$C$504, D1998) * (SUMIFS('📋 Detalle Diario'!$E$5:$E$489, '📋 Detalle Diario'!$B$5:$B$489, B1998, '📋 Detalle Diario'!$C$5:$C$489, D1998) * 135 + SUMIFS('📋 Detalle Diario'!$I$5:$I$489, '📋 Detalle Diario'!$B$5:$B$489, B1998, '📋 Detalle Diario'!$C$5:$C$489, D1998) * 200), 0))</f>
        <v/>
      </c>
      <c r="P1998" s="32" t="str">
        <f t="shared" si="222"/>
        <v/>
      </c>
      <c r="Q1998" s="33" t="str">
        <f t="shared" si="223"/>
        <v/>
      </c>
    </row>
    <row r="1999" spans="2:17" ht="18" customHeight="1" x14ac:dyDescent="0.3">
      <c r="B1999" s="26"/>
      <c r="C1999" s="28"/>
      <c r="D1999" s="27"/>
      <c r="E1999" s="29"/>
      <c r="F1999" s="29"/>
      <c r="G1999" s="29"/>
      <c r="H1999" s="30" t="str">
        <f t="shared" si="217"/>
        <v/>
      </c>
      <c r="I1999" s="31" t="str">
        <f>IF(OR(B1999="",C1999=""),"",IFERROR(E1999*IF(E1999="",0,VLOOKUP(C1999,'📦 Precios Proforma'!$B$5:$D$104,IF(D1999="DIA",2,3),FALSE)),0))</f>
        <v/>
      </c>
      <c r="J1999" s="31" t="str">
        <f t="shared" si="218"/>
        <v/>
      </c>
      <c r="K1999" s="31" t="str">
        <f t="shared" si="219"/>
        <v/>
      </c>
      <c r="L1999" s="31" t="str">
        <f>IF(OR(B1999="",C1999=""),"",IFERROR(E1999 / SUMIFS('📅 Resumen Diario'!$D$5:$D$504, '📅 Resumen Diario'!$B$5:$B$504, B1999, '📅 Resumen Diario'!$C$5:$C$504, D1999) * SUMIFS('📅 Resumen Diario'!$K$5:$K$504, '📅 Resumen Diario'!$B$5:$B$504, B1999, '📅 Resumen Diario'!$C$5:$C$504, D1999), 0))</f>
        <v/>
      </c>
      <c r="M1999" s="31" t="str">
        <f t="shared" si="220"/>
        <v/>
      </c>
      <c r="N1999" s="31" t="str">
        <f t="shared" si="221"/>
        <v/>
      </c>
      <c r="O1999" s="31" t="str">
        <f>IF(OR(B1999="",C1999=""),"",K1999-N1999 + IFERROR(E1999 / SUMIFS('📅 Resumen Diario'!$D$5:$D$504, '📅 Resumen Diario'!$B$5:$B$504, B1999, '📅 Resumen Diario'!$C$5:$C$504, D1999) * (SUMIFS('📋 Detalle Diario'!$E$5:$E$489, '📋 Detalle Diario'!$B$5:$B$489, B1999, '📋 Detalle Diario'!$C$5:$C$489, D1999) * 135 + SUMIFS('📋 Detalle Diario'!$I$5:$I$489, '📋 Detalle Diario'!$B$5:$B$489, B1999, '📋 Detalle Diario'!$C$5:$C$489, D1999) * 200), 0))</f>
        <v/>
      </c>
      <c r="P1999" s="32" t="str">
        <f t="shared" si="222"/>
        <v/>
      </c>
      <c r="Q1999" s="33" t="str">
        <f t="shared" si="223"/>
        <v/>
      </c>
    </row>
    <row r="2000" spans="2:17" ht="18" customHeight="1" x14ac:dyDescent="0.3">
      <c r="B2000" s="26"/>
      <c r="C2000" s="17"/>
      <c r="D2000" s="27"/>
      <c r="E2000" s="18"/>
      <c r="F2000" s="18"/>
      <c r="G2000" s="18"/>
      <c r="H2000" s="30" t="str">
        <f t="shared" si="217"/>
        <v/>
      </c>
      <c r="I2000" s="31" t="str">
        <f>IF(OR(B2000="",C2000=""),"",IFERROR(E2000*IF(E2000="",0,VLOOKUP(C2000,'📦 Precios Proforma'!$B$5:$D$104,IF(D2000="DIA",2,3),FALSE)),0))</f>
        <v/>
      </c>
      <c r="J2000" s="31" t="str">
        <f t="shared" si="218"/>
        <v/>
      </c>
      <c r="K2000" s="31" t="str">
        <f t="shared" si="219"/>
        <v/>
      </c>
      <c r="L2000" s="31" t="str">
        <f>IF(OR(B2000="",C2000=""),"",IFERROR(E2000 / SUMIFS('📅 Resumen Diario'!$D$5:$D$504, '📅 Resumen Diario'!$B$5:$B$504, B2000, '📅 Resumen Diario'!$C$5:$C$504, D2000) * SUMIFS('📅 Resumen Diario'!$K$5:$K$504, '📅 Resumen Diario'!$B$5:$B$504, B2000, '📅 Resumen Diario'!$C$5:$C$504, D2000), 0))</f>
        <v/>
      </c>
      <c r="M2000" s="31" t="str">
        <f t="shared" si="220"/>
        <v/>
      </c>
      <c r="N2000" s="31" t="str">
        <f t="shared" si="221"/>
        <v/>
      </c>
      <c r="O2000" s="31" t="str">
        <f>IF(OR(B2000="",C2000=""),"",K2000-N2000 + IFERROR(E2000 / SUMIFS('📅 Resumen Diario'!$D$5:$D$504, '📅 Resumen Diario'!$B$5:$B$504, B2000, '📅 Resumen Diario'!$C$5:$C$504, D2000) * (SUMIFS('📋 Detalle Diario'!$E$5:$E$489, '📋 Detalle Diario'!$B$5:$B$489, B2000, '📋 Detalle Diario'!$C$5:$C$489, D2000) * 135 + SUMIFS('📋 Detalle Diario'!$I$5:$I$489, '📋 Detalle Diario'!$B$5:$B$489, B2000, '📋 Detalle Diario'!$C$5:$C$489, D2000) * 200), 0))</f>
        <v/>
      </c>
      <c r="P2000" s="32" t="str">
        <f t="shared" si="222"/>
        <v/>
      </c>
      <c r="Q2000" s="33" t="str">
        <f t="shared" si="223"/>
        <v/>
      </c>
    </row>
    <row r="2001" spans="2:17" ht="18" customHeight="1" x14ac:dyDescent="0.3">
      <c r="B2001" s="26"/>
      <c r="C2001" s="28"/>
      <c r="D2001" s="27"/>
      <c r="E2001" s="29"/>
      <c r="F2001" s="29"/>
      <c r="G2001" s="29"/>
      <c r="H2001" s="30" t="str">
        <f t="shared" si="217"/>
        <v/>
      </c>
      <c r="I2001" s="31" t="str">
        <f>IF(OR(B2001="",C2001=""),"",IFERROR(E2001*IF(E2001="",0,VLOOKUP(C2001,'📦 Precios Proforma'!$B$5:$D$104,IF(D2001="DIA",2,3),FALSE)),0))</f>
        <v/>
      </c>
      <c r="J2001" s="31" t="str">
        <f t="shared" si="218"/>
        <v/>
      </c>
      <c r="K2001" s="31" t="str">
        <f t="shared" si="219"/>
        <v/>
      </c>
      <c r="L2001" s="31" t="str">
        <f>IF(OR(B2001="",C2001=""),"",IFERROR(E2001 / SUMIFS('📅 Resumen Diario'!$D$5:$D$504, '📅 Resumen Diario'!$B$5:$B$504, B2001, '📅 Resumen Diario'!$C$5:$C$504, D2001) * SUMIFS('📅 Resumen Diario'!$K$5:$K$504, '📅 Resumen Diario'!$B$5:$B$504, B2001, '📅 Resumen Diario'!$C$5:$C$504, D2001), 0))</f>
        <v/>
      </c>
      <c r="M2001" s="31" t="str">
        <f t="shared" si="220"/>
        <v/>
      </c>
      <c r="N2001" s="31" t="str">
        <f t="shared" si="221"/>
        <v/>
      </c>
      <c r="O2001" s="31" t="str">
        <f>IF(OR(B2001="",C2001=""),"",K2001-N2001 + IFERROR(E2001 / SUMIFS('📅 Resumen Diario'!$D$5:$D$504, '📅 Resumen Diario'!$B$5:$B$504, B2001, '📅 Resumen Diario'!$C$5:$C$504, D2001) * (SUMIFS('📋 Detalle Diario'!$E$5:$E$489, '📋 Detalle Diario'!$B$5:$B$489, B2001, '📋 Detalle Diario'!$C$5:$C$489, D2001) * 135 + SUMIFS('📋 Detalle Diario'!$I$5:$I$489, '📋 Detalle Diario'!$B$5:$B$489, B2001, '📋 Detalle Diario'!$C$5:$C$489, D2001) * 200), 0))</f>
        <v/>
      </c>
      <c r="P2001" s="32" t="str">
        <f t="shared" si="222"/>
        <v/>
      </c>
      <c r="Q2001" s="33" t="str">
        <f t="shared" si="223"/>
        <v/>
      </c>
    </row>
    <row r="2002" spans="2:17" ht="18" customHeight="1" x14ac:dyDescent="0.3">
      <c r="B2002" s="26"/>
      <c r="C2002" s="17"/>
      <c r="D2002" s="27"/>
      <c r="E2002" s="18"/>
      <c r="F2002" s="18"/>
      <c r="G2002" s="18"/>
      <c r="H2002" s="30" t="str">
        <f t="shared" si="217"/>
        <v/>
      </c>
      <c r="I2002" s="31" t="str">
        <f>IF(OR(B2002="",C2002=""),"",IFERROR(E2002*IF(E2002="",0,VLOOKUP(C2002,'📦 Precios Proforma'!$B$5:$D$104,IF(D2002="DIA",2,3),FALSE)),0))</f>
        <v/>
      </c>
      <c r="J2002" s="31" t="str">
        <f t="shared" si="218"/>
        <v/>
      </c>
      <c r="K2002" s="31" t="str">
        <f t="shared" si="219"/>
        <v/>
      </c>
      <c r="L2002" s="31" t="str">
        <f>IF(OR(B2002="",C2002=""),"",IFERROR(E2002 / SUMIFS('📅 Resumen Diario'!$D$5:$D$504, '📅 Resumen Diario'!$B$5:$B$504, B2002, '📅 Resumen Diario'!$C$5:$C$504, D2002) * SUMIFS('📅 Resumen Diario'!$K$5:$K$504, '📅 Resumen Diario'!$B$5:$B$504, B2002, '📅 Resumen Diario'!$C$5:$C$504, D2002), 0))</f>
        <v/>
      </c>
      <c r="M2002" s="31" t="str">
        <f t="shared" si="220"/>
        <v/>
      </c>
      <c r="N2002" s="31" t="str">
        <f t="shared" si="221"/>
        <v/>
      </c>
      <c r="O2002" s="31" t="str">
        <f>IF(OR(B2002="",C2002=""),"",K2002-N2002 + IFERROR(E2002 / SUMIFS('📅 Resumen Diario'!$D$5:$D$504, '📅 Resumen Diario'!$B$5:$B$504, B2002, '📅 Resumen Diario'!$C$5:$C$504, D2002) * (SUMIFS('📋 Detalle Diario'!$E$5:$E$489, '📋 Detalle Diario'!$B$5:$B$489, B2002, '📋 Detalle Diario'!$C$5:$C$489, D2002) * 135 + SUMIFS('📋 Detalle Diario'!$I$5:$I$489, '📋 Detalle Diario'!$B$5:$B$489, B2002, '📋 Detalle Diario'!$C$5:$C$489, D2002) * 200), 0))</f>
        <v/>
      </c>
      <c r="P2002" s="32" t="str">
        <f t="shared" si="222"/>
        <v/>
      </c>
      <c r="Q2002" s="33" t="str">
        <f t="shared" si="223"/>
        <v/>
      </c>
    </row>
    <row r="2003" spans="2:17" ht="18" customHeight="1" x14ac:dyDescent="0.3">
      <c r="B2003" s="26"/>
      <c r="C2003" s="28"/>
      <c r="D2003" s="27"/>
      <c r="E2003" s="29"/>
      <c r="F2003" s="29"/>
      <c r="G2003" s="29"/>
      <c r="H2003" s="30" t="str">
        <f t="shared" si="217"/>
        <v/>
      </c>
      <c r="I2003" s="31" t="str">
        <f>IF(OR(B2003="",C2003=""),"",IFERROR(E2003*IF(E2003="",0,VLOOKUP(C2003,'📦 Precios Proforma'!$B$5:$D$104,IF(D2003="DIA",2,3),FALSE)),0))</f>
        <v/>
      </c>
      <c r="J2003" s="31" t="str">
        <f t="shared" si="218"/>
        <v/>
      </c>
      <c r="K2003" s="31" t="str">
        <f t="shared" si="219"/>
        <v/>
      </c>
      <c r="L2003" s="31" t="str">
        <f>IF(OR(B2003="",C2003=""),"",IFERROR(E2003 / SUMIFS('📅 Resumen Diario'!$D$5:$D$504, '📅 Resumen Diario'!$B$5:$B$504, B2003, '📅 Resumen Diario'!$C$5:$C$504, D2003) * SUMIFS('📅 Resumen Diario'!$K$5:$K$504, '📅 Resumen Diario'!$B$5:$B$504, B2003, '📅 Resumen Diario'!$C$5:$C$504, D2003), 0))</f>
        <v/>
      </c>
      <c r="M2003" s="31" t="str">
        <f t="shared" si="220"/>
        <v/>
      </c>
      <c r="N2003" s="31" t="str">
        <f t="shared" si="221"/>
        <v/>
      </c>
      <c r="O2003" s="31" t="str">
        <f>IF(OR(B2003="",C2003=""),"",K2003-N2003 + IFERROR(E2003 / SUMIFS('📅 Resumen Diario'!$D$5:$D$504, '📅 Resumen Diario'!$B$5:$B$504, B2003, '📅 Resumen Diario'!$C$5:$C$504, D2003) * (SUMIFS('📋 Detalle Diario'!$E$5:$E$489, '📋 Detalle Diario'!$B$5:$B$489, B2003, '📋 Detalle Diario'!$C$5:$C$489, D2003) * 135 + SUMIFS('📋 Detalle Diario'!$I$5:$I$489, '📋 Detalle Diario'!$B$5:$B$489, B2003, '📋 Detalle Diario'!$C$5:$C$489, D2003) * 200), 0))</f>
        <v/>
      </c>
      <c r="P2003" s="32" t="str">
        <f t="shared" si="222"/>
        <v/>
      </c>
      <c r="Q2003" s="33" t="str">
        <f t="shared" si="223"/>
        <v/>
      </c>
    </row>
    <row r="2004" spans="2:17" ht="18" customHeight="1" x14ac:dyDescent="0.3">
      <c r="B2004" s="26"/>
      <c r="C2004" s="17"/>
      <c r="D2004" s="27"/>
      <c r="E2004" s="18"/>
      <c r="F2004" s="18"/>
      <c r="G2004" s="18"/>
      <c r="H2004" s="30" t="str">
        <f t="shared" si="217"/>
        <v/>
      </c>
      <c r="I2004" s="31" t="str">
        <f>IF(OR(B2004="",C2004=""),"",IFERROR(E2004*IF(E2004="",0,VLOOKUP(C2004,'📦 Precios Proforma'!$B$5:$D$104,IF(D2004="DIA",2,3),FALSE)),0))</f>
        <v/>
      </c>
      <c r="J2004" s="31" t="str">
        <f t="shared" si="218"/>
        <v/>
      </c>
      <c r="K2004" s="31" t="str">
        <f t="shared" si="219"/>
        <v/>
      </c>
      <c r="L2004" s="31" t="str">
        <f>IF(OR(B2004="",C2004=""),"",IFERROR(E2004 / SUMIFS('📅 Resumen Diario'!$D$5:$D$504, '📅 Resumen Diario'!$B$5:$B$504, B2004, '📅 Resumen Diario'!$C$5:$C$504, D2004) * SUMIFS('📅 Resumen Diario'!$K$5:$K$504, '📅 Resumen Diario'!$B$5:$B$504, B2004, '📅 Resumen Diario'!$C$5:$C$504, D2004), 0))</f>
        <v/>
      </c>
      <c r="M2004" s="31" t="str">
        <f t="shared" si="220"/>
        <v/>
      </c>
      <c r="N2004" s="31" t="str">
        <f t="shared" si="221"/>
        <v/>
      </c>
      <c r="O2004" s="31" t="str">
        <f>IF(OR(B2004="",C2004=""),"",K2004-N2004 + IFERROR(E2004 / SUMIFS('📅 Resumen Diario'!$D$5:$D$504, '📅 Resumen Diario'!$B$5:$B$504, B2004, '📅 Resumen Diario'!$C$5:$C$504, D2004) * (SUMIFS('📋 Detalle Diario'!$E$5:$E$489, '📋 Detalle Diario'!$B$5:$B$489, B2004, '📋 Detalle Diario'!$C$5:$C$489, D2004) * 135 + SUMIFS('📋 Detalle Diario'!$I$5:$I$489, '📋 Detalle Diario'!$B$5:$B$489, B2004, '📋 Detalle Diario'!$C$5:$C$489, D2004) * 200), 0))</f>
        <v/>
      </c>
      <c r="P2004" s="32" t="str">
        <f t="shared" si="222"/>
        <v/>
      </c>
      <c r="Q2004" s="33" t="str">
        <f t="shared" si="223"/>
        <v/>
      </c>
    </row>
    <row r="2005" spans="2:17" ht="18" customHeight="1" x14ac:dyDescent="0.3">
      <c r="B2005" s="26"/>
      <c r="C2005" s="28"/>
      <c r="D2005" s="27"/>
      <c r="E2005" s="29"/>
      <c r="F2005" s="29"/>
      <c r="G2005" s="29"/>
      <c r="H2005" s="30" t="str">
        <f t="shared" si="217"/>
        <v/>
      </c>
      <c r="I2005" s="31" t="str">
        <f>IF(OR(B2005="",C2005=""),"",IFERROR(E2005*IF(E2005="",0,VLOOKUP(C2005,'📦 Precios Proforma'!$B$5:$D$104,IF(D2005="DIA",2,3),FALSE)),0))</f>
        <v/>
      </c>
      <c r="J2005" s="31" t="str">
        <f t="shared" si="218"/>
        <v/>
      </c>
      <c r="K2005" s="31" t="str">
        <f t="shared" si="219"/>
        <v/>
      </c>
      <c r="L2005" s="31" t="str">
        <f>IF(OR(B2005="",C2005=""),"",IFERROR(E2005 / SUMIFS('📅 Resumen Diario'!$D$5:$D$504, '📅 Resumen Diario'!$B$5:$B$504, B2005, '📅 Resumen Diario'!$C$5:$C$504, D2005) * SUMIFS('📅 Resumen Diario'!$K$5:$K$504, '📅 Resumen Diario'!$B$5:$B$504, B2005, '📅 Resumen Diario'!$C$5:$C$504, D2005), 0))</f>
        <v/>
      </c>
      <c r="M2005" s="31" t="str">
        <f t="shared" si="220"/>
        <v/>
      </c>
      <c r="N2005" s="31" t="str">
        <f t="shared" si="221"/>
        <v/>
      </c>
      <c r="O2005" s="31" t="str">
        <f>IF(OR(B2005="",C2005=""),"",K2005-N2005 + IFERROR(E2005 / SUMIFS('📅 Resumen Diario'!$D$5:$D$504, '📅 Resumen Diario'!$B$5:$B$504, B2005, '📅 Resumen Diario'!$C$5:$C$504, D2005) * (SUMIFS('📋 Detalle Diario'!$E$5:$E$489, '📋 Detalle Diario'!$B$5:$B$489, B2005, '📋 Detalle Diario'!$C$5:$C$489, D2005) * 135 + SUMIFS('📋 Detalle Diario'!$I$5:$I$489, '📋 Detalle Diario'!$B$5:$B$489, B2005, '📋 Detalle Diario'!$C$5:$C$489, D2005) * 200), 0))</f>
        <v/>
      </c>
      <c r="P2005" s="32" t="str">
        <f t="shared" si="222"/>
        <v/>
      </c>
      <c r="Q2005" s="33" t="str">
        <f t="shared" si="223"/>
        <v/>
      </c>
    </row>
    <row r="2006" spans="2:17" ht="18" customHeight="1" x14ac:dyDescent="0.3">
      <c r="B2006" s="26"/>
      <c r="C2006" s="17"/>
      <c r="D2006" s="27"/>
      <c r="E2006" s="18"/>
      <c r="F2006" s="18"/>
      <c r="G2006" s="18"/>
      <c r="H2006" s="30" t="str">
        <f t="shared" si="217"/>
        <v/>
      </c>
      <c r="I2006" s="31" t="str">
        <f>IF(OR(B2006="",C2006=""),"",IFERROR(E2006*IF(E2006="",0,VLOOKUP(C2006,'📦 Precios Proforma'!$B$5:$D$104,IF(D2006="DIA",2,3),FALSE)),0))</f>
        <v/>
      </c>
      <c r="J2006" s="31" t="str">
        <f t="shared" si="218"/>
        <v/>
      </c>
      <c r="K2006" s="31" t="str">
        <f t="shared" si="219"/>
        <v/>
      </c>
      <c r="L2006" s="31" t="str">
        <f>IF(OR(B2006="",C2006=""),"",IFERROR(E2006 / SUMIFS('📅 Resumen Diario'!$D$5:$D$504, '📅 Resumen Diario'!$B$5:$B$504, B2006, '📅 Resumen Diario'!$C$5:$C$504, D2006) * SUMIFS('📅 Resumen Diario'!$K$5:$K$504, '📅 Resumen Diario'!$B$5:$B$504, B2006, '📅 Resumen Diario'!$C$5:$C$504, D2006), 0))</f>
        <v/>
      </c>
      <c r="M2006" s="31" t="str">
        <f t="shared" si="220"/>
        <v/>
      </c>
      <c r="N2006" s="31" t="str">
        <f t="shared" si="221"/>
        <v/>
      </c>
      <c r="O2006" s="31" t="str">
        <f>IF(OR(B2006="",C2006=""),"",K2006-N2006 + IFERROR(E2006 / SUMIFS('📅 Resumen Diario'!$D$5:$D$504, '📅 Resumen Diario'!$B$5:$B$504, B2006, '📅 Resumen Diario'!$C$5:$C$504, D2006) * (SUMIFS('📋 Detalle Diario'!$E$5:$E$489, '📋 Detalle Diario'!$B$5:$B$489, B2006, '📋 Detalle Diario'!$C$5:$C$489, D2006) * 135 + SUMIFS('📋 Detalle Diario'!$I$5:$I$489, '📋 Detalle Diario'!$B$5:$B$489, B2006, '📋 Detalle Diario'!$C$5:$C$489, D2006) * 200), 0))</f>
        <v/>
      </c>
      <c r="P2006" s="32" t="str">
        <f t="shared" si="222"/>
        <v/>
      </c>
      <c r="Q2006" s="33" t="str">
        <f t="shared" si="223"/>
        <v/>
      </c>
    </row>
    <row r="2007" spans="2:17" ht="18" customHeight="1" x14ac:dyDescent="0.3">
      <c r="B2007" s="26"/>
      <c r="C2007" s="28"/>
      <c r="D2007" s="27"/>
      <c r="E2007" s="29"/>
      <c r="F2007" s="29"/>
      <c r="G2007" s="29"/>
      <c r="H2007" s="30" t="str">
        <f t="shared" si="217"/>
        <v/>
      </c>
      <c r="I2007" s="31" t="str">
        <f>IF(OR(B2007="",C2007=""),"",IFERROR(E2007*IF(E2007="",0,VLOOKUP(C2007,'📦 Precios Proforma'!$B$5:$D$104,IF(D2007="DIA",2,3),FALSE)),0))</f>
        <v/>
      </c>
      <c r="J2007" s="31" t="str">
        <f t="shared" si="218"/>
        <v/>
      </c>
      <c r="K2007" s="31" t="str">
        <f t="shared" si="219"/>
        <v/>
      </c>
      <c r="L2007" s="31" t="str">
        <f>IF(OR(B2007="",C2007=""),"",IFERROR(E2007 / SUMIFS('📅 Resumen Diario'!$D$5:$D$504, '📅 Resumen Diario'!$B$5:$B$504, B2007, '📅 Resumen Diario'!$C$5:$C$504, D2007) * SUMIFS('📅 Resumen Diario'!$K$5:$K$504, '📅 Resumen Diario'!$B$5:$B$504, B2007, '📅 Resumen Diario'!$C$5:$C$504, D2007), 0))</f>
        <v/>
      </c>
      <c r="M2007" s="31" t="str">
        <f t="shared" si="220"/>
        <v/>
      </c>
      <c r="N2007" s="31" t="str">
        <f t="shared" si="221"/>
        <v/>
      </c>
      <c r="O2007" s="31" t="str">
        <f>IF(OR(B2007="",C2007=""),"",K2007-N2007 + IFERROR(E2007 / SUMIFS('📅 Resumen Diario'!$D$5:$D$504, '📅 Resumen Diario'!$B$5:$B$504, B2007, '📅 Resumen Diario'!$C$5:$C$504, D2007) * (SUMIFS('📋 Detalle Diario'!$E$5:$E$489, '📋 Detalle Diario'!$B$5:$B$489, B2007, '📋 Detalle Diario'!$C$5:$C$489, D2007) * 135 + SUMIFS('📋 Detalle Diario'!$I$5:$I$489, '📋 Detalle Diario'!$B$5:$B$489, B2007, '📋 Detalle Diario'!$C$5:$C$489, D2007) * 200), 0))</f>
        <v/>
      </c>
      <c r="P2007" s="32" t="str">
        <f t="shared" si="222"/>
        <v/>
      </c>
      <c r="Q2007" s="33" t="str">
        <f t="shared" si="223"/>
        <v/>
      </c>
    </row>
    <row r="2008" spans="2:17" ht="18" customHeight="1" x14ac:dyDescent="0.3">
      <c r="B2008" s="26"/>
      <c r="C2008" s="17"/>
      <c r="D2008" s="27"/>
      <c r="E2008" s="18"/>
      <c r="F2008" s="18"/>
      <c r="G2008" s="18"/>
      <c r="H2008" s="30" t="str">
        <f t="shared" si="217"/>
        <v/>
      </c>
      <c r="I2008" s="31" t="str">
        <f>IF(OR(B2008="",C2008=""),"",IFERROR(E2008*IF(E2008="",0,VLOOKUP(C2008,'📦 Precios Proforma'!$B$5:$D$104,IF(D2008="DIA",2,3),FALSE)),0))</f>
        <v/>
      </c>
      <c r="J2008" s="31" t="str">
        <f t="shared" si="218"/>
        <v/>
      </c>
      <c r="K2008" s="31" t="str">
        <f t="shared" si="219"/>
        <v/>
      </c>
      <c r="L2008" s="31" t="str">
        <f>IF(OR(B2008="",C2008=""),"",IFERROR(E2008 / SUMIFS('📅 Resumen Diario'!$D$5:$D$504, '📅 Resumen Diario'!$B$5:$B$504, B2008, '📅 Resumen Diario'!$C$5:$C$504, D2008) * SUMIFS('📅 Resumen Diario'!$K$5:$K$504, '📅 Resumen Diario'!$B$5:$B$504, B2008, '📅 Resumen Diario'!$C$5:$C$504, D2008), 0))</f>
        <v/>
      </c>
      <c r="M2008" s="31" t="str">
        <f t="shared" si="220"/>
        <v/>
      </c>
      <c r="N2008" s="31" t="str">
        <f t="shared" si="221"/>
        <v/>
      </c>
      <c r="O2008" s="31" t="str">
        <f>IF(OR(B2008="",C2008=""),"",K2008-N2008 + IFERROR(E2008 / SUMIFS('📅 Resumen Diario'!$D$5:$D$504, '📅 Resumen Diario'!$B$5:$B$504, B2008, '📅 Resumen Diario'!$C$5:$C$504, D2008) * (SUMIFS('📋 Detalle Diario'!$E$5:$E$489, '📋 Detalle Diario'!$B$5:$B$489, B2008, '📋 Detalle Diario'!$C$5:$C$489, D2008) * 135 + SUMIFS('📋 Detalle Diario'!$I$5:$I$489, '📋 Detalle Diario'!$B$5:$B$489, B2008, '📋 Detalle Diario'!$C$5:$C$489, D2008) * 200), 0))</f>
        <v/>
      </c>
      <c r="P2008" s="32" t="str">
        <f t="shared" si="222"/>
        <v/>
      </c>
      <c r="Q2008" s="33" t="str">
        <f t="shared" si="223"/>
        <v/>
      </c>
    </row>
    <row r="2009" spans="2:17" ht="18" customHeight="1" x14ac:dyDescent="0.3">
      <c r="B2009" s="26"/>
      <c r="C2009" s="28"/>
      <c r="D2009" s="27"/>
      <c r="E2009" s="29"/>
      <c r="F2009" s="29"/>
      <c r="G2009" s="29"/>
      <c r="H2009" s="30" t="str">
        <f t="shared" si="217"/>
        <v/>
      </c>
      <c r="I2009" s="31" t="str">
        <f>IF(OR(B2009="",C2009=""),"",IFERROR(E2009*IF(E2009="",0,VLOOKUP(C2009,'📦 Precios Proforma'!$B$5:$D$104,IF(D2009="DIA",2,3),FALSE)),0))</f>
        <v/>
      </c>
      <c r="J2009" s="31" t="str">
        <f t="shared" si="218"/>
        <v/>
      </c>
      <c r="K2009" s="31" t="str">
        <f t="shared" si="219"/>
        <v/>
      </c>
      <c r="L2009" s="31" t="str">
        <f>IF(OR(B2009="",C2009=""),"",IFERROR(E2009 / SUMIFS('📅 Resumen Diario'!$D$5:$D$504, '📅 Resumen Diario'!$B$5:$B$504, B2009, '📅 Resumen Diario'!$C$5:$C$504, D2009) * SUMIFS('📅 Resumen Diario'!$K$5:$K$504, '📅 Resumen Diario'!$B$5:$B$504, B2009, '📅 Resumen Diario'!$C$5:$C$504, D2009), 0))</f>
        <v/>
      </c>
      <c r="M2009" s="31" t="str">
        <f t="shared" si="220"/>
        <v/>
      </c>
      <c r="N2009" s="31" t="str">
        <f t="shared" si="221"/>
        <v/>
      </c>
      <c r="O2009" s="31" t="str">
        <f>IF(OR(B2009="",C2009=""),"",K2009-N2009 + IFERROR(E2009 / SUMIFS('📅 Resumen Diario'!$D$5:$D$504, '📅 Resumen Diario'!$B$5:$B$504, B2009, '📅 Resumen Diario'!$C$5:$C$504, D2009) * (SUMIFS('📋 Detalle Diario'!$E$5:$E$489, '📋 Detalle Diario'!$B$5:$B$489, B2009, '📋 Detalle Diario'!$C$5:$C$489, D2009) * 135 + SUMIFS('📋 Detalle Diario'!$I$5:$I$489, '📋 Detalle Diario'!$B$5:$B$489, B2009, '📋 Detalle Diario'!$C$5:$C$489, D2009) * 200), 0))</f>
        <v/>
      </c>
      <c r="P2009" s="32" t="str">
        <f t="shared" si="222"/>
        <v/>
      </c>
      <c r="Q2009" s="33" t="str">
        <f t="shared" si="223"/>
        <v/>
      </c>
    </row>
    <row r="2010" spans="2:17" ht="18" customHeight="1" x14ac:dyDescent="0.3">
      <c r="B2010" s="26"/>
      <c r="C2010" s="17"/>
      <c r="D2010" s="27"/>
      <c r="E2010" s="18"/>
      <c r="F2010" s="18"/>
      <c r="G2010" s="18"/>
      <c r="H2010" s="30" t="str">
        <f t="shared" si="217"/>
        <v/>
      </c>
      <c r="I2010" s="31" t="str">
        <f>IF(OR(B2010="",C2010=""),"",IFERROR(E2010*IF(E2010="",0,VLOOKUP(C2010,'📦 Precios Proforma'!$B$5:$D$104,IF(D2010="DIA",2,3),FALSE)),0))</f>
        <v/>
      </c>
      <c r="J2010" s="31" t="str">
        <f t="shared" si="218"/>
        <v/>
      </c>
      <c r="K2010" s="31" t="str">
        <f t="shared" si="219"/>
        <v/>
      </c>
      <c r="L2010" s="31" t="str">
        <f>IF(OR(B2010="",C2010=""),"",IFERROR(E2010 / SUMIFS('📅 Resumen Diario'!$D$5:$D$504, '📅 Resumen Diario'!$B$5:$B$504, B2010, '📅 Resumen Diario'!$C$5:$C$504, D2010) * SUMIFS('📅 Resumen Diario'!$K$5:$K$504, '📅 Resumen Diario'!$B$5:$B$504, B2010, '📅 Resumen Diario'!$C$5:$C$504, D2010), 0))</f>
        <v/>
      </c>
      <c r="M2010" s="31" t="str">
        <f t="shared" si="220"/>
        <v/>
      </c>
      <c r="N2010" s="31" t="str">
        <f t="shared" si="221"/>
        <v/>
      </c>
      <c r="O2010" s="31" t="str">
        <f>IF(OR(B2010="",C2010=""),"",K2010-N2010 + IFERROR(E2010 / SUMIFS('📅 Resumen Diario'!$D$5:$D$504, '📅 Resumen Diario'!$B$5:$B$504, B2010, '📅 Resumen Diario'!$C$5:$C$504, D2010) * (SUMIFS('📋 Detalle Diario'!$E$5:$E$489, '📋 Detalle Diario'!$B$5:$B$489, B2010, '📋 Detalle Diario'!$C$5:$C$489, D2010) * 135 + SUMIFS('📋 Detalle Diario'!$I$5:$I$489, '📋 Detalle Diario'!$B$5:$B$489, B2010, '📋 Detalle Diario'!$C$5:$C$489, D2010) * 200), 0))</f>
        <v/>
      </c>
      <c r="P2010" s="32" t="str">
        <f t="shared" si="222"/>
        <v/>
      </c>
      <c r="Q2010" s="33" t="str">
        <f t="shared" si="223"/>
        <v/>
      </c>
    </row>
    <row r="2011" spans="2:17" ht="18" customHeight="1" x14ac:dyDescent="0.3">
      <c r="B2011" s="26"/>
      <c r="C2011" s="28"/>
      <c r="D2011" s="27"/>
      <c r="E2011" s="29"/>
      <c r="F2011" s="29"/>
      <c r="G2011" s="29"/>
      <c r="H2011" s="30" t="str">
        <f t="shared" si="217"/>
        <v/>
      </c>
      <c r="I2011" s="31" t="str">
        <f>IF(OR(B2011="",C2011=""),"",IFERROR(E2011*IF(E2011="",0,VLOOKUP(C2011,'📦 Precios Proforma'!$B$5:$D$104,IF(D2011="DIA",2,3),FALSE)),0))</f>
        <v/>
      </c>
      <c r="J2011" s="31" t="str">
        <f t="shared" si="218"/>
        <v/>
      </c>
      <c r="K2011" s="31" t="str">
        <f t="shared" si="219"/>
        <v/>
      </c>
      <c r="L2011" s="31" t="str">
        <f>IF(OR(B2011="",C2011=""),"",IFERROR(E2011 / SUMIFS('📅 Resumen Diario'!$D$5:$D$504, '📅 Resumen Diario'!$B$5:$B$504, B2011, '📅 Resumen Diario'!$C$5:$C$504, D2011) * SUMIFS('📅 Resumen Diario'!$K$5:$K$504, '📅 Resumen Diario'!$B$5:$B$504, B2011, '📅 Resumen Diario'!$C$5:$C$504, D2011), 0))</f>
        <v/>
      </c>
      <c r="M2011" s="31" t="str">
        <f t="shared" si="220"/>
        <v/>
      </c>
      <c r="N2011" s="31" t="str">
        <f t="shared" si="221"/>
        <v/>
      </c>
      <c r="O2011" s="31" t="str">
        <f>IF(OR(B2011="",C2011=""),"",K2011-N2011 + IFERROR(E2011 / SUMIFS('📅 Resumen Diario'!$D$5:$D$504, '📅 Resumen Diario'!$B$5:$B$504, B2011, '📅 Resumen Diario'!$C$5:$C$504, D2011) * (SUMIFS('📋 Detalle Diario'!$E$5:$E$489, '📋 Detalle Diario'!$B$5:$B$489, B2011, '📋 Detalle Diario'!$C$5:$C$489, D2011) * 135 + SUMIFS('📋 Detalle Diario'!$I$5:$I$489, '📋 Detalle Diario'!$B$5:$B$489, B2011, '📋 Detalle Diario'!$C$5:$C$489, D2011) * 200), 0))</f>
        <v/>
      </c>
      <c r="P2011" s="32" t="str">
        <f t="shared" si="222"/>
        <v/>
      </c>
      <c r="Q2011" s="33" t="str">
        <f t="shared" si="223"/>
        <v/>
      </c>
    </row>
    <row r="2012" spans="2:17" ht="18" customHeight="1" x14ac:dyDescent="0.3">
      <c r="B2012" s="26"/>
      <c r="C2012" s="17"/>
      <c r="D2012" s="27"/>
      <c r="E2012" s="18"/>
      <c r="F2012" s="18"/>
      <c r="G2012" s="18"/>
      <c r="H2012" s="30" t="str">
        <f t="shared" si="217"/>
        <v/>
      </c>
      <c r="I2012" s="31" t="str">
        <f>IF(OR(B2012="",C2012=""),"",IFERROR(E2012*IF(E2012="",0,VLOOKUP(C2012,'📦 Precios Proforma'!$B$5:$D$104,IF(D2012="DIA",2,3),FALSE)),0))</f>
        <v/>
      </c>
      <c r="J2012" s="31" t="str">
        <f t="shared" si="218"/>
        <v/>
      </c>
      <c r="K2012" s="31" t="str">
        <f t="shared" si="219"/>
        <v/>
      </c>
      <c r="L2012" s="31" t="str">
        <f>IF(OR(B2012="",C2012=""),"",IFERROR(E2012 / SUMIFS('📅 Resumen Diario'!$D$5:$D$504, '📅 Resumen Diario'!$B$5:$B$504, B2012, '📅 Resumen Diario'!$C$5:$C$504, D2012) * SUMIFS('📅 Resumen Diario'!$K$5:$K$504, '📅 Resumen Diario'!$B$5:$B$504, B2012, '📅 Resumen Diario'!$C$5:$C$504, D2012), 0))</f>
        <v/>
      </c>
      <c r="M2012" s="31" t="str">
        <f t="shared" si="220"/>
        <v/>
      </c>
      <c r="N2012" s="31" t="str">
        <f t="shared" si="221"/>
        <v/>
      </c>
      <c r="O2012" s="31" t="str">
        <f>IF(OR(B2012="",C2012=""),"",K2012-N2012 + IFERROR(E2012 / SUMIFS('📅 Resumen Diario'!$D$5:$D$504, '📅 Resumen Diario'!$B$5:$B$504, B2012, '📅 Resumen Diario'!$C$5:$C$504, D2012) * (SUMIFS('📋 Detalle Diario'!$E$5:$E$489, '📋 Detalle Diario'!$B$5:$B$489, B2012, '📋 Detalle Diario'!$C$5:$C$489, D2012) * 135 + SUMIFS('📋 Detalle Diario'!$I$5:$I$489, '📋 Detalle Diario'!$B$5:$B$489, B2012, '📋 Detalle Diario'!$C$5:$C$489, D2012) * 200), 0))</f>
        <v/>
      </c>
      <c r="P2012" s="32" t="str">
        <f t="shared" si="222"/>
        <v/>
      </c>
      <c r="Q2012" s="33" t="str">
        <f t="shared" si="223"/>
        <v/>
      </c>
    </row>
    <row r="2013" spans="2:17" ht="18" customHeight="1" x14ac:dyDescent="0.3">
      <c r="B2013" s="26"/>
      <c r="C2013" s="28"/>
      <c r="D2013" s="27"/>
      <c r="E2013" s="29"/>
      <c r="F2013" s="29"/>
      <c r="G2013" s="29"/>
      <c r="H2013" s="30" t="str">
        <f t="shared" si="217"/>
        <v/>
      </c>
      <c r="I2013" s="31" t="str">
        <f>IF(OR(B2013="",C2013=""),"",IFERROR(E2013*IF(E2013="",0,VLOOKUP(C2013,'📦 Precios Proforma'!$B$5:$D$104,IF(D2013="DIA",2,3),FALSE)),0))</f>
        <v/>
      </c>
      <c r="J2013" s="31" t="str">
        <f t="shared" si="218"/>
        <v/>
      </c>
      <c r="K2013" s="31" t="str">
        <f t="shared" si="219"/>
        <v/>
      </c>
      <c r="L2013" s="31" t="str">
        <f>IF(OR(B2013="",C2013=""),"",IFERROR(E2013 / SUMIFS('📅 Resumen Diario'!$D$5:$D$504, '📅 Resumen Diario'!$B$5:$B$504, B2013, '📅 Resumen Diario'!$C$5:$C$504, D2013) * SUMIFS('📅 Resumen Diario'!$K$5:$K$504, '📅 Resumen Diario'!$B$5:$B$504, B2013, '📅 Resumen Diario'!$C$5:$C$504, D2013), 0))</f>
        <v/>
      </c>
      <c r="M2013" s="31" t="str">
        <f t="shared" si="220"/>
        <v/>
      </c>
      <c r="N2013" s="31" t="str">
        <f t="shared" si="221"/>
        <v/>
      </c>
      <c r="O2013" s="31" t="str">
        <f>IF(OR(B2013="",C2013=""),"",K2013-N2013 + IFERROR(E2013 / SUMIFS('📅 Resumen Diario'!$D$5:$D$504, '📅 Resumen Diario'!$B$5:$B$504, B2013, '📅 Resumen Diario'!$C$5:$C$504, D2013) * (SUMIFS('📋 Detalle Diario'!$E$5:$E$489, '📋 Detalle Diario'!$B$5:$B$489, B2013, '📋 Detalle Diario'!$C$5:$C$489, D2013) * 135 + SUMIFS('📋 Detalle Diario'!$I$5:$I$489, '📋 Detalle Diario'!$B$5:$B$489, B2013, '📋 Detalle Diario'!$C$5:$C$489, D2013) * 200), 0))</f>
        <v/>
      </c>
      <c r="P2013" s="32" t="str">
        <f t="shared" si="222"/>
        <v/>
      </c>
      <c r="Q2013" s="33" t="str">
        <f t="shared" si="223"/>
        <v/>
      </c>
    </row>
    <row r="2014" spans="2:17" ht="18" customHeight="1" x14ac:dyDescent="0.3">
      <c r="B2014" s="26"/>
      <c r="C2014" s="17"/>
      <c r="D2014" s="27"/>
      <c r="E2014" s="18"/>
      <c r="F2014" s="18"/>
      <c r="G2014" s="18"/>
      <c r="H2014" s="30" t="str">
        <f t="shared" si="217"/>
        <v/>
      </c>
      <c r="I2014" s="31" t="str">
        <f>IF(OR(B2014="",C2014=""),"",IFERROR(E2014*IF(E2014="",0,VLOOKUP(C2014,'📦 Precios Proforma'!$B$5:$D$104,IF(D2014="DIA",2,3),FALSE)),0))</f>
        <v/>
      </c>
      <c r="J2014" s="31" t="str">
        <f t="shared" si="218"/>
        <v/>
      </c>
      <c r="K2014" s="31" t="str">
        <f t="shared" si="219"/>
        <v/>
      </c>
      <c r="L2014" s="31" t="str">
        <f>IF(OR(B2014="",C2014=""),"",IFERROR(E2014 / SUMIFS('📅 Resumen Diario'!$D$5:$D$504, '📅 Resumen Diario'!$B$5:$B$504, B2014, '📅 Resumen Diario'!$C$5:$C$504, D2014) * SUMIFS('📅 Resumen Diario'!$K$5:$K$504, '📅 Resumen Diario'!$B$5:$B$504, B2014, '📅 Resumen Diario'!$C$5:$C$504, D2014), 0))</f>
        <v/>
      </c>
      <c r="M2014" s="31" t="str">
        <f t="shared" si="220"/>
        <v/>
      </c>
      <c r="N2014" s="31" t="str">
        <f t="shared" si="221"/>
        <v/>
      </c>
      <c r="O2014" s="31" t="str">
        <f>IF(OR(B2014="",C2014=""),"",K2014-N2014 + IFERROR(E2014 / SUMIFS('📅 Resumen Diario'!$D$5:$D$504, '📅 Resumen Diario'!$B$5:$B$504, B2014, '📅 Resumen Diario'!$C$5:$C$504, D2014) * (SUMIFS('📋 Detalle Diario'!$E$5:$E$489, '📋 Detalle Diario'!$B$5:$B$489, B2014, '📋 Detalle Diario'!$C$5:$C$489, D2014) * 135 + SUMIFS('📋 Detalle Diario'!$I$5:$I$489, '📋 Detalle Diario'!$B$5:$B$489, B2014, '📋 Detalle Diario'!$C$5:$C$489, D2014) * 200), 0))</f>
        <v/>
      </c>
      <c r="P2014" s="32" t="str">
        <f t="shared" si="222"/>
        <v/>
      </c>
      <c r="Q2014" s="33" t="str">
        <f t="shared" si="223"/>
        <v/>
      </c>
    </row>
    <row r="2015" spans="2:17" ht="18" customHeight="1" x14ac:dyDescent="0.3">
      <c r="B2015" s="26"/>
      <c r="C2015" s="28"/>
      <c r="D2015" s="27"/>
      <c r="E2015" s="29"/>
      <c r="F2015" s="29"/>
      <c r="G2015" s="29"/>
      <c r="H2015" s="30" t="str">
        <f t="shared" si="217"/>
        <v/>
      </c>
      <c r="I2015" s="31" t="str">
        <f>IF(OR(B2015="",C2015=""),"",IFERROR(E2015*IF(E2015="",0,VLOOKUP(C2015,'📦 Precios Proforma'!$B$5:$D$104,IF(D2015="DIA",2,3),FALSE)),0))</f>
        <v/>
      </c>
      <c r="J2015" s="31" t="str">
        <f t="shared" si="218"/>
        <v/>
      </c>
      <c r="K2015" s="31" t="str">
        <f t="shared" si="219"/>
        <v/>
      </c>
      <c r="L2015" s="31" t="str">
        <f>IF(OR(B2015="",C2015=""),"",IFERROR(E2015 / SUMIFS('📅 Resumen Diario'!$D$5:$D$504, '📅 Resumen Diario'!$B$5:$B$504, B2015, '📅 Resumen Diario'!$C$5:$C$504, D2015) * SUMIFS('📅 Resumen Diario'!$K$5:$K$504, '📅 Resumen Diario'!$B$5:$B$504, B2015, '📅 Resumen Diario'!$C$5:$C$504, D2015), 0))</f>
        <v/>
      </c>
      <c r="M2015" s="31" t="str">
        <f t="shared" si="220"/>
        <v/>
      </c>
      <c r="N2015" s="31" t="str">
        <f t="shared" si="221"/>
        <v/>
      </c>
      <c r="O2015" s="31" t="str">
        <f>IF(OR(B2015="",C2015=""),"",K2015-N2015 + IFERROR(E2015 / SUMIFS('📅 Resumen Diario'!$D$5:$D$504, '📅 Resumen Diario'!$B$5:$B$504, B2015, '📅 Resumen Diario'!$C$5:$C$504, D2015) * (SUMIFS('📋 Detalle Diario'!$E$5:$E$489, '📋 Detalle Diario'!$B$5:$B$489, B2015, '📋 Detalle Diario'!$C$5:$C$489, D2015) * 135 + SUMIFS('📋 Detalle Diario'!$I$5:$I$489, '📋 Detalle Diario'!$B$5:$B$489, B2015, '📋 Detalle Diario'!$C$5:$C$489, D2015) * 200), 0))</f>
        <v/>
      </c>
      <c r="P2015" s="32" t="str">
        <f t="shared" si="222"/>
        <v/>
      </c>
      <c r="Q2015" s="33" t="str">
        <f t="shared" si="223"/>
        <v/>
      </c>
    </row>
    <row r="2016" spans="2:17" ht="18" customHeight="1" x14ac:dyDescent="0.3">
      <c r="B2016" s="26"/>
      <c r="C2016" s="17"/>
      <c r="D2016" s="27"/>
      <c r="E2016" s="18"/>
      <c r="F2016" s="18"/>
      <c r="G2016" s="18"/>
      <c r="H2016" s="30" t="str">
        <f t="shared" si="217"/>
        <v/>
      </c>
      <c r="I2016" s="31" t="str">
        <f>IF(OR(B2016="",C2016=""),"",IFERROR(E2016*IF(E2016="",0,VLOOKUP(C2016,'📦 Precios Proforma'!$B$5:$D$104,IF(D2016="DIA",2,3),FALSE)),0))</f>
        <v/>
      </c>
      <c r="J2016" s="31" t="str">
        <f t="shared" si="218"/>
        <v/>
      </c>
      <c r="K2016" s="31" t="str">
        <f t="shared" si="219"/>
        <v/>
      </c>
      <c r="L2016" s="31" t="str">
        <f>IF(OR(B2016="",C2016=""),"",IFERROR(E2016 / SUMIFS('📅 Resumen Diario'!$D$5:$D$504, '📅 Resumen Diario'!$B$5:$B$504, B2016, '📅 Resumen Diario'!$C$5:$C$504, D2016) * SUMIFS('📅 Resumen Diario'!$K$5:$K$504, '📅 Resumen Diario'!$B$5:$B$504, B2016, '📅 Resumen Diario'!$C$5:$C$504, D2016), 0))</f>
        <v/>
      </c>
      <c r="M2016" s="31" t="str">
        <f t="shared" si="220"/>
        <v/>
      </c>
      <c r="N2016" s="31" t="str">
        <f t="shared" si="221"/>
        <v/>
      </c>
      <c r="O2016" s="31" t="str">
        <f>IF(OR(B2016="",C2016=""),"",K2016-N2016 + IFERROR(E2016 / SUMIFS('📅 Resumen Diario'!$D$5:$D$504, '📅 Resumen Diario'!$B$5:$B$504, B2016, '📅 Resumen Diario'!$C$5:$C$504, D2016) * (SUMIFS('📋 Detalle Diario'!$E$5:$E$489, '📋 Detalle Diario'!$B$5:$B$489, B2016, '📋 Detalle Diario'!$C$5:$C$489, D2016) * 135 + SUMIFS('📋 Detalle Diario'!$I$5:$I$489, '📋 Detalle Diario'!$B$5:$B$489, B2016, '📋 Detalle Diario'!$C$5:$C$489, D2016) * 200), 0))</f>
        <v/>
      </c>
      <c r="P2016" s="32" t="str">
        <f t="shared" si="222"/>
        <v/>
      </c>
      <c r="Q2016" s="33" t="str">
        <f t="shared" si="223"/>
        <v/>
      </c>
    </row>
    <row r="2017" spans="2:17" ht="18" customHeight="1" x14ac:dyDescent="0.3">
      <c r="B2017" s="26"/>
      <c r="C2017" s="28"/>
      <c r="D2017" s="27"/>
      <c r="E2017" s="29"/>
      <c r="F2017" s="29"/>
      <c r="G2017" s="29"/>
      <c r="H2017" s="30" t="str">
        <f t="shared" si="217"/>
        <v/>
      </c>
      <c r="I2017" s="31" t="str">
        <f>IF(OR(B2017="",C2017=""),"",IFERROR(E2017*IF(E2017="",0,VLOOKUP(C2017,'📦 Precios Proforma'!$B$5:$D$104,IF(D2017="DIA",2,3),FALSE)),0))</f>
        <v/>
      </c>
      <c r="J2017" s="31" t="str">
        <f t="shared" si="218"/>
        <v/>
      </c>
      <c r="K2017" s="31" t="str">
        <f t="shared" si="219"/>
        <v/>
      </c>
      <c r="L2017" s="31" t="str">
        <f>IF(OR(B2017="",C2017=""),"",IFERROR(E2017 / SUMIFS('📅 Resumen Diario'!$D$5:$D$504, '📅 Resumen Diario'!$B$5:$B$504, B2017, '📅 Resumen Diario'!$C$5:$C$504, D2017) * SUMIFS('📅 Resumen Diario'!$K$5:$K$504, '📅 Resumen Diario'!$B$5:$B$504, B2017, '📅 Resumen Diario'!$C$5:$C$504, D2017), 0))</f>
        <v/>
      </c>
      <c r="M2017" s="31" t="str">
        <f t="shared" si="220"/>
        <v/>
      </c>
      <c r="N2017" s="31" t="str">
        <f t="shared" si="221"/>
        <v/>
      </c>
      <c r="O2017" s="31" t="str">
        <f>IF(OR(B2017="",C2017=""),"",K2017-N2017 + IFERROR(E2017 / SUMIFS('📅 Resumen Diario'!$D$5:$D$504, '📅 Resumen Diario'!$B$5:$B$504, B2017, '📅 Resumen Diario'!$C$5:$C$504, D2017) * (SUMIFS('📋 Detalle Diario'!$E$5:$E$489, '📋 Detalle Diario'!$B$5:$B$489, B2017, '📋 Detalle Diario'!$C$5:$C$489, D2017) * 135 + SUMIFS('📋 Detalle Diario'!$I$5:$I$489, '📋 Detalle Diario'!$B$5:$B$489, B2017, '📋 Detalle Diario'!$C$5:$C$489, D2017) * 200), 0))</f>
        <v/>
      </c>
      <c r="P2017" s="32" t="str">
        <f t="shared" si="222"/>
        <v/>
      </c>
      <c r="Q2017" s="33" t="str">
        <f t="shared" si="223"/>
        <v/>
      </c>
    </row>
    <row r="2018" spans="2:17" ht="18" customHeight="1" x14ac:dyDescent="0.3">
      <c r="B2018" s="26"/>
      <c r="C2018" s="17"/>
      <c r="D2018" s="27"/>
      <c r="E2018" s="18"/>
      <c r="F2018" s="18"/>
      <c r="G2018" s="18"/>
      <c r="H2018" s="30" t="str">
        <f t="shared" si="217"/>
        <v/>
      </c>
      <c r="I2018" s="31" t="str">
        <f>IF(OR(B2018="",C2018=""),"",IFERROR(E2018*IF(E2018="",0,VLOOKUP(C2018,'📦 Precios Proforma'!$B$5:$D$104,IF(D2018="DIA",2,3),FALSE)),0))</f>
        <v/>
      </c>
      <c r="J2018" s="31" t="str">
        <f t="shared" si="218"/>
        <v/>
      </c>
      <c r="K2018" s="31" t="str">
        <f t="shared" si="219"/>
        <v/>
      </c>
      <c r="L2018" s="31" t="str">
        <f>IF(OR(B2018="",C2018=""),"",IFERROR(E2018 / SUMIFS('📅 Resumen Diario'!$D$5:$D$504, '📅 Resumen Diario'!$B$5:$B$504, B2018, '📅 Resumen Diario'!$C$5:$C$504, D2018) * SUMIFS('📅 Resumen Diario'!$K$5:$K$504, '📅 Resumen Diario'!$B$5:$B$504, B2018, '📅 Resumen Diario'!$C$5:$C$504, D2018), 0))</f>
        <v/>
      </c>
      <c r="M2018" s="31" t="str">
        <f t="shared" si="220"/>
        <v/>
      </c>
      <c r="N2018" s="31" t="str">
        <f t="shared" si="221"/>
        <v/>
      </c>
      <c r="O2018" s="31" t="str">
        <f>IF(OR(B2018="",C2018=""),"",K2018-N2018 + IFERROR(E2018 / SUMIFS('📅 Resumen Diario'!$D$5:$D$504, '📅 Resumen Diario'!$B$5:$B$504, B2018, '📅 Resumen Diario'!$C$5:$C$504, D2018) * (SUMIFS('📋 Detalle Diario'!$E$5:$E$489, '📋 Detalle Diario'!$B$5:$B$489, B2018, '📋 Detalle Diario'!$C$5:$C$489, D2018) * 135 + SUMIFS('📋 Detalle Diario'!$I$5:$I$489, '📋 Detalle Diario'!$B$5:$B$489, B2018, '📋 Detalle Diario'!$C$5:$C$489, D2018) * 200), 0))</f>
        <v/>
      </c>
      <c r="P2018" s="32" t="str">
        <f t="shared" si="222"/>
        <v/>
      </c>
      <c r="Q2018" s="33" t="str">
        <f t="shared" si="223"/>
        <v/>
      </c>
    </row>
    <row r="2019" spans="2:17" ht="18" customHeight="1" x14ac:dyDescent="0.3">
      <c r="B2019" s="26"/>
      <c r="C2019" s="28"/>
      <c r="D2019" s="27"/>
      <c r="E2019" s="29"/>
      <c r="F2019" s="29"/>
      <c r="G2019" s="29"/>
      <c r="H2019" s="30" t="str">
        <f t="shared" si="217"/>
        <v/>
      </c>
      <c r="I2019" s="31" t="str">
        <f>IF(OR(B2019="",C2019=""),"",IFERROR(E2019*IF(E2019="",0,VLOOKUP(C2019,'📦 Precios Proforma'!$B$5:$D$104,IF(D2019="DIA",2,3),FALSE)),0))</f>
        <v/>
      </c>
      <c r="J2019" s="31" t="str">
        <f t="shared" si="218"/>
        <v/>
      </c>
      <c r="K2019" s="31" t="str">
        <f t="shared" si="219"/>
        <v/>
      </c>
      <c r="L2019" s="31" t="str">
        <f>IF(OR(B2019="",C2019=""),"",IFERROR(E2019 / SUMIFS('📅 Resumen Diario'!$D$5:$D$504, '📅 Resumen Diario'!$B$5:$B$504, B2019, '📅 Resumen Diario'!$C$5:$C$504, D2019) * SUMIFS('📅 Resumen Diario'!$K$5:$K$504, '📅 Resumen Diario'!$B$5:$B$504, B2019, '📅 Resumen Diario'!$C$5:$C$504, D2019), 0))</f>
        <v/>
      </c>
      <c r="M2019" s="31" t="str">
        <f t="shared" si="220"/>
        <v/>
      </c>
      <c r="N2019" s="31" t="str">
        <f t="shared" si="221"/>
        <v/>
      </c>
      <c r="O2019" s="31" t="str">
        <f>IF(OR(B2019="",C2019=""),"",K2019-N2019 + IFERROR(E2019 / SUMIFS('📅 Resumen Diario'!$D$5:$D$504, '📅 Resumen Diario'!$B$5:$B$504, B2019, '📅 Resumen Diario'!$C$5:$C$504, D2019) * (SUMIFS('📋 Detalle Diario'!$E$5:$E$489, '📋 Detalle Diario'!$B$5:$B$489, B2019, '📋 Detalle Diario'!$C$5:$C$489, D2019) * 135 + SUMIFS('📋 Detalle Diario'!$I$5:$I$489, '📋 Detalle Diario'!$B$5:$B$489, B2019, '📋 Detalle Diario'!$C$5:$C$489, D2019) * 200), 0))</f>
        <v/>
      </c>
      <c r="P2019" s="32" t="str">
        <f t="shared" si="222"/>
        <v/>
      </c>
      <c r="Q2019" s="33" t="str">
        <f t="shared" si="223"/>
        <v/>
      </c>
    </row>
    <row r="2020" spans="2:17" ht="18" customHeight="1" x14ac:dyDescent="0.3">
      <c r="B2020" s="26"/>
      <c r="C2020" s="17"/>
      <c r="D2020" s="27"/>
      <c r="E2020" s="18"/>
      <c r="F2020" s="18"/>
      <c r="G2020" s="18"/>
      <c r="H2020" s="30" t="str">
        <f t="shared" si="217"/>
        <v/>
      </c>
      <c r="I2020" s="31" t="str">
        <f>IF(OR(B2020="",C2020=""),"",IFERROR(E2020*IF(E2020="",0,VLOOKUP(C2020,'📦 Precios Proforma'!$B$5:$D$104,IF(D2020="DIA",2,3),FALSE)),0))</f>
        <v/>
      </c>
      <c r="J2020" s="31" t="str">
        <f t="shared" si="218"/>
        <v/>
      </c>
      <c r="K2020" s="31" t="str">
        <f t="shared" si="219"/>
        <v/>
      </c>
      <c r="L2020" s="31" t="str">
        <f>IF(OR(B2020="",C2020=""),"",IFERROR(E2020 / SUMIFS('📅 Resumen Diario'!$D$5:$D$504, '📅 Resumen Diario'!$B$5:$B$504, B2020, '📅 Resumen Diario'!$C$5:$C$504, D2020) * SUMIFS('📅 Resumen Diario'!$K$5:$K$504, '📅 Resumen Diario'!$B$5:$B$504, B2020, '📅 Resumen Diario'!$C$5:$C$504, D2020), 0))</f>
        <v/>
      </c>
      <c r="M2020" s="31" t="str">
        <f t="shared" si="220"/>
        <v/>
      </c>
      <c r="N2020" s="31" t="str">
        <f t="shared" si="221"/>
        <v/>
      </c>
      <c r="O2020" s="31" t="str">
        <f>IF(OR(B2020="",C2020=""),"",K2020-N2020 + IFERROR(E2020 / SUMIFS('📅 Resumen Diario'!$D$5:$D$504, '📅 Resumen Diario'!$B$5:$B$504, B2020, '📅 Resumen Diario'!$C$5:$C$504, D2020) * (SUMIFS('📋 Detalle Diario'!$E$5:$E$489, '📋 Detalle Diario'!$B$5:$B$489, B2020, '📋 Detalle Diario'!$C$5:$C$489, D2020) * 135 + SUMIFS('📋 Detalle Diario'!$I$5:$I$489, '📋 Detalle Diario'!$B$5:$B$489, B2020, '📋 Detalle Diario'!$C$5:$C$489, D2020) * 200), 0))</f>
        <v/>
      </c>
      <c r="P2020" s="32" t="str">
        <f t="shared" si="222"/>
        <v/>
      </c>
      <c r="Q2020" s="33" t="str">
        <f t="shared" si="223"/>
        <v/>
      </c>
    </row>
    <row r="2021" spans="2:17" ht="18" customHeight="1" x14ac:dyDescent="0.3">
      <c r="B2021" s="26"/>
      <c r="C2021" s="28"/>
      <c r="D2021" s="27"/>
      <c r="E2021" s="29"/>
      <c r="F2021" s="29"/>
      <c r="G2021" s="29"/>
      <c r="H2021" s="30" t="str">
        <f t="shared" si="217"/>
        <v/>
      </c>
      <c r="I2021" s="31" t="str">
        <f>IF(OR(B2021="",C2021=""),"",IFERROR(E2021*IF(E2021="",0,VLOOKUP(C2021,'📦 Precios Proforma'!$B$5:$D$104,IF(D2021="DIA",2,3),FALSE)),0))</f>
        <v/>
      </c>
      <c r="J2021" s="31" t="str">
        <f t="shared" si="218"/>
        <v/>
      </c>
      <c r="K2021" s="31" t="str">
        <f t="shared" si="219"/>
        <v/>
      </c>
      <c r="L2021" s="31" t="str">
        <f>IF(OR(B2021="",C2021=""),"",IFERROR(E2021 / SUMIFS('📅 Resumen Diario'!$D$5:$D$504, '📅 Resumen Diario'!$B$5:$B$504, B2021, '📅 Resumen Diario'!$C$5:$C$504, D2021) * SUMIFS('📅 Resumen Diario'!$K$5:$K$504, '📅 Resumen Diario'!$B$5:$B$504, B2021, '📅 Resumen Diario'!$C$5:$C$504, D2021), 0))</f>
        <v/>
      </c>
      <c r="M2021" s="31" t="str">
        <f t="shared" si="220"/>
        <v/>
      </c>
      <c r="N2021" s="31" t="str">
        <f t="shared" si="221"/>
        <v/>
      </c>
      <c r="O2021" s="31" t="str">
        <f>IF(OR(B2021="",C2021=""),"",K2021-N2021 + IFERROR(E2021 / SUMIFS('📅 Resumen Diario'!$D$5:$D$504, '📅 Resumen Diario'!$B$5:$B$504, B2021, '📅 Resumen Diario'!$C$5:$C$504, D2021) * (SUMIFS('📋 Detalle Diario'!$E$5:$E$489, '📋 Detalle Diario'!$B$5:$B$489, B2021, '📋 Detalle Diario'!$C$5:$C$489, D2021) * 135 + SUMIFS('📋 Detalle Diario'!$I$5:$I$489, '📋 Detalle Diario'!$B$5:$B$489, B2021, '📋 Detalle Diario'!$C$5:$C$489, D2021) * 200), 0))</f>
        <v/>
      </c>
      <c r="P2021" s="32" t="str">
        <f t="shared" si="222"/>
        <v/>
      </c>
      <c r="Q2021" s="33" t="str">
        <f t="shared" si="223"/>
        <v/>
      </c>
    </row>
    <row r="2022" spans="2:17" ht="18" customHeight="1" x14ac:dyDescent="0.3">
      <c r="B2022" s="26"/>
      <c r="C2022" s="17"/>
      <c r="D2022" s="27"/>
      <c r="E2022" s="18"/>
      <c r="F2022" s="18"/>
      <c r="G2022" s="18"/>
      <c r="H2022" s="30" t="str">
        <f t="shared" si="217"/>
        <v/>
      </c>
      <c r="I2022" s="31" t="str">
        <f>IF(OR(B2022="",C2022=""),"",IFERROR(E2022*IF(E2022="",0,VLOOKUP(C2022,'📦 Precios Proforma'!$B$5:$D$104,IF(D2022="DIA",2,3),FALSE)),0))</f>
        <v/>
      </c>
      <c r="J2022" s="31" t="str">
        <f t="shared" si="218"/>
        <v/>
      </c>
      <c r="K2022" s="31" t="str">
        <f t="shared" si="219"/>
        <v/>
      </c>
      <c r="L2022" s="31" t="str">
        <f>IF(OR(B2022="",C2022=""),"",IFERROR(E2022 / SUMIFS('📅 Resumen Diario'!$D$5:$D$504, '📅 Resumen Diario'!$B$5:$B$504, B2022, '📅 Resumen Diario'!$C$5:$C$504, D2022) * SUMIFS('📅 Resumen Diario'!$K$5:$K$504, '📅 Resumen Diario'!$B$5:$B$504, B2022, '📅 Resumen Diario'!$C$5:$C$504, D2022), 0))</f>
        <v/>
      </c>
      <c r="M2022" s="31" t="str">
        <f t="shared" si="220"/>
        <v/>
      </c>
      <c r="N2022" s="31" t="str">
        <f t="shared" si="221"/>
        <v/>
      </c>
      <c r="O2022" s="31" t="str">
        <f>IF(OR(B2022="",C2022=""),"",K2022-N2022 + IFERROR(E2022 / SUMIFS('📅 Resumen Diario'!$D$5:$D$504, '📅 Resumen Diario'!$B$5:$B$504, B2022, '📅 Resumen Diario'!$C$5:$C$504, D2022) * (SUMIFS('📋 Detalle Diario'!$E$5:$E$489, '📋 Detalle Diario'!$B$5:$B$489, B2022, '📋 Detalle Diario'!$C$5:$C$489, D2022) * 135 + SUMIFS('📋 Detalle Diario'!$I$5:$I$489, '📋 Detalle Diario'!$B$5:$B$489, B2022, '📋 Detalle Diario'!$C$5:$C$489, D2022) * 200), 0))</f>
        <v/>
      </c>
      <c r="P2022" s="32" t="str">
        <f t="shared" si="222"/>
        <v/>
      </c>
      <c r="Q2022" s="33" t="str">
        <f t="shared" si="223"/>
        <v/>
      </c>
    </row>
    <row r="2023" spans="2:17" ht="18" customHeight="1" x14ac:dyDescent="0.3">
      <c r="B2023" s="26"/>
      <c r="C2023" s="28"/>
      <c r="D2023" s="27"/>
      <c r="E2023" s="29"/>
      <c r="F2023" s="29"/>
      <c r="G2023" s="29"/>
      <c r="H2023" s="30" t="str">
        <f t="shared" si="217"/>
        <v/>
      </c>
      <c r="I2023" s="31" t="str">
        <f>IF(OR(B2023="",C2023=""),"",IFERROR(E2023*IF(E2023="",0,VLOOKUP(C2023,'📦 Precios Proforma'!$B$5:$D$104,IF(D2023="DIA",2,3),FALSE)),0))</f>
        <v/>
      </c>
      <c r="J2023" s="31" t="str">
        <f t="shared" si="218"/>
        <v/>
      </c>
      <c r="K2023" s="31" t="str">
        <f t="shared" si="219"/>
        <v/>
      </c>
      <c r="L2023" s="31" t="str">
        <f>IF(OR(B2023="",C2023=""),"",IFERROR(E2023 / SUMIFS('📅 Resumen Diario'!$D$5:$D$504, '📅 Resumen Diario'!$B$5:$B$504, B2023, '📅 Resumen Diario'!$C$5:$C$504, D2023) * SUMIFS('📅 Resumen Diario'!$K$5:$K$504, '📅 Resumen Diario'!$B$5:$B$504, B2023, '📅 Resumen Diario'!$C$5:$C$504, D2023), 0))</f>
        <v/>
      </c>
      <c r="M2023" s="31" t="str">
        <f t="shared" si="220"/>
        <v/>
      </c>
      <c r="N2023" s="31" t="str">
        <f t="shared" si="221"/>
        <v/>
      </c>
      <c r="O2023" s="31" t="str">
        <f>IF(OR(B2023="",C2023=""),"",K2023-N2023 + IFERROR(E2023 / SUMIFS('📅 Resumen Diario'!$D$5:$D$504, '📅 Resumen Diario'!$B$5:$B$504, B2023, '📅 Resumen Diario'!$C$5:$C$504, D2023) * (SUMIFS('📋 Detalle Diario'!$E$5:$E$489, '📋 Detalle Diario'!$B$5:$B$489, B2023, '📋 Detalle Diario'!$C$5:$C$489, D2023) * 135 + SUMIFS('📋 Detalle Diario'!$I$5:$I$489, '📋 Detalle Diario'!$B$5:$B$489, B2023, '📋 Detalle Diario'!$C$5:$C$489, D2023) * 200), 0))</f>
        <v/>
      </c>
      <c r="P2023" s="32" t="str">
        <f t="shared" si="222"/>
        <v/>
      </c>
      <c r="Q2023" s="33" t="str">
        <f t="shared" si="223"/>
        <v/>
      </c>
    </row>
    <row r="2024" spans="2:17" ht="18" customHeight="1" x14ac:dyDescent="0.3">
      <c r="B2024" s="26"/>
      <c r="C2024" s="17"/>
      <c r="D2024" s="27"/>
      <c r="E2024" s="18"/>
      <c r="F2024" s="18"/>
      <c r="G2024" s="18"/>
      <c r="H2024" s="30" t="str">
        <f t="shared" si="217"/>
        <v/>
      </c>
      <c r="I2024" s="31" t="str">
        <f>IF(OR(B2024="",C2024=""),"",IFERROR(E2024*IF(E2024="",0,VLOOKUP(C2024,'📦 Precios Proforma'!$B$5:$D$104,IF(D2024="DIA",2,3),FALSE)),0))</f>
        <v/>
      </c>
      <c r="J2024" s="31" t="str">
        <f t="shared" si="218"/>
        <v/>
      </c>
      <c r="K2024" s="31" t="str">
        <f t="shared" si="219"/>
        <v/>
      </c>
      <c r="L2024" s="31" t="str">
        <f>IF(OR(B2024="",C2024=""),"",IFERROR(E2024 / SUMIFS('📅 Resumen Diario'!$D$5:$D$504, '📅 Resumen Diario'!$B$5:$B$504, B2024, '📅 Resumen Diario'!$C$5:$C$504, D2024) * SUMIFS('📅 Resumen Diario'!$K$5:$K$504, '📅 Resumen Diario'!$B$5:$B$504, B2024, '📅 Resumen Diario'!$C$5:$C$504, D2024), 0))</f>
        <v/>
      </c>
      <c r="M2024" s="31" t="str">
        <f t="shared" si="220"/>
        <v/>
      </c>
      <c r="N2024" s="31" t="str">
        <f t="shared" si="221"/>
        <v/>
      </c>
      <c r="O2024" s="31" t="str">
        <f>IF(OR(B2024="",C2024=""),"",K2024-N2024 + IFERROR(E2024 / SUMIFS('📅 Resumen Diario'!$D$5:$D$504, '📅 Resumen Diario'!$B$5:$B$504, B2024, '📅 Resumen Diario'!$C$5:$C$504, D2024) * (SUMIFS('📋 Detalle Diario'!$E$5:$E$489, '📋 Detalle Diario'!$B$5:$B$489, B2024, '📋 Detalle Diario'!$C$5:$C$489, D2024) * 135 + SUMIFS('📋 Detalle Diario'!$I$5:$I$489, '📋 Detalle Diario'!$B$5:$B$489, B2024, '📋 Detalle Diario'!$C$5:$C$489, D2024) * 200), 0))</f>
        <v/>
      </c>
      <c r="P2024" s="32" t="str">
        <f t="shared" si="222"/>
        <v/>
      </c>
      <c r="Q2024" s="33" t="str">
        <f t="shared" si="223"/>
        <v/>
      </c>
    </row>
    <row r="2025" spans="2:17" ht="18" customHeight="1" x14ac:dyDescent="0.3">
      <c r="B2025" s="26"/>
      <c r="C2025" s="28"/>
      <c r="D2025" s="27"/>
      <c r="E2025" s="29"/>
      <c r="F2025" s="29"/>
      <c r="G2025" s="29"/>
      <c r="H2025" s="30" t="str">
        <f t="shared" si="217"/>
        <v/>
      </c>
      <c r="I2025" s="31" t="str">
        <f>IF(OR(B2025="",C2025=""),"",IFERROR(E2025*IF(E2025="",0,VLOOKUP(C2025,'📦 Precios Proforma'!$B$5:$D$104,IF(D2025="DIA",2,3),FALSE)),0))</f>
        <v/>
      </c>
      <c r="J2025" s="31" t="str">
        <f t="shared" si="218"/>
        <v/>
      </c>
      <c r="K2025" s="31" t="str">
        <f t="shared" si="219"/>
        <v/>
      </c>
      <c r="L2025" s="31" t="str">
        <f>IF(OR(B2025="",C2025=""),"",IFERROR(E2025 / SUMIFS('📅 Resumen Diario'!$D$5:$D$504, '📅 Resumen Diario'!$B$5:$B$504, B2025, '📅 Resumen Diario'!$C$5:$C$504, D2025) * SUMIFS('📅 Resumen Diario'!$K$5:$K$504, '📅 Resumen Diario'!$B$5:$B$504, B2025, '📅 Resumen Diario'!$C$5:$C$504, D2025), 0))</f>
        <v/>
      </c>
      <c r="M2025" s="31" t="str">
        <f t="shared" si="220"/>
        <v/>
      </c>
      <c r="N2025" s="31" t="str">
        <f t="shared" si="221"/>
        <v/>
      </c>
      <c r="O2025" s="31" t="str">
        <f>IF(OR(B2025="",C2025=""),"",K2025-N2025 + IFERROR(E2025 / SUMIFS('📅 Resumen Diario'!$D$5:$D$504, '📅 Resumen Diario'!$B$5:$B$504, B2025, '📅 Resumen Diario'!$C$5:$C$504, D2025) * (SUMIFS('📋 Detalle Diario'!$E$5:$E$489, '📋 Detalle Diario'!$B$5:$B$489, B2025, '📋 Detalle Diario'!$C$5:$C$489, D2025) * 135 + SUMIFS('📋 Detalle Diario'!$I$5:$I$489, '📋 Detalle Diario'!$B$5:$B$489, B2025, '📋 Detalle Diario'!$C$5:$C$489, D2025) * 200), 0))</f>
        <v/>
      </c>
      <c r="P2025" s="32" t="str">
        <f t="shared" si="222"/>
        <v/>
      </c>
      <c r="Q2025" s="33" t="str">
        <f t="shared" si="223"/>
        <v/>
      </c>
    </row>
    <row r="2026" spans="2:17" ht="18" customHeight="1" x14ac:dyDescent="0.3">
      <c r="B2026" s="26"/>
      <c r="C2026" s="17"/>
      <c r="D2026" s="27"/>
      <c r="E2026" s="18"/>
      <c r="F2026" s="18"/>
      <c r="G2026" s="18"/>
      <c r="H2026" s="30" t="str">
        <f t="shared" si="217"/>
        <v/>
      </c>
      <c r="I2026" s="31" t="str">
        <f>IF(OR(B2026="",C2026=""),"",IFERROR(E2026*IF(E2026="",0,VLOOKUP(C2026,'📦 Precios Proforma'!$B$5:$D$104,IF(D2026="DIA",2,3),FALSE)),0))</f>
        <v/>
      </c>
      <c r="J2026" s="31" t="str">
        <f t="shared" si="218"/>
        <v/>
      </c>
      <c r="K2026" s="31" t="str">
        <f t="shared" si="219"/>
        <v/>
      </c>
      <c r="L2026" s="31" t="str">
        <f>IF(OR(B2026="",C2026=""),"",IFERROR(E2026 / SUMIFS('📅 Resumen Diario'!$D$5:$D$504, '📅 Resumen Diario'!$B$5:$B$504, B2026, '📅 Resumen Diario'!$C$5:$C$504, D2026) * SUMIFS('📅 Resumen Diario'!$K$5:$K$504, '📅 Resumen Diario'!$B$5:$B$504, B2026, '📅 Resumen Diario'!$C$5:$C$504, D2026), 0))</f>
        <v/>
      </c>
      <c r="M2026" s="31" t="str">
        <f t="shared" si="220"/>
        <v/>
      </c>
      <c r="N2026" s="31" t="str">
        <f t="shared" si="221"/>
        <v/>
      </c>
      <c r="O2026" s="31" t="str">
        <f>IF(OR(B2026="",C2026=""),"",K2026-N2026 + IFERROR(E2026 / SUMIFS('📅 Resumen Diario'!$D$5:$D$504, '📅 Resumen Diario'!$B$5:$B$504, B2026, '📅 Resumen Diario'!$C$5:$C$504, D2026) * (SUMIFS('📋 Detalle Diario'!$E$5:$E$489, '📋 Detalle Diario'!$B$5:$B$489, B2026, '📋 Detalle Diario'!$C$5:$C$489, D2026) * 135 + SUMIFS('📋 Detalle Diario'!$I$5:$I$489, '📋 Detalle Diario'!$B$5:$B$489, B2026, '📋 Detalle Diario'!$C$5:$C$489, D2026) * 200), 0))</f>
        <v/>
      </c>
      <c r="P2026" s="32" t="str">
        <f t="shared" si="222"/>
        <v/>
      </c>
      <c r="Q2026" s="33" t="str">
        <f t="shared" si="223"/>
        <v/>
      </c>
    </row>
    <row r="2027" spans="2:17" ht="18" customHeight="1" x14ac:dyDescent="0.3">
      <c r="B2027" s="26"/>
      <c r="C2027" s="28"/>
      <c r="D2027" s="27"/>
      <c r="E2027" s="29"/>
      <c r="F2027" s="29"/>
      <c r="G2027" s="29"/>
      <c r="H2027" s="30" t="str">
        <f t="shared" si="217"/>
        <v/>
      </c>
      <c r="I2027" s="31" t="str">
        <f>IF(OR(B2027="",C2027=""),"",IFERROR(E2027*IF(E2027="",0,VLOOKUP(C2027,'📦 Precios Proforma'!$B$5:$D$104,IF(D2027="DIA",2,3),FALSE)),0))</f>
        <v/>
      </c>
      <c r="J2027" s="31" t="str">
        <f t="shared" si="218"/>
        <v/>
      </c>
      <c r="K2027" s="31" t="str">
        <f t="shared" si="219"/>
        <v/>
      </c>
      <c r="L2027" s="31" t="str">
        <f>IF(OR(B2027="",C2027=""),"",IFERROR(E2027 / SUMIFS('📅 Resumen Diario'!$D$5:$D$504, '📅 Resumen Diario'!$B$5:$B$504, B2027, '📅 Resumen Diario'!$C$5:$C$504, D2027) * SUMIFS('📅 Resumen Diario'!$K$5:$K$504, '📅 Resumen Diario'!$B$5:$B$504, B2027, '📅 Resumen Diario'!$C$5:$C$504, D2027), 0))</f>
        <v/>
      </c>
      <c r="M2027" s="31" t="str">
        <f t="shared" si="220"/>
        <v/>
      </c>
      <c r="N2027" s="31" t="str">
        <f t="shared" si="221"/>
        <v/>
      </c>
      <c r="O2027" s="31" t="str">
        <f>IF(OR(B2027="",C2027=""),"",K2027-N2027 + IFERROR(E2027 / SUMIFS('📅 Resumen Diario'!$D$5:$D$504, '📅 Resumen Diario'!$B$5:$B$504, B2027, '📅 Resumen Diario'!$C$5:$C$504, D2027) * (SUMIFS('📋 Detalle Diario'!$E$5:$E$489, '📋 Detalle Diario'!$B$5:$B$489, B2027, '📋 Detalle Diario'!$C$5:$C$489, D2027) * 135 + SUMIFS('📋 Detalle Diario'!$I$5:$I$489, '📋 Detalle Diario'!$B$5:$B$489, B2027, '📋 Detalle Diario'!$C$5:$C$489, D2027) * 200), 0))</f>
        <v/>
      </c>
      <c r="P2027" s="32" t="str">
        <f t="shared" si="222"/>
        <v/>
      </c>
      <c r="Q2027" s="33" t="str">
        <f t="shared" si="223"/>
        <v/>
      </c>
    </row>
    <row r="2028" spans="2:17" ht="18" customHeight="1" x14ac:dyDescent="0.3">
      <c r="B2028" s="26"/>
      <c r="C2028" s="17"/>
      <c r="D2028" s="27"/>
      <c r="E2028" s="18"/>
      <c r="F2028" s="18"/>
      <c r="G2028" s="18"/>
      <c r="H2028" s="30" t="str">
        <f t="shared" si="217"/>
        <v/>
      </c>
      <c r="I2028" s="31" t="str">
        <f>IF(OR(B2028="",C2028=""),"",IFERROR(E2028*IF(E2028="",0,VLOOKUP(C2028,'📦 Precios Proforma'!$B$5:$D$104,IF(D2028="DIA",2,3),FALSE)),0))</f>
        <v/>
      </c>
      <c r="J2028" s="31" t="str">
        <f t="shared" si="218"/>
        <v/>
      </c>
      <c r="K2028" s="31" t="str">
        <f t="shared" si="219"/>
        <v/>
      </c>
      <c r="L2028" s="31" t="str">
        <f>IF(OR(B2028="",C2028=""),"",IFERROR(E2028 / SUMIFS('📅 Resumen Diario'!$D$5:$D$504, '📅 Resumen Diario'!$B$5:$B$504, B2028, '📅 Resumen Diario'!$C$5:$C$504, D2028) * SUMIFS('📅 Resumen Diario'!$K$5:$K$504, '📅 Resumen Diario'!$B$5:$B$504, B2028, '📅 Resumen Diario'!$C$5:$C$504, D2028), 0))</f>
        <v/>
      </c>
      <c r="M2028" s="31" t="str">
        <f t="shared" si="220"/>
        <v/>
      </c>
      <c r="N2028" s="31" t="str">
        <f t="shared" si="221"/>
        <v/>
      </c>
      <c r="O2028" s="31" t="str">
        <f>IF(OR(B2028="",C2028=""),"",K2028-N2028 + IFERROR(E2028 / SUMIFS('📅 Resumen Diario'!$D$5:$D$504, '📅 Resumen Diario'!$B$5:$B$504, B2028, '📅 Resumen Diario'!$C$5:$C$504, D2028) * (SUMIFS('📋 Detalle Diario'!$E$5:$E$489, '📋 Detalle Diario'!$B$5:$B$489, B2028, '📋 Detalle Diario'!$C$5:$C$489, D2028) * 135 + SUMIFS('📋 Detalle Diario'!$I$5:$I$489, '📋 Detalle Diario'!$B$5:$B$489, B2028, '📋 Detalle Diario'!$C$5:$C$489, D2028) * 200), 0))</f>
        <v/>
      </c>
      <c r="P2028" s="32" t="str">
        <f t="shared" si="222"/>
        <v/>
      </c>
      <c r="Q2028" s="33" t="str">
        <f t="shared" si="223"/>
        <v/>
      </c>
    </row>
    <row r="2029" spans="2:17" ht="18" customHeight="1" x14ac:dyDescent="0.3">
      <c r="B2029" s="26"/>
      <c r="C2029" s="28"/>
      <c r="D2029" s="27"/>
      <c r="E2029" s="29"/>
      <c r="F2029" s="29"/>
      <c r="G2029" s="29"/>
      <c r="H2029" s="30" t="str">
        <f t="shared" si="217"/>
        <v/>
      </c>
      <c r="I2029" s="31" t="str">
        <f>IF(OR(B2029="",C2029=""),"",IFERROR(E2029*IF(E2029="",0,VLOOKUP(C2029,'📦 Precios Proforma'!$B$5:$D$104,IF(D2029="DIA",2,3),FALSE)),0))</f>
        <v/>
      </c>
      <c r="J2029" s="31" t="str">
        <f t="shared" si="218"/>
        <v/>
      </c>
      <c r="K2029" s="31" t="str">
        <f t="shared" si="219"/>
        <v/>
      </c>
      <c r="L2029" s="31" t="str">
        <f>IF(OR(B2029="",C2029=""),"",IFERROR(E2029 / SUMIFS('📅 Resumen Diario'!$D$5:$D$504, '📅 Resumen Diario'!$B$5:$B$504, B2029, '📅 Resumen Diario'!$C$5:$C$504, D2029) * SUMIFS('📅 Resumen Diario'!$K$5:$K$504, '📅 Resumen Diario'!$B$5:$B$504, B2029, '📅 Resumen Diario'!$C$5:$C$504, D2029), 0))</f>
        <v/>
      </c>
      <c r="M2029" s="31" t="str">
        <f t="shared" si="220"/>
        <v/>
      </c>
      <c r="N2029" s="31" t="str">
        <f t="shared" si="221"/>
        <v/>
      </c>
      <c r="O2029" s="31" t="str">
        <f>IF(OR(B2029="",C2029=""),"",K2029-N2029 + IFERROR(E2029 / SUMIFS('📅 Resumen Diario'!$D$5:$D$504, '📅 Resumen Diario'!$B$5:$B$504, B2029, '📅 Resumen Diario'!$C$5:$C$504, D2029) * (SUMIFS('📋 Detalle Diario'!$E$5:$E$489, '📋 Detalle Diario'!$B$5:$B$489, B2029, '📋 Detalle Diario'!$C$5:$C$489, D2029) * 135 + SUMIFS('📋 Detalle Diario'!$I$5:$I$489, '📋 Detalle Diario'!$B$5:$B$489, B2029, '📋 Detalle Diario'!$C$5:$C$489, D2029) * 200), 0))</f>
        <v/>
      </c>
      <c r="P2029" s="32" t="str">
        <f t="shared" si="222"/>
        <v/>
      </c>
      <c r="Q2029" s="33" t="str">
        <f t="shared" si="223"/>
        <v/>
      </c>
    </row>
    <row r="2030" spans="2:17" ht="18" customHeight="1" x14ac:dyDescent="0.3">
      <c r="B2030" s="26"/>
      <c r="C2030" s="17"/>
      <c r="D2030" s="27"/>
      <c r="E2030" s="18"/>
      <c r="F2030" s="18"/>
      <c r="G2030" s="18"/>
      <c r="H2030" s="30" t="str">
        <f t="shared" si="217"/>
        <v/>
      </c>
      <c r="I2030" s="31" t="str">
        <f>IF(OR(B2030="",C2030=""),"",IFERROR(E2030*IF(E2030="",0,VLOOKUP(C2030,'📦 Precios Proforma'!$B$5:$D$104,IF(D2030="DIA",2,3),FALSE)),0))</f>
        <v/>
      </c>
      <c r="J2030" s="31" t="str">
        <f t="shared" si="218"/>
        <v/>
      </c>
      <c r="K2030" s="31" t="str">
        <f t="shared" si="219"/>
        <v/>
      </c>
      <c r="L2030" s="31" t="str">
        <f>IF(OR(B2030="",C2030=""),"",IFERROR(E2030 / SUMIFS('📅 Resumen Diario'!$D$5:$D$504, '📅 Resumen Diario'!$B$5:$B$504, B2030, '📅 Resumen Diario'!$C$5:$C$504, D2030) * SUMIFS('📅 Resumen Diario'!$K$5:$K$504, '📅 Resumen Diario'!$B$5:$B$504, B2030, '📅 Resumen Diario'!$C$5:$C$504, D2030), 0))</f>
        <v/>
      </c>
      <c r="M2030" s="31" t="str">
        <f t="shared" si="220"/>
        <v/>
      </c>
      <c r="N2030" s="31" t="str">
        <f t="shared" si="221"/>
        <v/>
      </c>
      <c r="O2030" s="31" t="str">
        <f>IF(OR(B2030="",C2030=""),"",K2030-N2030 + IFERROR(E2030 / SUMIFS('📅 Resumen Diario'!$D$5:$D$504, '📅 Resumen Diario'!$B$5:$B$504, B2030, '📅 Resumen Diario'!$C$5:$C$504, D2030) * (SUMIFS('📋 Detalle Diario'!$E$5:$E$489, '📋 Detalle Diario'!$B$5:$B$489, B2030, '📋 Detalle Diario'!$C$5:$C$489, D2030) * 135 + SUMIFS('📋 Detalle Diario'!$I$5:$I$489, '📋 Detalle Diario'!$B$5:$B$489, B2030, '📋 Detalle Diario'!$C$5:$C$489, D2030) * 200), 0))</f>
        <v/>
      </c>
      <c r="P2030" s="32" t="str">
        <f t="shared" si="222"/>
        <v/>
      </c>
      <c r="Q2030" s="33" t="str">
        <f t="shared" si="223"/>
        <v/>
      </c>
    </row>
    <row r="2031" spans="2:17" ht="18" customHeight="1" x14ac:dyDescent="0.3">
      <c r="B2031" s="26"/>
      <c r="C2031" s="28"/>
      <c r="D2031" s="27"/>
      <c r="E2031" s="29"/>
      <c r="F2031" s="29"/>
      <c r="G2031" s="29"/>
      <c r="H2031" s="30" t="str">
        <f t="shared" si="217"/>
        <v/>
      </c>
      <c r="I2031" s="31" t="str">
        <f>IF(OR(B2031="",C2031=""),"",IFERROR(E2031*IF(E2031="",0,VLOOKUP(C2031,'📦 Precios Proforma'!$B$5:$D$104,IF(D2031="DIA",2,3),FALSE)),0))</f>
        <v/>
      </c>
      <c r="J2031" s="31" t="str">
        <f t="shared" si="218"/>
        <v/>
      </c>
      <c r="K2031" s="31" t="str">
        <f t="shared" si="219"/>
        <v/>
      </c>
      <c r="L2031" s="31" t="str">
        <f>IF(OR(B2031="",C2031=""),"",IFERROR(E2031 / SUMIFS('📅 Resumen Diario'!$D$5:$D$504, '📅 Resumen Diario'!$B$5:$B$504, B2031, '📅 Resumen Diario'!$C$5:$C$504, D2031) * SUMIFS('📅 Resumen Diario'!$K$5:$K$504, '📅 Resumen Diario'!$B$5:$B$504, B2031, '📅 Resumen Diario'!$C$5:$C$504, D2031), 0))</f>
        <v/>
      </c>
      <c r="M2031" s="31" t="str">
        <f t="shared" si="220"/>
        <v/>
      </c>
      <c r="N2031" s="31" t="str">
        <f t="shared" si="221"/>
        <v/>
      </c>
      <c r="O2031" s="31" t="str">
        <f>IF(OR(B2031="",C2031=""),"",K2031-N2031 + IFERROR(E2031 / SUMIFS('📅 Resumen Diario'!$D$5:$D$504, '📅 Resumen Diario'!$B$5:$B$504, B2031, '📅 Resumen Diario'!$C$5:$C$504, D2031) * (SUMIFS('📋 Detalle Diario'!$E$5:$E$489, '📋 Detalle Diario'!$B$5:$B$489, B2031, '📋 Detalle Diario'!$C$5:$C$489, D2031) * 135 + SUMIFS('📋 Detalle Diario'!$I$5:$I$489, '📋 Detalle Diario'!$B$5:$B$489, B2031, '📋 Detalle Diario'!$C$5:$C$489, D2031) * 200), 0))</f>
        <v/>
      </c>
      <c r="P2031" s="32" t="str">
        <f t="shared" si="222"/>
        <v/>
      </c>
      <c r="Q2031" s="33" t="str">
        <f t="shared" si="223"/>
        <v/>
      </c>
    </row>
    <row r="2032" spans="2:17" ht="18" customHeight="1" x14ac:dyDescent="0.3">
      <c r="B2032" s="26"/>
      <c r="C2032" s="17"/>
      <c r="D2032" s="27"/>
      <c r="E2032" s="18"/>
      <c r="F2032" s="18"/>
      <c r="G2032" s="18"/>
      <c r="H2032" s="30" t="str">
        <f t="shared" si="217"/>
        <v/>
      </c>
      <c r="I2032" s="31" t="str">
        <f>IF(OR(B2032="",C2032=""),"",IFERROR(E2032*IF(E2032="",0,VLOOKUP(C2032,'📦 Precios Proforma'!$B$5:$D$104,IF(D2032="DIA",2,3),FALSE)),0))</f>
        <v/>
      </c>
      <c r="J2032" s="31" t="str">
        <f t="shared" si="218"/>
        <v/>
      </c>
      <c r="K2032" s="31" t="str">
        <f t="shared" si="219"/>
        <v/>
      </c>
      <c r="L2032" s="31" t="str">
        <f>IF(OR(B2032="",C2032=""),"",IFERROR(E2032 / SUMIFS('📅 Resumen Diario'!$D$5:$D$504, '📅 Resumen Diario'!$B$5:$B$504, B2032, '📅 Resumen Diario'!$C$5:$C$504, D2032) * SUMIFS('📅 Resumen Diario'!$K$5:$K$504, '📅 Resumen Diario'!$B$5:$B$504, B2032, '📅 Resumen Diario'!$C$5:$C$504, D2032), 0))</f>
        <v/>
      </c>
      <c r="M2032" s="31" t="str">
        <f t="shared" si="220"/>
        <v/>
      </c>
      <c r="N2032" s="31" t="str">
        <f t="shared" si="221"/>
        <v/>
      </c>
      <c r="O2032" s="31" t="str">
        <f>IF(OR(B2032="",C2032=""),"",K2032-N2032 + IFERROR(E2032 / SUMIFS('📅 Resumen Diario'!$D$5:$D$504, '📅 Resumen Diario'!$B$5:$B$504, B2032, '📅 Resumen Diario'!$C$5:$C$504, D2032) * (SUMIFS('📋 Detalle Diario'!$E$5:$E$489, '📋 Detalle Diario'!$B$5:$B$489, B2032, '📋 Detalle Diario'!$C$5:$C$489, D2032) * 135 + SUMIFS('📋 Detalle Diario'!$I$5:$I$489, '📋 Detalle Diario'!$B$5:$B$489, B2032, '📋 Detalle Diario'!$C$5:$C$489, D2032) * 200), 0))</f>
        <v/>
      </c>
      <c r="P2032" s="32" t="str">
        <f t="shared" si="222"/>
        <v/>
      </c>
      <c r="Q2032" s="33" t="str">
        <f t="shared" si="223"/>
        <v/>
      </c>
    </row>
    <row r="2033" spans="2:17" ht="18" customHeight="1" x14ac:dyDescent="0.3">
      <c r="B2033" s="26"/>
      <c r="C2033" s="28"/>
      <c r="D2033" s="27"/>
      <c r="E2033" s="29"/>
      <c r="F2033" s="29"/>
      <c r="G2033" s="29"/>
      <c r="H2033" s="30" t="str">
        <f t="shared" si="217"/>
        <v/>
      </c>
      <c r="I2033" s="31" t="str">
        <f>IF(OR(B2033="",C2033=""),"",IFERROR(E2033*IF(E2033="",0,VLOOKUP(C2033,'📦 Precios Proforma'!$B$5:$D$104,IF(D2033="DIA",2,3),FALSE)),0))</f>
        <v/>
      </c>
      <c r="J2033" s="31" t="str">
        <f t="shared" si="218"/>
        <v/>
      </c>
      <c r="K2033" s="31" t="str">
        <f t="shared" si="219"/>
        <v/>
      </c>
      <c r="L2033" s="31" t="str">
        <f>IF(OR(B2033="",C2033=""),"",IFERROR(E2033 / SUMIFS('📅 Resumen Diario'!$D$5:$D$504, '📅 Resumen Diario'!$B$5:$B$504, B2033, '📅 Resumen Diario'!$C$5:$C$504, D2033) * SUMIFS('📅 Resumen Diario'!$K$5:$K$504, '📅 Resumen Diario'!$B$5:$B$504, B2033, '📅 Resumen Diario'!$C$5:$C$504, D2033), 0))</f>
        <v/>
      </c>
      <c r="M2033" s="31" t="str">
        <f t="shared" si="220"/>
        <v/>
      </c>
      <c r="N2033" s="31" t="str">
        <f t="shared" si="221"/>
        <v/>
      </c>
      <c r="O2033" s="31" t="str">
        <f>IF(OR(B2033="",C2033=""),"",K2033-N2033 + IFERROR(E2033 / SUMIFS('📅 Resumen Diario'!$D$5:$D$504, '📅 Resumen Diario'!$B$5:$B$504, B2033, '📅 Resumen Diario'!$C$5:$C$504, D2033) * (SUMIFS('📋 Detalle Diario'!$E$5:$E$489, '📋 Detalle Diario'!$B$5:$B$489, B2033, '📋 Detalle Diario'!$C$5:$C$489, D2033) * 135 + SUMIFS('📋 Detalle Diario'!$I$5:$I$489, '📋 Detalle Diario'!$B$5:$B$489, B2033, '📋 Detalle Diario'!$C$5:$C$489, D2033) * 200), 0))</f>
        <v/>
      </c>
      <c r="P2033" s="32" t="str">
        <f t="shared" si="222"/>
        <v/>
      </c>
      <c r="Q2033" s="33" t="str">
        <f t="shared" si="223"/>
        <v/>
      </c>
    </row>
    <row r="2034" spans="2:17" ht="18" customHeight="1" x14ac:dyDescent="0.3">
      <c r="B2034" s="26"/>
      <c r="C2034" s="17"/>
      <c r="D2034" s="27"/>
      <c r="E2034" s="18"/>
      <c r="F2034" s="18"/>
      <c r="G2034" s="18"/>
      <c r="H2034" s="30" t="str">
        <f t="shared" si="217"/>
        <v/>
      </c>
      <c r="I2034" s="31" t="str">
        <f>IF(OR(B2034="",C2034=""),"",IFERROR(E2034*IF(E2034="",0,VLOOKUP(C2034,'📦 Precios Proforma'!$B$5:$D$104,IF(D2034="DIA",2,3),FALSE)),0))</f>
        <v/>
      </c>
      <c r="J2034" s="31" t="str">
        <f t="shared" si="218"/>
        <v/>
      </c>
      <c r="K2034" s="31" t="str">
        <f t="shared" si="219"/>
        <v/>
      </c>
      <c r="L2034" s="31" t="str">
        <f>IF(OR(B2034="",C2034=""),"",IFERROR(E2034 / SUMIFS('📅 Resumen Diario'!$D$5:$D$504, '📅 Resumen Diario'!$B$5:$B$504, B2034, '📅 Resumen Diario'!$C$5:$C$504, D2034) * SUMIFS('📅 Resumen Diario'!$K$5:$K$504, '📅 Resumen Diario'!$B$5:$B$504, B2034, '📅 Resumen Diario'!$C$5:$C$504, D2034), 0))</f>
        <v/>
      </c>
      <c r="M2034" s="31" t="str">
        <f t="shared" si="220"/>
        <v/>
      </c>
      <c r="N2034" s="31" t="str">
        <f t="shared" si="221"/>
        <v/>
      </c>
      <c r="O2034" s="31" t="str">
        <f>IF(OR(B2034="",C2034=""),"",K2034-N2034 + IFERROR(E2034 / SUMIFS('📅 Resumen Diario'!$D$5:$D$504, '📅 Resumen Diario'!$B$5:$B$504, B2034, '📅 Resumen Diario'!$C$5:$C$504, D2034) * (SUMIFS('📋 Detalle Diario'!$E$5:$E$489, '📋 Detalle Diario'!$B$5:$B$489, B2034, '📋 Detalle Diario'!$C$5:$C$489, D2034) * 135 + SUMIFS('📋 Detalle Diario'!$I$5:$I$489, '📋 Detalle Diario'!$B$5:$B$489, B2034, '📋 Detalle Diario'!$C$5:$C$489, D2034) * 200), 0))</f>
        <v/>
      </c>
      <c r="P2034" s="32" t="str">
        <f t="shared" si="222"/>
        <v/>
      </c>
      <c r="Q2034" s="33" t="str">
        <f t="shared" si="223"/>
        <v/>
      </c>
    </row>
    <row r="2035" spans="2:17" ht="18" customHeight="1" x14ac:dyDescent="0.3">
      <c r="B2035" s="26"/>
      <c r="C2035" s="28"/>
      <c r="D2035" s="27"/>
      <c r="E2035" s="29"/>
      <c r="F2035" s="29"/>
      <c r="G2035" s="29"/>
      <c r="H2035" s="30" t="str">
        <f t="shared" si="217"/>
        <v/>
      </c>
      <c r="I2035" s="31" t="str">
        <f>IF(OR(B2035="",C2035=""),"",IFERROR(E2035*IF(E2035="",0,VLOOKUP(C2035,'📦 Precios Proforma'!$B$5:$D$104,IF(D2035="DIA",2,3),FALSE)),0))</f>
        <v/>
      </c>
      <c r="J2035" s="31" t="str">
        <f t="shared" si="218"/>
        <v/>
      </c>
      <c r="K2035" s="31" t="str">
        <f t="shared" si="219"/>
        <v/>
      </c>
      <c r="L2035" s="31" t="str">
        <f>IF(OR(B2035="",C2035=""),"",IFERROR(E2035 / SUMIFS('📅 Resumen Diario'!$D$5:$D$504, '📅 Resumen Diario'!$B$5:$B$504, B2035, '📅 Resumen Diario'!$C$5:$C$504, D2035) * SUMIFS('📅 Resumen Diario'!$K$5:$K$504, '📅 Resumen Diario'!$B$5:$B$504, B2035, '📅 Resumen Diario'!$C$5:$C$504, D2035), 0))</f>
        <v/>
      </c>
      <c r="M2035" s="31" t="str">
        <f t="shared" si="220"/>
        <v/>
      </c>
      <c r="N2035" s="31" t="str">
        <f t="shared" si="221"/>
        <v/>
      </c>
      <c r="O2035" s="31" t="str">
        <f>IF(OR(B2035="",C2035=""),"",K2035-N2035 + IFERROR(E2035 / SUMIFS('📅 Resumen Diario'!$D$5:$D$504, '📅 Resumen Diario'!$B$5:$B$504, B2035, '📅 Resumen Diario'!$C$5:$C$504, D2035) * (SUMIFS('📋 Detalle Diario'!$E$5:$E$489, '📋 Detalle Diario'!$B$5:$B$489, B2035, '📋 Detalle Diario'!$C$5:$C$489, D2035) * 135 + SUMIFS('📋 Detalle Diario'!$I$5:$I$489, '📋 Detalle Diario'!$B$5:$B$489, B2035, '📋 Detalle Diario'!$C$5:$C$489, D2035) * 200), 0))</f>
        <v/>
      </c>
      <c r="P2035" s="32" t="str">
        <f t="shared" si="222"/>
        <v/>
      </c>
      <c r="Q2035" s="33" t="str">
        <f t="shared" si="223"/>
        <v/>
      </c>
    </row>
    <row r="2036" spans="2:17" ht="18" customHeight="1" x14ac:dyDescent="0.3">
      <c r="B2036" s="26"/>
      <c r="C2036" s="17"/>
      <c r="D2036" s="27"/>
      <c r="E2036" s="18"/>
      <c r="F2036" s="18"/>
      <c r="G2036" s="18"/>
      <c r="H2036" s="30" t="str">
        <f t="shared" si="217"/>
        <v/>
      </c>
      <c r="I2036" s="31" t="str">
        <f>IF(OR(B2036="",C2036=""),"",IFERROR(E2036*IF(E2036="",0,VLOOKUP(C2036,'📦 Precios Proforma'!$B$5:$D$104,IF(D2036="DIA",2,3),FALSE)),0))</f>
        <v/>
      </c>
      <c r="J2036" s="31" t="str">
        <f t="shared" si="218"/>
        <v/>
      </c>
      <c r="K2036" s="31" t="str">
        <f t="shared" si="219"/>
        <v/>
      </c>
      <c r="L2036" s="31" t="str">
        <f>IF(OR(B2036="",C2036=""),"",IFERROR(E2036 / SUMIFS('📅 Resumen Diario'!$D$5:$D$504, '📅 Resumen Diario'!$B$5:$B$504, B2036, '📅 Resumen Diario'!$C$5:$C$504, D2036) * SUMIFS('📅 Resumen Diario'!$K$5:$K$504, '📅 Resumen Diario'!$B$5:$B$504, B2036, '📅 Resumen Diario'!$C$5:$C$504, D2036), 0))</f>
        <v/>
      </c>
      <c r="M2036" s="31" t="str">
        <f t="shared" si="220"/>
        <v/>
      </c>
      <c r="N2036" s="31" t="str">
        <f t="shared" si="221"/>
        <v/>
      </c>
      <c r="O2036" s="31" t="str">
        <f>IF(OR(B2036="",C2036=""),"",K2036-N2036 + IFERROR(E2036 / SUMIFS('📅 Resumen Diario'!$D$5:$D$504, '📅 Resumen Diario'!$B$5:$B$504, B2036, '📅 Resumen Diario'!$C$5:$C$504, D2036) * (SUMIFS('📋 Detalle Diario'!$E$5:$E$489, '📋 Detalle Diario'!$B$5:$B$489, B2036, '📋 Detalle Diario'!$C$5:$C$489, D2036) * 135 + SUMIFS('📋 Detalle Diario'!$I$5:$I$489, '📋 Detalle Diario'!$B$5:$B$489, B2036, '📋 Detalle Diario'!$C$5:$C$489, D2036) * 200), 0))</f>
        <v/>
      </c>
      <c r="P2036" s="32" t="str">
        <f t="shared" si="222"/>
        <v/>
      </c>
      <c r="Q2036" s="33" t="str">
        <f t="shared" si="223"/>
        <v/>
      </c>
    </row>
    <row r="2037" spans="2:17" ht="18" customHeight="1" x14ac:dyDescent="0.3">
      <c r="B2037" s="26"/>
      <c r="C2037" s="28"/>
      <c r="D2037" s="27"/>
      <c r="E2037" s="29"/>
      <c r="F2037" s="29"/>
      <c r="G2037" s="29"/>
      <c r="H2037" s="30" t="str">
        <f t="shared" si="217"/>
        <v/>
      </c>
      <c r="I2037" s="31" t="str">
        <f>IF(OR(B2037="",C2037=""),"",IFERROR(E2037*IF(E2037="",0,VLOOKUP(C2037,'📦 Precios Proforma'!$B$5:$D$104,IF(D2037="DIA",2,3),FALSE)),0))</f>
        <v/>
      </c>
      <c r="J2037" s="31" t="str">
        <f t="shared" si="218"/>
        <v/>
      </c>
      <c r="K2037" s="31" t="str">
        <f t="shared" si="219"/>
        <v/>
      </c>
      <c r="L2037" s="31" t="str">
        <f>IF(OR(B2037="",C2037=""),"",IFERROR(E2037 / SUMIFS('📅 Resumen Diario'!$D$5:$D$504, '📅 Resumen Diario'!$B$5:$B$504, B2037, '📅 Resumen Diario'!$C$5:$C$504, D2037) * SUMIFS('📅 Resumen Diario'!$K$5:$K$504, '📅 Resumen Diario'!$B$5:$B$504, B2037, '📅 Resumen Diario'!$C$5:$C$504, D2037), 0))</f>
        <v/>
      </c>
      <c r="M2037" s="31" t="str">
        <f t="shared" si="220"/>
        <v/>
      </c>
      <c r="N2037" s="31" t="str">
        <f t="shared" si="221"/>
        <v/>
      </c>
      <c r="O2037" s="31" t="str">
        <f>IF(OR(B2037="",C2037=""),"",K2037-N2037 + IFERROR(E2037 / SUMIFS('📅 Resumen Diario'!$D$5:$D$504, '📅 Resumen Diario'!$B$5:$B$504, B2037, '📅 Resumen Diario'!$C$5:$C$504, D2037) * (SUMIFS('📋 Detalle Diario'!$E$5:$E$489, '📋 Detalle Diario'!$B$5:$B$489, B2037, '📋 Detalle Diario'!$C$5:$C$489, D2037) * 135 + SUMIFS('📋 Detalle Diario'!$I$5:$I$489, '📋 Detalle Diario'!$B$5:$B$489, B2037, '📋 Detalle Diario'!$C$5:$C$489, D2037) * 200), 0))</f>
        <v/>
      </c>
      <c r="P2037" s="32" t="str">
        <f t="shared" si="222"/>
        <v/>
      </c>
      <c r="Q2037" s="33" t="str">
        <f t="shared" si="223"/>
        <v/>
      </c>
    </row>
    <row r="2038" spans="2:17" ht="18" customHeight="1" x14ac:dyDescent="0.3">
      <c r="B2038" s="26"/>
      <c r="C2038" s="17"/>
      <c r="D2038" s="27"/>
      <c r="E2038" s="18"/>
      <c r="F2038" s="18"/>
      <c r="G2038" s="18"/>
      <c r="H2038" s="30" t="str">
        <f t="shared" si="217"/>
        <v/>
      </c>
      <c r="I2038" s="31" t="str">
        <f>IF(OR(B2038="",C2038=""),"",IFERROR(E2038*IF(E2038="",0,VLOOKUP(C2038,'📦 Precios Proforma'!$B$5:$D$104,IF(D2038="DIA",2,3),FALSE)),0))</f>
        <v/>
      </c>
      <c r="J2038" s="31" t="str">
        <f t="shared" si="218"/>
        <v/>
      </c>
      <c r="K2038" s="31" t="str">
        <f t="shared" si="219"/>
        <v/>
      </c>
      <c r="L2038" s="31" t="str">
        <f>IF(OR(B2038="",C2038=""),"",IFERROR(E2038 / SUMIFS('📅 Resumen Diario'!$D$5:$D$504, '📅 Resumen Diario'!$B$5:$B$504, B2038, '📅 Resumen Diario'!$C$5:$C$504, D2038) * SUMIFS('📅 Resumen Diario'!$K$5:$K$504, '📅 Resumen Diario'!$B$5:$B$504, B2038, '📅 Resumen Diario'!$C$5:$C$504, D2038), 0))</f>
        <v/>
      </c>
      <c r="M2038" s="31" t="str">
        <f t="shared" si="220"/>
        <v/>
      </c>
      <c r="N2038" s="31" t="str">
        <f t="shared" si="221"/>
        <v/>
      </c>
      <c r="O2038" s="31" t="str">
        <f>IF(OR(B2038="",C2038=""),"",K2038-N2038 + IFERROR(E2038 / SUMIFS('📅 Resumen Diario'!$D$5:$D$504, '📅 Resumen Diario'!$B$5:$B$504, B2038, '📅 Resumen Diario'!$C$5:$C$504, D2038) * (SUMIFS('📋 Detalle Diario'!$E$5:$E$489, '📋 Detalle Diario'!$B$5:$B$489, B2038, '📋 Detalle Diario'!$C$5:$C$489, D2038) * 135 + SUMIFS('📋 Detalle Diario'!$I$5:$I$489, '📋 Detalle Diario'!$B$5:$B$489, B2038, '📋 Detalle Diario'!$C$5:$C$489, D2038) * 200), 0))</f>
        <v/>
      </c>
      <c r="P2038" s="32" t="str">
        <f t="shared" si="222"/>
        <v/>
      </c>
      <c r="Q2038" s="33" t="str">
        <f t="shared" si="223"/>
        <v/>
      </c>
    </row>
    <row r="2039" spans="2:17" ht="18" customHeight="1" x14ac:dyDescent="0.3">
      <c r="B2039" s="26"/>
      <c r="C2039" s="28"/>
      <c r="D2039" s="27"/>
      <c r="E2039" s="29"/>
      <c r="F2039" s="29"/>
      <c r="G2039" s="29"/>
      <c r="H2039" s="30" t="str">
        <f t="shared" si="217"/>
        <v/>
      </c>
      <c r="I2039" s="31" t="str">
        <f>IF(OR(B2039="",C2039=""),"",IFERROR(E2039*IF(E2039="",0,VLOOKUP(C2039,'📦 Precios Proforma'!$B$5:$D$104,IF(D2039="DIA",2,3),FALSE)),0))</f>
        <v/>
      </c>
      <c r="J2039" s="31" t="str">
        <f t="shared" si="218"/>
        <v/>
      </c>
      <c r="K2039" s="31" t="str">
        <f t="shared" si="219"/>
        <v/>
      </c>
      <c r="L2039" s="31" t="str">
        <f>IF(OR(B2039="",C2039=""),"",IFERROR(E2039 / SUMIFS('📅 Resumen Diario'!$D$5:$D$504, '📅 Resumen Diario'!$B$5:$B$504, B2039, '📅 Resumen Diario'!$C$5:$C$504, D2039) * SUMIFS('📅 Resumen Diario'!$K$5:$K$504, '📅 Resumen Diario'!$B$5:$B$504, B2039, '📅 Resumen Diario'!$C$5:$C$504, D2039), 0))</f>
        <v/>
      </c>
      <c r="M2039" s="31" t="str">
        <f t="shared" si="220"/>
        <v/>
      </c>
      <c r="N2039" s="31" t="str">
        <f t="shared" si="221"/>
        <v/>
      </c>
      <c r="O2039" s="31" t="str">
        <f>IF(OR(B2039="",C2039=""),"",K2039-N2039 + IFERROR(E2039 / SUMIFS('📅 Resumen Diario'!$D$5:$D$504, '📅 Resumen Diario'!$B$5:$B$504, B2039, '📅 Resumen Diario'!$C$5:$C$504, D2039) * (SUMIFS('📋 Detalle Diario'!$E$5:$E$489, '📋 Detalle Diario'!$B$5:$B$489, B2039, '📋 Detalle Diario'!$C$5:$C$489, D2039) * 135 + SUMIFS('📋 Detalle Diario'!$I$5:$I$489, '📋 Detalle Diario'!$B$5:$B$489, B2039, '📋 Detalle Diario'!$C$5:$C$489, D2039) * 200), 0))</f>
        <v/>
      </c>
      <c r="P2039" s="32" t="str">
        <f t="shared" si="222"/>
        <v/>
      </c>
      <c r="Q2039" s="33" t="str">
        <f t="shared" si="223"/>
        <v/>
      </c>
    </row>
    <row r="2040" spans="2:17" ht="18" customHeight="1" x14ac:dyDescent="0.3">
      <c r="B2040" s="26"/>
      <c r="C2040" s="17"/>
      <c r="D2040" s="27"/>
      <c r="E2040" s="18"/>
      <c r="F2040" s="18"/>
      <c r="G2040" s="18"/>
      <c r="H2040" s="30" t="str">
        <f t="shared" si="217"/>
        <v/>
      </c>
      <c r="I2040" s="31" t="str">
        <f>IF(OR(B2040="",C2040=""),"",IFERROR(E2040*IF(E2040="",0,VLOOKUP(C2040,'📦 Precios Proforma'!$B$5:$D$104,IF(D2040="DIA",2,3),FALSE)),0))</f>
        <v/>
      </c>
      <c r="J2040" s="31" t="str">
        <f t="shared" si="218"/>
        <v/>
      </c>
      <c r="K2040" s="31" t="str">
        <f t="shared" si="219"/>
        <v/>
      </c>
      <c r="L2040" s="31" t="str">
        <f>IF(OR(B2040="",C2040=""),"",IFERROR(E2040 / SUMIFS('📅 Resumen Diario'!$D$5:$D$504, '📅 Resumen Diario'!$B$5:$B$504, B2040, '📅 Resumen Diario'!$C$5:$C$504, D2040) * SUMIFS('📅 Resumen Diario'!$K$5:$K$504, '📅 Resumen Diario'!$B$5:$B$504, B2040, '📅 Resumen Diario'!$C$5:$C$504, D2040), 0))</f>
        <v/>
      </c>
      <c r="M2040" s="31" t="str">
        <f t="shared" si="220"/>
        <v/>
      </c>
      <c r="N2040" s="31" t="str">
        <f t="shared" si="221"/>
        <v/>
      </c>
      <c r="O2040" s="31" t="str">
        <f>IF(OR(B2040="",C2040=""),"",K2040-N2040 + IFERROR(E2040 / SUMIFS('📅 Resumen Diario'!$D$5:$D$504, '📅 Resumen Diario'!$B$5:$B$504, B2040, '📅 Resumen Diario'!$C$5:$C$504, D2040) * (SUMIFS('📋 Detalle Diario'!$E$5:$E$489, '📋 Detalle Diario'!$B$5:$B$489, B2040, '📋 Detalle Diario'!$C$5:$C$489, D2040) * 135 + SUMIFS('📋 Detalle Diario'!$I$5:$I$489, '📋 Detalle Diario'!$B$5:$B$489, B2040, '📋 Detalle Diario'!$C$5:$C$489, D2040) * 200), 0))</f>
        <v/>
      </c>
      <c r="P2040" s="32" t="str">
        <f t="shared" si="222"/>
        <v/>
      </c>
      <c r="Q2040" s="33" t="str">
        <f t="shared" si="223"/>
        <v/>
      </c>
    </row>
    <row r="2041" spans="2:17" ht="18" customHeight="1" x14ac:dyDescent="0.3">
      <c r="B2041" s="26"/>
      <c r="C2041" s="28"/>
      <c r="D2041" s="27"/>
      <c r="E2041" s="29"/>
      <c r="F2041" s="29"/>
      <c r="G2041" s="29"/>
      <c r="H2041" s="30" t="str">
        <f t="shared" si="217"/>
        <v/>
      </c>
      <c r="I2041" s="31" t="str">
        <f>IF(OR(B2041="",C2041=""),"",IFERROR(E2041*IF(E2041="",0,VLOOKUP(C2041,'📦 Precios Proforma'!$B$5:$D$104,IF(D2041="DIA",2,3),FALSE)),0))</f>
        <v/>
      </c>
      <c r="J2041" s="31" t="str">
        <f t="shared" si="218"/>
        <v/>
      </c>
      <c r="K2041" s="31" t="str">
        <f t="shared" si="219"/>
        <v/>
      </c>
      <c r="L2041" s="31" t="str">
        <f>IF(OR(B2041="",C2041=""),"",IFERROR(E2041 / SUMIFS('📅 Resumen Diario'!$D$5:$D$504, '📅 Resumen Diario'!$B$5:$B$504, B2041, '📅 Resumen Diario'!$C$5:$C$504, D2041) * SUMIFS('📅 Resumen Diario'!$K$5:$K$504, '📅 Resumen Diario'!$B$5:$B$504, B2041, '📅 Resumen Diario'!$C$5:$C$504, D2041), 0))</f>
        <v/>
      </c>
      <c r="M2041" s="31" t="str">
        <f t="shared" si="220"/>
        <v/>
      </c>
      <c r="N2041" s="31" t="str">
        <f t="shared" si="221"/>
        <v/>
      </c>
      <c r="O2041" s="31" t="str">
        <f>IF(OR(B2041="",C2041=""),"",K2041-N2041 + IFERROR(E2041 / SUMIFS('📅 Resumen Diario'!$D$5:$D$504, '📅 Resumen Diario'!$B$5:$B$504, B2041, '📅 Resumen Diario'!$C$5:$C$504, D2041) * (SUMIFS('📋 Detalle Diario'!$E$5:$E$489, '📋 Detalle Diario'!$B$5:$B$489, B2041, '📋 Detalle Diario'!$C$5:$C$489, D2041) * 135 + SUMIFS('📋 Detalle Diario'!$I$5:$I$489, '📋 Detalle Diario'!$B$5:$B$489, B2041, '📋 Detalle Diario'!$C$5:$C$489, D2041) * 200), 0))</f>
        <v/>
      </c>
      <c r="P2041" s="32" t="str">
        <f t="shared" si="222"/>
        <v/>
      </c>
      <c r="Q2041" s="33" t="str">
        <f t="shared" si="223"/>
        <v/>
      </c>
    </row>
    <row r="2042" spans="2:17" ht="18" customHeight="1" x14ac:dyDescent="0.3">
      <c r="B2042" s="26"/>
      <c r="C2042" s="17"/>
      <c r="D2042" s="27"/>
      <c r="E2042" s="18"/>
      <c r="F2042" s="18"/>
      <c r="G2042" s="18"/>
      <c r="H2042" s="30" t="str">
        <f t="shared" si="217"/>
        <v/>
      </c>
      <c r="I2042" s="31" t="str">
        <f>IF(OR(B2042="",C2042=""),"",IFERROR(E2042*IF(E2042="",0,VLOOKUP(C2042,'📦 Precios Proforma'!$B$5:$D$104,IF(D2042="DIA",2,3),FALSE)),0))</f>
        <v/>
      </c>
      <c r="J2042" s="31" t="str">
        <f t="shared" si="218"/>
        <v/>
      </c>
      <c r="K2042" s="31" t="str">
        <f t="shared" si="219"/>
        <v/>
      </c>
      <c r="L2042" s="31" t="str">
        <f>IF(OR(B2042="",C2042=""),"",IFERROR(E2042 / SUMIFS('📅 Resumen Diario'!$D$5:$D$504, '📅 Resumen Diario'!$B$5:$B$504, B2042, '📅 Resumen Diario'!$C$5:$C$504, D2042) * SUMIFS('📅 Resumen Diario'!$K$5:$K$504, '📅 Resumen Diario'!$B$5:$B$504, B2042, '📅 Resumen Diario'!$C$5:$C$504, D2042), 0))</f>
        <v/>
      </c>
      <c r="M2042" s="31" t="str">
        <f t="shared" si="220"/>
        <v/>
      </c>
      <c r="N2042" s="31" t="str">
        <f t="shared" si="221"/>
        <v/>
      </c>
      <c r="O2042" s="31" t="str">
        <f>IF(OR(B2042="",C2042=""),"",K2042-N2042 + IFERROR(E2042 / SUMIFS('📅 Resumen Diario'!$D$5:$D$504, '📅 Resumen Diario'!$B$5:$B$504, B2042, '📅 Resumen Diario'!$C$5:$C$504, D2042) * (SUMIFS('📋 Detalle Diario'!$E$5:$E$489, '📋 Detalle Diario'!$B$5:$B$489, B2042, '📋 Detalle Diario'!$C$5:$C$489, D2042) * 135 + SUMIFS('📋 Detalle Diario'!$I$5:$I$489, '📋 Detalle Diario'!$B$5:$B$489, B2042, '📋 Detalle Diario'!$C$5:$C$489, D2042) * 200), 0))</f>
        <v/>
      </c>
      <c r="P2042" s="32" t="str">
        <f t="shared" si="222"/>
        <v/>
      </c>
      <c r="Q2042" s="33" t="str">
        <f t="shared" si="223"/>
        <v/>
      </c>
    </row>
    <row r="2043" spans="2:17" ht="18" customHeight="1" x14ac:dyDescent="0.3">
      <c r="B2043" s="26"/>
      <c r="C2043" s="28"/>
      <c r="D2043" s="27"/>
      <c r="E2043" s="29"/>
      <c r="F2043" s="29"/>
      <c r="G2043" s="29"/>
      <c r="H2043" s="30" t="str">
        <f t="shared" si="217"/>
        <v/>
      </c>
      <c r="I2043" s="31" t="str">
        <f>IF(OR(B2043="",C2043=""),"",IFERROR(E2043*IF(E2043="",0,VLOOKUP(C2043,'📦 Precios Proforma'!$B$5:$D$104,IF(D2043="DIA",2,3),FALSE)),0))</f>
        <v/>
      </c>
      <c r="J2043" s="31" t="str">
        <f t="shared" si="218"/>
        <v/>
      </c>
      <c r="K2043" s="31" t="str">
        <f t="shared" si="219"/>
        <v/>
      </c>
      <c r="L2043" s="31" t="str">
        <f>IF(OR(B2043="",C2043=""),"",IFERROR(E2043 / SUMIFS('📅 Resumen Diario'!$D$5:$D$504, '📅 Resumen Diario'!$B$5:$B$504, B2043, '📅 Resumen Diario'!$C$5:$C$504, D2043) * SUMIFS('📅 Resumen Diario'!$K$5:$K$504, '📅 Resumen Diario'!$B$5:$B$504, B2043, '📅 Resumen Diario'!$C$5:$C$504, D2043), 0))</f>
        <v/>
      </c>
      <c r="M2043" s="31" t="str">
        <f t="shared" si="220"/>
        <v/>
      </c>
      <c r="N2043" s="31" t="str">
        <f t="shared" si="221"/>
        <v/>
      </c>
      <c r="O2043" s="31" t="str">
        <f>IF(OR(B2043="",C2043=""),"",K2043-N2043 + IFERROR(E2043 / SUMIFS('📅 Resumen Diario'!$D$5:$D$504, '📅 Resumen Diario'!$B$5:$B$504, B2043, '📅 Resumen Diario'!$C$5:$C$504, D2043) * (SUMIFS('📋 Detalle Diario'!$E$5:$E$489, '📋 Detalle Diario'!$B$5:$B$489, B2043, '📋 Detalle Diario'!$C$5:$C$489, D2043) * 135 + SUMIFS('📋 Detalle Diario'!$I$5:$I$489, '📋 Detalle Diario'!$B$5:$B$489, B2043, '📋 Detalle Diario'!$C$5:$C$489, D2043) * 200), 0))</f>
        <v/>
      </c>
      <c r="P2043" s="32" t="str">
        <f t="shared" si="222"/>
        <v/>
      </c>
      <c r="Q2043" s="33" t="str">
        <f t="shared" si="223"/>
        <v/>
      </c>
    </row>
    <row r="2044" spans="2:17" ht="18" customHeight="1" x14ac:dyDescent="0.3">
      <c r="B2044" s="26"/>
      <c r="C2044" s="17"/>
      <c r="D2044" s="27"/>
      <c r="E2044" s="18"/>
      <c r="F2044" s="18"/>
      <c r="G2044" s="18"/>
      <c r="H2044" s="30" t="str">
        <f t="shared" si="217"/>
        <v/>
      </c>
      <c r="I2044" s="31" t="str">
        <f>IF(OR(B2044="",C2044=""),"",IFERROR(E2044*IF(E2044="",0,VLOOKUP(C2044,'📦 Precios Proforma'!$B$5:$D$104,IF(D2044="DIA",2,3),FALSE)),0))</f>
        <v/>
      </c>
      <c r="J2044" s="31" t="str">
        <f t="shared" si="218"/>
        <v/>
      </c>
      <c r="K2044" s="31" t="str">
        <f t="shared" si="219"/>
        <v/>
      </c>
      <c r="L2044" s="31" t="str">
        <f>IF(OR(B2044="",C2044=""),"",IFERROR(E2044 / SUMIFS('📅 Resumen Diario'!$D$5:$D$504, '📅 Resumen Diario'!$B$5:$B$504, B2044, '📅 Resumen Diario'!$C$5:$C$504, D2044) * SUMIFS('📅 Resumen Diario'!$K$5:$K$504, '📅 Resumen Diario'!$B$5:$B$504, B2044, '📅 Resumen Diario'!$C$5:$C$504, D2044), 0))</f>
        <v/>
      </c>
      <c r="M2044" s="31" t="str">
        <f t="shared" si="220"/>
        <v/>
      </c>
      <c r="N2044" s="31" t="str">
        <f t="shared" si="221"/>
        <v/>
      </c>
      <c r="O2044" s="31" t="str">
        <f>IF(OR(B2044="",C2044=""),"",K2044-N2044 + IFERROR(E2044 / SUMIFS('📅 Resumen Diario'!$D$5:$D$504, '📅 Resumen Diario'!$B$5:$B$504, B2044, '📅 Resumen Diario'!$C$5:$C$504, D2044) * (SUMIFS('📋 Detalle Diario'!$E$5:$E$489, '📋 Detalle Diario'!$B$5:$B$489, B2044, '📋 Detalle Diario'!$C$5:$C$489, D2044) * 135 + SUMIFS('📋 Detalle Diario'!$I$5:$I$489, '📋 Detalle Diario'!$B$5:$B$489, B2044, '📋 Detalle Diario'!$C$5:$C$489, D2044) * 200), 0))</f>
        <v/>
      </c>
      <c r="P2044" s="32" t="str">
        <f t="shared" si="222"/>
        <v/>
      </c>
      <c r="Q2044" s="33" t="str">
        <f t="shared" si="223"/>
        <v/>
      </c>
    </row>
    <row r="2045" spans="2:17" ht="18" customHeight="1" x14ac:dyDescent="0.3">
      <c r="B2045" s="26"/>
      <c r="C2045" s="28"/>
      <c r="D2045" s="27"/>
      <c r="E2045" s="29"/>
      <c r="F2045" s="29"/>
      <c r="G2045" s="29"/>
      <c r="H2045" s="30" t="str">
        <f t="shared" si="217"/>
        <v/>
      </c>
      <c r="I2045" s="31" t="str">
        <f>IF(OR(B2045="",C2045=""),"",IFERROR(E2045*IF(E2045="",0,VLOOKUP(C2045,'📦 Precios Proforma'!$B$5:$D$104,IF(D2045="DIA",2,3),FALSE)),0))</f>
        <v/>
      </c>
      <c r="J2045" s="31" t="str">
        <f t="shared" si="218"/>
        <v/>
      </c>
      <c r="K2045" s="31" t="str">
        <f t="shared" si="219"/>
        <v/>
      </c>
      <c r="L2045" s="31" t="str">
        <f>IF(OR(B2045="",C2045=""),"",IFERROR(E2045 / SUMIFS('📅 Resumen Diario'!$D$5:$D$504, '📅 Resumen Diario'!$B$5:$B$504, B2045, '📅 Resumen Diario'!$C$5:$C$504, D2045) * SUMIFS('📅 Resumen Diario'!$K$5:$K$504, '📅 Resumen Diario'!$B$5:$B$504, B2045, '📅 Resumen Diario'!$C$5:$C$504, D2045), 0))</f>
        <v/>
      </c>
      <c r="M2045" s="31" t="str">
        <f t="shared" si="220"/>
        <v/>
      </c>
      <c r="N2045" s="31" t="str">
        <f t="shared" si="221"/>
        <v/>
      </c>
      <c r="O2045" s="31" t="str">
        <f>IF(OR(B2045="",C2045=""),"",K2045-N2045 + IFERROR(E2045 / SUMIFS('📅 Resumen Diario'!$D$5:$D$504, '📅 Resumen Diario'!$B$5:$B$504, B2045, '📅 Resumen Diario'!$C$5:$C$504, D2045) * (SUMIFS('📋 Detalle Diario'!$E$5:$E$489, '📋 Detalle Diario'!$B$5:$B$489, B2045, '📋 Detalle Diario'!$C$5:$C$489, D2045) * 135 + SUMIFS('📋 Detalle Diario'!$I$5:$I$489, '📋 Detalle Diario'!$B$5:$B$489, B2045, '📋 Detalle Diario'!$C$5:$C$489, D2045) * 200), 0))</f>
        <v/>
      </c>
      <c r="P2045" s="32" t="str">
        <f t="shared" si="222"/>
        <v/>
      </c>
      <c r="Q2045" s="33" t="str">
        <f t="shared" si="223"/>
        <v/>
      </c>
    </row>
    <row r="2046" spans="2:17" ht="18" customHeight="1" x14ac:dyDescent="0.3">
      <c r="B2046" s="26"/>
      <c r="C2046" s="17"/>
      <c r="D2046" s="27"/>
      <c r="E2046" s="18"/>
      <c r="F2046" s="18"/>
      <c r="G2046" s="18"/>
      <c r="H2046" s="30" t="str">
        <f t="shared" si="217"/>
        <v/>
      </c>
      <c r="I2046" s="31" t="str">
        <f>IF(OR(B2046="",C2046=""),"",IFERROR(E2046*IF(E2046="",0,VLOOKUP(C2046,'📦 Precios Proforma'!$B$5:$D$104,IF(D2046="DIA",2,3),FALSE)),0))</f>
        <v/>
      </c>
      <c r="J2046" s="31" t="str">
        <f t="shared" si="218"/>
        <v/>
      </c>
      <c r="K2046" s="31" t="str">
        <f t="shared" si="219"/>
        <v/>
      </c>
      <c r="L2046" s="31" t="str">
        <f>IF(OR(B2046="",C2046=""),"",IFERROR(E2046 / SUMIFS('📅 Resumen Diario'!$D$5:$D$504, '📅 Resumen Diario'!$B$5:$B$504, B2046, '📅 Resumen Diario'!$C$5:$C$504, D2046) * SUMIFS('📅 Resumen Diario'!$K$5:$K$504, '📅 Resumen Diario'!$B$5:$B$504, B2046, '📅 Resumen Diario'!$C$5:$C$504, D2046), 0))</f>
        <v/>
      </c>
      <c r="M2046" s="31" t="str">
        <f t="shared" si="220"/>
        <v/>
      </c>
      <c r="N2046" s="31" t="str">
        <f t="shared" si="221"/>
        <v/>
      </c>
      <c r="O2046" s="31" t="str">
        <f>IF(OR(B2046="",C2046=""),"",K2046-N2046 + IFERROR(E2046 / SUMIFS('📅 Resumen Diario'!$D$5:$D$504, '📅 Resumen Diario'!$B$5:$B$504, B2046, '📅 Resumen Diario'!$C$5:$C$504, D2046) * (SUMIFS('📋 Detalle Diario'!$E$5:$E$489, '📋 Detalle Diario'!$B$5:$B$489, B2046, '📋 Detalle Diario'!$C$5:$C$489, D2046) * 135 + SUMIFS('📋 Detalle Diario'!$I$5:$I$489, '📋 Detalle Diario'!$B$5:$B$489, B2046, '📋 Detalle Diario'!$C$5:$C$489, D2046) * 200), 0))</f>
        <v/>
      </c>
      <c r="P2046" s="32" t="str">
        <f t="shared" si="222"/>
        <v/>
      </c>
      <c r="Q2046" s="33" t="str">
        <f t="shared" si="223"/>
        <v/>
      </c>
    </row>
    <row r="2047" spans="2:17" ht="18" customHeight="1" x14ac:dyDescent="0.3">
      <c r="B2047" s="26"/>
      <c r="C2047" s="28"/>
      <c r="D2047" s="27"/>
      <c r="E2047" s="29"/>
      <c r="F2047" s="29"/>
      <c r="G2047" s="29"/>
      <c r="H2047" s="30" t="str">
        <f t="shared" si="217"/>
        <v/>
      </c>
      <c r="I2047" s="31" t="str">
        <f>IF(OR(B2047="",C2047=""),"",IFERROR(E2047*IF(E2047="",0,VLOOKUP(C2047,'📦 Precios Proforma'!$B$5:$D$104,IF(D2047="DIA",2,3),FALSE)),0))</f>
        <v/>
      </c>
      <c r="J2047" s="31" t="str">
        <f t="shared" si="218"/>
        <v/>
      </c>
      <c r="K2047" s="31" t="str">
        <f t="shared" si="219"/>
        <v/>
      </c>
      <c r="L2047" s="31" t="str">
        <f>IF(OR(B2047="",C2047=""),"",IFERROR(E2047 / SUMIFS('📅 Resumen Diario'!$D$5:$D$504, '📅 Resumen Diario'!$B$5:$B$504, B2047, '📅 Resumen Diario'!$C$5:$C$504, D2047) * SUMIFS('📅 Resumen Diario'!$K$5:$K$504, '📅 Resumen Diario'!$B$5:$B$504, B2047, '📅 Resumen Diario'!$C$5:$C$504, D2047), 0))</f>
        <v/>
      </c>
      <c r="M2047" s="31" t="str">
        <f t="shared" si="220"/>
        <v/>
      </c>
      <c r="N2047" s="31" t="str">
        <f t="shared" si="221"/>
        <v/>
      </c>
      <c r="O2047" s="31" t="str">
        <f>IF(OR(B2047="",C2047=""),"",K2047-N2047 + IFERROR(E2047 / SUMIFS('📅 Resumen Diario'!$D$5:$D$504, '📅 Resumen Diario'!$B$5:$B$504, B2047, '📅 Resumen Diario'!$C$5:$C$504, D2047) * (SUMIFS('📋 Detalle Diario'!$E$5:$E$489, '📋 Detalle Diario'!$B$5:$B$489, B2047, '📋 Detalle Diario'!$C$5:$C$489, D2047) * 135 + SUMIFS('📋 Detalle Diario'!$I$5:$I$489, '📋 Detalle Diario'!$B$5:$B$489, B2047, '📋 Detalle Diario'!$C$5:$C$489, D2047) * 200), 0))</f>
        <v/>
      </c>
      <c r="P2047" s="32" t="str">
        <f t="shared" si="222"/>
        <v/>
      </c>
      <c r="Q2047" s="33" t="str">
        <f t="shared" si="223"/>
        <v/>
      </c>
    </row>
    <row r="2048" spans="2:17" ht="18" customHeight="1" x14ac:dyDescent="0.3">
      <c r="B2048" s="26"/>
      <c r="C2048" s="17"/>
      <c r="D2048" s="27"/>
      <c r="E2048" s="18"/>
      <c r="F2048" s="18"/>
      <c r="G2048" s="18"/>
      <c r="H2048" s="30" t="str">
        <f t="shared" si="217"/>
        <v/>
      </c>
      <c r="I2048" s="31" t="str">
        <f>IF(OR(B2048="",C2048=""),"",IFERROR(E2048*IF(E2048="",0,VLOOKUP(C2048,'📦 Precios Proforma'!$B$5:$D$104,IF(D2048="DIA",2,3),FALSE)),0))</f>
        <v/>
      </c>
      <c r="J2048" s="31" t="str">
        <f t="shared" si="218"/>
        <v/>
      </c>
      <c r="K2048" s="31" t="str">
        <f t="shared" si="219"/>
        <v/>
      </c>
      <c r="L2048" s="31" t="str">
        <f>IF(OR(B2048="",C2048=""),"",IFERROR(E2048 / SUMIFS('📅 Resumen Diario'!$D$5:$D$504, '📅 Resumen Diario'!$B$5:$B$504, B2048, '📅 Resumen Diario'!$C$5:$C$504, D2048) * SUMIFS('📅 Resumen Diario'!$K$5:$K$504, '📅 Resumen Diario'!$B$5:$B$504, B2048, '📅 Resumen Diario'!$C$5:$C$504, D2048), 0))</f>
        <v/>
      </c>
      <c r="M2048" s="31" t="str">
        <f t="shared" si="220"/>
        <v/>
      </c>
      <c r="N2048" s="31" t="str">
        <f t="shared" si="221"/>
        <v/>
      </c>
      <c r="O2048" s="31" t="str">
        <f>IF(OR(B2048="",C2048=""),"",K2048-N2048 + IFERROR(E2048 / SUMIFS('📅 Resumen Diario'!$D$5:$D$504, '📅 Resumen Diario'!$B$5:$B$504, B2048, '📅 Resumen Diario'!$C$5:$C$504, D2048) * (SUMIFS('📋 Detalle Diario'!$E$5:$E$489, '📋 Detalle Diario'!$B$5:$B$489, B2048, '📋 Detalle Diario'!$C$5:$C$489, D2048) * 135 + SUMIFS('📋 Detalle Diario'!$I$5:$I$489, '📋 Detalle Diario'!$B$5:$B$489, B2048, '📋 Detalle Diario'!$C$5:$C$489, D2048) * 200), 0))</f>
        <v/>
      </c>
      <c r="P2048" s="32" t="str">
        <f t="shared" si="222"/>
        <v/>
      </c>
      <c r="Q2048" s="33" t="str">
        <f t="shared" si="223"/>
        <v/>
      </c>
    </row>
    <row r="2049" spans="2:17" ht="18" customHeight="1" x14ac:dyDescent="0.3">
      <c r="B2049" s="26"/>
      <c r="C2049" s="28"/>
      <c r="D2049" s="27"/>
      <c r="E2049" s="29"/>
      <c r="F2049" s="29"/>
      <c r="G2049" s="29"/>
      <c r="H2049" s="30" t="str">
        <f t="shared" si="217"/>
        <v/>
      </c>
      <c r="I2049" s="31" t="str">
        <f>IF(OR(B2049="",C2049=""),"",IFERROR(E2049*IF(E2049="",0,VLOOKUP(C2049,'📦 Precios Proforma'!$B$5:$D$104,IF(D2049="DIA",2,3),FALSE)),0))</f>
        <v/>
      </c>
      <c r="J2049" s="31" t="str">
        <f t="shared" si="218"/>
        <v/>
      </c>
      <c r="K2049" s="31" t="str">
        <f t="shared" si="219"/>
        <v/>
      </c>
      <c r="L2049" s="31" t="str">
        <f>IF(OR(B2049="",C2049=""),"",IFERROR(E2049 / SUMIFS('📅 Resumen Diario'!$D$5:$D$504, '📅 Resumen Diario'!$B$5:$B$504, B2049, '📅 Resumen Diario'!$C$5:$C$504, D2049) * SUMIFS('📅 Resumen Diario'!$K$5:$K$504, '📅 Resumen Diario'!$B$5:$B$504, B2049, '📅 Resumen Diario'!$C$5:$C$504, D2049), 0))</f>
        <v/>
      </c>
      <c r="M2049" s="31" t="str">
        <f t="shared" si="220"/>
        <v/>
      </c>
      <c r="N2049" s="31" t="str">
        <f t="shared" si="221"/>
        <v/>
      </c>
      <c r="O2049" s="31" t="str">
        <f>IF(OR(B2049="",C2049=""),"",K2049-N2049 + IFERROR(E2049 / SUMIFS('📅 Resumen Diario'!$D$5:$D$504, '📅 Resumen Diario'!$B$5:$B$504, B2049, '📅 Resumen Diario'!$C$5:$C$504, D2049) * (SUMIFS('📋 Detalle Diario'!$E$5:$E$489, '📋 Detalle Diario'!$B$5:$B$489, B2049, '📋 Detalle Diario'!$C$5:$C$489, D2049) * 135 + SUMIFS('📋 Detalle Diario'!$I$5:$I$489, '📋 Detalle Diario'!$B$5:$B$489, B2049, '📋 Detalle Diario'!$C$5:$C$489, D2049) * 200), 0))</f>
        <v/>
      </c>
      <c r="P2049" s="32" t="str">
        <f t="shared" si="222"/>
        <v/>
      </c>
      <c r="Q2049" s="33" t="str">
        <f t="shared" si="223"/>
        <v/>
      </c>
    </row>
    <row r="2050" spans="2:17" ht="18" customHeight="1" x14ac:dyDescent="0.3">
      <c r="B2050" s="26"/>
      <c r="C2050" s="17"/>
      <c r="D2050" s="27"/>
      <c r="E2050" s="18"/>
      <c r="F2050" s="18"/>
      <c r="G2050" s="18"/>
      <c r="H2050" s="30" t="str">
        <f t="shared" si="217"/>
        <v/>
      </c>
      <c r="I2050" s="31" t="str">
        <f>IF(OR(B2050="",C2050=""),"",IFERROR(E2050*IF(E2050="",0,VLOOKUP(C2050,'📦 Precios Proforma'!$B$5:$D$104,IF(D2050="DIA",2,3),FALSE)),0))</f>
        <v/>
      </c>
      <c r="J2050" s="31" t="str">
        <f t="shared" si="218"/>
        <v/>
      </c>
      <c r="K2050" s="31" t="str">
        <f t="shared" si="219"/>
        <v/>
      </c>
      <c r="L2050" s="31" t="str">
        <f>IF(OR(B2050="",C2050=""),"",IFERROR(E2050 / SUMIFS('📅 Resumen Diario'!$D$5:$D$504, '📅 Resumen Diario'!$B$5:$B$504, B2050, '📅 Resumen Diario'!$C$5:$C$504, D2050) * SUMIFS('📅 Resumen Diario'!$K$5:$K$504, '📅 Resumen Diario'!$B$5:$B$504, B2050, '📅 Resumen Diario'!$C$5:$C$504, D2050), 0))</f>
        <v/>
      </c>
      <c r="M2050" s="31" t="str">
        <f t="shared" si="220"/>
        <v/>
      </c>
      <c r="N2050" s="31" t="str">
        <f t="shared" si="221"/>
        <v/>
      </c>
      <c r="O2050" s="31" t="str">
        <f>IF(OR(B2050="",C2050=""),"",K2050-N2050 + IFERROR(E2050 / SUMIFS('📅 Resumen Diario'!$D$5:$D$504, '📅 Resumen Diario'!$B$5:$B$504, B2050, '📅 Resumen Diario'!$C$5:$C$504, D2050) * (SUMIFS('📋 Detalle Diario'!$E$5:$E$489, '📋 Detalle Diario'!$B$5:$B$489, B2050, '📋 Detalle Diario'!$C$5:$C$489, D2050) * 135 + SUMIFS('📋 Detalle Diario'!$I$5:$I$489, '📋 Detalle Diario'!$B$5:$B$489, B2050, '📋 Detalle Diario'!$C$5:$C$489, D2050) * 200), 0))</f>
        <v/>
      </c>
      <c r="P2050" s="32" t="str">
        <f t="shared" si="222"/>
        <v/>
      </c>
      <c r="Q2050" s="33" t="str">
        <f t="shared" si="223"/>
        <v/>
      </c>
    </row>
    <row r="2051" spans="2:17" ht="18" customHeight="1" x14ac:dyDescent="0.3">
      <c r="B2051" s="26"/>
      <c r="C2051" s="28"/>
      <c r="D2051" s="27"/>
      <c r="E2051" s="29"/>
      <c r="F2051" s="29"/>
      <c r="G2051" s="29"/>
      <c r="H2051" s="30" t="str">
        <f t="shared" si="217"/>
        <v/>
      </c>
      <c r="I2051" s="31" t="str">
        <f>IF(OR(B2051="",C2051=""),"",IFERROR(E2051*IF(E2051="",0,VLOOKUP(C2051,'📦 Precios Proforma'!$B$5:$D$104,IF(D2051="DIA",2,3),FALSE)),0))</f>
        <v/>
      </c>
      <c r="J2051" s="31" t="str">
        <f t="shared" si="218"/>
        <v/>
      </c>
      <c r="K2051" s="31" t="str">
        <f t="shared" si="219"/>
        <v/>
      </c>
      <c r="L2051" s="31" t="str">
        <f>IF(OR(B2051="",C2051=""),"",IFERROR(E2051 / SUMIFS('📅 Resumen Diario'!$D$5:$D$504, '📅 Resumen Diario'!$B$5:$B$504, B2051, '📅 Resumen Diario'!$C$5:$C$504, D2051) * SUMIFS('📅 Resumen Diario'!$K$5:$K$504, '📅 Resumen Diario'!$B$5:$B$504, B2051, '📅 Resumen Diario'!$C$5:$C$504, D2051), 0))</f>
        <v/>
      </c>
      <c r="M2051" s="31" t="str">
        <f t="shared" si="220"/>
        <v/>
      </c>
      <c r="N2051" s="31" t="str">
        <f t="shared" si="221"/>
        <v/>
      </c>
      <c r="O2051" s="31" t="str">
        <f>IF(OR(B2051="",C2051=""),"",K2051-N2051 + IFERROR(E2051 / SUMIFS('📅 Resumen Diario'!$D$5:$D$504, '📅 Resumen Diario'!$B$5:$B$504, B2051, '📅 Resumen Diario'!$C$5:$C$504, D2051) * (SUMIFS('📋 Detalle Diario'!$E$5:$E$489, '📋 Detalle Diario'!$B$5:$B$489, B2051, '📋 Detalle Diario'!$C$5:$C$489, D2051) * 135 + SUMIFS('📋 Detalle Diario'!$I$5:$I$489, '📋 Detalle Diario'!$B$5:$B$489, B2051, '📋 Detalle Diario'!$C$5:$C$489, D2051) * 200), 0))</f>
        <v/>
      </c>
      <c r="P2051" s="32" t="str">
        <f t="shared" si="222"/>
        <v/>
      </c>
      <c r="Q2051" s="33" t="str">
        <f t="shared" si="223"/>
        <v/>
      </c>
    </row>
    <row r="2052" spans="2:17" ht="18" customHeight="1" x14ac:dyDescent="0.3">
      <c r="B2052" s="26"/>
      <c r="C2052" s="17"/>
      <c r="D2052" s="27"/>
      <c r="E2052" s="18"/>
      <c r="F2052" s="18"/>
      <c r="G2052" s="18"/>
      <c r="H2052" s="30" t="str">
        <f t="shared" si="217"/>
        <v/>
      </c>
      <c r="I2052" s="31" t="str">
        <f>IF(OR(B2052="",C2052=""),"",IFERROR(E2052*IF(E2052="",0,VLOOKUP(C2052,'📦 Precios Proforma'!$B$5:$D$104,IF(D2052="DIA",2,3),FALSE)),0))</f>
        <v/>
      </c>
      <c r="J2052" s="31" t="str">
        <f t="shared" si="218"/>
        <v/>
      </c>
      <c r="K2052" s="31" t="str">
        <f t="shared" si="219"/>
        <v/>
      </c>
      <c r="L2052" s="31" t="str">
        <f>IF(OR(B2052="",C2052=""),"",IFERROR(E2052 / SUMIFS('📅 Resumen Diario'!$D$5:$D$504, '📅 Resumen Diario'!$B$5:$B$504, B2052, '📅 Resumen Diario'!$C$5:$C$504, D2052) * SUMIFS('📅 Resumen Diario'!$K$5:$K$504, '📅 Resumen Diario'!$B$5:$B$504, B2052, '📅 Resumen Diario'!$C$5:$C$504, D2052), 0))</f>
        <v/>
      </c>
      <c r="M2052" s="31" t="str">
        <f t="shared" si="220"/>
        <v/>
      </c>
      <c r="N2052" s="31" t="str">
        <f t="shared" si="221"/>
        <v/>
      </c>
      <c r="O2052" s="31" t="str">
        <f>IF(OR(B2052="",C2052=""),"",K2052-N2052 + IFERROR(E2052 / SUMIFS('📅 Resumen Diario'!$D$5:$D$504, '📅 Resumen Diario'!$B$5:$B$504, B2052, '📅 Resumen Diario'!$C$5:$C$504, D2052) * (SUMIFS('📋 Detalle Diario'!$E$5:$E$489, '📋 Detalle Diario'!$B$5:$B$489, B2052, '📋 Detalle Diario'!$C$5:$C$489, D2052) * 135 + SUMIFS('📋 Detalle Diario'!$I$5:$I$489, '📋 Detalle Diario'!$B$5:$B$489, B2052, '📋 Detalle Diario'!$C$5:$C$489, D2052) * 200), 0))</f>
        <v/>
      </c>
      <c r="P2052" s="32" t="str">
        <f t="shared" si="222"/>
        <v/>
      </c>
      <c r="Q2052" s="33" t="str">
        <f t="shared" si="223"/>
        <v/>
      </c>
    </row>
    <row r="2053" spans="2:17" ht="18" customHeight="1" x14ac:dyDescent="0.3">
      <c r="B2053" s="26"/>
      <c r="C2053" s="28"/>
      <c r="D2053" s="27"/>
      <c r="E2053" s="29"/>
      <c r="F2053" s="29"/>
      <c r="G2053" s="29"/>
      <c r="H2053" s="30" t="str">
        <f t="shared" si="217"/>
        <v/>
      </c>
      <c r="I2053" s="31" t="str">
        <f>IF(OR(B2053="",C2053=""),"",IFERROR(E2053*IF(E2053="",0,VLOOKUP(C2053,'📦 Precios Proforma'!$B$5:$D$104,IF(D2053="DIA",2,3),FALSE)),0))</f>
        <v/>
      </c>
      <c r="J2053" s="31" t="str">
        <f t="shared" si="218"/>
        <v/>
      </c>
      <c r="K2053" s="31" t="str">
        <f t="shared" si="219"/>
        <v/>
      </c>
      <c r="L2053" s="31" t="str">
        <f>IF(OR(B2053="",C2053=""),"",IFERROR(E2053 / SUMIFS('📅 Resumen Diario'!$D$5:$D$504, '📅 Resumen Diario'!$B$5:$B$504, B2053, '📅 Resumen Diario'!$C$5:$C$504, D2053) * SUMIFS('📅 Resumen Diario'!$K$5:$K$504, '📅 Resumen Diario'!$B$5:$B$504, B2053, '📅 Resumen Diario'!$C$5:$C$504, D2053), 0))</f>
        <v/>
      </c>
      <c r="M2053" s="31" t="str">
        <f t="shared" si="220"/>
        <v/>
      </c>
      <c r="N2053" s="31" t="str">
        <f t="shared" si="221"/>
        <v/>
      </c>
      <c r="O2053" s="31" t="str">
        <f>IF(OR(B2053="",C2053=""),"",K2053-N2053 + IFERROR(E2053 / SUMIFS('📅 Resumen Diario'!$D$5:$D$504, '📅 Resumen Diario'!$B$5:$B$504, B2053, '📅 Resumen Diario'!$C$5:$C$504, D2053) * (SUMIFS('📋 Detalle Diario'!$E$5:$E$489, '📋 Detalle Diario'!$B$5:$B$489, B2053, '📋 Detalle Diario'!$C$5:$C$489, D2053) * 135 + SUMIFS('📋 Detalle Diario'!$I$5:$I$489, '📋 Detalle Diario'!$B$5:$B$489, B2053, '📋 Detalle Diario'!$C$5:$C$489, D2053) * 200), 0))</f>
        <v/>
      </c>
      <c r="P2053" s="32" t="str">
        <f t="shared" si="222"/>
        <v/>
      </c>
      <c r="Q2053" s="33" t="str">
        <f t="shared" si="223"/>
        <v/>
      </c>
    </row>
    <row r="2054" spans="2:17" ht="18" customHeight="1" x14ac:dyDescent="0.3">
      <c r="B2054" s="26"/>
      <c r="C2054" s="17"/>
      <c r="D2054" s="27"/>
      <c r="E2054" s="18"/>
      <c r="F2054" s="18"/>
      <c r="G2054" s="18"/>
      <c r="H2054" s="30" t="str">
        <f t="shared" si="217"/>
        <v/>
      </c>
      <c r="I2054" s="31" t="str">
        <f>IF(OR(B2054="",C2054=""),"",IFERROR(E2054*IF(E2054="",0,VLOOKUP(C2054,'📦 Precios Proforma'!$B$5:$D$104,IF(D2054="DIA",2,3),FALSE)),0))</f>
        <v/>
      </c>
      <c r="J2054" s="31" t="str">
        <f t="shared" si="218"/>
        <v/>
      </c>
      <c r="K2054" s="31" t="str">
        <f t="shared" si="219"/>
        <v/>
      </c>
      <c r="L2054" s="31" t="str">
        <f>IF(OR(B2054="",C2054=""),"",IFERROR(E2054 / SUMIFS('📅 Resumen Diario'!$D$5:$D$504, '📅 Resumen Diario'!$B$5:$B$504, B2054, '📅 Resumen Diario'!$C$5:$C$504, D2054) * SUMIFS('📅 Resumen Diario'!$K$5:$K$504, '📅 Resumen Diario'!$B$5:$B$504, B2054, '📅 Resumen Diario'!$C$5:$C$504, D2054), 0))</f>
        <v/>
      </c>
      <c r="M2054" s="31" t="str">
        <f t="shared" si="220"/>
        <v/>
      </c>
      <c r="N2054" s="31" t="str">
        <f t="shared" si="221"/>
        <v/>
      </c>
      <c r="O2054" s="31" t="str">
        <f>IF(OR(B2054="",C2054=""),"",K2054-N2054 + IFERROR(E2054 / SUMIFS('📅 Resumen Diario'!$D$5:$D$504, '📅 Resumen Diario'!$B$5:$B$504, B2054, '📅 Resumen Diario'!$C$5:$C$504, D2054) * (SUMIFS('📋 Detalle Diario'!$E$5:$E$489, '📋 Detalle Diario'!$B$5:$B$489, B2054, '📋 Detalle Diario'!$C$5:$C$489, D2054) * 135 + SUMIFS('📋 Detalle Diario'!$I$5:$I$489, '📋 Detalle Diario'!$B$5:$B$489, B2054, '📋 Detalle Diario'!$C$5:$C$489, D2054) * 200), 0))</f>
        <v/>
      </c>
      <c r="P2054" s="32" t="str">
        <f t="shared" si="222"/>
        <v/>
      </c>
      <c r="Q2054" s="33" t="str">
        <f t="shared" si="223"/>
        <v/>
      </c>
    </row>
    <row r="2055" spans="2:17" ht="18" customHeight="1" x14ac:dyDescent="0.3">
      <c r="B2055" s="26"/>
      <c r="C2055" s="28"/>
      <c r="D2055" s="27"/>
      <c r="E2055" s="29"/>
      <c r="F2055" s="29"/>
      <c r="G2055" s="29"/>
      <c r="H2055" s="30" t="str">
        <f t="shared" ref="H2055:H2118" si="224">IF(OR(B2055="",C2055=""),"",F2055+G2055)</f>
        <v/>
      </c>
      <c r="I2055" s="31" t="str">
        <f>IF(OR(B2055="",C2055=""),"",IFERROR(E2055*IF(E2055="",0,VLOOKUP(C2055,'📦 Precios Proforma'!$B$5:$D$104,IF(D2055="DIA",2,3),FALSE)),0))</f>
        <v/>
      </c>
      <c r="J2055" s="31" t="str">
        <f t="shared" ref="J2055:J2118" si="225">IF(OR(B2055="",C2055=""),"",IF(D2055="DIA",H2055*1.01,H2055*1.35))</f>
        <v/>
      </c>
      <c r="K2055" s="31" t="str">
        <f t="shared" ref="K2055:K2118" si="226">IF(OR(B2055="",C2055=""),"",I2055+J2055)</f>
        <v/>
      </c>
      <c r="L2055" s="31" t="str">
        <f>IF(OR(B2055="",C2055=""),"",IFERROR(E2055 / SUMIFS('📅 Resumen Diario'!$D$5:$D$504, '📅 Resumen Diario'!$B$5:$B$504, B2055, '📅 Resumen Diario'!$C$5:$C$504, D2055) * SUMIFS('📅 Resumen Diario'!$K$5:$K$504, '📅 Resumen Diario'!$B$5:$B$504, B2055, '📅 Resumen Diario'!$C$5:$C$504, D2055), 0))</f>
        <v/>
      </c>
      <c r="M2055" s="31" t="str">
        <f t="shared" ref="M2055:M2118" si="227">IF(OR(B2055="",C2055=""),"",H2055*0.09)</f>
        <v/>
      </c>
      <c r="N2055" s="31" t="str">
        <f t="shared" ref="N2055:N2118" si="228">IF(OR(B2055="",C2055=""),"",L2055+M2055)</f>
        <v/>
      </c>
      <c r="O2055" s="31" t="str">
        <f>IF(OR(B2055="",C2055=""),"",K2055-N2055 + IFERROR(E2055 / SUMIFS('📅 Resumen Diario'!$D$5:$D$504, '📅 Resumen Diario'!$B$5:$B$504, B2055, '📅 Resumen Diario'!$C$5:$C$504, D2055) * (SUMIFS('📋 Detalle Diario'!$E$5:$E$489, '📋 Detalle Diario'!$B$5:$B$489, B2055, '📋 Detalle Diario'!$C$5:$C$489, D2055) * 135 + SUMIFS('📋 Detalle Diario'!$I$5:$I$489, '📋 Detalle Diario'!$B$5:$B$489, B2055, '📋 Detalle Diario'!$C$5:$C$489, D2055) * 200), 0))</f>
        <v/>
      </c>
      <c r="P2055" s="32" t="str">
        <f t="shared" ref="P2055:P2118" si="229">IF(OR(B2055="",C2055=""),"",IF(K2055=0, 0, O2055/K2055))</f>
        <v/>
      </c>
      <c r="Q2055" s="33" t="str">
        <f t="shared" ref="Q2055:Q2118" si="230">IF(B2055="","",IF(ISNUMBER(B2055),YEAR(B2055)&amp;"-"&amp;IF(MONTH(B2055)&lt;10,"0","")&amp;MONTH(B2055),LEFT(B2055,7)))</f>
        <v/>
      </c>
    </row>
    <row r="2056" spans="2:17" ht="18" customHeight="1" x14ac:dyDescent="0.3">
      <c r="B2056" s="26"/>
      <c r="C2056" s="17"/>
      <c r="D2056" s="27"/>
      <c r="E2056" s="18"/>
      <c r="F2056" s="18"/>
      <c r="G2056" s="18"/>
      <c r="H2056" s="30" t="str">
        <f t="shared" si="224"/>
        <v/>
      </c>
      <c r="I2056" s="31" t="str">
        <f>IF(OR(B2056="",C2056=""),"",IFERROR(E2056*IF(E2056="",0,VLOOKUP(C2056,'📦 Precios Proforma'!$B$5:$D$104,IF(D2056="DIA",2,3),FALSE)),0))</f>
        <v/>
      </c>
      <c r="J2056" s="31" t="str">
        <f t="shared" si="225"/>
        <v/>
      </c>
      <c r="K2056" s="31" t="str">
        <f t="shared" si="226"/>
        <v/>
      </c>
      <c r="L2056" s="31" t="str">
        <f>IF(OR(B2056="",C2056=""),"",IFERROR(E2056 / SUMIFS('📅 Resumen Diario'!$D$5:$D$504, '📅 Resumen Diario'!$B$5:$B$504, B2056, '📅 Resumen Diario'!$C$5:$C$504, D2056) * SUMIFS('📅 Resumen Diario'!$K$5:$K$504, '📅 Resumen Diario'!$B$5:$B$504, B2056, '📅 Resumen Diario'!$C$5:$C$504, D2056), 0))</f>
        <v/>
      </c>
      <c r="M2056" s="31" t="str">
        <f t="shared" si="227"/>
        <v/>
      </c>
      <c r="N2056" s="31" t="str">
        <f t="shared" si="228"/>
        <v/>
      </c>
      <c r="O2056" s="31" t="str">
        <f>IF(OR(B2056="",C2056=""),"",K2056-N2056 + IFERROR(E2056 / SUMIFS('📅 Resumen Diario'!$D$5:$D$504, '📅 Resumen Diario'!$B$5:$B$504, B2056, '📅 Resumen Diario'!$C$5:$C$504, D2056) * (SUMIFS('📋 Detalle Diario'!$E$5:$E$489, '📋 Detalle Diario'!$B$5:$B$489, B2056, '📋 Detalle Diario'!$C$5:$C$489, D2056) * 135 + SUMIFS('📋 Detalle Diario'!$I$5:$I$489, '📋 Detalle Diario'!$B$5:$B$489, B2056, '📋 Detalle Diario'!$C$5:$C$489, D2056) * 200), 0))</f>
        <v/>
      </c>
      <c r="P2056" s="32" t="str">
        <f t="shared" si="229"/>
        <v/>
      </c>
      <c r="Q2056" s="33" t="str">
        <f t="shared" si="230"/>
        <v/>
      </c>
    </row>
    <row r="2057" spans="2:17" ht="18" customHeight="1" x14ac:dyDescent="0.3">
      <c r="B2057" s="26"/>
      <c r="C2057" s="28"/>
      <c r="D2057" s="27"/>
      <c r="E2057" s="29"/>
      <c r="F2057" s="29"/>
      <c r="G2057" s="29"/>
      <c r="H2057" s="30" t="str">
        <f t="shared" si="224"/>
        <v/>
      </c>
      <c r="I2057" s="31" t="str">
        <f>IF(OR(B2057="",C2057=""),"",IFERROR(E2057*IF(E2057="",0,VLOOKUP(C2057,'📦 Precios Proforma'!$B$5:$D$104,IF(D2057="DIA",2,3),FALSE)),0))</f>
        <v/>
      </c>
      <c r="J2057" s="31" t="str">
        <f t="shared" si="225"/>
        <v/>
      </c>
      <c r="K2057" s="31" t="str">
        <f t="shared" si="226"/>
        <v/>
      </c>
      <c r="L2057" s="31" t="str">
        <f>IF(OR(B2057="",C2057=""),"",IFERROR(E2057 / SUMIFS('📅 Resumen Diario'!$D$5:$D$504, '📅 Resumen Diario'!$B$5:$B$504, B2057, '📅 Resumen Diario'!$C$5:$C$504, D2057) * SUMIFS('📅 Resumen Diario'!$K$5:$K$504, '📅 Resumen Diario'!$B$5:$B$504, B2057, '📅 Resumen Diario'!$C$5:$C$504, D2057), 0))</f>
        <v/>
      </c>
      <c r="M2057" s="31" t="str">
        <f t="shared" si="227"/>
        <v/>
      </c>
      <c r="N2057" s="31" t="str">
        <f t="shared" si="228"/>
        <v/>
      </c>
      <c r="O2057" s="31" t="str">
        <f>IF(OR(B2057="",C2057=""),"",K2057-N2057 + IFERROR(E2057 / SUMIFS('📅 Resumen Diario'!$D$5:$D$504, '📅 Resumen Diario'!$B$5:$B$504, B2057, '📅 Resumen Diario'!$C$5:$C$504, D2057) * (SUMIFS('📋 Detalle Diario'!$E$5:$E$489, '📋 Detalle Diario'!$B$5:$B$489, B2057, '📋 Detalle Diario'!$C$5:$C$489, D2057) * 135 + SUMIFS('📋 Detalle Diario'!$I$5:$I$489, '📋 Detalle Diario'!$B$5:$B$489, B2057, '📋 Detalle Diario'!$C$5:$C$489, D2057) * 200), 0))</f>
        <v/>
      </c>
      <c r="P2057" s="32" t="str">
        <f t="shared" si="229"/>
        <v/>
      </c>
      <c r="Q2057" s="33" t="str">
        <f t="shared" si="230"/>
        <v/>
      </c>
    </row>
    <row r="2058" spans="2:17" ht="18" customHeight="1" x14ac:dyDescent="0.3">
      <c r="B2058" s="26"/>
      <c r="C2058" s="17"/>
      <c r="D2058" s="27"/>
      <c r="E2058" s="18"/>
      <c r="F2058" s="18"/>
      <c r="G2058" s="18"/>
      <c r="H2058" s="30" t="str">
        <f t="shared" si="224"/>
        <v/>
      </c>
      <c r="I2058" s="31" t="str">
        <f>IF(OR(B2058="",C2058=""),"",IFERROR(E2058*IF(E2058="",0,VLOOKUP(C2058,'📦 Precios Proforma'!$B$5:$D$104,IF(D2058="DIA",2,3),FALSE)),0))</f>
        <v/>
      </c>
      <c r="J2058" s="31" t="str">
        <f t="shared" si="225"/>
        <v/>
      </c>
      <c r="K2058" s="31" t="str">
        <f t="shared" si="226"/>
        <v/>
      </c>
      <c r="L2058" s="31" t="str">
        <f>IF(OR(B2058="",C2058=""),"",IFERROR(E2058 / SUMIFS('📅 Resumen Diario'!$D$5:$D$504, '📅 Resumen Diario'!$B$5:$B$504, B2058, '📅 Resumen Diario'!$C$5:$C$504, D2058) * SUMIFS('📅 Resumen Diario'!$K$5:$K$504, '📅 Resumen Diario'!$B$5:$B$504, B2058, '📅 Resumen Diario'!$C$5:$C$504, D2058), 0))</f>
        <v/>
      </c>
      <c r="M2058" s="31" t="str">
        <f t="shared" si="227"/>
        <v/>
      </c>
      <c r="N2058" s="31" t="str">
        <f t="shared" si="228"/>
        <v/>
      </c>
      <c r="O2058" s="31" t="str">
        <f>IF(OR(B2058="",C2058=""),"",K2058-N2058 + IFERROR(E2058 / SUMIFS('📅 Resumen Diario'!$D$5:$D$504, '📅 Resumen Diario'!$B$5:$B$504, B2058, '📅 Resumen Diario'!$C$5:$C$504, D2058) * (SUMIFS('📋 Detalle Diario'!$E$5:$E$489, '📋 Detalle Diario'!$B$5:$B$489, B2058, '📋 Detalle Diario'!$C$5:$C$489, D2058) * 135 + SUMIFS('📋 Detalle Diario'!$I$5:$I$489, '📋 Detalle Diario'!$B$5:$B$489, B2058, '📋 Detalle Diario'!$C$5:$C$489, D2058) * 200), 0))</f>
        <v/>
      </c>
      <c r="P2058" s="32" t="str">
        <f t="shared" si="229"/>
        <v/>
      </c>
      <c r="Q2058" s="33" t="str">
        <f t="shared" si="230"/>
        <v/>
      </c>
    </row>
    <row r="2059" spans="2:17" ht="18" customHeight="1" x14ac:dyDescent="0.3">
      <c r="B2059" s="26"/>
      <c r="C2059" s="28"/>
      <c r="D2059" s="27"/>
      <c r="E2059" s="29"/>
      <c r="F2059" s="29"/>
      <c r="G2059" s="29"/>
      <c r="H2059" s="30" t="str">
        <f t="shared" si="224"/>
        <v/>
      </c>
      <c r="I2059" s="31" t="str">
        <f>IF(OR(B2059="",C2059=""),"",IFERROR(E2059*IF(E2059="",0,VLOOKUP(C2059,'📦 Precios Proforma'!$B$5:$D$104,IF(D2059="DIA",2,3),FALSE)),0))</f>
        <v/>
      </c>
      <c r="J2059" s="31" t="str">
        <f t="shared" si="225"/>
        <v/>
      </c>
      <c r="K2059" s="31" t="str">
        <f t="shared" si="226"/>
        <v/>
      </c>
      <c r="L2059" s="31" t="str">
        <f>IF(OR(B2059="",C2059=""),"",IFERROR(E2059 / SUMIFS('📅 Resumen Diario'!$D$5:$D$504, '📅 Resumen Diario'!$B$5:$B$504, B2059, '📅 Resumen Diario'!$C$5:$C$504, D2059) * SUMIFS('📅 Resumen Diario'!$K$5:$K$504, '📅 Resumen Diario'!$B$5:$B$504, B2059, '📅 Resumen Diario'!$C$5:$C$504, D2059), 0))</f>
        <v/>
      </c>
      <c r="M2059" s="31" t="str">
        <f t="shared" si="227"/>
        <v/>
      </c>
      <c r="N2059" s="31" t="str">
        <f t="shared" si="228"/>
        <v/>
      </c>
      <c r="O2059" s="31" t="str">
        <f>IF(OR(B2059="",C2059=""),"",K2059-N2059 + IFERROR(E2059 / SUMIFS('📅 Resumen Diario'!$D$5:$D$504, '📅 Resumen Diario'!$B$5:$B$504, B2059, '📅 Resumen Diario'!$C$5:$C$504, D2059) * (SUMIFS('📋 Detalle Diario'!$E$5:$E$489, '📋 Detalle Diario'!$B$5:$B$489, B2059, '📋 Detalle Diario'!$C$5:$C$489, D2059) * 135 + SUMIFS('📋 Detalle Diario'!$I$5:$I$489, '📋 Detalle Diario'!$B$5:$B$489, B2059, '📋 Detalle Diario'!$C$5:$C$489, D2059) * 200), 0))</f>
        <v/>
      </c>
      <c r="P2059" s="32" t="str">
        <f t="shared" si="229"/>
        <v/>
      </c>
      <c r="Q2059" s="33" t="str">
        <f t="shared" si="230"/>
        <v/>
      </c>
    </row>
    <row r="2060" spans="2:17" ht="18" customHeight="1" x14ac:dyDescent="0.3">
      <c r="B2060" s="26"/>
      <c r="C2060" s="17"/>
      <c r="D2060" s="27"/>
      <c r="E2060" s="18"/>
      <c r="F2060" s="18"/>
      <c r="G2060" s="18"/>
      <c r="H2060" s="30" t="str">
        <f t="shared" si="224"/>
        <v/>
      </c>
      <c r="I2060" s="31" t="str">
        <f>IF(OR(B2060="",C2060=""),"",IFERROR(E2060*IF(E2060="",0,VLOOKUP(C2060,'📦 Precios Proforma'!$B$5:$D$104,IF(D2060="DIA",2,3),FALSE)),0))</f>
        <v/>
      </c>
      <c r="J2060" s="31" t="str">
        <f t="shared" si="225"/>
        <v/>
      </c>
      <c r="K2060" s="31" t="str">
        <f t="shared" si="226"/>
        <v/>
      </c>
      <c r="L2060" s="31" t="str">
        <f>IF(OR(B2060="",C2060=""),"",IFERROR(E2060 / SUMIFS('📅 Resumen Diario'!$D$5:$D$504, '📅 Resumen Diario'!$B$5:$B$504, B2060, '📅 Resumen Diario'!$C$5:$C$504, D2060) * SUMIFS('📅 Resumen Diario'!$K$5:$K$504, '📅 Resumen Diario'!$B$5:$B$504, B2060, '📅 Resumen Diario'!$C$5:$C$504, D2060), 0))</f>
        <v/>
      </c>
      <c r="M2060" s="31" t="str">
        <f t="shared" si="227"/>
        <v/>
      </c>
      <c r="N2060" s="31" t="str">
        <f t="shared" si="228"/>
        <v/>
      </c>
      <c r="O2060" s="31" t="str">
        <f>IF(OR(B2060="",C2060=""),"",K2060-N2060 + IFERROR(E2060 / SUMIFS('📅 Resumen Diario'!$D$5:$D$504, '📅 Resumen Diario'!$B$5:$B$504, B2060, '📅 Resumen Diario'!$C$5:$C$504, D2060) * (SUMIFS('📋 Detalle Diario'!$E$5:$E$489, '📋 Detalle Diario'!$B$5:$B$489, B2060, '📋 Detalle Diario'!$C$5:$C$489, D2060) * 135 + SUMIFS('📋 Detalle Diario'!$I$5:$I$489, '📋 Detalle Diario'!$B$5:$B$489, B2060, '📋 Detalle Diario'!$C$5:$C$489, D2060) * 200), 0))</f>
        <v/>
      </c>
      <c r="P2060" s="32" t="str">
        <f t="shared" si="229"/>
        <v/>
      </c>
      <c r="Q2060" s="33" t="str">
        <f t="shared" si="230"/>
        <v/>
      </c>
    </row>
    <row r="2061" spans="2:17" ht="18" customHeight="1" x14ac:dyDescent="0.3">
      <c r="B2061" s="26"/>
      <c r="C2061" s="28"/>
      <c r="D2061" s="27"/>
      <c r="E2061" s="29"/>
      <c r="F2061" s="29"/>
      <c r="G2061" s="29"/>
      <c r="H2061" s="30" t="str">
        <f t="shared" si="224"/>
        <v/>
      </c>
      <c r="I2061" s="31" t="str">
        <f>IF(OR(B2061="",C2061=""),"",IFERROR(E2061*IF(E2061="",0,VLOOKUP(C2061,'📦 Precios Proforma'!$B$5:$D$104,IF(D2061="DIA",2,3),FALSE)),0))</f>
        <v/>
      </c>
      <c r="J2061" s="31" t="str">
        <f t="shared" si="225"/>
        <v/>
      </c>
      <c r="K2061" s="31" t="str">
        <f t="shared" si="226"/>
        <v/>
      </c>
      <c r="L2061" s="31" t="str">
        <f>IF(OR(B2061="",C2061=""),"",IFERROR(E2061 / SUMIFS('📅 Resumen Diario'!$D$5:$D$504, '📅 Resumen Diario'!$B$5:$B$504, B2061, '📅 Resumen Diario'!$C$5:$C$504, D2061) * SUMIFS('📅 Resumen Diario'!$K$5:$K$504, '📅 Resumen Diario'!$B$5:$B$504, B2061, '📅 Resumen Diario'!$C$5:$C$504, D2061), 0))</f>
        <v/>
      </c>
      <c r="M2061" s="31" t="str">
        <f t="shared" si="227"/>
        <v/>
      </c>
      <c r="N2061" s="31" t="str">
        <f t="shared" si="228"/>
        <v/>
      </c>
      <c r="O2061" s="31" t="str">
        <f>IF(OR(B2061="",C2061=""),"",K2061-N2061 + IFERROR(E2061 / SUMIFS('📅 Resumen Diario'!$D$5:$D$504, '📅 Resumen Diario'!$B$5:$B$504, B2061, '📅 Resumen Diario'!$C$5:$C$504, D2061) * (SUMIFS('📋 Detalle Diario'!$E$5:$E$489, '📋 Detalle Diario'!$B$5:$B$489, B2061, '📋 Detalle Diario'!$C$5:$C$489, D2061) * 135 + SUMIFS('📋 Detalle Diario'!$I$5:$I$489, '📋 Detalle Diario'!$B$5:$B$489, B2061, '📋 Detalle Diario'!$C$5:$C$489, D2061) * 200), 0))</f>
        <v/>
      </c>
      <c r="P2061" s="32" t="str">
        <f t="shared" si="229"/>
        <v/>
      </c>
      <c r="Q2061" s="33" t="str">
        <f t="shared" si="230"/>
        <v/>
      </c>
    </row>
    <row r="2062" spans="2:17" ht="18" customHeight="1" x14ac:dyDescent="0.3">
      <c r="B2062" s="26"/>
      <c r="C2062" s="17"/>
      <c r="D2062" s="27"/>
      <c r="E2062" s="18"/>
      <c r="F2062" s="18"/>
      <c r="G2062" s="18"/>
      <c r="H2062" s="30" t="str">
        <f t="shared" si="224"/>
        <v/>
      </c>
      <c r="I2062" s="31" t="str">
        <f>IF(OR(B2062="",C2062=""),"",IFERROR(E2062*IF(E2062="",0,VLOOKUP(C2062,'📦 Precios Proforma'!$B$5:$D$104,IF(D2062="DIA",2,3),FALSE)),0))</f>
        <v/>
      </c>
      <c r="J2062" s="31" t="str">
        <f t="shared" si="225"/>
        <v/>
      </c>
      <c r="K2062" s="31" t="str">
        <f t="shared" si="226"/>
        <v/>
      </c>
      <c r="L2062" s="31" t="str">
        <f>IF(OR(B2062="",C2062=""),"",IFERROR(E2062 / SUMIFS('📅 Resumen Diario'!$D$5:$D$504, '📅 Resumen Diario'!$B$5:$B$504, B2062, '📅 Resumen Diario'!$C$5:$C$504, D2062) * SUMIFS('📅 Resumen Diario'!$K$5:$K$504, '📅 Resumen Diario'!$B$5:$B$504, B2062, '📅 Resumen Diario'!$C$5:$C$504, D2062), 0))</f>
        <v/>
      </c>
      <c r="M2062" s="31" t="str">
        <f t="shared" si="227"/>
        <v/>
      </c>
      <c r="N2062" s="31" t="str">
        <f t="shared" si="228"/>
        <v/>
      </c>
      <c r="O2062" s="31" t="str">
        <f>IF(OR(B2062="",C2062=""),"",K2062-N2062 + IFERROR(E2062 / SUMIFS('📅 Resumen Diario'!$D$5:$D$504, '📅 Resumen Diario'!$B$5:$B$504, B2062, '📅 Resumen Diario'!$C$5:$C$504, D2062) * (SUMIFS('📋 Detalle Diario'!$E$5:$E$489, '📋 Detalle Diario'!$B$5:$B$489, B2062, '📋 Detalle Diario'!$C$5:$C$489, D2062) * 135 + SUMIFS('📋 Detalle Diario'!$I$5:$I$489, '📋 Detalle Diario'!$B$5:$B$489, B2062, '📋 Detalle Diario'!$C$5:$C$489, D2062) * 200), 0))</f>
        <v/>
      </c>
      <c r="P2062" s="32" t="str">
        <f t="shared" si="229"/>
        <v/>
      </c>
      <c r="Q2062" s="33" t="str">
        <f t="shared" si="230"/>
        <v/>
      </c>
    </row>
    <row r="2063" spans="2:17" ht="18" customHeight="1" x14ac:dyDescent="0.3">
      <c r="B2063" s="26"/>
      <c r="C2063" s="28"/>
      <c r="D2063" s="27"/>
      <c r="E2063" s="29"/>
      <c r="F2063" s="29"/>
      <c r="G2063" s="29"/>
      <c r="H2063" s="30" t="str">
        <f t="shared" si="224"/>
        <v/>
      </c>
      <c r="I2063" s="31" t="str">
        <f>IF(OR(B2063="",C2063=""),"",IFERROR(E2063*IF(E2063="",0,VLOOKUP(C2063,'📦 Precios Proforma'!$B$5:$D$104,IF(D2063="DIA",2,3),FALSE)),0))</f>
        <v/>
      </c>
      <c r="J2063" s="31" t="str">
        <f t="shared" si="225"/>
        <v/>
      </c>
      <c r="K2063" s="31" t="str">
        <f t="shared" si="226"/>
        <v/>
      </c>
      <c r="L2063" s="31" t="str">
        <f>IF(OR(B2063="",C2063=""),"",IFERROR(E2063 / SUMIFS('📅 Resumen Diario'!$D$5:$D$504, '📅 Resumen Diario'!$B$5:$B$504, B2063, '📅 Resumen Diario'!$C$5:$C$504, D2063) * SUMIFS('📅 Resumen Diario'!$K$5:$K$504, '📅 Resumen Diario'!$B$5:$B$504, B2063, '📅 Resumen Diario'!$C$5:$C$504, D2063), 0))</f>
        <v/>
      </c>
      <c r="M2063" s="31" t="str">
        <f t="shared" si="227"/>
        <v/>
      </c>
      <c r="N2063" s="31" t="str">
        <f t="shared" si="228"/>
        <v/>
      </c>
      <c r="O2063" s="31" t="str">
        <f>IF(OR(B2063="",C2063=""),"",K2063-N2063 + IFERROR(E2063 / SUMIFS('📅 Resumen Diario'!$D$5:$D$504, '📅 Resumen Diario'!$B$5:$B$504, B2063, '📅 Resumen Diario'!$C$5:$C$504, D2063) * (SUMIFS('📋 Detalle Diario'!$E$5:$E$489, '📋 Detalle Diario'!$B$5:$B$489, B2063, '📋 Detalle Diario'!$C$5:$C$489, D2063) * 135 + SUMIFS('📋 Detalle Diario'!$I$5:$I$489, '📋 Detalle Diario'!$B$5:$B$489, B2063, '📋 Detalle Diario'!$C$5:$C$489, D2063) * 200), 0))</f>
        <v/>
      </c>
      <c r="P2063" s="32" t="str">
        <f t="shared" si="229"/>
        <v/>
      </c>
      <c r="Q2063" s="33" t="str">
        <f t="shared" si="230"/>
        <v/>
      </c>
    </row>
    <row r="2064" spans="2:17" ht="18" customHeight="1" x14ac:dyDescent="0.3">
      <c r="B2064" s="26"/>
      <c r="C2064" s="17"/>
      <c r="D2064" s="27"/>
      <c r="E2064" s="18"/>
      <c r="F2064" s="18"/>
      <c r="G2064" s="18"/>
      <c r="H2064" s="30" t="str">
        <f t="shared" si="224"/>
        <v/>
      </c>
      <c r="I2064" s="31" t="str">
        <f>IF(OR(B2064="",C2064=""),"",IFERROR(E2064*IF(E2064="",0,VLOOKUP(C2064,'📦 Precios Proforma'!$B$5:$D$104,IF(D2064="DIA",2,3),FALSE)),0))</f>
        <v/>
      </c>
      <c r="J2064" s="31" t="str">
        <f t="shared" si="225"/>
        <v/>
      </c>
      <c r="K2064" s="31" t="str">
        <f t="shared" si="226"/>
        <v/>
      </c>
      <c r="L2064" s="31" t="str">
        <f>IF(OR(B2064="",C2064=""),"",IFERROR(E2064 / SUMIFS('📅 Resumen Diario'!$D$5:$D$504, '📅 Resumen Diario'!$B$5:$B$504, B2064, '📅 Resumen Diario'!$C$5:$C$504, D2064) * SUMIFS('📅 Resumen Diario'!$K$5:$K$504, '📅 Resumen Diario'!$B$5:$B$504, B2064, '📅 Resumen Diario'!$C$5:$C$504, D2064), 0))</f>
        <v/>
      </c>
      <c r="M2064" s="31" t="str">
        <f t="shared" si="227"/>
        <v/>
      </c>
      <c r="N2064" s="31" t="str">
        <f t="shared" si="228"/>
        <v/>
      </c>
      <c r="O2064" s="31" t="str">
        <f>IF(OR(B2064="",C2064=""),"",K2064-N2064 + IFERROR(E2064 / SUMIFS('📅 Resumen Diario'!$D$5:$D$504, '📅 Resumen Diario'!$B$5:$B$504, B2064, '📅 Resumen Diario'!$C$5:$C$504, D2064) * (SUMIFS('📋 Detalle Diario'!$E$5:$E$489, '📋 Detalle Diario'!$B$5:$B$489, B2064, '📋 Detalle Diario'!$C$5:$C$489, D2064) * 135 + SUMIFS('📋 Detalle Diario'!$I$5:$I$489, '📋 Detalle Diario'!$B$5:$B$489, B2064, '📋 Detalle Diario'!$C$5:$C$489, D2064) * 200), 0))</f>
        <v/>
      </c>
      <c r="P2064" s="32" t="str">
        <f t="shared" si="229"/>
        <v/>
      </c>
      <c r="Q2064" s="33" t="str">
        <f t="shared" si="230"/>
        <v/>
      </c>
    </row>
    <row r="2065" spans="2:17" ht="18" customHeight="1" x14ac:dyDescent="0.3">
      <c r="B2065" s="26"/>
      <c r="C2065" s="28"/>
      <c r="D2065" s="27"/>
      <c r="E2065" s="29"/>
      <c r="F2065" s="29"/>
      <c r="G2065" s="29"/>
      <c r="H2065" s="30" t="str">
        <f t="shared" si="224"/>
        <v/>
      </c>
      <c r="I2065" s="31" t="str">
        <f>IF(OR(B2065="",C2065=""),"",IFERROR(E2065*IF(E2065="",0,VLOOKUP(C2065,'📦 Precios Proforma'!$B$5:$D$104,IF(D2065="DIA",2,3),FALSE)),0))</f>
        <v/>
      </c>
      <c r="J2065" s="31" t="str">
        <f t="shared" si="225"/>
        <v/>
      </c>
      <c r="K2065" s="31" t="str">
        <f t="shared" si="226"/>
        <v/>
      </c>
      <c r="L2065" s="31" t="str">
        <f>IF(OR(B2065="",C2065=""),"",IFERROR(E2065 / SUMIFS('📅 Resumen Diario'!$D$5:$D$504, '📅 Resumen Diario'!$B$5:$B$504, B2065, '📅 Resumen Diario'!$C$5:$C$504, D2065) * SUMIFS('📅 Resumen Diario'!$K$5:$K$504, '📅 Resumen Diario'!$B$5:$B$504, B2065, '📅 Resumen Diario'!$C$5:$C$504, D2065), 0))</f>
        <v/>
      </c>
      <c r="M2065" s="31" t="str">
        <f t="shared" si="227"/>
        <v/>
      </c>
      <c r="N2065" s="31" t="str">
        <f t="shared" si="228"/>
        <v/>
      </c>
      <c r="O2065" s="31" t="str">
        <f>IF(OR(B2065="",C2065=""),"",K2065-N2065 + IFERROR(E2065 / SUMIFS('📅 Resumen Diario'!$D$5:$D$504, '📅 Resumen Diario'!$B$5:$B$504, B2065, '📅 Resumen Diario'!$C$5:$C$504, D2065) * (SUMIFS('📋 Detalle Diario'!$E$5:$E$489, '📋 Detalle Diario'!$B$5:$B$489, B2065, '📋 Detalle Diario'!$C$5:$C$489, D2065) * 135 + SUMIFS('📋 Detalle Diario'!$I$5:$I$489, '📋 Detalle Diario'!$B$5:$B$489, B2065, '📋 Detalle Diario'!$C$5:$C$489, D2065) * 200), 0))</f>
        <v/>
      </c>
      <c r="P2065" s="32" t="str">
        <f t="shared" si="229"/>
        <v/>
      </c>
      <c r="Q2065" s="33" t="str">
        <f t="shared" si="230"/>
        <v/>
      </c>
    </row>
    <row r="2066" spans="2:17" ht="18" customHeight="1" x14ac:dyDescent="0.3">
      <c r="B2066" s="26"/>
      <c r="C2066" s="17"/>
      <c r="D2066" s="27"/>
      <c r="E2066" s="18"/>
      <c r="F2066" s="18"/>
      <c r="G2066" s="18"/>
      <c r="H2066" s="30" t="str">
        <f t="shared" si="224"/>
        <v/>
      </c>
      <c r="I2066" s="31" t="str">
        <f>IF(OR(B2066="",C2066=""),"",IFERROR(E2066*IF(E2066="",0,VLOOKUP(C2066,'📦 Precios Proforma'!$B$5:$D$104,IF(D2066="DIA",2,3),FALSE)),0))</f>
        <v/>
      </c>
      <c r="J2066" s="31" t="str">
        <f t="shared" si="225"/>
        <v/>
      </c>
      <c r="K2066" s="31" t="str">
        <f t="shared" si="226"/>
        <v/>
      </c>
      <c r="L2066" s="31" t="str">
        <f>IF(OR(B2066="",C2066=""),"",IFERROR(E2066 / SUMIFS('📅 Resumen Diario'!$D$5:$D$504, '📅 Resumen Diario'!$B$5:$B$504, B2066, '📅 Resumen Diario'!$C$5:$C$504, D2066) * SUMIFS('📅 Resumen Diario'!$K$5:$K$504, '📅 Resumen Diario'!$B$5:$B$504, B2066, '📅 Resumen Diario'!$C$5:$C$504, D2066), 0))</f>
        <v/>
      </c>
      <c r="M2066" s="31" t="str">
        <f t="shared" si="227"/>
        <v/>
      </c>
      <c r="N2066" s="31" t="str">
        <f t="shared" si="228"/>
        <v/>
      </c>
      <c r="O2066" s="31" t="str">
        <f>IF(OR(B2066="",C2066=""),"",K2066-N2066 + IFERROR(E2066 / SUMIFS('📅 Resumen Diario'!$D$5:$D$504, '📅 Resumen Diario'!$B$5:$B$504, B2066, '📅 Resumen Diario'!$C$5:$C$504, D2066) * (SUMIFS('📋 Detalle Diario'!$E$5:$E$489, '📋 Detalle Diario'!$B$5:$B$489, B2066, '📋 Detalle Diario'!$C$5:$C$489, D2066) * 135 + SUMIFS('📋 Detalle Diario'!$I$5:$I$489, '📋 Detalle Diario'!$B$5:$B$489, B2066, '📋 Detalle Diario'!$C$5:$C$489, D2066) * 200), 0))</f>
        <v/>
      </c>
      <c r="P2066" s="32" t="str">
        <f t="shared" si="229"/>
        <v/>
      </c>
      <c r="Q2066" s="33" t="str">
        <f t="shared" si="230"/>
        <v/>
      </c>
    </row>
    <row r="2067" spans="2:17" ht="18" customHeight="1" x14ac:dyDescent="0.3">
      <c r="B2067" s="26"/>
      <c r="C2067" s="28"/>
      <c r="D2067" s="27"/>
      <c r="E2067" s="29"/>
      <c r="F2067" s="29"/>
      <c r="G2067" s="29"/>
      <c r="H2067" s="30" t="str">
        <f t="shared" si="224"/>
        <v/>
      </c>
      <c r="I2067" s="31" t="str">
        <f>IF(OR(B2067="",C2067=""),"",IFERROR(E2067*IF(E2067="",0,VLOOKUP(C2067,'📦 Precios Proforma'!$B$5:$D$104,IF(D2067="DIA",2,3),FALSE)),0))</f>
        <v/>
      </c>
      <c r="J2067" s="31" t="str">
        <f t="shared" si="225"/>
        <v/>
      </c>
      <c r="K2067" s="31" t="str">
        <f t="shared" si="226"/>
        <v/>
      </c>
      <c r="L2067" s="31" t="str">
        <f>IF(OR(B2067="",C2067=""),"",IFERROR(E2067 / SUMIFS('📅 Resumen Diario'!$D$5:$D$504, '📅 Resumen Diario'!$B$5:$B$504, B2067, '📅 Resumen Diario'!$C$5:$C$504, D2067) * SUMIFS('📅 Resumen Diario'!$K$5:$K$504, '📅 Resumen Diario'!$B$5:$B$504, B2067, '📅 Resumen Diario'!$C$5:$C$504, D2067), 0))</f>
        <v/>
      </c>
      <c r="M2067" s="31" t="str">
        <f t="shared" si="227"/>
        <v/>
      </c>
      <c r="N2067" s="31" t="str">
        <f t="shared" si="228"/>
        <v/>
      </c>
      <c r="O2067" s="31" t="str">
        <f>IF(OR(B2067="",C2067=""),"",K2067-N2067 + IFERROR(E2067 / SUMIFS('📅 Resumen Diario'!$D$5:$D$504, '📅 Resumen Diario'!$B$5:$B$504, B2067, '📅 Resumen Diario'!$C$5:$C$504, D2067) * (SUMIFS('📋 Detalle Diario'!$E$5:$E$489, '📋 Detalle Diario'!$B$5:$B$489, B2067, '📋 Detalle Diario'!$C$5:$C$489, D2067) * 135 + SUMIFS('📋 Detalle Diario'!$I$5:$I$489, '📋 Detalle Diario'!$B$5:$B$489, B2067, '📋 Detalle Diario'!$C$5:$C$489, D2067) * 200), 0))</f>
        <v/>
      </c>
      <c r="P2067" s="32" t="str">
        <f t="shared" si="229"/>
        <v/>
      </c>
      <c r="Q2067" s="33" t="str">
        <f t="shared" si="230"/>
        <v/>
      </c>
    </row>
    <row r="2068" spans="2:17" ht="18" customHeight="1" x14ac:dyDescent="0.3">
      <c r="B2068" s="26"/>
      <c r="C2068" s="17"/>
      <c r="D2068" s="27"/>
      <c r="E2068" s="18"/>
      <c r="F2068" s="18"/>
      <c r="G2068" s="18"/>
      <c r="H2068" s="30" t="str">
        <f t="shared" si="224"/>
        <v/>
      </c>
      <c r="I2068" s="31" t="str">
        <f>IF(OR(B2068="",C2068=""),"",IFERROR(E2068*IF(E2068="",0,VLOOKUP(C2068,'📦 Precios Proforma'!$B$5:$D$104,IF(D2068="DIA",2,3),FALSE)),0))</f>
        <v/>
      </c>
      <c r="J2068" s="31" t="str">
        <f t="shared" si="225"/>
        <v/>
      </c>
      <c r="K2068" s="31" t="str">
        <f t="shared" si="226"/>
        <v/>
      </c>
      <c r="L2068" s="31" t="str">
        <f>IF(OR(B2068="",C2068=""),"",IFERROR(E2068 / SUMIFS('📅 Resumen Diario'!$D$5:$D$504, '📅 Resumen Diario'!$B$5:$B$504, B2068, '📅 Resumen Diario'!$C$5:$C$504, D2068) * SUMIFS('📅 Resumen Diario'!$K$5:$K$504, '📅 Resumen Diario'!$B$5:$B$504, B2068, '📅 Resumen Diario'!$C$5:$C$504, D2068), 0))</f>
        <v/>
      </c>
      <c r="M2068" s="31" t="str">
        <f t="shared" si="227"/>
        <v/>
      </c>
      <c r="N2068" s="31" t="str">
        <f t="shared" si="228"/>
        <v/>
      </c>
      <c r="O2068" s="31" t="str">
        <f>IF(OR(B2068="",C2068=""),"",K2068-N2068 + IFERROR(E2068 / SUMIFS('📅 Resumen Diario'!$D$5:$D$504, '📅 Resumen Diario'!$B$5:$B$504, B2068, '📅 Resumen Diario'!$C$5:$C$504, D2068) * (SUMIFS('📋 Detalle Diario'!$E$5:$E$489, '📋 Detalle Diario'!$B$5:$B$489, B2068, '📋 Detalle Diario'!$C$5:$C$489, D2068) * 135 + SUMIFS('📋 Detalle Diario'!$I$5:$I$489, '📋 Detalle Diario'!$B$5:$B$489, B2068, '📋 Detalle Diario'!$C$5:$C$489, D2068) * 200), 0))</f>
        <v/>
      </c>
      <c r="P2068" s="32" t="str">
        <f t="shared" si="229"/>
        <v/>
      </c>
      <c r="Q2068" s="33" t="str">
        <f t="shared" si="230"/>
        <v/>
      </c>
    </row>
    <row r="2069" spans="2:17" ht="18" customHeight="1" x14ac:dyDescent="0.3">
      <c r="B2069" s="26"/>
      <c r="C2069" s="28"/>
      <c r="D2069" s="27"/>
      <c r="E2069" s="29"/>
      <c r="F2069" s="29"/>
      <c r="G2069" s="29"/>
      <c r="H2069" s="30" t="str">
        <f t="shared" si="224"/>
        <v/>
      </c>
      <c r="I2069" s="31" t="str">
        <f>IF(OR(B2069="",C2069=""),"",IFERROR(E2069*IF(E2069="",0,VLOOKUP(C2069,'📦 Precios Proforma'!$B$5:$D$104,IF(D2069="DIA",2,3),FALSE)),0))</f>
        <v/>
      </c>
      <c r="J2069" s="31" t="str">
        <f t="shared" si="225"/>
        <v/>
      </c>
      <c r="K2069" s="31" t="str">
        <f t="shared" si="226"/>
        <v/>
      </c>
      <c r="L2069" s="31" t="str">
        <f>IF(OR(B2069="",C2069=""),"",IFERROR(E2069 / SUMIFS('📅 Resumen Diario'!$D$5:$D$504, '📅 Resumen Diario'!$B$5:$B$504, B2069, '📅 Resumen Diario'!$C$5:$C$504, D2069) * SUMIFS('📅 Resumen Diario'!$K$5:$K$504, '📅 Resumen Diario'!$B$5:$B$504, B2069, '📅 Resumen Diario'!$C$5:$C$504, D2069), 0))</f>
        <v/>
      </c>
      <c r="M2069" s="31" t="str">
        <f t="shared" si="227"/>
        <v/>
      </c>
      <c r="N2069" s="31" t="str">
        <f t="shared" si="228"/>
        <v/>
      </c>
      <c r="O2069" s="31" t="str">
        <f>IF(OR(B2069="",C2069=""),"",K2069-N2069 + IFERROR(E2069 / SUMIFS('📅 Resumen Diario'!$D$5:$D$504, '📅 Resumen Diario'!$B$5:$B$504, B2069, '📅 Resumen Diario'!$C$5:$C$504, D2069) * (SUMIFS('📋 Detalle Diario'!$E$5:$E$489, '📋 Detalle Diario'!$B$5:$B$489, B2069, '📋 Detalle Diario'!$C$5:$C$489, D2069) * 135 + SUMIFS('📋 Detalle Diario'!$I$5:$I$489, '📋 Detalle Diario'!$B$5:$B$489, B2069, '📋 Detalle Diario'!$C$5:$C$489, D2069) * 200), 0))</f>
        <v/>
      </c>
      <c r="P2069" s="32" t="str">
        <f t="shared" si="229"/>
        <v/>
      </c>
      <c r="Q2069" s="33" t="str">
        <f t="shared" si="230"/>
        <v/>
      </c>
    </row>
    <row r="2070" spans="2:17" ht="18" customHeight="1" x14ac:dyDescent="0.3">
      <c r="B2070" s="26"/>
      <c r="C2070" s="17"/>
      <c r="D2070" s="27"/>
      <c r="E2070" s="18"/>
      <c r="F2070" s="18"/>
      <c r="G2070" s="18"/>
      <c r="H2070" s="30" t="str">
        <f t="shared" si="224"/>
        <v/>
      </c>
      <c r="I2070" s="31" t="str">
        <f>IF(OR(B2070="",C2070=""),"",IFERROR(E2070*IF(E2070="",0,VLOOKUP(C2070,'📦 Precios Proforma'!$B$5:$D$104,IF(D2070="DIA",2,3),FALSE)),0))</f>
        <v/>
      </c>
      <c r="J2070" s="31" t="str">
        <f t="shared" si="225"/>
        <v/>
      </c>
      <c r="K2070" s="31" t="str">
        <f t="shared" si="226"/>
        <v/>
      </c>
      <c r="L2070" s="31" t="str">
        <f>IF(OR(B2070="",C2070=""),"",IFERROR(E2070 / SUMIFS('📅 Resumen Diario'!$D$5:$D$504, '📅 Resumen Diario'!$B$5:$B$504, B2070, '📅 Resumen Diario'!$C$5:$C$504, D2070) * SUMIFS('📅 Resumen Diario'!$K$5:$K$504, '📅 Resumen Diario'!$B$5:$B$504, B2070, '📅 Resumen Diario'!$C$5:$C$504, D2070), 0))</f>
        <v/>
      </c>
      <c r="M2070" s="31" t="str">
        <f t="shared" si="227"/>
        <v/>
      </c>
      <c r="N2070" s="31" t="str">
        <f t="shared" si="228"/>
        <v/>
      </c>
      <c r="O2070" s="31" t="str">
        <f>IF(OR(B2070="",C2070=""),"",K2070-N2070 + IFERROR(E2070 / SUMIFS('📅 Resumen Diario'!$D$5:$D$504, '📅 Resumen Diario'!$B$5:$B$504, B2070, '📅 Resumen Diario'!$C$5:$C$504, D2070) * (SUMIFS('📋 Detalle Diario'!$E$5:$E$489, '📋 Detalle Diario'!$B$5:$B$489, B2070, '📋 Detalle Diario'!$C$5:$C$489, D2070) * 135 + SUMIFS('📋 Detalle Diario'!$I$5:$I$489, '📋 Detalle Diario'!$B$5:$B$489, B2070, '📋 Detalle Diario'!$C$5:$C$489, D2070) * 200), 0))</f>
        <v/>
      </c>
      <c r="P2070" s="32" t="str">
        <f t="shared" si="229"/>
        <v/>
      </c>
      <c r="Q2070" s="33" t="str">
        <f t="shared" si="230"/>
        <v/>
      </c>
    </row>
    <row r="2071" spans="2:17" ht="18" customHeight="1" x14ac:dyDescent="0.3">
      <c r="B2071" s="26"/>
      <c r="C2071" s="28"/>
      <c r="D2071" s="27"/>
      <c r="E2071" s="29"/>
      <c r="F2071" s="29"/>
      <c r="G2071" s="29"/>
      <c r="H2071" s="30" t="str">
        <f t="shared" si="224"/>
        <v/>
      </c>
      <c r="I2071" s="31" t="str">
        <f>IF(OR(B2071="",C2071=""),"",IFERROR(E2071*IF(E2071="",0,VLOOKUP(C2071,'📦 Precios Proforma'!$B$5:$D$104,IF(D2071="DIA",2,3),FALSE)),0))</f>
        <v/>
      </c>
      <c r="J2071" s="31" t="str">
        <f t="shared" si="225"/>
        <v/>
      </c>
      <c r="K2071" s="31" t="str">
        <f t="shared" si="226"/>
        <v/>
      </c>
      <c r="L2071" s="31" t="str">
        <f>IF(OR(B2071="",C2071=""),"",IFERROR(E2071 / SUMIFS('📅 Resumen Diario'!$D$5:$D$504, '📅 Resumen Diario'!$B$5:$B$504, B2071, '📅 Resumen Diario'!$C$5:$C$504, D2071) * SUMIFS('📅 Resumen Diario'!$K$5:$K$504, '📅 Resumen Diario'!$B$5:$B$504, B2071, '📅 Resumen Diario'!$C$5:$C$504, D2071), 0))</f>
        <v/>
      </c>
      <c r="M2071" s="31" t="str">
        <f t="shared" si="227"/>
        <v/>
      </c>
      <c r="N2071" s="31" t="str">
        <f t="shared" si="228"/>
        <v/>
      </c>
      <c r="O2071" s="31" t="str">
        <f>IF(OR(B2071="",C2071=""),"",K2071-N2071 + IFERROR(E2071 / SUMIFS('📅 Resumen Diario'!$D$5:$D$504, '📅 Resumen Diario'!$B$5:$B$504, B2071, '📅 Resumen Diario'!$C$5:$C$504, D2071) * (SUMIFS('📋 Detalle Diario'!$E$5:$E$489, '📋 Detalle Diario'!$B$5:$B$489, B2071, '📋 Detalle Diario'!$C$5:$C$489, D2071) * 135 + SUMIFS('📋 Detalle Diario'!$I$5:$I$489, '📋 Detalle Diario'!$B$5:$B$489, B2071, '📋 Detalle Diario'!$C$5:$C$489, D2071) * 200), 0))</f>
        <v/>
      </c>
      <c r="P2071" s="32" t="str">
        <f t="shared" si="229"/>
        <v/>
      </c>
      <c r="Q2071" s="33" t="str">
        <f t="shared" si="230"/>
        <v/>
      </c>
    </row>
    <row r="2072" spans="2:17" ht="18" customHeight="1" x14ac:dyDescent="0.3">
      <c r="B2072" s="26"/>
      <c r="C2072" s="17"/>
      <c r="D2072" s="27"/>
      <c r="E2072" s="18"/>
      <c r="F2072" s="18"/>
      <c r="G2072" s="18"/>
      <c r="H2072" s="30" t="str">
        <f t="shared" si="224"/>
        <v/>
      </c>
      <c r="I2072" s="31" t="str">
        <f>IF(OR(B2072="",C2072=""),"",IFERROR(E2072*IF(E2072="",0,VLOOKUP(C2072,'📦 Precios Proforma'!$B$5:$D$104,IF(D2072="DIA",2,3),FALSE)),0))</f>
        <v/>
      </c>
      <c r="J2072" s="31" t="str">
        <f t="shared" si="225"/>
        <v/>
      </c>
      <c r="K2072" s="31" t="str">
        <f t="shared" si="226"/>
        <v/>
      </c>
      <c r="L2072" s="31" t="str">
        <f>IF(OR(B2072="",C2072=""),"",IFERROR(E2072 / SUMIFS('📅 Resumen Diario'!$D$5:$D$504, '📅 Resumen Diario'!$B$5:$B$504, B2072, '📅 Resumen Diario'!$C$5:$C$504, D2072) * SUMIFS('📅 Resumen Diario'!$K$5:$K$504, '📅 Resumen Diario'!$B$5:$B$504, B2072, '📅 Resumen Diario'!$C$5:$C$504, D2072), 0))</f>
        <v/>
      </c>
      <c r="M2072" s="31" t="str">
        <f t="shared" si="227"/>
        <v/>
      </c>
      <c r="N2072" s="31" t="str">
        <f t="shared" si="228"/>
        <v/>
      </c>
      <c r="O2072" s="31" t="str">
        <f>IF(OR(B2072="",C2072=""),"",K2072-N2072 + IFERROR(E2072 / SUMIFS('📅 Resumen Diario'!$D$5:$D$504, '📅 Resumen Diario'!$B$5:$B$504, B2072, '📅 Resumen Diario'!$C$5:$C$504, D2072) * (SUMIFS('📋 Detalle Diario'!$E$5:$E$489, '📋 Detalle Diario'!$B$5:$B$489, B2072, '📋 Detalle Diario'!$C$5:$C$489, D2072) * 135 + SUMIFS('📋 Detalle Diario'!$I$5:$I$489, '📋 Detalle Diario'!$B$5:$B$489, B2072, '📋 Detalle Diario'!$C$5:$C$489, D2072) * 200), 0))</f>
        <v/>
      </c>
      <c r="P2072" s="32" t="str">
        <f t="shared" si="229"/>
        <v/>
      </c>
      <c r="Q2072" s="33" t="str">
        <f t="shared" si="230"/>
        <v/>
      </c>
    </row>
    <row r="2073" spans="2:17" ht="18" customHeight="1" x14ac:dyDescent="0.3">
      <c r="B2073" s="26"/>
      <c r="C2073" s="28"/>
      <c r="D2073" s="27"/>
      <c r="E2073" s="29"/>
      <c r="F2073" s="29"/>
      <c r="G2073" s="29"/>
      <c r="H2073" s="30" t="str">
        <f t="shared" si="224"/>
        <v/>
      </c>
      <c r="I2073" s="31" t="str">
        <f>IF(OR(B2073="",C2073=""),"",IFERROR(E2073*IF(E2073="",0,VLOOKUP(C2073,'📦 Precios Proforma'!$B$5:$D$104,IF(D2073="DIA",2,3),FALSE)),0))</f>
        <v/>
      </c>
      <c r="J2073" s="31" t="str">
        <f t="shared" si="225"/>
        <v/>
      </c>
      <c r="K2073" s="31" t="str">
        <f t="shared" si="226"/>
        <v/>
      </c>
      <c r="L2073" s="31" t="str">
        <f>IF(OR(B2073="",C2073=""),"",IFERROR(E2073 / SUMIFS('📅 Resumen Diario'!$D$5:$D$504, '📅 Resumen Diario'!$B$5:$B$504, B2073, '📅 Resumen Diario'!$C$5:$C$504, D2073) * SUMIFS('📅 Resumen Diario'!$K$5:$K$504, '📅 Resumen Diario'!$B$5:$B$504, B2073, '📅 Resumen Diario'!$C$5:$C$504, D2073), 0))</f>
        <v/>
      </c>
      <c r="M2073" s="31" t="str">
        <f t="shared" si="227"/>
        <v/>
      </c>
      <c r="N2073" s="31" t="str">
        <f t="shared" si="228"/>
        <v/>
      </c>
      <c r="O2073" s="31" t="str">
        <f>IF(OR(B2073="",C2073=""),"",K2073-N2073 + IFERROR(E2073 / SUMIFS('📅 Resumen Diario'!$D$5:$D$504, '📅 Resumen Diario'!$B$5:$B$504, B2073, '📅 Resumen Diario'!$C$5:$C$504, D2073) * (SUMIFS('📋 Detalle Diario'!$E$5:$E$489, '📋 Detalle Diario'!$B$5:$B$489, B2073, '📋 Detalle Diario'!$C$5:$C$489, D2073) * 135 + SUMIFS('📋 Detalle Diario'!$I$5:$I$489, '📋 Detalle Diario'!$B$5:$B$489, B2073, '📋 Detalle Diario'!$C$5:$C$489, D2073) * 200), 0))</f>
        <v/>
      </c>
      <c r="P2073" s="32" t="str">
        <f t="shared" si="229"/>
        <v/>
      </c>
      <c r="Q2073" s="33" t="str">
        <f t="shared" si="230"/>
        <v/>
      </c>
    </row>
    <row r="2074" spans="2:17" ht="18" customHeight="1" x14ac:dyDescent="0.3">
      <c r="B2074" s="26"/>
      <c r="C2074" s="17"/>
      <c r="D2074" s="27"/>
      <c r="E2074" s="18"/>
      <c r="F2074" s="18"/>
      <c r="G2074" s="18"/>
      <c r="H2074" s="30" t="str">
        <f t="shared" si="224"/>
        <v/>
      </c>
      <c r="I2074" s="31" t="str">
        <f>IF(OR(B2074="",C2074=""),"",IFERROR(E2074*IF(E2074="",0,VLOOKUP(C2074,'📦 Precios Proforma'!$B$5:$D$104,IF(D2074="DIA",2,3),FALSE)),0))</f>
        <v/>
      </c>
      <c r="J2074" s="31" t="str">
        <f t="shared" si="225"/>
        <v/>
      </c>
      <c r="K2074" s="31" t="str">
        <f t="shared" si="226"/>
        <v/>
      </c>
      <c r="L2074" s="31" t="str">
        <f>IF(OR(B2074="",C2074=""),"",IFERROR(E2074 / SUMIFS('📅 Resumen Diario'!$D$5:$D$504, '📅 Resumen Diario'!$B$5:$B$504, B2074, '📅 Resumen Diario'!$C$5:$C$504, D2074) * SUMIFS('📅 Resumen Diario'!$K$5:$K$504, '📅 Resumen Diario'!$B$5:$B$504, B2074, '📅 Resumen Diario'!$C$5:$C$504, D2074), 0))</f>
        <v/>
      </c>
      <c r="M2074" s="31" t="str">
        <f t="shared" si="227"/>
        <v/>
      </c>
      <c r="N2074" s="31" t="str">
        <f t="shared" si="228"/>
        <v/>
      </c>
      <c r="O2074" s="31" t="str">
        <f>IF(OR(B2074="",C2074=""),"",K2074-N2074 + IFERROR(E2074 / SUMIFS('📅 Resumen Diario'!$D$5:$D$504, '📅 Resumen Diario'!$B$5:$B$504, B2074, '📅 Resumen Diario'!$C$5:$C$504, D2074) * (SUMIFS('📋 Detalle Diario'!$E$5:$E$489, '📋 Detalle Diario'!$B$5:$B$489, B2074, '📋 Detalle Diario'!$C$5:$C$489, D2074) * 135 + SUMIFS('📋 Detalle Diario'!$I$5:$I$489, '📋 Detalle Diario'!$B$5:$B$489, B2074, '📋 Detalle Diario'!$C$5:$C$489, D2074) * 200), 0))</f>
        <v/>
      </c>
      <c r="P2074" s="32" t="str">
        <f t="shared" si="229"/>
        <v/>
      </c>
      <c r="Q2074" s="33" t="str">
        <f t="shared" si="230"/>
        <v/>
      </c>
    </row>
    <row r="2075" spans="2:17" ht="18" customHeight="1" x14ac:dyDescent="0.3">
      <c r="B2075" s="26"/>
      <c r="C2075" s="28"/>
      <c r="D2075" s="27"/>
      <c r="E2075" s="29"/>
      <c r="F2075" s="29"/>
      <c r="G2075" s="29"/>
      <c r="H2075" s="30" t="str">
        <f t="shared" si="224"/>
        <v/>
      </c>
      <c r="I2075" s="31" t="str">
        <f>IF(OR(B2075="",C2075=""),"",IFERROR(E2075*IF(E2075="",0,VLOOKUP(C2075,'📦 Precios Proforma'!$B$5:$D$104,IF(D2075="DIA",2,3),FALSE)),0))</f>
        <v/>
      </c>
      <c r="J2075" s="31" t="str">
        <f t="shared" si="225"/>
        <v/>
      </c>
      <c r="K2075" s="31" t="str">
        <f t="shared" si="226"/>
        <v/>
      </c>
      <c r="L2075" s="31" t="str">
        <f>IF(OR(B2075="",C2075=""),"",IFERROR(E2075 / SUMIFS('📅 Resumen Diario'!$D$5:$D$504, '📅 Resumen Diario'!$B$5:$B$504, B2075, '📅 Resumen Diario'!$C$5:$C$504, D2075) * SUMIFS('📅 Resumen Diario'!$K$5:$K$504, '📅 Resumen Diario'!$B$5:$B$504, B2075, '📅 Resumen Diario'!$C$5:$C$504, D2075), 0))</f>
        <v/>
      </c>
      <c r="M2075" s="31" t="str">
        <f t="shared" si="227"/>
        <v/>
      </c>
      <c r="N2075" s="31" t="str">
        <f t="shared" si="228"/>
        <v/>
      </c>
      <c r="O2075" s="31" t="str">
        <f>IF(OR(B2075="",C2075=""),"",K2075-N2075 + IFERROR(E2075 / SUMIFS('📅 Resumen Diario'!$D$5:$D$504, '📅 Resumen Diario'!$B$5:$B$504, B2075, '📅 Resumen Diario'!$C$5:$C$504, D2075) * (SUMIFS('📋 Detalle Diario'!$E$5:$E$489, '📋 Detalle Diario'!$B$5:$B$489, B2075, '📋 Detalle Diario'!$C$5:$C$489, D2075) * 135 + SUMIFS('📋 Detalle Diario'!$I$5:$I$489, '📋 Detalle Diario'!$B$5:$B$489, B2075, '📋 Detalle Diario'!$C$5:$C$489, D2075) * 200), 0))</f>
        <v/>
      </c>
      <c r="P2075" s="32" t="str">
        <f t="shared" si="229"/>
        <v/>
      </c>
      <c r="Q2075" s="33" t="str">
        <f t="shared" si="230"/>
        <v/>
      </c>
    </row>
    <row r="2076" spans="2:17" ht="18" customHeight="1" x14ac:dyDescent="0.3">
      <c r="B2076" s="26"/>
      <c r="C2076" s="17"/>
      <c r="D2076" s="27"/>
      <c r="E2076" s="18"/>
      <c r="F2076" s="18"/>
      <c r="G2076" s="18"/>
      <c r="H2076" s="30" t="str">
        <f t="shared" si="224"/>
        <v/>
      </c>
      <c r="I2076" s="31" t="str">
        <f>IF(OR(B2076="",C2076=""),"",IFERROR(E2076*IF(E2076="",0,VLOOKUP(C2076,'📦 Precios Proforma'!$B$5:$D$104,IF(D2076="DIA",2,3),FALSE)),0))</f>
        <v/>
      </c>
      <c r="J2076" s="31" t="str">
        <f t="shared" si="225"/>
        <v/>
      </c>
      <c r="K2076" s="31" t="str">
        <f t="shared" si="226"/>
        <v/>
      </c>
      <c r="L2076" s="31" t="str">
        <f>IF(OR(B2076="",C2076=""),"",IFERROR(E2076 / SUMIFS('📅 Resumen Diario'!$D$5:$D$504, '📅 Resumen Diario'!$B$5:$B$504, B2076, '📅 Resumen Diario'!$C$5:$C$504, D2076) * SUMIFS('📅 Resumen Diario'!$K$5:$K$504, '📅 Resumen Diario'!$B$5:$B$504, B2076, '📅 Resumen Diario'!$C$5:$C$504, D2076), 0))</f>
        <v/>
      </c>
      <c r="M2076" s="31" t="str">
        <f t="shared" si="227"/>
        <v/>
      </c>
      <c r="N2076" s="31" t="str">
        <f t="shared" si="228"/>
        <v/>
      </c>
      <c r="O2076" s="31" t="str">
        <f>IF(OR(B2076="",C2076=""),"",K2076-N2076 + IFERROR(E2076 / SUMIFS('📅 Resumen Diario'!$D$5:$D$504, '📅 Resumen Diario'!$B$5:$B$504, B2076, '📅 Resumen Diario'!$C$5:$C$504, D2076) * (SUMIFS('📋 Detalle Diario'!$E$5:$E$489, '📋 Detalle Diario'!$B$5:$B$489, B2076, '📋 Detalle Diario'!$C$5:$C$489, D2076) * 135 + SUMIFS('📋 Detalle Diario'!$I$5:$I$489, '📋 Detalle Diario'!$B$5:$B$489, B2076, '📋 Detalle Diario'!$C$5:$C$489, D2076) * 200), 0))</f>
        <v/>
      </c>
      <c r="P2076" s="32" t="str">
        <f t="shared" si="229"/>
        <v/>
      </c>
      <c r="Q2076" s="33" t="str">
        <f t="shared" si="230"/>
        <v/>
      </c>
    </row>
    <row r="2077" spans="2:17" ht="18" customHeight="1" x14ac:dyDescent="0.3">
      <c r="B2077" s="26"/>
      <c r="C2077" s="28"/>
      <c r="D2077" s="27"/>
      <c r="E2077" s="29"/>
      <c r="F2077" s="29"/>
      <c r="G2077" s="29"/>
      <c r="H2077" s="30" t="str">
        <f t="shared" si="224"/>
        <v/>
      </c>
      <c r="I2077" s="31" t="str">
        <f>IF(OR(B2077="",C2077=""),"",IFERROR(E2077*IF(E2077="",0,VLOOKUP(C2077,'📦 Precios Proforma'!$B$5:$D$104,IF(D2077="DIA",2,3),FALSE)),0))</f>
        <v/>
      </c>
      <c r="J2077" s="31" t="str">
        <f t="shared" si="225"/>
        <v/>
      </c>
      <c r="K2077" s="31" t="str">
        <f t="shared" si="226"/>
        <v/>
      </c>
      <c r="L2077" s="31" t="str">
        <f>IF(OR(B2077="",C2077=""),"",IFERROR(E2077 / SUMIFS('📅 Resumen Diario'!$D$5:$D$504, '📅 Resumen Diario'!$B$5:$B$504, B2077, '📅 Resumen Diario'!$C$5:$C$504, D2077) * SUMIFS('📅 Resumen Diario'!$K$5:$K$504, '📅 Resumen Diario'!$B$5:$B$504, B2077, '📅 Resumen Diario'!$C$5:$C$504, D2077), 0))</f>
        <v/>
      </c>
      <c r="M2077" s="31" t="str">
        <f t="shared" si="227"/>
        <v/>
      </c>
      <c r="N2077" s="31" t="str">
        <f t="shared" si="228"/>
        <v/>
      </c>
      <c r="O2077" s="31" t="str">
        <f>IF(OR(B2077="",C2077=""),"",K2077-N2077 + IFERROR(E2077 / SUMIFS('📅 Resumen Diario'!$D$5:$D$504, '📅 Resumen Diario'!$B$5:$B$504, B2077, '📅 Resumen Diario'!$C$5:$C$504, D2077) * (SUMIFS('📋 Detalle Diario'!$E$5:$E$489, '📋 Detalle Diario'!$B$5:$B$489, B2077, '📋 Detalle Diario'!$C$5:$C$489, D2077) * 135 + SUMIFS('📋 Detalle Diario'!$I$5:$I$489, '📋 Detalle Diario'!$B$5:$B$489, B2077, '📋 Detalle Diario'!$C$5:$C$489, D2077) * 200), 0))</f>
        <v/>
      </c>
      <c r="P2077" s="32" t="str">
        <f t="shared" si="229"/>
        <v/>
      </c>
      <c r="Q2077" s="33" t="str">
        <f t="shared" si="230"/>
        <v/>
      </c>
    </row>
    <row r="2078" spans="2:17" ht="18" customHeight="1" x14ac:dyDescent="0.3">
      <c r="B2078" s="26"/>
      <c r="C2078" s="17"/>
      <c r="D2078" s="27"/>
      <c r="E2078" s="18"/>
      <c r="F2078" s="18"/>
      <c r="G2078" s="18"/>
      <c r="H2078" s="30" t="str">
        <f t="shared" si="224"/>
        <v/>
      </c>
      <c r="I2078" s="31" t="str">
        <f>IF(OR(B2078="",C2078=""),"",IFERROR(E2078*IF(E2078="",0,VLOOKUP(C2078,'📦 Precios Proforma'!$B$5:$D$104,IF(D2078="DIA",2,3),FALSE)),0))</f>
        <v/>
      </c>
      <c r="J2078" s="31" t="str">
        <f t="shared" si="225"/>
        <v/>
      </c>
      <c r="K2078" s="31" t="str">
        <f t="shared" si="226"/>
        <v/>
      </c>
      <c r="L2078" s="31" t="str">
        <f>IF(OR(B2078="",C2078=""),"",IFERROR(E2078 / SUMIFS('📅 Resumen Diario'!$D$5:$D$504, '📅 Resumen Diario'!$B$5:$B$504, B2078, '📅 Resumen Diario'!$C$5:$C$504, D2078) * SUMIFS('📅 Resumen Diario'!$K$5:$K$504, '📅 Resumen Diario'!$B$5:$B$504, B2078, '📅 Resumen Diario'!$C$5:$C$504, D2078), 0))</f>
        <v/>
      </c>
      <c r="M2078" s="31" t="str">
        <f t="shared" si="227"/>
        <v/>
      </c>
      <c r="N2078" s="31" t="str">
        <f t="shared" si="228"/>
        <v/>
      </c>
      <c r="O2078" s="31" t="str">
        <f>IF(OR(B2078="",C2078=""),"",K2078-N2078 + IFERROR(E2078 / SUMIFS('📅 Resumen Diario'!$D$5:$D$504, '📅 Resumen Diario'!$B$5:$B$504, B2078, '📅 Resumen Diario'!$C$5:$C$504, D2078) * (SUMIFS('📋 Detalle Diario'!$E$5:$E$489, '📋 Detalle Diario'!$B$5:$B$489, B2078, '📋 Detalle Diario'!$C$5:$C$489, D2078) * 135 + SUMIFS('📋 Detalle Diario'!$I$5:$I$489, '📋 Detalle Diario'!$B$5:$B$489, B2078, '📋 Detalle Diario'!$C$5:$C$489, D2078) * 200), 0))</f>
        <v/>
      </c>
      <c r="P2078" s="32" t="str">
        <f t="shared" si="229"/>
        <v/>
      </c>
      <c r="Q2078" s="33" t="str">
        <f t="shared" si="230"/>
        <v/>
      </c>
    </row>
    <row r="2079" spans="2:17" ht="18" customHeight="1" x14ac:dyDescent="0.3">
      <c r="B2079" s="26"/>
      <c r="C2079" s="28"/>
      <c r="D2079" s="27"/>
      <c r="E2079" s="29"/>
      <c r="F2079" s="29"/>
      <c r="G2079" s="29"/>
      <c r="H2079" s="30" t="str">
        <f t="shared" si="224"/>
        <v/>
      </c>
      <c r="I2079" s="31" t="str">
        <f>IF(OR(B2079="",C2079=""),"",IFERROR(E2079*IF(E2079="",0,VLOOKUP(C2079,'📦 Precios Proforma'!$B$5:$D$104,IF(D2079="DIA",2,3),FALSE)),0))</f>
        <v/>
      </c>
      <c r="J2079" s="31" t="str">
        <f t="shared" si="225"/>
        <v/>
      </c>
      <c r="K2079" s="31" t="str">
        <f t="shared" si="226"/>
        <v/>
      </c>
      <c r="L2079" s="31" t="str">
        <f>IF(OR(B2079="",C2079=""),"",IFERROR(E2079 / SUMIFS('📅 Resumen Diario'!$D$5:$D$504, '📅 Resumen Diario'!$B$5:$B$504, B2079, '📅 Resumen Diario'!$C$5:$C$504, D2079) * SUMIFS('📅 Resumen Diario'!$K$5:$K$504, '📅 Resumen Diario'!$B$5:$B$504, B2079, '📅 Resumen Diario'!$C$5:$C$504, D2079), 0))</f>
        <v/>
      </c>
      <c r="M2079" s="31" t="str">
        <f t="shared" si="227"/>
        <v/>
      </c>
      <c r="N2079" s="31" t="str">
        <f t="shared" si="228"/>
        <v/>
      </c>
      <c r="O2079" s="31" t="str">
        <f>IF(OR(B2079="",C2079=""),"",K2079-N2079 + IFERROR(E2079 / SUMIFS('📅 Resumen Diario'!$D$5:$D$504, '📅 Resumen Diario'!$B$5:$B$504, B2079, '📅 Resumen Diario'!$C$5:$C$504, D2079) * (SUMIFS('📋 Detalle Diario'!$E$5:$E$489, '📋 Detalle Diario'!$B$5:$B$489, B2079, '📋 Detalle Diario'!$C$5:$C$489, D2079) * 135 + SUMIFS('📋 Detalle Diario'!$I$5:$I$489, '📋 Detalle Diario'!$B$5:$B$489, B2079, '📋 Detalle Diario'!$C$5:$C$489, D2079) * 200), 0))</f>
        <v/>
      </c>
      <c r="P2079" s="32" t="str">
        <f t="shared" si="229"/>
        <v/>
      </c>
      <c r="Q2079" s="33" t="str">
        <f t="shared" si="230"/>
        <v/>
      </c>
    </row>
    <row r="2080" spans="2:17" ht="18" customHeight="1" x14ac:dyDescent="0.3">
      <c r="B2080" s="26"/>
      <c r="C2080" s="17"/>
      <c r="D2080" s="27"/>
      <c r="E2080" s="18"/>
      <c r="F2080" s="18"/>
      <c r="G2080" s="18"/>
      <c r="H2080" s="30" t="str">
        <f t="shared" si="224"/>
        <v/>
      </c>
      <c r="I2080" s="31" t="str">
        <f>IF(OR(B2080="",C2080=""),"",IFERROR(E2080*IF(E2080="",0,VLOOKUP(C2080,'📦 Precios Proforma'!$B$5:$D$104,IF(D2080="DIA",2,3),FALSE)),0))</f>
        <v/>
      </c>
      <c r="J2080" s="31" t="str">
        <f t="shared" si="225"/>
        <v/>
      </c>
      <c r="K2080" s="31" t="str">
        <f t="shared" si="226"/>
        <v/>
      </c>
      <c r="L2080" s="31" t="str">
        <f>IF(OR(B2080="",C2080=""),"",IFERROR(E2080 / SUMIFS('📅 Resumen Diario'!$D$5:$D$504, '📅 Resumen Diario'!$B$5:$B$504, B2080, '📅 Resumen Diario'!$C$5:$C$504, D2080) * SUMIFS('📅 Resumen Diario'!$K$5:$K$504, '📅 Resumen Diario'!$B$5:$B$504, B2080, '📅 Resumen Diario'!$C$5:$C$504, D2080), 0))</f>
        <v/>
      </c>
      <c r="M2080" s="31" t="str">
        <f t="shared" si="227"/>
        <v/>
      </c>
      <c r="N2080" s="31" t="str">
        <f t="shared" si="228"/>
        <v/>
      </c>
      <c r="O2080" s="31" t="str">
        <f>IF(OR(B2080="",C2080=""),"",K2080-N2080 + IFERROR(E2080 / SUMIFS('📅 Resumen Diario'!$D$5:$D$504, '📅 Resumen Diario'!$B$5:$B$504, B2080, '📅 Resumen Diario'!$C$5:$C$504, D2080) * (SUMIFS('📋 Detalle Diario'!$E$5:$E$489, '📋 Detalle Diario'!$B$5:$B$489, B2080, '📋 Detalle Diario'!$C$5:$C$489, D2080) * 135 + SUMIFS('📋 Detalle Diario'!$I$5:$I$489, '📋 Detalle Diario'!$B$5:$B$489, B2080, '📋 Detalle Diario'!$C$5:$C$489, D2080) * 200), 0))</f>
        <v/>
      </c>
      <c r="P2080" s="32" t="str">
        <f t="shared" si="229"/>
        <v/>
      </c>
      <c r="Q2080" s="33" t="str">
        <f t="shared" si="230"/>
        <v/>
      </c>
    </row>
    <row r="2081" spans="2:17" ht="18" customHeight="1" x14ac:dyDescent="0.3">
      <c r="B2081" s="26"/>
      <c r="C2081" s="28"/>
      <c r="D2081" s="27"/>
      <c r="E2081" s="29"/>
      <c r="F2081" s="29"/>
      <c r="G2081" s="29"/>
      <c r="H2081" s="30" t="str">
        <f t="shared" si="224"/>
        <v/>
      </c>
      <c r="I2081" s="31" t="str">
        <f>IF(OR(B2081="",C2081=""),"",IFERROR(E2081*IF(E2081="",0,VLOOKUP(C2081,'📦 Precios Proforma'!$B$5:$D$104,IF(D2081="DIA",2,3),FALSE)),0))</f>
        <v/>
      </c>
      <c r="J2081" s="31" t="str">
        <f t="shared" si="225"/>
        <v/>
      </c>
      <c r="K2081" s="31" t="str">
        <f t="shared" si="226"/>
        <v/>
      </c>
      <c r="L2081" s="31" t="str">
        <f>IF(OR(B2081="",C2081=""),"",IFERROR(E2081 / SUMIFS('📅 Resumen Diario'!$D$5:$D$504, '📅 Resumen Diario'!$B$5:$B$504, B2081, '📅 Resumen Diario'!$C$5:$C$504, D2081) * SUMIFS('📅 Resumen Diario'!$K$5:$K$504, '📅 Resumen Diario'!$B$5:$B$504, B2081, '📅 Resumen Diario'!$C$5:$C$504, D2081), 0))</f>
        <v/>
      </c>
      <c r="M2081" s="31" t="str">
        <f t="shared" si="227"/>
        <v/>
      </c>
      <c r="N2081" s="31" t="str">
        <f t="shared" si="228"/>
        <v/>
      </c>
      <c r="O2081" s="31" t="str">
        <f>IF(OR(B2081="",C2081=""),"",K2081-N2081 + IFERROR(E2081 / SUMIFS('📅 Resumen Diario'!$D$5:$D$504, '📅 Resumen Diario'!$B$5:$B$504, B2081, '📅 Resumen Diario'!$C$5:$C$504, D2081) * (SUMIFS('📋 Detalle Diario'!$E$5:$E$489, '📋 Detalle Diario'!$B$5:$B$489, B2081, '📋 Detalle Diario'!$C$5:$C$489, D2081) * 135 + SUMIFS('📋 Detalle Diario'!$I$5:$I$489, '📋 Detalle Diario'!$B$5:$B$489, B2081, '📋 Detalle Diario'!$C$5:$C$489, D2081) * 200), 0))</f>
        <v/>
      </c>
      <c r="P2081" s="32" t="str">
        <f t="shared" si="229"/>
        <v/>
      </c>
      <c r="Q2081" s="33" t="str">
        <f t="shared" si="230"/>
        <v/>
      </c>
    </row>
    <row r="2082" spans="2:17" ht="18" customHeight="1" x14ac:dyDescent="0.3">
      <c r="B2082" s="26"/>
      <c r="C2082" s="17"/>
      <c r="D2082" s="27"/>
      <c r="E2082" s="18"/>
      <c r="F2082" s="18"/>
      <c r="G2082" s="18"/>
      <c r="H2082" s="30" t="str">
        <f t="shared" si="224"/>
        <v/>
      </c>
      <c r="I2082" s="31" t="str">
        <f>IF(OR(B2082="",C2082=""),"",IFERROR(E2082*IF(E2082="",0,VLOOKUP(C2082,'📦 Precios Proforma'!$B$5:$D$104,IF(D2082="DIA",2,3),FALSE)),0))</f>
        <v/>
      </c>
      <c r="J2082" s="31" t="str">
        <f t="shared" si="225"/>
        <v/>
      </c>
      <c r="K2082" s="31" t="str">
        <f t="shared" si="226"/>
        <v/>
      </c>
      <c r="L2082" s="31" t="str">
        <f>IF(OR(B2082="",C2082=""),"",IFERROR(E2082 / SUMIFS('📅 Resumen Diario'!$D$5:$D$504, '📅 Resumen Diario'!$B$5:$B$504, B2082, '📅 Resumen Diario'!$C$5:$C$504, D2082) * SUMIFS('📅 Resumen Diario'!$K$5:$K$504, '📅 Resumen Diario'!$B$5:$B$504, B2082, '📅 Resumen Diario'!$C$5:$C$504, D2082), 0))</f>
        <v/>
      </c>
      <c r="M2082" s="31" t="str">
        <f t="shared" si="227"/>
        <v/>
      </c>
      <c r="N2082" s="31" t="str">
        <f t="shared" si="228"/>
        <v/>
      </c>
      <c r="O2082" s="31" t="str">
        <f>IF(OR(B2082="",C2082=""),"",K2082-N2082 + IFERROR(E2082 / SUMIFS('📅 Resumen Diario'!$D$5:$D$504, '📅 Resumen Diario'!$B$5:$B$504, B2082, '📅 Resumen Diario'!$C$5:$C$504, D2082) * (SUMIFS('📋 Detalle Diario'!$E$5:$E$489, '📋 Detalle Diario'!$B$5:$B$489, B2082, '📋 Detalle Diario'!$C$5:$C$489, D2082) * 135 + SUMIFS('📋 Detalle Diario'!$I$5:$I$489, '📋 Detalle Diario'!$B$5:$B$489, B2082, '📋 Detalle Diario'!$C$5:$C$489, D2082) * 200), 0))</f>
        <v/>
      </c>
      <c r="P2082" s="32" t="str">
        <f t="shared" si="229"/>
        <v/>
      </c>
      <c r="Q2082" s="33" t="str">
        <f t="shared" si="230"/>
        <v/>
      </c>
    </row>
    <row r="2083" spans="2:17" ht="18" customHeight="1" x14ac:dyDescent="0.3">
      <c r="B2083" s="26"/>
      <c r="C2083" s="28"/>
      <c r="D2083" s="27"/>
      <c r="E2083" s="29"/>
      <c r="F2083" s="29"/>
      <c r="G2083" s="29"/>
      <c r="H2083" s="30" t="str">
        <f t="shared" si="224"/>
        <v/>
      </c>
      <c r="I2083" s="31" t="str">
        <f>IF(OR(B2083="",C2083=""),"",IFERROR(E2083*IF(E2083="",0,VLOOKUP(C2083,'📦 Precios Proforma'!$B$5:$D$104,IF(D2083="DIA",2,3),FALSE)),0))</f>
        <v/>
      </c>
      <c r="J2083" s="31" t="str">
        <f t="shared" si="225"/>
        <v/>
      </c>
      <c r="K2083" s="31" t="str">
        <f t="shared" si="226"/>
        <v/>
      </c>
      <c r="L2083" s="31" t="str">
        <f>IF(OR(B2083="",C2083=""),"",IFERROR(E2083 / SUMIFS('📅 Resumen Diario'!$D$5:$D$504, '📅 Resumen Diario'!$B$5:$B$504, B2083, '📅 Resumen Diario'!$C$5:$C$504, D2083) * SUMIFS('📅 Resumen Diario'!$K$5:$K$504, '📅 Resumen Diario'!$B$5:$B$504, B2083, '📅 Resumen Diario'!$C$5:$C$504, D2083), 0))</f>
        <v/>
      </c>
      <c r="M2083" s="31" t="str">
        <f t="shared" si="227"/>
        <v/>
      </c>
      <c r="N2083" s="31" t="str">
        <f t="shared" si="228"/>
        <v/>
      </c>
      <c r="O2083" s="31" t="str">
        <f>IF(OR(B2083="",C2083=""),"",K2083-N2083 + IFERROR(E2083 / SUMIFS('📅 Resumen Diario'!$D$5:$D$504, '📅 Resumen Diario'!$B$5:$B$504, B2083, '📅 Resumen Diario'!$C$5:$C$504, D2083) * (SUMIFS('📋 Detalle Diario'!$E$5:$E$489, '📋 Detalle Diario'!$B$5:$B$489, B2083, '📋 Detalle Diario'!$C$5:$C$489, D2083) * 135 + SUMIFS('📋 Detalle Diario'!$I$5:$I$489, '📋 Detalle Diario'!$B$5:$B$489, B2083, '📋 Detalle Diario'!$C$5:$C$489, D2083) * 200), 0))</f>
        <v/>
      </c>
      <c r="P2083" s="32" t="str">
        <f t="shared" si="229"/>
        <v/>
      </c>
      <c r="Q2083" s="33" t="str">
        <f t="shared" si="230"/>
        <v/>
      </c>
    </row>
    <row r="2084" spans="2:17" ht="18" customHeight="1" x14ac:dyDescent="0.3">
      <c r="B2084" s="26"/>
      <c r="C2084" s="17"/>
      <c r="D2084" s="27"/>
      <c r="E2084" s="18"/>
      <c r="F2084" s="18"/>
      <c r="G2084" s="18"/>
      <c r="H2084" s="30" t="str">
        <f t="shared" si="224"/>
        <v/>
      </c>
      <c r="I2084" s="31" t="str">
        <f>IF(OR(B2084="",C2084=""),"",IFERROR(E2084*IF(E2084="",0,VLOOKUP(C2084,'📦 Precios Proforma'!$B$5:$D$104,IF(D2084="DIA",2,3),FALSE)),0))</f>
        <v/>
      </c>
      <c r="J2084" s="31" t="str">
        <f t="shared" si="225"/>
        <v/>
      </c>
      <c r="K2084" s="31" t="str">
        <f t="shared" si="226"/>
        <v/>
      </c>
      <c r="L2084" s="31" t="str">
        <f>IF(OR(B2084="",C2084=""),"",IFERROR(E2084 / SUMIFS('📅 Resumen Diario'!$D$5:$D$504, '📅 Resumen Diario'!$B$5:$B$504, B2084, '📅 Resumen Diario'!$C$5:$C$504, D2084) * SUMIFS('📅 Resumen Diario'!$K$5:$K$504, '📅 Resumen Diario'!$B$5:$B$504, B2084, '📅 Resumen Diario'!$C$5:$C$504, D2084), 0))</f>
        <v/>
      </c>
      <c r="M2084" s="31" t="str">
        <f t="shared" si="227"/>
        <v/>
      </c>
      <c r="N2084" s="31" t="str">
        <f t="shared" si="228"/>
        <v/>
      </c>
      <c r="O2084" s="31" t="str">
        <f>IF(OR(B2084="",C2084=""),"",K2084-N2084 + IFERROR(E2084 / SUMIFS('📅 Resumen Diario'!$D$5:$D$504, '📅 Resumen Diario'!$B$5:$B$504, B2084, '📅 Resumen Diario'!$C$5:$C$504, D2084) * (SUMIFS('📋 Detalle Diario'!$E$5:$E$489, '📋 Detalle Diario'!$B$5:$B$489, B2084, '📋 Detalle Diario'!$C$5:$C$489, D2084) * 135 + SUMIFS('📋 Detalle Diario'!$I$5:$I$489, '📋 Detalle Diario'!$B$5:$B$489, B2084, '📋 Detalle Diario'!$C$5:$C$489, D2084) * 200), 0))</f>
        <v/>
      </c>
      <c r="P2084" s="32" t="str">
        <f t="shared" si="229"/>
        <v/>
      </c>
      <c r="Q2084" s="33" t="str">
        <f t="shared" si="230"/>
        <v/>
      </c>
    </row>
    <row r="2085" spans="2:17" ht="18" customHeight="1" x14ac:dyDescent="0.3">
      <c r="B2085" s="26"/>
      <c r="C2085" s="28"/>
      <c r="D2085" s="27"/>
      <c r="E2085" s="29"/>
      <c r="F2085" s="29"/>
      <c r="G2085" s="29"/>
      <c r="H2085" s="30" t="str">
        <f t="shared" si="224"/>
        <v/>
      </c>
      <c r="I2085" s="31" t="str">
        <f>IF(OR(B2085="",C2085=""),"",IFERROR(E2085*IF(E2085="",0,VLOOKUP(C2085,'📦 Precios Proforma'!$B$5:$D$104,IF(D2085="DIA",2,3),FALSE)),0))</f>
        <v/>
      </c>
      <c r="J2085" s="31" t="str">
        <f t="shared" si="225"/>
        <v/>
      </c>
      <c r="K2085" s="31" t="str">
        <f t="shared" si="226"/>
        <v/>
      </c>
      <c r="L2085" s="31" t="str">
        <f>IF(OR(B2085="",C2085=""),"",IFERROR(E2085 / SUMIFS('📅 Resumen Diario'!$D$5:$D$504, '📅 Resumen Diario'!$B$5:$B$504, B2085, '📅 Resumen Diario'!$C$5:$C$504, D2085) * SUMIFS('📅 Resumen Diario'!$K$5:$K$504, '📅 Resumen Diario'!$B$5:$B$504, B2085, '📅 Resumen Diario'!$C$5:$C$504, D2085), 0))</f>
        <v/>
      </c>
      <c r="M2085" s="31" t="str">
        <f t="shared" si="227"/>
        <v/>
      </c>
      <c r="N2085" s="31" t="str">
        <f t="shared" si="228"/>
        <v/>
      </c>
      <c r="O2085" s="31" t="str">
        <f>IF(OR(B2085="",C2085=""),"",K2085-N2085 + IFERROR(E2085 / SUMIFS('📅 Resumen Diario'!$D$5:$D$504, '📅 Resumen Diario'!$B$5:$B$504, B2085, '📅 Resumen Diario'!$C$5:$C$504, D2085) * (SUMIFS('📋 Detalle Diario'!$E$5:$E$489, '📋 Detalle Diario'!$B$5:$B$489, B2085, '📋 Detalle Diario'!$C$5:$C$489, D2085) * 135 + SUMIFS('📋 Detalle Diario'!$I$5:$I$489, '📋 Detalle Diario'!$B$5:$B$489, B2085, '📋 Detalle Diario'!$C$5:$C$489, D2085) * 200), 0))</f>
        <v/>
      </c>
      <c r="P2085" s="32" t="str">
        <f t="shared" si="229"/>
        <v/>
      </c>
      <c r="Q2085" s="33" t="str">
        <f t="shared" si="230"/>
        <v/>
      </c>
    </row>
    <row r="2086" spans="2:17" ht="18" customHeight="1" x14ac:dyDescent="0.3">
      <c r="B2086" s="26"/>
      <c r="C2086" s="17"/>
      <c r="D2086" s="27"/>
      <c r="E2086" s="18"/>
      <c r="F2086" s="18"/>
      <c r="G2086" s="18"/>
      <c r="H2086" s="30" t="str">
        <f t="shared" si="224"/>
        <v/>
      </c>
      <c r="I2086" s="31" t="str">
        <f>IF(OR(B2086="",C2086=""),"",IFERROR(E2086*IF(E2086="",0,VLOOKUP(C2086,'📦 Precios Proforma'!$B$5:$D$104,IF(D2086="DIA",2,3),FALSE)),0))</f>
        <v/>
      </c>
      <c r="J2086" s="31" t="str">
        <f t="shared" si="225"/>
        <v/>
      </c>
      <c r="K2086" s="31" t="str">
        <f t="shared" si="226"/>
        <v/>
      </c>
      <c r="L2086" s="31" t="str">
        <f>IF(OR(B2086="",C2086=""),"",IFERROR(E2086 / SUMIFS('📅 Resumen Diario'!$D$5:$D$504, '📅 Resumen Diario'!$B$5:$B$504, B2086, '📅 Resumen Diario'!$C$5:$C$504, D2086) * SUMIFS('📅 Resumen Diario'!$K$5:$K$504, '📅 Resumen Diario'!$B$5:$B$504, B2086, '📅 Resumen Diario'!$C$5:$C$504, D2086), 0))</f>
        <v/>
      </c>
      <c r="M2086" s="31" t="str">
        <f t="shared" si="227"/>
        <v/>
      </c>
      <c r="N2086" s="31" t="str">
        <f t="shared" si="228"/>
        <v/>
      </c>
      <c r="O2086" s="31" t="str">
        <f>IF(OR(B2086="",C2086=""),"",K2086-N2086 + IFERROR(E2086 / SUMIFS('📅 Resumen Diario'!$D$5:$D$504, '📅 Resumen Diario'!$B$5:$B$504, B2086, '📅 Resumen Diario'!$C$5:$C$504, D2086) * (SUMIFS('📋 Detalle Diario'!$E$5:$E$489, '📋 Detalle Diario'!$B$5:$B$489, B2086, '📋 Detalle Diario'!$C$5:$C$489, D2086) * 135 + SUMIFS('📋 Detalle Diario'!$I$5:$I$489, '📋 Detalle Diario'!$B$5:$B$489, B2086, '📋 Detalle Diario'!$C$5:$C$489, D2086) * 200), 0))</f>
        <v/>
      </c>
      <c r="P2086" s="32" t="str">
        <f t="shared" si="229"/>
        <v/>
      </c>
      <c r="Q2086" s="33" t="str">
        <f t="shared" si="230"/>
        <v/>
      </c>
    </row>
    <row r="2087" spans="2:17" ht="18" customHeight="1" x14ac:dyDescent="0.3">
      <c r="B2087" s="26"/>
      <c r="C2087" s="28"/>
      <c r="D2087" s="27"/>
      <c r="E2087" s="29"/>
      <c r="F2087" s="29"/>
      <c r="G2087" s="29"/>
      <c r="H2087" s="30" t="str">
        <f t="shared" si="224"/>
        <v/>
      </c>
      <c r="I2087" s="31" t="str">
        <f>IF(OR(B2087="",C2087=""),"",IFERROR(E2087*IF(E2087="",0,VLOOKUP(C2087,'📦 Precios Proforma'!$B$5:$D$104,IF(D2087="DIA",2,3),FALSE)),0))</f>
        <v/>
      </c>
      <c r="J2087" s="31" t="str">
        <f t="shared" si="225"/>
        <v/>
      </c>
      <c r="K2087" s="31" t="str">
        <f t="shared" si="226"/>
        <v/>
      </c>
      <c r="L2087" s="31" t="str">
        <f>IF(OR(B2087="",C2087=""),"",IFERROR(E2087 / SUMIFS('📅 Resumen Diario'!$D$5:$D$504, '📅 Resumen Diario'!$B$5:$B$504, B2087, '📅 Resumen Diario'!$C$5:$C$504, D2087) * SUMIFS('📅 Resumen Diario'!$K$5:$K$504, '📅 Resumen Diario'!$B$5:$B$504, B2087, '📅 Resumen Diario'!$C$5:$C$504, D2087), 0))</f>
        <v/>
      </c>
      <c r="M2087" s="31" t="str">
        <f t="shared" si="227"/>
        <v/>
      </c>
      <c r="N2087" s="31" t="str">
        <f t="shared" si="228"/>
        <v/>
      </c>
      <c r="O2087" s="31" t="str">
        <f>IF(OR(B2087="",C2087=""),"",K2087-N2087 + IFERROR(E2087 / SUMIFS('📅 Resumen Diario'!$D$5:$D$504, '📅 Resumen Diario'!$B$5:$B$504, B2087, '📅 Resumen Diario'!$C$5:$C$504, D2087) * (SUMIFS('📋 Detalle Diario'!$E$5:$E$489, '📋 Detalle Diario'!$B$5:$B$489, B2087, '📋 Detalle Diario'!$C$5:$C$489, D2087) * 135 + SUMIFS('📋 Detalle Diario'!$I$5:$I$489, '📋 Detalle Diario'!$B$5:$B$489, B2087, '📋 Detalle Diario'!$C$5:$C$489, D2087) * 200), 0))</f>
        <v/>
      </c>
      <c r="P2087" s="32" t="str">
        <f t="shared" si="229"/>
        <v/>
      </c>
      <c r="Q2087" s="33" t="str">
        <f t="shared" si="230"/>
        <v/>
      </c>
    </row>
    <row r="2088" spans="2:17" ht="18" customHeight="1" x14ac:dyDescent="0.3">
      <c r="B2088" s="26"/>
      <c r="C2088" s="17"/>
      <c r="D2088" s="27"/>
      <c r="E2088" s="18"/>
      <c r="F2088" s="18"/>
      <c r="G2088" s="18"/>
      <c r="H2088" s="30" t="str">
        <f t="shared" si="224"/>
        <v/>
      </c>
      <c r="I2088" s="31" t="str">
        <f>IF(OR(B2088="",C2088=""),"",IFERROR(E2088*IF(E2088="",0,VLOOKUP(C2088,'📦 Precios Proforma'!$B$5:$D$104,IF(D2088="DIA",2,3),FALSE)),0))</f>
        <v/>
      </c>
      <c r="J2088" s="31" t="str">
        <f t="shared" si="225"/>
        <v/>
      </c>
      <c r="K2088" s="31" t="str">
        <f t="shared" si="226"/>
        <v/>
      </c>
      <c r="L2088" s="31" t="str">
        <f>IF(OR(B2088="",C2088=""),"",IFERROR(E2088 / SUMIFS('📅 Resumen Diario'!$D$5:$D$504, '📅 Resumen Diario'!$B$5:$B$504, B2088, '📅 Resumen Diario'!$C$5:$C$504, D2088) * SUMIFS('📅 Resumen Diario'!$K$5:$K$504, '📅 Resumen Diario'!$B$5:$B$504, B2088, '📅 Resumen Diario'!$C$5:$C$504, D2088), 0))</f>
        <v/>
      </c>
      <c r="M2088" s="31" t="str">
        <f t="shared" si="227"/>
        <v/>
      </c>
      <c r="N2088" s="31" t="str">
        <f t="shared" si="228"/>
        <v/>
      </c>
      <c r="O2088" s="31" t="str">
        <f>IF(OR(B2088="",C2088=""),"",K2088-N2088 + IFERROR(E2088 / SUMIFS('📅 Resumen Diario'!$D$5:$D$504, '📅 Resumen Diario'!$B$5:$B$504, B2088, '📅 Resumen Diario'!$C$5:$C$504, D2088) * (SUMIFS('📋 Detalle Diario'!$E$5:$E$489, '📋 Detalle Diario'!$B$5:$B$489, B2088, '📋 Detalle Diario'!$C$5:$C$489, D2088) * 135 + SUMIFS('📋 Detalle Diario'!$I$5:$I$489, '📋 Detalle Diario'!$B$5:$B$489, B2088, '📋 Detalle Diario'!$C$5:$C$489, D2088) * 200), 0))</f>
        <v/>
      </c>
      <c r="P2088" s="32" t="str">
        <f t="shared" si="229"/>
        <v/>
      </c>
      <c r="Q2088" s="33" t="str">
        <f t="shared" si="230"/>
        <v/>
      </c>
    </row>
    <row r="2089" spans="2:17" ht="18" customHeight="1" x14ac:dyDescent="0.3">
      <c r="B2089" s="26"/>
      <c r="C2089" s="28"/>
      <c r="D2089" s="27"/>
      <c r="E2089" s="29"/>
      <c r="F2089" s="29"/>
      <c r="G2089" s="29"/>
      <c r="H2089" s="30" t="str">
        <f t="shared" si="224"/>
        <v/>
      </c>
      <c r="I2089" s="31" t="str">
        <f>IF(OR(B2089="",C2089=""),"",IFERROR(E2089*IF(E2089="",0,VLOOKUP(C2089,'📦 Precios Proforma'!$B$5:$D$104,IF(D2089="DIA",2,3),FALSE)),0))</f>
        <v/>
      </c>
      <c r="J2089" s="31" t="str">
        <f t="shared" si="225"/>
        <v/>
      </c>
      <c r="K2089" s="31" t="str">
        <f t="shared" si="226"/>
        <v/>
      </c>
      <c r="L2089" s="31" t="str">
        <f>IF(OR(B2089="",C2089=""),"",IFERROR(E2089 / SUMIFS('📅 Resumen Diario'!$D$5:$D$504, '📅 Resumen Diario'!$B$5:$B$504, B2089, '📅 Resumen Diario'!$C$5:$C$504, D2089) * SUMIFS('📅 Resumen Diario'!$K$5:$K$504, '📅 Resumen Diario'!$B$5:$B$504, B2089, '📅 Resumen Diario'!$C$5:$C$504, D2089), 0))</f>
        <v/>
      </c>
      <c r="M2089" s="31" t="str">
        <f t="shared" si="227"/>
        <v/>
      </c>
      <c r="N2089" s="31" t="str">
        <f t="shared" si="228"/>
        <v/>
      </c>
      <c r="O2089" s="31" t="str">
        <f>IF(OR(B2089="",C2089=""),"",K2089-N2089 + IFERROR(E2089 / SUMIFS('📅 Resumen Diario'!$D$5:$D$504, '📅 Resumen Diario'!$B$5:$B$504, B2089, '📅 Resumen Diario'!$C$5:$C$504, D2089) * (SUMIFS('📋 Detalle Diario'!$E$5:$E$489, '📋 Detalle Diario'!$B$5:$B$489, B2089, '📋 Detalle Diario'!$C$5:$C$489, D2089) * 135 + SUMIFS('📋 Detalle Diario'!$I$5:$I$489, '📋 Detalle Diario'!$B$5:$B$489, B2089, '📋 Detalle Diario'!$C$5:$C$489, D2089) * 200), 0))</f>
        <v/>
      </c>
      <c r="P2089" s="32" t="str">
        <f t="shared" si="229"/>
        <v/>
      </c>
      <c r="Q2089" s="33" t="str">
        <f t="shared" si="230"/>
        <v/>
      </c>
    </row>
    <row r="2090" spans="2:17" ht="18" customHeight="1" x14ac:dyDescent="0.3">
      <c r="B2090" s="26"/>
      <c r="C2090" s="17"/>
      <c r="D2090" s="27"/>
      <c r="E2090" s="18"/>
      <c r="F2090" s="18"/>
      <c r="G2090" s="18"/>
      <c r="H2090" s="30" t="str">
        <f t="shared" si="224"/>
        <v/>
      </c>
      <c r="I2090" s="31" t="str">
        <f>IF(OR(B2090="",C2090=""),"",IFERROR(E2090*IF(E2090="",0,VLOOKUP(C2090,'📦 Precios Proforma'!$B$5:$D$104,IF(D2090="DIA",2,3),FALSE)),0))</f>
        <v/>
      </c>
      <c r="J2090" s="31" t="str">
        <f t="shared" si="225"/>
        <v/>
      </c>
      <c r="K2090" s="31" t="str">
        <f t="shared" si="226"/>
        <v/>
      </c>
      <c r="L2090" s="31" t="str">
        <f>IF(OR(B2090="",C2090=""),"",IFERROR(E2090 / SUMIFS('📅 Resumen Diario'!$D$5:$D$504, '📅 Resumen Diario'!$B$5:$B$504, B2090, '📅 Resumen Diario'!$C$5:$C$504, D2090) * SUMIFS('📅 Resumen Diario'!$K$5:$K$504, '📅 Resumen Diario'!$B$5:$B$504, B2090, '📅 Resumen Diario'!$C$5:$C$504, D2090), 0))</f>
        <v/>
      </c>
      <c r="M2090" s="31" t="str">
        <f t="shared" si="227"/>
        <v/>
      </c>
      <c r="N2090" s="31" t="str">
        <f t="shared" si="228"/>
        <v/>
      </c>
      <c r="O2090" s="31" t="str">
        <f>IF(OR(B2090="",C2090=""),"",K2090-N2090 + IFERROR(E2090 / SUMIFS('📅 Resumen Diario'!$D$5:$D$504, '📅 Resumen Diario'!$B$5:$B$504, B2090, '📅 Resumen Diario'!$C$5:$C$504, D2090) * (SUMIFS('📋 Detalle Diario'!$E$5:$E$489, '📋 Detalle Diario'!$B$5:$B$489, B2090, '📋 Detalle Diario'!$C$5:$C$489, D2090) * 135 + SUMIFS('📋 Detalle Diario'!$I$5:$I$489, '📋 Detalle Diario'!$B$5:$B$489, B2090, '📋 Detalle Diario'!$C$5:$C$489, D2090) * 200), 0))</f>
        <v/>
      </c>
      <c r="P2090" s="32" t="str">
        <f t="shared" si="229"/>
        <v/>
      </c>
      <c r="Q2090" s="33" t="str">
        <f t="shared" si="230"/>
        <v/>
      </c>
    </row>
    <row r="2091" spans="2:17" ht="18" customHeight="1" x14ac:dyDescent="0.3">
      <c r="B2091" s="26"/>
      <c r="C2091" s="28"/>
      <c r="D2091" s="27"/>
      <c r="E2091" s="29"/>
      <c r="F2091" s="29"/>
      <c r="G2091" s="29"/>
      <c r="H2091" s="30" t="str">
        <f t="shared" si="224"/>
        <v/>
      </c>
      <c r="I2091" s="31" t="str">
        <f>IF(OR(B2091="",C2091=""),"",IFERROR(E2091*IF(E2091="",0,VLOOKUP(C2091,'📦 Precios Proforma'!$B$5:$D$104,IF(D2091="DIA",2,3),FALSE)),0))</f>
        <v/>
      </c>
      <c r="J2091" s="31" t="str">
        <f t="shared" si="225"/>
        <v/>
      </c>
      <c r="K2091" s="31" t="str">
        <f t="shared" si="226"/>
        <v/>
      </c>
      <c r="L2091" s="31" t="str">
        <f>IF(OR(B2091="",C2091=""),"",IFERROR(E2091 / SUMIFS('📅 Resumen Diario'!$D$5:$D$504, '📅 Resumen Diario'!$B$5:$B$504, B2091, '📅 Resumen Diario'!$C$5:$C$504, D2091) * SUMIFS('📅 Resumen Diario'!$K$5:$K$504, '📅 Resumen Diario'!$B$5:$B$504, B2091, '📅 Resumen Diario'!$C$5:$C$504, D2091), 0))</f>
        <v/>
      </c>
      <c r="M2091" s="31" t="str">
        <f t="shared" si="227"/>
        <v/>
      </c>
      <c r="N2091" s="31" t="str">
        <f t="shared" si="228"/>
        <v/>
      </c>
      <c r="O2091" s="31" t="str">
        <f>IF(OR(B2091="",C2091=""),"",K2091-N2091 + IFERROR(E2091 / SUMIFS('📅 Resumen Diario'!$D$5:$D$504, '📅 Resumen Diario'!$B$5:$B$504, B2091, '📅 Resumen Diario'!$C$5:$C$504, D2091) * (SUMIFS('📋 Detalle Diario'!$E$5:$E$489, '📋 Detalle Diario'!$B$5:$B$489, B2091, '📋 Detalle Diario'!$C$5:$C$489, D2091) * 135 + SUMIFS('📋 Detalle Diario'!$I$5:$I$489, '📋 Detalle Diario'!$B$5:$B$489, B2091, '📋 Detalle Diario'!$C$5:$C$489, D2091) * 200), 0))</f>
        <v/>
      </c>
      <c r="P2091" s="32" t="str">
        <f t="shared" si="229"/>
        <v/>
      </c>
      <c r="Q2091" s="33" t="str">
        <f t="shared" si="230"/>
        <v/>
      </c>
    </row>
    <row r="2092" spans="2:17" ht="18" customHeight="1" x14ac:dyDescent="0.3">
      <c r="B2092" s="26"/>
      <c r="C2092" s="17"/>
      <c r="D2092" s="27"/>
      <c r="E2092" s="18"/>
      <c r="F2092" s="18"/>
      <c r="G2092" s="18"/>
      <c r="H2092" s="30" t="str">
        <f t="shared" si="224"/>
        <v/>
      </c>
      <c r="I2092" s="31" t="str">
        <f>IF(OR(B2092="",C2092=""),"",IFERROR(E2092*IF(E2092="",0,VLOOKUP(C2092,'📦 Precios Proforma'!$B$5:$D$104,IF(D2092="DIA",2,3),FALSE)),0))</f>
        <v/>
      </c>
      <c r="J2092" s="31" t="str">
        <f t="shared" si="225"/>
        <v/>
      </c>
      <c r="K2092" s="31" t="str">
        <f t="shared" si="226"/>
        <v/>
      </c>
      <c r="L2092" s="31" t="str">
        <f>IF(OR(B2092="",C2092=""),"",IFERROR(E2092 / SUMIFS('📅 Resumen Diario'!$D$5:$D$504, '📅 Resumen Diario'!$B$5:$B$504, B2092, '📅 Resumen Diario'!$C$5:$C$504, D2092) * SUMIFS('📅 Resumen Diario'!$K$5:$K$504, '📅 Resumen Diario'!$B$5:$B$504, B2092, '📅 Resumen Diario'!$C$5:$C$504, D2092), 0))</f>
        <v/>
      </c>
      <c r="M2092" s="31" t="str">
        <f t="shared" si="227"/>
        <v/>
      </c>
      <c r="N2092" s="31" t="str">
        <f t="shared" si="228"/>
        <v/>
      </c>
      <c r="O2092" s="31" t="str">
        <f>IF(OR(B2092="",C2092=""),"",K2092-N2092 + IFERROR(E2092 / SUMIFS('📅 Resumen Diario'!$D$5:$D$504, '📅 Resumen Diario'!$B$5:$B$504, B2092, '📅 Resumen Diario'!$C$5:$C$504, D2092) * (SUMIFS('📋 Detalle Diario'!$E$5:$E$489, '📋 Detalle Diario'!$B$5:$B$489, B2092, '📋 Detalle Diario'!$C$5:$C$489, D2092) * 135 + SUMIFS('📋 Detalle Diario'!$I$5:$I$489, '📋 Detalle Diario'!$B$5:$B$489, B2092, '📋 Detalle Diario'!$C$5:$C$489, D2092) * 200), 0))</f>
        <v/>
      </c>
      <c r="P2092" s="32" t="str">
        <f t="shared" si="229"/>
        <v/>
      </c>
      <c r="Q2092" s="33" t="str">
        <f t="shared" si="230"/>
        <v/>
      </c>
    </row>
    <row r="2093" spans="2:17" ht="18" customHeight="1" x14ac:dyDescent="0.3">
      <c r="B2093" s="26"/>
      <c r="C2093" s="28"/>
      <c r="D2093" s="27"/>
      <c r="E2093" s="29"/>
      <c r="F2093" s="29"/>
      <c r="G2093" s="29"/>
      <c r="H2093" s="30" t="str">
        <f t="shared" si="224"/>
        <v/>
      </c>
      <c r="I2093" s="31" t="str">
        <f>IF(OR(B2093="",C2093=""),"",IFERROR(E2093*IF(E2093="",0,VLOOKUP(C2093,'📦 Precios Proforma'!$B$5:$D$104,IF(D2093="DIA",2,3),FALSE)),0))</f>
        <v/>
      </c>
      <c r="J2093" s="31" t="str">
        <f t="shared" si="225"/>
        <v/>
      </c>
      <c r="K2093" s="31" t="str">
        <f t="shared" si="226"/>
        <v/>
      </c>
      <c r="L2093" s="31" t="str">
        <f>IF(OR(B2093="",C2093=""),"",IFERROR(E2093 / SUMIFS('📅 Resumen Diario'!$D$5:$D$504, '📅 Resumen Diario'!$B$5:$B$504, B2093, '📅 Resumen Diario'!$C$5:$C$504, D2093) * SUMIFS('📅 Resumen Diario'!$K$5:$K$504, '📅 Resumen Diario'!$B$5:$B$504, B2093, '📅 Resumen Diario'!$C$5:$C$504, D2093), 0))</f>
        <v/>
      </c>
      <c r="M2093" s="31" t="str">
        <f t="shared" si="227"/>
        <v/>
      </c>
      <c r="N2093" s="31" t="str">
        <f t="shared" si="228"/>
        <v/>
      </c>
      <c r="O2093" s="31" t="str">
        <f>IF(OR(B2093="",C2093=""),"",K2093-N2093 + IFERROR(E2093 / SUMIFS('📅 Resumen Diario'!$D$5:$D$504, '📅 Resumen Diario'!$B$5:$B$504, B2093, '📅 Resumen Diario'!$C$5:$C$504, D2093) * (SUMIFS('📋 Detalle Diario'!$E$5:$E$489, '📋 Detalle Diario'!$B$5:$B$489, B2093, '📋 Detalle Diario'!$C$5:$C$489, D2093) * 135 + SUMIFS('📋 Detalle Diario'!$I$5:$I$489, '📋 Detalle Diario'!$B$5:$B$489, B2093, '📋 Detalle Diario'!$C$5:$C$489, D2093) * 200), 0))</f>
        <v/>
      </c>
      <c r="P2093" s="32" t="str">
        <f t="shared" si="229"/>
        <v/>
      </c>
      <c r="Q2093" s="33" t="str">
        <f t="shared" si="230"/>
        <v/>
      </c>
    </row>
    <row r="2094" spans="2:17" ht="18" customHeight="1" x14ac:dyDescent="0.3">
      <c r="B2094" s="26"/>
      <c r="C2094" s="17"/>
      <c r="D2094" s="27"/>
      <c r="E2094" s="18"/>
      <c r="F2094" s="18"/>
      <c r="G2094" s="18"/>
      <c r="H2094" s="30" t="str">
        <f t="shared" si="224"/>
        <v/>
      </c>
      <c r="I2094" s="31" t="str">
        <f>IF(OR(B2094="",C2094=""),"",IFERROR(E2094*IF(E2094="",0,VLOOKUP(C2094,'📦 Precios Proforma'!$B$5:$D$104,IF(D2094="DIA",2,3),FALSE)),0))</f>
        <v/>
      </c>
      <c r="J2094" s="31" t="str">
        <f t="shared" si="225"/>
        <v/>
      </c>
      <c r="K2094" s="31" t="str">
        <f t="shared" si="226"/>
        <v/>
      </c>
      <c r="L2094" s="31" t="str">
        <f>IF(OR(B2094="",C2094=""),"",IFERROR(E2094 / SUMIFS('📅 Resumen Diario'!$D$5:$D$504, '📅 Resumen Diario'!$B$5:$B$504, B2094, '📅 Resumen Diario'!$C$5:$C$504, D2094) * SUMIFS('📅 Resumen Diario'!$K$5:$K$504, '📅 Resumen Diario'!$B$5:$B$504, B2094, '📅 Resumen Diario'!$C$5:$C$504, D2094), 0))</f>
        <v/>
      </c>
      <c r="M2094" s="31" t="str">
        <f t="shared" si="227"/>
        <v/>
      </c>
      <c r="N2094" s="31" t="str">
        <f t="shared" si="228"/>
        <v/>
      </c>
      <c r="O2094" s="31" t="str">
        <f>IF(OR(B2094="",C2094=""),"",K2094-N2094 + IFERROR(E2094 / SUMIFS('📅 Resumen Diario'!$D$5:$D$504, '📅 Resumen Diario'!$B$5:$B$504, B2094, '📅 Resumen Diario'!$C$5:$C$504, D2094) * (SUMIFS('📋 Detalle Diario'!$E$5:$E$489, '📋 Detalle Diario'!$B$5:$B$489, B2094, '📋 Detalle Diario'!$C$5:$C$489, D2094) * 135 + SUMIFS('📋 Detalle Diario'!$I$5:$I$489, '📋 Detalle Diario'!$B$5:$B$489, B2094, '📋 Detalle Diario'!$C$5:$C$489, D2094) * 200), 0))</f>
        <v/>
      </c>
      <c r="P2094" s="32" t="str">
        <f t="shared" si="229"/>
        <v/>
      </c>
      <c r="Q2094" s="33" t="str">
        <f t="shared" si="230"/>
        <v/>
      </c>
    </row>
    <row r="2095" spans="2:17" ht="18" customHeight="1" x14ac:dyDescent="0.3">
      <c r="B2095" s="26"/>
      <c r="C2095" s="28"/>
      <c r="D2095" s="27"/>
      <c r="E2095" s="29"/>
      <c r="F2095" s="29"/>
      <c r="G2095" s="29"/>
      <c r="H2095" s="30" t="str">
        <f t="shared" si="224"/>
        <v/>
      </c>
      <c r="I2095" s="31" t="str">
        <f>IF(OR(B2095="",C2095=""),"",IFERROR(E2095*IF(E2095="",0,VLOOKUP(C2095,'📦 Precios Proforma'!$B$5:$D$104,IF(D2095="DIA",2,3),FALSE)),0))</f>
        <v/>
      </c>
      <c r="J2095" s="31" t="str">
        <f t="shared" si="225"/>
        <v/>
      </c>
      <c r="K2095" s="31" t="str">
        <f t="shared" si="226"/>
        <v/>
      </c>
      <c r="L2095" s="31" t="str">
        <f>IF(OR(B2095="",C2095=""),"",IFERROR(E2095 / SUMIFS('📅 Resumen Diario'!$D$5:$D$504, '📅 Resumen Diario'!$B$5:$B$504, B2095, '📅 Resumen Diario'!$C$5:$C$504, D2095) * SUMIFS('📅 Resumen Diario'!$K$5:$K$504, '📅 Resumen Diario'!$B$5:$B$504, B2095, '📅 Resumen Diario'!$C$5:$C$504, D2095), 0))</f>
        <v/>
      </c>
      <c r="M2095" s="31" t="str">
        <f t="shared" si="227"/>
        <v/>
      </c>
      <c r="N2095" s="31" t="str">
        <f t="shared" si="228"/>
        <v/>
      </c>
      <c r="O2095" s="31" t="str">
        <f>IF(OR(B2095="",C2095=""),"",K2095-N2095 + IFERROR(E2095 / SUMIFS('📅 Resumen Diario'!$D$5:$D$504, '📅 Resumen Diario'!$B$5:$B$504, B2095, '📅 Resumen Diario'!$C$5:$C$504, D2095) * (SUMIFS('📋 Detalle Diario'!$E$5:$E$489, '📋 Detalle Diario'!$B$5:$B$489, B2095, '📋 Detalle Diario'!$C$5:$C$489, D2095) * 135 + SUMIFS('📋 Detalle Diario'!$I$5:$I$489, '📋 Detalle Diario'!$B$5:$B$489, B2095, '📋 Detalle Diario'!$C$5:$C$489, D2095) * 200), 0))</f>
        <v/>
      </c>
      <c r="P2095" s="32" t="str">
        <f t="shared" si="229"/>
        <v/>
      </c>
      <c r="Q2095" s="33" t="str">
        <f t="shared" si="230"/>
        <v/>
      </c>
    </row>
    <row r="2096" spans="2:17" ht="18" customHeight="1" x14ac:dyDescent="0.3">
      <c r="B2096" s="26"/>
      <c r="C2096" s="17"/>
      <c r="D2096" s="27"/>
      <c r="E2096" s="18"/>
      <c r="F2096" s="18"/>
      <c r="G2096" s="18"/>
      <c r="H2096" s="30" t="str">
        <f t="shared" si="224"/>
        <v/>
      </c>
      <c r="I2096" s="31" t="str">
        <f>IF(OR(B2096="",C2096=""),"",IFERROR(E2096*IF(E2096="",0,VLOOKUP(C2096,'📦 Precios Proforma'!$B$5:$D$104,IF(D2096="DIA",2,3),FALSE)),0))</f>
        <v/>
      </c>
      <c r="J2096" s="31" t="str">
        <f t="shared" si="225"/>
        <v/>
      </c>
      <c r="K2096" s="31" t="str">
        <f t="shared" si="226"/>
        <v/>
      </c>
      <c r="L2096" s="31" t="str">
        <f>IF(OR(B2096="",C2096=""),"",IFERROR(E2096 / SUMIFS('📅 Resumen Diario'!$D$5:$D$504, '📅 Resumen Diario'!$B$5:$B$504, B2096, '📅 Resumen Diario'!$C$5:$C$504, D2096) * SUMIFS('📅 Resumen Diario'!$K$5:$K$504, '📅 Resumen Diario'!$B$5:$B$504, B2096, '📅 Resumen Diario'!$C$5:$C$504, D2096), 0))</f>
        <v/>
      </c>
      <c r="M2096" s="31" t="str">
        <f t="shared" si="227"/>
        <v/>
      </c>
      <c r="N2096" s="31" t="str">
        <f t="shared" si="228"/>
        <v/>
      </c>
      <c r="O2096" s="31" t="str">
        <f>IF(OR(B2096="",C2096=""),"",K2096-N2096 + IFERROR(E2096 / SUMIFS('📅 Resumen Diario'!$D$5:$D$504, '📅 Resumen Diario'!$B$5:$B$504, B2096, '📅 Resumen Diario'!$C$5:$C$504, D2096) * (SUMIFS('📋 Detalle Diario'!$E$5:$E$489, '📋 Detalle Diario'!$B$5:$B$489, B2096, '📋 Detalle Diario'!$C$5:$C$489, D2096) * 135 + SUMIFS('📋 Detalle Diario'!$I$5:$I$489, '📋 Detalle Diario'!$B$5:$B$489, B2096, '📋 Detalle Diario'!$C$5:$C$489, D2096) * 200), 0))</f>
        <v/>
      </c>
      <c r="P2096" s="32" t="str">
        <f t="shared" si="229"/>
        <v/>
      </c>
      <c r="Q2096" s="33" t="str">
        <f t="shared" si="230"/>
        <v/>
      </c>
    </row>
    <row r="2097" spans="2:17" ht="18" customHeight="1" x14ac:dyDescent="0.3">
      <c r="B2097" s="26"/>
      <c r="C2097" s="28"/>
      <c r="D2097" s="27"/>
      <c r="E2097" s="29"/>
      <c r="F2097" s="29"/>
      <c r="G2097" s="29"/>
      <c r="H2097" s="30" t="str">
        <f t="shared" si="224"/>
        <v/>
      </c>
      <c r="I2097" s="31" t="str">
        <f>IF(OR(B2097="",C2097=""),"",IFERROR(E2097*IF(E2097="",0,VLOOKUP(C2097,'📦 Precios Proforma'!$B$5:$D$104,IF(D2097="DIA",2,3),FALSE)),0))</f>
        <v/>
      </c>
      <c r="J2097" s="31" t="str">
        <f t="shared" si="225"/>
        <v/>
      </c>
      <c r="K2097" s="31" t="str">
        <f t="shared" si="226"/>
        <v/>
      </c>
      <c r="L2097" s="31" t="str">
        <f>IF(OR(B2097="",C2097=""),"",IFERROR(E2097 / SUMIFS('📅 Resumen Diario'!$D$5:$D$504, '📅 Resumen Diario'!$B$5:$B$504, B2097, '📅 Resumen Diario'!$C$5:$C$504, D2097) * SUMIFS('📅 Resumen Diario'!$K$5:$K$504, '📅 Resumen Diario'!$B$5:$B$504, B2097, '📅 Resumen Diario'!$C$5:$C$504, D2097), 0))</f>
        <v/>
      </c>
      <c r="M2097" s="31" t="str">
        <f t="shared" si="227"/>
        <v/>
      </c>
      <c r="N2097" s="31" t="str">
        <f t="shared" si="228"/>
        <v/>
      </c>
      <c r="O2097" s="31" t="str">
        <f>IF(OR(B2097="",C2097=""),"",K2097-N2097 + IFERROR(E2097 / SUMIFS('📅 Resumen Diario'!$D$5:$D$504, '📅 Resumen Diario'!$B$5:$B$504, B2097, '📅 Resumen Diario'!$C$5:$C$504, D2097) * (SUMIFS('📋 Detalle Diario'!$E$5:$E$489, '📋 Detalle Diario'!$B$5:$B$489, B2097, '📋 Detalle Diario'!$C$5:$C$489, D2097) * 135 + SUMIFS('📋 Detalle Diario'!$I$5:$I$489, '📋 Detalle Diario'!$B$5:$B$489, B2097, '📋 Detalle Diario'!$C$5:$C$489, D2097) * 200), 0))</f>
        <v/>
      </c>
      <c r="P2097" s="32" t="str">
        <f t="shared" si="229"/>
        <v/>
      </c>
      <c r="Q2097" s="33" t="str">
        <f t="shared" si="230"/>
        <v/>
      </c>
    </row>
    <row r="2098" spans="2:17" ht="18" customHeight="1" x14ac:dyDescent="0.3">
      <c r="B2098" s="26"/>
      <c r="C2098" s="17"/>
      <c r="D2098" s="27"/>
      <c r="E2098" s="18"/>
      <c r="F2098" s="18"/>
      <c r="G2098" s="18"/>
      <c r="H2098" s="30" t="str">
        <f t="shared" si="224"/>
        <v/>
      </c>
      <c r="I2098" s="31" t="str">
        <f>IF(OR(B2098="",C2098=""),"",IFERROR(E2098*IF(E2098="",0,VLOOKUP(C2098,'📦 Precios Proforma'!$B$5:$D$104,IF(D2098="DIA",2,3),FALSE)),0))</f>
        <v/>
      </c>
      <c r="J2098" s="31" t="str">
        <f t="shared" si="225"/>
        <v/>
      </c>
      <c r="K2098" s="31" t="str">
        <f t="shared" si="226"/>
        <v/>
      </c>
      <c r="L2098" s="31" t="str">
        <f>IF(OR(B2098="",C2098=""),"",IFERROR(E2098 / SUMIFS('📅 Resumen Diario'!$D$5:$D$504, '📅 Resumen Diario'!$B$5:$B$504, B2098, '📅 Resumen Diario'!$C$5:$C$504, D2098) * SUMIFS('📅 Resumen Diario'!$K$5:$K$504, '📅 Resumen Diario'!$B$5:$B$504, B2098, '📅 Resumen Diario'!$C$5:$C$504, D2098), 0))</f>
        <v/>
      </c>
      <c r="M2098" s="31" t="str">
        <f t="shared" si="227"/>
        <v/>
      </c>
      <c r="N2098" s="31" t="str">
        <f t="shared" si="228"/>
        <v/>
      </c>
      <c r="O2098" s="31" t="str">
        <f>IF(OR(B2098="",C2098=""),"",K2098-N2098 + IFERROR(E2098 / SUMIFS('📅 Resumen Diario'!$D$5:$D$504, '📅 Resumen Diario'!$B$5:$B$504, B2098, '📅 Resumen Diario'!$C$5:$C$504, D2098) * (SUMIFS('📋 Detalle Diario'!$E$5:$E$489, '📋 Detalle Diario'!$B$5:$B$489, B2098, '📋 Detalle Diario'!$C$5:$C$489, D2098) * 135 + SUMIFS('📋 Detalle Diario'!$I$5:$I$489, '📋 Detalle Diario'!$B$5:$B$489, B2098, '📋 Detalle Diario'!$C$5:$C$489, D2098) * 200), 0))</f>
        <v/>
      </c>
      <c r="P2098" s="32" t="str">
        <f t="shared" si="229"/>
        <v/>
      </c>
      <c r="Q2098" s="33" t="str">
        <f t="shared" si="230"/>
        <v/>
      </c>
    </row>
    <row r="2099" spans="2:17" ht="18" customHeight="1" x14ac:dyDescent="0.3">
      <c r="B2099" s="26"/>
      <c r="C2099" s="28"/>
      <c r="D2099" s="27"/>
      <c r="E2099" s="29"/>
      <c r="F2099" s="29"/>
      <c r="G2099" s="29"/>
      <c r="H2099" s="30" t="str">
        <f t="shared" si="224"/>
        <v/>
      </c>
      <c r="I2099" s="31" t="str">
        <f>IF(OR(B2099="",C2099=""),"",IFERROR(E2099*IF(E2099="",0,VLOOKUP(C2099,'📦 Precios Proforma'!$B$5:$D$104,IF(D2099="DIA",2,3),FALSE)),0))</f>
        <v/>
      </c>
      <c r="J2099" s="31" t="str">
        <f t="shared" si="225"/>
        <v/>
      </c>
      <c r="K2099" s="31" t="str">
        <f t="shared" si="226"/>
        <v/>
      </c>
      <c r="L2099" s="31" t="str">
        <f>IF(OR(B2099="",C2099=""),"",IFERROR(E2099 / SUMIFS('📅 Resumen Diario'!$D$5:$D$504, '📅 Resumen Diario'!$B$5:$B$504, B2099, '📅 Resumen Diario'!$C$5:$C$504, D2099) * SUMIFS('📅 Resumen Diario'!$K$5:$K$504, '📅 Resumen Diario'!$B$5:$B$504, B2099, '📅 Resumen Diario'!$C$5:$C$504, D2099), 0))</f>
        <v/>
      </c>
      <c r="M2099" s="31" t="str">
        <f t="shared" si="227"/>
        <v/>
      </c>
      <c r="N2099" s="31" t="str">
        <f t="shared" si="228"/>
        <v/>
      </c>
      <c r="O2099" s="31" t="str">
        <f>IF(OR(B2099="",C2099=""),"",K2099-N2099 + IFERROR(E2099 / SUMIFS('📅 Resumen Diario'!$D$5:$D$504, '📅 Resumen Diario'!$B$5:$B$504, B2099, '📅 Resumen Diario'!$C$5:$C$504, D2099) * (SUMIFS('📋 Detalle Diario'!$E$5:$E$489, '📋 Detalle Diario'!$B$5:$B$489, B2099, '📋 Detalle Diario'!$C$5:$C$489, D2099) * 135 + SUMIFS('📋 Detalle Diario'!$I$5:$I$489, '📋 Detalle Diario'!$B$5:$B$489, B2099, '📋 Detalle Diario'!$C$5:$C$489, D2099) * 200), 0))</f>
        <v/>
      </c>
      <c r="P2099" s="32" t="str">
        <f t="shared" si="229"/>
        <v/>
      </c>
      <c r="Q2099" s="33" t="str">
        <f t="shared" si="230"/>
        <v/>
      </c>
    </row>
    <row r="2100" spans="2:17" ht="18" customHeight="1" x14ac:dyDescent="0.3">
      <c r="B2100" s="26"/>
      <c r="C2100" s="17"/>
      <c r="D2100" s="27"/>
      <c r="E2100" s="18"/>
      <c r="F2100" s="18"/>
      <c r="G2100" s="18"/>
      <c r="H2100" s="30" t="str">
        <f t="shared" si="224"/>
        <v/>
      </c>
      <c r="I2100" s="31" t="str">
        <f>IF(OR(B2100="",C2100=""),"",IFERROR(E2100*IF(E2100="",0,VLOOKUP(C2100,'📦 Precios Proforma'!$B$5:$D$104,IF(D2100="DIA",2,3),FALSE)),0))</f>
        <v/>
      </c>
      <c r="J2100" s="31" t="str">
        <f t="shared" si="225"/>
        <v/>
      </c>
      <c r="K2100" s="31" t="str">
        <f t="shared" si="226"/>
        <v/>
      </c>
      <c r="L2100" s="31" t="str">
        <f>IF(OR(B2100="",C2100=""),"",IFERROR(E2100 / SUMIFS('📅 Resumen Diario'!$D$5:$D$504, '📅 Resumen Diario'!$B$5:$B$504, B2100, '📅 Resumen Diario'!$C$5:$C$504, D2100) * SUMIFS('📅 Resumen Diario'!$K$5:$K$504, '📅 Resumen Diario'!$B$5:$B$504, B2100, '📅 Resumen Diario'!$C$5:$C$504, D2100), 0))</f>
        <v/>
      </c>
      <c r="M2100" s="31" t="str">
        <f t="shared" si="227"/>
        <v/>
      </c>
      <c r="N2100" s="31" t="str">
        <f t="shared" si="228"/>
        <v/>
      </c>
      <c r="O2100" s="31" t="str">
        <f>IF(OR(B2100="",C2100=""),"",K2100-N2100 + IFERROR(E2100 / SUMIFS('📅 Resumen Diario'!$D$5:$D$504, '📅 Resumen Diario'!$B$5:$B$504, B2100, '📅 Resumen Diario'!$C$5:$C$504, D2100) * (SUMIFS('📋 Detalle Diario'!$E$5:$E$489, '📋 Detalle Diario'!$B$5:$B$489, B2100, '📋 Detalle Diario'!$C$5:$C$489, D2100) * 135 + SUMIFS('📋 Detalle Diario'!$I$5:$I$489, '📋 Detalle Diario'!$B$5:$B$489, B2100, '📋 Detalle Diario'!$C$5:$C$489, D2100) * 200), 0))</f>
        <v/>
      </c>
      <c r="P2100" s="32" t="str">
        <f t="shared" si="229"/>
        <v/>
      </c>
      <c r="Q2100" s="33" t="str">
        <f t="shared" si="230"/>
        <v/>
      </c>
    </row>
    <row r="2101" spans="2:17" ht="18" customHeight="1" x14ac:dyDescent="0.3">
      <c r="B2101" s="26"/>
      <c r="C2101" s="28"/>
      <c r="D2101" s="27"/>
      <c r="E2101" s="29"/>
      <c r="F2101" s="29"/>
      <c r="G2101" s="29"/>
      <c r="H2101" s="30" t="str">
        <f t="shared" si="224"/>
        <v/>
      </c>
      <c r="I2101" s="31" t="str">
        <f>IF(OR(B2101="",C2101=""),"",IFERROR(E2101*IF(E2101="",0,VLOOKUP(C2101,'📦 Precios Proforma'!$B$5:$D$104,IF(D2101="DIA",2,3),FALSE)),0))</f>
        <v/>
      </c>
      <c r="J2101" s="31" t="str">
        <f t="shared" si="225"/>
        <v/>
      </c>
      <c r="K2101" s="31" t="str">
        <f t="shared" si="226"/>
        <v/>
      </c>
      <c r="L2101" s="31" t="str">
        <f>IF(OR(B2101="",C2101=""),"",IFERROR(E2101 / SUMIFS('📅 Resumen Diario'!$D$5:$D$504, '📅 Resumen Diario'!$B$5:$B$504, B2101, '📅 Resumen Diario'!$C$5:$C$504, D2101) * SUMIFS('📅 Resumen Diario'!$K$5:$K$504, '📅 Resumen Diario'!$B$5:$B$504, B2101, '📅 Resumen Diario'!$C$5:$C$504, D2101), 0))</f>
        <v/>
      </c>
      <c r="M2101" s="31" t="str">
        <f t="shared" si="227"/>
        <v/>
      </c>
      <c r="N2101" s="31" t="str">
        <f t="shared" si="228"/>
        <v/>
      </c>
      <c r="O2101" s="31" t="str">
        <f>IF(OR(B2101="",C2101=""),"",K2101-N2101 + IFERROR(E2101 / SUMIFS('📅 Resumen Diario'!$D$5:$D$504, '📅 Resumen Diario'!$B$5:$B$504, B2101, '📅 Resumen Diario'!$C$5:$C$504, D2101) * (SUMIFS('📋 Detalle Diario'!$E$5:$E$489, '📋 Detalle Diario'!$B$5:$B$489, B2101, '📋 Detalle Diario'!$C$5:$C$489, D2101) * 135 + SUMIFS('📋 Detalle Diario'!$I$5:$I$489, '📋 Detalle Diario'!$B$5:$B$489, B2101, '📋 Detalle Diario'!$C$5:$C$489, D2101) * 200), 0))</f>
        <v/>
      </c>
      <c r="P2101" s="32" t="str">
        <f t="shared" si="229"/>
        <v/>
      </c>
      <c r="Q2101" s="33" t="str">
        <f t="shared" si="230"/>
        <v/>
      </c>
    </row>
    <row r="2102" spans="2:17" ht="18" customHeight="1" x14ac:dyDescent="0.3">
      <c r="B2102" s="26"/>
      <c r="C2102" s="17"/>
      <c r="D2102" s="27"/>
      <c r="E2102" s="18"/>
      <c r="F2102" s="18"/>
      <c r="G2102" s="18"/>
      <c r="H2102" s="30" t="str">
        <f t="shared" si="224"/>
        <v/>
      </c>
      <c r="I2102" s="31" t="str">
        <f>IF(OR(B2102="",C2102=""),"",IFERROR(E2102*IF(E2102="",0,VLOOKUP(C2102,'📦 Precios Proforma'!$B$5:$D$104,IF(D2102="DIA",2,3),FALSE)),0))</f>
        <v/>
      </c>
      <c r="J2102" s="31" t="str">
        <f t="shared" si="225"/>
        <v/>
      </c>
      <c r="K2102" s="31" t="str">
        <f t="shared" si="226"/>
        <v/>
      </c>
      <c r="L2102" s="31" t="str">
        <f>IF(OR(B2102="",C2102=""),"",IFERROR(E2102 / SUMIFS('📅 Resumen Diario'!$D$5:$D$504, '📅 Resumen Diario'!$B$5:$B$504, B2102, '📅 Resumen Diario'!$C$5:$C$504, D2102) * SUMIFS('📅 Resumen Diario'!$K$5:$K$504, '📅 Resumen Diario'!$B$5:$B$504, B2102, '📅 Resumen Diario'!$C$5:$C$504, D2102), 0))</f>
        <v/>
      </c>
      <c r="M2102" s="31" t="str">
        <f t="shared" si="227"/>
        <v/>
      </c>
      <c r="N2102" s="31" t="str">
        <f t="shared" si="228"/>
        <v/>
      </c>
      <c r="O2102" s="31" t="str">
        <f>IF(OR(B2102="",C2102=""),"",K2102-N2102 + IFERROR(E2102 / SUMIFS('📅 Resumen Diario'!$D$5:$D$504, '📅 Resumen Diario'!$B$5:$B$504, B2102, '📅 Resumen Diario'!$C$5:$C$504, D2102) * (SUMIFS('📋 Detalle Diario'!$E$5:$E$489, '📋 Detalle Diario'!$B$5:$B$489, B2102, '📋 Detalle Diario'!$C$5:$C$489, D2102) * 135 + SUMIFS('📋 Detalle Diario'!$I$5:$I$489, '📋 Detalle Diario'!$B$5:$B$489, B2102, '📋 Detalle Diario'!$C$5:$C$489, D2102) * 200), 0))</f>
        <v/>
      </c>
      <c r="P2102" s="32" t="str">
        <f t="shared" si="229"/>
        <v/>
      </c>
      <c r="Q2102" s="33" t="str">
        <f t="shared" si="230"/>
        <v/>
      </c>
    </row>
    <row r="2103" spans="2:17" ht="18" customHeight="1" x14ac:dyDescent="0.3">
      <c r="B2103" s="26"/>
      <c r="C2103" s="28"/>
      <c r="D2103" s="27"/>
      <c r="E2103" s="29"/>
      <c r="F2103" s="29"/>
      <c r="G2103" s="29"/>
      <c r="H2103" s="30" t="str">
        <f t="shared" si="224"/>
        <v/>
      </c>
      <c r="I2103" s="31" t="str">
        <f>IF(OR(B2103="",C2103=""),"",IFERROR(E2103*IF(E2103="",0,VLOOKUP(C2103,'📦 Precios Proforma'!$B$5:$D$104,IF(D2103="DIA",2,3),FALSE)),0))</f>
        <v/>
      </c>
      <c r="J2103" s="31" t="str">
        <f t="shared" si="225"/>
        <v/>
      </c>
      <c r="K2103" s="31" t="str">
        <f t="shared" si="226"/>
        <v/>
      </c>
      <c r="L2103" s="31" t="str">
        <f>IF(OR(B2103="",C2103=""),"",IFERROR(E2103 / SUMIFS('📅 Resumen Diario'!$D$5:$D$504, '📅 Resumen Diario'!$B$5:$B$504, B2103, '📅 Resumen Diario'!$C$5:$C$504, D2103) * SUMIFS('📅 Resumen Diario'!$K$5:$K$504, '📅 Resumen Diario'!$B$5:$B$504, B2103, '📅 Resumen Diario'!$C$5:$C$504, D2103), 0))</f>
        <v/>
      </c>
      <c r="M2103" s="31" t="str">
        <f t="shared" si="227"/>
        <v/>
      </c>
      <c r="N2103" s="31" t="str">
        <f t="shared" si="228"/>
        <v/>
      </c>
      <c r="O2103" s="31" t="str">
        <f>IF(OR(B2103="",C2103=""),"",K2103-N2103 + IFERROR(E2103 / SUMIFS('📅 Resumen Diario'!$D$5:$D$504, '📅 Resumen Diario'!$B$5:$B$504, B2103, '📅 Resumen Diario'!$C$5:$C$504, D2103) * (SUMIFS('📋 Detalle Diario'!$E$5:$E$489, '📋 Detalle Diario'!$B$5:$B$489, B2103, '📋 Detalle Diario'!$C$5:$C$489, D2103) * 135 + SUMIFS('📋 Detalle Diario'!$I$5:$I$489, '📋 Detalle Diario'!$B$5:$B$489, B2103, '📋 Detalle Diario'!$C$5:$C$489, D2103) * 200), 0))</f>
        <v/>
      </c>
      <c r="P2103" s="32" t="str">
        <f t="shared" si="229"/>
        <v/>
      </c>
      <c r="Q2103" s="33" t="str">
        <f t="shared" si="230"/>
        <v/>
      </c>
    </row>
    <row r="2104" spans="2:17" ht="18" customHeight="1" x14ac:dyDescent="0.3">
      <c r="B2104" s="26"/>
      <c r="C2104" s="17"/>
      <c r="D2104" s="27"/>
      <c r="E2104" s="18"/>
      <c r="F2104" s="18"/>
      <c r="G2104" s="18"/>
      <c r="H2104" s="30" t="str">
        <f t="shared" si="224"/>
        <v/>
      </c>
      <c r="I2104" s="31" t="str">
        <f>IF(OR(B2104="",C2104=""),"",IFERROR(E2104*IF(E2104="",0,VLOOKUP(C2104,'📦 Precios Proforma'!$B$5:$D$104,IF(D2104="DIA",2,3),FALSE)),0))</f>
        <v/>
      </c>
      <c r="J2104" s="31" t="str">
        <f t="shared" si="225"/>
        <v/>
      </c>
      <c r="K2104" s="31" t="str">
        <f t="shared" si="226"/>
        <v/>
      </c>
      <c r="L2104" s="31" t="str">
        <f>IF(OR(B2104="",C2104=""),"",IFERROR(E2104 / SUMIFS('📅 Resumen Diario'!$D$5:$D$504, '📅 Resumen Diario'!$B$5:$B$504, B2104, '📅 Resumen Diario'!$C$5:$C$504, D2104) * SUMIFS('📅 Resumen Diario'!$K$5:$K$504, '📅 Resumen Diario'!$B$5:$B$504, B2104, '📅 Resumen Diario'!$C$5:$C$504, D2104), 0))</f>
        <v/>
      </c>
      <c r="M2104" s="31" t="str">
        <f t="shared" si="227"/>
        <v/>
      </c>
      <c r="N2104" s="31" t="str">
        <f t="shared" si="228"/>
        <v/>
      </c>
      <c r="O2104" s="31" t="str">
        <f>IF(OR(B2104="",C2104=""),"",K2104-N2104 + IFERROR(E2104 / SUMIFS('📅 Resumen Diario'!$D$5:$D$504, '📅 Resumen Diario'!$B$5:$B$504, B2104, '📅 Resumen Diario'!$C$5:$C$504, D2104) * (SUMIFS('📋 Detalle Diario'!$E$5:$E$489, '📋 Detalle Diario'!$B$5:$B$489, B2104, '📋 Detalle Diario'!$C$5:$C$489, D2104) * 135 + SUMIFS('📋 Detalle Diario'!$I$5:$I$489, '📋 Detalle Diario'!$B$5:$B$489, B2104, '📋 Detalle Diario'!$C$5:$C$489, D2104) * 200), 0))</f>
        <v/>
      </c>
      <c r="P2104" s="32" t="str">
        <f t="shared" si="229"/>
        <v/>
      </c>
      <c r="Q2104" s="33" t="str">
        <f t="shared" si="230"/>
        <v/>
      </c>
    </row>
    <row r="2105" spans="2:17" ht="18" customHeight="1" x14ac:dyDescent="0.3">
      <c r="B2105" s="26"/>
      <c r="C2105" s="28"/>
      <c r="D2105" s="27"/>
      <c r="E2105" s="29"/>
      <c r="F2105" s="29"/>
      <c r="G2105" s="29"/>
      <c r="H2105" s="30" t="str">
        <f t="shared" si="224"/>
        <v/>
      </c>
      <c r="I2105" s="31" t="str">
        <f>IF(OR(B2105="",C2105=""),"",IFERROR(E2105*IF(E2105="",0,VLOOKUP(C2105,'📦 Precios Proforma'!$B$5:$D$104,IF(D2105="DIA",2,3),FALSE)),0))</f>
        <v/>
      </c>
      <c r="J2105" s="31" t="str">
        <f t="shared" si="225"/>
        <v/>
      </c>
      <c r="K2105" s="31" t="str">
        <f t="shared" si="226"/>
        <v/>
      </c>
      <c r="L2105" s="31" t="str">
        <f>IF(OR(B2105="",C2105=""),"",IFERROR(E2105 / SUMIFS('📅 Resumen Diario'!$D$5:$D$504, '📅 Resumen Diario'!$B$5:$B$504, B2105, '📅 Resumen Diario'!$C$5:$C$504, D2105) * SUMIFS('📅 Resumen Diario'!$K$5:$K$504, '📅 Resumen Diario'!$B$5:$B$504, B2105, '📅 Resumen Diario'!$C$5:$C$504, D2105), 0))</f>
        <v/>
      </c>
      <c r="M2105" s="31" t="str">
        <f t="shared" si="227"/>
        <v/>
      </c>
      <c r="N2105" s="31" t="str">
        <f t="shared" si="228"/>
        <v/>
      </c>
      <c r="O2105" s="31" t="str">
        <f>IF(OR(B2105="",C2105=""),"",K2105-N2105 + IFERROR(E2105 / SUMIFS('📅 Resumen Diario'!$D$5:$D$504, '📅 Resumen Diario'!$B$5:$B$504, B2105, '📅 Resumen Diario'!$C$5:$C$504, D2105) * (SUMIFS('📋 Detalle Diario'!$E$5:$E$489, '📋 Detalle Diario'!$B$5:$B$489, B2105, '📋 Detalle Diario'!$C$5:$C$489, D2105) * 135 + SUMIFS('📋 Detalle Diario'!$I$5:$I$489, '📋 Detalle Diario'!$B$5:$B$489, B2105, '📋 Detalle Diario'!$C$5:$C$489, D2105) * 200), 0))</f>
        <v/>
      </c>
      <c r="P2105" s="32" t="str">
        <f t="shared" si="229"/>
        <v/>
      </c>
      <c r="Q2105" s="33" t="str">
        <f t="shared" si="230"/>
        <v/>
      </c>
    </row>
    <row r="2106" spans="2:17" ht="18" customHeight="1" x14ac:dyDescent="0.3">
      <c r="B2106" s="26"/>
      <c r="C2106" s="17"/>
      <c r="D2106" s="27"/>
      <c r="E2106" s="18"/>
      <c r="F2106" s="18"/>
      <c r="G2106" s="18"/>
      <c r="H2106" s="30" t="str">
        <f t="shared" si="224"/>
        <v/>
      </c>
      <c r="I2106" s="31" t="str">
        <f>IF(OR(B2106="",C2106=""),"",IFERROR(E2106*IF(E2106="",0,VLOOKUP(C2106,'📦 Precios Proforma'!$B$5:$D$104,IF(D2106="DIA",2,3),FALSE)),0))</f>
        <v/>
      </c>
      <c r="J2106" s="31" t="str">
        <f t="shared" si="225"/>
        <v/>
      </c>
      <c r="K2106" s="31" t="str">
        <f t="shared" si="226"/>
        <v/>
      </c>
      <c r="L2106" s="31" t="str">
        <f>IF(OR(B2106="",C2106=""),"",IFERROR(E2106 / SUMIFS('📅 Resumen Diario'!$D$5:$D$504, '📅 Resumen Diario'!$B$5:$B$504, B2106, '📅 Resumen Diario'!$C$5:$C$504, D2106) * SUMIFS('📅 Resumen Diario'!$K$5:$K$504, '📅 Resumen Diario'!$B$5:$B$504, B2106, '📅 Resumen Diario'!$C$5:$C$504, D2106), 0))</f>
        <v/>
      </c>
      <c r="M2106" s="31" t="str">
        <f t="shared" si="227"/>
        <v/>
      </c>
      <c r="N2106" s="31" t="str">
        <f t="shared" si="228"/>
        <v/>
      </c>
      <c r="O2106" s="31" t="str">
        <f>IF(OR(B2106="",C2106=""),"",K2106-N2106 + IFERROR(E2106 / SUMIFS('📅 Resumen Diario'!$D$5:$D$504, '📅 Resumen Diario'!$B$5:$B$504, B2106, '📅 Resumen Diario'!$C$5:$C$504, D2106) * (SUMIFS('📋 Detalle Diario'!$E$5:$E$489, '📋 Detalle Diario'!$B$5:$B$489, B2106, '📋 Detalle Diario'!$C$5:$C$489, D2106) * 135 + SUMIFS('📋 Detalle Diario'!$I$5:$I$489, '📋 Detalle Diario'!$B$5:$B$489, B2106, '📋 Detalle Diario'!$C$5:$C$489, D2106) * 200), 0))</f>
        <v/>
      </c>
      <c r="P2106" s="32" t="str">
        <f t="shared" si="229"/>
        <v/>
      </c>
      <c r="Q2106" s="33" t="str">
        <f t="shared" si="230"/>
        <v/>
      </c>
    </row>
    <row r="2107" spans="2:17" ht="18" customHeight="1" x14ac:dyDescent="0.3">
      <c r="B2107" s="26"/>
      <c r="C2107" s="28"/>
      <c r="D2107" s="27"/>
      <c r="E2107" s="29"/>
      <c r="F2107" s="29"/>
      <c r="G2107" s="29"/>
      <c r="H2107" s="30" t="str">
        <f t="shared" si="224"/>
        <v/>
      </c>
      <c r="I2107" s="31" t="str">
        <f>IF(OR(B2107="",C2107=""),"",IFERROR(E2107*IF(E2107="",0,VLOOKUP(C2107,'📦 Precios Proforma'!$B$5:$D$104,IF(D2107="DIA",2,3),FALSE)),0))</f>
        <v/>
      </c>
      <c r="J2107" s="31" t="str">
        <f t="shared" si="225"/>
        <v/>
      </c>
      <c r="K2107" s="31" t="str">
        <f t="shared" si="226"/>
        <v/>
      </c>
      <c r="L2107" s="31" t="str">
        <f>IF(OR(B2107="",C2107=""),"",IFERROR(E2107 / SUMIFS('📅 Resumen Diario'!$D$5:$D$504, '📅 Resumen Diario'!$B$5:$B$504, B2107, '📅 Resumen Diario'!$C$5:$C$504, D2107) * SUMIFS('📅 Resumen Diario'!$K$5:$K$504, '📅 Resumen Diario'!$B$5:$B$504, B2107, '📅 Resumen Diario'!$C$5:$C$504, D2107), 0))</f>
        <v/>
      </c>
      <c r="M2107" s="31" t="str">
        <f t="shared" si="227"/>
        <v/>
      </c>
      <c r="N2107" s="31" t="str">
        <f t="shared" si="228"/>
        <v/>
      </c>
      <c r="O2107" s="31" t="str">
        <f>IF(OR(B2107="",C2107=""),"",K2107-N2107 + IFERROR(E2107 / SUMIFS('📅 Resumen Diario'!$D$5:$D$504, '📅 Resumen Diario'!$B$5:$B$504, B2107, '📅 Resumen Diario'!$C$5:$C$504, D2107) * (SUMIFS('📋 Detalle Diario'!$E$5:$E$489, '📋 Detalle Diario'!$B$5:$B$489, B2107, '📋 Detalle Diario'!$C$5:$C$489, D2107) * 135 + SUMIFS('📋 Detalle Diario'!$I$5:$I$489, '📋 Detalle Diario'!$B$5:$B$489, B2107, '📋 Detalle Diario'!$C$5:$C$489, D2107) * 200), 0))</f>
        <v/>
      </c>
      <c r="P2107" s="32" t="str">
        <f t="shared" si="229"/>
        <v/>
      </c>
      <c r="Q2107" s="33" t="str">
        <f t="shared" si="230"/>
        <v/>
      </c>
    </row>
    <row r="2108" spans="2:17" ht="18" customHeight="1" x14ac:dyDescent="0.3">
      <c r="B2108" s="26"/>
      <c r="C2108" s="17"/>
      <c r="D2108" s="27"/>
      <c r="E2108" s="18"/>
      <c r="F2108" s="18"/>
      <c r="G2108" s="18"/>
      <c r="H2108" s="30" t="str">
        <f t="shared" si="224"/>
        <v/>
      </c>
      <c r="I2108" s="31" t="str">
        <f>IF(OR(B2108="",C2108=""),"",IFERROR(E2108*IF(E2108="",0,VLOOKUP(C2108,'📦 Precios Proforma'!$B$5:$D$104,IF(D2108="DIA",2,3),FALSE)),0))</f>
        <v/>
      </c>
      <c r="J2108" s="31" t="str">
        <f t="shared" si="225"/>
        <v/>
      </c>
      <c r="K2108" s="31" t="str">
        <f t="shared" si="226"/>
        <v/>
      </c>
      <c r="L2108" s="31" t="str">
        <f>IF(OR(B2108="",C2108=""),"",IFERROR(E2108 / SUMIFS('📅 Resumen Diario'!$D$5:$D$504, '📅 Resumen Diario'!$B$5:$B$504, B2108, '📅 Resumen Diario'!$C$5:$C$504, D2108) * SUMIFS('📅 Resumen Diario'!$K$5:$K$504, '📅 Resumen Diario'!$B$5:$B$504, B2108, '📅 Resumen Diario'!$C$5:$C$504, D2108), 0))</f>
        <v/>
      </c>
      <c r="M2108" s="31" t="str">
        <f t="shared" si="227"/>
        <v/>
      </c>
      <c r="N2108" s="31" t="str">
        <f t="shared" si="228"/>
        <v/>
      </c>
      <c r="O2108" s="31" t="str">
        <f>IF(OR(B2108="",C2108=""),"",K2108-N2108 + IFERROR(E2108 / SUMIFS('📅 Resumen Diario'!$D$5:$D$504, '📅 Resumen Diario'!$B$5:$B$504, B2108, '📅 Resumen Diario'!$C$5:$C$504, D2108) * (SUMIFS('📋 Detalle Diario'!$E$5:$E$489, '📋 Detalle Diario'!$B$5:$B$489, B2108, '📋 Detalle Diario'!$C$5:$C$489, D2108) * 135 + SUMIFS('📋 Detalle Diario'!$I$5:$I$489, '📋 Detalle Diario'!$B$5:$B$489, B2108, '📋 Detalle Diario'!$C$5:$C$489, D2108) * 200), 0))</f>
        <v/>
      </c>
      <c r="P2108" s="32" t="str">
        <f t="shared" si="229"/>
        <v/>
      </c>
      <c r="Q2108" s="33" t="str">
        <f t="shared" si="230"/>
        <v/>
      </c>
    </row>
    <row r="2109" spans="2:17" ht="18" customHeight="1" x14ac:dyDescent="0.3">
      <c r="B2109" s="26"/>
      <c r="C2109" s="28"/>
      <c r="D2109" s="27"/>
      <c r="E2109" s="29"/>
      <c r="F2109" s="29"/>
      <c r="G2109" s="29"/>
      <c r="H2109" s="30" t="str">
        <f t="shared" si="224"/>
        <v/>
      </c>
      <c r="I2109" s="31" t="str">
        <f>IF(OR(B2109="",C2109=""),"",IFERROR(E2109*IF(E2109="",0,VLOOKUP(C2109,'📦 Precios Proforma'!$B$5:$D$104,IF(D2109="DIA",2,3),FALSE)),0))</f>
        <v/>
      </c>
      <c r="J2109" s="31" t="str">
        <f t="shared" si="225"/>
        <v/>
      </c>
      <c r="K2109" s="31" t="str">
        <f t="shared" si="226"/>
        <v/>
      </c>
      <c r="L2109" s="31" t="str">
        <f>IF(OR(B2109="",C2109=""),"",IFERROR(E2109 / SUMIFS('📅 Resumen Diario'!$D$5:$D$504, '📅 Resumen Diario'!$B$5:$B$504, B2109, '📅 Resumen Diario'!$C$5:$C$504, D2109) * SUMIFS('📅 Resumen Diario'!$K$5:$K$504, '📅 Resumen Diario'!$B$5:$B$504, B2109, '📅 Resumen Diario'!$C$5:$C$504, D2109), 0))</f>
        <v/>
      </c>
      <c r="M2109" s="31" t="str">
        <f t="shared" si="227"/>
        <v/>
      </c>
      <c r="N2109" s="31" t="str">
        <f t="shared" si="228"/>
        <v/>
      </c>
      <c r="O2109" s="31" t="str">
        <f>IF(OR(B2109="",C2109=""),"",K2109-N2109 + IFERROR(E2109 / SUMIFS('📅 Resumen Diario'!$D$5:$D$504, '📅 Resumen Diario'!$B$5:$B$504, B2109, '📅 Resumen Diario'!$C$5:$C$504, D2109) * (SUMIFS('📋 Detalle Diario'!$E$5:$E$489, '📋 Detalle Diario'!$B$5:$B$489, B2109, '📋 Detalle Diario'!$C$5:$C$489, D2109) * 135 + SUMIFS('📋 Detalle Diario'!$I$5:$I$489, '📋 Detalle Diario'!$B$5:$B$489, B2109, '📋 Detalle Diario'!$C$5:$C$489, D2109) * 200), 0))</f>
        <v/>
      </c>
      <c r="P2109" s="32" t="str">
        <f t="shared" si="229"/>
        <v/>
      </c>
      <c r="Q2109" s="33" t="str">
        <f t="shared" si="230"/>
        <v/>
      </c>
    </row>
    <row r="2110" spans="2:17" ht="18" customHeight="1" x14ac:dyDescent="0.3">
      <c r="B2110" s="26"/>
      <c r="C2110" s="17"/>
      <c r="D2110" s="27"/>
      <c r="E2110" s="18"/>
      <c r="F2110" s="18"/>
      <c r="G2110" s="18"/>
      <c r="H2110" s="30" t="str">
        <f t="shared" si="224"/>
        <v/>
      </c>
      <c r="I2110" s="31" t="str">
        <f>IF(OR(B2110="",C2110=""),"",IFERROR(E2110*IF(E2110="",0,VLOOKUP(C2110,'📦 Precios Proforma'!$B$5:$D$104,IF(D2110="DIA",2,3),FALSE)),0))</f>
        <v/>
      </c>
      <c r="J2110" s="31" t="str">
        <f t="shared" si="225"/>
        <v/>
      </c>
      <c r="K2110" s="31" t="str">
        <f t="shared" si="226"/>
        <v/>
      </c>
      <c r="L2110" s="31" t="str">
        <f>IF(OR(B2110="",C2110=""),"",IFERROR(E2110 / SUMIFS('📅 Resumen Diario'!$D$5:$D$504, '📅 Resumen Diario'!$B$5:$B$504, B2110, '📅 Resumen Diario'!$C$5:$C$504, D2110) * SUMIFS('📅 Resumen Diario'!$K$5:$K$504, '📅 Resumen Diario'!$B$5:$B$504, B2110, '📅 Resumen Diario'!$C$5:$C$504, D2110), 0))</f>
        <v/>
      </c>
      <c r="M2110" s="31" t="str">
        <f t="shared" si="227"/>
        <v/>
      </c>
      <c r="N2110" s="31" t="str">
        <f t="shared" si="228"/>
        <v/>
      </c>
      <c r="O2110" s="31" t="str">
        <f>IF(OR(B2110="",C2110=""),"",K2110-N2110 + IFERROR(E2110 / SUMIFS('📅 Resumen Diario'!$D$5:$D$504, '📅 Resumen Diario'!$B$5:$B$504, B2110, '📅 Resumen Diario'!$C$5:$C$504, D2110) * (SUMIFS('📋 Detalle Diario'!$E$5:$E$489, '📋 Detalle Diario'!$B$5:$B$489, B2110, '📋 Detalle Diario'!$C$5:$C$489, D2110) * 135 + SUMIFS('📋 Detalle Diario'!$I$5:$I$489, '📋 Detalle Diario'!$B$5:$B$489, B2110, '📋 Detalle Diario'!$C$5:$C$489, D2110) * 200), 0))</f>
        <v/>
      </c>
      <c r="P2110" s="32" t="str">
        <f t="shared" si="229"/>
        <v/>
      </c>
      <c r="Q2110" s="33" t="str">
        <f t="shared" si="230"/>
        <v/>
      </c>
    </row>
    <row r="2111" spans="2:17" ht="18" customHeight="1" x14ac:dyDescent="0.3">
      <c r="B2111" s="26"/>
      <c r="C2111" s="28"/>
      <c r="D2111" s="27"/>
      <c r="E2111" s="29"/>
      <c r="F2111" s="29"/>
      <c r="G2111" s="29"/>
      <c r="H2111" s="30" t="str">
        <f t="shared" si="224"/>
        <v/>
      </c>
      <c r="I2111" s="31" t="str">
        <f>IF(OR(B2111="",C2111=""),"",IFERROR(E2111*IF(E2111="",0,VLOOKUP(C2111,'📦 Precios Proforma'!$B$5:$D$104,IF(D2111="DIA",2,3),FALSE)),0))</f>
        <v/>
      </c>
      <c r="J2111" s="31" t="str">
        <f t="shared" si="225"/>
        <v/>
      </c>
      <c r="K2111" s="31" t="str">
        <f t="shared" si="226"/>
        <v/>
      </c>
      <c r="L2111" s="31" t="str">
        <f>IF(OR(B2111="",C2111=""),"",IFERROR(E2111 / SUMIFS('📅 Resumen Diario'!$D$5:$D$504, '📅 Resumen Diario'!$B$5:$B$504, B2111, '📅 Resumen Diario'!$C$5:$C$504, D2111) * SUMIFS('📅 Resumen Diario'!$K$5:$K$504, '📅 Resumen Diario'!$B$5:$B$504, B2111, '📅 Resumen Diario'!$C$5:$C$504, D2111), 0))</f>
        <v/>
      </c>
      <c r="M2111" s="31" t="str">
        <f t="shared" si="227"/>
        <v/>
      </c>
      <c r="N2111" s="31" t="str">
        <f t="shared" si="228"/>
        <v/>
      </c>
      <c r="O2111" s="31" t="str">
        <f>IF(OR(B2111="",C2111=""),"",K2111-N2111 + IFERROR(E2111 / SUMIFS('📅 Resumen Diario'!$D$5:$D$504, '📅 Resumen Diario'!$B$5:$B$504, B2111, '📅 Resumen Diario'!$C$5:$C$504, D2111) * (SUMIFS('📋 Detalle Diario'!$E$5:$E$489, '📋 Detalle Diario'!$B$5:$B$489, B2111, '📋 Detalle Diario'!$C$5:$C$489, D2111) * 135 + SUMIFS('📋 Detalle Diario'!$I$5:$I$489, '📋 Detalle Diario'!$B$5:$B$489, B2111, '📋 Detalle Diario'!$C$5:$C$489, D2111) * 200), 0))</f>
        <v/>
      </c>
      <c r="P2111" s="32" t="str">
        <f t="shared" si="229"/>
        <v/>
      </c>
      <c r="Q2111" s="33" t="str">
        <f t="shared" si="230"/>
        <v/>
      </c>
    </row>
    <row r="2112" spans="2:17" ht="18" customHeight="1" x14ac:dyDescent="0.3">
      <c r="B2112" s="26"/>
      <c r="C2112" s="17"/>
      <c r="D2112" s="27"/>
      <c r="E2112" s="18"/>
      <c r="F2112" s="18"/>
      <c r="G2112" s="18"/>
      <c r="H2112" s="30" t="str">
        <f t="shared" si="224"/>
        <v/>
      </c>
      <c r="I2112" s="31" t="str">
        <f>IF(OR(B2112="",C2112=""),"",IFERROR(E2112*IF(E2112="",0,VLOOKUP(C2112,'📦 Precios Proforma'!$B$5:$D$104,IF(D2112="DIA",2,3),FALSE)),0))</f>
        <v/>
      </c>
      <c r="J2112" s="31" t="str">
        <f t="shared" si="225"/>
        <v/>
      </c>
      <c r="K2112" s="31" t="str">
        <f t="shared" si="226"/>
        <v/>
      </c>
      <c r="L2112" s="31" t="str">
        <f>IF(OR(B2112="",C2112=""),"",IFERROR(E2112 / SUMIFS('📅 Resumen Diario'!$D$5:$D$504, '📅 Resumen Diario'!$B$5:$B$504, B2112, '📅 Resumen Diario'!$C$5:$C$504, D2112) * SUMIFS('📅 Resumen Diario'!$K$5:$K$504, '📅 Resumen Diario'!$B$5:$B$504, B2112, '📅 Resumen Diario'!$C$5:$C$504, D2112), 0))</f>
        <v/>
      </c>
      <c r="M2112" s="31" t="str">
        <f t="shared" si="227"/>
        <v/>
      </c>
      <c r="N2112" s="31" t="str">
        <f t="shared" si="228"/>
        <v/>
      </c>
      <c r="O2112" s="31" t="str">
        <f>IF(OR(B2112="",C2112=""),"",K2112-N2112 + IFERROR(E2112 / SUMIFS('📅 Resumen Diario'!$D$5:$D$504, '📅 Resumen Diario'!$B$5:$B$504, B2112, '📅 Resumen Diario'!$C$5:$C$504, D2112) * (SUMIFS('📋 Detalle Diario'!$E$5:$E$489, '📋 Detalle Diario'!$B$5:$B$489, B2112, '📋 Detalle Diario'!$C$5:$C$489, D2112) * 135 + SUMIFS('📋 Detalle Diario'!$I$5:$I$489, '📋 Detalle Diario'!$B$5:$B$489, B2112, '📋 Detalle Diario'!$C$5:$C$489, D2112) * 200), 0))</f>
        <v/>
      </c>
      <c r="P2112" s="32" t="str">
        <f t="shared" si="229"/>
        <v/>
      </c>
      <c r="Q2112" s="33" t="str">
        <f t="shared" si="230"/>
        <v/>
      </c>
    </row>
    <row r="2113" spans="2:17" ht="18" customHeight="1" x14ac:dyDescent="0.3">
      <c r="B2113" s="26"/>
      <c r="C2113" s="28"/>
      <c r="D2113" s="27"/>
      <c r="E2113" s="29"/>
      <c r="F2113" s="29"/>
      <c r="G2113" s="29"/>
      <c r="H2113" s="30" t="str">
        <f t="shared" si="224"/>
        <v/>
      </c>
      <c r="I2113" s="31" t="str">
        <f>IF(OR(B2113="",C2113=""),"",IFERROR(E2113*IF(E2113="",0,VLOOKUP(C2113,'📦 Precios Proforma'!$B$5:$D$104,IF(D2113="DIA",2,3),FALSE)),0))</f>
        <v/>
      </c>
      <c r="J2113" s="31" t="str">
        <f t="shared" si="225"/>
        <v/>
      </c>
      <c r="K2113" s="31" t="str">
        <f t="shared" si="226"/>
        <v/>
      </c>
      <c r="L2113" s="31" t="str">
        <f>IF(OR(B2113="",C2113=""),"",IFERROR(E2113 / SUMIFS('📅 Resumen Diario'!$D$5:$D$504, '📅 Resumen Diario'!$B$5:$B$504, B2113, '📅 Resumen Diario'!$C$5:$C$504, D2113) * SUMIFS('📅 Resumen Diario'!$K$5:$K$504, '📅 Resumen Diario'!$B$5:$B$504, B2113, '📅 Resumen Diario'!$C$5:$C$504, D2113), 0))</f>
        <v/>
      </c>
      <c r="M2113" s="31" t="str">
        <f t="shared" si="227"/>
        <v/>
      </c>
      <c r="N2113" s="31" t="str">
        <f t="shared" si="228"/>
        <v/>
      </c>
      <c r="O2113" s="31" t="str">
        <f>IF(OR(B2113="",C2113=""),"",K2113-N2113 + IFERROR(E2113 / SUMIFS('📅 Resumen Diario'!$D$5:$D$504, '📅 Resumen Diario'!$B$5:$B$504, B2113, '📅 Resumen Diario'!$C$5:$C$504, D2113) * (SUMIFS('📋 Detalle Diario'!$E$5:$E$489, '📋 Detalle Diario'!$B$5:$B$489, B2113, '📋 Detalle Diario'!$C$5:$C$489, D2113) * 135 + SUMIFS('📋 Detalle Diario'!$I$5:$I$489, '📋 Detalle Diario'!$B$5:$B$489, B2113, '📋 Detalle Diario'!$C$5:$C$489, D2113) * 200), 0))</f>
        <v/>
      </c>
      <c r="P2113" s="32" t="str">
        <f t="shared" si="229"/>
        <v/>
      </c>
      <c r="Q2113" s="33" t="str">
        <f t="shared" si="230"/>
        <v/>
      </c>
    </row>
    <row r="2114" spans="2:17" ht="18" customHeight="1" x14ac:dyDescent="0.3">
      <c r="B2114" s="26"/>
      <c r="C2114" s="17"/>
      <c r="D2114" s="27"/>
      <c r="E2114" s="18"/>
      <c r="F2114" s="18"/>
      <c r="G2114" s="18"/>
      <c r="H2114" s="30" t="str">
        <f t="shared" si="224"/>
        <v/>
      </c>
      <c r="I2114" s="31" t="str">
        <f>IF(OR(B2114="",C2114=""),"",IFERROR(E2114*IF(E2114="",0,VLOOKUP(C2114,'📦 Precios Proforma'!$B$5:$D$104,IF(D2114="DIA",2,3),FALSE)),0))</f>
        <v/>
      </c>
      <c r="J2114" s="31" t="str">
        <f t="shared" si="225"/>
        <v/>
      </c>
      <c r="K2114" s="31" t="str">
        <f t="shared" si="226"/>
        <v/>
      </c>
      <c r="L2114" s="31" t="str">
        <f>IF(OR(B2114="",C2114=""),"",IFERROR(E2114 / SUMIFS('📅 Resumen Diario'!$D$5:$D$504, '📅 Resumen Diario'!$B$5:$B$504, B2114, '📅 Resumen Diario'!$C$5:$C$504, D2114) * SUMIFS('📅 Resumen Diario'!$K$5:$K$504, '📅 Resumen Diario'!$B$5:$B$504, B2114, '📅 Resumen Diario'!$C$5:$C$504, D2114), 0))</f>
        <v/>
      </c>
      <c r="M2114" s="31" t="str">
        <f t="shared" si="227"/>
        <v/>
      </c>
      <c r="N2114" s="31" t="str">
        <f t="shared" si="228"/>
        <v/>
      </c>
      <c r="O2114" s="31" t="str">
        <f>IF(OR(B2114="",C2114=""),"",K2114-N2114 + IFERROR(E2114 / SUMIFS('📅 Resumen Diario'!$D$5:$D$504, '📅 Resumen Diario'!$B$5:$B$504, B2114, '📅 Resumen Diario'!$C$5:$C$504, D2114) * (SUMIFS('📋 Detalle Diario'!$E$5:$E$489, '📋 Detalle Diario'!$B$5:$B$489, B2114, '📋 Detalle Diario'!$C$5:$C$489, D2114) * 135 + SUMIFS('📋 Detalle Diario'!$I$5:$I$489, '📋 Detalle Diario'!$B$5:$B$489, B2114, '📋 Detalle Diario'!$C$5:$C$489, D2114) * 200), 0))</f>
        <v/>
      </c>
      <c r="P2114" s="32" t="str">
        <f t="shared" si="229"/>
        <v/>
      </c>
      <c r="Q2114" s="33" t="str">
        <f t="shared" si="230"/>
        <v/>
      </c>
    </row>
    <row r="2115" spans="2:17" ht="18" customHeight="1" x14ac:dyDescent="0.3">
      <c r="B2115" s="26"/>
      <c r="C2115" s="28"/>
      <c r="D2115" s="27"/>
      <c r="E2115" s="29"/>
      <c r="F2115" s="29"/>
      <c r="G2115" s="29"/>
      <c r="H2115" s="30" t="str">
        <f t="shared" si="224"/>
        <v/>
      </c>
      <c r="I2115" s="31" t="str">
        <f>IF(OR(B2115="",C2115=""),"",IFERROR(E2115*IF(E2115="",0,VLOOKUP(C2115,'📦 Precios Proforma'!$B$5:$D$104,IF(D2115="DIA",2,3),FALSE)),0))</f>
        <v/>
      </c>
      <c r="J2115" s="31" t="str">
        <f t="shared" si="225"/>
        <v/>
      </c>
      <c r="K2115" s="31" t="str">
        <f t="shared" si="226"/>
        <v/>
      </c>
      <c r="L2115" s="31" t="str">
        <f>IF(OR(B2115="",C2115=""),"",IFERROR(E2115 / SUMIFS('📅 Resumen Diario'!$D$5:$D$504, '📅 Resumen Diario'!$B$5:$B$504, B2115, '📅 Resumen Diario'!$C$5:$C$504, D2115) * SUMIFS('📅 Resumen Diario'!$K$5:$K$504, '📅 Resumen Diario'!$B$5:$B$504, B2115, '📅 Resumen Diario'!$C$5:$C$504, D2115), 0))</f>
        <v/>
      </c>
      <c r="M2115" s="31" t="str">
        <f t="shared" si="227"/>
        <v/>
      </c>
      <c r="N2115" s="31" t="str">
        <f t="shared" si="228"/>
        <v/>
      </c>
      <c r="O2115" s="31" t="str">
        <f>IF(OR(B2115="",C2115=""),"",K2115-N2115 + IFERROR(E2115 / SUMIFS('📅 Resumen Diario'!$D$5:$D$504, '📅 Resumen Diario'!$B$5:$B$504, B2115, '📅 Resumen Diario'!$C$5:$C$504, D2115) * (SUMIFS('📋 Detalle Diario'!$E$5:$E$489, '📋 Detalle Diario'!$B$5:$B$489, B2115, '📋 Detalle Diario'!$C$5:$C$489, D2115) * 135 + SUMIFS('📋 Detalle Diario'!$I$5:$I$489, '📋 Detalle Diario'!$B$5:$B$489, B2115, '📋 Detalle Diario'!$C$5:$C$489, D2115) * 200), 0))</f>
        <v/>
      </c>
      <c r="P2115" s="32" t="str">
        <f t="shared" si="229"/>
        <v/>
      </c>
      <c r="Q2115" s="33" t="str">
        <f t="shared" si="230"/>
        <v/>
      </c>
    </row>
    <row r="2116" spans="2:17" ht="18" customHeight="1" x14ac:dyDescent="0.3">
      <c r="B2116" s="26"/>
      <c r="C2116" s="17"/>
      <c r="D2116" s="27"/>
      <c r="E2116" s="18"/>
      <c r="F2116" s="18"/>
      <c r="G2116" s="18"/>
      <c r="H2116" s="30" t="str">
        <f t="shared" si="224"/>
        <v/>
      </c>
      <c r="I2116" s="31" t="str">
        <f>IF(OR(B2116="",C2116=""),"",IFERROR(E2116*IF(E2116="",0,VLOOKUP(C2116,'📦 Precios Proforma'!$B$5:$D$104,IF(D2116="DIA",2,3),FALSE)),0))</f>
        <v/>
      </c>
      <c r="J2116" s="31" t="str">
        <f t="shared" si="225"/>
        <v/>
      </c>
      <c r="K2116" s="31" t="str">
        <f t="shared" si="226"/>
        <v/>
      </c>
      <c r="L2116" s="31" t="str">
        <f>IF(OR(B2116="",C2116=""),"",IFERROR(E2116 / SUMIFS('📅 Resumen Diario'!$D$5:$D$504, '📅 Resumen Diario'!$B$5:$B$504, B2116, '📅 Resumen Diario'!$C$5:$C$504, D2116) * SUMIFS('📅 Resumen Diario'!$K$5:$K$504, '📅 Resumen Diario'!$B$5:$B$504, B2116, '📅 Resumen Diario'!$C$5:$C$504, D2116), 0))</f>
        <v/>
      </c>
      <c r="M2116" s="31" t="str">
        <f t="shared" si="227"/>
        <v/>
      </c>
      <c r="N2116" s="31" t="str">
        <f t="shared" si="228"/>
        <v/>
      </c>
      <c r="O2116" s="31" t="str">
        <f>IF(OR(B2116="",C2116=""),"",K2116-N2116 + IFERROR(E2116 / SUMIFS('📅 Resumen Diario'!$D$5:$D$504, '📅 Resumen Diario'!$B$5:$B$504, B2116, '📅 Resumen Diario'!$C$5:$C$504, D2116) * (SUMIFS('📋 Detalle Diario'!$E$5:$E$489, '📋 Detalle Diario'!$B$5:$B$489, B2116, '📋 Detalle Diario'!$C$5:$C$489, D2116) * 135 + SUMIFS('📋 Detalle Diario'!$I$5:$I$489, '📋 Detalle Diario'!$B$5:$B$489, B2116, '📋 Detalle Diario'!$C$5:$C$489, D2116) * 200), 0))</f>
        <v/>
      </c>
      <c r="P2116" s="32" t="str">
        <f t="shared" si="229"/>
        <v/>
      </c>
      <c r="Q2116" s="33" t="str">
        <f t="shared" si="230"/>
        <v/>
      </c>
    </row>
    <row r="2117" spans="2:17" ht="18" customHeight="1" x14ac:dyDescent="0.3">
      <c r="B2117" s="26"/>
      <c r="C2117" s="28"/>
      <c r="D2117" s="27"/>
      <c r="E2117" s="29"/>
      <c r="F2117" s="29"/>
      <c r="G2117" s="29"/>
      <c r="H2117" s="30" t="str">
        <f t="shared" si="224"/>
        <v/>
      </c>
      <c r="I2117" s="31" t="str">
        <f>IF(OR(B2117="",C2117=""),"",IFERROR(E2117*IF(E2117="",0,VLOOKUP(C2117,'📦 Precios Proforma'!$B$5:$D$104,IF(D2117="DIA",2,3),FALSE)),0))</f>
        <v/>
      </c>
      <c r="J2117" s="31" t="str">
        <f t="shared" si="225"/>
        <v/>
      </c>
      <c r="K2117" s="31" t="str">
        <f t="shared" si="226"/>
        <v/>
      </c>
      <c r="L2117" s="31" t="str">
        <f>IF(OR(B2117="",C2117=""),"",IFERROR(E2117 / SUMIFS('📅 Resumen Diario'!$D$5:$D$504, '📅 Resumen Diario'!$B$5:$B$504, B2117, '📅 Resumen Diario'!$C$5:$C$504, D2117) * SUMIFS('📅 Resumen Diario'!$K$5:$K$504, '📅 Resumen Diario'!$B$5:$B$504, B2117, '📅 Resumen Diario'!$C$5:$C$504, D2117), 0))</f>
        <v/>
      </c>
      <c r="M2117" s="31" t="str">
        <f t="shared" si="227"/>
        <v/>
      </c>
      <c r="N2117" s="31" t="str">
        <f t="shared" si="228"/>
        <v/>
      </c>
      <c r="O2117" s="31" t="str">
        <f>IF(OR(B2117="",C2117=""),"",K2117-N2117 + IFERROR(E2117 / SUMIFS('📅 Resumen Diario'!$D$5:$D$504, '📅 Resumen Diario'!$B$5:$B$504, B2117, '📅 Resumen Diario'!$C$5:$C$504, D2117) * (SUMIFS('📋 Detalle Diario'!$E$5:$E$489, '📋 Detalle Diario'!$B$5:$B$489, B2117, '📋 Detalle Diario'!$C$5:$C$489, D2117) * 135 + SUMIFS('📋 Detalle Diario'!$I$5:$I$489, '📋 Detalle Diario'!$B$5:$B$489, B2117, '📋 Detalle Diario'!$C$5:$C$489, D2117) * 200), 0))</f>
        <v/>
      </c>
      <c r="P2117" s="32" t="str">
        <f t="shared" si="229"/>
        <v/>
      </c>
      <c r="Q2117" s="33" t="str">
        <f t="shared" si="230"/>
        <v/>
      </c>
    </row>
    <row r="2118" spans="2:17" ht="18" customHeight="1" x14ac:dyDescent="0.3">
      <c r="B2118" s="26"/>
      <c r="C2118" s="17"/>
      <c r="D2118" s="27"/>
      <c r="E2118" s="18"/>
      <c r="F2118" s="18"/>
      <c r="G2118" s="18"/>
      <c r="H2118" s="30" t="str">
        <f t="shared" si="224"/>
        <v/>
      </c>
      <c r="I2118" s="31" t="str">
        <f>IF(OR(B2118="",C2118=""),"",IFERROR(E2118*IF(E2118="",0,VLOOKUP(C2118,'📦 Precios Proforma'!$B$5:$D$104,IF(D2118="DIA",2,3),FALSE)),0))</f>
        <v/>
      </c>
      <c r="J2118" s="31" t="str">
        <f t="shared" si="225"/>
        <v/>
      </c>
      <c r="K2118" s="31" t="str">
        <f t="shared" si="226"/>
        <v/>
      </c>
      <c r="L2118" s="31" t="str">
        <f>IF(OR(B2118="",C2118=""),"",IFERROR(E2118 / SUMIFS('📅 Resumen Diario'!$D$5:$D$504, '📅 Resumen Diario'!$B$5:$B$504, B2118, '📅 Resumen Diario'!$C$5:$C$504, D2118) * SUMIFS('📅 Resumen Diario'!$K$5:$K$504, '📅 Resumen Diario'!$B$5:$B$504, B2118, '📅 Resumen Diario'!$C$5:$C$504, D2118), 0))</f>
        <v/>
      </c>
      <c r="M2118" s="31" t="str">
        <f t="shared" si="227"/>
        <v/>
      </c>
      <c r="N2118" s="31" t="str">
        <f t="shared" si="228"/>
        <v/>
      </c>
      <c r="O2118" s="31" t="str">
        <f>IF(OR(B2118="",C2118=""),"",K2118-N2118 + IFERROR(E2118 / SUMIFS('📅 Resumen Diario'!$D$5:$D$504, '📅 Resumen Diario'!$B$5:$B$504, B2118, '📅 Resumen Diario'!$C$5:$C$504, D2118) * (SUMIFS('📋 Detalle Diario'!$E$5:$E$489, '📋 Detalle Diario'!$B$5:$B$489, B2118, '📋 Detalle Diario'!$C$5:$C$489, D2118) * 135 + SUMIFS('📋 Detalle Diario'!$I$5:$I$489, '📋 Detalle Diario'!$B$5:$B$489, B2118, '📋 Detalle Diario'!$C$5:$C$489, D2118) * 200), 0))</f>
        <v/>
      </c>
      <c r="P2118" s="32" t="str">
        <f t="shared" si="229"/>
        <v/>
      </c>
      <c r="Q2118" s="33" t="str">
        <f t="shared" si="230"/>
        <v/>
      </c>
    </row>
    <row r="2119" spans="2:17" ht="18" customHeight="1" x14ac:dyDescent="0.3">
      <c r="B2119" s="26"/>
      <c r="C2119" s="28"/>
      <c r="D2119" s="27"/>
      <c r="E2119" s="29"/>
      <c r="F2119" s="29"/>
      <c r="G2119" s="29"/>
      <c r="H2119" s="30" t="str">
        <f t="shared" ref="H2119:H2182" si="231">IF(OR(B2119="",C2119=""),"",F2119+G2119)</f>
        <v/>
      </c>
      <c r="I2119" s="31" t="str">
        <f>IF(OR(B2119="",C2119=""),"",IFERROR(E2119*IF(E2119="",0,VLOOKUP(C2119,'📦 Precios Proforma'!$B$5:$D$104,IF(D2119="DIA",2,3),FALSE)),0))</f>
        <v/>
      </c>
      <c r="J2119" s="31" t="str">
        <f t="shared" ref="J2119:J2182" si="232">IF(OR(B2119="",C2119=""),"",IF(D2119="DIA",H2119*1.01,H2119*1.35))</f>
        <v/>
      </c>
      <c r="K2119" s="31" t="str">
        <f t="shared" ref="K2119:K2182" si="233">IF(OR(B2119="",C2119=""),"",I2119+J2119)</f>
        <v/>
      </c>
      <c r="L2119" s="31" t="str">
        <f>IF(OR(B2119="",C2119=""),"",IFERROR(E2119 / SUMIFS('📅 Resumen Diario'!$D$5:$D$504, '📅 Resumen Diario'!$B$5:$B$504, B2119, '📅 Resumen Diario'!$C$5:$C$504, D2119) * SUMIFS('📅 Resumen Diario'!$K$5:$K$504, '📅 Resumen Diario'!$B$5:$B$504, B2119, '📅 Resumen Diario'!$C$5:$C$504, D2119), 0))</f>
        <v/>
      </c>
      <c r="M2119" s="31" t="str">
        <f t="shared" ref="M2119:M2182" si="234">IF(OR(B2119="",C2119=""),"",H2119*0.09)</f>
        <v/>
      </c>
      <c r="N2119" s="31" t="str">
        <f t="shared" ref="N2119:N2182" si="235">IF(OR(B2119="",C2119=""),"",L2119+M2119)</f>
        <v/>
      </c>
      <c r="O2119" s="31" t="str">
        <f>IF(OR(B2119="",C2119=""),"",K2119-N2119 + IFERROR(E2119 / SUMIFS('📅 Resumen Diario'!$D$5:$D$504, '📅 Resumen Diario'!$B$5:$B$504, B2119, '📅 Resumen Diario'!$C$5:$C$504, D2119) * (SUMIFS('📋 Detalle Diario'!$E$5:$E$489, '📋 Detalle Diario'!$B$5:$B$489, B2119, '📋 Detalle Diario'!$C$5:$C$489, D2119) * 135 + SUMIFS('📋 Detalle Diario'!$I$5:$I$489, '📋 Detalle Diario'!$B$5:$B$489, B2119, '📋 Detalle Diario'!$C$5:$C$489, D2119) * 200), 0))</f>
        <v/>
      </c>
      <c r="P2119" s="32" t="str">
        <f t="shared" ref="P2119:P2182" si="236">IF(OR(B2119="",C2119=""),"",IF(K2119=0, 0, O2119/K2119))</f>
        <v/>
      </c>
      <c r="Q2119" s="33" t="str">
        <f t="shared" ref="Q2119:Q2182" si="237">IF(B2119="","",IF(ISNUMBER(B2119),YEAR(B2119)&amp;"-"&amp;IF(MONTH(B2119)&lt;10,"0","")&amp;MONTH(B2119),LEFT(B2119,7)))</f>
        <v/>
      </c>
    </row>
    <row r="2120" spans="2:17" ht="18" customHeight="1" x14ac:dyDescent="0.3">
      <c r="B2120" s="26"/>
      <c r="C2120" s="17"/>
      <c r="D2120" s="27"/>
      <c r="E2120" s="18"/>
      <c r="F2120" s="18"/>
      <c r="G2120" s="18"/>
      <c r="H2120" s="30" t="str">
        <f t="shared" si="231"/>
        <v/>
      </c>
      <c r="I2120" s="31" t="str">
        <f>IF(OR(B2120="",C2120=""),"",IFERROR(E2120*IF(E2120="",0,VLOOKUP(C2120,'📦 Precios Proforma'!$B$5:$D$104,IF(D2120="DIA",2,3),FALSE)),0))</f>
        <v/>
      </c>
      <c r="J2120" s="31" t="str">
        <f t="shared" si="232"/>
        <v/>
      </c>
      <c r="K2120" s="31" t="str">
        <f t="shared" si="233"/>
        <v/>
      </c>
      <c r="L2120" s="31" t="str">
        <f>IF(OR(B2120="",C2120=""),"",IFERROR(E2120 / SUMIFS('📅 Resumen Diario'!$D$5:$D$504, '📅 Resumen Diario'!$B$5:$B$504, B2120, '📅 Resumen Diario'!$C$5:$C$504, D2120) * SUMIFS('📅 Resumen Diario'!$K$5:$K$504, '📅 Resumen Diario'!$B$5:$B$504, B2120, '📅 Resumen Diario'!$C$5:$C$504, D2120), 0))</f>
        <v/>
      </c>
      <c r="M2120" s="31" t="str">
        <f t="shared" si="234"/>
        <v/>
      </c>
      <c r="N2120" s="31" t="str">
        <f t="shared" si="235"/>
        <v/>
      </c>
      <c r="O2120" s="31" t="str">
        <f>IF(OR(B2120="",C2120=""),"",K2120-N2120 + IFERROR(E2120 / SUMIFS('📅 Resumen Diario'!$D$5:$D$504, '📅 Resumen Diario'!$B$5:$B$504, B2120, '📅 Resumen Diario'!$C$5:$C$504, D2120) * (SUMIFS('📋 Detalle Diario'!$E$5:$E$489, '📋 Detalle Diario'!$B$5:$B$489, B2120, '📋 Detalle Diario'!$C$5:$C$489, D2120) * 135 + SUMIFS('📋 Detalle Diario'!$I$5:$I$489, '📋 Detalle Diario'!$B$5:$B$489, B2120, '📋 Detalle Diario'!$C$5:$C$489, D2120) * 200), 0))</f>
        <v/>
      </c>
      <c r="P2120" s="32" t="str">
        <f t="shared" si="236"/>
        <v/>
      </c>
      <c r="Q2120" s="33" t="str">
        <f t="shared" si="237"/>
        <v/>
      </c>
    </row>
    <row r="2121" spans="2:17" ht="18" customHeight="1" x14ac:dyDescent="0.3">
      <c r="B2121" s="26"/>
      <c r="C2121" s="28"/>
      <c r="D2121" s="27"/>
      <c r="E2121" s="29"/>
      <c r="F2121" s="29"/>
      <c r="G2121" s="29"/>
      <c r="H2121" s="30" t="str">
        <f t="shared" si="231"/>
        <v/>
      </c>
      <c r="I2121" s="31" t="str">
        <f>IF(OR(B2121="",C2121=""),"",IFERROR(E2121*IF(E2121="",0,VLOOKUP(C2121,'📦 Precios Proforma'!$B$5:$D$104,IF(D2121="DIA",2,3),FALSE)),0))</f>
        <v/>
      </c>
      <c r="J2121" s="31" t="str">
        <f t="shared" si="232"/>
        <v/>
      </c>
      <c r="K2121" s="31" t="str">
        <f t="shared" si="233"/>
        <v/>
      </c>
      <c r="L2121" s="31" t="str">
        <f>IF(OR(B2121="",C2121=""),"",IFERROR(E2121 / SUMIFS('📅 Resumen Diario'!$D$5:$D$504, '📅 Resumen Diario'!$B$5:$B$504, B2121, '📅 Resumen Diario'!$C$5:$C$504, D2121) * SUMIFS('📅 Resumen Diario'!$K$5:$K$504, '📅 Resumen Diario'!$B$5:$B$504, B2121, '📅 Resumen Diario'!$C$5:$C$504, D2121), 0))</f>
        <v/>
      </c>
      <c r="M2121" s="31" t="str">
        <f t="shared" si="234"/>
        <v/>
      </c>
      <c r="N2121" s="31" t="str">
        <f t="shared" si="235"/>
        <v/>
      </c>
      <c r="O2121" s="31" t="str">
        <f>IF(OR(B2121="",C2121=""),"",K2121-N2121 + IFERROR(E2121 / SUMIFS('📅 Resumen Diario'!$D$5:$D$504, '📅 Resumen Diario'!$B$5:$B$504, B2121, '📅 Resumen Diario'!$C$5:$C$504, D2121) * (SUMIFS('📋 Detalle Diario'!$E$5:$E$489, '📋 Detalle Diario'!$B$5:$B$489, B2121, '📋 Detalle Diario'!$C$5:$C$489, D2121) * 135 + SUMIFS('📋 Detalle Diario'!$I$5:$I$489, '📋 Detalle Diario'!$B$5:$B$489, B2121, '📋 Detalle Diario'!$C$5:$C$489, D2121) * 200), 0))</f>
        <v/>
      </c>
      <c r="P2121" s="32" t="str">
        <f t="shared" si="236"/>
        <v/>
      </c>
      <c r="Q2121" s="33" t="str">
        <f t="shared" si="237"/>
        <v/>
      </c>
    </row>
    <row r="2122" spans="2:17" ht="18" customHeight="1" x14ac:dyDescent="0.3">
      <c r="B2122" s="26"/>
      <c r="C2122" s="17"/>
      <c r="D2122" s="27"/>
      <c r="E2122" s="18"/>
      <c r="F2122" s="18"/>
      <c r="G2122" s="18"/>
      <c r="H2122" s="30" t="str">
        <f t="shared" si="231"/>
        <v/>
      </c>
      <c r="I2122" s="31" t="str">
        <f>IF(OR(B2122="",C2122=""),"",IFERROR(E2122*IF(E2122="",0,VLOOKUP(C2122,'📦 Precios Proforma'!$B$5:$D$104,IF(D2122="DIA",2,3),FALSE)),0))</f>
        <v/>
      </c>
      <c r="J2122" s="31" t="str">
        <f t="shared" si="232"/>
        <v/>
      </c>
      <c r="K2122" s="31" t="str">
        <f t="shared" si="233"/>
        <v/>
      </c>
      <c r="L2122" s="31" t="str">
        <f>IF(OR(B2122="",C2122=""),"",IFERROR(E2122 / SUMIFS('📅 Resumen Diario'!$D$5:$D$504, '📅 Resumen Diario'!$B$5:$B$504, B2122, '📅 Resumen Diario'!$C$5:$C$504, D2122) * SUMIFS('📅 Resumen Diario'!$K$5:$K$504, '📅 Resumen Diario'!$B$5:$B$504, B2122, '📅 Resumen Diario'!$C$5:$C$504, D2122), 0))</f>
        <v/>
      </c>
      <c r="M2122" s="31" t="str">
        <f t="shared" si="234"/>
        <v/>
      </c>
      <c r="N2122" s="31" t="str">
        <f t="shared" si="235"/>
        <v/>
      </c>
      <c r="O2122" s="31" t="str">
        <f>IF(OR(B2122="",C2122=""),"",K2122-N2122 + IFERROR(E2122 / SUMIFS('📅 Resumen Diario'!$D$5:$D$504, '📅 Resumen Diario'!$B$5:$B$504, B2122, '📅 Resumen Diario'!$C$5:$C$504, D2122) * (SUMIFS('📋 Detalle Diario'!$E$5:$E$489, '📋 Detalle Diario'!$B$5:$B$489, B2122, '📋 Detalle Diario'!$C$5:$C$489, D2122) * 135 + SUMIFS('📋 Detalle Diario'!$I$5:$I$489, '📋 Detalle Diario'!$B$5:$B$489, B2122, '📋 Detalle Diario'!$C$5:$C$489, D2122) * 200), 0))</f>
        <v/>
      </c>
      <c r="P2122" s="32" t="str">
        <f t="shared" si="236"/>
        <v/>
      </c>
      <c r="Q2122" s="33" t="str">
        <f t="shared" si="237"/>
        <v/>
      </c>
    </row>
    <row r="2123" spans="2:17" ht="18" customHeight="1" x14ac:dyDescent="0.3">
      <c r="B2123" s="26"/>
      <c r="C2123" s="28"/>
      <c r="D2123" s="27"/>
      <c r="E2123" s="29"/>
      <c r="F2123" s="29"/>
      <c r="G2123" s="29"/>
      <c r="H2123" s="30" t="str">
        <f t="shared" si="231"/>
        <v/>
      </c>
      <c r="I2123" s="31" t="str">
        <f>IF(OR(B2123="",C2123=""),"",IFERROR(E2123*IF(E2123="",0,VLOOKUP(C2123,'📦 Precios Proforma'!$B$5:$D$104,IF(D2123="DIA",2,3),FALSE)),0))</f>
        <v/>
      </c>
      <c r="J2123" s="31" t="str">
        <f t="shared" si="232"/>
        <v/>
      </c>
      <c r="K2123" s="31" t="str">
        <f t="shared" si="233"/>
        <v/>
      </c>
      <c r="L2123" s="31" t="str">
        <f>IF(OR(B2123="",C2123=""),"",IFERROR(E2123 / SUMIFS('📅 Resumen Diario'!$D$5:$D$504, '📅 Resumen Diario'!$B$5:$B$504, B2123, '📅 Resumen Diario'!$C$5:$C$504, D2123) * SUMIFS('📅 Resumen Diario'!$K$5:$K$504, '📅 Resumen Diario'!$B$5:$B$504, B2123, '📅 Resumen Diario'!$C$5:$C$504, D2123), 0))</f>
        <v/>
      </c>
      <c r="M2123" s="31" t="str">
        <f t="shared" si="234"/>
        <v/>
      </c>
      <c r="N2123" s="31" t="str">
        <f t="shared" si="235"/>
        <v/>
      </c>
      <c r="O2123" s="31" t="str">
        <f>IF(OR(B2123="",C2123=""),"",K2123-N2123 + IFERROR(E2123 / SUMIFS('📅 Resumen Diario'!$D$5:$D$504, '📅 Resumen Diario'!$B$5:$B$504, B2123, '📅 Resumen Diario'!$C$5:$C$504, D2123) * (SUMIFS('📋 Detalle Diario'!$E$5:$E$489, '📋 Detalle Diario'!$B$5:$B$489, B2123, '📋 Detalle Diario'!$C$5:$C$489, D2123) * 135 + SUMIFS('📋 Detalle Diario'!$I$5:$I$489, '📋 Detalle Diario'!$B$5:$B$489, B2123, '📋 Detalle Diario'!$C$5:$C$489, D2123) * 200), 0))</f>
        <v/>
      </c>
      <c r="P2123" s="32" t="str">
        <f t="shared" si="236"/>
        <v/>
      </c>
      <c r="Q2123" s="33" t="str">
        <f t="shared" si="237"/>
        <v/>
      </c>
    </row>
    <row r="2124" spans="2:17" ht="18" customHeight="1" x14ac:dyDescent="0.3">
      <c r="B2124" s="26"/>
      <c r="C2124" s="17"/>
      <c r="D2124" s="27"/>
      <c r="E2124" s="18"/>
      <c r="F2124" s="18"/>
      <c r="G2124" s="18"/>
      <c r="H2124" s="30" t="str">
        <f t="shared" si="231"/>
        <v/>
      </c>
      <c r="I2124" s="31" t="str">
        <f>IF(OR(B2124="",C2124=""),"",IFERROR(E2124*IF(E2124="",0,VLOOKUP(C2124,'📦 Precios Proforma'!$B$5:$D$104,IF(D2124="DIA",2,3),FALSE)),0))</f>
        <v/>
      </c>
      <c r="J2124" s="31" t="str">
        <f t="shared" si="232"/>
        <v/>
      </c>
      <c r="K2124" s="31" t="str">
        <f t="shared" si="233"/>
        <v/>
      </c>
      <c r="L2124" s="31" t="str">
        <f>IF(OR(B2124="",C2124=""),"",IFERROR(E2124 / SUMIFS('📅 Resumen Diario'!$D$5:$D$504, '📅 Resumen Diario'!$B$5:$B$504, B2124, '📅 Resumen Diario'!$C$5:$C$504, D2124) * SUMIFS('📅 Resumen Diario'!$K$5:$K$504, '📅 Resumen Diario'!$B$5:$B$504, B2124, '📅 Resumen Diario'!$C$5:$C$504, D2124), 0))</f>
        <v/>
      </c>
      <c r="M2124" s="31" t="str">
        <f t="shared" si="234"/>
        <v/>
      </c>
      <c r="N2124" s="31" t="str">
        <f t="shared" si="235"/>
        <v/>
      </c>
      <c r="O2124" s="31" t="str">
        <f>IF(OR(B2124="",C2124=""),"",K2124-N2124 + IFERROR(E2124 / SUMIFS('📅 Resumen Diario'!$D$5:$D$504, '📅 Resumen Diario'!$B$5:$B$504, B2124, '📅 Resumen Diario'!$C$5:$C$504, D2124) * (SUMIFS('📋 Detalle Diario'!$E$5:$E$489, '📋 Detalle Diario'!$B$5:$B$489, B2124, '📋 Detalle Diario'!$C$5:$C$489, D2124) * 135 + SUMIFS('📋 Detalle Diario'!$I$5:$I$489, '📋 Detalle Diario'!$B$5:$B$489, B2124, '📋 Detalle Diario'!$C$5:$C$489, D2124) * 200), 0))</f>
        <v/>
      </c>
      <c r="P2124" s="32" t="str">
        <f t="shared" si="236"/>
        <v/>
      </c>
      <c r="Q2124" s="33" t="str">
        <f t="shared" si="237"/>
        <v/>
      </c>
    </row>
    <row r="2125" spans="2:17" ht="18" customHeight="1" x14ac:dyDescent="0.3">
      <c r="B2125" s="26"/>
      <c r="C2125" s="28"/>
      <c r="D2125" s="27"/>
      <c r="E2125" s="29"/>
      <c r="F2125" s="29"/>
      <c r="G2125" s="29"/>
      <c r="H2125" s="30" t="str">
        <f t="shared" si="231"/>
        <v/>
      </c>
      <c r="I2125" s="31" t="str">
        <f>IF(OR(B2125="",C2125=""),"",IFERROR(E2125*IF(E2125="",0,VLOOKUP(C2125,'📦 Precios Proforma'!$B$5:$D$104,IF(D2125="DIA",2,3),FALSE)),0))</f>
        <v/>
      </c>
      <c r="J2125" s="31" t="str">
        <f t="shared" si="232"/>
        <v/>
      </c>
      <c r="K2125" s="31" t="str">
        <f t="shared" si="233"/>
        <v/>
      </c>
      <c r="L2125" s="31" t="str">
        <f>IF(OR(B2125="",C2125=""),"",IFERROR(E2125 / SUMIFS('📅 Resumen Diario'!$D$5:$D$504, '📅 Resumen Diario'!$B$5:$B$504, B2125, '📅 Resumen Diario'!$C$5:$C$504, D2125) * SUMIFS('📅 Resumen Diario'!$K$5:$K$504, '📅 Resumen Diario'!$B$5:$B$504, B2125, '📅 Resumen Diario'!$C$5:$C$504, D2125), 0))</f>
        <v/>
      </c>
      <c r="M2125" s="31" t="str">
        <f t="shared" si="234"/>
        <v/>
      </c>
      <c r="N2125" s="31" t="str">
        <f t="shared" si="235"/>
        <v/>
      </c>
      <c r="O2125" s="31" t="str">
        <f>IF(OR(B2125="",C2125=""),"",K2125-N2125 + IFERROR(E2125 / SUMIFS('📅 Resumen Diario'!$D$5:$D$504, '📅 Resumen Diario'!$B$5:$B$504, B2125, '📅 Resumen Diario'!$C$5:$C$504, D2125) * (SUMIFS('📋 Detalle Diario'!$E$5:$E$489, '📋 Detalle Diario'!$B$5:$B$489, B2125, '📋 Detalle Diario'!$C$5:$C$489, D2125) * 135 + SUMIFS('📋 Detalle Diario'!$I$5:$I$489, '📋 Detalle Diario'!$B$5:$B$489, B2125, '📋 Detalle Diario'!$C$5:$C$489, D2125) * 200), 0))</f>
        <v/>
      </c>
      <c r="P2125" s="32" t="str">
        <f t="shared" si="236"/>
        <v/>
      </c>
      <c r="Q2125" s="33" t="str">
        <f t="shared" si="237"/>
        <v/>
      </c>
    </row>
    <row r="2126" spans="2:17" ht="18" customHeight="1" x14ac:dyDescent="0.3">
      <c r="B2126" s="26"/>
      <c r="C2126" s="17"/>
      <c r="D2126" s="27"/>
      <c r="E2126" s="18"/>
      <c r="F2126" s="18"/>
      <c r="G2126" s="18"/>
      <c r="H2126" s="30" t="str">
        <f t="shared" si="231"/>
        <v/>
      </c>
      <c r="I2126" s="31" t="str">
        <f>IF(OR(B2126="",C2126=""),"",IFERROR(E2126*IF(E2126="",0,VLOOKUP(C2126,'📦 Precios Proforma'!$B$5:$D$104,IF(D2126="DIA",2,3),FALSE)),0))</f>
        <v/>
      </c>
      <c r="J2126" s="31" t="str">
        <f t="shared" si="232"/>
        <v/>
      </c>
      <c r="K2126" s="31" t="str">
        <f t="shared" si="233"/>
        <v/>
      </c>
      <c r="L2126" s="31" t="str">
        <f>IF(OR(B2126="",C2126=""),"",IFERROR(E2126 / SUMIFS('📅 Resumen Diario'!$D$5:$D$504, '📅 Resumen Diario'!$B$5:$B$504, B2126, '📅 Resumen Diario'!$C$5:$C$504, D2126) * SUMIFS('📅 Resumen Diario'!$K$5:$K$504, '📅 Resumen Diario'!$B$5:$B$504, B2126, '📅 Resumen Diario'!$C$5:$C$504, D2126), 0))</f>
        <v/>
      </c>
      <c r="M2126" s="31" t="str">
        <f t="shared" si="234"/>
        <v/>
      </c>
      <c r="N2126" s="31" t="str">
        <f t="shared" si="235"/>
        <v/>
      </c>
      <c r="O2126" s="31" t="str">
        <f>IF(OR(B2126="",C2126=""),"",K2126-N2126 + IFERROR(E2126 / SUMIFS('📅 Resumen Diario'!$D$5:$D$504, '📅 Resumen Diario'!$B$5:$B$504, B2126, '📅 Resumen Diario'!$C$5:$C$504, D2126) * (SUMIFS('📋 Detalle Diario'!$E$5:$E$489, '📋 Detalle Diario'!$B$5:$B$489, B2126, '📋 Detalle Diario'!$C$5:$C$489, D2126) * 135 + SUMIFS('📋 Detalle Diario'!$I$5:$I$489, '📋 Detalle Diario'!$B$5:$B$489, B2126, '📋 Detalle Diario'!$C$5:$C$489, D2126) * 200), 0))</f>
        <v/>
      </c>
      <c r="P2126" s="32" t="str">
        <f t="shared" si="236"/>
        <v/>
      </c>
      <c r="Q2126" s="33" t="str">
        <f t="shared" si="237"/>
        <v/>
      </c>
    </row>
    <row r="2127" spans="2:17" ht="18" customHeight="1" x14ac:dyDescent="0.3">
      <c r="B2127" s="26"/>
      <c r="C2127" s="28"/>
      <c r="D2127" s="27"/>
      <c r="E2127" s="29"/>
      <c r="F2127" s="29"/>
      <c r="G2127" s="29"/>
      <c r="H2127" s="30" t="str">
        <f t="shared" si="231"/>
        <v/>
      </c>
      <c r="I2127" s="31" t="str">
        <f>IF(OR(B2127="",C2127=""),"",IFERROR(E2127*IF(E2127="",0,VLOOKUP(C2127,'📦 Precios Proforma'!$B$5:$D$104,IF(D2127="DIA",2,3),FALSE)),0))</f>
        <v/>
      </c>
      <c r="J2127" s="31" t="str">
        <f t="shared" si="232"/>
        <v/>
      </c>
      <c r="K2127" s="31" t="str">
        <f t="shared" si="233"/>
        <v/>
      </c>
      <c r="L2127" s="31" t="str">
        <f>IF(OR(B2127="",C2127=""),"",IFERROR(E2127 / SUMIFS('📅 Resumen Diario'!$D$5:$D$504, '📅 Resumen Diario'!$B$5:$B$504, B2127, '📅 Resumen Diario'!$C$5:$C$504, D2127) * SUMIFS('📅 Resumen Diario'!$K$5:$K$504, '📅 Resumen Diario'!$B$5:$B$504, B2127, '📅 Resumen Diario'!$C$5:$C$504, D2127), 0))</f>
        <v/>
      </c>
      <c r="M2127" s="31" t="str">
        <f t="shared" si="234"/>
        <v/>
      </c>
      <c r="N2127" s="31" t="str">
        <f t="shared" si="235"/>
        <v/>
      </c>
      <c r="O2127" s="31" t="str">
        <f>IF(OR(B2127="",C2127=""),"",K2127-N2127 + IFERROR(E2127 / SUMIFS('📅 Resumen Diario'!$D$5:$D$504, '📅 Resumen Diario'!$B$5:$B$504, B2127, '📅 Resumen Diario'!$C$5:$C$504, D2127) * (SUMIFS('📋 Detalle Diario'!$E$5:$E$489, '📋 Detalle Diario'!$B$5:$B$489, B2127, '📋 Detalle Diario'!$C$5:$C$489, D2127) * 135 + SUMIFS('📋 Detalle Diario'!$I$5:$I$489, '📋 Detalle Diario'!$B$5:$B$489, B2127, '📋 Detalle Diario'!$C$5:$C$489, D2127) * 200), 0))</f>
        <v/>
      </c>
      <c r="P2127" s="32" t="str">
        <f t="shared" si="236"/>
        <v/>
      </c>
      <c r="Q2127" s="33" t="str">
        <f t="shared" si="237"/>
        <v/>
      </c>
    </row>
    <row r="2128" spans="2:17" ht="18" customHeight="1" x14ac:dyDescent="0.3">
      <c r="B2128" s="26"/>
      <c r="C2128" s="17"/>
      <c r="D2128" s="27"/>
      <c r="E2128" s="18"/>
      <c r="F2128" s="18"/>
      <c r="G2128" s="18"/>
      <c r="H2128" s="30" t="str">
        <f t="shared" si="231"/>
        <v/>
      </c>
      <c r="I2128" s="31" t="str">
        <f>IF(OR(B2128="",C2128=""),"",IFERROR(E2128*IF(E2128="",0,VLOOKUP(C2128,'📦 Precios Proforma'!$B$5:$D$104,IF(D2128="DIA",2,3),FALSE)),0))</f>
        <v/>
      </c>
      <c r="J2128" s="31" t="str">
        <f t="shared" si="232"/>
        <v/>
      </c>
      <c r="K2128" s="31" t="str">
        <f t="shared" si="233"/>
        <v/>
      </c>
      <c r="L2128" s="31" t="str">
        <f>IF(OR(B2128="",C2128=""),"",IFERROR(E2128 / SUMIFS('📅 Resumen Diario'!$D$5:$D$504, '📅 Resumen Diario'!$B$5:$B$504, B2128, '📅 Resumen Diario'!$C$5:$C$504, D2128) * SUMIFS('📅 Resumen Diario'!$K$5:$K$504, '📅 Resumen Diario'!$B$5:$B$504, B2128, '📅 Resumen Diario'!$C$5:$C$504, D2128), 0))</f>
        <v/>
      </c>
      <c r="M2128" s="31" t="str">
        <f t="shared" si="234"/>
        <v/>
      </c>
      <c r="N2128" s="31" t="str">
        <f t="shared" si="235"/>
        <v/>
      </c>
      <c r="O2128" s="31" t="str">
        <f>IF(OR(B2128="",C2128=""),"",K2128-N2128 + IFERROR(E2128 / SUMIFS('📅 Resumen Diario'!$D$5:$D$504, '📅 Resumen Diario'!$B$5:$B$504, B2128, '📅 Resumen Diario'!$C$5:$C$504, D2128) * (SUMIFS('📋 Detalle Diario'!$E$5:$E$489, '📋 Detalle Diario'!$B$5:$B$489, B2128, '📋 Detalle Diario'!$C$5:$C$489, D2128) * 135 + SUMIFS('📋 Detalle Diario'!$I$5:$I$489, '📋 Detalle Diario'!$B$5:$B$489, B2128, '📋 Detalle Diario'!$C$5:$C$489, D2128) * 200), 0))</f>
        <v/>
      </c>
      <c r="P2128" s="32" t="str">
        <f t="shared" si="236"/>
        <v/>
      </c>
      <c r="Q2128" s="33" t="str">
        <f t="shared" si="237"/>
        <v/>
      </c>
    </row>
    <row r="2129" spans="2:17" ht="18" customHeight="1" x14ac:dyDescent="0.3">
      <c r="B2129" s="26"/>
      <c r="C2129" s="28"/>
      <c r="D2129" s="27"/>
      <c r="E2129" s="29"/>
      <c r="F2129" s="29"/>
      <c r="G2129" s="29"/>
      <c r="H2129" s="30" t="str">
        <f t="shared" si="231"/>
        <v/>
      </c>
      <c r="I2129" s="31" t="str">
        <f>IF(OR(B2129="",C2129=""),"",IFERROR(E2129*IF(E2129="",0,VLOOKUP(C2129,'📦 Precios Proforma'!$B$5:$D$104,IF(D2129="DIA",2,3),FALSE)),0))</f>
        <v/>
      </c>
      <c r="J2129" s="31" t="str">
        <f t="shared" si="232"/>
        <v/>
      </c>
      <c r="K2129" s="31" t="str">
        <f t="shared" si="233"/>
        <v/>
      </c>
      <c r="L2129" s="31" t="str">
        <f>IF(OR(B2129="",C2129=""),"",IFERROR(E2129 / SUMIFS('📅 Resumen Diario'!$D$5:$D$504, '📅 Resumen Diario'!$B$5:$B$504, B2129, '📅 Resumen Diario'!$C$5:$C$504, D2129) * SUMIFS('📅 Resumen Diario'!$K$5:$K$504, '📅 Resumen Diario'!$B$5:$B$504, B2129, '📅 Resumen Diario'!$C$5:$C$504, D2129), 0))</f>
        <v/>
      </c>
      <c r="M2129" s="31" t="str">
        <f t="shared" si="234"/>
        <v/>
      </c>
      <c r="N2129" s="31" t="str">
        <f t="shared" si="235"/>
        <v/>
      </c>
      <c r="O2129" s="31" t="str">
        <f>IF(OR(B2129="",C2129=""),"",K2129-N2129 + IFERROR(E2129 / SUMIFS('📅 Resumen Diario'!$D$5:$D$504, '📅 Resumen Diario'!$B$5:$B$504, B2129, '📅 Resumen Diario'!$C$5:$C$504, D2129) * (SUMIFS('📋 Detalle Diario'!$E$5:$E$489, '📋 Detalle Diario'!$B$5:$B$489, B2129, '📋 Detalle Diario'!$C$5:$C$489, D2129) * 135 + SUMIFS('📋 Detalle Diario'!$I$5:$I$489, '📋 Detalle Diario'!$B$5:$B$489, B2129, '📋 Detalle Diario'!$C$5:$C$489, D2129) * 200), 0))</f>
        <v/>
      </c>
      <c r="P2129" s="32" t="str">
        <f t="shared" si="236"/>
        <v/>
      </c>
      <c r="Q2129" s="33" t="str">
        <f t="shared" si="237"/>
        <v/>
      </c>
    </row>
    <row r="2130" spans="2:17" ht="18" customHeight="1" x14ac:dyDescent="0.3">
      <c r="B2130" s="26"/>
      <c r="C2130" s="17"/>
      <c r="D2130" s="27"/>
      <c r="E2130" s="18"/>
      <c r="F2130" s="18"/>
      <c r="G2130" s="18"/>
      <c r="H2130" s="30" t="str">
        <f t="shared" si="231"/>
        <v/>
      </c>
      <c r="I2130" s="31" t="str">
        <f>IF(OR(B2130="",C2130=""),"",IFERROR(E2130*IF(E2130="",0,VLOOKUP(C2130,'📦 Precios Proforma'!$B$5:$D$104,IF(D2130="DIA",2,3),FALSE)),0))</f>
        <v/>
      </c>
      <c r="J2130" s="31" t="str">
        <f t="shared" si="232"/>
        <v/>
      </c>
      <c r="K2130" s="31" t="str">
        <f t="shared" si="233"/>
        <v/>
      </c>
      <c r="L2130" s="31" t="str">
        <f>IF(OR(B2130="",C2130=""),"",IFERROR(E2130 / SUMIFS('📅 Resumen Diario'!$D$5:$D$504, '📅 Resumen Diario'!$B$5:$B$504, B2130, '📅 Resumen Diario'!$C$5:$C$504, D2130) * SUMIFS('📅 Resumen Diario'!$K$5:$K$504, '📅 Resumen Diario'!$B$5:$B$504, B2130, '📅 Resumen Diario'!$C$5:$C$504, D2130), 0))</f>
        <v/>
      </c>
      <c r="M2130" s="31" t="str">
        <f t="shared" si="234"/>
        <v/>
      </c>
      <c r="N2130" s="31" t="str">
        <f t="shared" si="235"/>
        <v/>
      </c>
      <c r="O2130" s="31" t="str">
        <f>IF(OR(B2130="",C2130=""),"",K2130-N2130 + IFERROR(E2130 / SUMIFS('📅 Resumen Diario'!$D$5:$D$504, '📅 Resumen Diario'!$B$5:$B$504, B2130, '📅 Resumen Diario'!$C$5:$C$504, D2130) * (SUMIFS('📋 Detalle Diario'!$E$5:$E$489, '📋 Detalle Diario'!$B$5:$B$489, B2130, '📋 Detalle Diario'!$C$5:$C$489, D2130) * 135 + SUMIFS('📋 Detalle Diario'!$I$5:$I$489, '📋 Detalle Diario'!$B$5:$B$489, B2130, '📋 Detalle Diario'!$C$5:$C$489, D2130) * 200), 0))</f>
        <v/>
      </c>
      <c r="P2130" s="32" t="str">
        <f t="shared" si="236"/>
        <v/>
      </c>
      <c r="Q2130" s="33" t="str">
        <f t="shared" si="237"/>
        <v/>
      </c>
    </row>
    <row r="2131" spans="2:17" ht="18" customHeight="1" x14ac:dyDescent="0.3">
      <c r="B2131" s="26"/>
      <c r="C2131" s="28"/>
      <c r="D2131" s="27"/>
      <c r="E2131" s="29"/>
      <c r="F2131" s="29"/>
      <c r="G2131" s="29"/>
      <c r="H2131" s="30" t="str">
        <f t="shared" si="231"/>
        <v/>
      </c>
      <c r="I2131" s="31" t="str">
        <f>IF(OR(B2131="",C2131=""),"",IFERROR(E2131*IF(E2131="",0,VLOOKUP(C2131,'📦 Precios Proforma'!$B$5:$D$104,IF(D2131="DIA",2,3),FALSE)),0))</f>
        <v/>
      </c>
      <c r="J2131" s="31" t="str">
        <f t="shared" si="232"/>
        <v/>
      </c>
      <c r="K2131" s="31" t="str">
        <f t="shared" si="233"/>
        <v/>
      </c>
      <c r="L2131" s="31" t="str">
        <f>IF(OR(B2131="",C2131=""),"",IFERROR(E2131 / SUMIFS('📅 Resumen Diario'!$D$5:$D$504, '📅 Resumen Diario'!$B$5:$B$504, B2131, '📅 Resumen Diario'!$C$5:$C$504, D2131) * SUMIFS('📅 Resumen Diario'!$K$5:$K$504, '📅 Resumen Diario'!$B$5:$B$504, B2131, '📅 Resumen Diario'!$C$5:$C$504, D2131), 0))</f>
        <v/>
      </c>
      <c r="M2131" s="31" t="str">
        <f t="shared" si="234"/>
        <v/>
      </c>
      <c r="N2131" s="31" t="str">
        <f t="shared" si="235"/>
        <v/>
      </c>
      <c r="O2131" s="31" t="str">
        <f>IF(OR(B2131="",C2131=""),"",K2131-N2131 + IFERROR(E2131 / SUMIFS('📅 Resumen Diario'!$D$5:$D$504, '📅 Resumen Diario'!$B$5:$B$504, B2131, '📅 Resumen Diario'!$C$5:$C$504, D2131) * (SUMIFS('📋 Detalle Diario'!$E$5:$E$489, '📋 Detalle Diario'!$B$5:$B$489, B2131, '📋 Detalle Diario'!$C$5:$C$489, D2131) * 135 + SUMIFS('📋 Detalle Diario'!$I$5:$I$489, '📋 Detalle Diario'!$B$5:$B$489, B2131, '📋 Detalle Diario'!$C$5:$C$489, D2131) * 200), 0))</f>
        <v/>
      </c>
      <c r="P2131" s="32" t="str">
        <f t="shared" si="236"/>
        <v/>
      </c>
      <c r="Q2131" s="33" t="str">
        <f t="shared" si="237"/>
        <v/>
      </c>
    </row>
    <row r="2132" spans="2:17" ht="18" customHeight="1" x14ac:dyDescent="0.3">
      <c r="B2132" s="26"/>
      <c r="C2132" s="17"/>
      <c r="D2132" s="27"/>
      <c r="E2132" s="18"/>
      <c r="F2132" s="18"/>
      <c r="G2132" s="18"/>
      <c r="H2132" s="30" t="str">
        <f t="shared" si="231"/>
        <v/>
      </c>
      <c r="I2132" s="31" t="str">
        <f>IF(OR(B2132="",C2132=""),"",IFERROR(E2132*IF(E2132="",0,VLOOKUP(C2132,'📦 Precios Proforma'!$B$5:$D$104,IF(D2132="DIA",2,3),FALSE)),0))</f>
        <v/>
      </c>
      <c r="J2132" s="31" t="str">
        <f t="shared" si="232"/>
        <v/>
      </c>
      <c r="K2132" s="31" t="str">
        <f t="shared" si="233"/>
        <v/>
      </c>
      <c r="L2132" s="31" t="str">
        <f>IF(OR(B2132="",C2132=""),"",IFERROR(E2132 / SUMIFS('📅 Resumen Diario'!$D$5:$D$504, '📅 Resumen Diario'!$B$5:$B$504, B2132, '📅 Resumen Diario'!$C$5:$C$504, D2132) * SUMIFS('📅 Resumen Diario'!$K$5:$K$504, '📅 Resumen Diario'!$B$5:$B$504, B2132, '📅 Resumen Diario'!$C$5:$C$504, D2132), 0))</f>
        <v/>
      </c>
      <c r="M2132" s="31" t="str">
        <f t="shared" si="234"/>
        <v/>
      </c>
      <c r="N2132" s="31" t="str">
        <f t="shared" si="235"/>
        <v/>
      </c>
      <c r="O2132" s="31" t="str">
        <f>IF(OR(B2132="",C2132=""),"",K2132-N2132 + IFERROR(E2132 / SUMIFS('📅 Resumen Diario'!$D$5:$D$504, '📅 Resumen Diario'!$B$5:$B$504, B2132, '📅 Resumen Diario'!$C$5:$C$504, D2132) * (SUMIFS('📋 Detalle Diario'!$E$5:$E$489, '📋 Detalle Diario'!$B$5:$B$489, B2132, '📋 Detalle Diario'!$C$5:$C$489, D2132) * 135 + SUMIFS('📋 Detalle Diario'!$I$5:$I$489, '📋 Detalle Diario'!$B$5:$B$489, B2132, '📋 Detalle Diario'!$C$5:$C$489, D2132) * 200), 0))</f>
        <v/>
      </c>
      <c r="P2132" s="32" t="str">
        <f t="shared" si="236"/>
        <v/>
      </c>
      <c r="Q2132" s="33" t="str">
        <f t="shared" si="237"/>
        <v/>
      </c>
    </row>
    <row r="2133" spans="2:17" ht="18" customHeight="1" x14ac:dyDescent="0.3">
      <c r="B2133" s="26"/>
      <c r="C2133" s="28"/>
      <c r="D2133" s="27"/>
      <c r="E2133" s="29"/>
      <c r="F2133" s="29"/>
      <c r="G2133" s="29"/>
      <c r="H2133" s="30" t="str">
        <f t="shared" si="231"/>
        <v/>
      </c>
      <c r="I2133" s="31" t="str">
        <f>IF(OR(B2133="",C2133=""),"",IFERROR(E2133*IF(E2133="",0,VLOOKUP(C2133,'📦 Precios Proforma'!$B$5:$D$104,IF(D2133="DIA",2,3),FALSE)),0))</f>
        <v/>
      </c>
      <c r="J2133" s="31" t="str">
        <f t="shared" si="232"/>
        <v/>
      </c>
      <c r="K2133" s="31" t="str">
        <f t="shared" si="233"/>
        <v/>
      </c>
      <c r="L2133" s="31" t="str">
        <f>IF(OR(B2133="",C2133=""),"",IFERROR(E2133 / SUMIFS('📅 Resumen Diario'!$D$5:$D$504, '📅 Resumen Diario'!$B$5:$B$504, B2133, '📅 Resumen Diario'!$C$5:$C$504, D2133) * SUMIFS('📅 Resumen Diario'!$K$5:$K$504, '📅 Resumen Diario'!$B$5:$B$504, B2133, '📅 Resumen Diario'!$C$5:$C$504, D2133), 0))</f>
        <v/>
      </c>
      <c r="M2133" s="31" t="str">
        <f t="shared" si="234"/>
        <v/>
      </c>
      <c r="N2133" s="31" t="str">
        <f t="shared" si="235"/>
        <v/>
      </c>
      <c r="O2133" s="31" t="str">
        <f>IF(OR(B2133="",C2133=""),"",K2133-N2133 + IFERROR(E2133 / SUMIFS('📅 Resumen Diario'!$D$5:$D$504, '📅 Resumen Diario'!$B$5:$B$504, B2133, '📅 Resumen Diario'!$C$5:$C$504, D2133) * (SUMIFS('📋 Detalle Diario'!$E$5:$E$489, '📋 Detalle Diario'!$B$5:$B$489, B2133, '📋 Detalle Diario'!$C$5:$C$489, D2133) * 135 + SUMIFS('📋 Detalle Diario'!$I$5:$I$489, '📋 Detalle Diario'!$B$5:$B$489, B2133, '📋 Detalle Diario'!$C$5:$C$489, D2133) * 200), 0))</f>
        <v/>
      </c>
      <c r="P2133" s="32" t="str">
        <f t="shared" si="236"/>
        <v/>
      </c>
      <c r="Q2133" s="33" t="str">
        <f t="shared" si="237"/>
        <v/>
      </c>
    </row>
    <row r="2134" spans="2:17" ht="18" customHeight="1" x14ac:dyDescent="0.3">
      <c r="B2134" s="26"/>
      <c r="C2134" s="17"/>
      <c r="D2134" s="27"/>
      <c r="E2134" s="18"/>
      <c r="F2134" s="18"/>
      <c r="G2134" s="18"/>
      <c r="H2134" s="30" t="str">
        <f t="shared" si="231"/>
        <v/>
      </c>
      <c r="I2134" s="31" t="str">
        <f>IF(OR(B2134="",C2134=""),"",IFERROR(E2134*IF(E2134="",0,VLOOKUP(C2134,'📦 Precios Proforma'!$B$5:$D$104,IF(D2134="DIA",2,3),FALSE)),0))</f>
        <v/>
      </c>
      <c r="J2134" s="31" t="str">
        <f t="shared" si="232"/>
        <v/>
      </c>
      <c r="K2134" s="31" t="str">
        <f t="shared" si="233"/>
        <v/>
      </c>
      <c r="L2134" s="31" t="str">
        <f>IF(OR(B2134="",C2134=""),"",IFERROR(E2134 / SUMIFS('📅 Resumen Diario'!$D$5:$D$504, '📅 Resumen Diario'!$B$5:$B$504, B2134, '📅 Resumen Diario'!$C$5:$C$504, D2134) * SUMIFS('📅 Resumen Diario'!$K$5:$K$504, '📅 Resumen Diario'!$B$5:$B$504, B2134, '📅 Resumen Diario'!$C$5:$C$504, D2134), 0))</f>
        <v/>
      </c>
      <c r="M2134" s="31" t="str">
        <f t="shared" si="234"/>
        <v/>
      </c>
      <c r="N2134" s="31" t="str">
        <f t="shared" si="235"/>
        <v/>
      </c>
      <c r="O2134" s="31" t="str">
        <f>IF(OR(B2134="",C2134=""),"",K2134-N2134 + IFERROR(E2134 / SUMIFS('📅 Resumen Diario'!$D$5:$D$504, '📅 Resumen Diario'!$B$5:$B$504, B2134, '📅 Resumen Diario'!$C$5:$C$504, D2134) * (SUMIFS('📋 Detalle Diario'!$E$5:$E$489, '📋 Detalle Diario'!$B$5:$B$489, B2134, '📋 Detalle Diario'!$C$5:$C$489, D2134) * 135 + SUMIFS('📋 Detalle Diario'!$I$5:$I$489, '📋 Detalle Diario'!$B$5:$B$489, B2134, '📋 Detalle Diario'!$C$5:$C$489, D2134) * 200), 0))</f>
        <v/>
      </c>
      <c r="P2134" s="32" t="str">
        <f t="shared" si="236"/>
        <v/>
      </c>
      <c r="Q2134" s="33" t="str">
        <f t="shared" si="237"/>
        <v/>
      </c>
    </row>
    <row r="2135" spans="2:17" ht="18" customHeight="1" x14ac:dyDescent="0.3">
      <c r="B2135" s="26"/>
      <c r="C2135" s="28"/>
      <c r="D2135" s="27"/>
      <c r="E2135" s="29"/>
      <c r="F2135" s="29"/>
      <c r="G2135" s="29"/>
      <c r="H2135" s="30" t="str">
        <f t="shared" si="231"/>
        <v/>
      </c>
      <c r="I2135" s="31" t="str">
        <f>IF(OR(B2135="",C2135=""),"",IFERROR(E2135*IF(E2135="",0,VLOOKUP(C2135,'📦 Precios Proforma'!$B$5:$D$104,IF(D2135="DIA",2,3),FALSE)),0))</f>
        <v/>
      </c>
      <c r="J2135" s="31" t="str">
        <f t="shared" si="232"/>
        <v/>
      </c>
      <c r="K2135" s="31" t="str">
        <f t="shared" si="233"/>
        <v/>
      </c>
      <c r="L2135" s="31" t="str">
        <f>IF(OR(B2135="",C2135=""),"",IFERROR(E2135 / SUMIFS('📅 Resumen Diario'!$D$5:$D$504, '📅 Resumen Diario'!$B$5:$B$504, B2135, '📅 Resumen Diario'!$C$5:$C$504, D2135) * SUMIFS('📅 Resumen Diario'!$K$5:$K$504, '📅 Resumen Diario'!$B$5:$B$504, B2135, '📅 Resumen Diario'!$C$5:$C$504, D2135), 0))</f>
        <v/>
      </c>
      <c r="M2135" s="31" t="str">
        <f t="shared" si="234"/>
        <v/>
      </c>
      <c r="N2135" s="31" t="str">
        <f t="shared" si="235"/>
        <v/>
      </c>
      <c r="O2135" s="31" t="str">
        <f>IF(OR(B2135="",C2135=""),"",K2135-N2135 + IFERROR(E2135 / SUMIFS('📅 Resumen Diario'!$D$5:$D$504, '📅 Resumen Diario'!$B$5:$B$504, B2135, '📅 Resumen Diario'!$C$5:$C$504, D2135) * (SUMIFS('📋 Detalle Diario'!$E$5:$E$489, '📋 Detalle Diario'!$B$5:$B$489, B2135, '📋 Detalle Diario'!$C$5:$C$489, D2135) * 135 + SUMIFS('📋 Detalle Diario'!$I$5:$I$489, '📋 Detalle Diario'!$B$5:$B$489, B2135, '📋 Detalle Diario'!$C$5:$C$489, D2135) * 200), 0))</f>
        <v/>
      </c>
      <c r="P2135" s="32" t="str">
        <f t="shared" si="236"/>
        <v/>
      </c>
      <c r="Q2135" s="33" t="str">
        <f t="shared" si="237"/>
        <v/>
      </c>
    </row>
    <row r="2136" spans="2:17" ht="18" customHeight="1" x14ac:dyDescent="0.3">
      <c r="B2136" s="26"/>
      <c r="C2136" s="17"/>
      <c r="D2136" s="27"/>
      <c r="E2136" s="18"/>
      <c r="F2136" s="18"/>
      <c r="G2136" s="18"/>
      <c r="H2136" s="30" t="str">
        <f t="shared" si="231"/>
        <v/>
      </c>
      <c r="I2136" s="31" t="str">
        <f>IF(OR(B2136="",C2136=""),"",IFERROR(E2136*IF(E2136="",0,VLOOKUP(C2136,'📦 Precios Proforma'!$B$5:$D$104,IF(D2136="DIA",2,3),FALSE)),0))</f>
        <v/>
      </c>
      <c r="J2136" s="31" t="str">
        <f t="shared" si="232"/>
        <v/>
      </c>
      <c r="K2136" s="31" t="str">
        <f t="shared" si="233"/>
        <v/>
      </c>
      <c r="L2136" s="31" t="str">
        <f>IF(OR(B2136="",C2136=""),"",IFERROR(E2136 / SUMIFS('📅 Resumen Diario'!$D$5:$D$504, '📅 Resumen Diario'!$B$5:$B$504, B2136, '📅 Resumen Diario'!$C$5:$C$504, D2136) * SUMIFS('📅 Resumen Diario'!$K$5:$K$504, '📅 Resumen Diario'!$B$5:$B$504, B2136, '📅 Resumen Diario'!$C$5:$C$504, D2136), 0))</f>
        <v/>
      </c>
      <c r="M2136" s="31" t="str">
        <f t="shared" si="234"/>
        <v/>
      </c>
      <c r="N2136" s="31" t="str">
        <f t="shared" si="235"/>
        <v/>
      </c>
      <c r="O2136" s="31" t="str">
        <f>IF(OR(B2136="",C2136=""),"",K2136-N2136 + IFERROR(E2136 / SUMIFS('📅 Resumen Diario'!$D$5:$D$504, '📅 Resumen Diario'!$B$5:$B$504, B2136, '📅 Resumen Diario'!$C$5:$C$504, D2136) * (SUMIFS('📋 Detalle Diario'!$E$5:$E$489, '📋 Detalle Diario'!$B$5:$B$489, B2136, '📋 Detalle Diario'!$C$5:$C$489, D2136) * 135 + SUMIFS('📋 Detalle Diario'!$I$5:$I$489, '📋 Detalle Diario'!$B$5:$B$489, B2136, '📋 Detalle Diario'!$C$5:$C$489, D2136) * 200), 0))</f>
        <v/>
      </c>
      <c r="P2136" s="32" t="str">
        <f t="shared" si="236"/>
        <v/>
      </c>
      <c r="Q2136" s="33" t="str">
        <f t="shared" si="237"/>
        <v/>
      </c>
    </row>
    <row r="2137" spans="2:17" ht="18" customHeight="1" x14ac:dyDescent="0.3">
      <c r="B2137" s="26"/>
      <c r="C2137" s="28"/>
      <c r="D2137" s="27"/>
      <c r="E2137" s="29"/>
      <c r="F2137" s="29"/>
      <c r="G2137" s="29"/>
      <c r="H2137" s="30" t="str">
        <f t="shared" si="231"/>
        <v/>
      </c>
      <c r="I2137" s="31" t="str">
        <f>IF(OR(B2137="",C2137=""),"",IFERROR(E2137*IF(E2137="",0,VLOOKUP(C2137,'📦 Precios Proforma'!$B$5:$D$104,IF(D2137="DIA",2,3),FALSE)),0))</f>
        <v/>
      </c>
      <c r="J2137" s="31" t="str">
        <f t="shared" si="232"/>
        <v/>
      </c>
      <c r="K2137" s="31" t="str">
        <f t="shared" si="233"/>
        <v/>
      </c>
      <c r="L2137" s="31" t="str">
        <f>IF(OR(B2137="",C2137=""),"",IFERROR(E2137 / SUMIFS('📅 Resumen Diario'!$D$5:$D$504, '📅 Resumen Diario'!$B$5:$B$504, B2137, '📅 Resumen Diario'!$C$5:$C$504, D2137) * SUMIFS('📅 Resumen Diario'!$K$5:$K$504, '📅 Resumen Diario'!$B$5:$B$504, B2137, '📅 Resumen Diario'!$C$5:$C$504, D2137), 0))</f>
        <v/>
      </c>
      <c r="M2137" s="31" t="str">
        <f t="shared" si="234"/>
        <v/>
      </c>
      <c r="N2137" s="31" t="str">
        <f t="shared" si="235"/>
        <v/>
      </c>
      <c r="O2137" s="31" t="str">
        <f>IF(OR(B2137="",C2137=""),"",K2137-N2137 + IFERROR(E2137 / SUMIFS('📅 Resumen Diario'!$D$5:$D$504, '📅 Resumen Diario'!$B$5:$B$504, B2137, '📅 Resumen Diario'!$C$5:$C$504, D2137) * (SUMIFS('📋 Detalle Diario'!$E$5:$E$489, '📋 Detalle Diario'!$B$5:$B$489, B2137, '📋 Detalle Diario'!$C$5:$C$489, D2137) * 135 + SUMIFS('📋 Detalle Diario'!$I$5:$I$489, '📋 Detalle Diario'!$B$5:$B$489, B2137, '📋 Detalle Diario'!$C$5:$C$489, D2137) * 200), 0))</f>
        <v/>
      </c>
      <c r="P2137" s="32" t="str">
        <f t="shared" si="236"/>
        <v/>
      </c>
      <c r="Q2137" s="33" t="str">
        <f t="shared" si="237"/>
        <v/>
      </c>
    </row>
    <row r="2138" spans="2:17" ht="18" customHeight="1" x14ac:dyDescent="0.3">
      <c r="B2138" s="26"/>
      <c r="C2138" s="17"/>
      <c r="D2138" s="27"/>
      <c r="E2138" s="18"/>
      <c r="F2138" s="18"/>
      <c r="G2138" s="18"/>
      <c r="H2138" s="30" t="str">
        <f t="shared" si="231"/>
        <v/>
      </c>
      <c r="I2138" s="31" t="str">
        <f>IF(OR(B2138="",C2138=""),"",IFERROR(E2138*IF(E2138="",0,VLOOKUP(C2138,'📦 Precios Proforma'!$B$5:$D$104,IF(D2138="DIA",2,3),FALSE)),0))</f>
        <v/>
      </c>
      <c r="J2138" s="31" t="str">
        <f t="shared" si="232"/>
        <v/>
      </c>
      <c r="K2138" s="31" t="str">
        <f t="shared" si="233"/>
        <v/>
      </c>
      <c r="L2138" s="31" t="str">
        <f>IF(OR(B2138="",C2138=""),"",IFERROR(E2138 / SUMIFS('📅 Resumen Diario'!$D$5:$D$504, '📅 Resumen Diario'!$B$5:$B$504, B2138, '📅 Resumen Diario'!$C$5:$C$504, D2138) * SUMIFS('📅 Resumen Diario'!$K$5:$K$504, '📅 Resumen Diario'!$B$5:$B$504, B2138, '📅 Resumen Diario'!$C$5:$C$504, D2138), 0))</f>
        <v/>
      </c>
      <c r="M2138" s="31" t="str">
        <f t="shared" si="234"/>
        <v/>
      </c>
      <c r="N2138" s="31" t="str">
        <f t="shared" si="235"/>
        <v/>
      </c>
      <c r="O2138" s="31" t="str">
        <f>IF(OR(B2138="",C2138=""),"",K2138-N2138 + IFERROR(E2138 / SUMIFS('📅 Resumen Diario'!$D$5:$D$504, '📅 Resumen Diario'!$B$5:$B$504, B2138, '📅 Resumen Diario'!$C$5:$C$504, D2138) * (SUMIFS('📋 Detalle Diario'!$E$5:$E$489, '📋 Detalle Diario'!$B$5:$B$489, B2138, '📋 Detalle Diario'!$C$5:$C$489, D2138) * 135 + SUMIFS('📋 Detalle Diario'!$I$5:$I$489, '📋 Detalle Diario'!$B$5:$B$489, B2138, '📋 Detalle Diario'!$C$5:$C$489, D2138) * 200), 0))</f>
        <v/>
      </c>
      <c r="P2138" s="32" t="str">
        <f t="shared" si="236"/>
        <v/>
      </c>
      <c r="Q2138" s="33" t="str">
        <f t="shared" si="237"/>
        <v/>
      </c>
    </row>
    <row r="2139" spans="2:17" ht="18" customHeight="1" x14ac:dyDescent="0.3">
      <c r="B2139" s="26"/>
      <c r="C2139" s="28"/>
      <c r="D2139" s="27"/>
      <c r="E2139" s="29"/>
      <c r="F2139" s="29"/>
      <c r="G2139" s="29"/>
      <c r="H2139" s="30" t="str">
        <f t="shared" si="231"/>
        <v/>
      </c>
      <c r="I2139" s="31" t="str">
        <f>IF(OR(B2139="",C2139=""),"",IFERROR(E2139*IF(E2139="",0,VLOOKUP(C2139,'📦 Precios Proforma'!$B$5:$D$104,IF(D2139="DIA",2,3),FALSE)),0))</f>
        <v/>
      </c>
      <c r="J2139" s="31" t="str">
        <f t="shared" si="232"/>
        <v/>
      </c>
      <c r="K2139" s="31" t="str">
        <f t="shared" si="233"/>
        <v/>
      </c>
      <c r="L2139" s="31" t="str">
        <f>IF(OR(B2139="",C2139=""),"",IFERROR(E2139 / SUMIFS('📅 Resumen Diario'!$D$5:$D$504, '📅 Resumen Diario'!$B$5:$B$504, B2139, '📅 Resumen Diario'!$C$5:$C$504, D2139) * SUMIFS('📅 Resumen Diario'!$K$5:$K$504, '📅 Resumen Diario'!$B$5:$B$504, B2139, '📅 Resumen Diario'!$C$5:$C$504, D2139), 0))</f>
        <v/>
      </c>
      <c r="M2139" s="31" t="str">
        <f t="shared" si="234"/>
        <v/>
      </c>
      <c r="N2139" s="31" t="str">
        <f t="shared" si="235"/>
        <v/>
      </c>
      <c r="O2139" s="31" t="str">
        <f>IF(OR(B2139="",C2139=""),"",K2139-N2139 + IFERROR(E2139 / SUMIFS('📅 Resumen Diario'!$D$5:$D$504, '📅 Resumen Diario'!$B$5:$B$504, B2139, '📅 Resumen Diario'!$C$5:$C$504, D2139) * (SUMIFS('📋 Detalle Diario'!$E$5:$E$489, '📋 Detalle Diario'!$B$5:$B$489, B2139, '📋 Detalle Diario'!$C$5:$C$489, D2139) * 135 + SUMIFS('📋 Detalle Diario'!$I$5:$I$489, '📋 Detalle Diario'!$B$5:$B$489, B2139, '📋 Detalle Diario'!$C$5:$C$489, D2139) * 200), 0))</f>
        <v/>
      </c>
      <c r="P2139" s="32" t="str">
        <f t="shared" si="236"/>
        <v/>
      </c>
      <c r="Q2139" s="33" t="str">
        <f t="shared" si="237"/>
        <v/>
      </c>
    </row>
    <row r="2140" spans="2:17" ht="18" customHeight="1" x14ac:dyDescent="0.3">
      <c r="B2140" s="26"/>
      <c r="C2140" s="17"/>
      <c r="D2140" s="27"/>
      <c r="E2140" s="18"/>
      <c r="F2140" s="18"/>
      <c r="G2140" s="18"/>
      <c r="H2140" s="30" t="str">
        <f t="shared" si="231"/>
        <v/>
      </c>
      <c r="I2140" s="31" t="str">
        <f>IF(OR(B2140="",C2140=""),"",IFERROR(E2140*IF(E2140="",0,VLOOKUP(C2140,'📦 Precios Proforma'!$B$5:$D$104,IF(D2140="DIA",2,3),FALSE)),0))</f>
        <v/>
      </c>
      <c r="J2140" s="31" t="str">
        <f t="shared" si="232"/>
        <v/>
      </c>
      <c r="K2140" s="31" t="str">
        <f t="shared" si="233"/>
        <v/>
      </c>
      <c r="L2140" s="31" t="str">
        <f>IF(OR(B2140="",C2140=""),"",IFERROR(E2140 / SUMIFS('📅 Resumen Diario'!$D$5:$D$504, '📅 Resumen Diario'!$B$5:$B$504, B2140, '📅 Resumen Diario'!$C$5:$C$504, D2140) * SUMIFS('📅 Resumen Diario'!$K$5:$K$504, '📅 Resumen Diario'!$B$5:$B$504, B2140, '📅 Resumen Diario'!$C$5:$C$504, D2140), 0))</f>
        <v/>
      </c>
      <c r="M2140" s="31" t="str">
        <f t="shared" si="234"/>
        <v/>
      </c>
      <c r="N2140" s="31" t="str">
        <f t="shared" si="235"/>
        <v/>
      </c>
      <c r="O2140" s="31" t="str">
        <f>IF(OR(B2140="",C2140=""),"",K2140-N2140 + IFERROR(E2140 / SUMIFS('📅 Resumen Diario'!$D$5:$D$504, '📅 Resumen Diario'!$B$5:$B$504, B2140, '📅 Resumen Diario'!$C$5:$C$504, D2140) * (SUMIFS('📋 Detalle Diario'!$E$5:$E$489, '📋 Detalle Diario'!$B$5:$B$489, B2140, '📋 Detalle Diario'!$C$5:$C$489, D2140) * 135 + SUMIFS('📋 Detalle Diario'!$I$5:$I$489, '📋 Detalle Diario'!$B$5:$B$489, B2140, '📋 Detalle Diario'!$C$5:$C$489, D2140) * 200), 0))</f>
        <v/>
      </c>
      <c r="P2140" s="32" t="str">
        <f t="shared" si="236"/>
        <v/>
      </c>
      <c r="Q2140" s="33" t="str">
        <f t="shared" si="237"/>
        <v/>
      </c>
    </row>
    <row r="2141" spans="2:17" ht="18" customHeight="1" x14ac:dyDescent="0.3">
      <c r="B2141" s="26"/>
      <c r="C2141" s="28"/>
      <c r="D2141" s="27"/>
      <c r="E2141" s="29"/>
      <c r="F2141" s="29"/>
      <c r="G2141" s="29"/>
      <c r="H2141" s="30" t="str">
        <f t="shared" si="231"/>
        <v/>
      </c>
      <c r="I2141" s="31" t="str">
        <f>IF(OR(B2141="",C2141=""),"",IFERROR(E2141*IF(E2141="",0,VLOOKUP(C2141,'📦 Precios Proforma'!$B$5:$D$104,IF(D2141="DIA",2,3),FALSE)),0))</f>
        <v/>
      </c>
      <c r="J2141" s="31" t="str">
        <f t="shared" si="232"/>
        <v/>
      </c>
      <c r="K2141" s="31" t="str">
        <f t="shared" si="233"/>
        <v/>
      </c>
      <c r="L2141" s="31" t="str">
        <f>IF(OR(B2141="",C2141=""),"",IFERROR(E2141 / SUMIFS('📅 Resumen Diario'!$D$5:$D$504, '📅 Resumen Diario'!$B$5:$B$504, B2141, '📅 Resumen Diario'!$C$5:$C$504, D2141) * SUMIFS('📅 Resumen Diario'!$K$5:$K$504, '📅 Resumen Diario'!$B$5:$B$504, B2141, '📅 Resumen Diario'!$C$5:$C$504, D2141), 0))</f>
        <v/>
      </c>
      <c r="M2141" s="31" t="str">
        <f t="shared" si="234"/>
        <v/>
      </c>
      <c r="N2141" s="31" t="str">
        <f t="shared" si="235"/>
        <v/>
      </c>
      <c r="O2141" s="31" t="str">
        <f>IF(OR(B2141="",C2141=""),"",K2141-N2141 + IFERROR(E2141 / SUMIFS('📅 Resumen Diario'!$D$5:$D$504, '📅 Resumen Diario'!$B$5:$B$504, B2141, '📅 Resumen Diario'!$C$5:$C$504, D2141) * (SUMIFS('📋 Detalle Diario'!$E$5:$E$489, '📋 Detalle Diario'!$B$5:$B$489, B2141, '📋 Detalle Diario'!$C$5:$C$489, D2141) * 135 + SUMIFS('📋 Detalle Diario'!$I$5:$I$489, '📋 Detalle Diario'!$B$5:$B$489, B2141, '📋 Detalle Diario'!$C$5:$C$489, D2141) * 200), 0))</f>
        <v/>
      </c>
      <c r="P2141" s="32" t="str">
        <f t="shared" si="236"/>
        <v/>
      </c>
      <c r="Q2141" s="33" t="str">
        <f t="shared" si="237"/>
        <v/>
      </c>
    </row>
    <row r="2142" spans="2:17" ht="18" customHeight="1" x14ac:dyDescent="0.3">
      <c r="B2142" s="26"/>
      <c r="C2142" s="17"/>
      <c r="D2142" s="27"/>
      <c r="E2142" s="18"/>
      <c r="F2142" s="18"/>
      <c r="G2142" s="18"/>
      <c r="H2142" s="30" t="str">
        <f t="shared" si="231"/>
        <v/>
      </c>
      <c r="I2142" s="31" t="str">
        <f>IF(OR(B2142="",C2142=""),"",IFERROR(E2142*IF(E2142="",0,VLOOKUP(C2142,'📦 Precios Proforma'!$B$5:$D$104,IF(D2142="DIA",2,3),FALSE)),0))</f>
        <v/>
      </c>
      <c r="J2142" s="31" t="str">
        <f t="shared" si="232"/>
        <v/>
      </c>
      <c r="K2142" s="31" t="str">
        <f t="shared" si="233"/>
        <v/>
      </c>
      <c r="L2142" s="31" t="str">
        <f>IF(OR(B2142="",C2142=""),"",IFERROR(E2142 / SUMIFS('📅 Resumen Diario'!$D$5:$D$504, '📅 Resumen Diario'!$B$5:$B$504, B2142, '📅 Resumen Diario'!$C$5:$C$504, D2142) * SUMIFS('📅 Resumen Diario'!$K$5:$K$504, '📅 Resumen Diario'!$B$5:$B$504, B2142, '📅 Resumen Diario'!$C$5:$C$504, D2142), 0))</f>
        <v/>
      </c>
      <c r="M2142" s="31" t="str">
        <f t="shared" si="234"/>
        <v/>
      </c>
      <c r="N2142" s="31" t="str">
        <f t="shared" si="235"/>
        <v/>
      </c>
      <c r="O2142" s="31" t="str">
        <f>IF(OR(B2142="",C2142=""),"",K2142-N2142 + IFERROR(E2142 / SUMIFS('📅 Resumen Diario'!$D$5:$D$504, '📅 Resumen Diario'!$B$5:$B$504, B2142, '📅 Resumen Diario'!$C$5:$C$504, D2142) * (SUMIFS('📋 Detalle Diario'!$E$5:$E$489, '📋 Detalle Diario'!$B$5:$B$489, B2142, '📋 Detalle Diario'!$C$5:$C$489, D2142) * 135 + SUMIFS('📋 Detalle Diario'!$I$5:$I$489, '📋 Detalle Diario'!$B$5:$B$489, B2142, '📋 Detalle Diario'!$C$5:$C$489, D2142) * 200), 0))</f>
        <v/>
      </c>
      <c r="P2142" s="32" t="str">
        <f t="shared" si="236"/>
        <v/>
      </c>
      <c r="Q2142" s="33" t="str">
        <f t="shared" si="237"/>
        <v/>
      </c>
    </row>
    <row r="2143" spans="2:17" ht="18" customHeight="1" x14ac:dyDescent="0.3">
      <c r="B2143" s="26"/>
      <c r="C2143" s="28"/>
      <c r="D2143" s="27"/>
      <c r="E2143" s="29"/>
      <c r="F2143" s="29"/>
      <c r="G2143" s="29"/>
      <c r="H2143" s="30" t="str">
        <f t="shared" si="231"/>
        <v/>
      </c>
      <c r="I2143" s="31" t="str">
        <f>IF(OR(B2143="",C2143=""),"",IFERROR(E2143*IF(E2143="",0,VLOOKUP(C2143,'📦 Precios Proforma'!$B$5:$D$104,IF(D2143="DIA",2,3),FALSE)),0))</f>
        <v/>
      </c>
      <c r="J2143" s="31" t="str">
        <f t="shared" si="232"/>
        <v/>
      </c>
      <c r="K2143" s="31" t="str">
        <f t="shared" si="233"/>
        <v/>
      </c>
      <c r="L2143" s="31" t="str">
        <f>IF(OR(B2143="",C2143=""),"",IFERROR(E2143 / SUMIFS('📅 Resumen Diario'!$D$5:$D$504, '📅 Resumen Diario'!$B$5:$B$504, B2143, '📅 Resumen Diario'!$C$5:$C$504, D2143) * SUMIFS('📅 Resumen Diario'!$K$5:$K$504, '📅 Resumen Diario'!$B$5:$B$504, B2143, '📅 Resumen Diario'!$C$5:$C$504, D2143), 0))</f>
        <v/>
      </c>
      <c r="M2143" s="31" t="str">
        <f t="shared" si="234"/>
        <v/>
      </c>
      <c r="N2143" s="31" t="str">
        <f t="shared" si="235"/>
        <v/>
      </c>
      <c r="O2143" s="31" t="str">
        <f>IF(OR(B2143="",C2143=""),"",K2143-N2143 + IFERROR(E2143 / SUMIFS('📅 Resumen Diario'!$D$5:$D$504, '📅 Resumen Diario'!$B$5:$B$504, B2143, '📅 Resumen Diario'!$C$5:$C$504, D2143) * (SUMIFS('📋 Detalle Diario'!$E$5:$E$489, '📋 Detalle Diario'!$B$5:$B$489, B2143, '📋 Detalle Diario'!$C$5:$C$489, D2143) * 135 + SUMIFS('📋 Detalle Diario'!$I$5:$I$489, '📋 Detalle Diario'!$B$5:$B$489, B2143, '📋 Detalle Diario'!$C$5:$C$489, D2143) * 200), 0))</f>
        <v/>
      </c>
      <c r="P2143" s="32" t="str">
        <f t="shared" si="236"/>
        <v/>
      </c>
      <c r="Q2143" s="33" t="str">
        <f t="shared" si="237"/>
        <v/>
      </c>
    </row>
    <row r="2144" spans="2:17" ht="18" customHeight="1" x14ac:dyDescent="0.3">
      <c r="B2144" s="26"/>
      <c r="C2144" s="17"/>
      <c r="D2144" s="27"/>
      <c r="E2144" s="18"/>
      <c r="F2144" s="18"/>
      <c r="G2144" s="18"/>
      <c r="H2144" s="30" t="str">
        <f t="shared" si="231"/>
        <v/>
      </c>
      <c r="I2144" s="31" t="str">
        <f>IF(OR(B2144="",C2144=""),"",IFERROR(E2144*IF(E2144="",0,VLOOKUP(C2144,'📦 Precios Proforma'!$B$5:$D$104,IF(D2144="DIA",2,3),FALSE)),0))</f>
        <v/>
      </c>
      <c r="J2144" s="31" t="str">
        <f t="shared" si="232"/>
        <v/>
      </c>
      <c r="K2144" s="31" t="str">
        <f t="shared" si="233"/>
        <v/>
      </c>
      <c r="L2144" s="31" t="str">
        <f>IF(OR(B2144="",C2144=""),"",IFERROR(E2144 / SUMIFS('📅 Resumen Diario'!$D$5:$D$504, '📅 Resumen Diario'!$B$5:$B$504, B2144, '📅 Resumen Diario'!$C$5:$C$504, D2144) * SUMIFS('📅 Resumen Diario'!$K$5:$K$504, '📅 Resumen Diario'!$B$5:$B$504, B2144, '📅 Resumen Diario'!$C$5:$C$504, D2144), 0))</f>
        <v/>
      </c>
      <c r="M2144" s="31" t="str">
        <f t="shared" si="234"/>
        <v/>
      </c>
      <c r="N2144" s="31" t="str">
        <f t="shared" si="235"/>
        <v/>
      </c>
      <c r="O2144" s="31" t="str">
        <f>IF(OR(B2144="",C2144=""),"",K2144-N2144 + IFERROR(E2144 / SUMIFS('📅 Resumen Diario'!$D$5:$D$504, '📅 Resumen Diario'!$B$5:$B$504, B2144, '📅 Resumen Diario'!$C$5:$C$504, D2144) * (SUMIFS('📋 Detalle Diario'!$E$5:$E$489, '📋 Detalle Diario'!$B$5:$B$489, B2144, '📋 Detalle Diario'!$C$5:$C$489, D2144) * 135 + SUMIFS('📋 Detalle Diario'!$I$5:$I$489, '📋 Detalle Diario'!$B$5:$B$489, B2144, '📋 Detalle Diario'!$C$5:$C$489, D2144) * 200), 0))</f>
        <v/>
      </c>
      <c r="P2144" s="32" t="str">
        <f t="shared" si="236"/>
        <v/>
      </c>
      <c r="Q2144" s="33" t="str">
        <f t="shared" si="237"/>
        <v/>
      </c>
    </row>
    <row r="2145" spans="2:17" ht="18" customHeight="1" x14ac:dyDescent="0.3">
      <c r="B2145" s="26"/>
      <c r="C2145" s="28"/>
      <c r="D2145" s="27"/>
      <c r="E2145" s="29"/>
      <c r="F2145" s="29"/>
      <c r="G2145" s="29"/>
      <c r="H2145" s="30" t="str">
        <f t="shared" si="231"/>
        <v/>
      </c>
      <c r="I2145" s="31" t="str">
        <f>IF(OR(B2145="",C2145=""),"",IFERROR(E2145*IF(E2145="",0,VLOOKUP(C2145,'📦 Precios Proforma'!$B$5:$D$104,IF(D2145="DIA",2,3),FALSE)),0))</f>
        <v/>
      </c>
      <c r="J2145" s="31" t="str">
        <f t="shared" si="232"/>
        <v/>
      </c>
      <c r="K2145" s="31" t="str">
        <f t="shared" si="233"/>
        <v/>
      </c>
      <c r="L2145" s="31" t="str">
        <f>IF(OR(B2145="",C2145=""),"",IFERROR(E2145 / SUMIFS('📅 Resumen Diario'!$D$5:$D$504, '📅 Resumen Diario'!$B$5:$B$504, B2145, '📅 Resumen Diario'!$C$5:$C$504, D2145) * SUMIFS('📅 Resumen Diario'!$K$5:$K$504, '📅 Resumen Diario'!$B$5:$B$504, B2145, '📅 Resumen Diario'!$C$5:$C$504, D2145), 0))</f>
        <v/>
      </c>
      <c r="M2145" s="31" t="str">
        <f t="shared" si="234"/>
        <v/>
      </c>
      <c r="N2145" s="31" t="str">
        <f t="shared" si="235"/>
        <v/>
      </c>
      <c r="O2145" s="31" t="str">
        <f>IF(OR(B2145="",C2145=""),"",K2145-N2145 + IFERROR(E2145 / SUMIFS('📅 Resumen Diario'!$D$5:$D$504, '📅 Resumen Diario'!$B$5:$B$504, B2145, '📅 Resumen Diario'!$C$5:$C$504, D2145) * (SUMIFS('📋 Detalle Diario'!$E$5:$E$489, '📋 Detalle Diario'!$B$5:$B$489, B2145, '📋 Detalle Diario'!$C$5:$C$489, D2145) * 135 + SUMIFS('📋 Detalle Diario'!$I$5:$I$489, '📋 Detalle Diario'!$B$5:$B$489, B2145, '📋 Detalle Diario'!$C$5:$C$489, D2145) * 200), 0))</f>
        <v/>
      </c>
      <c r="P2145" s="32" t="str">
        <f t="shared" si="236"/>
        <v/>
      </c>
      <c r="Q2145" s="33" t="str">
        <f t="shared" si="237"/>
        <v/>
      </c>
    </row>
    <row r="2146" spans="2:17" ht="18" customHeight="1" x14ac:dyDescent="0.3">
      <c r="B2146" s="26"/>
      <c r="C2146" s="17"/>
      <c r="D2146" s="27"/>
      <c r="E2146" s="18"/>
      <c r="F2146" s="18"/>
      <c r="G2146" s="18"/>
      <c r="H2146" s="30" t="str">
        <f t="shared" si="231"/>
        <v/>
      </c>
      <c r="I2146" s="31" t="str">
        <f>IF(OR(B2146="",C2146=""),"",IFERROR(E2146*IF(E2146="",0,VLOOKUP(C2146,'📦 Precios Proforma'!$B$5:$D$104,IF(D2146="DIA",2,3),FALSE)),0))</f>
        <v/>
      </c>
      <c r="J2146" s="31" t="str">
        <f t="shared" si="232"/>
        <v/>
      </c>
      <c r="K2146" s="31" t="str">
        <f t="shared" si="233"/>
        <v/>
      </c>
      <c r="L2146" s="31" t="str">
        <f>IF(OR(B2146="",C2146=""),"",IFERROR(E2146 / SUMIFS('📅 Resumen Diario'!$D$5:$D$504, '📅 Resumen Diario'!$B$5:$B$504, B2146, '📅 Resumen Diario'!$C$5:$C$504, D2146) * SUMIFS('📅 Resumen Diario'!$K$5:$K$504, '📅 Resumen Diario'!$B$5:$B$504, B2146, '📅 Resumen Diario'!$C$5:$C$504, D2146), 0))</f>
        <v/>
      </c>
      <c r="M2146" s="31" t="str">
        <f t="shared" si="234"/>
        <v/>
      </c>
      <c r="N2146" s="31" t="str">
        <f t="shared" si="235"/>
        <v/>
      </c>
      <c r="O2146" s="31" t="str">
        <f>IF(OR(B2146="",C2146=""),"",K2146-N2146 + IFERROR(E2146 / SUMIFS('📅 Resumen Diario'!$D$5:$D$504, '📅 Resumen Diario'!$B$5:$B$504, B2146, '📅 Resumen Diario'!$C$5:$C$504, D2146) * (SUMIFS('📋 Detalle Diario'!$E$5:$E$489, '📋 Detalle Diario'!$B$5:$B$489, B2146, '📋 Detalle Diario'!$C$5:$C$489, D2146) * 135 + SUMIFS('📋 Detalle Diario'!$I$5:$I$489, '📋 Detalle Diario'!$B$5:$B$489, B2146, '📋 Detalle Diario'!$C$5:$C$489, D2146) * 200), 0))</f>
        <v/>
      </c>
      <c r="P2146" s="32" t="str">
        <f t="shared" si="236"/>
        <v/>
      </c>
      <c r="Q2146" s="33" t="str">
        <f t="shared" si="237"/>
        <v/>
      </c>
    </row>
    <row r="2147" spans="2:17" ht="18" customHeight="1" x14ac:dyDescent="0.3">
      <c r="B2147" s="26"/>
      <c r="C2147" s="28"/>
      <c r="D2147" s="27"/>
      <c r="E2147" s="29"/>
      <c r="F2147" s="29"/>
      <c r="G2147" s="29"/>
      <c r="H2147" s="30" t="str">
        <f t="shared" si="231"/>
        <v/>
      </c>
      <c r="I2147" s="31" t="str">
        <f>IF(OR(B2147="",C2147=""),"",IFERROR(E2147*IF(E2147="",0,VLOOKUP(C2147,'📦 Precios Proforma'!$B$5:$D$104,IF(D2147="DIA",2,3),FALSE)),0))</f>
        <v/>
      </c>
      <c r="J2147" s="31" t="str">
        <f t="shared" si="232"/>
        <v/>
      </c>
      <c r="K2147" s="31" t="str">
        <f t="shared" si="233"/>
        <v/>
      </c>
      <c r="L2147" s="31" t="str">
        <f>IF(OR(B2147="",C2147=""),"",IFERROR(E2147 / SUMIFS('📅 Resumen Diario'!$D$5:$D$504, '📅 Resumen Diario'!$B$5:$B$504, B2147, '📅 Resumen Diario'!$C$5:$C$504, D2147) * SUMIFS('📅 Resumen Diario'!$K$5:$K$504, '📅 Resumen Diario'!$B$5:$B$504, B2147, '📅 Resumen Diario'!$C$5:$C$504, D2147), 0))</f>
        <v/>
      </c>
      <c r="M2147" s="31" t="str">
        <f t="shared" si="234"/>
        <v/>
      </c>
      <c r="N2147" s="31" t="str">
        <f t="shared" si="235"/>
        <v/>
      </c>
      <c r="O2147" s="31" t="str">
        <f>IF(OR(B2147="",C2147=""),"",K2147-N2147 + IFERROR(E2147 / SUMIFS('📅 Resumen Diario'!$D$5:$D$504, '📅 Resumen Diario'!$B$5:$B$504, B2147, '📅 Resumen Diario'!$C$5:$C$504, D2147) * (SUMIFS('📋 Detalle Diario'!$E$5:$E$489, '📋 Detalle Diario'!$B$5:$B$489, B2147, '📋 Detalle Diario'!$C$5:$C$489, D2147) * 135 + SUMIFS('📋 Detalle Diario'!$I$5:$I$489, '📋 Detalle Diario'!$B$5:$B$489, B2147, '📋 Detalle Diario'!$C$5:$C$489, D2147) * 200), 0))</f>
        <v/>
      </c>
      <c r="P2147" s="32" t="str">
        <f t="shared" si="236"/>
        <v/>
      </c>
      <c r="Q2147" s="33" t="str">
        <f t="shared" si="237"/>
        <v/>
      </c>
    </row>
    <row r="2148" spans="2:17" ht="18" customHeight="1" x14ac:dyDescent="0.3">
      <c r="B2148" s="26"/>
      <c r="C2148" s="17"/>
      <c r="D2148" s="27"/>
      <c r="E2148" s="18"/>
      <c r="F2148" s="18"/>
      <c r="G2148" s="18"/>
      <c r="H2148" s="30" t="str">
        <f t="shared" si="231"/>
        <v/>
      </c>
      <c r="I2148" s="31" t="str">
        <f>IF(OR(B2148="",C2148=""),"",IFERROR(E2148*IF(E2148="",0,VLOOKUP(C2148,'📦 Precios Proforma'!$B$5:$D$104,IF(D2148="DIA",2,3),FALSE)),0))</f>
        <v/>
      </c>
      <c r="J2148" s="31" t="str">
        <f t="shared" si="232"/>
        <v/>
      </c>
      <c r="K2148" s="31" t="str">
        <f t="shared" si="233"/>
        <v/>
      </c>
      <c r="L2148" s="31" t="str">
        <f>IF(OR(B2148="",C2148=""),"",IFERROR(E2148 / SUMIFS('📅 Resumen Diario'!$D$5:$D$504, '📅 Resumen Diario'!$B$5:$B$504, B2148, '📅 Resumen Diario'!$C$5:$C$504, D2148) * SUMIFS('📅 Resumen Diario'!$K$5:$K$504, '📅 Resumen Diario'!$B$5:$B$504, B2148, '📅 Resumen Diario'!$C$5:$C$504, D2148), 0))</f>
        <v/>
      </c>
      <c r="M2148" s="31" t="str">
        <f t="shared" si="234"/>
        <v/>
      </c>
      <c r="N2148" s="31" t="str">
        <f t="shared" si="235"/>
        <v/>
      </c>
      <c r="O2148" s="31" t="str">
        <f>IF(OR(B2148="",C2148=""),"",K2148-N2148 + IFERROR(E2148 / SUMIFS('📅 Resumen Diario'!$D$5:$D$504, '📅 Resumen Diario'!$B$5:$B$504, B2148, '📅 Resumen Diario'!$C$5:$C$504, D2148) * (SUMIFS('📋 Detalle Diario'!$E$5:$E$489, '📋 Detalle Diario'!$B$5:$B$489, B2148, '📋 Detalle Diario'!$C$5:$C$489, D2148) * 135 + SUMIFS('📋 Detalle Diario'!$I$5:$I$489, '📋 Detalle Diario'!$B$5:$B$489, B2148, '📋 Detalle Diario'!$C$5:$C$489, D2148) * 200), 0))</f>
        <v/>
      </c>
      <c r="P2148" s="32" t="str">
        <f t="shared" si="236"/>
        <v/>
      </c>
      <c r="Q2148" s="33" t="str">
        <f t="shared" si="237"/>
        <v/>
      </c>
    </row>
    <row r="2149" spans="2:17" ht="18" customHeight="1" x14ac:dyDescent="0.3">
      <c r="B2149" s="26"/>
      <c r="C2149" s="28"/>
      <c r="D2149" s="27"/>
      <c r="E2149" s="29"/>
      <c r="F2149" s="29"/>
      <c r="G2149" s="29"/>
      <c r="H2149" s="30" t="str">
        <f t="shared" si="231"/>
        <v/>
      </c>
      <c r="I2149" s="31" t="str">
        <f>IF(OR(B2149="",C2149=""),"",IFERROR(E2149*IF(E2149="",0,VLOOKUP(C2149,'📦 Precios Proforma'!$B$5:$D$104,IF(D2149="DIA",2,3),FALSE)),0))</f>
        <v/>
      </c>
      <c r="J2149" s="31" t="str">
        <f t="shared" si="232"/>
        <v/>
      </c>
      <c r="K2149" s="31" t="str">
        <f t="shared" si="233"/>
        <v/>
      </c>
      <c r="L2149" s="31" t="str">
        <f>IF(OR(B2149="",C2149=""),"",IFERROR(E2149 / SUMIFS('📅 Resumen Diario'!$D$5:$D$504, '📅 Resumen Diario'!$B$5:$B$504, B2149, '📅 Resumen Diario'!$C$5:$C$504, D2149) * SUMIFS('📅 Resumen Diario'!$K$5:$K$504, '📅 Resumen Diario'!$B$5:$B$504, B2149, '📅 Resumen Diario'!$C$5:$C$504, D2149), 0))</f>
        <v/>
      </c>
      <c r="M2149" s="31" t="str">
        <f t="shared" si="234"/>
        <v/>
      </c>
      <c r="N2149" s="31" t="str">
        <f t="shared" si="235"/>
        <v/>
      </c>
      <c r="O2149" s="31" t="str">
        <f>IF(OR(B2149="",C2149=""),"",K2149-N2149 + IFERROR(E2149 / SUMIFS('📅 Resumen Diario'!$D$5:$D$504, '📅 Resumen Diario'!$B$5:$B$504, B2149, '📅 Resumen Diario'!$C$5:$C$504, D2149) * (SUMIFS('📋 Detalle Diario'!$E$5:$E$489, '📋 Detalle Diario'!$B$5:$B$489, B2149, '📋 Detalle Diario'!$C$5:$C$489, D2149) * 135 + SUMIFS('📋 Detalle Diario'!$I$5:$I$489, '📋 Detalle Diario'!$B$5:$B$489, B2149, '📋 Detalle Diario'!$C$5:$C$489, D2149) * 200), 0))</f>
        <v/>
      </c>
      <c r="P2149" s="32" t="str">
        <f t="shared" si="236"/>
        <v/>
      </c>
      <c r="Q2149" s="33" t="str">
        <f t="shared" si="237"/>
        <v/>
      </c>
    </row>
    <row r="2150" spans="2:17" ht="18" customHeight="1" x14ac:dyDescent="0.3">
      <c r="B2150" s="26"/>
      <c r="C2150" s="17"/>
      <c r="D2150" s="27"/>
      <c r="E2150" s="18"/>
      <c r="F2150" s="18"/>
      <c r="G2150" s="18"/>
      <c r="H2150" s="30" t="str">
        <f t="shared" si="231"/>
        <v/>
      </c>
      <c r="I2150" s="31" t="str">
        <f>IF(OR(B2150="",C2150=""),"",IFERROR(E2150*IF(E2150="",0,VLOOKUP(C2150,'📦 Precios Proforma'!$B$5:$D$104,IF(D2150="DIA",2,3),FALSE)),0))</f>
        <v/>
      </c>
      <c r="J2150" s="31" t="str">
        <f t="shared" si="232"/>
        <v/>
      </c>
      <c r="K2150" s="31" t="str">
        <f t="shared" si="233"/>
        <v/>
      </c>
      <c r="L2150" s="31" t="str">
        <f>IF(OR(B2150="",C2150=""),"",IFERROR(E2150 / SUMIFS('📅 Resumen Diario'!$D$5:$D$504, '📅 Resumen Diario'!$B$5:$B$504, B2150, '📅 Resumen Diario'!$C$5:$C$504, D2150) * SUMIFS('📅 Resumen Diario'!$K$5:$K$504, '📅 Resumen Diario'!$B$5:$B$504, B2150, '📅 Resumen Diario'!$C$5:$C$504, D2150), 0))</f>
        <v/>
      </c>
      <c r="M2150" s="31" t="str">
        <f t="shared" si="234"/>
        <v/>
      </c>
      <c r="N2150" s="31" t="str">
        <f t="shared" si="235"/>
        <v/>
      </c>
      <c r="O2150" s="31" t="str">
        <f>IF(OR(B2150="",C2150=""),"",K2150-N2150 + IFERROR(E2150 / SUMIFS('📅 Resumen Diario'!$D$5:$D$504, '📅 Resumen Diario'!$B$5:$B$504, B2150, '📅 Resumen Diario'!$C$5:$C$504, D2150) * (SUMIFS('📋 Detalle Diario'!$E$5:$E$489, '📋 Detalle Diario'!$B$5:$B$489, B2150, '📋 Detalle Diario'!$C$5:$C$489, D2150) * 135 + SUMIFS('📋 Detalle Diario'!$I$5:$I$489, '📋 Detalle Diario'!$B$5:$B$489, B2150, '📋 Detalle Diario'!$C$5:$C$489, D2150) * 200), 0))</f>
        <v/>
      </c>
      <c r="P2150" s="32" t="str">
        <f t="shared" si="236"/>
        <v/>
      </c>
      <c r="Q2150" s="33" t="str">
        <f t="shared" si="237"/>
        <v/>
      </c>
    </row>
    <row r="2151" spans="2:17" ht="18" customHeight="1" x14ac:dyDescent="0.3">
      <c r="B2151" s="26"/>
      <c r="C2151" s="28"/>
      <c r="D2151" s="27"/>
      <c r="E2151" s="29"/>
      <c r="F2151" s="29"/>
      <c r="G2151" s="29"/>
      <c r="H2151" s="30" t="str">
        <f t="shared" si="231"/>
        <v/>
      </c>
      <c r="I2151" s="31" t="str">
        <f>IF(OR(B2151="",C2151=""),"",IFERROR(E2151*IF(E2151="",0,VLOOKUP(C2151,'📦 Precios Proforma'!$B$5:$D$104,IF(D2151="DIA",2,3),FALSE)),0))</f>
        <v/>
      </c>
      <c r="J2151" s="31" t="str">
        <f t="shared" si="232"/>
        <v/>
      </c>
      <c r="K2151" s="31" t="str">
        <f t="shared" si="233"/>
        <v/>
      </c>
      <c r="L2151" s="31" t="str">
        <f>IF(OR(B2151="",C2151=""),"",IFERROR(E2151 / SUMIFS('📅 Resumen Diario'!$D$5:$D$504, '📅 Resumen Diario'!$B$5:$B$504, B2151, '📅 Resumen Diario'!$C$5:$C$504, D2151) * SUMIFS('📅 Resumen Diario'!$K$5:$K$504, '📅 Resumen Diario'!$B$5:$B$504, B2151, '📅 Resumen Diario'!$C$5:$C$504, D2151), 0))</f>
        <v/>
      </c>
      <c r="M2151" s="31" t="str">
        <f t="shared" si="234"/>
        <v/>
      </c>
      <c r="N2151" s="31" t="str">
        <f t="shared" si="235"/>
        <v/>
      </c>
      <c r="O2151" s="31" t="str">
        <f>IF(OR(B2151="",C2151=""),"",K2151-N2151 + IFERROR(E2151 / SUMIFS('📅 Resumen Diario'!$D$5:$D$504, '📅 Resumen Diario'!$B$5:$B$504, B2151, '📅 Resumen Diario'!$C$5:$C$504, D2151) * (SUMIFS('📋 Detalle Diario'!$E$5:$E$489, '📋 Detalle Diario'!$B$5:$B$489, B2151, '📋 Detalle Diario'!$C$5:$C$489, D2151) * 135 + SUMIFS('📋 Detalle Diario'!$I$5:$I$489, '📋 Detalle Diario'!$B$5:$B$489, B2151, '📋 Detalle Diario'!$C$5:$C$489, D2151) * 200), 0))</f>
        <v/>
      </c>
      <c r="P2151" s="32" t="str">
        <f t="shared" si="236"/>
        <v/>
      </c>
      <c r="Q2151" s="33" t="str">
        <f t="shared" si="237"/>
        <v/>
      </c>
    </row>
    <row r="2152" spans="2:17" ht="18" customHeight="1" x14ac:dyDescent="0.3">
      <c r="B2152" s="26"/>
      <c r="C2152" s="17"/>
      <c r="D2152" s="27"/>
      <c r="E2152" s="18"/>
      <c r="F2152" s="18"/>
      <c r="G2152" s="18"/>
      <c r="H2152" s="30" t="str">
        <f t="shared" si="231"/>
        <v/>
      </c>
      <c r="I2152" s="31" t="str">
        <f>IF(OR(B2152="",C2152=""),"",IFERROR(E2152*IF(E2152="",0,VLOOKUP(C2152,'📦 Precios Proforma'!$B$5:$D$104,IF(D2152="DIA",2,3),FALSE)),0))</f>
        <v/>
      </c>
      <c r="J2152" s="31" t="str">
        <f t="shared" si="232"/>
        <v/>
      </c>
      <c r="K2152" s="31" t="str">
        <f t="shared" si="233"/>
        <v/>
      </c>
      <c r="L2152" s="31" t="str">
        <f>IF(OR(B2152="",C2152=""),"",IFERROR(E2152 / SUMIFS('📅 Resumen Diario'!$D$5:$D$504, '📅 Resumen Diario'!$B$5:$B$504, B2152, '📅 Resumen Diario'!$C$5:$C$504, D2152) * SUMIFS('📅 Resumen Diario'!$K$5:$K$504, '📅 Resumen Diario'!$B$5:$B$504, B2152, '📅 Resumen Diario'!$C$5:$C$504, D2152), 0))</f>
        <v/>
      </c>
      <c r="M2152" s="31" t="str">
        <f t="shared" si="234"/>
        <v/>
      </c>
      <c r="N2152" s="31" t="str">
        <f t="shared" si="235"/>
        <v/>
      </c>
      <c r="O2152" s="31" t="str">
        <f>IF(OR(B2152="",C2152=""),"",K2152-N2152 + IFERROR(E2152 / SUMIFS('📅 Resumen Diario'!$D$5:$D$504, '📅 Resumen Diario'!$B$5:$B$504, B2152, '📅 Resumen Diario'!$C$5:$C$504, D2152) * (SUMIFS('📋 Detalle Diario'!$E$5:$E$489, '📋 Detalle Diario'!$B$5:$B$489, B2152, '📋 Detalle Diario'!$C$5:$C$489, D2152) * 135 + SUMIFS('📋 Detalle Diario'!$I$5:$I$489, '📋 Detalle Diario'!$B$5:$B$489, B2152, '📋 Detalle Diario'!$C$5:$C$489, D2152) * 200), 0))</f>
        <v/>
      </c>
      <c r="P2152" s="32" t="str">
        <f t="shared" si="236"/>
        <v/>
      </c>
      <c r="Q2152" s="33" t="str">
        <f t="shared" si="237"/>
        <v/>
      </c>
    </row>
    <row r="2153" spans="2:17" ht="18" customHeight="1" x14ac:dyDescent="0.3">
      <c r="B2153" s="26"/>
      <c r="C2153" s="28"/>
      <c r="D2153" s="27"/>
      <c r="E2153" s="29"/>
      <c r="F2153" s="29"/>
      <c r="G2153" s="29"/>
      <c r="H2153" s="30" t="str">
        <f t="shared" si="231"/>
        <v/>
      </c>
      <c r="I2153" s="31" t="str">
        <f>IF(OR(B2153="",C2153=""),"",IFERROR(E2153*IF(E2153="",0,VLOOKUP(C2153,'📦 Precios Proforma'!$B$5:$D$104,IF(D2153="DIA",2,3),FALSE)),0))</f>
        <v/>
      </c>
      <c r="J2153" s="31" t="str">
        <f t="shared" si="232"/>
        <v/>
      </c>
      <c r="K2153" s="31" t="str">
        <f t="shared" si="233"/>
        <v/>
      </c>
      <c r="L2153" s="31" t="str">
        <f>IF(OR(B2153="",C2153=""),"",IFERROR(E2153 / SUMIFS('📅 Resumen Diario'!$D$5:$D$504, '📅 Resumen Diario'!$B$5:$B$504, B2153, '📅 Resumen Diario'!$C$5:$C$504, D2153) * SUMIFS('📅 Resumen Diario'!$K$5:$K$504, '📅 Resumen Diario'!$B$5:$B$504, B2153, '📅 Resumen Diario'!$C$5:$C$504, D2153), 0))</f>
        <v/>
      </c>
      <c r="M2153" s="31" t="str">
        <f t="shared" si="234"/>
        <v/>
      </c>
      <c r="N2153" s="31" t="str">
        <f t="shared" si="235"/>
        <v/>
      </c>
      <c r="O2153" s="31" t="str">
        <f>IF(OR(B2153="",C2153=""),"",K2153-N2153 + IFERROR(E2153 / SUMIFS('📅 Resumen Diario'!$D$5:$D$504, '📅 Resumen Diario'!$B$5:$B$504, B2153, '📅 Resumen Diario'!$C$5:$C$504, D2153) * (SUMIFS('📋 Detalle Diario'!$E$5:$E$489, '📋 Detalle Diario'!$B$5:$B$489, B2153, '📋 Detalle Diario'!$C$5:$C$489, D2153) * 135 + SUMIFS('📋 Detalle Diario'!$I$5:$I$489, '📋 Detalle Diario'!$B$5:$B$489, B2153, '📋 Detalle Diario'!$C$5:$C$489, D2153) * 200), 0))</f>
        <v/>
      </c>
      <c r="P2153" s="32" t="str">
        <f t="shared" si="236"/>
        <v/>
      </c>
      <c r="Q2153" s="33" t="str">
        <f t="shared" si="237"/>
        <v/>
      </c>
    </row>
    <row r="2154" spans="2:17" ht="18" customHeight="1" x14ac:dyDescent="0.3">
      <c r="B2154" s="26"/>
      <c r="C2154" s="17"/>
      <c r="D2154" s="27"/>
      <c r="E2154" s="18"/>
      <c r="F2154" s="18"/>
      <c r="G2154" s="18"/>
      <c r="H2154" s="30" t="str">
        <f t="shared" si="231"/>
        <v/>
      </c>
      <c r="I2154" s="31" t="str">
        <f>IF(OR(B2154="",C2154=""),"",IFERROR(E2154*IF(E2154="",0,VLOOKUP(C2154,'📦 Precios Proforma'!$B$5:$D$104,IF(D2154="DIA",2,3),FALSE)),0))</f>
        <v/>
      </c>
      <c r="J2154" s="31" t="str">
        <f t="shared" si="232"/>
        <v/>
      </c>
      <c r="K2154" s="31" t="str">
        <f t="shared" si="233"/>
        <v/>
      </c>
      <c r="L2154" s="31" t="str">
        <f>IF(OR(B2154="",C2154=""),"",IFERROR(E2154 / SUMIFS('📅 Resumen Diario'!$D$5:$D$504, '📅 Resumen Diario'!$B$5:$B$504, B2154, '📅 Resumen Diario'!$C$5:$C$504, D2154) * SUMIFS('📅 Resumen Diario'!$K$5:$K$504, '📅 Resumen Diario'!$B$5:$B$504, B2154, '📅 Resumen Diario'!$C$5:$C$504, D2154), 0))</f>
        <v/>
      </c>
      <c r="M2154" s="31" t="str">
        <f t="shared" si="234"/>
        <v/>
      </c>
      <c r="N2154" s="31" t="str">
        <f t="shared" si="235"/>
        <v/>
      </c>
      <c r="O2154" s="31" t="str">
        <f>IF(OR(B2154="",C2154=""),"",K2154-N2154 + IFERROR(E2154 / SUMIFS('📅 Resumen Diario'!$D$5:$D$504, '📅 Resumen Diario'!$B$5:$B$504, B2154, '📅 Resumen Diario'!$C$5:$C$504, D2154) * (SUMIFS('📋 Detalle Diario'!$E$5:$E$489, '📋 Detalle Diario'!$B$5:$B$489, B2154, '📋 Detalle Diario'!$C$5:$C$489, D2154) * 135 + SUMIFS('📋 Detalle Diario'!$I$5:$I$489, '📋 Detalle Diario'!$B$5:$B$489, B2154, '📋 Detalle Diario'!$C$5:$C$489, D2154) * 200), 0))</f>
        <v/>
      </c>
      <c r="P2154" s="32" t="str">
        <f t="shared" si="236"/>
        <v/>
      </c>
      <c r="Q2154" s="33" t="str">
        <f t="shared" si="237"/>
        <v/>
      </c>
    </row>
    <row r="2155" spans="2:17" ht="18" customHeight="1" x14ac:dyDescent="0.3">
      <c r="B2155" s="26"/>
      <c r="C2155" s="28"/>
      <c r="D2155" s="27"/>
      <c r="E2155" s="29"/>
      <c r="F2155" s="29"/>
      <c r="G2155" s="29"/>
      <c r="H2155" s="30" t="str">
        <f t="shared" si="231"/>
        <v/>
      </c>
      <c r="I2155" s="31" t="str">
        <f>IF(OR(B2155="",C2155=""),"",IFERROR(E2155*IF(E2155="",0,VLOOKUP(C2155,'📦 Precios Proforma'!$B$5:$D$104,IF(D2155="DIA",2,3),FALSE)),0))</f>
        <v/>
      </c>
      <c r="J2155" s="31" t="str">
        <f t="shared" si="232"/>
        <v/>
      </c>
      <c r="K2155" s="31" t="str">
        <f t="shared" si="233"/>
        <v/>
      </c>
      <c r="L2155" s="31" t="str">
        <f>IF(OR(B2155="",C2155=""),"",IFERROR(E2155 / SUMIFS('📅 Resumen Diario'!$D$5:$D$504, '📅 Resumen Diario'!$B$5:$B$504, B2155, '📅 Resumen Diario'!$C$5:$C$504, D2155) * SUMIFS('📅 Resumen Diario'!$K$5:$K$504, '📅 Resumen Diario'!$B$5:$B$504, B2155, '📅 Resumen Diario'!$C$5:$C$504, D2155), 0))</f>
        <v/>
      </c>
      <c r="M2155" s="31" t="str">
        <f t="shared" si="234"/>
        <v/>
      </c>
      <c r="N2155" s="31" t="str">
        <f t="shared" si="235"/>
        <v/>
      </c>
      <c r="O2155" s="31" t="str">
        <f>IF(OR(B2155="",C2155=""),"",K2155-N2155 + IFERROR(E2155 / SUMIFS('📅 Resumen Diario'!$D$5:$D$504, '📅 Resumen Diario'!$B$5:$B$504, B2155, '📅 Resumen Diario'!$C$5:$C$504, D2155) * (SUMIFS('📋 Detalle Diario'!$E$5:$E$489, '📋 Detalle Diario'!$B$5:$B$489, B2155, '📋 Detalle Diario'!$C$5:$C$489, D2155) * 135 + SUMIFS('📋 Detalle Diario'!$I$5:$I$489, '📋 Detalle Diario'!$B$5:$B$489, B2155, '📋 Detalle Diario'!$C$5:$C$489, D2155) * 200), 0))</f>
        <v/>
      </c>
      <c r="P2155" s="32" t="str">
        <f t="shared" si="236"/>
        <v/>
      </c>
      <c r="Q2155" s="33" t="str">
        <f t="shared" si="237"/>
        <v/>
      </c>
    </row>
    <row r="2156" spans="2:17" ht="18" customHeight="1" x14ac:dyDescent="0.3">
      <c r="B2156" s="26"/>
      <c r="C2156" s="17"/>
      <c r="D2156" s="27"/>
      <c r="E2156" s="18"/>
      <c r="F2156" s="18"/>
      <c r="G2156" s="18"/>
      <c r="H2156" s="30" t="str">
        <f t="shared" si="231"/>
        <v/>
      </c>
      <c r="I2156" s="31" t="str">
        <f>IF(OR(B2156="",C2156=""),"",IFERROR(E2156*IF(E2156="",0,VLOOKUP(C2156,'📦 Precios Proforma'!$B$5:$D$104,IF(D2156="DIA",2,3),FALSE)),0))</f>
        <v/>
      </c>
      <c r="J2156" s="31" t="str">
        <f t="shared" si="232"/>
        <v/>
      </c>
      <c r="K2156" s="31" t="str">
        <f t="shared" si="233"/>
        <v/>
      </c>
      <c r="L2156" s="31" t="str">
        <f>IF(OR(B2156="",C2156=""),"",IFERROR(E2156 / SUMIFS('📅 Resumen Diario'!$D$5:$D$504, '📅 Resumen Diario'!$B$5:$B$504, B2156, '📅 Resumen Diario'!$C$5:$C$504, D2156) * SUMIFS('📅 Resumen Diario'!$K$5:$K$504, '📅 Resumen Diario'!$B$5:$B$504, B2156, '📅 Resumen Diario'!$C$5:$C$504, D2156), 0))</f>
        <v/>
      </c>
      <c r="M2156" s="31" t="str">
        <f t="shared" si="234"/>
        <v/>
      </c>
      <c r="N2156" s="31" t="str">
        <f t="shared" si="235"/>
        <v/>
      </c>
      <c r="O2156" s="31" t="str">
        <f>IF(OR(B2156="",C2156=""),"",K2156-N2156 + IFERROR(E2156 / SUMIFS('📅 Resumen Diario'!$D$5:$D$504, '📅 Resumen Diario'!$B$5:$B$504, B2156, '📅 Resumen Diario'!$C$5:$C$504, D2156) * (SUMIFS('📋 Detalle Diario'!$E$5:$E$489, '📋 Detalle Diario'!$B$5:$B$489, B2156, '📋 Detalle Diario'!$C$5:$C$489, D2156) * 135 + SUMIFS('📋 Detalle Diario'!$I$5:$I$489, '📋 Detalle Diario'!$B$5:$B$489, B2156, '📋 Detalle Diario'!$C$5:$C$489, D2156) * 200), 0))</f>
        <v/>
      </c>
      <c r="P2156" s="32" t="str">
        <f t="shared" si="236"/>
        <v/>
      </c>
      <c r="Q2156" s="33" t="str">
        <f t="shared" si="237"/>
        <v/>
      </c>
    </row>
    <row r="2157" spans="2:17" ht="18" customHeight="1" x14ac:dyDescent="0.3">
      <c r="B2157" s="26"/>
      <c r="C2157" s="28"/>
      <c r="D2157" s="27"/>
      <c r="E2157" s="29"/>
      <c r="F2157" s="29"/>
      <c r="G2157" s="29"/>
      <c r="H2157" s="30" t="str">
        <f t="shared" si="231"/>
        <v/>
      </c>
      <c r="I2157" s="31" t="str">
        <f>IF(OR(B2157="",C2157=""),"",IFERROR(E2157*IF(E2157="",0,VLOOKUP(C2157,'📦 Precios Proforma'!$B$5:$D$104,IF(D2157="DIA",2,3),FALSE)),0))</f>
        <v/>
      </c>
      <c r="J2157" s="31" t="str">
        <f t="shared" si="232"/>
        <v/>
      </c>
      <c r="K2157" s="31" t="str">
        <f t="shared" si="233"/>
        <v/>
      </c>
      <c r="L2157" s="31" t="str">
        <f>IF(OR(B2157="",C2157=""),"",IFERROR(E2157 / SUMIFS('📅 Resumen Diario'!$D$5:$D$504, '📅 Resumen Diario'!$B$5:$B$504, B2157, '📅 Resumen Diario'!$C$5:$C$504, D2157) * SUMIFS('📅 Resumen Diario'!$K$5:$K$504, '📅 Resumen Diario'!$B$5:$B$504, B2157, '📅 Resumen Diario'!$C$5:$C$504, D2157), 0))</f>
        <v/>
      </c>
      <c r="M2157" s="31" t="str">
        <f t="shared" si="234"/>
        <v/>
      </c>
      <c r="N2157" s="31" t="str">
        <f t="shared" si="235"/>
        <v/>
      </c>
      <c r="O2157" s="31" t="str">
        <f>IF(OR(B2157="",C2157=""),"",K2157-N2157 + IFERROR(E2157 / SUMIFS('📅 Resumen Diario'!$D$5:$D$504, '📅 Resumen Diario'!$B$5:$B$504, B2157, '📅 Resumen Diario'!$C$5:$C$504, D2157) * (SUMIFS('📋 Detalle Diario'!$E$5:$E$489, '📋 Detalle Diario'!$B$5:$B$489, B2157, '📋 Detalle Diario'!$C$5:$C$489, D2157) * 135 + SUMIFS('📋 Detalle Diario'!$I$5:$I$489, '📋 Detalle Diario'!$B$5:$B$489, B2157, '📋 Detalle Diario'!$C$5:$C$489, D2157) * 200), 0))</f>
        <v/>
      </c>
      <c r="P2157" s="32" t="str">
        <f t="shared" si="236"/>
        <v/>
      </c>
      <c r="Q2157" s="33" t="str">
        <f t="shared" si="237"/>
        <v/>
      </c>
    </row>
    <row r="2158" spans="2:17" ht="18" customHeight="1" x14ac:dyDescent="0.3">
      <c r="B2158" s="26"/>
      <c r="C2158" s="17"/>
      <c r="D2158" s="27"/>
      <c r="E2158" s="18"/>
      <c r="F2158" s="18"/>
      <c r="G2158" s="18"/>
      <c r="H2158" s="30" t="str">
        <f t="shared" si="231"/>
        <v/>
      </c>
      <c r="I2158" s="31" t="str">
        <f>IF(OR(B2158="",C2158=""),"",IFERROR(E2158*IF(E2158="",0,VLOOKUP(C2158,'📦 Precios Proforma'!$B$5:$D$104,IF(D2158="DIA",2,3),FALSE)),0))</f>
        <v/>
      </c>
      <c r="J2158" s="31" t="str">
        <f t="shared" si="232"/>
        <v/>
      </c>
      <c r="K2158" s="31" t="str">
        <f t="shared" si="233"/>
        <v/>
      </c>
      <c r="L2158" s="31" t="str">
        <f>IF(OR(B2158="",C2158=""),"",IFERROR(E2158 / SUMIFS('📅 Resumen Diario'!$D$5:$D$504, '📅 Resumen Diario'!$B$5:$B$504, B2158, '📅 Resumen Diario'!$C$5:$C$504, D2158) * SUMIFS('📅 Resumen Diario'!$K$5:$K$504, '📅 Resumen Diario'!$B$5:$B$504, B2158, '📅 Resumen Diario'!$C$5:$C$504, D2158), 0))</f>
        <v/>
      </c>
      <c r="M2158" s="31" t="str">
        <f t="shared" si="234"/>
        <v/>
      </c>
      <c r="N2158" s="31" t="str">
        <f t="shared" si="235"/>
        <v/>
      </c>
      <c r="O2158" s="31" t="str">
        <f>IF(OR(B2158="",C2158=""),"",K2158-N2158 + IFERROR(E2158 / SUMIFS('📅 Resumen Diario'!$D$5:$D$504, '📅 Resumen Diario'!$B$5:$B$504, B2158, '📅 Resumen Diario'!$C$5:$C$504, D2158) * (SUMIFS('📋 Detalle Diario'!$E$5:$E$489, '📋 Detalle Diario'!$B$5:$B$489, B2158, '📋 Detalle Diario'!$C$5:$C$489, D2158) * 135 + SUMIFS('📋 Detalle Diario'!$I$5:$I$489, '📋 Detalle Diario'!$B$5:$B$489, B2158, '📋 Detalle Diario'!$C$5:$C$489, D2158) * 200), 0))</f>
        <v/>
      </c>
      <c r="P2158" s="32" t="str">
        <f t="shared" si="236"/>
        <v/>
      </c>
      <c r="Q2158" s="33" t="str">
        <f t="shared" si="237"/>
        <v/>
      </c>
    </row>
    <row r="2159" spans="2:17" ht="18" customHeight="1" x14ac:dyDescent="0.3">
      <c r="B2159" s="26"/>
      <c r="C2159" s="28"/>
      <c r="D2159" s="27"/>
      <c r="E2159" s="29"/>
      <c r="F2159" s="29"/>
      <c r="G2159" s="29"/>
      <c r="H2159" s="30" t="str">
        <f t="shared" si="231"/>
        <v/>
      </c>
      <c r="I2159" s="31" t="str">
        <f>IF(OR(B2159="",C2159=""),"",IFERROR(E2159*IF(E2159="",0,VLOOKUP(C2159,'📦 Precios Proforma'!$B$5:$D$104,IF(D2159="DIA",2,3),FALSE)),0))</f>
        <v/>
      </c>
      <c r="J2159" s="31" t="str">
        <f t="shared" si="232"/>
        <v/>
      </c>
      <c r="K2159" s="31" t="str">
        <f t="shared" si="233"/>
        <v/>
      </c>
      <c r="L2159" s="31" t="str">
        <f>IF(OR(B2159="",C2159=""),"",IFERROR(E2159 / SUMIFS('📅 Resumen Diario'!$D$5:$D$504, '📅 Resumen Diario'!$B$5:$B$504, B2159, '📅 Resumen Diario'!$C$5:$C$504, D2159) * SUMIFS('📅 Resumen Diario'!$K$5:$K$504, '📅 Resumen Diario'!$B$5:$B$504, B2159, '📅 Resumen Diario'!$C$5:$C$504, D2159), 0))</f>
        <v/>
      </c>
      <c r="M2159" s="31" t="str">
        <f t="shared" si="234"/>
        <v/>
      </c>
      <c r="N2159" s="31" t="str">
        <f t="shared" si="235"/>
        <v/>
      </c>
      <c r="O2159" s="31" t="str">
        <f>IF(OR(B2159="",C2159=""),"",K2159-N2159 + IFERROR(E2159 / SUMIFS('📅 Resumen Diario'!$D$5:$D$504, '📅 Resumen Diario'!$B$5:$B$504, B2159, '📅 Resumen Diario'!$C$5:$C$504, D2159) * (SUMIFS('📋 Detalle Diario'!$E$5:$E$489, '📋 Detalle Diario'!$B$5:$B$489, B2159, '📋 Detalle Diario'!$C$5:$C$489, D2159) * 135 + SUMIFS('📋 Detalle Diario'!$I$5:$I$489, '📋 Detalle Diario'!$B$5:$B$489, B2159, '📋 Detalle Diario'!$C$5:$C$489, D2159) * 200), 0))</f>
        <v/>
      </c>
      <c r="P2159" s="32" t="str">
        <f t="shared" si="236"/>
        <v/>
      </c>
      <c r="Q2159" s="33" t="str">
        <f t="shared" si="237"/>
        <v/>
      </c>
    </row>
    <row r="2160" spans="2:17" ht="18" customHeight="1" x14ac:dyDescent="0.3">
      <c r="B2160" s="26"/>
      <c r="C2160" s="17"/>
      <c r="D2160" s="27"/>
      <c r="E2160" s="18"/>
      <c r="F2160" s="18"/>
      <c r="G2160" s="18"/>
      <c r="H2160" s="30" t="str">
        <f t="shared" si="231"/>
        <v/>
      </c>
      <c r="I2160" s="31" t="str">
        <f>IF(OR(B2160="",C2160=""),"",IFERROR(E2160*IF(E2160="",0,VLOOKUP(C2160,'📦 Precios Proforma'!$B$5:$D$104,IF(D2160="DIA",2,3),FALSE)),0))</f>
        <v/>
      </c>
      <c r="J2160" s="31" t="str">
        <f t="shared" si="232"/>
        <v/>
      </c>
      <c r="K2160" s="31" t="str">
        <f t="shared" si="233"/>
        <v/>
      </c>
      <c r="L2160" s="31" t="str">
        <f>IF(OR(B2160="",C2160=""),"",IFERROR(E2160 / SUMIFS('📅 Resumen Diario'!$D$5:$D$504, '📅 Resumen Diario'!$B$5:$B$504, B2160, '📅 Resumen Diario'!$C$5:$C$504, D2160) * SUMIFS('📅 Resumen Diario'!$K$5:$K$504, '📅 Resumen Diario'!$B$5:$B$504, B2160, '📅 Resumen Diario'!$C$5:$C$504, D2160), 0))</f>
        <v/>
      </c>
      <c r="M2160" s="31" t="str">
        <f t="shared" si="234"/>
        <v/>
      </c>
      <c r="N2160" s="31" t="str">
        <f t="shared" si="235"/>
        <v/>
      </c>
      <c r="O2160" s="31" t="str">
        <f>IF(OR(B2160="",C2160=""),"",K2160-N2160 + IFERROR(E2160 / SUMIFS('📅 Resumen Diario'!$D$5:$D$504, '📅 Resumen Diario'!$B$5:$B$504, B2160, '📅 Resumen Diario'!$C$5:$C$504, D2160) * (SUMIFS('📋 Detalle Diario'!$E$5:$E$489, '📋 Detalle Diario'!$B$5:$B$489, B2160, '📋 Detalle Diario'!$C$5:$C$489, D2160) * 135 + SUMIFS('📋 Detalle Diario'!$I$5:$I$489, '📋 Detalle Diario'!$B$5:$B$489, B2160, '📋 Detalle Diario'!$C$5:$C$489, D2160) * 200), 0))</f>
        <v/>
      </c>
      <c r="P2160" s="32" t="str">
        <f t="shared" si="236"/>
        <v/>
      </c>
      <c r="Q2160" s="33" t="str">
        <f t="shared" si="237"/>
        <v/>
      </c>
    </row>
    <row r="2161" spans="2:17" ht="18" customHeight="1" x14ac:dyDescent="0.3">
      <c r="B2161" s="26"/>
      <c r="C2161" s="28"/>
      <c r="D2161" s="27"/>
      <c r="E2161" s="29"/>
      <c r="F2161" s="29"/>
      <c r="G2161" s="29"/>
      <c r="H2161" s="30" t="str">
        <f t="shared" si="231"/>
        <v/>
      </c>
      <c r="I2161" s="31" t="str">
        <f>IF(OR(B2161="",C2161=""),"",IFERROR(E2161*IF(E2161="",0,VLOOKUP(C2161,'📦 Precios Proforma'!$B$5:$D$104,IF(D2161="DIA",2,3),FALSE)),0))</f>
        <v/>
      </c>
      <c r="J2161" s="31" t="str">
        <f t="shared" si="232"/>
        <v/>
      </c>
      <c r="K2161" s="31" t="str">
        <f t="shared" si="233"/>
        <v/>
      </c>
      <c r="L2161" s="31" t="str">
        <f>IF(OR(B2161="",C2161=""),"",IFERROR(E2161 / SUMIFS('📅 Resumen Diario'!$D$5:$D$504, '📅 Resumen Diario'!$B$5:$B$504, B2161, '📅 Resumen Diario'!$C$5:$C$504, D2161) * SUMIFS('📅 Resumen Diario'!$K$5:$K$504, '📅 Resumen Diario'!$B$5:$B$504, B2161, '📅 Resumen Diario'!$C$5:$C$504, D2161), 0))</f>
        <v/>
      </c>
      <c r="M2161" s="31" t="str">
        <f t="shared" si="234"/>
        <v/>
      </c>
      <c r="N2161" s="31" t="str">
        <f t="shared" si="235"/>
        <v/>
      </c>
      <c r="O2161" s="31" t="str">
        <f>IF(OR(B2161="",C2161=""),"",K2161-N2161 + IFERROR(E2161 / SUMIFS('📅 Resumen Diario'!$D$5:$D$504, '📅 Resumen Diario'!$B$5:$B$504, B2161, '📅 Resumen Diario'!$C$5:$C$504, D2161) * (SUMIFS('📋 Detalle Diario'!$E$5:$E$489, '📋 Detalle Diario'!$B$5:$B$489, B2161, '📋 Detalle Diario'!$C$5:$C$489, D2161) * 135 + SUMIFS('📋 Detalle Diario'!$I$5:$I$489, '📋 Detalle Diario'!$B$5:$B$489, B2161, '📋 Detalle Diario'!$C$5:$C$489, D2161) * 200), 0))</f>
        <v/>
      </c>
      <c r="P2161" s="32" t="str">
        <f t="shared" si="236"/>
        <v/>
      </c>
      <c r="Q2161" s="33" t="str">
        <f t="shared" si="237"/>
        <v/>
      </c>
    </row>
    <row r="2162" spans="2:17" ht="18" customHeight="1" x14ac:dyDescent="0.3">
      <c r="B2162" s="26"/>
      <c r="C2162" s="17"/>
      <c r="D2162" s="27"/>
      <c r="E2162" s="18"/>
      <c r="F2162" s="18"/>
      <c r="G2162" s="18"/>
      <c r="H2162" s="30" t="str">
        <f t="shared" si="231"/>
        <v/>
      </c>
      <c r="I2162" s="31" t="str">
        <f>IF(OR(B2162="",C2162=""),"",IFERROR(E2162*IF(E2162="",0,VLOOKUP(C2162,'📦 Precios Proforma'!$B$5:$D$104,IF(D2162="DIA",2,3),FALSE)),0))</f>
        <v/>
      </c>
      <c r="J2162" s="31" t="str">
        <f t="shared" si="232"/>
        <v/>
      </c>
      <c r="K2162" s="31" t="str">
        <f t="shared" si="233"/>
        <v/>
      </c>
      <c r="L2162" s="31" t="str">
        <f>IF(OR(B2162="",C2162=""),"",IFERROR(E2162 / SUMIFS('📅 Resumen Diario'!$D$5:$D$504, '📅 Resumen Diario'!$B$5:$B$504, B2162, '📅 Resumen Diario'!$C$5:$C$504, D2162) * SUMIFS('📅 Resumen Diario'!$K$5:$K$504, '📅 Resumen Diario'!$B$5:$B$504, B2162, '📅 Resumen Diario'!$C$5:$C$504, D2162), 0))</f>
        <v/>
      </c>
      <c r="M2162" s="31" t="str">
        <f t="shared" si="234"/>
        <v/>
      </c>
      <c r="N2162" s="31" t="str">
        <f t="shared" si="235"/>
        <v/>
      </c>
      <c r="O2162" s="31" t="str">
        <f>IF(OR(B2162="",C2162=""),"",K2162-N2162 + IFERROR(E2162 / SUMIFS('📅 Resumen Diario'!$D$5:$D$504, '📅 Resumen Diario'!$B$5:$B$504, B2162, '📅 Resumen Diario'!$C$5:$C$504, D2162) * (SUMIFS('📋 Detalle Diario'!$E$5:$E$489, '📋 Detalle Diario'!$B$5:$B$489, B2162, '📋 Detalle Diario'!$C$5:$C$489, D2162) * 135 + SUMIFS('📋 Detalle Diario'!$I$5:$I$489, '📋 Detalle Diario'!$B$5:$B$489, B2162, '📋 Detalle Diario'!$C$5:$C$489, D2162) * 200), 0))</f>
        <v/>
      </c>
      <c r="P2162" s="32" t="str">
        <f t="shared" si="236"/>
        <v/>
      </c>
      <c r="Q2162" s="33" t="str">
        <f t="shared" si="237"/>
        <v/>
      </c>
    </row>
    <row r="2163" spans="2:17" ht="18" customHeight="1" x14ac:dyDescent="0.3">
      <c r="B2163" s="26"/>
      <c r="C2163" s="28"/>
      <c r="D2163" s="27"/>
      <c r="E2163" s="29"/>
      <c r="F2163" s="29"/>
      <c r="G2163" s="29"/>
      <c r="H2163" s="30" t="str">
        <f t="shared" si="231"/>
        <v/>
      </c>
      <c r="I2163" s="31" t="str">
        <f>IF(OR(B2163="",C2163=""),"",IFERROR(E2163*IF(E2163="",0,VLOOKUP(C2163,'📦 Precios Proforma'!$B$5:$D$104,IF(D2163="DIA",2,3),FALSE)),0))</f>
        <v/>
      </c>
      <c r="J2163" s="31" t="str">
        <f t="shared" si="232"/>
        <v/>
      </c>
      <c r="K2163" s="31" t="str">
        <f t="shared" si="233"/>
        <v/>
      </c>
      <c r="L2163" s="31" t="str">
        <f>IF(OR(B2163="",C2163=""),"",IFERROR(E2163 / SUMIFS('📅 Resumen Diario'!$D$5:$D$504, '📅 Resumen Diario'!$B$5:$B$504, B2163, '📅 Resumen Diario'!$C$5:$C$504, D2163) * SUMIFS('📅 Resumen Diario'!$K$5:$K$504, '📅 Resumen Diario'!$B$5:$B$504, B2163, '📅 Resumen Diario'!$C$5:$C$504, D2163), 0))</f>
        <v/>
      </c>
      <c r="M2163" s="31" t="str">
        <f t="shared" si="234"/>
        <v/>
      </c>
      <c r="N2163" s="31" t="str">
        <f t="shared" si="235"/>
        <v/>
      </c>
      <c r="O2163" s="31" t="str">
        <f>IF(OR(B2163="",C2163=""),"",K2163-N2163 + IFERROR(E2163 / SUMIFS('📅 Resumen Diario'!$D$5:$D$504, '📅 Resumen Diario'!$B$5:$B$504, B2163, '📅 Resumen Diario'!$C$5:$C$504, D2163) * (SUMIFS('📋 Detalle Diario'!$E$5:$E$489, '📋 Detalle Diario'!$B$5:$B$489, B2163, '📋 Detalle Diario'!$C$5:$C$489, D2163) * 135 + SUMIFS('📋 Detalle Diario'!$I$5:$I$489, '📋 Detalle Diario'!$B$5:$B$489, B2163, '📋 Detalle Diario'!$C$5:$C$489, D2163) * 200), 0))</f>
        <v/>
      </c>
      <c r="P2163" s="32" t="str">
        <f t="shared" si="236"/>
        <v/>
      </c>
      <c r="Q2163" s="33" t="str">
        <f t="shared" si="237"/>
        <v/>
      </c>
    </row>
    <row r="2164" spans="2:17" ht="18" customHeight="1" x14ac:dyDescent="0.3">
      <c r="B2164" s="26"/>
      <c r="C2164" s="17"/>
      <c r="D2164" s="27"/>
      <c r="E2164" s="18"/>
      <c r="F2164" s="18"/>
      <c r="G2164" s="18"/>
      <c r="H2164" s="30" t="str">
        <f t="shared" si="231"/>
        <v/>
      </c>
      <c r="I2164" s="31" t="str">
        <f>IF(OR(B2164="",C2164=""),"",IFERROR(E2164*IF(E2164="",0,VLOOKUP(C2164,'📦 Precios Proforma'!$B$5:$D$104,IF(D2164="DIA",2,3),FALSE)),0))</f>
        <v/>
      </c>
      <c r="J2164" s="31" t="str">
        <f t="shared" si="232"/>
        <v/>
      </c>
      <c r="K2164" s="31" t="str">
        <f t="shared" si="233"/>
        <v/>
      </c>
      <c r="L2164" s="31" t="str">
        <f>IF(OR(B2164="",C2164=""),"",IFERROR(E2164 / SUMIFS('📅 Resumen Diario'!$D$5:$D$504, '📅 Resumen Diario'!$B$5:$B$504, B2164, '📅 Resumen Diario'!$C$5:$C$504, D2164) * SUMIFS('📅 Resumen Diario'!$K$5:$K$504, '📅 Resumen Diario'!$B$5:$B$504, B2164, '📅 Resumen Diario'!$C$5:$C$504, D2164), 0))</f>
        <v/>
      </c>
      <c r="M2164" s="31" t="str">
        <f t="shared" si="234"/>
        <v/>
      </c>
      <c r="N2164" s="31" t="str">
        <f t="shared" si="235"/>
        <v/>
      </c>
      <c r="O2164" s="31" t="str">
        <f>IF(OR(B2164="",C2164=""),"",K2164-N2164 + IFERROR(E2164 / SUMIFS('📅 Resumen Diario'!$D$5:$D$504, '📅 Resumen Diario'!$B$5:$B$504, B2164, '📅 Resumen Diario'!$C$5:$C$504, D2164) * (SUMIFS('📋 Detalle Diario'!$E$5:$E$489, '📋 Detalle Diario'!$B$5:$B$489, B2164, '📋 Detalle Diario'!$C$5:$C$489, D2164) * 135 + SUMIFS('📋 Detalle Diario'!$I$5:$I$489, '📋 Detalle Diario'!$B$5:$B$489, B2164, '📋 Detalle Diario'!$C$5:$C$489, D2164) * 200), 0))</f>
        <v/>
      </c>
      <c r="P2164" s="32" t="str">
        <f t="shared" si="236"/>
        <v/>
      </c>
      <c r="Q2164" s="33" t="str">
        <f t="shared" si="237"/>
        <v/>
      </c>
    </row>
    <row r="2165" spans="2:17" ht="18" customHeight="1" x14ac:dyDescent="0.3">
      <c r="B2165" s="26"/>
      <c r="C2165" s="28"/>
      <c r="D2165" s="27"/>
      <c r="E2165" s="29"/>
      <c r="F2165" s="29"/>
      <c r="G2165" s="29"/>
      <c r="H2165" s="30" t="str">
        <f t="shared" si="231"/>
        <v/>
      </c>
      <c r="I2165" s="31" t="str">
        <f>IF(OR(B2165="",C2165=""),"",IFERROR(E2165*IF(E2165="",0,VLOOKUP(C2165,'📦 Precios Proforma'!$B$5:$D$104,IF(D2165="DIA",2,3),FALSE)),0))</f>
        <v/>
      </c>
      <c r="J2165" s="31" t="str">
        <f t="shared" si="232"/>
        <v/>
      </c>
      <c r="K2165" s="31" t="str">
        <f t="shared" si="233"/>
        <v/>
      </c>
      <c r="L2165" s="31" t="str">
        <f>IF(OR(B2165="",C2165=""),"",IFERROR(E2165 / SUMIFS('📅 Resumen Diario'!$D$5:$D$504, '📅 Resumen Diario'!$B$5:$B$504, B2165, '📅 Resumen Diario'!$C$5:$C$504, D2165) * SUMIFS('📅 Resumen Diario'!$K$5:$K$504, '📅 Resumen Diario'!$B$5:$B$504, B2165, '📅 Resumen Diario'!$C$5:$C$504, D2165), 0))</f>
        <v/>
      </c>
      <c r="M2165" s="31" t="str">
        <f t="shared" si="234"/>
        <v/>
      </c>
      <c r="N2165" s="31" t="str">
        <f t="shared" si="235"/>
        <v/>
      </c>
      <c r="O2165" s="31" t="str">
        <f>IF(OR(B2165="",C2165=""),"",K2165-N2165 + IFERROR(E2165 / SUMIFS('📅 Resumen Diario'!$D$5:$D$504, '📅 Resumen Diario'!$B$5:$B$504, B2165, '📅 Resumen Diario'!$C$5:$C$504, D2165) * (SUMIFS('📋 Detalle Diario'!$E$5:$E$489, '📋 Detalle Diario'!$B$5:$B$489, B2165, '📋 Detalle Diario'!$C$5:$C$489, D2165) * 135 + SUMIFS('📋 Detalle Diario'!$I$5:$I$489, '📋 Detalle Diario'!$B$5:$B$489, B2165, '📋 Detalle Diario'!$C$5:$C$489, D2165) * 200), 0))</f>
        <v/>
      </c>
      <c r="P2165" s="32" t="str">
        <f t="shared" si="236"/>
        <v/>
      </c>
      <c r="Q2165" s="33" t="str">
        <f t="shared" si="237"/>
        <v/>
      </c>
    </row>
    <row r="2166" spans="2:17" ht="18" customHeight="1" x14ac:dyDescent="0.3">
      <c r="B2166" s="26"/>
      <c r="C2166" s="17"/>
      <c r="D2166" s="27"/>
      <c r="E2166" s="18"/>
      <c r="F2166" s="18"/>
      <c r="G2166" s="18"/>
      <c r="H2166" s="30" t="str">
        <f t="shared" si="231"/>
        <v/>
      </c>
      <c r="I2166" s="31" t="str">
        <f>IF(OR(B2166="",C2166=""),"",IFERROR(E2166*IF(E2166="",0,VLOOKUP(C2166,'📦 Precios Proforma'!$B$5:$D$104,IF(D2166="DIA",2,3),FALSE)),0))</f>
        <v/>
      </c>
      <c r="J2166" s="31" t="str">
        <f t="shared" si="232"/>
        <v/>
      </c>
      <c r="K2166" s="31" t="str">
        <f t="shared" si="233"/>
        <v/>
      </c>
      <c r="L2166" s="31" t="str">
        <f>IF(OR(B2166="",C2166=""),"",IFERROR(E2166 / SUMIFS('📅 Resumen Diario'!$D$5:$D$504, '📅 Resumen Diario'!$B$5:$B$504, B2166, '📅 Resumen Diario'!$C$5:$C$504, D2166) * SUMIFS('📅 Resumen Diario'!$K$5:$K$504, '📅 Resumen Diario'!$B$5:$B$504, B2166, '📅 Resumen Diario'!$C$5:$C$504, D2166), 0))</f>
        <v/>
      </c>
      <c r="M2166" s="31" t="str">
        <f t="shared" si="234"/>
        <v/>
      </c>
      <c r="N2166" s="31" t="str">
        <f t="shared" si="235"/>
        <v/>
      </c>
      <c r="O2166" s="31" t="str">
        <f>IF(OR(B2166="",C2166=""),"",K2166-N2166 + IFERROR(E2166 / SUMIFS('📅 Resumen Diario'!$D$5:$D$504, '📅 Resumen Diario'!$B$5:$B$504, B2166, '📅 Resumen Diario'!$C$5:$C$504, D2166) * (SUMIFS('📋 Detalle Diario'!$E$5:$E$489, '📋 Detalle Diario'!$B$5:$B$489, B2166, '📋 Detalle Diario'!$C$5:$C$489, D2166) * 135 + SUMIFS('📋 Detalle Diario'!$I$5:$I$489, '📋 Detalle Diario'!$B$5:$B$489, B2166, '📋 Detalle Diario'!$C$5:$C$489, D2166) * 200), 0))</f>
        <v/>
      </c>
      <c r="P2166" s="32" t="str">
        <f t="shared" si="236"/>
        <v/>
      </c>
      <c r="Q2166" s="33" t="str">
        <f t="shared" si="237"/>
        <v/>
      </c>
    </row>
    <row r="2167" spans="2:17" ht="18" customHeight="1" x14ac:dyDescent="0.3">
      <c r="B2167" s="26"/>
      <c r="C2167" s="28"/>
      <c r="D2167" s="27"/>
      <c r="E2167" s="29"/>
      <c r="F2167" s="29"/>
      <c r="G2167" s="29"/>
      <c r="H2167" s="30" t="str">
        <f t="shared" si="231"/>
        <v/>
      </c>
      <c r="I2167" s="31" t="str">
        <f>IF(OR(B2167="",C2167=""),"",IFERROR(E2167*IF(E2167="",0,VLOOKUP(C2167,'📦 Precios Proforma'!$B$5:$D$104,IF(D2167="DIA",2,3),FALSE)),0))</f>
        <v/>
      </c>
      <c r="J2167" s="31" t="str">
        <f t="shared" si="232"/>
        <v/>
      </c>
      <c r="K2167" s="31" t="str">
        <f t="shared" si="233"/>
        <v/>
      </c>
      <c r="L2167" s="31" t="str">
        <f>IF(OR(B2167="",C2167=""),"",IFERROR(E2167 / SUMIFS('📅 Resumen Diario'!$D$5:$D$504, '📅 Resumen Diario'!$B$5:$B$504, B2167, '📅 Resumen Diario'!$C$5:$C$504, D2167) * SUMIFS('📅 Resumen Diario'!$K$5:$K$504, '📅 Resumen Diario'!$B$5:$B$504, B2167, '📅 Resumen Diario'!$C$5:$C$504, D2167), 0))</f>
        <v/>
      </c>
      <c r="M2167" s="31" t="str">
        <f t="shared" si="234"/>
        <v/>
      </c>
      <c r="N2167" s="31" t="str">
        <f t="shared" si="235"/>
        <v/>
      </c>
      <c r="O2167" s="31" t="str">
        <f>IF(OR(B2167="",C2167=""),"",K2167-N2167 + IFERROR(E2167 / SUMIFS('📅 Resumen Diario'!$D$5:$D$504, '📅 Resumen Diario'!$B$5:$B$504, B2167, '📅 Resumen Diario'!$C$5:$C$504, D2167) * (SUMIFS('📋 Detalle Diario'!$E$5:$E$489, '📋 Detalle Diario'!$B$5:$B$489, B2167, '📋 Detalle Diario'!$C$5:$C$489, D2167) * 135 + SUMIFS('📋 Detalle Diario'!$I$5:$I$489, '📋 Detalle Diario'!$B$5:$B$489, B2167, '📋 Detalle Diario'!$C$5:$C$489, D2167) * 200), 0))</f>
        <v/>
      </c>
      <c r="P2167" s="32" t="str">
        <f t="shared" si="236"/>
        <v/>
      </c>
      <c r="Q2167" s="33" t="str">
        <f t="shared" si="237"/>
        <v/>
      </c>
    </row>
    <row r="2168" spans="2:17" ht="18" customHeight="1" x14ac:dyDescent="0.3">
      <c r="B2168" s="26"/>
      <c r="C2168" s="17"/>
      <c r="D2168" s="27"/>
      <c r="E2168" s="18"/>
      <c r="F2168" s="18"/>
      <c r="G2168" s="18"/>
      <c r="H2168" s="30" t="str">
        <f t="shared" si="231"/>
        <v/>
      </c>
      <c r="I2168" s="31" t="str">
        <f>IF(OR(B2168="",C2168=""),"",IFERROR(E2168*IF(E2168="",0,VLOOKUP(C2168,'📦 Precios Proforma'!$B$5:$D$104,IF(D2168="DIA",2,3),FALSE)),0))</f>
        <v/>
      </c>
      <c r="J2168" s="31" t="str">
        <f t="shared" si="232"/>
        <v/>
      </c>
      <c r="K2168" s="31" t="str">
        <f t="shared" si="233"/>
        <v/>
      </c>
      <c r="L2168" s="31" t="str">
        <f>IF(OR(B2168="",C2168=""),"",IFERROR(E2168 / SUMIFS('📅 Resumen Diario'!$D$5:$D$504, '📅 Resumen Diario'!$B$5:$B$504, B2168, '📅 Resumen Diario'!$C$5:$C$504, D2168) * SUMIFS('📅 Resumen Diario'!$K$5:$K$504, '📅 Resumen Diario'!$B$5:$B$504, B2168, '📅 Resumen Diario'!$C$5:$C$504, D2168), 0))</f>
        <v/>
      </c>
      <c r="M2168" s="31" t="str">
        <f t="shared" si="234"/>
        <v/>
      </c>
      <c r="N2168" s="31" t="str">
        <f t="shared" si="235"/>
        <v/>
      </c>
      <c r="O2168" s="31" t="str">
        <f>IF(OR(B2168="",C2168=""),"",K2168-N2168 + IFERROR(E2168 / SUMIFS('📅 Resumen Diario'!$D$5:$D$504, '📅 Resumen Diario'!$B$5:$B$504, B2168, '📅 Resumen Diario'!$C$5:$C$504, D2168) * (SUMIFS('📋 Detalle Diario'!$E$5:$E$489, '📋 Detalle Diario'!$B$5:$B$489, B2168, '📋 Detalle Diario'!$C$5:$C$489, D2168) * 135 + SUMIFS('📋 Detalle Diario'!$I$5:$I$489, '📋 Detalle Diario'!$B$5:$B$489, B2168, '📋 Detalle Diario'!$C$5:$C$489, D2168) * 200), 0))</f>
        <v/>
      </c>
      <c r="P2168" s="32" t="str">
        <f t="shared" si="236"/>
        <v/>
      </c>
      <c r="Q2168" s="33" t="str">
        <f t="shared" si="237"/>
        <v/>
      </c>
    </row>
    <row r="2169" spans="2:17" ht="18" customHeight="1" x14ac:dyDescent="0.3">
      <c r="B2169" s="26"/>
      <c r="C2169" s="28"/>
      <c r="D2169" s="27"/>
      <c r="E2169" s="29"/>
      <c r="F2169" s="29"/>
      <c r="G2169" s="29"/>
      <c r="H2169" s="30" t="str">
        <f t="shared" si="231"/>
        <v/>
      </c>
      <c r="I2169" s="31" t="str">
        <f>IF(OR(B2169="",C2169=""),"",IFERROR(E2169*IF(E2169="",0,VLOOKUP(C2169,'📦 Precios Proforma'!$B$5:$D$104,IF(D2169="DIA",2,3),FALSE)),0))</f>
        <v/>
      </c>
      <c r="J2169" s="31" t="str">
        <f t="shared" si="232"/>
        <v/>
      </c>
      <c r="K2169" s="31" t="str">
        <f t="shared" si="233"/>
        <v/>
      </c>
      <c r="L2169" s="31" t="str">
        <f>IF(OR(B2169="",C2169=""),"",IFERROR(E2169 / SUMIFS('📅 Resumen Diario'!$D$5:$D$504, '📅 Resumen Diario'!$B$5:$B$504, B2169, '📅 Resumen Diario'!$C$5:$C$504, D2169) * SUMIFS('📅 Resumen Diario'!$K$5:$K$504, '📅 Resumen Diario'!$B$5:$B$504, B2169, '📅 Resumen Diario'!$C$5:$C$504, D2169), 0))</f>
        <v/>
      </c>
      <c r="M2169" s="31" t="str">
        <f t="shared" si="234"/>
        <v/>
      </c>
      <c r="N2169" s="31" t="str">
        <f t="shared" si="235"/>
        <v/>
      </c>
      <c r="O2169" s="31" t="str">
        <f>IF(OR(B2169="",C2169=""),"",K2169-N2169 + IFERROR(E2169 / SUMIFS('📅 Resumen Diario'!$D$5:$D$504, '📅 Resumen Diario'!$B$5:$B$504, B2169, '📅 Resumen Diario'!$C$5:$C$504, D2169) * (SUMIFS('📋 Detalle Diario'!$E$5:$E$489, '📋 Detalle Diario'!$B$5:$B$489, B2169, '📋 Detalle Diario'!$C$5:$C$489, D2169) * 135 + SUMIFS('📋 Detalle Diario'!$I$5:$I$489, '📋 Detalle Diario'!$B$5:$B$489, B2169, '📋 Detalle Diario'!$C$5:$C$489, D2169) * 200), 0))</f>
        <v/>
      </c>
      <c r="P2169" s="32" t="str">
        <f t="shared" si="236"/>
        <v/>
      </c>
      <c r="Q2169" s="33" t="str">
        <f t="shared" si="237"/>
        <v/>
      </c>
    </row>
    <row r="2170" spans="2:17" ht="18" customHeight="1" x14ac:dyDescent="0.3">
      <c r="B2170" s="26"/>
      <c r="C2170" s="17"/>
      <c r="D2170" s="27"/>
      <c r="E2170" s="18"/>
      <c r="F2170" s="18"/>
      <c r="G2170" s="18"/>
      <c r="H2170" s="30" t="str">
        <f t="shared" si="231"/>
        <v/>
      </c>
      <c r="I2170" s="31" t="str">
        <f>IF(OR(B2170="",C2170=""),"",IFERROR(E2170*IF(E2170="",0,VLOOKUP(C2170,'📦 Precios Proforma'!$B$5:$D$104,IF(D2170="DIA",2,3),FALSE)),0))</f>
        <v/>
      </c>
      <c r="J2170" s="31" t="str">
        <f t="shared" si="232"/>
        <v/>
      </c>
      <c r="K2170" s="31" t="str">
        <f t="shared" si="233"/>
        <v/>
      </c>
      <c r="L2170" s="31" t="str">
        <f>IF(OR(B2170="",C2170=""),"",IFERROR(E2170 / SUMIFS('📅 Resumen Diario'!$D$5:$D$504, '📅 Resumen Diario'!$B$5:$B$504, B2170, '📅 Resumen Diario'!$C$5:$C$504, D2170) * SUMIFS('📅 Resumen Diario'!$K$5:$K$504, '📅 Resumen Diario'!$B$5:$B$504, B2170, '📅 Resumen Diario'!$C$5:$C$504, D2170), 0))</f>
        <v/>
      </c>
      <c r="M2170" s="31" t="str">
        <f t="shared" si="234"/>
        <v/>
      </c>
      <c r="N2170" s="31" t="str">
        <f t="shared" si="235"/>
        <v/>
      </c>
      <c r="O2170" s="31" t="str">
        <f>IF(OR(B2170="",C2170=""),"",K2170-N2170 + IFERROR(E2170 / SUMIFS('📅 Resumen Diario'!$D$5:$D$504, '📅 Resumen Diario'!$B$5:$B$504, B2170, '📅 Resumen Diario'!$C$5:$C$504, D2170) * (SUMIFS('📋 Detalle Diario'!$E$5:$E$489, '📋 Detalle Diario'!$B$5:$B$489, B2170, '📋 Detalle Diario'!$C$5:$C$489, D2170) * 135 + SUMIFS('📋 Detalle Diario'!$I$5:$I$489, '📋 Detalle Diario'!$B$5:$B$489, B2170, '📋 Detalle Diario'!$C$5:$C$489, D2170) * 200), 0))</f>
        <v/>
      </c>
      <c r="P2170" s="32" t="str">
        <f t="shared" si="236"/>
        <v/>
      </c>
      <c r="Q2170" s="33" t="str">
        <f t="shared" si="237"/>
        <v/>
      </c>
    </row>
    <row r="2171" spans="2:17" ht="18" customHeight="1" x14ac:dyDescent="0.3">
      <c r="B2171" s="26"/>
      <c r="C2171" s="28"/>
      <c r="D2171" s="27"/>
      <c r="E2171" s="29"/>
      <c r="F2171" s="29"/>
      <c r="G2171" s="29"/>
      <c r="H2171" s="30" t="str">
        <f t="shared" si="231"/>
        <v/>
      </c>
      <c r="I2171" s="31" t="str">
        <f>IF(OR(B2171="",C2171=""),"",IFERROR(E2171*IF(E2171="",0,VLOOKUP(C2171,'📦 Precios Proforma'!$B$5:$D$104,IF(D2171="DIA",2,3),FALSE)),0))</f>
        <v/>
      </c>
      <c r="J2171" s="31" t="str">
        <f t="shared" si="232"/>
        <v/>
      </c>
      <c r="K2171" s="31" t="str">
        <f t="shared" si="233"/>
        <v/>
      </c>
      <c r="L2171" s="31" t="str">
        <f>IF(OR(B2171="",C2171=""),"",IFERROR(E2171 / SUMIFS('📅 Resumen Diario'!$D$5:$D$504, '📅 Resumen Diario'!$B$5:$B$504, B2171, '📅 Resumen Diario'!$C$5:$C$504, D2171) * SUMIFS('📅 Resumen Diario'!$K$5:$K$504, '📅 Resumen Diario'!$B$5:$B$504, B2171, '📅 Resumen Diario'!$C$5:$C$504, D2171), 0))</f>
        <v/>
      </c>
      <c r="M2171" s="31" t="str">
        <f t="shared" si="234"/>
        <v/>
      </c>
      <c r="N2171" s="31" t="str">
        <f t="shared" si="235"/>
        <v/>
      </c>
      <c r="O2171" s="31" t="str">
        <f>IF(OR(B2171="",C2171=""),"",K2171-N2171 + IFERROR(E2171 / SUMIFS('📅 Resumen Diario'!$D$5:$D$504, '📅 Resumen Diario'!$B$5:$B$504, B2171, '📅 Resumen Diario'!$C$5:$C$504, D2171) * (SUMIFS('📋 Detalle Diario'!$E$5:$E$489, '📋 Detalle Diario'!$B$5:$B$489, B2171, '📋 Detalle Diario'!$C$5:$C$489, D2171) * 135 + SUMIFS('📋 Detalle Diario'!$I$5:$I$489, '📋 Detalle Diario'!$B$5:$B$489, B2171, '📋 Detalle Diario'!$C$5:$C$489, D2171) * 200), 0))</f>
        <v/>
      </c>
      <c r="P2171" s="32" t="str">
        <f t="shared" si="236"/>
        <v/>
      </c>
      <c r="Q2171" s="33" t="str">
        <f t="shared" si="237"/>
        <v/>
      </c>
    </row>
    <row r="2172" spans="2:17" ht="18" customHeight="1" x14ac:dyDescent="0.3">
      <c r="B2172" s="26"/>
      <c r="C2172" s="17"/>
      <c r="D2172" s="27"/>
      <c r="E2172" s="18"/>
      <c r="F2172" s="18"/>
      <c r="G2172" s="18"/>
      <c r="H2172" s="30" t="str">
        <f t="shared" si="231"/>
        <v/>
      </c>
      <c r="I2172" s="31" t="str">
        <f>IF(OR(B2172="",C2172=""),"",IFERROR(E2172*IF(E2172="",0,VLOOKUP(C2172,'📦 Precios Proforma'!$B$5:$D$104,IF(D2172="DIA",2,3),FALSE)),0))</f>
        <v/>
      </c>
      <c r="J2172" s="31" t="str">
        <f t="shared" si="232"/>
        <v/>
      </c>
      <c r="K2172" s="31" t="str">
        <f t="shared" si="233"/>
        <v/>
      </c>
      <c r="L2172" s="31" t="str">
        <f>IF(OR(B2172="",C2172=""),"",IFERROR(E2172 / SUMIFS('📅 Resumen Diario'!$D$5:$D$504, '📅 Resumen Diario'!$B$5:$B$504, B2172, '📅 Resumen Diario'!$C$5:$C$504, D2172) * SUMIFS('📅 Resumen Diario'!$K$5:$K$504, '📅 Resumen Diario'!$B$5:$B$504, B2172, '📅 Resumen Diario'!$C$5:$C$504, D2172), 0))</f>
        <v/>
      </c>
      <c r="M2172" s="31" t="str">
        <f t="shared" si="234"/>
        <v/>
      </c>
      <c r="N2172" s="31" t="str">
        <f t="shared" si="235"/>
        <v/>
      </c>
      <c r="O2172" s="31" t="str">
        <f>IF(OR(B2172="",C2172=""),"",K2172-N2172 + IFERROR(E2172 / SUMIFS('📅 Resumen Diario'!$D$5:$D$504, '📅 Resumen Diario'!$B$5:$B$504, B2172, '📅 Resumen Diario'!$C$5:$C$504, D2172) * (SUMIFS('📋 Detalle Diario'!$E$5:$E$489, '📋 Detalle Diario'!$B$5:$B$489, B2172, '📋 Detalle Diario'!$C$5:$C$489, D2172) * 135 + SUMIFS('📋 Detalle Diario'!$I$5:$I$489, '📋 Detalle Diario'!$B$5:$B$489, B2172, '📋 Detalle Diario'!$C$5:$C$489, D2172) * 200), 0))</f>
        <v/>
      </c>
      <c r="P2172" s="32" t="str">
        <f t="shared" si="236"/>
        <v/>
      </c>
      <c r="Q2172" s="33" t="str">
        <f t="shared" si="237"/>
        <v/>
      </c>
    </row>
    <row r="2173" spans="2:17" ht="18" customHeight="1" x14ac:dyDescent="0.3">
      <c r="B2173" s="26"/>
      <c r="C2173" s="28"/>
      <c r="D2173" s="27"/>
      <c r="E2173" s="29"/>
      <c r="F2173" s="29"/>
      <c r="G2173" s="29"/>
      <c r="H2173" s="30" t="str">
        <f t="shared" si="231"/>
        <v/>
      </c>
      <c r="I2173" s="31" t="str">
        <f>IF(OR(B2173="",C2173=""),"",IFERROR(E2173*IF(E2173="",0,VLOOKUP(C2173,'📦 Precios Proforma'!$B$5:$D$104,IF(D2173="DIA",2,3),FALSE)),0))</f>
        <v/>
      </c>
      <c r="J2173" s="31" t="str">
        <f t="shared" si="232"/>
        <v/>
      </c>
      <c r="K2173" s="31" t="str">
        <f t="shared" si="233"/>
        <v/>
      </c>
      <c r="L2173" s="31" t="str">
        <f>IF(OR(B2173="",C2173=""),"",IFERROR(E2173 / SUMIFS('📅 Resumen Diario'!$D$5:$D$504, '📅 Resumen Diario'!$B$5:$B$504, B2173, '📅 Resumen Diario'!$C$5:$C$504, D2173) * SUMIFS('📅 Resumen Diario'!$K$5:$K$504, '📅 Resumen Diario'!$B$5:$B$504, B2173, '📅 Resumen Diario'!$C$5:$C$504, D2173), 0))</f>
        <v/>
      </c>
      <c r="M2173" s="31" t="str">
        <f t="shared" si="234"/>
        <v/>
      </c>
      <c r="N2173" s="31" t="str">
        <f t="shared" si="235"/>
        <v/>
      </c>
      <c r="O2173" s="31" t="str">
        <f>IF(OR(B2173="",C2173=""),"",K2173-N2173 + IFERROR(E2173 / SUMIFS('📅 Resumen Diario'!$D$5:$D$504, '📅 Resumen Diario'!$B$5:$B$504, B2173, '📅 Resumen Diario'!$C$5:$C$504, D2173) * (SUMIFS('📋 Detalle Diario'!$E$5:$E$489, '📋 Detalle Diario'!$B$5:$B$489, B2173, '📋 Detalle Diario'!$C$5:$C$489, D2173) * 135 + SUMIFS('📋 Detalle Diario'!$I$5:$I$489, '📋 Detalle Diario'!$B$5:$B$489, B2173, '📋 Detalle Diario'!$C$5:$C$489, D2173) * 200), 0))</f>
        <v/>
      </c>
      <c r="P2173" s="32" t="str">
        <f t="shared" si="236"/>
        <v/>
      </c>
      <c r="Q2173" s="33" t="str">
        <f t="shared" si="237"/>
        <v/>
      </c>
    </row>
    <row r="2174" spans="2:17" ht="18" customHeight="1" x14ac:dyDescent="0.3">
      <c r="B2174" s="26"/>
      <c r="C2174" s="17"/>
      <c r="D2174" s="27"/>
      <c r="E2174" s="18"/>
      <c r="F2174" s="18"/>
      <c r="G2174" s="18"/>
      <c r="H2174" s="30" t="str">
        <f t="shared" si="231"/>
        <v/>
      </c>
      <c r="I2174" s="31" t="str">
        <f>IF(OR(B2174="",C2174=""),"",IFERROR(E2174*IF(E2174="",0,VLOOKUP(C2174,'📦 Precios Proforma'!$B$5:$D$104,IF(D2174="DIA",2,3),FALSE)),0))</f>
        <v/>
      </c>
      <c r="J2174" s="31" t="str">
        <f t="shared" si="232"/>
        <v/>
      </c>
      <c r="K2174" s="31" t="str">
        <f t="shared" si="233"/>
        <v/>
      </c>
      <c r="L2174" s="31" t="str">
        <f>IF(OR(B2174="",C2174=""),"",IFERROR(E2174 / SUMIFS('📅 Resumen Diario'!$D$5:$D$504, '📅 Resumen Diario'!$B$5:$B$504, B2174, '📅 Resumen Diario'!$C$5:$C$504, D2174) * SUMIFS('📅 Resumen Diario'!$K$5:$K$504, '📅 Resumen Diario'!$B$5:$B$504, B2174, '📅 Resumen Diario'!$C$5:$C$504, D2174), 0))</f>
        <v/>
      </c>
      <c r="M2174" s="31" t="str">
        <f t="shared" si="234"/>
        <v/>
      </c>
      <c r="N2174" s="31" t="str">
        <f t="shared" si="235"/>
        <v/>
      </c>
      <c r="O2174" s="31" t="str">
        <f>IF(OR(B2174="",C2174=""),"",K2174-N2174 + IFERROR(E2174 / SUMIFS('📅 Resumen Diario'!$D$5:$D$504, '📅 Resumen Diario'!$B$5:$B$504, B2174, '📅 Resumen Diario'!$C$5:$C$504, D2174) * (SUMIFS('📋 Detalle Diario'!$E$5:$E$489, '📋 Detalle Diario'!$B$5:$B$489, B2174, '📋 Detalle Diario'!$C$5:$C$489, D2174) * 135 + SUMIFS('📋 Detalle Diario'!$I$5:$I$489, '📋 Detalle Diario'!$B$5:$B$489, B2174, '📋 Detalle Diario'!$C$5:$C$489, D2174) * 200), 0))</f>
        <v/>
      </c>
      <c r="P2174" s="32" t="str">
        <f t="shared" si="236"/>
        <v/>
      </c>
      <c r="Q2174" s="33" t="str">
        <f t="shared" si="237"/>
        <v/>
      </c>
    </row>
    <row r="2175" spans="2:17" ht="18" customHeight="1" x14ac:dyDescent="0.3">
      <c r="B2175" s="26"/>
      <c r="C2175" s="28"/>
      <c r="D2175" s="27"/>
      <c r="E2175" s="29"/>
      <c r="F2175" s="29"/>
      <c r="G2175" s="29"/>
      <c r="H2175" s="30" t="str">
        <f t="shared" si="231"/>
        <v/>
      </c>
      <c r="I2175" s="31" t="str">
        <f>IF(OR(B2175="",C2175=""),"",IFERROR(E2175*IF(E2175="",0,VLOOKUP(C2175,'📦 Precios Proforma'!$B$5:$D$104,IF(D2175="DIA",2,3),FALSE)),0))</f>
        <v/>
      </c>
      <c r="J2175" s="31" t="str">
        <f t="shared" si="232"/>
        <v/>
      </c>
      <c r="K2175" s="31" t="str">
        <f t="shared" si="233"/>
        <v/>
      </c>
      <c r="L2175" s="31" t="str">
        <f>IF(OR(B2175="",C2175=""),"",IFERROR(E2175 / SUMIFS('📅 Resumen Diario'!$D$5:$D$504, '📅 Resumen Diario'!$B$5:$B$504, B2175, '📅 Resumen Diario'!$C$5:$C$504, D2175) * SUMIFS('📅 Resumen Diario'!$K$5:$K$504, '📅 Resumen Diario'!$B$5:$B$504, B2175, '📅 Resumen Diario'!$C$5:$C$504, D2175), 0))</f>
        <v/>
      </c>
      <c r="M2175" s="31" t="str">
        <f t="shared" si="234"/>
        <v/>
      </c>
      <c r="N2175" s="31" t="str">
        <f t="shared" si="235"/>
        <v/>
      </c>
      <c r="O2175" s="31" t="str">
        <f>IF(OR(B2175="",C2175=""),"",K2175-N2175 + IFERROR(E2175 / SUMIFS('📅 Resumen Diario'!$D$5:$D$504, '📅 Resumen Diario'!$B$5:$B$504, B2175, '📅 Resumen Diario'!$C$5:$C$504, D2175) * (SUMIFS('📋 Detalle Diario'!$E$5:$E$489, '📋 Detalle Diario'!$B$5:$B$489, B2175, '📋 Detalle Diario'!$C$5:$C$489, D2175) * 135 + SUMIFS('📋 Detalle Diario'!$I$5:$I$489, '📋 Detalle Diario'!$B$5:$B$489, B2175, '📋 Detalle Diario'!$C$5:$C$489, D2175) * 200), 0))</f>
        <v/>
      </c>
      <c r="P2175" s="32" t="str">
        <f t="shared" si="236"/>
        <v/>
      </c>
      <c r="Q2175" s="33" t="str">
        <f t="shared" si="237"/>
        <v/>
      </c>
    </row>
    <row r="2176" spans="2:17" ht="18" customHeight="1" x14ac:dyDescent="0.3">
      <c r="B2176" s="26"/>
      <c r="C2176" s="17"/>
      <c r="D2176" s="27"/>
      <c r="E2176" s="18"/>
      <c r="F2176" s="18"/>
      <c r="G2176" s="18"/>
      <c r="H2176" s="30" t="str">
        <f t="shared" si="231"/>
        <v/>
      </c>
      <c r="I2176" s="31" t="str">
        <f>IF(OR(B2176="",C2176=""),"",IFERROR(E2176*IF(E2176="",0,VLOOKUP(C2176,'📦 Precios Proforma'!$B$5:$D$104,IF(D2176="DIA",2,3),FALSE)),0))</f>
        <v/>
      </c>
      <c r="J2176" s="31" t="str">
        <f t="shared" si="232"/>
        <v/>
      </c>
      <c r="K2176" s="31" t="str">
        <f t="shared" si="233"/>
        <v/>
      </c>
      <c r="L2176" s="31" t="str">
        <f>IF(OR(B2176="",C2176=""),"",IFERROR(E2176 / SUMIFS('📅 Resumen Diario'!$D$5:$D$504, '📅 Resumen Diario'!$B$5:$B$504, B2176, '📅 Resumen Diario'!$C$5:$C$504, D2176) * SUMIFS('📅 Resumen Diario'!$K$5:$K$504, '📅 Resumen Diario'!$B$5:$B$504, B2176, '📅 Resumen Diario'!$C$5:$C$504, D2176), 0))</f>
        <v/>
      </c>
      <c r="M2176" s="31" t="str">
        <f t="shared" si="234"/>
        <v/>
      </c>
      <c r="N2176" s="31" t="str">
        <f t="shared" si="235"/>
        <v/>
      </c>
      <c r="O2176" s="31" t="str">
        <f>IF(OR(B2176="",C2176=""),"",K2176-N2176 + IFERROR(E2176 / SUMIFS('📅 Resumen Diario'!$D$5:$D$504, '📅 Resumen Diario'!$B$5:$B$504, B2176, '📅 Resumen Diario'!$C$5:$C$504, D2176) * (SUMIFS('📋 Detalle Diario'!$E$5:$E$489, '📋 Detalle Diario'!$B$5:$B$489, B2176, '📋 Detalle Diario'!$C$5:$C$489, D2176) * 135 + SUMIFS('📋 Detalle Diario'!$I$5:$I$489, '📋 Detalle Diario'!$B$5:$B$489, B2176, '📋 Detalle Diario'!$C$5:$C$489, D2176) * 200), 0))</f>
        <v/>
      </c>
      <c r="P2176" s="32" t="str">
        <f t="shared" si="236"/>
        <v/>
      </c>
      <c r="Q2176" s="33" t="str">
        <f t="shared" si="237"/>
        <v/>
      </c>
    </row>
    <row r="2177" spans="2:17" ht="18" customHeight="1" x14ac:dyDescent="0.3">
      <c r="B2177" s="26"/>
      <c r="C2177" s="28"/>
      <c r="D2177" s="27"/>
      <c r="E2177" s="29"/>
      <c r="F2177" s="29"/>
      <c r="G2177" s="29"/>
      <c r="H2177" s="30" t="str">
        <f t="shared" si="231"/>
        <v/>
      </c>
      <c r="I2177" s="31" t="str">
        <f>IF(OR(B2177="",C2177=""),"",IFERROR(E2177*IF(E2177="",0,VLOOKUP(C2177,'📦 Precios Proforma'!$B$5:$D$104,IF(D2177="DIA",2,3),FALSE)),0))</f>
        <v/>
      </c>
      <c r="J2177" s="31" t="str">
        <f t="shared" si="232"/>
        <v/>
      </c>
      <c r="K2177" s="31" t="str">
        <f t="shared" si="233"/>
        <v/>
      </c>
      <c r="L2177" s="31" t="str">
        <f>IF(OR(B2177="",C2177=""),"",IFERROR(E2177 / SUMIFS('📅 Resumen Diario'!$D$5:$D$504, '📅 Resumen Diario'!$B$5:$B$504, B2177, '📅 Resumen Diario'!$C$5:$C$504, D2177) * SUMIFS('📅 Resumen Diario'!$K$5:$K$504, '📅 Resumen Diario'!$B$5:$B$504, B2177, '📅 Resumen Diario'!$C$5:$C$504, D2177), 0))</f>
        <v/>
      </c>
      <c r="M2177" s="31" t="str">
        <f t="shared" si="234"/>
        <v/>
      </c>
      <c r="N2177" s="31" t="str">
        <f t="shared" si="235"/>
        <v/>
      </c>
      <c r="O2177" s="31" t="str">
        <f>IF(OR(B2177="",C2177=""),"",K2177-N2177 + IFERROR(E2177 / SUMIFS('📅 Resumen Diario'!$D$5:$D$504, '📅 Resumen Diario'!$B$5:$B$504, B2177, '📅 Resumen Diario'!$C$5:$C$504, D2177) * (SUMIFS('📋 Detalle Diario'!$E$5:$E$489, '📋 Detalle Diario'!$B$5:$B$489, B2177, '📋 Detalle Diario'!$C$5:$C$489, D2177) * 135 + SUMIFS('📋 Detalle Diario'!$I$5:$I$489, '📋 Detalle Diario'!$B$5:$B$489, B2177, '📋 Detalle Diario'!$C$5:$C$489, D2177) * 200), 0))</f>
        <v/>
      </c>
      <c r="P2177" s="32" t="str">
        <f t="shared" si="236"/>
        <v/>
      </c>
      <c r="Q2177" s="33" t="str">
        <f t="shared" si="237"/>
        <v/>
      </c>
    </row>
    <row r="2178" spans="2:17" ht="18" customHeight="1" x14ac:dyDescent="0.3">
      <c r="B2178" s="26"/>
      <c r="C2178" s="17"/>
      <c r="D2178" s="27"/>
      <c r="E2178" s="18"/>
      <c r="F2178" s="18"/>
      <c r="G2178" s="18"/>
      <c r="H2178" s="30" t="str">
        <f t="shared" si="231"/>
        <v/>
      </c>
      <c r="I2178" s="31" t="str">
        <f>IF(OR(B2178="",C2178=""),"",IFERROR(E2178*IF(E2178="",0,VLOOKUP(C2178,'📦 Precios Proforma'!$B$5:$D$104,IF(D2178="DIA",2,3),FALSE)),0))</f>
        <v/>
      </c>
      <c r="J2178" s="31" t="str">
        <f t="shared" si="232"/>
        <v/>
      </c>
      <c r="K2178" s="31" t="str">
        <f t="shared" si="233"/>
        <v/>
      </c>
      <c r="L2178" s="31" t="str">
        <f>IF(OR(B2178="",C2178=""),"",IFERROR(E2178 / SUMIFS('📅 Resumen Diario'!$D$5:$D$504, '📅 Resumen Diario'!$B$5:$B$504, B2178, '📅 Resumen Diario'!$C$5:$C$504, D2178) * SUMIFS('📅 Resumen Diario'!$K$5:$K$504, '📅 Resumen Diario'!$B$5:$B$504, B2178, '📅 Resumen Diario'!$C$5:$C$504, D2178), 0))</f>
        <v/>
      </c>
      <c r="M2178" s="31" t="str">
        <f t="shared" si="234"/>
        <v/>
      </c>
      <c r="N2178" s="31" t="str">
        <f t="shared" si="235"/>
        <v/>
      </c>
      <c r="O2178" s="31" t="str">
        <f>IF(OR(B2178="",C2178=""),"",K2178-N2178 + IFERROR(E2178 / SUMIFS('📅 Resumen Diario'!$D$5:$D$504, '📅 Resumen Diario'!$B$5:$B$504, B2178, '📅 Resumen Diario'!$C$5:$C$504, D2178) * (SUMIFS('📋 Detalle Diario'!$E$5:$E$489, '📋 Detalle Diario'!$B$5:$B$489, B2178, '📋 Detalle Diario'!$C$5:$C$489, D2178) * 135 + SUMIFS('📋 Detalle Diario'!$I$5:$I$489, '📋 Detalle Diario'!$B$5:$B$489, B2178, '📋 Detalle Diario'!$C$5:$C$489, D2178) * 200), 0))</f>
        <v/>
      </c>
      <c r="P2178" s="32" t="str">
        <f t="shared" si="236"/>
        <v/>
      </c>
      <c r="Q2178" s="33" t="str">
        <f t="shared" si="237"/>
        <v/>
      </c>
    </row>
    <row r="2179" spans="2:17" ht="18" customHeight="1" x14ac:dyDescent="0.3">
      <c r="B2179" s="26"/>
      <c r="C2179" s="28"/>
      <c r="D2179" s="27"/>
      <c r="E2179" s="29"/>
      <c r="F2179" s="29"/>
      <c r="G2179" s="29"/>
      <c r="H2179" s="30" t="str">
        <f t="shared" si="231"/>
        <v/>
      </c>
      <c r="I2179" s="31" t="str">
        <f>IF(OR(B2179="",C2179=""),"",IFERROR(E2179*IF(E2179="",0,VLOOKUP(C2179,'📦 Precios Proforma'!$B$5:$D$104,IF(D2179="DIA",2,3),FALSE)),0))</f>
        <v/>
      </c>
      <c r="J2179" s="31" t="str">
        <f t="shared" si="232"/>
        <v/>
      </c>
      <c r="K2179" s="31" t="str">
        <f t="shared" si="233"/>
        <v/>
      </c>
      <c r="L2179" s="31" t="str">
        <f>IF(OR(B2179="",C2179=""),"",IFERROR(E2179 / SUMIFS('📅 Resumen Diario'!$D$5:$D$504, '📅 Resumen Diario'!$B$5:$B$504, B2179, '📅 Resumen Diario'!$C$5:$C$504, D2179) * SUMIFS('📅 Resumen Diario'!$K$5:$K$504, '📅 Resumen Diario'!$B$5:$B$504, B2179, '📅 Resumen Diario'!$C$5:$C$504, D2179), 0))</f>
        <v/>
      </c>
      <c r="M2179" s="31" t="str">
        <f t="shared" si="234"/>
        <v/>
      </c>
      <c r="N2179" s="31" t="str">
        <f t="shared" si="235"/>
        <v/>
      </c>
      <c r="O2179" s="31" t="str">
        <f>IF(OR(B2179="",C2179=""),"",K2179-N2179 + IFERROR(E2179 / SUMIFS('📅 Resumen Diario'!$D$5:$D$504, '📅 Resumen Diario'!$B$5:$B$504, B2179, '📅 Resumen Diario'!$C$5:$C$504, D2179) * (SUMIFS('📋 Detalle Diario'!$E$5:$E$489, '📋 Detalle Diario'!$B$5:$B$489, B2179, '📋 Detalle Diario'!$C$5:$C$489, D2179) * 135 + SUMIFS('📋 Detalle Diario'!$I$5:$I$489, '📋 Detalle Diario'!$B$5:$B$489, B2179, '📋 Detalle Diario'!$C$5:$C$489, D2179) * 200), 0))</f>
        <v/>
      </c>
      <c r="P2179" s="32" t="str">
        <f t="shared" si="236"/>
        <v/>
      </c>
      <c r="Q2179" s="33" t="str">
        <f t="shared" si="237"/>
        <v/>
      </c>
    </row>
    <row r="2180" spans="2:17" ht="18" customHeight="1" x14ac:dyDescent="0.3">
      <c r="B2180" s="26"/>
      <c r="C2180" s="17"/>
      <c r="D2180" s="27"/>
      <c r="E2180" s="18"/>
      <c r="F2180" s="18"/>
      <c r="G2180" s="18"/>
      <c r="H2180" s="30" t="str">
        <f t="shared" si="231"/>
        <v/>
      </c>
      <c r="I2180" s="31" t="str">
        <f>IF(OR(B2180="",C2180=""),"",IFERROR(E2180*IF(E2180="",0,VLOOKUP(C2180,'📦 Precios Proforma'!$B$5:$D$104,IF(D2180="DIA",2,3),FALSE)),0))</f>
        <v/>
      </c>
      <c r="J2180" s="31" t="str">
        <f t="shared" si="232"/>
        <v/>
      </c>
      <c r="K2180" s="31" t="str">
        <f t="shared" si="233"/>
        <v/>
      </c>
      <c r="L2180" s="31" t="str">
        <f>IF(OR(B2180="",C2180=""),"",IFERROR(E2180 / SUMIFS('📅 Resumen Diario'!$D$5:$D$504, '📅 Resumen Diario'!$B$5:$B$504, B2180, '📅 Resumen Diario'!$C$5:$C$504, D2180) * SUMIFS('📅 Resumen Diario'!$K$5:$K$504, '📅 Resumen Diario'!$B$5:$B$504, B2180, '📅 Resumen Diario'!$C$5:$C$504, D2180), 0))</f>
        <v/>
      </c>
      <c r="M2180" s="31" t="str">
        <f t="shared" si="234"/>
        <v/>
      </c>
      <c r="N2180" s="31" t="str">
        <f t="shared" si="235"/>
        <v/>
      </c>
      <c r="O2180" s="31" t="str">
        <f>IF(OR(B2180="",C2180=""),"",K2180-N2180 + IFERROR(E2180 / SUMIFS('📅 Resumen Diario'!$D$5:$D$504, '📅 Resumen Diario'!$B$5:$B$504, B2180, '📅 Resumen Diario'!$C$5:$C$504, D2180) * (SUMIFS('📋 Detalle Diario'!$E$5:$E$489, '📋 Detalle Diario'!$B$5:$B$489, B2180, '📋 Detalle Diario'!$C$5:$C$489, D2180) * 135 + SUMIFS('📋 Detalle Diario'!$I$5:$I$489, '📋 Detalle Diario'!$B$5:$B$489, B2180, '📋 Detalle Diario'!$C$5:$C$489, D2180) * 200), 0))</f>
        <v/>
      </c>
      <c r="P2180" s="32" t="str">
        <f t="shared" si="236"/>
        <v/>
      </c>
      <c r="Q2180" s="33" t="str">
        <f t="shared" si="237"/>
        <v/>
      </c>
    </row>
    <row r="2181" spans="2:17" ht="18" customHeight="1" x14ac:dyDescent="0.3">
      <c r="B2181" s="26"/>
      <c r="C2181" s="28"/>
      <c r="D2181" s="27"/>
      <c r="E2181" s="29"/>
      <c r="F2181" s="29"/>
      <c r="G2181" s="29"/>
      <c r="H2181" s="30" t="str">
        <f t="shared" si="231"/>
        <v/>
      </c>
      <c r="I2181" s="31" t="str">
        <f>IF(OR(B2181="",C2181=""),"",IFERROR(E2181*IF(E2181="",0,VLOOKUP(C2181,'📦 Precios Proforma'!$B$5:$D$104,IF(D2181="DIA",2,3),FALSE)),0))</f>
        <v/>
      </c>
      <c r="J2181" s="31" t="str">
        <f t="shared" si="232"/>
        <v/>
      </c>
      <c r="K2181" s="31" t="str">
        <f t="shared" si="233"/>
        <v/>
      </c>
      <c r="L2181" s="31" t="str">
        <f>IF(OR(B2181="",C2181=""),"",IFERROR(E2181 / SUMIFS('📅 Resumen Diario'!$D$5:$D$504, '📅 Resumen Diario'!$B$5:$B$504, B2181, '📅 Resumen Diario'!$C$5:$C$504, D2181) * SUMIFS('📅 Resumen Diario'!$K$5:$K$504, '📅 Resumen Diario'!$B$5:$B$504, B2181, '📅 Resumen Diario'!$C$5:$C$504, D2181), 0))</f>
        <v/>
      </c>
      <c r="M2181" s="31" t="str">
        <f t="shared" si="234"/>
        <v/>
      </c>
      <c r="N2181" s="31" t="str">
        <f t="shared" si="235"/>
        <v/>
      </c>
      <c r="O2181" s="31" t="str">
        <f>IF(OR(B2181="",C2181=""),"",K2181-N2181 + IFERROR(E2181 / SUMIFS('📅 Resumen Diario'!$D$5:$D$504, '📅 Resumen Diario'!$B$5:$B$504, B2181, '📅 Resumen Diario'!$C$5:$C$504, D2181) * (SUMIFS('📋 Detalle Diario'!$E$5:$E$489, '📋 Detalle Diario'!$B$5:$B$489, B2181, '📋 Detalle Diario'!$C$5:$C$489, D2181) * 135 + SUMIFS('📋 Detalle Diario'!$I$5:$I$489, '📋 Detalle Diario'!$B$5:$B$489, B2181, '📋 Detalle Diario'!$C$5:$C$489, D2181) * 200), 0))</f>
        <v/>
      </c>
      <c r="P2181" s="32" t="str">
        <f t="shared" si="236"/>
        <v/>
      </c>
      <c r="Q2181" s="33" t="str">
        <f t="shared" si="237"/>
        <v/>
      </c>
    </row>
    <row r="2182" spans="2:17" ht="18" customHeight="1" x14ac:dyDescent="0.3">
      <c r="B2182" s="26"/>
      <c r="C2182" s="17"/>
      <c r="D2182" s="27"/>
      <c r="E2182" s="18"/>
      <c r="F2182" s="18"/>
      <c r="G2182" s="18"/>
      <c r="H2182" s="30" t="str">
        <f t="shared" si="231"/>
        <v/>
      </c>
      <c r="I2182" s="31" t="str">
        <f>IF(OR(B2182="",C2182=""),"",IFERROR(E2182*IF(E2182="",0,VLOOKUP(C2182,'📦 Precios Proforma'!$B$5:$D$104,IF(D2182="DIA",2,3),FALSE)),0))</f>
        <v/>
      </c>
      <c r="J2182" s="31" t="str">
        <f t="shared" si="232"/>
        <v/>
      </c>
      <c r="K2182" s="31" t="str">
        <f t="shared" si="233"/>
        <v/>
      </c>
      <c r="L2182" s="31" t="str">
        <f>IF(OR(B2182="",C2182=""),"",IFERROR(E2182 / SUMIFS('📅 Resumen Diario'!$D$5:$D$504, '📅 Resumen Diario'!$B$5:$B$504, B2182, '📅 Resumen Diario'!$C$5:$C$504, D2182) * SUMIFS('📅 Resumen Diario'!$K$5:$K$504, '📅 Resumen Diario'!$B$5:$B$504, B2182, '📅 Resumen Diario'!$C$5:$C$504, D2182), 0))</f>
        <v/>
      </c>
      <c r="M2182" s="31" t="str">
        <f t="shared" si="234"/>
        <v/>
      </c>
      <c r="N2182" s="31" t="str">
        <f t="shared" si="235"/>
        <v/>
      </c>
      <c r="O2182" s="31" t="str">
        <f>IF(OR(B2182="",C2182=""),"",K2182-N2182 + IFERROR(E2182 / SUMIFS('📅 Resumen Diario'!$D$5:$D$504, '📅 Resumen Diario'!$B$5:$B$504, B2182, '📅 Resumen Diario'!$C$5:$C$504, D2182) * (SUMIFS('📋 Detalle Diario'!$E$5:$E$489, '📋 Detalle Diario'!$B$5:$B$489, B2182, '📋 Detalle Diario'!$C$5:$C$489, D2182) * 135 + SUMIFS('📋 Detalle Diario'!$I$5:$I$489, '📋 Detalle Diario'!$B$5:$B$489, B2182, '📋 Detalle Diario'!$C$5:$C$489, D2182) * 200), 0))</f>
        <v/>
      </c>
      <c r="P2182" s="32" t="str">
        <f t="shared" si="236"/>
        <v/>
      </c>
      <c r="Q2182" s="33" t="str">
        <f t="shared" si="237"/>
        <v/>
      </c>
    </row>
    <row r="2183" spans="2:17" ht="18" customHeight="1" x14ac:dyDescent="0.3">
      <c r="B2183" s="26"/>
      <c r="C2183" s="28"/>
      <c r="D2183" s="27"/>
      <c r="E2183" s="29"/>
      <c r="F2183" s="29"/>
      <c r="G2183" s="29"/>
      <c r="H2183" s="30" t="str">
        <f t="shared" ref="H2183:H2246" si="238">IF(OR(B2183="",C2183=""),"",F2183+G2183)</f>
        <v/>
      </c>
      <c r="I2183" s="31" t="str">
        <f>IF(OR(B2183="",C2183=""),"",IFERROR(E2183*IF(E2183="",0,VLOOKUP(C2183,'📦 Precios Proforma'!$B$5:$D$104,IF(D2183="DIA",2,3),FALSE)),0))</f>
        <v/>
      </c>
      <c r="J2183" s="31" t="str">
        <f t="shared" ref="J2183:J2246" si="239">IF(OR(B2183="",C2183=""),"",IF(D2183="DIA",H2183*1.01,H2183*1.35))</f>
        <v/>
      </c>
      <c r="K2183" s="31" t="str">
        <f t="shared" ref="K2183:K2246" si="240">IF(OR(B2183="",C2183=""),"",I2183+J2183)</f>
        <v/>
      </c>
      <c r="L2183" s="31" t="str">
        <f>IF(OR(B2183="",C2183=""),"",IFERROR(E2183 / SUMIFS('📅 Resumen Diario'!$D$5:$D$504, '📅 Resumen Diario'!$B$5:$B$504, B2183, '📅 Resumen Diario'!$C$5:$C$504, D2183) * SUMIFS('📅 Resumen Diario'!$K$5:$K$504, '📅 Resumen Diario'!$B$5:$B$504, B2183, '📅 Resumen Diario'!$C$5:$C$504, D2183), 0))</f>
        <v/>
      </c>
      <c r="M2183" s="31" t="str">
        <f t="shared" ref="M2183:M2246" si="241">IF(OR(B2183="",C2183=""),"",H2183*0.09)</f>
        <v/>
      </c>
      <c r="N2183" s="31" t="str">
        <f t="shared" ref="N2183:N2246" si="242">IF(OR(B2183="",C2183=""),"",L2183+M2183)</f>
        <v/>
      </c>
      <c r="O2183" s="31" t="str">
        <f>IF(OR(B2183="",C2183=""),"",K2183-N2183 + IFERROR(E2183 / SUMIFS('📅 Resumen Diario'!$D$5:$D$504, '📅 Resumen Diario'!$B$5:$B$504, B2183, '📅 Resumen Diario'!$C$5:$C$504, D2183) * (SUMIFS('📋 Detalle Diario'!$E$5:$E$489, '📋 Detalle Diario'!$B$5:$B$489, B2183, '📋 Detalle Diario'!$C$5:$C$489, D2183) * 135 + SUMIFS('📋 Detalle Diario'!$I$5:$I$489, '📋 Detalle Diario'!$B$5:$B$489, B2183, '📋 Detalle Diario'!$C$5:$C$489, D2183) * 200), 0))</f>
        <v/>
      </c>
      <c r="P2183" s="32" t="str">
        <f t="shared" ref="P2183:P2246" si="243">IF(OR(B2183="",C2183=""),"",IF(K2183=0, 0, O2183/K2183))</f>
        <v/>
      </c>
      <c r="Q2183" s="33" t="str">
        <f t="shared" ref="Q2183:Q2246" si="244">IF(B2183="","",IF(ISNUMBER(B2183),YEAR(B2183)&amp;"-"&amp;IF(MONTH(B2183)&lt;10,"0","")&amp;MONTH(B2183),LEFT(B2183,7)))</f>
        <v/>
      </c>
    </row>
    <row r="2184" spans="2:17" ht="18" customHeight="1" x14ac:dyDescent="0.3">
      <c r="B2184" s="26"/>
      <c r="C2184" s="17"/>
      <c r="D2184" s="27"/>
      <c r="E2184" s="18"/>
      <c r="F2184" s="18"/>
      <c r="G2184" s="18"/>
      <c r="H2184" s="30" t="str">
        <f t="shared" si="238"/>
        <v/>
      </c>
      <c r="I2184" s="31" t="str">
        <f>IF(OR(B2184="",C2184=""),"",IFERROR(E2184*IF(E2184="",0,VLOOKUP(C2184,'📦 Precios Proforma'!$B$5:$D$104,IF(D2184="DIA",2,3),FALSE)),0))</f>
        <v/>
      </c>
      <c r="J2184" s="31" t="str">
        <f t="shared" si="239"/>
        <v/>
      </c>
      <c r="K2184" s="31" t="str">
        <f t="shared" si="240"/>
        <v/>
      </c>
      <c r="L2184" s="31" t="str">
        <f>IF(OR(B2184="",C2184=""),"",IFERROR(E2184 / SUMIFS('📅 Resumen Diario'!$D$5:$D$504, '📅 Resumen Diario'!$B$5:$B$504, B2184, '📅 Resumen Diario'!$C$5:$C$504, D2184) * SUMIFS('📅 Resumen Diario'!$K$5:$K$504, '📅 Resumen Diario'!$B$5:$B$504, B2184, '📅 Resumen Diario'!$C$5:$C$504, D2184), 0))</f>
        <v/>
      </c>
      <c r="M2184" s="31" t="str">
        <f t="shared" si="241"/>
        <v/>
      </c>
      <c r="N2184" s="31" t="str">
        <f t="shared" si="242"/>
        <v/>
      </c>
      <c r="O2184" s="31" t="str">
        <f>IF(OR(B2184="",C2184=""),"",K2184-N2184 + IFERROR(E2184 / SUMIFS('📅 Resumen Diario'!$D$5:$D$504, '📅 Resumen Diario'!$B$5:$B$504, B2184, '📅 Resumen Diario'!$C$5:$C$504, D2184) * (SUMIFS('📋 Detalle Diario'!$E$5:$E$489, '📋 Detalle Diario'!$B$5:$B$489, B2184, '📋 Detalle Diario'!$C$5:$C$489, D2184) * 135 + SUMIFS('📋 Detalle Diario'!$I$5:$I$489, '📋 Detalle Diario'!$B$5:$B$489, B2184, '📋 Detalle Diario'!$C$5:$C$489, D2184) * 200), 0))</f>
        <v/>
      </c>
      <c r="P2184" s="32" t="str">
        <f t="shared" si="243"/>
        <v/>
      </c>
      <c r="Q2184" s="33" t="str">
        <f t="shared" si="244"/>
        <v/>
      </c>
    </row>
    <row r="2185" spans="2:17" ht="18" customHeight="1" x14ac:dyDescent="0.3">
      <c r="B2185" s="26"/>
      <c r="C2185" s="28"/>
      <c r="D2185" s="27"/>
      <c r="E2185" s="29"/>
      <c r="F2185" s="29"/>
      <c r="G2185" s="29"/>
      <c r="H2185" s="30" t="str">
        <f t="shared" si="238"/>
        <v/>
      </c>
      <c r="I2185" s="31" t="str">
        <f>IF(OR(B2185="",C2185=""),"",IFERROR(E2185*IF(E2185="",0,VLOOKUP(C2185,'📦 Precios Proforma'!$B$5:$D$104,IF(D2185="DIA",2,3),FALSE)),0))</f>
        <v/>
      </c>
      <c r="J2185" s="31" t="str">
        <f t="shared" si="239"/>
        <v/>
      </c>
      <c r="K2185" s="31" t="str">
        <f t="shared" si="240"/>
        <v/>
      </c>
      <c r="L2185" s="31" t="str">
        <f>IF(OR(B2185="",C2185=""),"",IFERROR(E2185 / SUMIFS('📅 Resumen Diario'!$D$5:$D$504, '📅 Resumen Diario'!$B$5:$B$504, B2185, '📅 Resumen Diario'!$C$5:$C$504, D2185) * SUMIFS('📅 Resumen Diario'!$K$5:$K$504, '📅 Resumen Diario'!$B$5:$B$504, B2185, '📅 Resumen Diario'!$C$5:$C$504, D2185), 0))</f>
        <v/>
      </c>
      <c r="M2185" s="31" t="str">
        <f t="shared" si="241"/>
        <v/>
      </c>
      <c r="N2185" s="31" t="str">
        <f t="shared" si="242"/>
        <v/>
      </c>
      <c r="O2185" s="31" t="str">
        <f>IF(OR(B2185="",C2185=""),"",K2185-N2185 + IFERROR(E2185 / SUMIFS('📅 Resumen Diario'!$D$5:$D$504, '📅 Resumen Diario'!$B$5:$B$504, B2185, '📅 Resumen Diario'!$C$5:$C$504, D2185) * (SUMIFS('📋 Detalle Diario'!$E$5:$E$489, '📋 Detalle Diario'!$B$5:$B$489, B2185, '📋 Detalle Diario'!$C$5:$C$489, D2185) * 135 + SUMIFS('📋 Detalle Diario'!$I$5:$I$489, '📋 Detalle Diario'!$B$5:$B$489, B2185, '📋 Detalle Diario'!$C$5:$C$489, D2185) * 200), 0))</f>
        <v/>
      </c>
      <c r="P2185" s="32" t="str">
        <f t="shared" si="243"/>
        <v/>
      </c>
      <c r="Q2185" s="33" t="str">
        <f t="shared" si="244"/>
        <v/>
      </c>
    </row>
    <row r="2186" spans="2:17" ht="18" customHeight="1" x14ac:dyDescent="0.3">
      <c r="B2186" s="26"/>
      <c r="C2186" s="17"/>
      <c r="D2186" s="27"/>
      <c r="E2186" s="18"/>
      <c r="F2186" s="18"/>
      <c r="G2186" s="18"/>
      <c r="H2186" s="30" t="str">
        <f t="shared" si="238"/>
        <v/>
      </c>
      <c r="I2186" s="31" t="str">
        <f>IF(OR(B2186="",C2186=""),"",IFERROR(E2186*IF(E2186="",0,VLOOKUP(C2186,'📦 Precios Proforma'!$B$5:$D$104,IF(D2186="DIA",2,3),FALSE)),0))</f>
        <v/>
      </c>
      <c r="J2186" s="31" t="str">
        <f t="shared" si="239"/>
        <v/>
      </c>
      <c r="K2186" s="31" t="str">
        <f t="shared" si="240"/>
        <v/>
      </c>
      <c r="L2186" s="31" t="str">
        <f>IF(OR(B2186="",C2186=""),"",IFERROR(E2186 / SUMIFS('📅 Resumen Diario'!$D$5:$D$504, '📅 Resumen Diario'!$B$5:$B$504, B2186, '📅 Resumen Diario'!$C$5:$C$504, D2186) * SUMIFS('📅 Resumen Diario'!$K$5:$K$504, '📅 Resumen Diario'!$B$5:$B$504, B2186, '📅 Resumen Diario'!$C$5:$C$504, D2186), 0))</f>
        <v/>
      </c>
      <c r="M2186" s="31" t="str">
        <f t="shared" si="241"/>
        <v/>
      </c>
      <c r="N2186" s="31" t="str">
        <f t="shared" si="242"/>
        <v/>
      </c>
      <c r="O2186" s="31" t="str">
        <f>IF(OR(B2186="",C2186=""),"",K2186-N2186 + IFERROR(E2186 / SUMIFS('📅 Resumen Diario'!$D$5:$D$504, '📅 Resumen Diario'!$B$5:$B$504, B2186, '📅 Resumen Diario'!$C$5:$C$504, D2186) * (SUMIFS('📋 Detalle Diario'!$E$5:$E$489, '📋 Detalle Diario'!$B$5:$B$489, B2186, '📋 Detalle Diario'!$C$5:$C$489, D2186) * 135 + SUMIFS('📋 Detalle Diario'!$I$5:$I$489, '📋 Detalle Diario'!$B$5:$B$489, B2186, '📋 Detalle Diario'!$C$5:$C$489, D2186) * 200), 0))</f>
        <v/>
      </c>
      <c r="P2186" s="32" t="str">
        <f t="shared" si="243"/>
        <v/>
      </c>
      <c r="Q2186" s="33" t="str">
        <f t="shared" si="244"/>
        <v/>
      </c>
    </row>
    <row r="2187" spans="2:17" ht="18" customHeight="1" x14ac:dyDescent="0.3">
      <c r="B2187" s="26"/>
      <c r="C2187" s="28"/>
      <c r="D2187" s="27"/>
      <c r="E2187" s="29"/>
      <c r="F2187" s="29"/>
      <c r="G2187" s="29"/>
      <c r="H2187" s="30" t="str">
        <f t="shared" si="238"/>
        <v/>
      </c>
      <c r="I2187" s="31" t="str">
        <f>IF(OR(B2187="",C2187=""),"",IFERROR(E2187*IF(E2187="",0,VLOOKUP(C2187,'📦 Precios Proforma'!$B$5:$D$104,IF(D2187="DIA",2,3),FALSE)),0))</f>
        <v/>
      </c>
      <c r="J2187" s="31" t="str">
        <f t="shared" si="239"/>
        <v/>
      </c>
      <c r="K2187" s="31" t="str">
        <f t="shared" si="240"/>
        <v/>
      </c>
      <c r="L2187" s="31" t="str">
        <f>IF(OR(B2187="",C2187=""),"",IFERROR(E2187 / SUMIFS('📅 Resumen Diario'!$D$5:$D$504, '📅 Resumen Diario'!$B$5:$B$504, B2187, '📅 Resumen Diario'!$C$5:$C$504, D2187) * SUMIFS('📅 Resumen Diario'!$K$5:$K$504, '📅 Resumen Diario'!$B$5:$B$504, B2187, '📅 Resumen Diario'!$C$5:$C$504, D2187), 0))</f>
        <v/>
      </c>
      <c r="M2187" s="31" t="str">
        <f t="shared" si="241"/>
        <v/>
      </c>
      <c r="N2187" s="31" t="str">
        <f t="shared" si="242"/>
        <v/>
      </c>
      <c r="O2187" s="31" t="str">
        <f>IF(OR(B2187="",C2187=""),"",K2187-N2187 + IFERROR(E2187 / SUMIFS('📅 Resumen Diario'!$D$5:$D$504, '📅 Resumen Diario'!$B$5:$B$504, B2187, '📅 Resumen Diario'!$C$5:$C$504, D2187) * (SUMIFS('📋 Detalle Diario'!$E$5:$E$489, '📋 Detalle Diario'!$B$5:$B$489, B2187, '📋 Detalle Diario'!$C$5:$C$489, D2187) * 135 + SUMIFS('📋 Detalle Diario'!$I$5:$I$489, '📋 Detalle Diario'!$B$5:$B$489, B2187, '📋 Detalle Diario'!$C$5:$C$489, D2187) * 200), 0))</f>
        <v/>
      </c>
      <c r="P2187" s="32" t="str">
        <f t="shared" si="243"/>
        <v/>
      </c>
      <c r="Q2187" s="33" t="str">
        <f t="shared" si="244"/>
        <v/>
      </c>
    </row>
    <row r="2188" spans="2:17" ht="18" customHeight="1" x14ac:dyDescent="0.3">
      <c r="B2188" s="26"/>
      <c r="C2188" s="17"/>
      <c r="D2188" s="27"/>
      <c r="E2188" s="18"/>
      <c r="F2188" s="18"/>
      <c r="G2188" s="18"/>
      <c r="H2188" s="30" t="str">
        <f t="shared" si="238"/>
        <v/>
      </c>
      <c r="I2188" s="31" t="str">
        <f>IF(OR(B2188="",C2188=""),"",IFERROR(E2188*IF(E2188="",0,VLOOKUP(C2188,'📦 Precios Proforma'!$B$5:$D$104,IF(D2188="DIA",2,3),FALSE)),0))</f>
        <v/>
      </c>
      <c r="J2188" s="31" t="str">
        <f t="shared" si="239"/>
        <v/>
      </c>
      <c r="K2188" s="31" t="str">
        <f t="shared" si="240"/>
        <v/>
      </c>
      <c r="L2188" s="31" t="str">
        <f>IF(OR(B2188="",C2188=""),"",IFERROR(E2188 / SUMIFS('📅 Resumen Diario'!$D$5:$D$504, '📅 Resumen Diario'!$B$5:$B$504, B2188, '📅 Resumen Diario'!$C$5:$C$504, D2188) * SUMIFS('📅 Resumen Diario'!$K$5:$K$504, '📅 Resumen Diario'!$B$5:$B$504, B2188, '📅 Resumen Diario'!$C$5:$C$504, D2188), 0))</f>
        <v/>
      </c>
      <c r="M2188" s="31" t="str">
        <f t="shared" si="241"/>
        <v/>
      </c>
      <c r="N2188" s="31" t="str">
        <f t="shared" si="242"/>
        <v/>
      </c>
      <c r="O2188" s="31" t="str">
        <f>IF(OR(B2188="",C2188=""),"",K2188-N2188 + IFERROR(E2188 / SUMIFS('📅 Resumen Diario'!$D$5:$D$504, '📅 Resumen Diario'!$B$5:$B$504, B2188, '📅 Resumen Diario'!$C$5:$C$504, D2188) * (SUMIFS('📋 Detalle Diario'!$E$5:$E$489, '📋 Detalle Diario'!$B$5:$B$489, B2188, '📋 Detalle Diario'!$C$5:$C$489, D2188) * 135 + SUMIFS('📋 Detalle Diario'!$I$5:$I$489, '📋 Detalle Diario'!$B$5:$B$489, B2188, '📋 Detalle Diario'!$C$5:$C$489, D2188) * 200), 0))</f>
        <v/>
      </c>
      <c r="P2188" s="32" t="str">
        <f t="shared" si="243"/>
        <v/>
      </c>
      <c r="Q2188" s="33" t="str">
        <f t="shared" si="244"/>
        <v/>
      </c>
    </row>
    <row r="2189" spans="2:17" ht="18" customHeight="1" x14ac:dyDescent="0.3">
      <c r="B2189" s="26"/>
      <c r="C2189" s="28"/>
      <c r="D2189" s="27"/>
      <c r="E2189" s="29"/>
      <c r="F2189" s="29"/>
      <c r="G2189" s="29"/>
      <c r="H2189" s="30" t="str">
        <f t="shared" si="238"/>
        <v/>
      </c>
      <c r="I2189" s="31" t="str">
        <f>IF(OR(B2189="",C2189=""),"",IFERROR(E2189*IF(E2189="",0,VLOOKUP(C2189,'📦 Precios Proforma'!$B$5:$D$104,IF(D2189="DIA",2,3),FALSE)),0))</f>
        <v/>
      </c>
      <c r="J2189" s="31" t="str">
        <f t="shared" si="239"/>
        <v/>
      </c>
      <c r="K2189" s="31" t="str">
        <f t="shared" si="240"/>
        <v/>
      </c>
      <c r="L2189" s="31" t="str">
        <f>IF(OR(B2189="",C2189=""),"",IFERROR(E2189 / SUMIFS('📅 Resumen Diario'!$D$5:$D$504, '📅 Resumen Diario'!$B$5:$B$504, B2189, '📅 Resumen Diario'!$C$5:$C$504, D2189) * SUMIFS('📅 Resumen Diario'!$K$5:$K$504, '📅 Resumen Diario'!$B$5:$B$504, B2189, '📅 Resumen Diario'!$C$5:$C$504, D2189), 0))</f>
        <v/>
      </c>
      <c r="M2189" s="31" t="str">
        <f t="shared" si="241"/>
        <v/>
      </c>
      <c r="N2189" s="31" t="str">
        <f t="shared" si="242"/>
        <v/>
      </c>
      <c r="O2189" s="31" t="str">
        <f>IF(OR(B2189="",C2189=""),"",K2189-N2189 + IFERROR(E2189 / SUMIFS('📅 Resumen Diario'!$D$5:$D$504, '📅 Resumen Diario'!$B$5:$B$504, B2189, '📅 Resumen Diario'!$C$5:$C$504, D2189) * (SUMIFS('📋 Detalle Diario'!$E$5:$E$489, '📋 Detalle Diario'!$B$5:$B$489, B2189, '📋 Detalle Diario'!$C$5:$C$489, D2189) * 135 + SUMIFS('📋 Detalle Diario'!$I$5:$I$489, '📋 Detalle Diario'!$B$5:$B$489, B2189, '📋 Detalle Diario'!$C$5:$C$489, D2189) * 200), 0))</f>
        <v/>
      </c>
      <c r="P2189" s="32" t="str">
        <f t="shared" si="243"/>
        <v/>
      </c>
      <c r="Q2189" s="33" t="str">
        <f t="shared" si="244"/>
        <v/>
      </c>
    </row>
    <row r="2190" spans="2:17" ht="18" customHeight="1" x14ac:dyDescent="0.3">
      <c r="B2190" s="26"/>
      <c r="C2190" s="17"/>
      <c r="D2190" s="27"/>
      <c r="E2190" s="18"/>
      <c r="F2190" s="18"/>
      <c r="G2190" s="18"/>
      <c r="H2190" s="30" t="str">
        <f t="shared" si="238"/>
        <v/>
      </c>
      <c r="I2190" s="31" t="str">
        <f>IF(OR(B2190="",C2190=""),"",IFERROR(E2190*IF(E2190="",0,VLOOKUP(C2190,'📦 Precios Proforma'!$B$5:$D$104,IF(D2190="DIA",2,3),FALSE)),0))</f>
        <v/>
      </c>
      <c r="J2190" s="31" t="str">
        <f t="shared" si="239"/>
        <v/>
      </c>
      <c r="K2190" s="31" t="str">
        <f t="shared" si="240"/>
        <v/>
      </c>
      <c r="L2190" s="31" t="str">
        <f>IF(OR(B2190="",C2190=""),"",IFERROR(E2190 / SUMIFS('📅 Resumen Diario'!$D$5:$D$504, '📅 Resumen Diario'!$B$5:$B$504, B2190, '📅 Resumen Diario'!$C$5:$C$504, D2190) * SUMIFS('📅 Resumen Diario'!$K$5:$K$504, '📅 Resumen Diario'!$B$5:$B$504, B2190, '📅 Resumen Diario'!$C$5:$C$504, D2190), 0))</f>
        <v/>
      </c>
      <c r="M2190" s="31" t="str">
        <f t="shared" si="241"/>
        <v/>
      </c>
      <c r="N2190" s="31" t="str">
        <f t="shared" si="242"/>
        <v/>
      </c>
      <c r="O2190" s="31" t="str">
        <f>IF(OR(B2190="",C2190=""),"",K2190-N2190 + IFERROR(E2190 / SUMIFS('📅 Resumen Diario'!$D$5:$D$504, '📅 Resumen Diario'!$B$5:$B$504, B2190, '📅 Resumen Diario'!$C$5:$C$504, D2190) * (SUMIFS('📋 Detalle Diario'!$E$5:$E$489, '📋 Detalle Diario'!$B$5:$B$489, B2190, '📋 Detalle Diario'!$C$5:$C$489, D2190) * 135 + SUMIFS('📋 Detalle Diario'!$I$5:$I$489, '📋 Detalle Diario'!$B$5:$B$489, B2190, '📋 Detalle Diario'!$C$5:$C$489, D2190) * 200), 0))</f>
        <v/>
      </c>
      <c r="P2190" s="32" t="str">
        <f t="shared" si="243"/>
        <v/>
      </c>
      <c r="Q2190" s="33" t="str">
        <f t="shared" si="244"/>
        <v/>
      </c>
    </row>
    <row r="2191" spans="2:17" ht="18" customHeight="1" x14ac:dyDescent="0.3">
      <c r="B2191" s="26"/>
      <c r="C2191" s="28"/>
      <c r="D2191" s="27"/>
      <c r="E2191" s="29"/>
      <c r="F2191" s="29"/>
      <c r="G2191" s="29"/>
      <c r="H2191" s="30" t="str">
        <f t="shared" si="238"/>
        <v/>
      </c>
      <c r="I2191" s="31" t="str">
        <f>IF(OR(B2191="",C2191=""),"",IFERROR(E2191*IF(E2191="",0,VLOOKUP(C2191,'📦 Precios Proforma'!$B$5:$D$104,IF(D2191="DIA",2,3),FALSE)),0))</f>
        <v/>
      </c>
      <c r="J2191" s="31" t="str">
        <f t="shared" si="239"/>
        <v/>
      </c>
      <c r="K2191" s="31" t="str">
        <f t="shared" si="240"/>
        <v/>
      </c>
      <c r="L2191" s="31" t="str">
        <f>IF(OR(B2191="",C2191=""),"",IFERROR(E2191 / SUMIFS('📅 Resumen Diario'!$D$5:$D$504, '📅 Resumen Diario'!$B$5:$B$504, B2191, '📅 Resumen Diario'!$C$5:$C$504, D2191) * SUMIFS('📅 Resumen Diario'!$K$5:$K$504, '📅 Resumen Diario'!$B$5:$B$504, B2191, '📅 Resumen Diario'!$C$5:$C$504, D2191), 0))</f>
        <v/>
      </c>
      <c r="M2191" s="31" t="str">
        <f t="shared" si="241"/>
        <v/>
      </c>
      <c r="N2191" s="31" t="str">
        <f t="shared" si="242"/>
        <v/>
      </c>
      <c r="O2191" s="31" t="str">
        <f>IF(OR(B2191="",C2191=""),"",K2191-N2191 + IFERROR(E2191 / SUMIFS('📅 Resumen Diario'!$D$5:$D$504, '📅 Resumen Diario'!$B$5:$B$504, B2191, '📅 Resumen Diario'!$C$5:$C$504, D2191) * (SUMIFS('📋 Detalle Diario'!$E$5:$E$489, '📋 Detalle Diario'!$B$5:$B$489, B2191, '📋 Detalle Diario'!$C$5:$C$489, D2191) * 135 + SUMIFS('📋 Detalle Diario'!$I$5:$I$489, '📋 Detalle Diario'!$B$5:$B$489, B2191, '📋 Detalle Diario'!$C$5:$C$489, D2191) * 200), 0))</f>
        <v/>
      </c>
      <c r="P2191" s="32" t="str">
        <f t="shared" si="243"/>
        <v/>
      </c>
      <c r="Q2191" s="33" t="str">
        <f t="shared" si="244"/>
        <v/>
      </c>
    </row>
    <row r="2192" spans="2:17" ht="18" customHeight="1" x14ac:dyDescent="0.3">
      <c r="B2192" s="26"/>
      <c r="C2192" s="17"/>
      <c r="D2192" s="27"/>
      <c r="E2192" s="18"/>
      <c r="F2192" s="18"/>
      <c r="G2192" s="18"/>
      <c r="H2192" s="30" t="str">
        <f t="shared" si="238"/>
        <v/>
      </c>
      <c r="I2192" s="31" t="str">
        <f>IF(OR(B2192="",C2192=""),"",IFERROR(E2192*IF(E2192="",0,VLOOKUP(C2192,'📦 Precios Proforma'!$B$5:$D$104,IF(D2192="DIA",2,3),FALSE)),0))</f>
        <v/>
      </c>
      <c r="J2192" s="31" t="str">
        <f t="shared" si="239"/>
        <v/>
      </c>
      <c r="K2192" s="31" t="str">
        <f t="shared" si="240"/>
        <v/>
      </c>
      <c r="L2192" s="31" t="str">
        <f>IF(OR(B2192="",C2192=""),"",IFERROR(E2192 / SUMIFS('📅 Resumen Diario'!$D$5:$D$504, '📅 Resumen Diario'!$B$5:$B$504, B2192, '📅 Resumen Diario'!$C$5:$C$504, D2192) * SUMIFS('📅 Resumen Diario'!$K$5:$K$504, '📅 Resumen Diario'!$B$5:$B$504, B2192, '📅 Resumen Diario'!$C$5:$C$504, D2192), 0))</f>
        <v/>
      </c>
      <c r="M2192" s="31" t="str">
        <f t="shared" si="241"/>
        <v/>
      </c>
      <c r="N2192" s="31" t="str">
        <f t="shared" si="242"/>
        <v/>
      </c>
      <c r="O2192" s="31" t="str">
        <f>IF(OR(B2192="",C2192=""),"",K2192-N2192 + IFERROR(E2192 / SUMIFS('📅 Resumen Diario'!$D$5:$D$504, '📅 Resumen Diario'!$B$5:$B$504, B2192, '📅 Resumen Diario'!$C$5:$C$504, D2192) * (SUMIFS('📋 Detalle Diario'!$E$5:$E$489, '📋 Detalle Diario'!$B$5:$B$489, B2192, '📋 Detalle Diario'!$C$5:$C$489, D2192) * 135 + SUMIFS('📋 Detalle Diario'!$I$5:$I$489, '📋 Detalle Diario'!$B$5:$B$489, B2192, '📋 Detalle Diario'!$C$5:$C$489, D2192) * 200), 0))</f>
        <v/>
      </c>
      <c r="P2192" s="32" t="str">
        <f t="shared" si="243"/>
        <v/>
      </c>
      <c r="Q2192" s="33" t="str">
        <f t="shared" si="244"/>
        <v/>
      </c>
    </row>
    <row r="2193" spans="2:17" ht="18" customHeight="1" x14ac:dyDescent="0.3">
      <c r="B2193" s="26"/>
      <c r="C2193" s="28"/>
      <c r="D2193" s="27"/>
      <c r="E2193" s="29"/>
      <c r="F2193" s="29"/>
      <c r="G2193" s="29"/>
      <c r="H2193" s="30" t="str">
        <f t="shared" si="238"/>
        <v/>
      </c>
      <c r="I2193" s="31" t="str">
        <f>IF(OR(B2193="",C2193=""),"",IFERROR(E2193*IF(E2193="",0,VLOOKUP(C2193,'📦 Precios Proforma'!$B$5:$D$104,IF(D2193="DIA",2,3),FALSE)),0))</f>
        <v/>
      </c>
      <c r="J2193" s="31" t="str">
        <f t="shared" si="239"/>
        <v/>
      </c>
      <c r="K2193" s="31" t="str">
        <f t="shared" si="240"/>
        <v/>
      </c>
      <c r="L2193" s="31" t="str">
        <f>IF(OR(B2193="",C2193=""),"",IFERROR(E2193 / SUMIFS('📅 Resumen Diario'!$D$5:$D$504, '📅 Resumen Diario'!$B$5:$B$504, B2193, '📅 Resumen Diario'!$C$5:$C$504, D2193) * SUMIFS('📅 Resumen Diario'!$K$5:$K$504, '📅 Resumen Diario'!$B$5:$B$504, B2193, '📅 Resumen Diario'!$C$5:$C$504, D2193), 0))</f>
        <v/>
      </c>
      <c r="M2193" s="31" t="str">
        <f t="shared" si="241"/>
        <v/>
      </c>
      <c r="N2193" s="31" t="str">
        <f t="shared" si="242"/>
        <v/>
      </c>
      <c r="O2193" s="31" t="str">
        <f>IF(OR(B2193="",C2193=""),"",K2193-N2193 + IFERROR(E2193 / SUMIFS('📅 Resumen Diario'!$D$5:$D$504, '📅 Resumen Diario'!$B$5:$B$504, B2193, '📅 Resumen Diario'!$C$5:$C$504, D2193) * (SUMIFS('📋 Detalle Diario'!$E$5:$E$489, '📋 Detalle Diario'!$B$5:$B$489, B2193, '📋 Detalle Diario'!$C$5:$C$489, D2193) * 135 + SUMIFS('📋 Detalle Diario'!$I$5:$I$489, '📋 Detalle Diario'!$B$5:$B$489, B2193, '📋 Detalle Diario'!$C$5:$C$489, D2193) * 200), 0))</f>
        <v/>
      </c>
      <c r="P2193" s="32" t="str">
        <f t="shared" si="243"/>
        <v/>
      </c>
      <c r="Q2193" s="33" t="str">
        <f t="shared" si="244"/>
        <v/>
      </c>
    </row>
    <row r="2194" spans="2:17" ht="18" customHeight="1" x14ac:dyDescent="0.3">
      <c r="B2194" s="26"/>
      <c r="C2194" s="17"/>
      <c r="D2194" s="27"/>
      <c r="E2194" s="18"/>
      <c r="F2194" s="18"/>
      <c r="G2194" s="18"/>
      <c r="H2194" s="30" t="str">
        <f t="shared" si="238"/>
        <v/>
      </c>
      <c r="I2194" s="31" t="str">
        <f>IF(OR(B2194="",C2194=""),"",IFERROR(E2194*IF(E2194="",0,VLOOKUP(C2194,'📦 Precios Proforma'!$B$5:$D$104,IF(D2194="DIA",2,3),FALSE)),0))</f>
        <v/>
      </c>
      <c r="J2194" s="31" t="str">
        <f t="shared" si="239"/>
        <v/>
      </c>
      <c r="K2194" s="31" t="str">
        <f t="shared" si="240"/>
        <v/>
      </c>
      <c r="L2194" s="31" t="str">
        <f>IF(OR(B2194="",C2194=""),"",IFERROR(E2194 / SUMIFS('📅 Resumen Diario'!$D$5:$D$504, '📅 Resumen Diario'!$B$5:$B$504, B2194, '📅 Resumen Diario'!$C$5:$C$504, D2194) * SUMIFS('📅 Resumen Diario'!$K$5:$K$504, '📅 Resumen Diario'!$B$5:$B$504, B2194, '📅 Resumen Diario'!$C$5:$C$504, D2194), 0))</f>
        <v/>
      </c>
      <c r="M2194" s="31" t="str">
        <f t="shared" si="241"/>
        <v/>
      </c>
      <c r="N2194" s="31" t="str">
        <f t="shared" si="242"/>
        <v/>
      </c>
      <c r="O2194" s="31" t="str">
        <f>IF(OR(B2194="",C2194=""),"",K2194-N2194 + IFERROR(E2194 / SUMIFS('📅 Resumen Diario'!$D$5:$D$504, '📅 Resumen Diario'!$B$5:$B$504, B2194, '📅 Resumen Diario'!$C$5:$C$504, D2194) * (SUMIFS('📋 Detalle Diario'!$E$5:$E$489, '📋 Detalle Diario'!$B$5:$B$489, B2194, '📋 Detalle Diario'!$C$5:$C$489, D2194) * 135 + SUMIFS('📋 Detalle Diario'!$I$5:$I$489, '📋 Detalle Diario'!$B$5:$B$489, B2194, '📋 Detalle Diario'!$C$5:$C$489, D2194) * 200), 0))</f>
        <v/>
      </c>
      <c r="P2194" s="32" t="str">
        <f t="shared" si="243"/>
        <v/>
      </c>
      <c r="Q2194" s="33" t="str">
        <f t="shared" si="244"/>
        <v/>
      </c>
    </row>
    <row r="2195" spans="2:17" ht="18" customHeight="1" x14ac:dyDescent="0.3">
      <c r="B2195" s="26"/>
      <c r="C2195" s="28"/>
      <c r="D2195" s="27"/>
      <c r="E2195" s="29"/>
      <c r="F2195" s="29"/>
      <c r="G2195" s="29"/>
      <c r="H2195" s="30" t="str">
        <f t="shared" si="238"/>
        <v/>
      </c>
      <c r="I2195" s="31" t="str">
        <f>IF(OR(B2195="",C2195=""),"",IFERROR(E2195*IF(E2195="",0,VLOOKUP(C2195,'📦 Precios Proforma'!$B$5:$D$104,IF(D2195="DIA",2,3),FALSE)),0))</f>
        <v/>
      </c>
      <c r="J2195" s="31" t="str">
        <f t="shared" si="239"/>
        <v/>
      </c>
      <c r="K2195" s="31" t="str">
        <f t="shared" si="240"/>
        <v/>
      </c>
      <c r="L2195" s="31" t="str">
        <f>IF(OR(B2195="",C2195=""),"",IFERROR(E2195 / SUMIFS('📅 Resumen Diario'!$D$5:$D$504, '📅 Resumen Diario'!$B$5:$B$504, B2195, '📅 Resumen Diario'!$C$5:$C$504, D2195) * SUMIFS('📅 Resumen Diario'!$K$5:$K$504, '📅 Resumen Diario'!$B$5:$B$504, B2195, '📅 Resumen Diario'!$C$5:$C$504, D2195), 0))</f>
        <v/>
      </c>
      <c r="M2195" s="31" t="str">
        <f t="shared" si="241"/>
        <v/>
      </c>
      <c r="N2195" s="31" t="str">
        <f t="shared" si="242"/>
        <v/>
      </c>
      <c r="O2195" s="31" t="str">
        <f>IF(OR(B2195="",C2195=""),"",K2195-N2195 + IFERROR(E2195 / SUMIFS('📅 Resumen Diario'!$D$5:$D$504, '📅 Resumen Diario'!$B$5:$B$504, B2195, '📅 Resumen Diario'!$C$5:$C$504, D2195) * (SUMIFS('📋 Detalle Diario'!$E$5:$E$489, '📋 Detalle Diario'!$B$5:$B$489, B2195, '📋 Detalle Diario'!$C$5:$C$489, D2195) * 135 + SUMIFS('📋 Detalle Diario'!$I$5:$I$489, '📋 Detalle Diario'!$B$5:$B$489, B2195, '📋 Detalle Diario'!$C$5:$C$489, D2195) * 200), 0))</f>
        <v/>
      </c>
      <c r="P2195" s="32" t="str">
        <f t="shared" si="243"/>
        <v/>
      </c>
      <c r="Q2195" s="33" t="str">
        <f t="shared" si="244"/>
        <v/>
      </c>
    </row>
    <row r="2196" spans="2:17" ht="18" customHeight="1" x14ac:dyDescent="0.3">
      <c r="B2196" s="26"/>
      <c r="C2196" s="17"/>
      <c r="D2196" s="27"/>
      <c r="E2196" s="18"/>
      <c r="F2196" s="18"/>
      <c r="G2196" s="18"/>
      <c r="H2196" s="30" t="str">
        <f t="shared" si="238"/>
        <v/>
      </c>
      <c r="I2196" s="31" t="str">
        <f>IF(OR(B2196="",C2196=""),"",IFERROR(E2196*IF(E2196="",0,VLOOKUP(C2196,'📦 Precios Proforma'!$B$5:$D$104,IF(D2196="DIA",2,3),FALSE)),0))</f>
        <v/>
      </c>
      <c r="J2196" s="31" t="str">
        <f t="shared" si="239"/>
        <v/>
      </c>
      <c r="K2196" s="31" t="str">
        <f t="shared" si="240"/>
        <v/>
      </c>
      <c r="L2196" s="31" t="str">
        <f>IF(OR(B2196="",C2196=""),"",IFERROR(E2196 / SUMIFS('📅 Resumen Diario'!$D$5:$D$504, '📅 Resumen Diario'!$B$5:$B$504, B2196, '📅 Resumen Diario'!$C$5:$C$504, D2196) * SUMIFS('📅 Resumen Diario'!$K$5:$K$504, '📅 Resumen Diario'!$B$5:$B$504, B2196, '📅 Resumen Diario'!$C$5:$C$504, D2196), 0))</f>
        <v/>
      </c>
      <c r="M2196" s="31" t="str">
        <f t="shared" si="241"/>
        <v/>
      </c>
      <c r="N2196" s="31" t="str">
        <f t="shared" si="242"/>
        <v/>
      </c>
      <c r="O2196" s="31" t="str">
        <f>IF(OR(B2196="",C2196=""),"",K2196-N2196 + IFERROR(E2196 / SUMIFS('📅 Resumen Diario'!$D$5:$D$504, '📅 Resumen Diario'!$B$5:$B$504, B2196, '📅 Resumen Diario'!$C$5:$C$504, D2196) * (SUMIFS('📋 Detalle Diario'!$E$5:$E$489, '📋 Detalle Diario'!$B$5:$B$489, B2196, '📋 Detalle Diario'!$C$5:$C$489, D2196) * 135 + SUMIFS('📋 Detalle Diario'!$I$5:$I$489, '📋 Detalle Diario'!$B$5:$B$489, B2196, '📋 Detalle Diario'!$C$5:$C$489, D2196) * 200), 0))</f>
        <v/>
      </c>
      <c r="P2196" s="32" t="str">
        <f t="shared" si="243"/>
        <v/>
      </c>
      <c r="Q2196" s="33" t="str">
        <f t="shared" si="244"/>
        <v/>
      </c>
    </row>
    <row r="2197" spans="2:17" ht="18" customHeight="1" x14ac:dyDescent="0.3">
      <c r="B2197" s="26"/>
      <c r="C2197" s="28"/>
      <c r="D2197" s="27"/>
      <c r="E2197" s="29"/>
      <c r="F2197" s="29"/>
      <c r="G2197" s="29"/>
      <c r="H2197" s="30" t="str">
        <f t="shared" si="238"/>
        <v/>
      </c>
      <c r="I2197" s="31" t="str">
        <f>IF(OR(B2197="",C2197=""),"",IFERROR(E2197*IF(E2197="",0,VLOOKUP(C2197,'📦 Precios Proforma'!$B$5:$D$104,IF(D2197="DIA",2,3),FALSE)),0))</f>
        <v/>
      </c>
      <c r="J2197" s="31" t="str">
        <f t="shared" si="239"/>
        <v/>
      </c>
      <c r="K2197" s="31" t="str">
        <f t="shared" si="240"/>
        <v/>
      </c>
      <c r="L2197" s="31" t="str">
        <f>IF(OR(B2197="",C2197=""),"",IFERROR(E2197 / SUMIFS('📅 Resumen Diario'!$D$5:$D$504, '📅 Resumen Diario'!$B$5:$B$504, B2197, '📅 Resumen Diario'!$C$5:$C$504, D2197) * SUMIFS('📅 Resumen Diario'!$K$5:$K$504, '📅 Resumen Diario'!$B$5:$B$504, B2197, '📅 Resumen Diario'!$C$5:$C$504, D2197), 0))</f>
        <v/>
      </c>
      <c r="M2197" s="31" t="str">
        <f t="shared" si="241"/>
        <v/>
      </c>
      <c r="N2197" s="31" t="str">
        <f t="shared" si="242"/>
        <v/>
      </c>
      <c r="O2197" s="31" t="str">
        <f>IF(OR(B2197="",C2197=""),"",K2197-N2197 + IFERROR(E2197 / SUMIFS('📅 Resumen Diario'!$D$5:$D$504, '📅 Resumen Diario'!$B$5:$B$504, B2197, '📅 Resumen Diario'!$C$5:$C$504, D2197) * (SUMIFS('📋 Detalle Diario'!$E$5:$E$489, '📋 Detalle Diario'!$B$5:$B$489, B2197, '📋 Detalle Diario'!$C$5:$C$489, D2197) * 135 + SUMIFS('📋 Detalle Diario'!$I$5:$I$489, '📋 Detalle Diario'!$B$5:$B$489, B2197, '📋 Detalle Diario'!$C$5:$C$489, D2197) * 200), 0))</f>
        <v/>
      </c>
      <c r="P2197" s="32" t="str">
        <f t="shared" si="243"/>
        <v/>
      </c>
      <c r="Q2197" s="33" t="str">
        <f t="shared" si="244"/>
        <v/>
      </c>
    </row>
    <row r="2198" spans="2:17" ht="18" customHeight="1" x14ac:dyDescent="0.3">
      <c r="B2198" s="26"/>
      <c r="C2198" s="17"/>
      <c r="D2198" s="27"/>
      <c r="E2198" s="18"/>
      <c r="F2198" s="18"/>
      <c r="G2198" s="18"/>
      <c r="H2198" s="30" t="str">
        <f t="shared" si="238"/>
        <v/>
      </c>
      <c r="I2198" s="31" t="str">
        <f>IF(OR(B2198="",C2198=""),"",IFERROR(E2198*IF(E2198="",0,VLOOKUP(C2198,'📦 Precios Proforma'!$B$5:$D$104,IF(D2198="DIA",2,3),FALSE)),0))</f>
        <v/>
      </c>
      <c r="J2198" s="31" t="str">
        <f t="shared" si="239"/>
        <v/>
      </c>
      <c r="K2198" s="31" t="str">
        <f t="shared" si="240"/>
        <v/>
      </c>
      <c r="L2198" s="31" t="str">
        <f>IF(OR(B2198="",C2198=""),"",IFERROR(E2198 / SUMIFS('📅 Resumen Diario'!$D$5:$D$504, '📅 Resumen Diario'!$B$5:$B$504, B2198, '📅 Resumen Diario'!$C$5:$C$504, D2198) * SUMIFS('📅 Resumen Diario'!$K$5:$K$504, '📅 Resumen Diario'!$B$5:$B$504, B2198, '📅 Resumen Diario'!$C$5:$C$504, D2198), 0))</f>
        <v/>
      </c>
      <c r="M2198" s="31" t="str">
        <f t="shared" si="241"/>
        <v/>
      </c>
      <c r="N2198" s="31" t="str">
        <f t="shared" si="242"/>
        <v/>
      </c>
      <c r="O2198" s="31" t="str">
        <f>IF(OR(B2198="",C2198=""),"",K2198-N2198 + IFERROR(E2198 / SUMIFS('📅 Resumen Diario'!$D$5:$D$504, '📅 Resumen Diario'!$B$5:$B$504, B2198, '📅 Resumen Diario'!$C$5:$C$504, D2198) * (SUMIFS('📋 Detalle Diario'!$E$5:$E$489, '📋 Detalle Diario'!$B$5:$B$489, B2198, '📋 Detalle Diario'!$C$5:$C$489, D2198) * 135 + SUMIFS('📋 Detalle Diario'!$I$5:$I$489, '📋 Detalle Diario'!$B$5:$B$489, B2198, '📋 Detalle Diario'!$C$5:$C$489, D2198) * 200), 0))</f>
        <v/>
      </c>
      <c r="P2198" s="32" t="str">
        <f t="shared" si="243"/>
        <v/>
      </c>
      <c r="Q2198" s="33" t="str">
        <f t="shared" si="244"/>
        <v/>
      </c>
    </row>
    <row r="2199" spans="2:17" ht="18" customHeight="1" x14ac:dyDescent="0.3">
      <c r="B2199" s="26"/>
      <c r="C2199" s="28"/>
      <c r="D2199" s="27"/>
      <c r="E2199" s="29"/>
      <c r="F2199" s="29"/>
      <c r="G2199" s="29"/>
      <c r="H2199" s="30" t="str">
        <f t="shared" si="238"/>
        <v/>
      </c>
      <c r="I2199" s="31" t="str">
        <f>IF(OR(B2199="",C2199=""),"",IFERROR(E2199*IF(E2199="",0,VLOOKUP(C2199,'📦 Precios Proforma'!$B$5:$D$104,IF(D2199="DIA",2,3),FALSE)),0))</f>
        <v/>
      </c>
      <c r="J2199" s="31" t="str">
        <f t="shared" si="239"/>
        <v/>
      </c>
      <c r="K2199" s="31" t="str">
        <f t="shared" si="240"/>
        <v/>
      </c>
      <c r="L2199" s="31" t="str">
        <f>IF(OR(B2199="",C2199=""),"",IFERROR(E2199 / SUMIFS('📅 Resumen Diario'!$D$5:$D$504, '📅 Resumen Diario'!$B$5:$B$504, B2199, '📅 Resumen Diario'!$C$5:$C$504, D2199) * SUMIFS('📅 Resumen Diario'!$K$5:$K$504, '📅 Resumen Diario'!$B$5:$B$504, B2199, '📅 Resumen Diario'!$C$5:$C$504, D2199), 0))</f>
        <v/>
      </c>
      <c r="M2199" s="31" t="str">
        <f t="shared" si="241"/>
        <v/>
      </c>
      <c r="N2199" s="31" t="str">
        <f t="shared" si="242"/>
        <v/>
      </c>
      <c r="O2199" s="31" t="str">
        <f>IF(OR(B2199="",C2199=""),"",K2199-N2199 + IFERROR(E2199 / SUMIFS('📅 Resumen Diario'!$D$5:$D$504, '📅 Resumen Diario'!$B$5:$B$504, B2199, '📅 Resumen Diario'!$C$5:$C$504, D2199) * (SUMIFS('📋 Detalle Diario'!$E$5:$E$489, '📋 Detalle Diario'!$B$5:$B$489, B2199, '📋 Detalle Diario'!$C$5:$C$489, D2199) * 135 + SUMIFS('📋 Detalle Diario'!$I$5:$I$489, '📋 Detalle Diario'!$B$5:$B$489, B2199, '📋 Detalle Diario'!$C$5:$C$489, D2199) * 200), 0))</f>
        <v/>
      </c>
      <c r="P2199" s="32" t="str">
        <f t="shared" si="243"/>
        <v/>
      </c>
      <c r="Q2199" s="33" t="str">
        <f t="shared" si="244"/>
        <v/>
      </c>
    </row>
    <row r="2200" spans="2:17" ht="18" customHeight="1" x14ac:dyDescent="0.3">
      <c r="B2200" s="26"/>
      <c r="C2200" s="17"/>
      <c r="D2200" s="27"/>
      <c r="E2200" s="18"/>
      <c r="F2200" s="18"/>
      <c r="G2200" s="18"/>
      <c r="H2200" s="30" t="str">
        <f t="shared" si="238"/>
        <v/>
      </c>
      <c r="I2200" s="31" t="str">
        <f>IF(OR(B2200="",C2200=""),"",IFERROR(E2200*IF(E2200="",0,VLOOKUP(C2200,'📦 Precios Proforma'!$B$5:$D$104,IF(D2200="DIA",2,3),FALSE)),0))</f>
        <v/>
      </c>
      <c r="J2200" s="31" t="str">
        <f t="shared" si="239"/>
        <v/>
      </c>
      <c r="K2200" s="31" t="str">
        <f t="shared" si="240"/>
        <v/>
      </c>
      <c r="L2200" s="31" t="str">
        <f>IF(OR(B2200="",C2200=""),"",IFERROR(E2200 / SUMIFS('📅 Resumen Diario'!$D$5:$D$504, '📅 Resumen Diario'!$B$5:$B$504, B2200, '📅 Resumen Diario'!$C$5:$C$504, D2200) * SUMIFS('📅 Resumen Diario'!$K$5:$K$504, '📅 Resumen Diario'!$B$5:$B$504, B2200, '📅 Resumen Diario'!$C$5:$C$504, D2200), 0))</f>
        <v/>
      </c>
      <c r="M2200" s="31" t="str">
        <f t="shared" si="241"/>
        <v/>
      </c>
      <c r="N2200" s="31" t="str">
        <f t="shared" si="242"/>
        <v/>
      </c>
      <c r="O2200" s="31" t="str">
        <f>IF(OR(B2200="",C2200=""),"",K2200-N2200 + IFERROR(E2200 / SUMIFS('📅 Resumen Diario'!$D$5:$D$504, '📅 Resumen Diario'!$B$5:$B$504, B2200, '📅 Resumen Diario'!$C$5:$C$504, D2200) * (SUMIFS('📋 Detalle Diario'!$E$5:$E$489, '📋 Detalle Diario'!$B$5:$B$489, B2200, '📋 Detalle Diario'!$C$5:$C$489, D2200) * 135 + SUMIFS('📋 Detalle Diario'!$I$5:$I$489, '📋 Detalle Diario'!$B$5:$B$489, B2200, '📋 Detalle Diario'!$C$5:$C$489, D2200) * 200), 0))</f>
        <v/>
      </c>
      <c r="P2200" s="32" t="str">
        <f t="shared" si="243"/>
        <v/>
      </c>
      <c r="Q2200" s="33" t="str">
        <f t="shared" si="244"/>
        <v/>
      </c>
    </row>
    <row r="2201" spans="2:17" ht="18" customHeight="1" x14ac:dyDescent="0.3">
      <c r="B2201" s="26"/>
      <c r="C2201" s="28"/>
      <c r="D2201" s="27"/>
      <c r="E2201" s="29"/>
      <c r="F2201" s="29"/>
      <c r="G2201" s="29"/>
      <c r="H2201" s="30" t="str">
        <f t="shared" si="238"/>
        <v/>
      </c>
      <c r="I2201" s="31" t="str">
        <f>IF(OR(B2201="",C2201=""),"",IFERROR(E2201*IF(E2201="",0,VLOOKUP(C2201,'📦 Precios Proforma'!$B$5:$D$104,IF(D2201="DIA",2,3),FALSE)),0))</f>
        <v/>
      </c>
      <c r="J2201" s="31" t="str">
        <f t="shared" si="239"/>
        <v/>
      </c>
      <c r="K2201" s="31" t="str">
        <f t="shared" si="240"/>
        <v/>
      </c>
      <c r="L2201" s="31" t="str">
        <f>IF(OR(B2201="",C2201=""),"",IFERROR(E2201 / SUMIFS('📅 Resumen Diario'!$D$5:$D$504, '📅 Resumen Diario'!$B$5:$B$504, B2201, '📅 Resumen Diario'!$C$5:$C$504, D2201) * SUMIFS('📅 Resumen Diario'!$K$5:$K$504, '📅 Resumen Diario'!$B$5:$B$504, B2201, '📅 Resumen Diario'!$C$5:$C$504, D2201), 0))</f>
        <v/>
      </c>
      <c r="M2201" s="31" t="str">
        <f t="shared" si="241"/>
        <v/>
      </c>
      <c r="N2201" s="31" t="str">
        <f t="shared" si="242"/>
        <v/>
      </c>
      <c r="O2201" s="31" t="str">
        <f>IF(OR(B2201="",C2201=""),"",K2201-N2201 + IFERROR(E2201 / SUMIFS('📅 Resumen Diario'!$D$5:$D$504, '📅 Resumen Diario'!$B$5:$B$504, B2201, '📅 Resumen Diario'!$C$5:$C$504, D2201) * (SUMIFS('📋 Detalle Diario'!$E$5:$E$489, '📋 Detalle Diario'!$B$5:$B$489, B2201, '📋 Detalle Diario'!$C$5:$C$489, D2201) * 135 + SUMIFS('📋 Detalle Diario'!$I$5:$I$489, '📋 Detalle Diario'!$B$5:$B$489, B2201, '📋 Detalle Diario'!$C$5:$C$489, D2201) * 200), 0))</f>
        <v/>
      </c>
      <c r="P2201" s="32" t="str">
        <f t="shared" si="243"/>
        <v/>
      </c>
      <c r="Q2201" s="33" t="str">
        <f t="shared" si="244"/>
        <v/>
      </c>
    </row>
    <row r="2202" spans="2:17" ht="18" customHeight="1" x14ac:dyDescent="0.3">
      <c r="B2202" s="26"/>
      <c r="C2202" s="17"/>
      <c r="D2202" s="27"/>
      <c r="E2202" s="18"/>
      <c r="F2202" s="18"/>
      <c r="G2202" s="18"/>
      <c r="H2202" s="30" t="str">
        <f t="shared" si="238"/>
        <v/>
      </c>
      <c r="I2202" s="31" t="str">
        <f>IF(OR(B2202="",C2202=""),"",IFERROR(E2202*IF(E2202="",0,VLOOKUP(C2202,'📦 Precios Proforma'!$B$5:$D$104,IF(D2202="DIA",2,3),FALSE)),0))</f>
        <v/>
      </c>
      <c r="J2202" s="31" t="str">
        <f t="shared" si="239"/>
        <v/>
      </c>
      <c r="K2202" s="31" t="str">
        <f t="shared" si="240"/>
        <v/>
      </c>
      <c r="L2202" s="31" t="str">
        <f>IF(OR(B2202="",C2202=""),"",IFERROR(E2202 / SUMIFS('📅 Resumen Diario'!$D$5:$D$504, '📅 Resumen Diario'!$B$5:$B$504, B2202, '📅 Resumen Diario'!$C$5:$C$504, D2202) * SUMIFS('📅 Resumen Diario'!$K$5:$K$504, '📅 Resumen Diario'!$B$5:$B$504, B2202, '📅 Resumen Diario'!$C$5:$C$504, D2202), 0))</f>
        <v/>
      </c>
      <c r="M2202" s="31" t="str">
        <f t="shared" si="241"/>
        <v/>
      </c>
      <c r="N2202" s="31" t="str">
        <f t="shared" si="242"/>
        <v/>
      </c>
      <c r="O2202" s="31" t="str">
        <f>IF(OR(B2202="",C2202=""),"",K2202-N2202 + IFERROR(E2202 / SUMIFS('📅 Resumen Diario'!$D$5:$D$504, '📅 Resumen Diario'!$B$5:$B$504, B2202, '📅 Resumen Diario'!$C$5:$C$504, D2202) * (SUMIFS('📋 Detalle Diario'!$E$5:$E$489, '📋 Detalle Diario'!$B$5:$B$489, B2202, '📋 Detalle Diario'!$C$5:$C$489, D2202) * 135 + SUMIFS('📋 Detalle Diario'!$I$5:$I$489, '📋 Detalle Diario'!$B$5:$B$489, B2202, '📋 Detalle Diario'!$C$5:$C$489, D2202) * 200), 0))</f>
        <v/>
      </c>
      <c r="P2202" s="32" t="str">
        <f t="shared" si="243"/>
        <v/>
      </c>
      <c r="Q2202" s="33" t="str">
        <f t="shared" si="244"/>
        <v/>
      </c>
    </row>
    <row r="2203" spans="2:17" ht="18" customHeight="1" x14ac:dyDescent="0.3">
      <c r="B2203" s="26"/>
      <c r="C2203" s="28"/>
      <c r="D2203" s="27"/>
      <c r="E2203" s="29"/>
      <c r="F2203" s="29"/>
      <c r="G2203" s="29"/>
      <c r="H2203" s="30" t="str">
        <f t="shared" si="238"/>
        <v/>
      </c>
      <c r="I2203" s="31" t="str">
        <f>IF(OR(B2203="",C2203=""),"",IFERROR(E2203*IF(E2203="",0,VLOOKUP(C2203,'📦 Precios Proforma'!$B$5:$D$104,IF(D2203="DIA",2,3),FALSE)),0))</f>
        <v/>
      </c>
      <c r="J2203" s="31" t="str">
        <f t="shared" si="239"/>
        <v/>
      </c>
      <c r="K2203" s="31" t="str">
        <f t="shared" si="240"/>
        <v/>
      </c>
      <c r="L2203" s="31" t="str">
        <f>IF(OR(B2203="",C2203=""),"",IFERROR(E2203 / SUMIFS('📅 Resumen Diario'!$D$5:$D$504, '📅 Resumen Diario'!$B$5:$B$504, B2203, '📅 Resumen Diario'!$C$5:$C$504, D2203) * SUMIFS('📅 Resumen Diario'!$K$5:$K$504, '📅 Resumen Diario'!$B$5:$B$504, B2203, '📅 Resumen Diario'!$C$5:$C$504, D2203), 0))</f>
        <v/>
      </c>
      <c r="M2203" s="31" t="str">
        <f t="shared" si="241"/>
        <v/>
      </c>
      <c r="N2203" s="31" t="str">
        <f t="shared" si="242"/>
        <v/>
      </c>
      <c r="O2203" s="31" t="str">
        <f>IF(OR(B2203="",C2203=""),"",K2203-N2203 + IFERROR(E2203 / SUMIFS('📅 Resumen Diario'!$D$5:$D$504, '📅 Resumen Diario'!$B$5:$B$504, B2203, '📅 Resumen Diario'!$C$5:$C$504, D2203) * (SUMIFS('📋 Detalle Diario'!$E$5:$E$489, '📋 Detalle Diario'!$B$5:$B$489, B2203, '📋 Detalle Diario'!$C$5:$C$489, D2203) * 135 + SUMIFS('📋 Detalle Diario'!$I$5:$I$489, '📋 Detalle Diario'!$B$5:$B$489, B2203, '📋 Detalle Diario'!$C$5:$C$489, D2203) * 200), 0))</f>
        <v/>
      </c>
      <c r="P2203" s="32" t="str">
        <f t="shared" si="243"/>
        <v/>
      </c>
      <c r="Q2203" s="33" t="str">
        <f t="shared" si="244"/>
        <v/>
      </c>
    </row>
    <row r="2204" spans="2:17" ht="18" customHeight="1" x14ac:dyDescent="0.3">
      <c r="B2204" s="26"/>
      <c r="C2204" s="17"/>
      <c r="D2204" s="27"/>
      <c r="E2204" s="18"/>
      <c r="F2204" s="18"/>
      <c r="G2204" s="18"/>
      <c r="H2204" s="30" t="str">
        <f t="shared" si="238"/>
        <v/>
      </c>
      <c r="I2204" s="31" t="str">
        <f>IF(OR(B2204="",C2204=""),"",IFERROR(E2204*IF(E2204="",0,VLOOKUP(C2204,'📦 Precios Proforma'!$B$5:$D$104,IF(D2204="DIA",2,3),FALSE)),0))</f>
        <v/>
      </c>
      <c r="J2204" s="31" t="str">
        <f t="shared" si="239"/>
        <v/>
      </c>
      <c r="K2204" s="31" t="str">
        <f t="shared" si="240"/>
        <v/>
      </c>
      <c r="L2204" s="31" t="str">
        <f>IF(OR(B2204="",C2204=""),"",IFERROR(E2204 / SUMIFS('📅 Resumen Diario'!$D$5:$D$504, '📅 Resumen Diario'!$B$5:$B$504, B2204, '📅 Resumen Diario'!$C$5:$C$504, D2204) * SUMIFS('📅 Resumen Diario'!$K$5:$K$504, '📅 Resumen Diario'!$B$5:$B$504, B2204, '📅 Resumen Diario'!$C$5:$C$504, D2204), 0))</f>
        <v/>
      </c>
      <c r="M2204" s="31" t="str">
        <f t="shared" si="241"/>
        <v/>
      </c>
      <c r="N2204" s="31" t="str">
        <f t="shared" si="242"/>
        <v/>
      </c>
      <c r="O2204" s="31" t="str">
        <f>IF(OR(B2204="",C2204=""),"",K2204-N2204 + IFERROR(E2204 / SUMIFS('📅 Resumen Diario'!$D$5:$D$504, '📅 Resumen Diario'!$B$5:$B$504, B2204, '📅 Resumen Diario'!$C$5:$C$504, D2204) * (SUMIFS('📋 Detalle Diario'!$E$5:$E$489, '📋 Detalle Diario'!$B$5:$B$489, B2204, '📋 Detalle Diario'!$C$5:$C$489, D2204) * 135 + SUMIFS('📋 Detalle Diario'!$I$5:$I$489, '📋 Detalle Diario'!$B$5:$B$489, B2204, '📋 Detalle Diario'!$C$5:$C$489, D2204) * 200), 0))</f>
        <v/>
      </c>
      <c r="P2204" s="32" t="str">
        <f t="shared" si="243"/>
        <v/>
      </c>
      <c r="Q2204" s="33" t="str">
        <f t="shared" si="244"/>
        <v/>
      </c>
    </row>
    <row r="2205" spans="2:17" ht="18" customHeight="1" x14ac:dyDescent="0.3">
      <c r="B2205" s="26"/>
      <c r="C2205" s="28"/>
      <c r="D2205" s="27"/>
      <c r="E2205" s="29"/>
      <c r="F2205" s="29"/>
      <c r="G2205" s="29"/>
      <c r="H2205" s="30" t="str">
        <f t="shared" si="238"/>
        <v/>
      </c>
      <c r="I2205" s="31" t="str">
        <f>IF(OR(B2205="",C2205=""),"",IFERROR(E2205*IF(E2205="",0,VLOOKUP(C2205,'📦 Precios Proforma'!$B$5:$D$104,IF(D2205="DIA",2,3),FALSE)),0))</f>
        <v/>
      </c>
      <c r="J2205" s="31" t="str">
        <f t="shared" si="239"/>
        <v/>
      </c>
      <c r="K2205" s="31" t="str">
        <f t="shared" si="240"/>
        <v/>
      </c>
      <c r="L2205" s="31" t="str">
        <f>IF(OR(B2205="",C2205=""),"",IFERROR(E2205 / SUMIFS('📅 Resumen Diario'!$D$5:$D$504, '📅 Resumen Diario'!$B$5:$B$504, B2205, '📅 Resumen Diario'!$C$5:$C$504, D2205) * SUMIFS('📅 Resumen Diario'!$K$5:$K$504, '📅 Resumen Diario'!$B$5:$B$504, B2205, '📅 Resumen Diario'!$C$5:$C$504, D2205), 0))</f>
        <v/>
      </c>
      <c r="M2205" s="31" t="str">
        <f t="shared" si="241"/>
        <v/>
      </c>
      <c r="N2205" s="31" t="str">
        <f t="shared" si="242"/>
        <v/>
      </c>
      <c r="O2205" s="31" t="str">
        <f>IF(OR(B2205="",C2205=""),"",K2205-N2205 + IFERROR(E2205 / SUMIFS('📅 Resumen Diario'!$D$5:$D$504, '📅 Resumen Diario'!$B$5:$B$504, B2205, '📅 Resumen Diario'!$C$5:$C$504, D2205) * (SUMIFS('📋 Detalle Diario'!$E$5:$E$489, '📋 Detalle Diario'!$B$5:$B$489, B2205, '📋 Detalle Diario'!$C$5:$C$489, D2205) * 135 + SUMIFS('📋 Detalle Diario'!$I$5:$I$489, '📋 Detalle Diario'!$B$5:$B$489, B2205, '📋 Detalle Diario'!$C$5:$C$489, D2205) * 200), 0))</f>
        <v/>
      </c>
      <c r="P2205" s="32" t="str">
        <f t="shared" si="243"/>
        <v/>
      </c>
      <c r="Q2205" s="33" t="str">
        <f t="shared" si="244"/>
        <v/>
      </c>
    </row>
    <row r="2206" spans="2:17" ht="18" customHeight="1" x14ac:dyDescent="0.3">
      <c r="B2206" s="26"/>
      <c r="C2206" s="17"/>
      <c r="D2206" s="27"/>
      <c r="E2206" s="18"/>
      <c r="F2206" s="18"/>
      <c r="G2206" s="18"/>
      <c r="H2206" s="30" t="str">
        <f t="shared" si="238"/>
        <v/>
      </c>
      <c r="I2206" s="31" t="str">
        <f>IF(OR(B2206="",C2206=""),"",IFERROR(E2206*IF(E2206="",0,VLOOKUP(C2206,'📦 Precios Proforma'!$B$5:$D$104,IF(D2206="DIA",2,3),FALSE)),0))</f>
        <v/>
      </c>
      <c r="J2206" s="31" t="str">
        <f t="shared" si="239"/>
        <v/>
      </c>
      <c r="K2206" s="31" t="str">
        <f t="shared" si="240"/>
        <v/>
      </c>
      <c r="L2206" s="31" t="str">
        <f>IF(OR(B2206="",C2206=""),"",IFERROR(E2206 / SUMIFS('📅 Resumen Diario'!$D$5:$D$504, '📅 Resumen Diario'!$B$5:$B$504, B2206, '📅 Resumen Diario'!$C$5:$C$504, D2206) * SUMIFS('📅 Resumen Diario'!$K$5:$K$504, '📅 Resumen Diario'!$B$5:$B$504, B2206, '📅 Resumen Diario'!$C$5:$C$504, D2206), 0))</f>
        <v/>
      </c>
      <c r="M2206" s="31" t="str">
        <f t="shared" si="241"/>
        <v/>
      </c>
      <c r="N2206" s="31" t="str">
        <f t="shared" si="242"/>
        <v/>
      </c>
      <c r="O2206" s="31" t="str">
        <f>IF(OR(B2206="",C2206=""),"",K2206-N2206 + IFERROR(E2206 / SUMIFS('📅 Resumen Diario'!$D$5:$D$504, '📅 Resumen Diario'!$B$5:$B$504, B2206, '📅 Resumen Diario'!$C$5:$C$504, D2206) * (SUMIFS('📋 Detalle Diario'!$E$5:$E$489, '📋 Detalle Diario'!$B$5:$B$489, B2206, '📋 Detalle Diario'!$C$5:$C$489, D2206) * 135 + SUMIFS('📋 Detalle Diario'!$I$5:$I$489, '📋 Detalle Diario'!$B$5:$B$489, B2206, '📋 Detalle Diario'!$C$5:$C$489, D2206) * 200), 0))</f>
        <v/>
      </c>
      <c r="P2206" s="32" t="str">
        <f t="shared" si="243"/>
        <v/>
      </c>
      <c r="Q2206" s="33" t="str">
        <f t="shared" si="244"/>
        <v/>
      </c>
    </row>
    <row r="2207" spans="2:17" ht="18" customHeight="1" x14ac:dyDescent="0.3">
      <c r="B2207" s="26"/>
      <c r="C2207" s="28"/>
      <c r="D2207" s="27"/>
      <c r="E2207" s="29"/>
      <c r="F2207" s="29"/>
      <c r="G2207" s="29"/>
      <c r="H2207" s="30" t="str">
        <f t="shared" si="238"/>
        <v/>
      </c>
      <c r="I2207" s="31" t="str">
        <f>IF(OR(B2207="",C2207=""),"",IFERROR(E2207*IF(E2207="",0,VLOOKUP(C2207,'📦 Precios Proforma'!$B$5:$D$104,IF(D2207="DIA",2,3),FALSE)),0))</f>
        <v/>
      </c>
      <c r="J2207" s="31" t="str">
        <f t="shared" si="239"/>
        <v/>
      </c>
      <c r="K2207" s="31" t="str">
        <f t="shared" si="240"/>
        <v/>
      </c>
      <c r="L2207" s="31" t="str">
        <f>IF(OR(B2207="",C2207=""),"",IFERROR(E2207 / SUMIFS('📅 Resumen Diario'!$D$5:$D$504, '📅 Resumen Diario'!$B$5:$B$504, B2207, '📅 Resumen Diario'!$C$5:$C$504, D2207) * SUMIFS('📅 Resumen Diario'!$K$5:$K$504, '📅 Resumen Diario'!$B$5:$B$504, B2207, '📅 Resumen Diario'!$C$5:$C$504, D2207), 0))</f>
        <v/>
      </c>
      <c r="M2207" s="31" t="str">
        <f t="shared" si="241"/>
        <v/>
      </c>
      <c r="N2207" s="31" t="str">
        <f t="shared" si="242"/>
        <v/>
      </c>
      <c r="O2207" s="31" t="str">
        <f>IF(OR(B2207="",C2207=""),"",K2207-N2207 + IFERROR(E2207 / SUMIFS('📅 Resumen Diario'!$D$5:$D$504, '📅 Resumen Diario'!$B$5:$B$504, B2207, '📅 Resumen Diario'!$C$5:$C$504, D2207) * (SUMIFS('📋 Detalle Diario'!$E$5:$E$489, '📋 Detalle Diario'!$B$5:$B$489, B2207, '📋 Detalle Diario'!$C$5:$C$489, D2207) * 135 + SUMIFS('📋 Detalle Diario'!$I$5:$I$489, '📋 Detalle Diario'!$B$5:$B$489, B2207, '📋 Detalle Diario'!$C$5:$C$489, D2207) * 200), 0))</f>
        <v/>
      </c>
      <c r="P2207" s="32" t="str">
        <f t="shared" si="243"/>
        <v/>
      </c>
      <c r="Q2207" s="33" t="str">
        <f t="shared" si="244"/>
        <v/>
      </c>
    </row>
    <row r="2208" spans="2:17" ht="18" customHeight="1" x14ac:dyDescent="0.3">
      <c r="B2208" s="26"/>
      <c r="C2208" s="17"/>
      <c r="D2208" s="27"/>
      <c r="E2208" s="18"/>
      <c r="F2208" s="18"/>
      <c r="G2208" s="18"/>
      <c r="H2208" s="30" t="str">
        <f t="shared" si="238"/>
        <v/>
      </c>
      <c r="I2208" s="31" t="str">
        <f>IF(OR(B2208="",C2208=""),"",IFERROR(E2208*IF(E2208="",0,VLOOKUP(C2208,'📦 Precios Proforma'!$B$5:$D$104,IF(D2208="DIA",2,3),FALSE)),0))</f>
        <v/>
      </c>
      <c r="J2208" s="31" t="str">
        <f t="shared" si="239"/>
        <v/>
      </c>
      <c r="K2208" s="31" t="str">
        <f t="shared" si="240"/>
        <v/>
      </c>
      <c r="L2208" s="31" t="str">
        <f>IF(OR(B2208="",C2208=""),"",IFERROR(E2208 / SUMIFS('📅 Resumen Diario'!$D$5:$D$504, '📅 Resumen Diario'!$B$5:$B$504, B2208, '📅 Resumen Diario'!$C$5:$C$504, D2208) * SUMIFS('📅 Resumen Diario'!$K$5:$K$504, '📅 Resumen Diario'!$B$5:$B$504, B2208, '📅 Resumen Diario'!$C$5:$C$504, D2208), 0))</f>
        <v/>
      </c>
      <c r="M2208" s="31" t="str">
        <f t="shared" si="241"/>
        <v/>
      </c>
      <c r="N2208" s="31" t="str">
        <f t="shared" si="242"/>
        <v/>
      </c>
      <c r="O2208" s="31" t="str">
        <f>IF(OR(B2208="",C2208=""),"",K2208-N2208 + IFERROR(E2208 / SUMIFS('📅 Resumen Diario'!$D$5:$D$504, '📅 Resumen Diario'!$B$5:$B$504, B2208, '📅 Resumen Diario'!$C$5:$C$504, D2208) * (SUMIFS('📋 Detalle Diario'!$E$5:$E$489, '📋 Detalle Diario'!$B$5:$B$489, B2208, '📋 Detalle Diario'!$C$5:$C$489, D2208) * 135 + SUMIFS('📋 Detalle Diario'!$I$5:$I$489, '📋 Detalle Diario'!$B$5:$B$489, B2208, '📋 Detalle Diario'!$C$5:$C$489, D2208) * 200), 0))</f>
        <v/>
      </c>
      <c r="P2208" s="32" t="str">
        <f t="shared" si="243"/>
        <v/>
      </c>
      <c r="Q2208" s="33" t="str">
        <f t="shared" si="244"/>
        <v/>
      </c>
    </row>
    <row r="2209" spans="2:17" ht="18" customHeight="1" x14ac:dyDescent="0.3">
      <c r="B2209" s="26"/>
      <c r="C2209" s="28"/>
      <c r="D2209" s="27"/>
      <c r="E2209" s="29"/>
      <c r="F2209" s="29"/>
      <c r="G2209" s="29"/>
      <c r="H2209" s="30" t="str">
        <f t="shared" si="238"/>
        <v/>
      </c>
      <c r="I2209" s="31" t="str">
        <f>IF(OR(B2209="",C2209=""),"",IFERROR(E2209*IF(E2209="",0,VLOOKUP(C2209,'📦 Precios Proforma'!$B$5:$D$104,IF(D2209="DIA",2,3),FALSE)),0))</f>
        <v/>
      </c>
      <c r="J2209" s="31" t="str">
        <f t="shared" si="239"/>
        <v/>
      </c>
      <c r="K2209" s="31" t="str">
        <f t="shared" si="240"/>
        <v/>
      </c>
      <c r="L2209" s="31" t="str">
        <f>IF(OR(B2209="",C2209=""),"",IFERROR(E2209 / SUMIFS('📅 Resumen Diario'!$D$5:$D$504, '📅 Resumen Diario'!$B$5:$B$504, B2209, '📅 Resumen Diario'!$C$5:$C$504, D2209) * SUMIFS('📅 Resumen Diario'!$K$5:$K$504, '📅 Resumen Diario'!$B$5:$B$504, B2209, '📅 Resumen Diario'!$C$5:$C$504, D2209), 0))</f>
        <v/>
      </c>
      <c r="M2209" s="31" t="str">
        <f t="shared" si="241"/>
        <v/>
      </c>
      <c r="N2209" s="31" t="str">
        <f t="shared" si="242"/>
        <v/>
      </c>
      <c r="O2209" s="31" t="str">
        <f>IF(OR(B2209="",C2209=""),"",K2209-N2209 + IFERROR(E2209 / SUMIFS('📅 Resumen Diario'!$D$5:$D$504, '📅 Resumen Diario'!$B$5:$B$504, B2209, '📅 Resumen Diario'!$C$5:$C$504, D2209) * (SUMIFS('📋 Detalle Diario'!$E$5:$E$489, '📋 Detalle Diario'!$B$5:$B$489, B2209, '📋 Detalle Diario'!$C$5:$C$489, D2209) * 135 + SUMIFS('📋 Detalle Diario'!$I$5:$I$489, '📋 Detalle Diario'!$B$5:$B$489, B2209, '📋 Detalle Diario'!$C$5:$C$489, D2209) * 200), 0))</f>
        <v/>
      </c>
      <c r="P2209" s="32" t="str">
        <f t="shared" si="243"/>
        <v/>
      </c>
      <c r="Q2209" s="33" t="str">
        <f t="shared" si="244"/>
        <v/>
      </c>
    </row>
    <row r="2210" spans="2:17" ht="18" customHeight="1" x14ac:dyDescent="0.3">
      <c r="B2210" s="26"/>
      <c r="C2210" s="17"/>
      <c r="D2210" s="27"/>
      <c r="E2210" s="18"/>
      <c r="F2210" s="18"/>
      <c r="G2210" s="18"/>
      <c r="H2210" s="30" t="str">
        <f t="shared" si="238"/>
        <v/>
      </c>
      <c r="I2210" s="31" t="str">
        <f>IF(OR(B2210="",C2210=""),"",IFERROR(E2210*IF(E2210="",0,VLOOKUP(C2210,'📦 Precios Proforma'!$B$5:$D$104,IF(D2210="DIA",2,3),FALSE)),0))</f>
        <v/>
      </c>
      <c r="J2210" s="31" t="str">
        <f t="shared" si="239"/>
        <v/>
      </c>
      <c r="K2210" s="31" t="str">
        <f t="shared" si="240"/>
        <v/>
      </c>
      <c r="L2210" s="31" t="str">
        <f>IF(OR(B2210="",C2210=""),"",IFERROR(E2210 / SUMIFS('📅 Resumen Diario'!$D$5:$D$504, '📅 Resumen Diario'!$B$5:$B$504, B2210, '📅 Resumen Diario'!$C$5:$C$504, D2210) * SUMIFS('📅 Resumen Diario'!$K$5:$K$504, '📅 Resumen Diario'!$B$5:$B$504, B2210, '📅 Resumen Diario'!$C$5:$C$504, D2210), 0))</f>
        <v/>
      </c>
      <c r="M2210" s="31" t="str">
        <f t="shared" si="241"/>
        <v/>
      </c>
      <c r="N2210" s="31" t="str">
        <f t="shared" si="242"/>
        <v/>
      </c>
      <c r="O2210" s="31" t="str">
        <f>IF(OR(B2210="",C2210=""),"",K2210-N2210 + IFERROR(E2210 / SUMIFS('📅 Resumen Diario'!$D$5:$D$504, '📅 Resumen Diario'!$B$5:$B$504, B2210, '📅 Resumen Diario'!$C$5:$C$504, D2210) * (SUMIFS('📋 Detalle Diario'!$E$5:$E$489, '📋 Detalle Diario'!$B$5:$B$489, B2210, '📋 Detalle Diario'!$C$5:$C$489, D2210) * 135 + SUMIFS('📋 Detalle Diario'!$I$5:$I$489, '📋 Detalle Diario'!$B$5:$B$489, B2210, '📋 Detalle Diario'!$C$5:$C$489, D2210) * 200), 0))</f>
        <v/>
      </c>
      <c r="P2210" s="32" t="str">
        <f t="shared" si="243"/>
        <v/>
      </c>
      <c r="Q2210" s="33" t="str">
        <f t="shared" si="244"/>
        <v/>
      </c>
    </row>
    <row r="2211" spans="2:17" ht="18" customHeight="1" x14ac:dyDescent="0.3">
      <c r="B2211" s="26"/>
      <c r="C2211" s="28"/>
      <c r="D2211" s="27"/>
      <c r="E2211" s="29"/>
      <c r="F2211" s="29"/>
      <c r="G2211" s="29"/>
      <c r="H2211" s="30" t="str">
        <f t="shared" si="238"/>
        <v/>
      </c>
      <c r="I2211" s="31" t="str">
        <f>IF(OR(B2211="",C2211=""),"",IFERROR(E2211*IF(E2211="",0,VLOOKUP(C2211,'📦 Precios Proforma'!$B$5:$D$104,IF(D2211="DIA",2,3),FALSE)),0))</f>
        <v/>
      </c>
      <c r="J2211" s="31" t="str">
        <f t="shared" si="239"/>
        <v/>
      </c>
      <c r="K2211" s="31" t="str">
        <f t="shared" si="240"/>
        <v/>
      </c>
      <c r="L2211" s="31" t="str">
        <f>IF(OR(B2211="",C2211=""),"",IFERROR(E2211 / SUMIFS('📅 Resumen Diario'!$D$5:$D$504, '📅 Resumen Diario'!$B$5:$B$504, B2211, '📅 Resumen Diario'!$C$5:$C$504, D2211) * SUMIFS('📅 Resumen Diario'!$K$5:$K$504, '📅 Resumen Diario'!$B$5:$B$504, B2211, '📅 Resumen Diario'!$C$5:$C$504, D2211), 0))</f>
        <v/>
      </c>
      <c r="M2211" s="31" t="str">
        <f t="shared" si="241"/>
        <v/>
      </c>
      <c r="N2211" s="31" t="str">
        <f t="shared" si="242"/>
        <v/>
      </c>
      <c r="O2211" s="31" t="str">
        <f>IF(OR(B2211="",C2211=""),"",K2211-N2211 + IFERROR(E2211 / SUMIFS('📅 Resumen Diario'!$D$5:$D$504, '📅 Resumen Diario'!$B$5:$B$504, B2211, '📅 Resumen Diario'!$C$5:$C$504, D2211) * (SUMIFS('📋 Detalle Diario'!$E$5:$E$489, '📋 Detalle Diario'!$B$5:$B$489, B2211, '📋 Detalle Diario'!$C$5:$C$489, D2211) * 135 + SUMIFS('📋 Detalle Diario'!$I$5:$I$489, '📋 Detalle Diario'!$B$5:$B$489, B2211, '📋 Detalle Diario'!$C$5:$C$489, D2211) * 200), 0))</f>
        <v/>
      </c>
      <c r="P2211" s="32" t="str">
        <f t="shared" si="243"/>
        <v/>
      </c>
      <c r="Q2211" s="33" t="str">
        <f t="shared" si="244"/>
        <v/>
      </c>
    </row>
    <row r="2212" spans="2:17" ht="18" customHeight="1" x14ac:dyDescent="0.3">
      <c r="B2212" s="26"/>
      <c r="C2212" s="17"/>
      <c r="D2212" s="27"/>
      <c r="E2212" s="18"/>
      <c r="F2212" s="18"/>
      <c r="G2212" s="18"/>
      <c r="H2212" s="30" t="str">
        <f t="shared" si="238"/>
        <v/>
      </c>
      <c r="I2212" s="31" t="str">
        <f>IF(OR(B2212="",C2212=""),"",IFERROR(E2212*IF(E2212="",0,VLOOKUP(C2212,'📦 Precios Proforma'!$B$5:$D$104,IF(D2212="DIA",2,3),FALSE)),0))</f>
        <v/>
      </c>
      <c r="J2212" s="31" t="str">
        <f t="shared" si="239"/>
        <v/>
      </c>
      <c r="K2212" s="31" t="str">
        <f t="shared" si="240"/>
        <v/>
      </c>
      <c r="L2212" s="31" t="str">
        <f>IF(OR(B2212="",C2212=""),"",IFERROR(E2212 / SUMIFS('📅 Resumen Diario'!$D$5:$D$504, '📅 Resumen Diario'!$B$5:$B$504, B2212, '📅 Resumen Diario'!$C$5:$C$504, D2212) * SUMIFS('📅 Resumen Diario'!$K$5:$K$504, '📅 Resumen Diario'!$B$5:$B$504, B2212, '📅 Resumen Diario'!$C$5:$C$504, D2212), 0))</f>
        <v/>
      </c>
      <c r="M2212" s="31" t="str">
        <f t="shared" si="241"/>
        <v/>
      </c>
      <c r="N2212" s="31" t="str">
        <f t="shared" si="242"/>
        <v/>
      </c>
      <c r="O2212" s="31" t="str">
        <f>IF(OR(B2212="",C2212=""),"",K2212-N2212 + IFERROR(E2212 / SUMIFS('📅 Resumen Diario'!$D$5:$D$504, '📅 Resumen Diario'!$B$5:$B$504, B2212, '📅 Resumen Diario'!$C$5:$C$504, D2212) * (SUMIFS('📋 Detalle Diario'!$E$5:$E$489, '📋 Detalle Diario'!$B$5:$B$489, B2212, '📋 Detalle Diario'!$C$5:$C$489, D2212) * 135 + SUMIFS('📋 Detalle Diario'!$I$5:$I$489, '📋 Detalle Diario'!$B$5:$B$489, B2212, '📋 Detalle Diario'!$C$5:$C$489, D2212) * 200), 0))</f>
        <v/>
      </c>
      <c r="P2212" s="32" t="str">
        <f t="shared" si="243"/>
        <v/>
      </c>
      <c r="Q2212" s="33" t="str">
        <f t="shared" si="244"/>
        <v/>
      </c>
    </row>
    <row r="2213" spans="2:17" ht="18" customHeight="1" x14ac:dyDescent="0.3">
      <c r="B2213" s="26"/>
      <c r="C2213" s="28"/>
      <c r="D2213" s="27"/>
      <c r="E2213" s="29"/>
      <c r="F2213" s="29"/>
      <c r="G2213" s="29"/>
      <c r="H2213" s="30" t="str">
        <f t="shared" si="238"/>
        <v/>
      </c>
      <c r="I2213" s="31" t="str">
        <f>IF(OR(B2213="",C2213=""),"",IFERROR(E2213*IF(E2213="",0,VLOOKUP(C2213,'📦 Precios Proforma'!$B$5:$D$104,IF(D2213="DIA",2,3),FALSE)),0))</f>
        <v/>
      </c>
      <c r="J2213" s="31" t="str">
        <f t="shared" si="239"/>
        <v/>
      </c>
      <c r="K2213" s="31" t="str">
        <f t="shared" si="240"/>
        <v/>
      </c>
      <c r="L2213" s="31" t="str">
        <f>IF(OR(B2213="",C2213=""),"",IFERROR(E2213 / SUMIFS('📅 Resumen Diario'!$D$5:$D$504, '📅 Resumen Diario'!$B$5:$B$504, B2213, '📅 Resumen Diario'!$C$5:$C$504, D2213) * SUMIFS('📅 Resumen Diario'!$K$5:$K$504, '📅 Resumen Diario'!$B$5:$B$504, B2213, '📅 Resumen Diario'!$C$5:$C$504, D2213), 0))</f>
        <v/>
      </c>
      <c r="M2213" s="31" t="str">
        <f t="shared" si="241"/>
        <v/>
      </c>
      <c r="N2213" s="31" t="str">
        <f t="shared" si="242"/>
        <v/>
      </c>
      <c r="O2213" s="31" t="str">
        <f>IF(OR(B2213="",C2213=""),"",K2213-N2213 + IFERROR(E2213 / SUMIFS('📅 Resumen Diario'!$D$5:$D$504, '📅 Resumen Diario'!$B$5:$B$504, B2213, '📅 Resumen Diario'!$C$5:$C$504, D2213) * (SUMIFS('📋 Detalle Diario'!$E$5:$E$489, '📋 Detalle Diario'!$B$5:$B$489, B2213, '📋 Detalle Diario'!$C$5:$C$489, D2213) * 135 + SUMIFS('📋 Detalle Diario'!$I$5:$I$489, '📋 Detalle Diario'!$B$5:$B$489, B2213, '📋 Detalle Diario'!$C$5:$C$489, D2213) * 200), 0))</f>
        <v/>
      </c>
      <c r="P2213" s="32" t="str">
        <f t="shared" si="243"/>
        <v/>
      </c>
      <c r="Q2213" s="33" t="str">
        <f t="shared" si="244"/>
        <v/>
      </c>
    </row>
    <row r="2214" spans="2:17" ht="18" customHeight="1" x14ac:dyDescent="0.3">
      <c r="B2214" s="26"/>
      <c r="C2214" s="17"/>
      <c r="D2214" s="27"/>
      <c r="E2214" s="18"/>
      <c r="F2214" s="18"/>
      <c r="G2214" s="18"/>
      <c r="H2214" s="30" t="str">
        <f t="shared" si="238"/>
        <v/>
      </c>
      <c r="I2214" s="31" t="str">
        <f>IF(OR(B2214="",C2214=""),"",IFERROR(E2214*IF(E2214="",0,VLOOKUP(C2214,'📦 Precios Proforma'!$B$5:$D$104,IF(D2214="DIA",2,3),FALSE)),0))</f>
        <v/>
      </c>
      <c r="J2214" s="31" t="str">
        <f t="shared" si="239"/>
        <v/>
      </c>
      <c r="K2214" s="31" t="str">
        <f t="shared" si="240"/>
        <v/>
      </c>
      <c r="L2214" s="31" t="str">
        <f>IF(OR(B2214="",C2214=""),"",IFERROR(E2214 / SUMIFS('📅 Resumen Diario'!$D$5:$D$504, '📅 Resumen Diario'!$B$5:$B$504, B2214, '📅 Resumen Diario'!$C$5:$C$504, D2214) * SUMIFS('📅 Resumen Diario'!$K$5:$K$504, '📅 Resumen Diario'!$B$5:$B$504, B2214, '📅 Resumen Diario'!$C$5:$C$504, D2214), 0))</f>
        <v/>
      </c>
      <c r="M2214" s="31" t="str">
        <f t="shared" si="241"/>
        <v/>
      </c>
      <c r="N2214" s="31" t="str">
        <f t="shared" si="242"/>
        <v/>
      </c>
      <c r="O2214" s="31" t="str">
        <f>IF(OR(B2214="",C2214=""),"",K2214-N2214 + IFERROR(E2214 / SUMIFS('📅 Resumen Diario'!$D$5:$D$504, '📅 Resumen Diario'!$B$5:$B$504, B2214, '📅 Resumen Diario'!$C$5:$C$504, D2214) * (SUMIFS('📋 Detalle Diario'!$E$5:$E$489, '📋 Detalle Diario'!$B$5:$B$489, B2214, '📋 Detalle Diario'!$C$5:$C$489, D2214) * 135 + SUMIFS('📋 Detalle Diario'!$I$5:$I$489, '📋 Detalle Diario'!$B$5:$B$489, B2214, '📋 Detalle Diario'!$C$5:$C$489, D2214) * 200), 0))</f>
        <v/>
      </c>
      <c r="P2214" s="32" t="str">
        <f t="shared" si="243"/>
        <v/>
      </c>
      <c r="Q2214" s="33" t="str">
        <f t="shared" si="244"/>
        <v/>
      </c>
    </row>
    <row r="2215" spans="2:17" ht="18" customHeight="1" x14ac:dyDescent="0.3">
      <c r="B2215" s="26"/>
      <c r="C2215" s="28"/>
      <c r="D2215" s="27"/>
      <c r="E2215" s="29"/>
      <c r="F2215" s="29"/>
      <c r="G2215" s="29"/>
      <c r="H2215" s="30" t="str">
        <f t="shared" si="238"/>
        <v/>
      </c>
      <c r="I2215" s="31" t="str">
        <f>IF(OR(B2215="",C2215=""),"",IFERROR(E2215*IF(E2215="",0,VLOOKUP(C2215,'📦 Precios Proforma'!$B$5:$D$104,IF(D2215="DIA",2,3),FALSE)),0))</f>
        <v/>
      </c>
      <c r="J2215" s="31" t="str">
        <f t="shared" si="239"/>
        <v/>
      </c>
      <c r="K2215" s="31" t="str">
        <f t="shared" si="240"/>
        <v/>
      </c>
      <c r="L2215" s="31" t="str">
        <f>IF(OR(B2215="",C2215=""),"",IFERROR(E2215 / SUMIFS('📅 Resumen Diario'!$D$5:$D$504, '📅 Resumen Diario'!$B$5:$B$504, B2215, '📅 Resumen Diario'!$C$5:$C$504, D2215) * SUMIFS('📅 Resumen Diario'!$K$5:$K$504, '📅 Resumen Diario'!$B$5:$B$504, B2215, '📅 Resumen Diario'!$C$5:$C$504, D2215), 0))</f>
        <v/>
      </c>
      <c r="M2215" s="31" t="str">
        <f t="shared" si="241"/>
        <v/>
      </c>
      <c r="N2215" s="31" t="str">
        <f t="shared" si="242"/>
        <v/>
      </c>
      <c r="O2215" s="31" t="str">
        <f>IF(OR(B2215="",C2215=""),"",K2215-N2215 + IFERROR(E2215 / SUMIFS('📅 Resumen Diario'!$D$5:$D$504, '📅 Resumen Diario'!$B$5:$B$504, B2215, '📅 Resumen Diario'!$C$5:$C$504, D2215) * (SUMIFS('📋 Detalle Diario'!$E$5:$E$489, '📋 Detalle Diario'!$B$5:$B$489, B2215, '📋 Detalle Diario'!$C$5:$C$489, D2215) * 135 + SUMIFS('📋 Detalle Diario'!$I$5:$I$489, '📋 Detalle Diario'!$B$5:$B$489, B2215, '📋 Detalle Diario'!$C$5:$C$489, D2215) * 200), 0))</f>
        <v/>
      </c>
      <c r="P2215" s="32" t="str">
        <f t="shared" si="243"/>
        <v/>
      </c>
      <c r="Q2215" s="33" t="str">
        <f t="shared" si="244"/>
        <v/>
      </c>
    </row>
    <row r="2216" spans="2:17" ht="18" customHeight="1" x14ac:dyDescent="0.3">
      <c r="B2216" s="26"/>
      <c r="C2216" s="17"/>
      <c r="D2216" s="27"/>
      <c r="E2216" s="18"/>
      <c r="F2216" s="18"/>
      <c r="G2216" s="18"/>
      <c r="H2216" s="30" t="str">
        <f t="shared" si="238"/>
        <v/>
      </c>
      <c r="I2216" s="31" t="str">
        <f>IF(OR(B2216="",C2216=""),"",IFERROR(E2216*IF(E2216="",0,VLOOKUP(C2216,'📦 Precios Proforma'!$B$5:$D$104,IF(D2216="DIA",2,3),FALSE)),0))</f>
        <v/>
      </c>
      <c r="J2216" s="31" t="str">
        <f t="shared" si="239"/>
        <v/>
      </c>
      <c r="K2216" s="31" t="str">
        <f t="shared" si="240"/>
        <v/>
      </c>
      <c r="L2216" s="31" t="str">
        <f>IF(OR(B2216="",C2216=""),"",IFERROR(E2216 / SUMIFS('📅 Resumen Diario'!$D$5:$D$504, '📅 Resumen Diario'!$B$5:$B$504, B2216, '📅 Resumen Diario'!$C$5:$C$504, D2216) * SUMIFS('📅 Resumen Diario'!$K$5:$K$504, '📅 Resumen Diario'!$B$5:$B$504, B2216, '📅 Resumen Diario'!$C$5:$C$504, D2216), 0))</f>
        <v/>
      </c>
      <c r="M2216" s="31" t="str">
        <f t="shared" si="241"/>
        <v/>
      </c>
      <c r="N2216" s="31" t="str">
        <f t="shared" si="242"/>
        <v/>
      </c>
      <c r="O2216" s="31" t="str">
        <f>IF(OR(B2216="",C2216=""),"",K2216-N2216 + IFERROR(E2216 / SUMIFS('📅 Resumen Diario'!$D$5:$D$504, '📅 Resumen Diario'!$B$5:$B$504, B2216, '📅 Resumen Diario'!$C$5:$C$504, D2216) * (SUMIFS('📋 Detalle Diario'!$E$5:$E$489, '📋 Detalle Diario'!$B$5:$B$489, B2216, '📋 Detalle Diario'!$C$5:$C$489, D2216) * 135 + SUMIFS('📋 Detalle Diario'!$I$5:$I$489, '📋 Detalle Diario'!$B$5:$B$489, B2216, '📋 Detalle Diario'!$C$5:$C$489, D2216) * 200), 0))</f>
        <v/>
      </c>
      <c r="P2216" s="32" t="str">
        <f t="shared" si="243"/>
        <v/>
      </c>
      <c r="Q2216" s="33" t="str">
        <f t="shared" si="244"/>
        <v/>
      </c>
    </row>
    <row r="2217" spans="2:17" ht="18" customHeight="1" x14ac:dyDescent="0.3">
      <c r="B2217" s="26"/>
      <c r="C2217" s="28"/>
      <c r="D2217" s="27"/>
      <c r="E2217" s="29"/>
      <c r="F2217" s="29"/>
      <c r="G2217" s="29"/>
      <c r="H2217" s="30" t="str">
        <f t="shared" si="238"/>
        <v/>
      </c>
      <c r="I2217" s="31" t="str">
        <f>IF(OR(B2217="",C2217=""),"",IFERROR(E2217*IF(E2217="",0,VLOOKUP(C2217,'📦 Precios Proforma'!$B$5:$D$104,IF(D2217="DIA",2,3),FALSE)),0))</f>
        <v/>
      </c>
      <c r="J2217" s="31" t="str">
        <f t="shared" si="239"/>
        <v/>
      </c>
      <c r="K2217" s="31" t="str">
        <f t="shared" si="240"/>
        <v/>
      </c>
      <c r="L2217" s="31" t="str">
        <f>IF(OR(B2217="",C2217=""),"",IFERROR(E2217 / SUMIFS('📅 Resumen Diario'!$D$5:$D$504, '📅 Resumen Diario'!$B$5:$B$504, B2217, '📅 Resumen Diario'!$C$5:$C$504, D2217) * SUMIFS('📅 Resumen Diario'!$K$5:$K$504, '📅 Resumen Diario'!$B$5:$B$504, B2217, '📅 Resumen Diario'!$C$5:$C$504, D2217), 0))</f>
        <v/>
      </c>
      <c r="M2217" s="31" t="str">
        <f t="shared" si="241"/>
        <v/>
      </c>
      <c r="N2217" s="31" t="str">
        <f t="shared" si="242"/>
        <v/>
      </c>
      <c r="O2217" s="31" t="str">
        <f>IF(OR(B2217="",C2217=""),"",K2217-N2217 + IFERROR(E2217 / SUMIFS('📅 Resumen Diario'!$D$5:$D$504, '📅 Resumen Diario'!$B$5:$B$504, B2217, '📅 Resumen Diario'!$C$5:$C$504, D2217) * (SUMIFS('📋 Detalle Diario'!$E$5:$E$489, '📋 Detalle Diario'!$B$5:$B$489, B2217, '📋 Detalle Diario'!$C$5:$C$489, D2217) * 135 + SUMIFS('📋 Detalle Diario'!$I$5:$I$489, '📋 Detalle Diario'!$B$5:$B$489, B2217, '📋 Detalle Diario'!$C$5:$C$489, D2217) * 200), 0))</f>
        <v/>
      </c>
      <c r="P2217" s="32" t="str">
        <f t="shared" si="243"/>
        <v/>
      </c>
      <c r="Q2217" s="33" t="str">
        <f t="shared" si="244"/>
        <v/>
      </c>
    </row>
    <row r="2218" spans="2:17" ht="18" customHeight="1" x14ac:dyDescent="0.3">
      <c r="B2218" s="26"/>
      <c r="C2218" s="17"/>
      <c r="D2218" s="27"/>
      <c r="E2218" s="18"/>
      <c r="F2218" s="18"/>
      <c r="G2218" s="18"/>
      <c r="H2218" s="30" t="str">
        <f t="shared" si="238"/>
        <v/>
      </c>
      <c r="I2218" s="31" t="str">
        <f>IF(OR(B2218="",C2218=""),"",IFERROR(E2218*IF(E2218="",0,VLOOKUP(C2218,'📦 Precios Proforma'!$B$5:$D$104,IF(D2218="DIA",2,3),FALSE)),0))</f>
        <v/>
      </c>
      <c r="J2218" s="31" t="str">
        <f t="shared" si="239"/>
        <v/>
      </c>
      <c r="K2218" s="31" t="str">
        <f t="shared" si="240"/>
        <v/>
      </c>
      <c r="L2218" s="31" t="str">
        <f>IF(OR(B2218="",C2218=""),"",IFERROR(E2218 / SUMIFS('📅 Resumen Diario'!$D$5:$D$504, '📅 Resumen Diario'!$B$5:$B$504, B2218, '📅 Resumen Diario'!$C$5:$C$504, D2218) * SUMIFS('📅 Resumen Diario'!$K$5:$K$504, '📅 Resumen Diario'!$B$5:$B$504, B2218, '📅 Resumen Diario'!$C$5:$C$504, D2218), 0))</f>
        <v/>
      </c>
      <c r="M2218" s="31" t="str">
        <f t="shared" si="241"/>
        <v/>
      </c>
      <c r="N2218" s="31" t="str">
        <f t="shared" si="242"/>
        <v/>
      </c>
      <c r="O2218" s="31" t="str">
        <f>IF(OR(B2218="",C2218=""),"",K2218-N2218 + IFERROR(E2218 / SUMIFS('📅 Resumen Diario'!$D$5:$D$504, '📅 Resumen Diario'!$B$5:$B$504, B2218, '📅 Resumen Diario'!$C$5:$C$504, D2218) * (SUMIFS('📋 Detalle Diario'!$E$5:$E$489, '📋 Detalle Diario'!$B$5:$B$489, B2218, '📋 Detalle Diario'!$C$5:$C$489, D2218) * 135 + SUMIFS('📋 Detalle Diario'!$I$5:$I$489, '📋 Detalle Diario'!$B$5:$B$489, B2218, '📋 Detalle Diario'!$C$5:$C$489, D2218) * 200), 0))</f>
        <v/>
      </c>
      <c r="P2218" s="32" t="str">
        <f t="shared" si="243"/>
        <v/>
      </c>
      <c r="Q2218" s="33" t="str">
        <f t="shared" si="244"/>
        <v/>
      </c>
    </row>
    <row r="2219" spans="2:17" ht="18" customHeight="1" x14ac:dyDescent="0.3">
      <c r="B2219" s="26"/>
      <c r="C2219" s="28"/>
      <c r="D2219" s="27"/>
      <c r="E2219" s="29"/>
      <c r="F2219" s="29"/>
      <c r="G2219" s="29"/>
      <c r="H2219" s="30" t="str">
        <f t="shared" si="238"/>
        <v/>
      </c>
      <c r="I2219" s="31" t="str">
        <f>IF(OR(B2219="",C2219=""),"",IFERROR(E2219*IF(E2219="",0,VLOOKUP(C2219,'📦 Precios Proforma'!$B$5:$D$104,IF(D2219="DIA",2,3),FALSE)),0))</f>
        <v/>
      </c>
      <c r="J2219" s="31" t="str">
        <f t="shared" si="239"/>
        <v/>
      </c>
      <c r="K2219" s="31" t="str">
        <f t="shared" si="240"/>
        <v/>
      </c>
      <c r="L2219" s="31" t="str">
        <f>IF(OR(B2219="",C2219=""),"",IFERROR(E2219 / SUMIFS('📅 Resumen Diario'!$D$5:$D$504, '📅 Resumen Diario'!$B$5:$B$504, B2219, '📅 Resumen Diario'!$C$5:$C$504, D2219) * SUMIFS('📅 Resumen Diario'!$K$5:$K$504, '📅 Resumen Diario'!$B$5:$B$504, B2219, '📅 Resumen Diario'!$C$5:$C$504, D2219), 0))</f>
        <v/>
      </c>
      <c r="M2219" s="31" t="str">
        <f t="shared" si="241"/>
        <v/>
      </c>
      <c r="N2219" s="31" t="str">
        <f t="shared" si="242"/>
        <v/>
      </c>
      <c r="O2219" s="31" t="str">
        <f>IF(OR(B2219="",C2219=""),"",K2219-N2219 + IFERROR(E2219 / SUMIFS('📅 Resumen Diario'!$D$5:$D$504, '[2]�� Resumen Diario'!$B$5:$B$504, B2219, '📅 Resumen Diario'!$C$5:$C$504, D2219) * (SUMIFS('📋 Detalle Diario'!$E$5:$E$489, '📋 Detalle Diario'!$B$5:$B$489, B2219, '📋 Detalle Diario'!$C$5:$C$489, D2219) * 135 + SUMIFS('📋 Detalle Diario'!$I$5:$I$489, '📋 Detalle Diario'!$B$5:$B$489, B2219, '📋 Detalle Diario'!$C$5:$C$489, D2219) * 200), 0))</f>
        <v/>
      </c>
      <c r="P2219" s="32" t="str">
        <f t="shared" si="243"/>
        <v/>
      </c>
      <c r="Q2219" s="33" t="str">
        <f t="shared" si="244"/>
        <v/>
      </c>
    </row>
    <row r="2220" spans="2:17" ht="18" customHeight="1" x14ac:dyDescent="0.3">
      <c r="B2220" s="26"/>
      <c r="C2220" s="17"/>
      <c r="D2220" s="27"/>
      <c r="E2220" s="18"/>
      <c r="F2220" s="18"/>
      <c r="G2220" s="18"/>
      <c r="H2220" s="30" t="str">
        <f t="shared" si="238"/>
        <v/>
      </c>
      <c r="I2220" s="31" t="str">
        <f>IF(OR(B2220="",C2220=""),"",IFERROR(E2220*IF(E2220="",0,VLOOKUP(C2220,'📦 Precios Proforma'!$B$5:$D$104,IF(D2220="DIA",2,3),FALSE)),0))</f>
        <v/>
      </c>
      <c r="J2220" s="31" t="str">
        <f t="shared" si="239"/>
        <v/>
      </c>
      <c r="K2220" s="31" t="str">
        <f t="shared" si="240"/>
        <v/>
      </c>
      <c r="L2220" s="31" t="str">
        <f>IF(OR(B2220="",C2220=""),"",IFERROR(E2220 / SUMIFS('📅 Resumen Diario'!$D$5:$D$504, '📅 Resumen Diario'!$B$5:$B$504, B2220, '📅 Resumen Diario'!$C$5:$C$504, D2220) * SUMIFS('📅 Resumen Diario'!$K$5:$K$504, '📅 Resumen Diario'!$B$5:$B$504, B2220, '📅 Resumen Diario'!$C$5:$C$504, D2220), 0))</f>
        <v/>
      </c>
      <c r="M2220" s="31" t="str">
        <f t="shared" si="241"/>
        <v/>
      </c>
      <c r="N2220" s="31" t="str">
        <f t="shared" si="242"/>
        <v/>
      </c>
      <c r="O2220" s="31" t="str">
        <f>IF(OR(B2220="",C2220=""),"",K2220-N2220 + IFERROR(E2220 / SUMIFS('📅 Resumen Diario'!$D$5:$D$504, '📅 Resumen Diario'!$B$5:$B$504, B2220, '📅 Resumen Diario'!$C$5:$C$504, D2220) * (SUMIFS('📋 Detalle Diario'!$E$5:$E$489, '📋 Detalle Diario'!$B$5:$B$489, B2220, '📋 Detalle Diario'!$C$5:$C$489, D2220) * 135 + SUMIFS('📋 Detalle Diario'!$I$5:$I$489, '📋 Detalle Diario'!$B$5:$B$489, B2220, '📋 Detalle Diario'!$C$5:$C$489, D2220) * 200), 0))</f>
        <v/>
      </c>
      <c r="P2220" s="32" t="str">
        <f t="shared" si="243"/>
        <v/>
      </c>
      <c r="Q2220" s="33" t="str">
        <f t="shared" si="244"/>
        <v/>
      </c>
    </row>
    <row r="2221" spans="2:17" ht="18" customHeight="1" x14ac:dyDescent="0.3">
      <c r="B2221" s="26"/>
      <c r="C2221" s="28"/>
      <c r="D2221" s="27"/>
      <c r="E2221" s="29"/>
      <c r="F2221" s="29"/>
      <c r="G2221" s="29"/>
      <c r="H2221" s="30" t="str">
        <f t="shared" si="238"/>
        <v/>
      </c>
      <c r="I2221" s="31" t="str">
        <f>IF(OR(B2221="",C2221=""),"",IFERROR(E2221*IF(E2221="",0,VLOOKUP(C2221,'📦 Precios Proforma'!$B$5:$D$104,IF(D2221="DIA",2,3),FALSE)),0))</f>
        <v/>
      </c>
      <c r="J2221" s="31" t="str">
        <f t="shared" si="239"/>
        <v/>
      </c>
      <c r="K2221" s="31" t="str">
        <f t="shared" si="240"/>
        <v/>
      </c>
      <c r="L2221" s="31" t="str">
        <f>IF(OR(B2221="",C2221=""),"",IFERROR(E2221 / SUMIFS('📅 Resumen Diario'!$D$5:$D$504, '📅 Resumen Diario'!$B$5:$B$504, B2221, '📅 Resumen Diario'!$C$5:$C$504, D2221) * SUMIFS('📅 Resumen Diario'!$K$5:$K$504, '📅 Resumen Diario'!$B$5:$B$504, B2221, '📅 Resumen Diario'!$C$5:$C$504, D2221), 0))</f>
        <v/>
      </c>
      <c r="M2221" s="31" t="str">
        <f t="shared" si="241"/>
        <v/>
      </c>
      <c r="N2221" s="31" t="str">
        <f t="shared" si="242"/>
        <v/>
      </c>
      <c r="O2221" s="31" t="str">
        <f>IF(OR(B2221="",C2221=""),"",K2221-N2221 + IFERROR(E2221 / SUMIFS('📅 Resumen Diario'!$D$5:$D$504, '📅 Resumen Diario'!$B$5:$B$504, B2221, '📅 Resumen Diario'!$C$5:$C$504, D2221) * (SUMIFS('📋 Detalle Diario'!$E$5:$E$489, '📋 Detalle Diario'!$B$5:$B$489, B2221, '📋 Detalle Diario'!$C$5:$C$489, D2221) * 135 + SUMIFS('📋 Detalle Diario'!$I$5:$I$489, '📋 Detalle Diario'!$B$5:$B$489, B2221, '📋 Detalle Diario'!$C$5:$C$489, D2221) * 200), 0))</f>
        <v/>
      </c>
      <c r="P2221" s="32" t="str">
        <f t="shared" si="243"/>
        <v/>
      </c>
      <c r="Q2221" s="33" t="str">
        <f t="shared" si="244"/>
        <v/>
      </c>
    </row>
    <row r="2222" spans="2:17" ht="18" customHeight="1" x14ac:dyDescent="0.3">
      <c r="B2222" s="26"/>
      <c r="C2222" s="17"/>
      <c r="D2222" s="27"/>
      <c r="E2222" s="18"/>
      <c r="F2222" s="18"/>
      <c r="G2222" s="18"/>
      <c r="H2222" s="30" t="str">
        <f t="shared" si="238"/>
        <v/>
      </c>
      <c r="I2222" s="31" t="str">
        <f>IF(OR(B2222="",C2222=""),"",IFERROR(E2222*IF(E2222="",0,VLOOKUP(C2222,'📦 Precios Proforma'!$B$5:$D$104,IF(D2222="DIA",2,3),FALSE)),0))</f>
        <v/>
      </c>
      <c r="J2222" s="31" t="str">
        <f t="shared" si="239"/>
        <v/>
      </c>
      <c r="K2222" s="31" t="str">
        <f t="shared" si="240"/>
        <v/>
      </c>
      <c r="L2222" s="31" t="str">
        <f>IF(OR(B2222="",C2222=""),"",IFERROR(E2222 / SUMIFS('📅 Resumen Diario'!$D$5:$D$504, '📅 Resumen Diario'!$B$5:$B$504, B2222, '📅 Resumen Diario'!$C$5:$C$504, D2222) * SUMIFS('📅 Resumen Diario'!$K$5:$K$504, '📅 Resumen Diario'!$B$5:$B$504, B2222, '📅 Resumen Diario'!$C$5:$C$504, D2222), 0))</f>
        <v/>
      </c>
      <c r="M2222" s="31" t="str">
        <f t="shared" si="241"/>
        <v/>
      </c>
      <c r="N2222" s="31" t="str">
        <f t="shared" si="242"/>
        <v/>
      </c>
      <c r="O2222" s="31" t="str">
        <f>IF(OR(B2222="",C2222=""),"",K2222-N2222 + IFERROR(E2222 / SUMIFS('📅 Resumen Diario'!$D$5:$D$504, '📅 Resumen Diario'!$B$5:$B$504, B2222, '📅 Resumen Diario'!$C$5:$C$504, D2222) * (SUMIFS('📋 Detalle Diario'!$E$5:$E$489, '📋 Detalle Diario'!$B$5:$B$489, B2222, '📋 Detalle Diario'!$C$5:$C$489, D2222) * 135 + SUMIFS('📋 Detalle Diario'!$I$5:$I$489, '📋 Detalle Diario'!$B$5:$B$489, B2222, '📋 Detalle Diario'!$C$5:$C$489, D2222) * 200), 0))</f>
        <v/>
      </c>
      <c r="P2222" s="32" t="str">
        <f t="shared" si="243"/>
        <v/>
      </c>
      <c r="Q2222" s="33" t="str">
        <f t="shared" si="244"/>
        <v/>
      </c>
    </row>
    <row r="2223" spans="2:17" ht="18" customHeight="1" x14ac:dyDescent="0.3">
      <c r="B2223" s="26"/>
      <c r="C2223" s="28"/>
      <c r="D2223" s="27"/>
      <c r="E2223" s="29"/>
      <c r="F2223" s="29"/>
      <c r="G2223" s="29"/>
      <c r="H2223" s="30" t="str">
        <f t="shared" si="238"/>
        <v/>
      </c>
      <c r="I2223" s="31" t="str">
        <f>IF(OR(B2223="",C2223=""),"",IFERROR(E2223*IF(E2223="",0,VLOOKUP(C2223,'📦 Precios Proforma'!$B$5:$D$104,IF(D2223="DIA",2,3),FALSE)),0))</f>
        <v/>
      </c>
      <c r="J2223" s="31" t="str">
        <f t="shared" si="239"/>
        <v/>
      </c>
      <c r="K2223" s="31" t="str">
        <f t="shared" si="240"/>
        <v/>
      </c>
      <c r="L2223" s="31" t="str">
        <f>IF(OR(B2223="",C2223=""),"",IFERROR(E2223 / SUMIFS('📅 Resumen Diario'!$D$5:$D$504, '📅 Resumen Diario'!$B$5:$B$504, B2223, '📅 Resumen Diario'!$C$5:$C$504, D2223) * SUMIFS('📅 Resumen Diario'!$K$5:$K$504, '📅 Resumen Diario'!$B$5:$B$504, B2223, '📅 Resumen Diario'!$C$5:$C$504, D2223), 0))</f>
        <v/>
      </c>
      <c r="M2223" s="31" t="str">
        <f t="shared" si="241"/>
        <v/>
      </c>
      <c r="N2223" s="31" t="str">
        <f t="shared" si="242"/>
        <v/>
      </c>
      <c r="O2223" s="31" t="str">
        <f>IF(OR(B2223="",C2223=""),"",K2223-N2223 + IFERROR(E2223 / SUMIFS('📅 Resumen Diario'!$D$5:$D$504, '📅 Resumen Diario'!$B$5:$B$504, B2223, '📅 Resumen Diario'!$C$5:$C$504, D2223) * (SUMIFS('📋 Detalle Diario'!$E$5:$E$489, '📋 Detalle Diario'!$B$5:$B$489, B2223, '📋 Detalle Diario'!$C$5:$C$489, D2223) * 135 + SUMIFS('📋 Detalle Diario'!$I$5:$I$489, '📋 Detalle Diario'!$B$5:$B$489, B2223, '📋 Detalle Diario'!$C$5:$C$489, D2223) * 200), 0))</f>
        <v/>
      </c>
      <c r="P2223" s="32" t="str">
        <f t="shared" si="243"/>
        <v/>
      </c>
      <c r="Q2223" s="33" t="str">
        <f t="shared" si="244"/>
        <v/>
      </c>
    </row>
    <row r="2224" spans="2:17" ht="18" customHeight="1" x14ac:dyDescent="0.3">
      <c r="B2224" s="26"/>
      <c r="C2224" s="17"/>
      <c r="D2224" s="27"/>
      <c r="E2224" s="18"/>
      <c r="F2224" s="18"/>
      <c r="G2224" s="18"/>
      <c r="H2224" s="30" t="str">
        <f t="shared" si="238"/>
        <v/>
      </c>
      <c r="I2224" s="31" t="str">
        <f>IF(OR(B2224="",C2224=""),"",IFERROR(E2224*IF(E2224="",0,VLOOKUP(C2224,'📦 Precios Proforma'!$B$5:$D$104,IF(D2224="DIA",2,3),FALSE)),0))</f>
        <v/>
      </c>
      <c r="J2224" s="31" t="str">
        <f t="shared" si="239"/>
        <v/>
      </c>
      <c r="K2224" s="31" t="str">
        <f t="shared" si="240"/>
        <v/>
      </c>
      <c r="L2224" s="31" t="str">
        <f>IF(OR(B2224="",C2224=""),"",IFERROR(E2224 / SUMIFS('📅 Resumen Diario'!$D$5:$D$504, '📅 Resumen Diario'!$B$5:$B$504, B2224, '📅 Resumen Diario'!$C$5:$C$504, D2224) * SUMIFS('📅 Resumen Diario'!$K$5:$K$504, '📅 Resumen Diario'!$B$5:$B$504, B2224, '📅 Resumen Diario'!$C$5:$C$504, D2224), 0))</f>
        <v/>
      </c>
      <c r="M2224" s="31" t="str">
        <f t="shared" si="241"/>
        <v/>
      </c>
      <c r="N2224" s="31" t="str">
        <f t="shared" si="242"/>
        <v/>
      </c>
      <c r="O2224" s="31" t="str">
        <f>IF(OR(B2224="",C2224=""),"",K2224-N2224 + IFERROR(E2224 / SUMIFS('📅 Resumen Diario'!$D$5:$D$504, '📅 Resumen Diario'!$B$5:$B$504, B2224, '📅 Resumen Diario'!$C$5:$C$504, D2224) * (SUMIFS('📋 Detalle Diario'!$E$5:$E$489, '📋 Detalle Diario'!$B$5:$B$489, B2224, '📋 Detalle Diario'!$C$5:$C$489, D2224) * 135 + SUMIFS('📋 Detalle Diario'!$I$5:$I$489, '📋 Detalle Diario'!$B$5:$B$489, B2224, '📋 Detalle Diario'!$C$5:$C$489, D2224) * 200), 0))</f>
        <v/>
      </c>
      <c r="P2224" s="32" t="str">
        <f t="shared" si="243"/>
        <v/>
      </c>
      <c r="Q2224" s="33" t="str">
        <f t="shared" si="244"/>
        <v/>
      </c>
    </row>
    <row r="2225" spans="2:17" ht="18" customHeight="1" x14ac:dyDescent="0.3">
      <c r="B2225" s="26"/>
      <c r="C2225" s="28"/>
      <c r="D2225" s="27"/>
      <c r="E2225" s="29"/>
      <c r="F2225" s="29"/>
      <c r="G2225" s="29"/>
      <c r="H2225" s="30" t="str">
        <f t="shared" si="238"/>
        <v/>
      </c>
      <c r="I2225" s="31" t="str">
        <f>IF(OR(B2225="",C2225=""),"",IFERROR(E2225*IF(E2225="",0,VLOOKUP(C2225,'📦 Precios Proforma'!$B$5:$D$104,IF(D2225="DIA",2,3),FALSE)),0))</f>
        <v/>
      </c>
      <c r="J2225" s="31" t="str">
        <f t="shared" si="239"/>
        <v/>
      </c>
      <c r="K2225" s="31" t="str">
        <f t="shared" si="240"/>
        <v/>
      </c>
      <c r="L2225" s="31" t="str">
        <f>IF(OR(B2225="",C2225=""),"",IFERROR(E2225 / SUMIFS('📅 Resumen Diario'!$D$5:$D$504, '📅 Resumen Diario'!$B$5:$B$504, B2225, '📅 Resumen Diario'!$C$5:$C$504, D2225) * SUMIFS('📅 Resumen Diario'!$K$5:$K$504, '📅 Resumen Diario'!$B$5:$B$504, B2225, '📅 Resumen Diario'!$C$5:$C$504, D2225), 0))</f>
        <v/>
      </c>
      <c r="M2225" s="31" t="str">
        <f t="shared" si="241"/>
        <v/>
      </c>
      <c r="N2225" s="31" t="str">
        <f t="shared" si="242"/>
        <v/>
      </c>
      <c r="O2225" s="31" t="str">
        <f>IF(OR(B2225="",C2225=""),"",K2225-N2225 + IFERROR(E2225 / SUMIFS('📅 Resumen Diario'!$D$5:$D$504, '📅 Resumen Diario'!$B$5:$B$504, B2225, '📅 Resumen Diario'!$C$5:$C$504, D2225) * (SUMIFS('📋 Detalle Diario'!$E$5:$E$489, '📋 Detalle Diario'!$B$5:$B$489, B2225, '📋 Detalle Diario'!$C$5:$C$489, D2225) * 135 + SUMIFS('📋 Detalle Diario'!$I$5:$I$489, '📋 Detalle Diario'!$B$5:$B$489, B2225, '📋 Detalle Diario'!$C$5:$C$489, D2225) * 200), 0))</f>
        <v/>
      </c>
      <c r="P2225" s="32" t="str">
        <f t="shared" si="243"/>
        <v/>
      </c>
      <c r="Q2225" s="33" t="str">
        <f t="shared" si="244"/>
        <v/>
      </c>
    </row>
    <row r="2226" spans="2:17" ht="18" customHeight="1" x14ac:dyDescent="0.3">
      <c r="B2226" s="26"/>
      <c r="C2226" s="17"/>
      <c r="D2226" s="27"/>
      <c r="E2226" s="18"/>
      <c r="F2226" s="18"/>
      <c r="G2226" s="18"/>
      <c r="H2226" s="30" t="str">
        <f t="shared" si="238"/>
        <v/>
      </c>
      <c r="I2226" s="31" t="str">
        <f>IF(OR(B2226="",C2226=""),"",IFERROR(E2226*IF(E2226="",0,VLOOKUP(C2226,'📦 Precios Proforma'!$B$5:$D$104,IF(D2226="DIA",2,3),FALSE)),0))</f>
        <v/>
      </c>
      <c r="J2226" s="31" t="str">
        <f t="shared" si="239"/>
        <v/>
      </c>
      <c r="K2226" s="31" t="str">
        <f t="shared" si="240"/>
        <v/>
      </c>
      <c r="L2226" s="31" t="str">
        <f>IF(OR(B2226="",C2226=""),"",IFERROR(E2226 / SUMIFS('📅 Resumen Diario'!$D$5:$D$504, '📅 Resumen Diario'!$B$5:$B$504, B2226, '📅 Resumen Diario'!$C$5:$C$504, D2226) * SUMIFS('📅 Resumen Diario'!$K$5:$K$504, '📅 Resumen Diario'!$B$5:$B$504, B2226, '📅 Resumen Diario'!$C$5:$C$504, D2226), 0))</f>
        <v/>
      </c>
      <c r="M2226" s="31" t="str">
        <f t="shared" si="241"/>
        <v/>
      </c>
      <c r="N2226" s="31" t="str">
        <f t="shared" si="242"/>
        <v/>
      </c>
      <c r="O2226" s="31" t="str">
        <f>IF(OR(B2226="",C2226=""),"",K2226-N2226 + IFERROR(E2226 / SUMIFS('📅 Resumen Diario'!$D$5:$D$504, '📅 Resumen Diario'!$B$5:$B$504, B2226, '📅 Resumen Diario'!$C$5:$C$504, D2226) * (SUMIFS('📋 Detalle Diario'!$E$5:$E$489, '📋 Detalle Diario'!$B$5:$B$489, B2226, '📋 Detalle Diario'!$C$5:$C$489, D2226) * 135 + SUMIFS('📋 Detalle Diario'!$I$5:$I$489, '📋 Detalle Diario'!$B$5:$B$489, B2226, '📋 Detalle Diario'!$C$5:$C$489, D2226) * 200), 0))</f>
        <v/>
      </c>
      <c r="P2226" s="32" t="str">
        <f t="shared" si="243"/>
        <v/>
      </c>
      <c r="Q2226" s="33" t="str">
        <f t="shared" si="244"/>
        <v/>
      </c>
    </row>
    <row r="2227" spans="2:17" ht="18" customHeight="1" x14ac:dyDescent="0.3">
      <c r="B2227" s="26"/>
      <c r="C2227" s="28"/>
      <c r="D2227" s="27"/>
      <c r="E2227" s="29"/>
      <c r="F2227" s="29"/>
      <c r="G2227" s="29"/>
      <c r="H2227" s="30" t="str">
        <f t="shared" si="238"/>
        <v/>
      </c>
      <c r="I2227" s="31" t="str">
        <f>IF(OR(B2227="",C2227=""),"",IFERROR(E2227*IF(E2227="",0,VLOOKUP(C2227,'📦 Precios Proforma'!$B$5:$D$104,IF(D2227="DIA",2,3),FALSE)),0))</f>
        <v/>
      </c>
      <c r="J2227" s="31" t="str">
        <f t="shared" si="239"/>
        <v/>
      </c>
      <c r="K2227" s="31" t="str">
        <f t="shared" si="240"/>
        <v/>
      </c>
      <c r="L2227" s="31" t="str">
        <f>IF(OR(B2227="",C2227=""),"",IFERROR(E2227 / SUMIFS('📅 Resumen Diario'!$D$5:$D$504, '📅 Resumen Diario'!$B$5:$B$504, B2227, '📅 Resumen Diario'!$C$5:$C$504, D2227) * SUMIFS('📅 Resumen Diario'!$K$5:$K$504, '📅 Resumen Diario'!$B$5:$B$504, B2227, '📅 Resumen Diario'!$C$5:$C$504, D2227), 0))</f>
        <v/>
      </c>
      <c r="M2227" s="31" t="str">
        <f t="shared" si="241"/>
        <v/>
      </c>
      <c r="N2227" s="31" t="str">
        <f t="shared" si="242"/>
        <v/>
      </c>
      <c r="O2227" s="31" t="str">
        <f>IF(OR(B2227="",C2227=""),"",K2227-N2227 + IFERROR(E2227 / SUMIFS('📅 Resumen Diario'!$D$5:$D$504, '📅 Resumen Diario'!$B$5:$B$504, B2227, '📅 Resumen Diario'!$C$5:$C$504, D2227) * (SUMIFS('📋 Detalle Diario'!$E$5:$E$489, '📋 Detalle Diario'!$B$5:$B$489, B2227, '📋 Detalle Diario'!$C$5:$C$489, D2227) * 135 + SUMIFS('📋 Detalle Diario'!$I$5:$I$489, '📋 Detalle Diario'!$B$5:$B$489, B2227, '📋 Detalle Diario'!$C$5:$C$489, D2227) * 200), 0))</f>
        <v/>
      </c>
      <c r="P2227" s="32" t="str">
        <f t="shared" si="243"/>
        <v/>
      </c>
      <c r="Q2227" s="33" t="str">
        <f t="shared" si="244"/>
        <v/>
      </c>
    </row>
    <row r="2228" spans="2:17" ht="18" customHeight="1" x14ac:dyDescent="0.3">
      <c r="B2228" s="26"/>
      <c r="C2228" s="17"/>
      <c r="D2228" s="27"/>
      <c r="E2228" s="18"/>
      <c r="F2228" s="18"/>
      <c r="G2228" s="18"/>
      <c r="H2228" s="30" t="str">
        <f t="shared" si="238"/>
        <v/>
      </c>
      <c r="I2228" s="31" t="str">
        <f>IF(OR(B2228="",C2228=""),"",IFERROR(E2228*IF(E2228="",0,VLOOKUP(C2228,'📦 Precios Proforma'!$B$5:$D$104,IF(D2228="DIA",2,3),FALSE)),0))</f>
        <v/>
      </c>
      <c r="J2228" s="31" t="str">
        <f t="shared" si="239"/>
        <v/>
      </c>
      <c r="K2228" s="31" t="str">
        <f t="shared" si="240"/>
        <v/>
      </c>
      <c r="L2228" s="31" t="str">
        <f>IF(OR(B2228="",C2228=""),"",IFERROR(E2228 / SUMIFS('📅 Resumen Diario'!$D$5:$D$504, '📅 Resumen Diario'!$B$5:$B$504, B2228, '📅 Resumen Diario'!$C$5:$C$504, D2228) * SUMIFS('📅 Resumen Diario'!$K$5:$K$504, '📅 Resumen Diario'!$B$5:$B$504, B2228, '📅 Resumen Diario'!$C$5:$C$504, D2228), 0))</f>
        <v/>
      </c>
      <c r="M2228" s="31" t="str">
        <f t="shared" si="241"/>
        <v/>
      </c>
      <c r="N2228" s="31" t="str">
        <f t="shared" si="242"/>
        <v/>
      </c>
      <c r="O2228" s="31" t="str">
        <f>IF(OR(B2228="",C2228=""),"",K2228-N2228 + IFERROR(E2228 / SUMIFS('📅 Resumen Diario'!$D$5:$D$504, '📅 Resumen Diario'!$B$5:$B$504, B2228, '📅 Resumen Diario'!$C$5:$C$504, D2228) * (SUMIFS('📋 Detalle Diario'!$E$5:$E$489, '📋 Detalle Diario'!$B$5:$B$489, B2228, '📋 Detalle Diario'!$C$5:$C$489, D2228) * 135 + SUMIFS('📋 Detalle Diario'!$I$5:$I$489, '📋 Detalle Diario'!$B$5:$B$489, B2228, '📋 Detalle Diario'!$C$5:$C$489, D2228) * 200), 0))</f>
        <v/>
      </c>
      <c r="P2228" s="32" t="str">
        <f t="shared" si="243"/>
        <v/>
      </c>
      <c r="Q2228" s="33" t="str">
        <f t="shared" si="244"/>
        <v/>
      </c>
    </row>
    <row r="2229" spans="2:17" ht="18" customHeight="1" x14ac:dyDescent="0.3">
      <c r="B2229" s="26"/>
      <c r="C2229" s="28"/>
      <c r="D2229" s="27"/>
      <c r="E2229" s="29"/>
      <c r="F2229" s="29"/>
      <c r="G2229" s="29"/>
      <c r="H2229" s="30" t="str">
        <f t="shared" si="238"/>
        <v/>
      </c>
      <c r="I2229" s="31" t="str">
        <f>IF(OR(B2229="",C2229=""),"",IFERROR(E2229*IF(E2229="",0,VLOOKUP(C2229,'📦 Precios Proforma'!$B$5:$D$104,IF(D2229="DIA",2,3),FALSE)),0))</f>
        <v/>
      </c>
      <c r="J2229" s="31" t="str">
        <f t="shared" si="239"/>
        <v/>
      </c>
      <c r="K2229" s="31" t="str">
        <f t="shared" si="240"/>
        <v/>
      </c>
      <c r="L2229" s="31" t="str">
        <f>IF(OR(B2229="",C2229=""),"",IFERROR(E2229 / SUMIFS('📅 Resumen Diario'!$D$5:$D$504, '📅 Resumen Diario'!$B$5:$B$504, B2229, '📅 Resumen Diario'!$C$5:$C$504, D2229) * SUMIFS('📅 Resumen Diario'!$K$5:$K$504, '📅 Resumen Diario'!$B$5:$B$504, B2229, '📅 Resumen Diario'!$C$5:$C$504, D2229), 0))</f>
        <v/>
      </c>
      <c r="M2229" s="31" t="str">
        <f t="shared" si="241"/>
        <v/>
      </c>
      <c r="N2229" s="31" t="str">
        <f t="shared" si="242"/>
        <v/>
      </c>
      <c r="O2229" s="31" t="str">
        <f>IF(OR(B2229="",C2229=""),"",K2229-N2229 + IFERROR(E2229 / SUMIFS('📅 Resumen Diario'!$D$5:$D$504, '📅 Resumen Diario'!$B$5:$B$504, B2229, '📅 Resumen Diario'!$C$5:$C$504, D2229) * (SUMIFS('📋 Detalle Diario'!$E$5:$E$489, '📋 Detalle Diario'!$B$5:$B$489, B2229, '📋 Detalle Diario'!$C$5:$C$489, D2229) * 135 + SUMIFS('📋 Detalle Diario'!$I$5:$I$489, '📋 Detalle Diario'!$B$5:$B$489, B2229, '📋 Detalle Diario'!$C$5:$C$489, D2229) * 200), 0))</f>
        <v/>
      </c>
      <c r="P2229" s="32" t="str">
        <f t="shared" si="243"/>
        <v/>
      </c>
      <c r="Q2229" s="33" t="str">
        <f t="shared" si="244"/>
        <v/>
      </c>
    </row>
    <row r="2230" spans="2:17" ht="18" customHeight="1" x14ac:dyDescent="0.3">
      <c r="B2230" s="26"/>
      <c r="C2230" s="17"/>
      <c r="D2230" s="27"/>
      <c r="E2230" s="18"/>
      <c r="F2230" s="18"/>
      <c r="G2230" s="18"/>
      <c r="H2230" s="30" t="str">
        <f t="shared" si="238"/>
        <v/>
      </c>
      <c r="I2230" s="31" t="str">
        <f>IF(OR(B2230="",C2230=""),"",IFERROR(E2230*IF(E2230="",0,VLOOKUP(C2230,'📦 Precios Proforma'!$B$5:$D$104,IF(D2230="DIA",2,3),FALSE)),0))</f>
        <v/>
      </c>
      <c r="J2230" s="31" t="str">
        <f t="shared" si="239"/>
        <v/>
      </c>
      <c r="K2230" s="31" t="str">
        <f t="shared" si="240"/>
        <v/>
      </c>
      <c r="L2230" s="31" t="str">
        <f>IF(OR(B2230="",C2230=""),"",IFERROR(E2230 / SUMIFS('📅 Resumen Diario'!$D$5:$D$504, '📅 Resumen Diario'!$B$5:$B$504, B2230, '📅 Resumen Diario'!$C$5:$C$504, D2230) * SUMIFS('📅 Resumen Diario'!$K$5:$K$504, '📅 Resumen Diario'!$B$5:$B$504, B2230, '📅 Resumen Diario'!$C$5:$C$504, D2230), 0))</f>
        <v/>
      </c>
      <c r="M2230" s="31" t="str">
        <f t="shared" si="241"/>
        <v/>
      </c>
      <c r="N2230" s="31" t="str">
        <f t="shared" si="242"/>
        <v/>
      </c>
      <c r="O2230" s="31" t="str">
        <f>IF(OR(B2230="",C2230=""),"",K2230-N2230 + IFERROR(E2230 / SUMIFS('📅 Resumen Diario'!$D$5:$D$504, '📅 Resumen Diario'!$B$5:$B$504, B2230, '📅 Resumen Diario'!$C$5:$C$504, D2230) * (SUMIFS('📋 Detalle Diario'!$E$5:$E$489, '📋 Detalle Diario'!$B$5:$B$489, B2230, '📋 Detalle Diario'!$C$5:$C$489, D2230) * 135 + SUMIFS('📋 Detalle Diario'!$I$5:$I$489, '📋 Detalle Diario'!$B$5:$B$489, B2230, '📋 Detalle Diario'!$C$5:$C$489, D2230) * 200), 0))</f>
        <v/>
      </c>
      <c r="P2230" s="32" t="str">
        <f t="shared" si="243"/>
        <v/>
      </c>
      <c r="Q2230" s="33" t="str">
        <f t="shared" si="244"/>
        <v/>
      </c>
    </row>
    <row r="2231" spans="2:17" ht="18" customHeight="1" x14ac:dyDescent="0.3">
      <c r="B2231" s="26"/>
      <c r="C2231" s="28"/>
      <c r="D2231" s="27"/>
      <c r="E2231" s="29"/>
      <c r="F2231" s="29"/>
      <c r="G2231" s="29"/>
      <c r="H2231" s="30" t="str">
        <f t="shared" si="238"/>
        <v/>
      </c>
      <c r="I2231" s="31" t="str">
        <f>IF(OR(B2231="",C2231=""),"",IFERROR(E2231*IF(E2231="",0,VLOOKUP(C2231,'📦 Precios Proforma'!$B$5:$D$104,IF(D2231="DIA",2,3),FALSE)),0))</f>
        <v/>
      </c>
      <c r="J2231" s="31" t="str">
        <f t="shared" si="239"/>
        <v/>
      </c>
      <c r="K2231" s="31" t="str">
        <f t="shared" si="240"/>
        <v/>
      </c>
      <c r="L2231" s="31" t="str">
        <f>IF(OR(B2231="",C2231=""),"",IFERROR(E2231 / SUMIFS('📅 Resumen Diario'!$D$5:$D$504, '📅 Resumen Diario'!$B$5:$B$504, B2231, '📅 Resumen Diario'!$C$5:$C$504, D2231) * SUMIFS('📅 Resumen Diario'!$K$5:$K$504, '📅 Resumen Diario'!$B$5:$B$504, B2231, '📅 Resumen Diario'!$C$5:$C$504, D2231), 0))</f>
        <v/>
      </c>
      <c r="M2231" s="31" t="str">
        <f t="shared" si="241"/>
        <v/>
      </c>
      <c r="N2231" s="31" t="str">
        <f t="shared" si="242"/>
        <v/>
      </c>
      <c r="O2231" s="31" t="str">
        <f>IF(OR(B2231="",C2231=""),"",K2231-N2231 + IFERROR(E2231 / SUMIFS('📅 Resumen Diario'!$D$5:$D$504, '📅 Resumen Diario'!$B$5:$B$504, B2231, '📅 Resumen Diario'!$C$5:$C$504, D2231) * (SUMIFS('📋 Detalle Diario'!$E$5:$E$489, '📋 Detalle Diario'!$B$5:$B$489, B2231, '📋 Detalle Diario'!$C$5:$C$489, D2231) * 135 + SUMIFS('📋 Detalle Diario'!$I$5:$I$489, '📋 Detalle Diario'!$B$5:$B$489, B2231, '📋 Detalle Diario'!$C$5:$C$489, D2231) * 200), 0))</f>
        <v/>
      </c>
      <c r="P2231" s="32" t="str">
        <f t="shared" si="243"/>
        <v/>
      </c>
      <c r="Q2231" s="33" t="str">
        <f t="shared" si="244"/>
        <v/>
      </c>
    </row>
    <row r="2232" spans="2:17" ht="18" customHeight="1" x14ac:dyDescent="0.3">
      <c r="B2232" s="26"/>
      <c r="C2232" s="17"/>
      <c r="D2232" s="27"/>
      <c r="E2232" s="18"/>
      <c r="F2232" s="18"/>
      <c r="G2232" s="18"/>
      <c r="H2232" s="30" t="str">
        <f t="shared" si="238"/>
        <v/>
      </c>
      <c r="I2232" s="31" t="str">
        <f>IF(OR(B2232="",C2232=""),"",IFERROR(E2232*IF(E2232="",0,VLOOKUP(C2232,'📦 Precios Proforma'!$B$5:$D$104,IF(D2232="DIA",2,3),FALSE)),0))</f>
        <v/>
      </c>
      <c r="J2232" s="31" t="str">
        <f t="shared" si="239"/>
        <v/>
      </c>
      <c r="K2232" s="31" t="str">
        <f t="shared" si="240"/>
        <v/>
      </c>
      <c r="L2232" s="31" t="str">
        <f>IF(OR(B2232="",C2232=""),"",IFERROR(E2232 / SUMIFS('📅 Resumen Diario'!$D$5:$D$504, '📅 Resumen Diario'!$B$5:$B$504, B2232, '📅 Resumen Diario'!$C$5:$C$504, D2232) * SUMIFS('📅 Resumen Diario'!$K$5:$K$504, '📅 Resumen Diario'!$B$5:$B$504, B2232, '📅 Resumen Diario'!$C$5:$C$504, D2232), 0))</f>
        <v/>
      </c>
      <c r="M2232" s="31" t="str">
        <f t="shared" si="241"/>
        <v/>
      </c>
      <c r="N2232" s="31" t="str">
        <f t="shared" si="242"/>
        <v/>
      </c>
      <c r="O2232" s="31" t="str">
        <f>IF(OR(B2232="",C2232=""),"",K2232-N2232 + IFERROR(E2232 / SUMIFS('📅 Resumen Diario'!$D$5:$D$504, '📅 Resumen Diario'!$B$5:$B$504, B2232, '📅 Resumen Diario'!$C$5:$C$504, D2232) * (SUMIFS('📋 Detalle Diario'!$E$5:$E$489, '📋 Detalle Diario'!$B$5:$B$489, B2232, '📋 Detalle Diario'!$C$5:$C$489, D2232) * 135 + SUMIFS('📋 Detalle Diario'!$I$5:$I$489, '📋 Detalle Diario'!$B$5:$B$489, B2232, '📋 Detalle Diario'!$C$5:$C$489, D2232) * 200), 0))</f>
        <v/>
      </c>
      <c r="P2232" s="32" t="str">
        <f t="shared" si="243"/>
        <v/>
      </c>
      <c r="Q2232" s="33" t="str">
        <f t="shared" si="244"/>
        <v/>
      </c>
    </row>
    <row r="2233" spans="2:17" ht="18" customHeight="1" x14ac:dyDescent="0.3">
      <c r="B2233" s="26"/>
      <c r="C2233" s="28"/>
      <c r="D2233" s="27"/>
      <c r="E2233" s="29"/>
      <c r="F2233" s="29"/>
      <c r="G2233" s="29"/>
      <c r="H2233" s="30" t="str">
        <f t="shared" si="238"/>
        <v/>
      </c>
      <c r="I2233" s="31" t="str">
        <f>IF(OR(B2233="",C2233=""),"",IFERROR(E2233*IF(E2233="",0,VLOOKUP(C2233,'📦 Precios Proforma'!$B$5:$D$104,IF(D2233="DIA",2,3),FALSE)),0))</f>
        <v/>
      </c>
      <c r="J2233" s="31" t="str">
        <f t="shared" si="239"/>
        <v/>
      </c>
      <c r="K2233" s="31" t="str">
        <f t="shared" si="240"/>
        <v/>
      </c>
      <c r="L2233" s="31" t="str">
        <f>IF(OR(B2233="",C2233=""),"",IFERROR(E2233 / SUMIFS('📅 Resumen Diario'!$D$5:$D$504, '📅 Resumen Diario'!$B$5:$B$504, B2233, '📅 Resumen Diario'!$C$5:$C$504, D2233) * SUMIFS('📅 Resumen Diario'!$K$5:$K$504, '📅 Resumen Diario'!$B$5:$B$504, B2233, '📅 Resumen Diario'!$C$5:$C$504, D2233), 0))</f>
        <v/>
      </c>
      <c r="M2233" s="31" t="str">
        <f t="shared" si="241"/>
        <v/>
      </c>
      <c r="N2233" s="31" t="str">
        <f t="shared" si="242"/>
        <v/>
      </c>
      <c r="O2233" s="31" t="str">
        <f>IF(OR(B2233="",C2233=""),"",K2233-N2233 + IFERROR(E2233 / SUMIFS('📅 Resumen Diario'!$D$5:$D$504, '📅 Resumen Diario'!$B$5:$B$504, B2233, '📅 Resumen Diario'!$C$5:$C$504, D2233) * (SUMIFS('📋 Detalle Diario'!$E$5:$E$489, '📋 Detalle Diario'!$B$5:$B$489, B2233, '📋 Detalle Diario'!$C$5:$C$489, D2233) * 135 + SUMIFS('📋 Detalle Diario'!$I$5:$I$489, '📋 Detalle Diario'!$B$5:$B$489, B2233, '📋 Detalle Diario'!$C$5:$C$489, D2233) * 200), 0))</f>
        <v/>
      </c>
      <c r="P2233" s="32" t="str">
        <f t="shared" si="243"/>
        <v/>
      </c>
      <c r="Q2233" s="33" t="str">
        <f t="shared" si="244"/>
        <v/>
      </c>
    </row>
    <row r="2234" spans="2:17" ht="18" customHeight="1" x14ac:dyDescent="0.3">
      <c r="B2234" s="26"/>
      <c r="C2234" s="17"/>
      <c r="D2234" s="27"/>
      <c r="E2234" s="18"/>
      <c r="F2234" s="18"/>
      <c r="G2234" s="18"/>
      <c r="H2234" s="30" t="str">
        <f t="shared" si="238"/>
        <v/>
      </c>
      <c r="I2234" s="31" t="str">
        <f>IF(OR(B2234="",C2234=""),"",IFERROR(E2234*IF(E2234="",0,VLOOKUP(C2234,'📦 Precios Proforma'!$B$5:$D$104,IF(D2234="DIA",2,3),FALSE)),0))</f>
        <v/>
      </c>
      <c r="J2234" s="31" t="str">
        <f t="shared" si="239"/>
        <v/>
      </c>
      <c r="K2234" s="31" t="str">
        <f t="shared" si="240"/>
        <v/>
      </c>
      <c r="L2234" s="31" t="str">
        <f>IF(OR(B2234="",C2234=""),"",IFERROR(E2234 / SUMIFS('📅 Resumen Diario'!$D$5:$D$504, '📅 Resumen Diario'!$B$5:$B$504, B2234, '📅 Resumen Diario'!$C$5:$C$504, D2234) * SUMIFS('📅 Resumen Diario'!$K$5:$K$504, '📅 Resumen Diario'!$B$5:$B$504, B2234, '📅 Resumen Diario'!$C$5:$C$504, D2234), 0))</f>
        <v/>
      </c>
      <c r="M2234" s="31" t="str">
        <f t="shared" si="241"/>
        <v/>
      </c>
      <c r="N2234" s="31" t="str">
        <f t="shared" si="242"/>
        <v/>
      </c>
      <c r="O2234" s="31" t="str">
        <f>IF(OR(B2234="",C2234=""),"",K2234-N2234 + IFERROR(E2234 / SUMIFS('📅 Resumen Diario'!$D$5:$D$504, '📅 Resumen Diario'!$B$5:$B$504, B2234, '📅 Resumen Diario'!$C$5:$C$504, D2234) * (SUMIFS('📋 Detalle Diario'!$E$5:$E$489, '📋 Detalle Diario'!$B$5:$B$489, B2234, '📋 Detalle Diario'!$C$5:$C$489, D2234) * 135 + SUMIFS('📋 Detalle Diario'!$I$5:$I$489, '📋 Detalle Diario'!$B$5:$B$489, B2234, '📋 Detalle Diario'!$C$5:$C$489, D2234) * 200), 0))</f>
        <v/>
      </c>
      <c r="P2234" s="32" t="str">
        <f t="shared" si="243"/>
        <v/>
      </c>
      <c r="Q2234" s="33" t="str">
        <f t="shared" si="244"/>
        <v/>
      </c>
    </row>
    <row r="2235" spans="2:17" ht="18" customHeight="1" x14ac:dyDescent="0.3">
      <c r="B2235" s="26"/>
      <c r="C2235" s="28"/>
      <c r="D2235" s="27"/>
      <c r="E2235" s="29"/>
      <c r="F2235" s="29"/>
      <c r="G2235" s="29"/>
      <c r="H2235" s="30" t="str">
        <f t="shared" si="238"/>
        <v/>
      </c>
      <c r="I2235" s="31" t="str">
        <f>IF(OR(B2235="",C2235=""),"",IFERROR(E2235*IF(E2235="",0,VLOOKUP(C2235,'📦 Precios Proforma'!$B$5:$D$104,IF(D2235="DIA",2,3),FALSE)),0))</f>
        <v/>
      </c>
      <c r="J2235" s="31" t="str">
        <f t="shared" si="239"/>
        <v/>
      </c>
      <c r="K2235" s="31" t="str">
        <f t="shared" si="240"/>
        <v/>
      </c>
      <c r="L2235" s="31" t="str">
        <f>IF(OR(B2235="",C2235=""),"",IFERROR(E2235 / SUMIFS('📅 Resumen Diario'!$D$5:$D$504, '📅 Resumen Diario'!$B$5:$B$504, B2235, '📅 Resumen Diario'!$C$5:$C$504, D2235) * SUMIFS('📅 Resumen Diario'!$K$5:$K$504, '📅 Resumen Diario'!$B$5:$B$504, B2235, '📅 Resumen Diario'!$C$5:$C$504, D2235), 0))</f>
        <v/>
      </c>
      <c r="M2235" s="31" t="str">
        <f t="shared" si="241"/>
        <v/>
      </c>
      <c r="N2235" s="31" t="str">
        <f t="shared" si="242"/>
        <v/>
      </c>
      <c r="O2235" s="31" t="str">
        <f>IF(OR(B2235="",C2235=""),"",K2235-N2235 + IFERROR(E2235 / SUMIFS('📅 Resumen Diario'!$D$5:$D$504, '📅 Resumen Diario'!$B$5:$B$504, B2235, '📅 Resumen Diario'!$C$5:$C$504, D2235) * (SUMIFS('📋 Detalle Diario'!$E$5:$E$489, '📋 Detalle Diario'!$B$5:$B$489, B2235, '📋 Detalle Diario'!$C$5:$C$489, D2235) * 135 + SUMIFS('📋 Detalle Diario'!$I$5:$I$489, '📋 Detalle Diario'!$B$5:$B$489, B2235, '📋 Detalle Diario'!$C$5:$C$489, D2235) * 200), 0))</f>
        <v/>
      </c>
      <c r="P2235" s="32" t="str">
        <f t="shared" si="243"/>
        <v/>
      </c>
      <c r="Q2235" s="33" t="str">
        <f t="shared" si="244"/>
        <v/>
      </c>
    </row>
    <row r="2236" spans="2:17" ht="18" customHeight="1" x14ac:dyDescent="0.3">
      <c r="B2236" s="26"/>
      <c r="C2236" s="17"/>
      <c r="D2236" s="27"/>
      <c r="E2236" s="18"/>
      <c r="F2236" s="18"/>
      <c r="G2236" s="18"/>
      <c r="H2236" s="30" t="str">
        <f t="shared" si="238"/>
        <v/>
      </c>
      <c r="I2236" s="31" t="str">
        <f>IF(OR(B2236="",C2236=""),"",IFERROR(E2236*IF(E2236="",0,VLOOKUP(C2236,'📦 Precios Proforma'!$B$5:$D$104,IF(D2236="DIA",2,3),FALSE)),0))</f>
        <v/>
      </c>
      <c r="J2236" s="31" t="str">
        <f t="shared" si="239"/>
        <v/>
      </c>
      <c r="K2236" s="31" t="str">
        <f t="shared" si="240"/>
        <v/>
      </c>
      <c r="L2236" s="31" t="str">
        <f>IF(OR(B2236="",C2236=""),"",IFERROR(E2236 / SUMIFS('📅 Resumen Diario'!$D$5:$D$504, '📅 Resumen Diario'!$B$5:$B$504, B2236, '📅 Resumen Diario'!$C$5:$C$504, D2236) * SUMIFS('📅 Resumen Diario'!$K$5:$K$504, '📅 Resumen Diario'!$B$5:$B$504, B2236, '📅 Resumen Diario'!$C$5:$C$504, D2236), 0))</f>
        <v/>
      </c>
      <c r="M2236" s="31" t="str">
        <f t="shared" si="241"/>
        <v/>
      </c>
      <c r="N2236" s="31" t="str">
        <f t="shared" si="242"/>
        <v/>
      </c>
      <c r="O2236" s="31" t="str">
        <f>IF(OR(B2236="",C2236=""),"",K2236-N2236 + IFERROR(E2236 / SUMIFS('📅 Resumen Diario'!$D$5:$D$504, '📅 Resumen Diario'!$B$5:$B$504, B2236, '📅 Resumen Diario'!$C$5:$C$504, D2236) * (SUMIFS('📋 Detalle Diario'!$E$5:$E$489, '📋 Detalle Diario'!$B$5:$B$489, B2236, '📋 Detalle Diario'!$C$5:$C$489, D2236) * 135 + SUMIFS('📋 Detalle Diario'!$I$5:$I$489, '📋 Detalle Diario'!$B$5:$B$489, B2236, '📋 Detalle Diario'!$C$5:$C$489, D2236) * 200), 0))</f>
        <v/>
      </c>
      <c r="P2236" s="32" t="str">
        <f t="shared" si="243"/>
        <v/>
      </c>
      <c r="Q2236" s="33" t="str">
        <f t="shared" si="244"/>
        <v/>
      </c>
    </row>
    <row r="2237" spans="2:17" ht="18" customHeight="1" x14ac:dyDescent="0.3">
      <c r="B2237" s="26"/>
      <c r="C2237" s="28"/>
      <c r="D2237" s="27"/>
      <c r="E2237" s="29"/>
      <c r="F2237" s="29"/>
      <c r="G2237" s="29"/>
      <c r="H2237" s="30" t="str">
        <f t="shared" si="238"/>
        <v/>
      </c>
      <c r="I2237" s="31" t="str">
        <f>IF(OR(B2237="",C2237=""),"",IFERROR(E2237*IF(E2237="",0,VLOOKUP(C2237,'📦 Precios Proforma'!$B$5:$D$104,IF(D2237="DIA",2,3),FALSE)),0))</f>
        <v/>
      </c>
      <c r="J2237" s="31" t="str">
        <f t="shared" si="239"/>
        <v/>
      </c>
      <c r="K2237" s="31" t="str">
        <f t="shared" si="240"/>
        <v/>
      </c>
      <c r="L2237" s="31" t="str">
        <f>IF(OR(B2237="",C2237=""),"",IFERROR(E2237 / SUMIFS('📅 Resumen Diario'!$D$5:$D$504, '📅 Resumen Diario'!$B$5:$B$504, B2237, '📅 Resumen Diario'!$C$5:$C$504, D2237) * SUMIFS('📅 Resumen Diario'!$K$5:$K$504, '📅 Resumen Diario'!$B$5:$B$504, B2237, '📅 Resumen Diario'!$C$5:$C$504, D2237), 0))</f>
        <v/>
      </c>
      <c r="M2237" s="31" t="str">
        <f t="shared" si="241"/>
        <v/>
      </c>
      <c r="N2237" s="31" t="str">
        <f t="shared" si="242"/>
        <v/>
      </c>
      <c r="O2237" s="31" t="str">
        <f>IF(OR(B2237="",C2237=""),"",K2237-N2237 + IFERROR(E2237 / SUMIFS('📅 Resumen Diario'!$D$5:$D$504, '📅 Resumen Diario'!$B$5:$B$504, B2237, '📅 Resumen Diario'!$C$5:$C$504, D2237) * (SUMIFS('📋 Detalle Diario'!$E$5:$E$489, '📋 Detalle Diario'!$B$5:$B$489, B2237, '📋 Detalle Diario'!$C$5:$C$489, D2237) * 135 + SUMIFS('📋 Detalle Diario'!$I$5:$I$489, '📋 Detalle Diario'!$B$5:$B$489, B2237, '📋 Detalle Diario'!$C$5:$C$489, D2237) * 200), 0))</f>
        <v/>
      </c>
      <c r="P2237" s="32" t="str">
        <f t="shared" si="243"/>
        <v/>
      </c>
      <c r="Q2237" s="33" t="str">
        <f t="shared" si="244"/>
        <v/>
      </c>
    </row>
    <row r="2238" spans="2:17" ht="18" customHeight="1" x14ac:dyDescent="0.3">
      <c r="B2238" s="26"/>
      <c r="C2238" s="17"/>
      <c r="D2238" s="27"/>
      <c r="E2238" s="18"/>
      <c r="F2238" s="18"/>
      <c r="G2238" s="18"/>
      <c r="H2238" s="30" t="str">
        <f t="shared" si="238"/>
        <v/>
      </c>
      <c r="I2238" s="31" t="str">
        <f>IF(OR(B2238="",C2238=""),"",IFERROR(E2238*IF(E2238="",0,VLOOKUP(C2238,'📦 Precios Proforma'!$B$5:$D$104,IF(D2238="DIA",2,3),FALSE)),0))</f>
        <v/>
      </c>
      <c r="J2238" s="31" t="str">
        <f t="shared" si="239"/>
        <v/>
      </c>
      <c r="K2238" s="31" t="str">
        <f t="shared" si="240"/>
        <v/>
      </c>
      <c r="L2238" s="31" t="str">
        <f>IF(OR(B2238="",C2238=""),"",IFERROR(E2238 / SUMIFS('📅 Resumen Diario'!$D$5:$D$504, '📅 Resumen Diario'!$B$5:$B$504, B2238, '📅 Resumen Diario'!$C$5:$C$504, D2238) * SUMIFS('📅 Resumen Diario'!$K$5:$K$504, '📅 Resumen Diario'!$B$5:$B$504, B2238, '📅 Resumen Diario'!$C$5:$C$504, D2238), 0))</f>
        <v/>
      </c>
      <c r="M2238" s="31" t="str">
        <f t="shared" si="241"/>
        <v/>
      </c>
      <c r="N2238" s="31" t="str">
        <f t="shared" si="242"/>
        <v/>
      </c>
      <c r="O2238" s="31" t="str">
        <f>IF(OR(B2238="",C2238=""),"",K2238-N2238 + IFERROR(E2238 / SUMIFS('📅 Resumen Diario'!$D$5:$D$504, '📅 Resumen Diario'!$B$5:$B$504, B2238, '📅 Resumen Diario'!$C$5:$C$504, D2238) * (SUMIFS('📋 Detalle Diario'!$E$5:$E$489, '📋 Detalle Diario'!$B$5:$B$489, B2238, '📋 Detalle Diario'!$C$5:$C$489, D2238) * 135 + SUMIFS('📋 Detalle Diario'!$I$5:$I$489, '📋 Detalle Diario'!$B$5:$B$489, B2238, '📋 Detalle Diario'!$C$5:$C$489, D2238) * 200), 0))</f>
        <v/>
      </c>
      <c r="P2238" s="32" t="str">
        <f t="shared" si="243"/>
        <v/>
      </c>
      <c r="Q2238" s="33" t="str">
        <f t="shared" si="244"/>
        <v/>
      </c>
    </row>
    <row r="2239" spans="2:17" ht="18" customHeight="1" x14ac:dyDescent="0.3">
      <c r="B2239" s="26"/>
      <c r="C2239" s="28"/>
      <c r="D2239" s="27"/>
      <c r="E2239" s="29"/>
      <c r="F2239" s="29"/>
      <c r="G2239" s="29"/>
      <c r="H2239" s="30" t="str">
        <f t="shared" si="238"/>
        <v/>
      </c>
      <c r="I2239" s="31" t="str">
        <f>IF(OR(B2239="",C2239=""),"",IFERROR(E2239*IF(E2239="",0,VLOOKUP(C2239,'📦 Precios Proforma'!$B$5:$D$104,IF(D2239="DIA",2,3),FALSE)),0))</f>
        <v/>
      </c>
      <c r="J2239" s="31" t="str">
        <f t="shared" si="239"/>
        <v/>
      </c>
      <c r="K2239" s="31" t="str">
        <f t="shared" si="240"/>
        <v/>
      </c>
      <c r="L2239" s="31" t="str">
        <f>IF(OR(B2239="",C2239=""),"",IFERROR(E2239 / SUMIFS('📅 Resumen Diario'!$D$5:$D$504, '📅 Resumen Diario'!$B$5:$B$504, B2239, '📅 Resumen Diario'!$C$5:$C$504, D2239) * SUMIFS('📅 Resumen Diario'!$K$5:$K$504, '📅 Resumen Diario'!$B$5:$B$504, B2239, '📅 Resumen Diario'!$C$5:$C$504, D2239), 0))</f>
        <v/>
      </c>
      <c r="M2239" s="31" t="str">
        <f t="shared" si="241"/>
        <v/>
      </c>
      <c r="N2239" s="31" t="str">
        <f t="shared" si="242"/>
        <v/>
      </c>
      <c r="O2239" s="31" t="str">
        <f>IF(OR(B2239="",C2239=""),"",K2239-N2239 + IFERROR(E2239 / SUMIFS('📅 Resumen Diario'!$D$5:$D$504, '📅 Resumen Diario'!$B$5:$B$504, B2239, '📅 Resumen Diario'!$C$5:$C$504, D2239) * (SUMIFS('📋 Detalle Diario'!$E$5:$E$489, '📋 Detalle Diario'!$B$5:$B$489, B2239, '📋 Detalle Diario'!$C$5:$C$489, D2239) * 135 + SUMIFS('📋 Detalle Diario'!$I$5:$I$489, '📋 Detalle Diario'!$B$5:$B$489, B2239, '📋 Detalle Diario'!$C$5:$C$489, D2239) * 200), 0))</f>
        <v/>
      </c>
      <c r="P2239" s="32" t="str">
        <f t="shared" si="243"/>
        <v/>
      </c>
      <c r="Q2239" s="33" t="str">
        <f t="shared" si="244"/>
        <v/>
      </c>
    </row>
    <row r="2240" spans="2:17" ht="18" customHeight="1" x14ac:dyDescent="0.3">
      <c r="B2240" s="26"/>
      <c r="C2240" s="17"/>
      <c r="D2240" s="27"/>
      <c r="E2240" s="18"/>
      <c r="F2240" s="18"/>
      <c r="G2240" s="18"/>
      <c r="H2240" s="30" t="str">
        <f t="shared" si="238"/>
        <v/>
      </c>
      <c r="I2240" s="31" t="str">
        <f>IF(OR(B2240="",C2240=""),"",IFERROR(E2240*IF(E2240="",0,VLOOKUP(C2240,'📦 Precios Proforma'!$B$5:$D$104,IF(D2240="DIA",2,3),FALSE)),0))</f>
        <v/>
      </c>
      <c r="J2240" s="31" t="str">
        <f t="shared" si="239"/>
        <v/>
      </c>
      <c r="K2240" s="31" t="str">
        <f t="shared" si="240"/>
        <v/>
      </c>
      <c r="L2240" s="31" t="str">
        <f>IF(OR(B2240="",C2240=""),"",IFERROR(E2240 / SUMIFS('📅 Resumen Diario'!$D$5:$D$504, '📅 Resumen Diario'!$B$5:$B$504, B2240, '📅 Resumen Diario'!$C$5:$C$504, D2240) * SUMIFS('📅 Resumen Diario'!$K$5:$K$504, '📅 Resumen Diario'!$B$5:$B$504, B2240, '📅 Resumen Diario'!$C$5:$C$504, D2240), 0))</f>
        <v/>
      </c>
      <c r="M2240" s="31" t="str">
        <f t="shared" si="241"/>
        <v/>
      </c>
      <c r="N2240" s="31" t="str">
        <f t="shared" si="242"/>
        <v/>
      </c>
      <c r="O2240" s="31" t="str">
        <f>IF(OR(B2240="",C2240=""),"",K2240-N2240 + IFERROR(E2240 / SUMIFS('📅 Resumen Diario'!$D$5:$D$504, '📅 Resumen Diario'!$B$5:$B$504, B2240, '📅 Resumen Diario'!$C$5:$C$504, D2240) * (SUMIFS('📋 Detalle Diario'!$E$5:$E$489, '📋 Detalle Diario'!$B$5:$B$489, B2240, '📋 Detalle Diario'!$C$5:$C$489, D2240) * 135 + SUMIFS('📋 Detalle Diario'!$I$5:$I$489, '📋 Detalle Diario'!$B$5:$B$489, B2240, '📋 Detalle Diario'!$C$5:$C$489, D2240) * 200), 0))</f>
        <v/>
      </c>
      <c r="P2240" s="32" t="str">
        <f t="shared" si="243"/>
        <v/>
      </c>
      <c r="Q2240" s="33" t="str">
        <f t="shared" si="244"/>
        <v/>
      </c>
    </row>
    <row r="2241" spans="2:17" ht="18" customHeight="1" x14ac:dyDescent="0.3">
      <c r="B2241" s="26"/>
      <c r="C2241" s="28"/>
      <c r="D2241" s="27"/>
      <c r="E2241" s="29"/>
      <c r="F2241" s="29"/>
      <c r="G2241" s="29"/>
      <c r="H2241" s="30" t="str">
        <f t="shared" si="238"/>
        <v/>
      </c>
      <c r="I2241" s="31" t="str">
        <f>IF(OR(B2241="",C2241=""),"",IFERROR(E2241*IF(E2241="",0,VLOOKUP(C2241,'📦 Precios Proforma'!$B$5:$D$104,IF(D2241="DIA",2,3),FALSE)),0))</f>
        <v/>
      </c>
      <c r="J2241" s="31" t="str">
        <f t="shared" si="239"/>
        <v/>
      </c>
      <c r="K2241" s="31" t="str">
        <f t="shared" si="240"/>
        <v/>
      </c>
      <c r="L2241" s="31" t="str">
        <f>IF(OR(B2241="",C2241=""),"",IFERROR(E2241 / SUMIFS('📅 Resumen Diario'!$D$5:$D$504, '📅 Resumen Diario'!$B$5:$B$504, B2241, '📅 Resumen Diario'!$C$5:$C$504, D2241) * SUMIFS('📅 Resumen Diario'!$K$5:$K$504, '📅 Resumen Diario'!$B$5:$B$504, B2241, '📅 Resumen Diario'!$C$5:$C$504, D2241), 0))</f>
        <v/>
      </c>
      <c r="M2241" s="31" t="str">
        <f t="shared" si="241"/>
        <v/>
      </c>
      <c r="N2241" s="31" t="str">
        <f t="shared" si="242"/>
        <v/>
      </c>
      <c r="O2241" s="31" t="str">
        <f>IF(OR(B2241="",C2241=""),"",K2241-N2241 + IFERROR(E2241 / SUMIFS('📅 Resumen Diario'!$D$5:$D$504, '📅 Resumen Diario'!$B$5:$B$504, B2241, '📅 Resumen Diario'!$C$5:$C$504, D2241) * (SUMIFS('📋 Detalle Diario'!$E$5:$E$489, '📋 Detalle Diario'!$B$5:$B$489, B2241, '📋 Detalle Diario'!$C$5:$C$489, D2241) * 135 + SUMIFS('📋 Detalle Diario'!$I$5:$I$489, '📋 Detalle Diario'!$B$5:$B$489, B2241, '📋 Detalle Diario'!$C$5:$C$489, D2241) * 200), 0))</f>
        <v/>
      </c>
      <c r="P2241" s="32" t="str">
        <f t="shared" si="243"/>
        <v/>
      </c>
      <c r="Q2241" s="33" t="str">
        <f t="shared" si="244"/>
        <v/>
      </c>
    </row>
    <row r="2242" spans="2:17" ht="18" customHeight="1" x14ac:dyDescent="0.3">
      <c r="B2242" s="26"/>
      <c r="C2242" s="17"/>
      <c r="D2242" s="27"/>
      <c r="E2242" s="18"/>
      <c r="F2242" s="18"/>
      <c r="G2242" s="18"/>
      <c r="H2242" s="30" t="str">
        <f t="shared" si="238"/>
        <v/>
      </c>
      <c r="I2242" s="31" t="str">
        <f>IF(OR(B2242="",C2242=""),"",IFERROR(E2242*IF(E2242="",0,VLOOKUP(C2242,'📦 Precios Proforma'!$B$5:$D$104,IF(D2242="DIA",2,3),FALSE)),0))</f>
        <v/>
      </c>
      <c r="J2242" s="31" t="str">
        <f t="shared" si="239"/>
        <v/>
      </c>
      <c r="K2242" s="31" t="str">
        <f t="shared" si="240"/>
        <v/>
      </c>
      <c r="L2242" s="31" t="str">
        <f>IF(OR(B2242="",C2242=""),"",IFERROR(E2242 / SUMIFS('📅 Resumen Diario'!$D$5:$D$504, '📅 Resumen Diario'!$B$5:$B$504, B2242, '📅 Resumen Diario'!$C$5:$C$504, D2242) * SUMIFS('📅 Resumen Diario'!$K$5:$K$504, '📅 Resumen Diario'!$B$5:$B$504, B2242, '📅 Resumen Diario'!$C$5:$C$504, D2242), 0))</f>
        <v/>
      </c>
      <c r="M2242" s="31" t="str">
        <f t="shared" si="241"/>
        <v/>
      </c>
      <c r="N2242" s="31" t="str">
        <f t="shared" si="242"/>
        <v/>
      </c>
      <c r="O2242" s="31" t="str">
        <f>IF(OR(B2242="",C2242=""),"",K2242-N2242 + IFERROR(E2242 / SUMIFS('📅 Resumen Diario'!$D$5:$D$504, '📅 Resumen Diario'!$B$5:$B$504, B2242, '📅 Resumen Diario'!$C$5:$C$504, D2242) * (SUMIFS('📋 Detalle Diario'!$E$5:$E$489, '📋 Detalle Diario'!$B$5:$B$489, B2242, '📋 Detalle Diario'!$C$5:$C$489, D2242) * 135 + SUMIFS('📋 Detalle Diario'!$I$5:$I$489, '📋 Detalle Diario'!$B$5:$B$489, B2242, '📋 Detalle Diario'!$C$5:$C$489, D2242) * 200), 0))</f>
        <v/>
      </c>
      <c r="P2242" s="32" t="str">
        <f t="shared" si="243"/>
        <v/>
      </c>
      <c r="Q2242" s="33" t="str">
        <f t="shared" si="244"/>
        <v/>
      </c>
    </row>
    <row r="2243" spans="2:17" ht="18" customHeight="1" x14ac:dyDescent="0.3">
      <c r="B2243" s="26"/>
      <c r="C2243" s="28"/>
      <c r="D2243" s="27"/>
      <c r="E2243" s="29"/>
      <c r="F2243" s="29"/>
      <c r="G2243" s="29"/>
      <c r="H2243" s="30" t="str">
        <f t="shared" si="238"/>
        <v/>
      </c>
      <c r="I2243" s="31" t="str">
        <f>IF(OR(B2243="",C2243=""),"",IFERROR(E2243*IF(E2243="",0,VLOOKUP(C2243,'📦 Precios Proforma'!$B$5:$D$104,IF(D2243="DIA",2,3),FALSE)),0))</f>
        <v/>
      </c>
      <c r="J2243" s="31" t="str">
        <f t="shared" si="239"/>
        <v/>
      </c>
      <c r="K2243" s="31" t="str">
        <f t="shared" si="240"/>
        <v/>
      </c>
      <c r="L2243" s="31" t="str">
        <f>IF(OR(B2243="",C2243=""),"",IFERROR(E2243 / SUMIFS('📅 Resumen Diario'!$D$5:$D$504, '📅 Resumen Diario'!$B$5:$B$504, B2243, '📅 Resumen Diario'!$C$5:$C$504, D2243) * SUMIFS('📅 Resumen Diario'!$K$5:$K$504, '📅 Resumen Diario'!$B$5:$B$504, B2243, '📅 Resumen Diario'!$C$5:$C$504, D2243), 0))</f>
        <v/>
      </c>
      <c r="M2243" s="31" t="str">
        <f t="shared" si="241"/>
        <v/>
      </c>
      <c r="N2243" s="31" t="str">
        <f t="shared" si="242"/>
        <v/>
      </c>
      <c r="O2243" s="31" t="str">
        <f>IF(OR(B2243="",C2243=""),"",K2243-N2243 + IFERROR(E2243 / SUMIFS('📅 Resumen Diario'!$D$5:$D$504, '📅 Resumen Diario'!$B$5:$B$504, B2243, '📅 Resumen Diario'!$C$5:$C$504, D2243) * (SUMIFS('📋 Detalle Diario'!$E$5:$E$489, '📋 Detalle Diario'!$B$5:$B$489, B2243, '📋 Detalle Diario'!$C$5:$C$489, D2243) * 135 + SUMIFS('📋 Detalle Diario'!$I$5:$I$489, '📋 Detalle Diario'!$B$5:$B$489, B2243, '📋 Detalle Diario'!$C$5:$C$489, D2243) * 200), 0))</f>
        <v/>
      </c>
      <c r="P2243" s="32" t="str">
        <f t="shared" si="243"/>
        <v/>
      </c>
      <c r="Q2243" s="33" t="str">
        <f t="shared" si="244"/>
        <v/>
      </c>
    </row>
    <row r="2244" spans="2:17" ht="18" customHeight="1" x14ac:dyDescent="0.3">
      <c r="B2244" s="26"/>
      <c r="C2244" s="17"/>
      <c r="D2244" s="27"/>
      <c r="E2244" s="18"/>
      <c r="F2244" s="18"/>
      <c r="G2244" s="18"/>
      <c r="H2244" s="30" t="str">
        <f t="shared" si="238"/>
        <v/>
      </c>
      <c r="I2244" s="31" t="str">
        <f>IF(OR(B2244="",C2244=""),"",IFERROR(E2244*IF(E2244="",0,VLOOKUP(C2244,'📦 Precios Proforma'!$B$5:$D$104,IF(D2244="DIA",2,3),FALSE)),0))</f>
        <v/>
      </c>
      <c r="J2244" s="31" t="str">
        <f t="shared" si="239"/>
        <v/>
      </c>
      <c r="K2244" s="31" t="str">
        <f t="shared" si="240"/>
        <v/>
      </c>
      <c r="L2244" s="31" t="str">
        <f>IF(OR(B2244="",C2244=""),"",IFERROR(E2244 / SUMIFS('📅 Resumen Diario'!$D$5:$D$504, '📅 Resumen Diario'!$B$5:$B$504, B2244, '📅 Resumen Diario'!$C$5:$C$504, D2244) * SUMIFS('📅 Resumen Diario'!$K$5:$K$504, '📅 Resumen Diario'!$B$5:$B$504, B2244, '📅 Resumen Diario'!$C$5:$C$504, D2244), 0))</f>
        <v/>
      </c>
      <c r="M2244" s="31" t="str">
        <f t="shared" si="241"/>
        <v/>
      </c>
      <c r="N2244" s="31" t="str">
        <f t="shared" si="242"/>
        <v/>
      </c>
      <c r="O2244" s="31" t="str">
        <f>IF(OR(B2244="",C2244=""),"",K2244-N2244 + IFERROR(E2244 / SUMIFS('📅 Resumen Diario'!$D$5:$D$504, '📅 Resumen Diario'!$B$5:$B$504, B2244, '📅 Resumen Diario'!$C$5:$C$504, D2244) * (SUMIFS('📋 Detalle Diario'!$E$5:$E$489, '📋 Detalle Diario'!$B$5:$B$489, B2244, '📋 Detalle Diario'!$C$5:$C$489, D2244) * 135 + SUMIFS('📋 Detalle Diario'!$I$5:$I$489, '📋 Detalle Diario'!$B$5:$B$489, B2244, '📋 Detalle Diario'!$C$5:$C$489, D2244) * 200), 0))</f>
        <v/>
      </c>
      <c r="P2244" s="32" t="str">
        <f t="shared" si="243"/>
        <v/>
      </c>
      <c r="Q2244" s="33" t="str">
        <f t="shared" si="244"/>
        <v/>
      </c>
    </row>
    <row r="2245" spans="2:17" ht="18" customHeight="1" x14ac:dyDescent="0.3">
      <c r="B2245" s="26"/>
      <c r="C2245" s="28"/>
      <c r="D2245" s="27"/>
      <c r="E2245" s="29"/>
      <c r="F2245" s="29"/>
      <c r="G2245" s="29"/>
      <c r="H2245" s="30" t="str">
        <f t="shared" si="238"/>
        <v/>
      </c>
      <c r="I2245" s="31" t="str">
        <f>IF(OR(B2245="",C2245=""),"",IFERROR(E2245*IF(E2245="",0,VLOOKUP(C2245,'📦 Precios Proforma'!$B$5:$D$104,IF(D2245="DIA",2,3),FALSE)),0))</f>
        <v/>
      </c>
      <c r="J2245" s="31" t="str">
        <f t="shared" si="239"/>
        <v/>
      </c>
      <c r="K2245" s="31" t="str">
        <f t="shared" si="240"/>
        <v/>
      </c>
      <c r="L2245" s="31" t="str">
        <f>IF(OR(B2245="",C2245=""),"",IFERROR(E2245 / SUMIFS('📅 Resumen Diario'!$D$5:$D$504, '📅 Resumen Diario'!$B$5:$B$504, B2245, '📅 Resumen Diario'!$C$5:$C$504, D2245) * SUMIFS('📅 Resumen Diario'!$K$5:$K$504, '📅 Resumen Diario'!$B$5:$B$504, B2245, '📅 Resumen Diario'!$C$5:$C$504, D2245), 0))</f>
        <v/>
      </c>
      <c r="M2245" s="31" t="str">
        <f t="shared" si="241"/>
        <v/>
      </c>
      <c r="N2245" s="31" t="str">
        <f t="shared" si="242"/>
        <v/>
      </c>
      <c r="O2245" s="31" t="str">
        <f>IF(OR(B2245="",C2245=""),"",K2245-N2245 + IFERROR(E2245 / SUMIFS('📅 Resumen Diario'!$D$5:$D$504, '📅 Resumen Diario'!$B$5:$B$504, B2245, '📅 Resumen Diario'!$C$5:$C$504, D2245) * (SUMIFS('📋 Detalle Diario'!$E$5:$E$489, '📋 Detalle Diario'!$B$5:$B$489, B2245, '📋 Detalle Diario'!$C$5:$C$489, D2245) * 135 + SUMIFS('📋 Detalle Diario'!$I$5:$I$489, '📋 Detalle Diario'!$B$5:$B$489, B2245, '📋 Detalle Diario'!$C$5:$C$489, D2245) * 200), 0))</f>
        <v/>
      </c>
      <c r="P2245" s="32" t="str">
        <f t="shared" si="243"/>
        <v/>
      </c>
      <c r="Q2245" s="33" t="str">
        <f t="shared" si="244"/>
        <v/>
      </c>
    </row>
    <row r="2246" spans="2:17" ht="18" customHeight="1" x14ac:dyDescent="0.3">
      <c r="B2246" s="26"/>
      <c r="C2246" s="17"/>
      <c r="D2246" s="27"/>
      <c r="E2246" s="18"/>
      <c r="F2246" s="18"/>
      <c r="G2246" s="18"/>
      <c r="H2246" s="30" t="str">
        <f t="shared" si="238"/>
        <v/>
      </c>
      <c r="I2246" s="31" t="str">
        <f>IF(OR(B2246="",C2246=""),"",IFERROR(E2246*IF(E2246="",0,VLOOKUP(C2246,'📦 Precios Proforma'!$B$5:$D$104,IF(D2246="DIA",2,3),FALSE)),0))</f>
        <v/>
      </c>
      <c r="J2246" s="31" t="str">
        <f t="shared" si="239"/>
        <v/>
      </c>
      <c r="K2246" s="31" t="str">
        <f t="shared" si="240"/>
        <v/>
      </c>
      <c r="L2246" s="31" t="str">
        <f>IF(OR(B2246="",C2246=""),"",IFERROR(E2246 / SUMIFS('📅 Resumen Diario'!$D$5:$D$504, '📅 Resumen Diario'!$B$5:$B$504, B2246, '📅 Resumen Diario'!$C$5:$C$504, D2246) * SUMIFS('📅 Resumen Diario'!$K$5:$K$504, '📅 Resumen Diario'!$B$5:$B$504, B2246, '📅 Resumen Diario'!$C$5:$C$504, D2246), 0))</f>
        <v/>
      </c>
      <c r="M2246" s="31" t="str">
        <f t="shared" si="241"/>
        <v/>
      </c>
      <c r="N2246" s="31" t="str">
        <f t="shared" si="242"/>
        <v/>
      </c>
      <c r="O2246" s="31" t="str">
        <f>IF(OR(B2246="",C2246=""),"",K2246-N2246 + IFERROR(E2246 / SUMIFS('📅 Resumen Diario'!$D$5:$D$504, '📅 Resumen Diario'!$B$5:$B$504, B2246, '📅 Resumen Diario'!$C$5:$C$504, D2246) * (SUMIFS('📋 Detalle Diario'!$E$5:$E$489, '📋 Detalle Diario'!$B$5:$B$489, B2246, '📋 Detalle Diario'!$C$5:$C$489, D2246) * 135 + SUMIFS('📋 Detalle Diario'!$I$5:$I$489, '📋 Detalle Diario'!$B$5:$B$489, B2246, '📋 Detalle Diario'!$C$5:$C$489, D2246) * 200), 0))</f>
        <v/>
      </c>
      <c r="P2246" s="32" t="str">
        <f t="shared" si="243"/>
        <v/>
      </c>
      <c r="Q2246" s="33" t="str">
        <f t="shared" si="244"/>
        <v/>
      </c>
    </row>
    <row r="2247" spans="2:17" ht="18" customHeight="1" x14ac:dyDescent="0.3">
      <c r="B2247" s="26"/>
      <c r="C2247" s="28"/>
      <c r="D2247" s="27"/>
      <c r="E2247" s="29"/>
      <c r="F2247" s="29"/>
      <c r="G2247" s="29"/>
      <c r="H2247" s="30" t="str">
        <f t="shared" ref="H2247:H2310" si="245">IF(OR(B2247="",C2247=""),"",F2247+G2247)</f>
        <v/>
      </c>
      <c r="I2247" s="31" t="str">
        <f>IF(OR(B2247="",C2247=""),"",IFERROR(E2247*IF(E2247="",0,VLOOKUP(C2247,'📦 Precios Proforma'!$B$5:$D$104,IF(D2247="DIA",2,3),FALSE)),0))</f>
        <v/>
      </c>
      <c r="J2247" s="31" t="str">
        <f t="shared" ref="J2247:J2310" si="246">IF(OR(B2247="",C2247=""),"",IF(D2247="DIA",H2247*1.01,H2247*1.35))</f>
        <v/>
      </c>
      <c r="K2247" s="31" t="str">
        <f t="shared" ref="K2247:K2310" si="247">IF(OR(B2247="",C2247=""),"",I2247+J2247)</f>
        <v/>
      </c>
      <c r="L2247" s="31" t="str">
        <f>IF(OR(B2247="",C2247=""),"",IFERROR(E2247 / SUMIFS('📅 Resumen Diario'!$D$5:$D$504, '📅 Resumen Diario'!$B$5:$B$504, B2247, '📅 Resumen Diario'!$C$5:$C$504, D2247) * SUMIFS('📅 Resumen Diario'!$K$5:$K$504, '📅 Resumen Diario'!$B$5:$B$504, B2247, '📅 Resumen Diario'!$C$5:$C$504, D2247), 0))</f>
        <v/>
      </c>
      <c r="M2247" s="31" t="str">
        <f t="shared" ref="M2247:M2310" si="248">IF(OR(B2247="",C2247=""),"",H2247*0.09)</f>
        <v/>
      </c>
      <c r="N2247" s="31" t="str">
        <f t="shared" ref="N2247:N2310" si="249">IF(OR(B2247="",C2247=""),"",L2247+M2247)</f>
        <v/>
      </c>
      <c r="O2247" s="31" t="str">
        <f>IF(OR(B2247="",C2247=""),"",K2247-N2247 + IFERROR(E2247 / SUMIFS('📅 Resumen Diario'!$D$5:$D$504, '📅 Resumen Diario'!$B$5:$B$504, B2247, '📅 Resumen Diario'!$C$5:$C$504, D2247) * (SUMIFS('📋 Detalle Diario'!$E$5:$E$489, '📋 Detalle Diario'!$B$5:$B$489, B2247, '📋 Detalle Diario'!$C$5:$C$489, D2247) * 135 + SUMIFS('📋 Detalle Diario'!$I$5:$I$489, '📋 Detalle Diario'!$B$5:$B$489, B2247, '📋 Detalle Diario'!$C$5:$C$489, D2247) * 200), 0))</f>
        <v/>
      </c>
      <c r="P2247" s="32" t="str">
        <f t="shared" ref="P2247:P2310" si="250">IF(OR(B2247="",C2247=""),"",IF(K2247=0, 0, O2247/K2247))</f>
        <v/>
      </c>
      <c r="Q2247" s="33" t="str">
        <f t="shared" ref="Q2247:Q2310" si="251">IF(B2247="","",IF(ISNUMBER(B2247),YEAR(B2247)&amp;"-"&amp;IF(MONTH(B2247)&lt;10,"0","")&amp;MONTH(B2247),LEFT(B2247,7)))</f>
        <v/>
      </c>
    </row>
    <row r="2248" spans="2:17" ht="18" customHeight="1" x14ac:dyDescent="0.3">
      <c r="B2248" s="26"/>
      <c r="C2248" s="17"/>
      <c r="D2248" s="27"/>
      <c r="E2248" s="18"/>
      <c r="F2248" s="18"/>
      <c r="G2248" s="18"/>
      <c r="H2248" s="30" t="str">
        <f t="shared" si="245"/>
        <v/>
      </c>
      <c r="I2248" s="31" t="str">
        <f>IF(OR(B2248="",C2248=""),"",IFERROR(E2248*IF(E2248="",0,VLOOKUP(C2248,'📦 Precios Proforma'!$B$5:$D$104,IF(D2248="DIA",2,3),FALSE)),0))</f>
        <v/>
      </c>
      <c r="J2248" s="31" t="str">
        <f t="shared" si="246"/>
        <v/>
      </c>
      <c r="K2248" s="31" t="str">
        <f t="shared" si="247"/>
        <v/>
      </c>
      <c r="L2248" s="31" t="str">
        <f>IF(OR(B2248="",C2248=""),"",IFERROR(E2248 / SUMIFS('📅 Resumen Diario'!$D$5:$D$504, '📅 Resumen Diario'!$B$5:$B$504, B2248, '📅 Resumen Diario'!$C$5:$C$504, D2248) * SUMIFS('📅 Resumen Diario'!$K$5:$K$504, '📅 Resumen Diario'!$B$5:$B$504, B2248, '📅 Resumen Diario'!$C$5:$C$504, D2248), 0))</f>
        <v/>
      </c>
      <c r="M2248" s="31" t="str">
        <f t="shared" si="248"/>
        <v/>
      </c>
      <c r="N2248" s="31" t="str">
        <f t="shared" si="249"/>
        <v/>
      </c>
      <c r="O2248" s="31" t="str">
        <f>IF(OR(B2248="",C2248=""),"",K2248-N2248 + IFERROR(E2248 / SUMIFS('📅 Resumen Diario'!$D$5:$D$504, '📅 Resumen Diario'!$B$5:$B$504, B2248, '📅 Resumen Diario'!$C$5:$C$504, D2248) * (SUMIFS('📋 Detalle Diario'!$E$5:$E$489, '📋 Detalle Diario'!$B$5:$B$489, B2248, '📋 Detalle Diario'!$C$5:$C$489, D2248) * 135 + SUMIFS('📋 Detalle Diario'!$I$5:$I$489, '📋 Detalle Diario'!$B$5:$B$489, B2248, '📋 Detalle Diario'!$C$5:$C$489, D2248) * 200), 0))</f>
        <v/>
      </c>
      <c r="P2248" s="32" t="str">
        <f t="shared" si="250"/>
        <v/>
      </c>
      <c r="Q2248" s="33" t="str">
        <f t="shared" si="251"/>
        <v/>
      </c>
    </row>
    <row r="2249" spans="2:17" ht="18" customHeight="1" x14ac:dyDescent="0.3">
      <c r="B2249" s="26"/>
      <c r="C2249" s="28"/>
      <c r="D2249" s="27"/>
      <c r="E2249" s="29"/>
      <c r="F2249" s="29"/>
      <c r="G2249" s="29"/>
      <c r="H2249" s="30" t="str">
        <f t="shared" si="245"/>
        <v/>
      </c>
      <c r="I2249" s="31" t="str">
        <f>IF(OR(B2249="",C2249=""),"",IFERROR(E2249*IF(E2249="",0,VLOOKUP(C2249,'📦 Precios Proforma'!$B$5:$D$104,IF(D2249="DIA",2,3),FALSE)),0))</f>
        <v/>
      </c>
      <c r="J2249" s="31" t="str">
        <f t="shared" si="246"/>
        <v/>
      </c>
      <c r="K2249" s="31" t="str">
        <f t="shared" si="247"/>
        <v/>
      </c>
      <c r="L2249" s="31" t="str">
        <f>IF(OR(B2249="",C2249=""),"",IFERROR(E2249 / SUMIFS('📅 Resumen Diario'!$D$5:$D$504, '📅 Resumen Diario'!$B$5:$B$504, B2249, '📅 Resumen Diario'!$C$5:$C$504, D2249) * SUMIFS('📅 Resumen Diario'!$K$5:$K$504, '📅 Resumen Diario'!$B$5:$B$504, B2249, '📅 Resumen Diario'!$C$5:$C$504, D2249), 0))</f>
        <v/>
      </c>
      <c r="M2249" s="31" t="str">
        <f t="shared" si="248"/>
        <v/>
      </c>
      <c r="N2249" s="31" t="str">
        <f t="shared" si="249"/>
        <v/>
      </c>
      <c r="O2249" s="31" t="str">
        <f>IF(OR(B2249="",C2249=""),"",K2249-N2249 + IFERROR(E2249 / SUMIFS('📅 Resumen Diario'!$D$5:$D$504, '📅 Resumen Diario'!$B$5:$B$504, B2249, '📅 Resumen Diario'!$C$5:$C$504, D2249) * (SUMIFS('📋 Detalle Diario'!$E$5:$E$489, '📋 Detalle Diario'!$B$5:$B$489, B2249, '📋 Detalle Diario'!$C$5:$C$489, D2249) * 135 + SUMIFS('📋 Detalle Diario'!$I$5:$I$489, '📋 Detalle Diario'!$B$5:$B$489, B2249, '📋 Detalle Diario'!$C$5:$C$489, D2249) * 200), 0))</f>
        <v/>
      </c>
      <c r="P2249" s="32" t="str">
        <f t="shared" si="250"/>
        <v/>
      </c>
      <c r="Q2249" s="33" t="str">
        <f t="shared" si="251"/>
        <v/>
      </c>
    </row>
    <row r="2250" spans="2:17" ht="18" customHeight="1" x14ac:dyDescent="0.3">
      <c r="B2250" s="26"/>
      <c r="C2250" s="17"/>
      <c r="D2250" s="27"/>
      <c r="E2250" s="18"/>
      <c r="F2250" s="18"/>
      <c r="G2250" s="18"/>
      <c r="H2250" s="30" t="str">
        <f t="shared" si="245"/>
        <v/>
      </c>
      <c r="I2250" s="31" t="str">
        <f>IF(OR(B2250="",C2250=""),"",IFERROR(E2250*IF(E2250="",0,VLOOKUP(C2250,'📦 Precios Proforma'!$B$5:$D$104,IF(D2250="DIA",2,3),FALSE)),0))</f>
        <v/>
      </c>
      <c r="J2250" s="31" t="str">
        <f t="shared" si="246"/>
        <v/>
      </c>
      <c r="K2250" s="31" t="str">
        <f t="shared" si="247"/>
        <v/>
      </c>
      <c r="L2250" s="31" t="str">
        <f>IF(OR(B2250="",C2250=""),"",IFERROR(E2250 / SUMIFS('📅 Resumen Diario'!$D$5:$D$504, '📅 Resumen Diario'!$B$5:$B$504, B2250, '📅 Resumen Diario'!$C$5:$C$504, D2250) * SUMIFS('📅 Resumen Diario'!$K$5:$K$504, '📅 Resumen Diario'!$B$5:$B$504, B2250, '📅 Resumen Diario'!$C$5:$C$504, D2250), 0))</f>
        <v/>
      </c>
      <c r="M2250" s="31" t="str">
        <f t="shared" si="248"/>
        <v/>
      </c>
      <c r="N2250" s="31" t="str">
        <f t="shared" si="249"/>
        <v/>
      </c>
      <c r="O2250" s="31" t="str">
        <f>IF(OR(B2250="",C2250=""),"",K2250-N2250 + IFERROR(E2250 / SUMIFS('📅 Resumen Diario'!$D$5:$D$504, '📅 Resumen Diario'!$B$5:$B$504, B2250, '📅 Resumen Diario'!$C$5:$C$504, D2250) * (SUMIFS('📋 Detalle Diario'!$E$5:$E$489, '📋 Detalle Diario'!$B$5:$B$489, B2250, '📋 Detalle Diario'!$C$5:$C$489, D2250) * 135 + SUMIFS('📋 Detalle Diario'!$I$5:$I$489, '📋 Detalle Diario'!$B$5:$B$489, B2250, '📋 Detalle Diario'!$C$5:$C$489, D2250) * 200), 0))</f>
        <v/>
      </c>
      <c r="P2250" s="32" t="str">
        <f t="shared" si="250"/>
        <v/>
      </c>
      <c r="Q2250" s="33" t="str">
        <f t="shared" si="251"/>
        <v/>
      </c>
    </row>
    <row r="2251" spans="2:17" ht="18" customHeight="1" x14ac:dyDescent="0.3">
      <c r="B2251" s="26"/>
      <c r="C2251" s="28"/>
      <c r="D2251" s="27"/>
      <c r="E2251" s="29"/>
      <c r="F2251" s="29"/>
      <c r="G2251" s="29"/>
      <c r="H2251" s="30" t="str">
        <f t="shared" si="245"/>
        <v/>
      </c>
      <c r="I2251" s="31" t="str">
        <f>IF(OR(B2251="",C2251=""),"",IFERROR(E2251*IF(E2251="",0,VLOOKUP(C2251,'📦 Precios Proforma'!$B$5:$D$104,IF(D2251="DIA",2,3),FALSE)),0))</f>
        <v/>
      </c>
      <c r="J2251" s="31" t="str">
        <f t="shared" si="246"/>
        <v/>
      </c>
      <c r="K2251" s="31" t="str">
        <f t="shared" si="247"/>
        <v/>
      </c>
      <c r="L2251" s="31" t="str">
        <f>IF(OR(B2251="",C2251=""),"",IFERROR(E2251 / SUMIFS('📅 Resumen Diario'!$D$5:$D$504, '📅 Resumen Diario'!$B$5:$B$504, B2251, '📅 Resumen Diario'!$C$5:$C$504, D2251) * SUMIFS('📅 Resumen Diario'!$K$5:$K$504, '📅 Resumen Diario'!$B$5:$B$504, B2251, '📅 Resumen Diario'!$C$5:$C$504, D2251), 0))</f>
        <v/>
      </c>
      <c r="M2251" s="31" t="str">
        <f t="shared" si="248"/>
        <v/>
      </c>
      <c r="N2251" s="31" t="str">
        <f t="shared" si="249"/>
        <v/>
      </c>
      <c r="O2251" s="31" t="str">
        <f>IF(OR(B2251="",C2251=""),"",K2251-N2251 + IFERROR(E2251 / SUMIFS('📅 Resumen Diario'!$D$5:$D$504, '📅 Resumen Diario'!$B$5:$B$504, B2251, '📅 Resumen Diario'!$C$5:$C$504, D2251) * (SUMIFS('📋 Detalle Diario'!$E$5:$E$489, '📋 Detalle Diario'!$B$5:$B$489, B2251, '📋 Detalle Diario'!$C$5:$C$489, D2251) * 135 + SUMIFS('📋 Detalle Diario'!$I$5:$I$489, '📋 Detalle Diario'!$B$5:$B$489, B2251, '📋 Detalle Diario'!$C$5:$C$489, D2251) * 200), 0))</f>
        <v/>
      </c>
      <c r="P2251" s="32" t="str">
        <f t="shared" si="250"/>
        <v/>
      </c>
      <c r="Q2251" s="33" t="str">
        <f t="shared" si="251"/>
        <v/>
      </c>
    </row>
    <row r="2252" spans="2:17" ht="18" customHeight="1" x14ac:dyDescent="0.3">
      <c r="B2252" s="26"/>
      <c r="C2252" s="17"/>
      <c r="D2252" s="27"/>
      <c r="E2252" s="18"/>
      <c r="F2252" s="18"/>
      <c r="G2252" s="18"/>
      <c r="H2252" s="30" t="str">
        <f t="shared" si="245"/>
        <v/>
      </c>
      <c r="I2252" s="31" t="str">
        <f>IF(OR(B2252="",C2252=""),"",IFERROR(E2252*IF(E2252="",0,VLOOKUP(C2252,'📦 Precios Proforma'!$B$5:$D$104,IF(D2252="DIA",2,3),FALSE)),0))</f>
        <v/>
      </c>
      <c r="J2252" s="31" t="str">
        <f t="shared" si="246"/>
        <v/>
      </c>
      <c r="K2252" s="31" t="str">
        <f t="shared" si="247"/>
        <v/>
      </c>
      <c r="L2252" s="31" t="str">
        <f>IF(OR(B2252="",C2252=""),"",IFERROR(E2252 / SUMIFS('📅 Resumen Diario'!$D$5:$D$504, '📅 Resumen Diario'!$B$5:$B$504, B2252, '📅 Resumen Diario'!$C$5:$C$504, D2252) * SUMIFS('📅 Resumen Diario'!$K$5:$K$504, '📅 Resumen Diario'!$B$5:$B$504, B2252, '📅 Resumen Diario'!$C$5:$C$504, D2252), 0))</f>
        <v/>
      </c>
      <c r="M2252" s="31" t="str">
        <f t="shared" si="248"/>
        <v/>
      </c>
      <c r="N2252" s="31" t="str">
        <f t="shared" si="249"/>
        <v/>
      </c>
      <c r="O2252" s="31" t="str">
        <f>IF(OR(B2252="",C2252=""),"",K2252-N2252 + IFERROR(E2252 / SUMIFS('📅 Resumen Diario'!$D$5:$D$504, '📅 Resumen Diario'!$B$5:$B$504, B2252, '📅 Resumen Diario'!$C$5:$C$504, D2252) * (SUMIFS('📋 Detalle Diario'!$E$5:$E$489, '📋 Detalle Diario'!$B$5:$B$489, B2252, '📋 Detalle Diario'!$C$5:$C$489, D2252) * 135 + SUMIFS('📋 Detalle Diario'!$I$5:$I$489, '📋 Detalle Diario'!$B$5:$B$489, B2252, '📋 Detalle Diario'!$C$5:$C$489, D2252) * 200), 0))</f>
        <v/>
      </c>
      <c r="P2252" s="32" t="str">
        <f t="shared" si="250"/>
        <v/>
      </c>
      <c r="Q2252" s="33" t="str">
        <f t="shared" si="251"/>
        <v/>
      </c>
    </row>
    <row r="2253" spans="2:17" ht="18" customHeight="1" x14ac:dyDescent="0.3">
      <c r="B2253" s="26"/>
      <c r="C2253" s="28"/>
      <c r="D2253" s="27"/>
      <c r="E2253" s="29"/>
      <c r="F2253" s="29"/>
      <c r="G2253" s="29"/>
      <c r="H2253" s="30" t="str">
        <f t="shared" si="245"/>
        <v/>
      </c>
      <c r="I2253" s="31" t="str">
        <f>IF(OR(B2253="",C2253=""),"",IFERROR(E2253*IF(E2253="",0,VLOOKUP(C2253,'📦 Precios Proforma'!$B$5:$D$104,IF(D2253="DIA",2,3),FALSE)),0))</f>
        <v/>
      </c>
      <c r="J2253" s="31" t="str">
        <f t="shared" si="246"/>
        <v/>
      </c>
      <c r="K2253" s="31" t="str">
        <f t="shared" si="247"/>
        <v/>
      </c>
      <c r="L2253" s="31" t="str">
        <f>IF(OR(B2253="",C2253=""),"",IFERROR(E2253 / SUMIFS('📅 Resumen Diario'!$D$5:$D$504, '📅 Resumen Diario'!$B$5:$B$504, B2253, '📅 Resumen Diario'!$C$5:$C$504, D2253) * SUMIFS('📅 Resumen Diario'!$K$5:$K$504, '📅 Resumen Diario'!$B$5:$B$504, B2253, '📅 Resumen Diario'!$C$5:$C$504, D2253), 0))</f>
        <v/>
      </c>
      <c r="M2253" s="31" t="str">
        <f t="shared" si="248"/>
        <v/>
      </c>
      <c r="N2253" s="31" t="str">
        <f t="shared" si="249"/>
        <v/>
      </c>
      <c r="O2253" s="31" t="str">
        <f>IF(OR(B2253="",C2253=""),"",K2253-N2253 + IFERROR(E2253 / SUMIFS('📅 Resumen Diario'!$D$5:$D$504, '📅 Resumen Diario'!$B$5:$B$504, B2253, '📅 Resumen Diario'!$C$5:$C$504, D2253) * (SUMIFS('📋 Detalle Diario'!$E$5:$E$489, '📋 Detalle Diario'!$B$5:$B$489, B2253, '📋 Detalle Diario'!$C$5:$C$489, D2253) * 135 + SUMIFS('📋 Detalle Diario'!$I$5:$I$489, '📋 Detalle Diario'!$B$5:$B$489, B2253, '📋 Detalle Diario'!$C$5:$C$489, D2253) * 200), 0))</f>
        <v/>
      </c>
      <c r="P2253" s="32" t="str">
        <f t="shared" si="250"/>
        <v/>
      </c>
      <c r="Q2253" s="33" t="str">
        <f t="shared" si="251"/>
        <v/>
      </c>
    </row>
    <row r="2254" spans="2:17" ht="18" customHeight="1" x14ac:dyDescent="0.3">
      <c r="B2254" s="26"/>
      <c r="C2254" s="17"/>
      <c r="D2254" s="27"/>
      <c r="E2254" s="18"/>
      <c r="F2254" s="18"/>
      <c r="G2254" s="18"/>
      <c r="H2254" s="30" t="str">
        <f t="shared" si="245"/>
        <v/>
      </c>
      <c r="I2254" s="31" t="str">
        <f>IF(OR(B2254="",C2254=""),"",IFERROR(E2254*IF(E2254="",0,VLOOKUP(C2254,'📦 Precios Proforma'!$B$5:$D$104,IF(D2254="DIA",2,3),FALSE)),0))</f>
        <v/>
      </c>
      <c r="J2254" s="31" t="str">
        <f t="shared" si="246"/>
        <v/>
      </c>
      <c r="K2254" s="31" t="str">
        <f t="shared" si="247"/>
        <v/>
      </c>
      <c r="L2254" s="31" t="str">
        <f>IF(OR(B2254="",C2254=""),"",IFERROR(E2254 / SUMIFS('📅 Resumen Diario'!$D$5:$D$504, '📅 Resumen Diario'!$B$5:$B$504, B2254, '📅 Resumen Diario'!$C$5:$C$504, D2254) * SUMIFS('📅 Resumen Diario'!$K$5:$K$504, '📅 Resumen Diario'!$B$5:$B$504, B2254, '📅 Resumen Diario'!$C$5:$C$504, D2254), 0))</f>
        <v/>
      </c>
      <c r="M2254" s="31" t="str">
        <f t="shared" si="248"/>
        <v/>
      </c>
      <c r="N2254" s="31" t="str">
        <f t="shared" si="249"/>
        <v/>
      </c>
      <c r="O2254" s="31" t="str">
        <f>IF(OR(B2254="",C2254=""),"",K2254-N2254 + IFERROR(E2254 / SUMIFS('📅 Resumen Diario'!$D$5:$D$504, '📅 Resumen Diario'!$B$5:$B$504, B2254, '📅 Resumen Diario'!$C$5:$C$504, D2254) * (SUMIFS('📋 Detalle Diario'!$E$5:$E$489, '📋 Detalle Diario'!$B$5:$B$489, B2254, '📋 Detalle Diario'!$C$5:$C$489, D2254) * 135 + SUMIFS('📋 Detalle Diario'!$I$5:$I$489, '📋 Detalle Diario'!$B$5:$B$489, B2254, '📋 Detalle Diario'!$C$5:$C$489, D2254) * 200), 0))</f>
        <v/>
      </c>
      <c r="P2254" s="32" t="str">
        <f t="shared" si="250"/>
        <v/>
      </c>
      <c r="Q2254" s="33" t="str">
        <f t="shared" si="251"/>
        <v/>
      </c>
    </row>
    <row r="2255" spans="2:17" ht="18" customHeight="1" x14ac:dyDescent="0.3">
      <c r="B2255" s="26"/>
      <c r="C2255" s="28"/>
      <c r="D2255" s="27"/>
      <c r="E2255" s="29"/>
      <c r="F2255" s="29"/>
      <c r="G2255" s="29"/>
      <c r="H2255" s="30" t="str">
        <f t="shared" si="245"/>
        <v/>
      </c>
      <c r="I2255" s="31" t="str">
        <f>IF(OR(B2255="",C2255=""),"",IFERROR(E2255*IF(E2255="",0,VLOOKUP(C2255,'📦 Precios Proforma'!$B$5:$D$104,IF(D2255="DIA",2,3),FALSE)),0))</f>
        <v/>
      </c>
      <c r="J2255" s="31" t="str">
        <f t="shared" si="246"/>
        <v/>
      </c>
      <c r="K2255" s="31" t="str">
        <f t="shared" si="247"/>
        <v/>
      </c>
      <c r="L2255" s="31" t="str">
        <f>IF(OR(B2255="",C2255=""),"",IFERROR(E2255 / SUMIFS('📅 Resumen Diario'!$D$5:$D$504, '📅 Resumen Diario'!$B$5:$B$504, B2255, '📅 Resumen Diario'!$C$5:$C$504, D2255) * SUMIFS('📅 Resumen Diario'!$K$5:$K$504, '📅 Resumen Diario'!$B$5:$B$504, B2255, '📅 Resumen Diario'!$C$5:$C$504, D2255), 0))</f>
        <v/>
      </c>
      <c r="M2255" s="31" t="str">
        <f t="shared" si="248"/>
        <v/>
      </c>
      <c r="N2255" s="31" t="str">
        <f t="shared" si="249"/>
        <v/>
      </c>
      <c r="O2255" s="31" t="str">
        <f>IF(OR(B2255="",C2255=""),"",K2255-N2255 + IFERROR(E2255 / SUMIFS('📅 Resumen Diario'!$D$5:$D$504, '📅 Resumen Diario'!$B$5:$B$504, B2255, '📅 Resumen Diario'!$C$5:$C$504, D2255) * (SUMIFS('📋 Detalle Diario'!$E$5:$E$489, '📋 Detalle Diario'!$B$5:$B$489, B2255, '📋 Detalle Diario'!$C$5:$C$489, D2255) * 135 + SUMIFS('📋 Detalle Diario'!$I$5:$I$489, '📋 Detalle Diario'!$B$5:$B$489, B2255, '📋 Detalle Diario'!$C$5:$C$489, D2255) * 200), 0))</f>
        <v/>
      </c>
      <c r="P2255" s="32" t="str">
        <f t="shared" si="250"/>
        <v/>
      </c>
      <c r="Q2255" s="33" t="str">
        <f t="shared" si="251"/>
        <v/>
      </c>
    </row>
    <row r="2256" spans="2:17" ht="18" customHeight="1" x14ac:dyDescent="0.3">
      <c r="B2256" s="26"/>
      <c r="C2256" s="17"/>
      <c r="D2256" s="27"/>
      <c r="E2256" s="18"/>
      <c r="F2256" s="18"/>
      <c r="G2256" s="18"/>
      <c r="H2256" s="30" t="str">
        <f t="shared" si="245"/>
        <v/>
      </c>
      <c r="I2256" s="31" t="str">
        <f>IF(OR(B2256="",C2256=""),"",IFERROR(E2256*IF(E2256="",0,VLOOKUP(C2256,'📦 Precios Proforma'!$B$5:$D$104,IF(D2256="DIA",2,3),FALSE)),0))</f>
        <v/>
      </c>
      <c r="J2256" s="31" t="str">
        <f t="shared" si="246"/>
        <v/>
      </c>
      <c r="K2256" s="31" t="str">
        <f t="shared" si="247"/>
        <v/>
      </c>
      <c r="L2256" s="31" t="str">
        <f>IF(OR(B2256="",C2256=""),"",IFERROR(E2256 / SUMIFS('📅 Resumen Diario'!$D$5:$D$504, '📅 Resumen Diario'!$B$5:$B$504, B2256, '📅 Resumen Diario'!$C$5:$C$504, D2256) * SUMIFS('📅 Resumen Diario'!$K$5:$K$504, '📅 Resumen Diario'!$B$5:$B$504, B2256, '📅 Resumen Diario'!$C$5:$C$504, D2256), 0))</f>
        <v/>
      </c>
      <c r="M2256" s="31" t="str">
        <f t="shared" si="248"/>
        <v/>
      </c>
      <c r="N2256" s="31" t="str">
        <f t="shared" si="249"/>
        <v/>
      </c>
      <c r="O2256" s="31" t="str">
        <f>IF(OR(B2256="",C2256=""),"",K2256-N2256 + IFERROR(E2256 / SUMIFS('📅 Resumen Diario'!$D$5:$D$504, '📅 Resumen Diario'!$B$5:$B$504, B2256, '📅 Resumen Diario'!$C$5:$C$504, D2256) * (SUMIFS('📋 Detalle Diario'!$E$5:$E$489, '📋 Detalle Diario'!$B$5:$B$489, B2256, '📋 Detalle Diario'!$C$5:$C$489, D2256) * 135 + SUMIFS('📋 Detalle Diario'!$I$5:$I$489, '📋 Detalle Diario'!$B$5:$B$489, B2256, '📋 Detalle Diario'!$C$5:$C$489, D2256) * 200), 0))</f>
        <v/>
      </c>
      <c r="P2256" s="32" t="str">
        <f t="shared" si="250"/>
        <v/>
      </c>
      <c r="Q2256" s="33" t="str">
        <f t="shared" si="251"/>
        <v/>
      </c>
    </row>
    <row r="2257" spans="2:17" ht="18" customHeight="1" x14ac:dyDescent="0.3">
      <c r="B2257" s="26"/>
      <c r="C2257" s="28"/>
      <c r="D2257" s="27"/>
      <c r="E2257" s="29"/>
      <c r="F2257" s="29"/>
      <c r="G2257" s="29"/>
      <c r="H2257" s="30" t="str">
        <f t="shared" si="245"/>
        <v/>
      </c>
      <c r="I2257" s="31" t="str">
        <f>IF(OR(B2257="",C2257=""),"",IFERROR(E2257*IF(E2257="",0,VLOOKUP(C2257,'📦 Precios Proforma'!$B$5:$D$104,IF(D2257="DIA",2,3),FALSE)),0))</f>
        <v/>
      </c>
      <c r="J2257" s="31" t="str">
        <f t="shared" si="246"/>
        <v/>
      </c>
      <c r="K2257" s="31" t="str">
        <f t="shared" si="247"/>
        <v/>
      </c>
      <c r="L2257" s="31" t="str">
        <f>IF(OR(B2257="",C2257=""),"",IFERROR(E2257 / SUMIFS('📅 Resumen Diario'!$D$5:$D$504, '📅 Resumen Diario'!$B$5:$B$504, B2257, '📅 Resumen Diario'!$C$5:$C$504, D2257) * SUMIFS('📅 Resumen Diario'!$K$5:$K$504, '📅 Resumen Diario'!$B$5:$B$504, B2257, '📅 Resumen Diario'!$C$5:$C$504, D2257), 0))</f>
        <v/>
      </c>
      <c r="M2257" s="31" t="str">
        <f t="shared" si="248"/>
        <v/>
      </c>
      <c r="N2257" s="31" t="str">
        <f t="shared" si="249"/>
        <v/>
      </c>
      <c r="O2257" s="31" t="str">
        <f>IF(OR(B2257="",C2257=""),"",K2257-N2257 + IFERROR(E2257 / SUMIFS('📅 Resumen Diario'!$D$5:$D$504, '📅 Resumen Diario'!$B$5:$B$504, B2257, '📅 Resumen Diario'!$C$5:$C$504, D2257) * (SUMIFS('📋 Detalle Diario'!$E$5:$E$489, '📋 Detalle Diario'!$B$5:$B$489, B2257, '📋 Detalle Diario'!$C$5:$C$489, D2257) * 135 + SUMIFS('📋 Detalle Diario'!$I$5:$I$489, '📋 Detalle Diario'!$B$5:$B$489, B2257, '📋 Detalle Diario'!$C$5:$C$489, D2257) * 200), 0))</f>
        <v/>
      </c>
      <c r="P2257" s="32" t="str">
        <f t="shared" si="250"/>
        <v/>
      </c>
      <c r="Q2257" s="33" t="str">
        <f t="shared" si="251"/>
        <v/>
      </c>
    </row>
    <row r="2258" spans="2:17" ht="18" customHeight="1" x14ac:dyDescent="0.3">
      <c r="B2258" s="26"/>
      <c r="C2258" s="17"/>
      <c r="D2258" s="27"/>
      <c r="E2258" s="18"/>
      <c r="F2258" s="18"/>
      <c r="G2258" s="18"/>
      <c r="H2258" s="30" t="str">
        <f t="shared" si="245"/>
        <v/>
      </c>
      <c r="I2258" s="31" t="str">
        <f>IF(OR(B2258="",C2258=""),"",IFERROR(E2258*IF(E2258="",0,VLOOKUP(C2258,'📦 Precios Proforma'!$B$5:$D$104,IF(D2258="DIA",2,3),FALSE)),0))</f>
        <v/>
      </c>
      <c r="J2258" s="31" t="str">
        <f t="shared" si="246"/>
        <v/>
      </c>
      <c r="K2258" s="31" t="str">
        <f t="shared" si="247"/>
        <v/>
      </c>
      <c r="L2258" s="31" t="str">
        <f>IF(OR(B2258="",C2258=""),"",IFERROR(E2258 / SUMIFS('📅 Resumen Diario'!$D$5:$D$504, '📅 Resumen Diario'!$B$5:$B$504, B2258, '📅 Resumen Diario'!$C$5:$C$504, D2258) * SUMIFS('📅 Resumen Diario'!$K$5:$K$504, '📅 Resumen Diario'!$B$5:$B$504, B2258, '📅 Resumen Diario'!$C$5:$C$504, D2258), 0))</f>
        <v/>
      </c>
      <c r="M2258" s="31" t="str">
        <f t="shared" si="248"/>
        <v/>
      </c>
      <c r="N2258" s="31" t="str">
        <f t="shared" si="249"/>
        <v/>
      </c>
      <c r="O2258" s="31" t="str">
        <f>IF(OR(B2258="",C2258=""),"",K2258-N2258 + IFERROR(E2258 / SUMIFS('📅 Resumen Diario'!$D$5:$D$504, '📅 Resumen Diario'!$B$5:$B$504, B2258, '📅 Resumen Diario'!$C$5:$C$504, D2258) * (SUMIFS('📋 Detalle Diario'!$E$5:$E$489, '📋 Detalle Diario'!$B$5:$B$489, B2258, '📋 Detalle Diario'!$C$5:$C$489, D2258) * 135 + SUMIFS('📋 Detalle Diario'!$I$5:$I$489, '📋 Detalle Diario'!$B$5:$B$489, B2258, '📋 Detalle Diario'!$C$5:$C$489, D2258) * 200), 0))</f>
        <v/>
      </c>
      <c r="P2258" s="32" t="str">
        <f t="shared" si="250"/>
        <v/>
      </c>
      <c r="Q2258" s="33" t="str">
        <f t="shared" si="251"/>
        <v/>
      </c>
    </row>
    <row r="2259" spans="2:17" ht="18" customHeight="1" x14ac:dyDescent="0.3">
      <c r="B2259" s="26"/>
      <c r="C2259" s="28"/>
      <c r="D2259" s="27"/>
      <c r="E2259" s="29"/>
      <c r="F2259" s="29"/>
      <c r="G2259" s="29"/>
      <c r="H2259" s="30" t="str">
        <f t="shared" si="245"/>
        <v/>
      </c>
      <c r="I2259" s="31" t="str">
        <f>IF(OR(B2259="",C2259=""),"",IFERROR(E2259*IF(E2259="",0,VLOOKUP(C2259,'📦 Precios Proforma'!$B$5:$D$104,IF(D2259="DIA",2,3),FALSE)),0))</f>
        <v/>
      </c>
      <c r="J2259" s="31" t="str">
        <f t="shared" si="246"/>
        <v/>
      </c>
      <c r="K2259" s="31" t="str">
        <f t="shared" si="247"/>
        <v/>
      </c>
      <c r="L2259" s="31" t="str">
        <f>IF(OR(B2259="",C2259=""),"",IFERROR(E2259 / SUMIFS('📅 Resumen Diario'!$D$5:$D$504, '📅 Resumen Diario'!$B$5:$B$504, B2259, '📅 Resumen Diario'!$C$5:$C$504, D2259) * SUMIFS('📅 Resumen Diario'!$K$5:$K$504, '📅 Resumen Diario'!$B$5:$B$504, B2259, '📅 Resumen Diario'!$C$5:$C$504, D2259), 0))</f>
        <v/>
      </c>
      <c r="M2259" s="31" t="str">
        <f t="shared" si="248"/>
        <v/>
      </c>
      <c r="N2259" s="31" t="str">
        <f t="shared" si="249"/>
        <v/>
      </c>
      <c r="O2259" s="31" t="str">
        <f>IF(OR(B2259="",C2259=""),"",K2259-N2259 + IFERROR(E2259 / SUMIFS('📅 Resumen Diario'!$D$5:$D$504, '📅 Resumen Diario'!$B$5:$B$504, B2259, '📅 Resumen Diario'!$C$5:$C$504, D2259) * (SUMIFS('📋 Detalle Diario'!$E$5:$E$489, '📋 Detalle Diario'!$B$5:$B$489, B2259, '📋 Detalle Diario'!$C$5:$C$489, D2259) * 135 + SUMIFS('📋 Detalle Diario'!$I$5:$I$489, '📋 Detalle Diario'!$B$5:$B$489, B2259, '📋 Detalle Diario'!$C$5:$C$489, D2259) * 200), 0))</f>
        <v/>
      </c>
      <c r="P2259" s="32" t="str">
        <f t="shared" si="250"/>
        <v/>
      </c>
      <c r="Q2259" s="33" t="str">
        <f t="shared" si="251"/>
        <v/>
      </c>
    </row>
    <row r="2260" spans="2:17" ht="18" customHeight="1" x14ac:dyDescent="0.3">
      <c r="B2260" s="26"/>
      <c r="C2260" s="17"/>
      <c r="D2260" s="27"/>
      <c r="E2260" s="18"/>
      <c r="F2260" s="18"/>
      <c r="G2260" s="18"/>
      <c r="H2260" s="30" t="str">
        <f t="shared" si="245"/>
        <v/>
      </c>
      <c r="I2260" s="31" t="str">
        <f>IF(OR(B2260="",C2260=""),"",IFERROR(E2260*IF(E2260="",0,VLOOKUP(C2260,'📦 Precios Proforma'!$B$5:$D$104,IF(D2260="DIA",2,3),FALSE)),0))</f>
        <v/>
      </c>
      <c r="J2260" s="31" t="str">
        <f t="shared" si="246"/>
        <v/>
      </c>
      <c r="K2260" s="31" t="str">
        <f t="shared" si="247"/>
        <v/>
      </c>
      <c r="L2260" s="31" t="str">
        <f>IF(OR(B2260="",C2260=""),"",IFERROR(E2260 / SUMIFS('📅 Resumen Diario'!$D$5:$D$504, '📅 Resumen Diario'!$B$5:$B$504, B2260, '📅 Resumen Diario'!$C$5:$C$504, D2260) * SUMIFS('📅 Resumen Diario'!$K$5:$K$504, '📅 Resumen Diario'!$B$5:$B$504, B2260, '📅 Resumen Diario'!$C$5:$C$504, D2260), 0))</f>
        <v/>
      </c>
      <c r="M2260" s="31" t="str">
        <f t="shared" si="248"/>
        <v/>
      </c>
      <c r="N2260" s="31" t="str">
        <f t="shared" si="249"/>
        <v/>
      </c>
      <c r="O2260" s="31" t="str">
        <f>IF(OR(B2260="",C2260=""),"",K2260-N2260 + IFERROR(E2260 / SUMIFS('📅 Resumen Diario'!$D$5:$D$504, '📅 Resumen Diario'!$B$5:$B$504, B2260, '📅 Resumen Diario'!$C$5:$C$504, D2260) * (SUMIFS('📋 Detalle Diario'!$E$5:$E$489, '📋 Detalle Diario'!$B$5:$B$489, B2260, '📋 Detalle Diario'!$C$5:$C$489, D2260) * 135 + SUMIFS('📋 Detalle Diario'!$I$5:$I$489, '📋 Detalle Diario'!$B$5:$B$489, B2260, '📋 Detalle Diario'!$C$5:$C$489, D2260) * 200), 0))</f>
        <v/>
      </c>
      <c r="P2260" s="32" t="str">
        <f t="shared" si="250"/>
        <v/>
      </c>
      <c r="Q2260" s="33" t="str">
        <f t="shared" si="251"/>
        <v/>
      </c>
    </row>
    <row r="2261" spans="2:17" ht="18" customHeight="1" x14ac:dyDescent="0.3">
      <c r="B2261" s="26"/>
      <c r="C2261" s="28"/>
      <c r="D2261" s="27"/>
      <c r="E2261" s="29"/>
      <c r="F2261" s="29"/>
      <c r="G2261" s="29"/>
      <c r="H2261" s="30" t="str">
        <f t="shared" si="245"/>
        <v/>
      </c>
      <c r="I2261" s="31" t="str">
        <f>IF(OR(B2261="",C2261=""),"",IFERROR(E2261*IF(E2261="",0,VLOOKUP(C2261,'📦 Precios Proforma'!$B$5:$D$104,IF(D2261="DIA",2,3),FALSE)),0))</f>
        <v/>
      </c>
      <c r="J2261" s="31" t="str">
        <f t="shared" si="246"/>
        <v/>
      </c>
      <c r="K2261" s="31" t="str">
        <f t="shared" si="247"/>
        <v/>
      </c>
      <c r="L2261" s="31" t="str">
        <f>IF(OR(B2261="",C2261=""),"",IFERROR(E2261 / SUMIFS('📅 Resumen Diario'!$D$5:$D$504, '📅 Resumen Diario'!$B$5:$B$504, B2261, '📅 Resumen Diario'!$C$5:$C$504, D2261) * SUMIFS('📅 Resumen Diario'!$K$5:$K$504, '📅 Resumen Diario'!$B$5:$B$504, B2261, '📅 Resumen Diario'!$C$5:$C$504, D2261), 0))</f>
        <v/>
      </c>
      <c r="M2261" s="31" t="str">
        <f t="shared" si="248"/>
        <v/>
      </c>
      <c r="N2261" s="31" t="str">
        <f t="shared" si="249"/>
        <v/>
      </c>
      <c r="O2261" s="31" t="str">
        <f>IF(OR(B2261="",C2261=""),"",K2261-N2261 + IFERROR(E2261 / SUMIFS('📅 Resumen Diario'!$D$5:$D$504, '📅 Resumen Diario'!$B$5:$B$504, B2261, '📅 Resumen Diario'!$C$5:$C$504, D2261) * (SUMIFS('📋 Detalle Diario'!$E$5:$E$489, '📋 Detalle Diario'!$B$5:$B$489, B2261, '📋 Detalle Diario'!$C$5:$C$489, D2261) * 135 + SUMIFS('📋 Detalle Diario'!$I$5:$I$489, '📋 Detalle Diario'!$B$5:$B$489, B2261, '📋 Detalle Diario'!$C$5:$C$489, D2261) * 200), 0))</f>
        <v/>
      </c>
      <c r="P2261" s="32" t="str">
        <f t="shared" si="250"/>
        <v/>
      </c>
      <c r="Q2261" s="33" t="str">
        <f t="shared" si="251"/>
        <v/>
      </c>
    </row>
    <row r="2262" spans="2:17" ht="18" customHeight="1" x14ac:dyDescent="0.3">
      <c r="B2262" s="26"/>
      <c r="C2262" s="17"/>
      <c r="D2262" s="27"/>
      <c r="E2262" s="18"/>
      <c r="F2262" s="18"/>
      <c r="G2262" s="18"/>
      <c r="H2262" s="30" t="str">
        <f t="shared" si="245"/>
        <v/>
      </c>
      <c r="I2262" s="31" t="str">
        <f>IF(OR(B2262="",C2262=""),"",IFERROR(E2262*IF(E2262="",0,VLOOKUP(C2262,'📦 Precios Proforma'!$B$5:$D$104,IF(D2262="DIA",2,3),FALSE)),0))</f>
        <v/>
      </c>
      <c r="J2262" s="31" t="str">
        <f t="shared" si="246"/>
        <v/>
      </c>
      <c r="K2262" s="31" t="str">
        <f t="shared" si="247"/>
        <v/>
      </c>
      <c r="L2262" s="31" t="str">
        <f>IF(OR(B2262="",C2262=""),"",IFERROR(E2262 / SUMIFS('📅 Resumen Diario'!$D$5:$D$504, '📅 Resumen Diario'!$B$5:$B$504, B2262, '📅 Resumen Diario'!$C$5:$C$504, D2262) * SUMIFS('📅 Resumen Diario'!$K$5:$K$504, '📅 Resumen Diario'!$B$5:$B$504, B2262, '📅 Resumen Diario'!$C$5:$C$504, D2262), 0))</f>
        <v/>
      </c>
      <c r="M2262" s="31" t="str">
        <f t="shared" si="248"/>
        <v/>
      </c>
      <c r="N2262" s="31" t="str">
        <f t="shared" si="249"/>
        <v/>
      </c>
      <c r="O2262" s="31" t="str">
        <f>IF(OR(B2262="",C2262=""),"",K2262-N2262 + IFERROR(E2262 / SUMIFS('📅 Resumen Diario'!$D$5:$D$504, '📅 Resumen Diario'!$B$5:$B$504, B2262, '📅 Resumen Diario'!$C$5:$C$504, D2262) * (SUMIFS('📋 Detalle Diario'!$E$5:$E$489, '📋 Detalle Diario'!$B$5:$B$489, B2262, '📋 Detalle Diario'!$C$5:$C$489, D2262) * 135 + SUMIFS('📋 Detalle Diario'!$I$5:$I$489, '📋 Detalle Diario'!$B$5:$B$489, B2262, '📋 Detalle Diario'!$C$5:$C$489, D2262) * 200), 0))</f>
        <v/>
      </c>
      <c r="P2262" s="32" t="str">
        <f t="shared" si="250"/>
        <v/>
      </c>
      <c r="Q2262" s="33" t="str">
        <f t="shared" si="251"/>
        <v/>
      </c>
    </row>
    <row r="2263" spans="2:17" ht="18" customHeight="1" x14ac:dyDescent="0.3">
      <c r="B2263" s="26"/>
      <c r="C2263" s="28"/>
      <c r="D2263" s="27"/>
      <c r="E2263" s="29"/>
      <c r="F2263" s="29"/>
      <c r="G2263" s="29"/>
      <c r="H2263" s="30" t="str">
        <f t="shared" si="245"/>
        <v/>
      </c>
      <c r="I2263" s="31" t="str">
        <f>IF(OR(B2263="",C2263=""),"",IFERROR(E2263*IF(E2263="",0,VLOOKUP(C2263,'📦 Precios Proforma'!$B$5:$D$104,IF(D2263="DIA",2,3),FALSE)),0))</f>
        <v/>
      </c>
      <c r="J2263" s="31" t="str">
        <f t="shared" si="246"/>
        <v/>
      </c>
      <c r="K2263" s="31" t="str">
        <f t="shared" si="247"/>
        <v/>
      </c>
      <c r="L2263" s="31" t="str">
        <f>IF(OR(B2263="",C2263=""),"",IFERROR(E2263 / SUMIFS('📅 Resumen Diario'!$D$5:$D$504, '📅 Resumen Diario'!$B$5:$B$504, B2263, '📅 Resumen Diario'!$C$5:$C$504, D2263) * SUMIFS('📅 Resumen Diario'!$K$5:$K$504, '📅 Resumen Diario'!$B$5:$B$504, B2263, '📅 Resumen Diario'!$C$5:$C$504, D2263), 0))</f>
        <v/>
      </c>
      <c r="M2263" s="31" t="str">
        <f t="shared" si="248"/>
        <v/>
      </c>
      <c r="N2263" s="31" t="str">
        <f t="shared" si="249"/>
        <v/>
      </c>
      <c r="O2263" s="31" t="str">
        <f>IF(OR(B2263="",C2263=""),"",K2263-N2263 + IFERROR(E2263 / SUMIFS('📅 Resumen Diario'!$D$5:$D$504, '📅 Resumen Diario'!$B$5:$B$504, B2263, '📅 Resumen Diario'!$C$5:$C$504, D2263) * (SUMIFS('📋 Detalle Diario'!$E$5:$E$489, '📋 Detalle Diario'!$B$5:$B$489, B2263, '📋 Detalle Diario'!$C$5:$C$489, D2263) * 135 + SUMIFS('📋 Detalle Diario'!$I$5:$I$489, '📋 Detalle Diario'!$B$5:$B$489, B2263, '📋 Detalle Diario'!$C$5:$C$489, D2263) * 200), 0))</f>
        <v/>
      </c>
      <c r="P2263" s="32" t="str">
        <f t="shared" si="250"/>
        <v/>
      </c>
      <c r="Q2263" s="33" t="str">
        <f t="shared" si="251"/>
        <v/>
      </c>
    </row>
    <row r="2264" spans="2:17" ht="18" customHeight="1" x14ac:dyDescent="0.3">
      <c r="B2264" s="26"/>
      <c r="C2264" s="17"/>
      <c r="D2264" s="27"/>
      <c r="E2264" s="18"/>
      <c r="F2264" s="18"/>
      <c r="G2264" s="18"/>
      <c r="H2264" s="30" t="str">
        <f t="shared" si="245"/>
        <v/>
      </c>
      <c r="I2264" s="31" t="str">
        <f>IF(OR(B2264="",C2264=""),"",IFERROR(E2264*IF(E2264="",0,VLOOKUP(C2264,'📦 Precios Proforma'!$B$5:$D$104,IF(D2264="DIA",2,3),FALSE)),0))</f>
        <v/>
      </c>
      <c r="J2264" s="31" t="str">
        <f t="shared" si="246"/>
        <v/>
      </c>
      <c r="K2264" s="31" t="str">
        <f t="shared" si="247"/>
        <v/>
      </c>
      <c r="L2264" s="31" t="str">
        <f>IF(OR(B2264="",C2264=""),"",IFERROR(E2264 / SUMIFS('📅 Resumen Diario'!$D$5:$D$504, '📅 Resumen Diario'!$B$5:$B$504, B2264, '📅 Resumen Diario'!$C$5:$C$504, D2264) * SUMIFS('📅 Resumen Diario'!$K$5:$K$504, '📅 Resumen Diario'!$B$5:$B$504, B2264, '📅 Resumen Diario'!$C$5:$C$504, D2264), 0))</f>
        <v/>
      </c>
      <c r="M2264" s="31" t="str">
        <f t="shared" si="248"/>
        <v/>
      </c>
      <c r="N2264" s="31" t="str">
        <f t="shared" si="249"/>
        <v/>
      </c>
      <c r="O2264" s="31" t="str">
        <f>IF(OR(B2264="",C2264=""),"",K2264-N2264 + IFERROR(E2264 / SUMIFS('📅 Resumen Diario'!$D$5:$D$504, '📅 Resumen Diario'!$B$5:$B$504, B2264, '📅 Resumen Diario'!$C$5:$C$504, D2264) * (SUMIFS('📋 Detalle Diario'!$E$5:$E$489, '📋 Detalle Diario'!$B$5:$B$489, B2264, '📋 Detalle Diario'!$C$5:$C$489, D2264) * 135 + SUMIFS('📋 Detalle Diario'!$I$5:$I$489, '📋 Detalle Diario'!$B$5:$B$489, B2264, '📋 Detalle Diario'!$C$5:$C$489, D2264) * 200), 0))</f>
        <v/>
      </c>
      <c r="P2264" s="32" t="str">
        <f t="shared" si="250"/>
        <v/>
      </c>
      <c r="Q2264" s="33" t="str">
        <f t="shared" si="251"/>
        <v/>
      </c>
    </row>
    <row r="2265" spans="2:17" ht="18" customHeight="1" x14ac:dyDescent="0.3">
      <c r="B2265" s="26"/>
      <c r="C2265" s="28"/>
      <c r="D2265" s="27"/>
      <c r="E2265" s="29"/>
      <c r="F2265" s="29"/>
      <c r="G2265" s="29"/>
      <c r="H2265" s="30" t="str">
        <f t="shared" si="245"/>
        <v/>
      </c>
      <c r="I2265" s="31" t="str">
        <f>IF(OR(B2265="",C2265=""),"",IFERROR(E2265*IF(E2265="",0,VLOOKUP(C2265,'📦 Precios Proforma'!$B$5:$D$104,IF(D2265="DIA",2,3),FALSE)),0))</f>
        <v/>
      </c>
      <c r="J2265" s="31" t="str">
        <f t="shared" si="246"/>
        <v/>
      </c>
      <c r="K2265" s="31" t="str">
        <f t="shared" si="247"/>
        <v/>
      </c>
      <c r="L2265" s="31" t="str">
        <f>IF(OR(B2265="",C2265=""),"",IFERROR(E2265 / SUMIFS('📅 Resumen Diario'!$D$5:$D$504, '📅 Resumen Diario'!$B$5:$B$504, B2265, '📅 Resumen Diario'!$C$5:$C$504, D2265) * SUMIFS('📅 Resumen Diario'!$K$5:$K$504, '📅 Resumen Diario'!$B$5:$B$504, B2265, '📅 Resumen Diario'!$C$5:$C$504, D2265), 0))</f>
        <v/>
      </c>
      <c r="M2265" s="31" t="str">
        <f t="shared" si="248"/>
        <v/>
      </c>
      <c r="N2265" s="31" t="str">
        <f t="shared" si="249"/>
        <v/>
      </c>
      <c r="O2265" s="31" t="str">
        <f>IF(OR(B2265="",C2265=""),"",K2265-N2265 + IFERROR(E2265 / SUMIFS('📅 Resumen Diario'!$D$5:$D$504, '📅 Resumen Diario'!$B$5:$B$504, B2265, '📅 Resumen Diario'!$C$5:$C$504, D2265) * (SUMIFS('📋 Detalle Diario'!$E$5:$E$489, '📋 Detalle Diario'!$B$5:$B$489, B2265, '📋 Detalle Diario'!$C$5:$C$489, D2265) * 135 + SUMIFS('📋 Detalle Diario'!$I$5:$I$489, '📋 Detalle Diario'!$B$5:$B$489, B2265, '📋 Detalle Diario'!$C$5:$C$489, D2265) * 200), 0))</f>
        <v/>
      </c>
      <c r="P2265" s="32" t="str">
        <f t="shared" si="250"/>
        <v/>
      </c>
      <c r="Q2265" s="33" t="str">
        <f t="shared" si="251"/>
        <v/>
      </c>
    </row>
    <row r="2266" spans="2:17" ht="18" customHeight="1" x14ac:dyDescent="0.3">
      <c r="B2266" s="26"/>
      <c r="C2266" s="17"/>
      <c r="D2266" s="27"/>
      <c r="E2266" s="18"/>
      <c r="F2266" s="18"/>
      <c r="G2266" s="18"/>
      <c r="H2266" s="30" t="str">
        <f t="shared" si="245"/>
        <v/>
      </c>
      <c r="I2266" s="31" t="str">
        <f>IF(OR(B2266="",C2266=""),"",IFERROR(E2266*IF(E2266="",0,VLOOKUP(C2266,'📦 Precios Proforma'!$B$5:$D$104,IF(D2266="DIA",2,3),FALSE)),0))</f>
        <v/>
      </c>
      <c r="J2266" s="31" t="str">
        <f t="shared" si="246"/>
        <v/>
      </c>
      <c r="K2266" s="31" t="str">
        <f t="shared" si="247"/>
        <v/>
      </c>
      <c r="L2266" s="31" t="str">
        <f>IF(OR(B2266="",C2266=""),"",IFERROR(E2266 / SUMIFS('📅 Resumen Diario'!$D$5:$D$504, '📅 Resumen Diario'!$B$5:$B$504, B2266, '📅 Resumen Diario'!$C$5:$C$504, D2266) * SUMIFS('📅 Resumen Diario'!$K$5:$K$504, '📅 Resumen Diario'!$B$5:$B$504, B2266, '📅 Resumen Diario'!$C$5:$C$504, D2266), 0))</f>
        <v/>
      </c>
      <c r="M2266" s="31" t="str">
        <f t="shared" si="248"/>
        <v/>
      </c>
      <c r="N2266" s="31" t="str">
        <f t="shared" si="249"/>
        <v/>
      </c>
      <c r="O2266" s="31" t="str">
        <f>IF(OR(B2266="",C2266=""),"",K2266-N2266 + IFERROR(E2266 / SUMIFS('📅 Resumen Diario'!$D$5:$D$504, '📅 Resumen Diario'!$B$5:$B$504, B2266, '📅 Resumen Diario'!$C$5:$C$504, D2266) * (SUMIFS('📋 Detalle Diario'!$E$5:$E$489, '📋 Detalle Diario'!$B$5:$B$489, B2266, '📋 Detalle Diario'!$C$5:$C$489, D2266) * 135 + SUMIFS('📋 Detalle Diario'!$I$5:$I$489, '📋 Detalle Diario'!$B$5:$B$489, B2266, '📋 Detalle Diario'!$C$5:$C$489, D2266) * 200), 0))</f>
        <v/>
      </c>
      <c r="P2266" s="32" t="str">
        <f t="shared" si="250"/>
        <v/>
      </c>
      <c r="Q2266" s="33" t="str">
        <f t="shared" si="251"/>
        <v/>
      </c>
    </row>
    <row r="2267" spans="2:17" ht="18" customHeight="1" x14ac:dyDescent="0.3">
      <c r="B2267" s="26"/>
      <c r="C2267" s="28"/>
      <c r="D2267" s="27"/>
      <c r="E2267" s="29"/>
      <c r="F2267" s="29"/>
      <c r="G2267" s="29"/>
      <c r="H2267" s="30" t="str">
        <f t="shared" si="245"/>
        <v/>
      </c>
      <c r="I2267" s="31" t="str">
        <f>IF(OR(B2267="",C2267=""),"",IFERROR(E2267*IF(E2267="",0,VLOOKUP(C2267,'📦 Precios Proforma'!$B$5:$D$104,IF(D2267="DIA",2,3),FALSE)),0))</f>
        <v/>
      </c>
      <c r="J2267" s="31" t="str">
        <f t="shared" si="246"/>
        <v/>
      </c>
      <c r="K2267" s="31" t="str">
        <f t="shared" si="247"/>
        <v/>
      </c>
      <c r="L2267" s="31" t="str">
        <f>IF(OR(B2267="",C2267=""),"",IFERROR(E2267 / SUMIFS('📅 Resumen Diario'!$D$5:$D$504, '📅 Resumen Diario'!$B$5:$B$504, B2267, '📅 Resumen Diario'!$C$5:$C$504, D2267) * SUMIFS('📅 Resumen Diario'!$K$5:$K$504, '📅 Resumen Diario'!$B$5:$B$504, B2267, '📅 Resumen Diario'!$C$5:$C$504, D2267), 0))</f>
        <v/>
      </c>
      <c r="M2267" s="31" t="str">
        <f t="shared" si="248"/>
        <v/>
      </c>
      <c r="N2267" s="31" t="str">
        <f t="shared" si="249"/>
        <v/>
      </c>
      <c r="O2267" s="31" t="str">
        <f>IF(OR(B2267="",C2267=""),"",K2267-N2267 + IFERROR(E2267 / SUMIFS('📅 Resumen Diario'!$D$5:$D$504, '📅 Resumen Diario'!$B$5:$B$504, B2267, '📅 Resumen Diario'!$C$5:$C$504, D2267) * (SUMIFS('📋 Detalle Diario'!$E$5:$E$489, '📋 Detalle Diario'!$B$5:$B$489, B2267, '📋 Detalle Diario'!$C$5:$C$489, D2267) * 135 + SUMIFS('📋 Detalle Diario'!$I$5:$I$489, '📋 Detalle Diario'!$B$5:$B$489, B2267, '📋 Detalle Diario'!$C$5:$C$489, D2267) * 200), 0))</f>
        <v/>
      </c>
      <c r="P2267" s="32" t="str">
        <f t="shared" si="250"/>
        <v/>
      </c>
      <c r="Q2267" s="33" t="str">
        <f t="shared" si="251"/>
        <v/>
      </c>
    </row>
    <row r="2268" spans="2:17" ht="18" customHeight="1" x14ac:dyDescent="0.3">
      <c r="B2268" s="26"/>
      <c r="C2268" s="17"/>
      <c r="D2268" s="27"/>
      <c r="E2268" s="18"/>
      <c r="F2268" s="18"/>
      <c r="G2268" s="18"/>
      <c r="H2268" s="30" t="str">
        <f t="shared" si="245"/>
        <v/>
      </c>
      <c r="I2268" s="31" t="str">
        <f>IF(OR(B2268="",C2268=""),"",IFERROR(E2268*IF(E2268="",0,VLOOKUP(C2268,'📦 Precios Proforma'!$B$5:$D$104,IF(D2268="DIA",2,3),FALSE)),0))</f>
        <v/>
      </c>
      <c r="J2268" s="31" t="str">
        <f t="shared" si="246"/>
        <v/>
      </c>
      <c r="K2268" s="31" t="str">
        <f t="shared" si="247"/>
        <v/>
      </c>
      <c r="L2268" s="31" t="str">
        <f>IF(OR(B2268="",C2268=""),"",IFERROR(E2268 / SUMIFS('📅 Resumen Diario'!$D$5:$D$504, '📅 Resumen Diario'!$B$5:$B$504, B2268, '📅 Resumen Diario'!$C$5:$C$504, D2268) * SUMIFS('📅 Resumen Diario'!$K$5:$K$504, '📅 Resumen Diario'!$B$5:$B$504, B2268, '📅 Resumen Diario'!$C$5:$C$504, D2268), 0))</f>
        <v/>
      </c>
      <c r="M2268" s="31" t="str">
        <f t="shared" si="248"/>
        <v/>
      </c>
      <c r="N2268" s="31" t="str">
        <f t="shared" si="249"/>
        <v/>
      </c>
      <c r="O2268" s="31" t="str">
        <f>IF(OR(B2268="",C2268=""),"",K2268-N2268 + IFERROR(E2268 / SUMIFS('📅 Resumen Diario'!$D$5:$D$504, '📅 Resumen Diario'!$B$5:$B$504, B2268, '📅 Resumen Diario'!$C$5:$C$504, D2268) * (SUMIFS('📋 Detalle Diario'!$E$5:$E$489, '📋 Detalle Diario'!$B$5:$B$489, B2268, '📋 Detalle Diario'!$C$5:$C$489, D2268) * 135 + SUMIFS('📋 Detalle Diario'!$I$5:$I$489, '📋 Detalle Diario'!$B$5:$B$489, B2268, '📋 Detalle Diario'!$C$5:$C$489, D2268) * 200), 0))</f>
        <v/>
      </c>
      <c r="P2268" s="32" t="str">
        <f t="shared" si="250"/>
        <v/>
      </c>
      <c r="Q2268" s="33" t="str">
        <f t="shared" si="251"/>
        <v/>
      </c>
    </row>
    <row r="2269" spans="2:17" ht="18" customHeight="1" x14ac:dyDescent="0.3">
      <c r="B2269" s="26"/>
      <c r="C2269" s="28"/>
      <c r="D2269" s="27"/>
      <c r="E2269" s="29"/>
      <c r="F2269" s="29"/>
      <c r="G2269" s="29"/>
      <c r="H2269" s="30" t="str">
        <f t="shared" si="245"/>
        <v/>
      </c>
      <c r="I2269" s="31" t="str">
        <f>IF(OR(B2269="",C2269=""),"",IFERROR(E2269*IF(E2269="",0,VLOOKUP(C2269,'📦 Precios Proforma'!$B$5:$D$104,IF(D2269="DIA",2,3),FALSE)),0))</f>
        <v/>
      </c>
      <c r="J2269" s="31" t="str">
        <f t="shared" si="246"/>
        <v/>
      </c>
      <c r="K2269" s="31" t="str">
        <f t="shared" si="247"/>
        <v/>
      </c>
      <c r="L2269" s="31" t="str">
        <f>IF(OR(B2269="",C2269=""),"",IFERROR(E2269 / SUMIFS('📅 Resumen Diario'!$D$5:$D$504, '📅 Resumen Diario'!$B$5:$B$504, B2269, '📅 Resumen Diario'!$C$5:$C$504, D2269) * SUMIFS('📅 Resumen Diario'!$K$5:$K$504, '📅 Resumen Diario'!$B$5:$B$504, B2269, '📅 Resumen Diario'!$C$5:$C$504, D2269), 0))</f>
        <v/>
      </c>
      <c r="M2269" s="31" t="str">
        <f t="shared" si="248"/>
        <v/>
      </c>
      <c r="N2269" s="31" t="str">
        <f t="shared" si="249"/>
        <v/>
      </c>
      <c r="O2269" s="31" t="str">
        <f>IF(OR(B2269="",C2269=""),"",K2269-N2269 + IFERROR(E2269 / SUMIFS('📅 Resumen Diario'!$D$5:$D$504, '📅 Resumen Diario'!$B$5:$B$504, B2269, '📅 Resumen Diario'!$C$5:$C$504, D2269) * (SUMIFS('📋 Detalle Diario'!$E$5:$E$489, '📋 Detalle Diario'!$B$5:$B$489, B2269, '📋 Detalle Diario'!$C$5:$C$489, D2269) * 135 + SUMIFS('📋 Detalle Diario'!$I$5:$I$489, '📋 Detalle Diario'!$B$5:$B$489, B2269, '📋 Detalle Diario'!$C$5:$C$489, D2269) * 200), 0))</f>
        <v/>
      </c>
      <c r="P2269" s="32" t="str">
        <f t="shared" si="250"/>
        <v/>
      </c>
      <c r="Q2269" s="33" t="str">
        <f t="shared" si="251"/>
        <v/>
      </c>
    </row>
    <row r="2270" spans="2:17" ht="18" customHeight="1" x14ac:dyDescent="0.3">
      <c r="B2270" s="26"/>
      <c r="C2270" s="17"/>
      <c r="D2270" s="27"/>
      <c r="E2270" s="18"/>
      <c r="F2270" s="18"/>
      <c r="G2270" s="18"/>
      <c r="H2270" s="30" t="str">
        <f t="shared" si="245"/>
        <v/>
      </c>
      <c r="I2270" s="31" t="str">
        <f>IF(OR(B2270="",C2270=""),"",IFERROR(E2270*IF(E2270="",0,VLOOKUP(C2270,'📦 Precios Proforma'!$B$5:$D$104,IF(D2270="DIA",2,3),FALSE)),0))</f>
        <v/>
      </c>
      <c r="J2270" s="31" t="str">
        <f t="shared" si="246"/>
        <v/>
      </c>
      <c r="K2270" s="31" t="str">
        <f t="shared" si="247"/>
        <v/>
      </c>
      <c r="L2270" s="31" t="str">
        <f>IF(OR(B2270="",C2270=""),"",IFERROR(E2270 / SUMIFS('📅 Resumen Diario'!$D$5:$D$504, '📅 Resumen Diario'!$B$5:$B$504, B2270, '📅 Resumen Diario'!$C$5:$C$504, D2270) * SUMIFS('📅 Resumen Diario'!$K$5:$K$504, '📅 Resumen Diario'!$B$5:$B$504, B2270, '📅 Resumen Diario'!$C$5:$C$504, D2270), 0))</f>
        <v/>
      </c>
      <c r="M2270" s="31" t="str">
        <f t="shared" si="248"/>
        <v/>
      </c>
      <c r="N2270" s="31" t="str">
        <f t="shared" si="249"/>
        <v/>
      </c>
      <c r="O2270" s="31" t="str">
        <f>IF(OR(B2270="",C2270=""),"",K2270-N2270 + IFERROR(E2270 / SUMIFS('📅 Resumen Diario'!$D$5:$D$504, '📅 Resumen Diario'!$B$5:$B$504, B2270, '📅 Resumen Diario'!$C$5:$C$504, D2270) * (SUMIFS('📋 Detalle Diario'!$E$5:$E$489, '📋 Detalle Diario'!$B$5:$B$489, B2270, '📋 Detalle Diario'!$C$5:$C$489, D2270) * 135 + SUMIFS('📋 Detalle Diario'!$I$5:$I$489, '📋 Detalle Diario'!$B$5:$B$489, B2270, '📋 Detalle Diario'!$C$5:$C$489, D2270) * 200), 0))</f>
        <v/>
      </c>
      <c r="P2270" s="32" t="str">
        <f t="shared" si="250"/>
        <v/>
      </c>
      <c r="Q2270" s="33" t="str">
        <f t="shared" si="251"/>
        <v/>
      </c>
    </row>
    <row r="2271" spans="2:17" ht="18" customHeight="1" x14ac:dyDescent="0.3">
      <c r="B2271" s="26"/>
      <c r="C2271" s="28"/>
      <c r="D2271" s="27"/>
      <c r="E2271" s="29"/>
      <c r="F2271" s="29"/>
      <c r="G2271" s="29"/>
      <c r="H2271" s="30" t="str">
        <f t="shared" si="245"/>
        <v/>
      </c>
      <c r="I2271" s="31" t="str">
        <f>IF(OR(B2271="",C2271=""),"",IFERROR(E2271*IF(E2271="",0,VLOOKUP(C2271,'📦 Precios Proforma'!$B$5:$D$104,IF(D2271="DIA",2,3),FALSE)),0))</f>
        <v/>
      </c>
      <c r="J2271" s="31" t="str">
        <f t="shared" si="246"/>
        <v/>
      </c>
      <c r="K2271" s="31" t="str">
        <f t="shared" si="247"/>
        <v/>
      </c>
      <c r="L2271" s="31" t="str">
        <f>IF(OR(B2271="",C2271=""),"",IFERROR(E2271 / SUMIFS('📅 Resumen Diario'!$D$5:$D$504, '📅 Resumen Diario'!$B$5:$B$504, B2271, '📅 Resumen Diario'!$C$5:$C$504, D2271) * SUMIFS('📅 Resumen Diario'!$K$5:$K$504, '📅 Resumen Diario'!$B$5:$B$504, B2271, '📅 Resumen Diario'!$C$5:$C$504, D2271), 0))</f>
        <v/>
      </c>
      <c r="M2271" s="31" t="str">
        <f t="shared" si="248"/>
        <v/>
      </c>
      <c r="N2271" s="31" t="str">
        <f t="shared" si="249"/>
        <v/>
      </c>
      <c r="O2271" s="31" t="str">
        <f>IF(OR(B2271="",C2271=""),"",K2271-N2271 + IFERROR(E2271 / SUMIFS('📅 Resumen Diario'!$D$5:$D$504, '📅 Resumen Diario'!$B$5:$B$504, B2271, '📅 Resumen Diario'!$C$5:$C$504, D2271) * (SUMIFS('📋 Detalle Diario'!$E$5:$E$489, '📋 Detalle Diario'!$B$5:$B$489, B2271, '📋 Detalle Diario'!$C$5:$C$489, D2271) * 135 + SUMIFS('📋 Detalle Diario'!$I$5:$I$489, '📋 Detalle Diario'!$B$5:$B$489, B2271, '📋 Detalle Diario'!$C$5:$C$489, D2271) * 200), 0))</f>
        <v/>
      </c>
      <c r="P2271" s="32" t="str">
        <f t="shared" si="250"/>
        <v/>
      </c>
      <c r="Q2271" s="33" t="str">
        <f t="shared" si="251"/>
        <v/>
      </c>
    </row>
    <row r="2272" spans="2:17" ht="18" customHeight="1" x14ac:dyDescent="0.3">
      <c r="B2272" s="26"/>
      <c r="C2272" s="17"/>
      <c r="D2272" s="27"/>
      <c r="E2272" s="18"/>
      <c r="F2272" s="18"/>
      <c r="G2272" s="18"/>
      <c r="H2272" s="30" t="str">
        <f t="shared" si="245"/>
        <v/>
      </c>
      <c r="I2272" s="31" t="str">
        <f>IF(OR(B2272="",C2272=""),"",IFERROR(E2272*IF(E2272="",0,VLOOKUP(C2272,'📦 Precios Proforma'!$B$5:$D$104,IF(D2272="DIA",2,3),FALSE)),0))</f>
        <v/>
      </c>
      <c r="J2272" s="31" t="str">
        <f t="shared" si="246"/>
        <v/>
      </c>
      <c r="K2272" s="31" t="str">
        <f t="shared" si="247"/>
        <v/>
      </c>
      <c r="L2272" s="31" t="str">
        <f>IF(OR(B2272="",C2272=""),"",IFERROR(E2272 / SUMIFS('📅 Resumen Diario'!$D$5:$D$504, '📅 Resumen Diario'!$B$5:$B$504, B2272, '📅 Resumen Diario'!$C$5:$C$504, D2272) * SUMIFS('📅 Resumen Diario'!$K$5:$K$504, '📅 Resumen Diario'!$B$5:$B$504, B2272, '📅 Resumen Diario'!$C$5:$C$504, D2272), 0))</f>
        <v/>
      </c>
      <c r="M2272" s="31" t="str">
        <f t="shared" si="248"/>
        <v/>
      </c>
      <c r="N2272" s="31" t="str">
        <f t="shared" si="249"/>
        <v/>
      </c>
      <c r="O2272" s="31" t="str">
        <f>IF(OR(B2272="",C2272=""),"",K2272-N2272 + IFERROR(E2272 / SUMIFS('📅 Resumen Diario'!$D$5:$D$504, '📅 Resumen Diario'!$B$5:$B$504, B2272, '📅 Resumen Diario'!$C$5:$C$504, D2272) * (SUMIFS('📋 Detalle Diario'!$E$5:$E$489, '📋 Detalle Diario'!$B$5:$B$489, B2272, '📋 Detalle Diario'!$C$5:$C$489, D2272) * 135 + SUMIFS('📋 Detalle Diario'!$I$5:$I$489, '📋 Detalle Diario'!$B$5:$B$489, B2272, '📋 Detalle Diario'!$C$5:$C$489, D2272) * 200), 0))</f>
        <v/>
      </c>
      <c r="P2272" s="32" t="str">
        <f t="shared" si="250"/>
        <v/>
      </c>
      <c r="Q2272" s="33" t="str">
        <f t="shared" si="251"/>
        <v/>
      </c>
    </row>
    <row r="2273" spans="2:17" ht="18" customHeight="1" x14ac:dyDescent="0.3">
      <c r="B2273" s="26"/>
      <c r="C2273" s="28"/>
      <c r="D2273" s="27"/>
      <c r="E2273" s="29"/>
      <c r="F2273" s="29"/>
      <c r="G2273" s="29"/>
      <c r="H2273" s="30" t="str">
        <f t="shared" si="245"/>
        <v/>
      </c>
      <c r="I2273" s="31" t="str">
        <f>IF(OR(B2273="",C2273=""),"",IFERROR(E2273*IF(E2273="",0,VLOOKUP(C2273,'📦 Precios Proforma'!$B$5:$D$104,IF(D2273="DIA",2,3),FALSE)),0))</f>
        <v/>
      </c>
      <c r="J2273" s="31" t="str">
        <f t="shared" si="246"/>
        <v/>
      </c>
      <c r="K2273" s="31" t="str">
        <f t="shared" si="247"/>
        <v/>
      </c>
      <c r="L2273" s="31" t="str">
        <f>IF(OR(B2273="",C2273=""),"",IFERROR(E2273 / SUMIFS('📅 Resumen Diario'!$D$5:$D$504, '📅 Resumen Diario'!$B$5:$B$504, B2273, '📅 Resumen Diario'!$C$5:$C$504, D2273) * SUMIFS('📅 Resumen Diario'!$K$5:$K$504, '📅 Resumen Diario'!$B$5:$B$504, B2273, '📅 Resumen Diario'!$C$5:$C$504, D2273), 0))</f>
        <v/>
      </c>
      <c r="M2273" s="31" t="str">
        <f t="shared" si="248"/>
        <v/>
      </c>
      <c r="N2273" s="31" t="str">
        <f t="shared" si="249"/>
        <v/>
      </c>
      <c r="O2273" s="31" t="str">
        <f>IF(OR(B2273="",C2273=""),"",K2273-N2273 + IFERROR(E2273 / SUMIFS('📅 Resumen Diario'!$D$5:$D$504, '📅 Resumen Diario'!$B$5:$B$504, B2273, '📅 Resumen Diario'!$C$5:$C$504, D2273) * (SUMIFS('📋 Detalle Diario'!$E$5:$E$489, '📋 Detalle Diario'!$B$5:$B$489, B2273, '📋 Detalle Diario'!$C$5:$C$489, D2273) * 135 + SUMIFS('📋 Detalle Diario'!$I$5:$I$489, '📋 Detalle Diario'!$B$5:$B$489, B2273, '📋 Detalle Diario'!$C$5:$C$489, D2273) * 200), 0))</f>
        <v/>
      </c>
      <c r="P2273" s="32" t="str">
        <f t="shared" si="250"/>
        <v/>
      </c>
      <c r="Q2273" s="33" t="str">
        <f t="shared" si="251"/>
        <v/>
      </c>
    </row>
    <row r="2274" spans="2:17" ht="18" customHeight="1" x14ac:dyDescent="0.3">
      <c r="B2274" s="26"/>
      <c r="C2274" s="17"/>
      <c r="D2274" s="27"/>
      <c r="E2274" s="18"/>
      <c r="F2274" s="18"/>
      <c r="G2274" s="18"/>
      <c r="H2274" s="30" t="str">
        <f t="shared" si="245"/>
        <v/>
      </c>
      <c r="I2274" s="31" t="str">
        <f>IF(OR(B2274="",C2274=""),"",IFERROR(E2274*IF(E2274="",0,VLOOKUP(C2274,'📦 Precios Proforma'!$B$5:$D$104,IF(D2274="DIA",2,3),FALSE)),0))</f>
        <v/>
      </c>
      <c r="J2274" s="31" t="str">
        <f t="shared" si="246"/>
        <v/>
      </c>
      <c r="K2274" s="31" t="str">
        <f t="shared" si="247"/>
        <v/>
      </c>
      <c r="L2274" s="31" t="str">
        <f>IF(OR(B2274="",C2274=""),"",IFERROR(E2274 / SUMIFS('📅 Resumen Diario'!$D$5:$D$504, '📅 Resumen Diario'!$B$5:$B$504, B2274, '📅 Resumen Diario'!$C$5:$C$504, D2274) * SUMIFS('📅 Resumen Diario'!$K$5:$K$504, '📅 Resumen Diario'!$B$5:$B$504, B2274, '📅 Resumen Diario'!$C$5:$C$504, D2274), 0))</f>
        <v/>
      </c>
      <c r="M2274" s="31" t="str">
        <f t="shared" si="248"/>
        <v/>
      </c>
      <c r="N2274" s="31" t="str">
        <f t="shared" si="249"/>
        <v/>
      </c>
      <c r="O2274" s="31" t="str">
        <f>IF(OR(B2274="",C2274=""),"",K2274-N2274 + IFERROR(E2274 / SUMIFS('📅 Resumen Diario'!$D$5:$D$504, '📅 Resumen Diario'!$B$5:$B$504, B2274, '📅 Resumen Diario'!$C$5:$C$504, D2274) * (SUMIFS('📋 Detalle Diario'!$E$5:$E$489, '📋 Detalle Diario'!$B$5:$B$489, B2274, '📋 Detalle Diario'!$C$5:$C$489, D2274) * 135 + SUMIFS('📋 Detalle Diario'!$I$5:$I$489, '📋 Detalle Diario'!$B$5:$B$489, B2274, '📋 Detalle Diario'!$C$5:$C$489, D2274) * 200), 0))</f>
        <v/>
      </c>
      <c r="P2274" s="32" t="str">
        <f t="shared" si="250"/>
        <v/>
      </c>
      <c r="Q2274" s="33" t="str">
        <f t="shared" si="251"/>
        <v/>
      </c>
    </row>
    <row r="2275" spans="2:17" ht="18" customHeight="1" x14ac:dyDescent="0.3">
      <c r="B2275" s="26"/>
      <c r="C2275" s="28"/>
      <c r="D2275" s="27"/>
      <c r="E2275" s="29"/>
      <c r="F2275" s="29"/>
      <c r="G2275" s="29"/>
      <c r="H2275" s="30" t="str">
        <f t="shared" si="245"/>
        <v/>
      </c>
      <c r="I2275" s="31" t="str">
        <f>IF(OR(B2275="",C2275=""),"",IFERROR(E2275*IF(E2275="",0,VLOOKUP(C2275,'📦 Precios Proforma'!$B$5:$D$104,IF(D2275="DIA",2,3),FALSE)),0))</f>
        <v/>
      </c>
      <c r="J2275" s="31" t="str">
        <f t="shared" si="246"/>
        <v/>
      </c>
      <c r="K2275" s="31" t="str">
        <f t="shared" si="247"/>
        <v/>
      </c>
      <c r="L2275" s="31" t="str">
        <f>IF(OR(B2275="",C2275=""),"",IFERROR(E2275 / SUMIFS('📅 Resumen Diario'!$D$5:$D$504, '📅 Resumen Diario'!$B$5:$B$504, B2275, '📅 Resumen Diario'!$C$5:$C$504, D2275) * SUMIFS('📅 Resumen Diario'!$K$5:$K$504, '📅 Resumen Diario'!$B$5:$B$504, B2275, '📅 Resumen Diario'!$C$5:$C$504, D2275), 0))</f>
        <v/>
      </c>
      <c r="M2275" s="31" t="str">
        <f t="shared" si="248"/>
        <v/>
      </c>
      <c r="N2275" s="31" t="str">
        <f t="shared" si="249"/>
        <v/>
      </c>
      <c r="O2275" s="31" t="str">
        <f>IF(OR(B2275="",C2275=""),"",K2275-N2275 + IFERROR(E2275 / SUMIFS('📅 Resumen Diario'!$D$5:$D$504, '📅 Resumen Diario'!$B$5:$B$504, B2275, '📅 Resumen Diario'!$C$5:$C$504, D2275) * (SUMIFS('📋 Detalle Diario'!$E$5:$E$489, '📋 Detalle Diario'!$B$5:$B$489, B2275, '📋 Detalle Diario'!$C$5:$C$489, D2275) * 135 + SUMIFS('📋 Detalle Diario'!$I$5:$I$489, '📋 Detalle Diario'!$B$5:$B$489, B2275, '📋 Detalle Diario'!$C$5:$C$489, D2275) * 200), 0))</f>
        <v/>
      </c>
      <c r="P2275" s="32" t="str">
        <f t="shared" si="250"/>
        <v/>
      </c>
      <c r="Q2275" s="33" t="str">
        <f t="shared" si="251"/>
        <v/>
      </c>
    </row>
    <row r="2276" spans="2:17" ht="18" customHeight="1" x14ac:dyDescent="0.3">
      <c r="B2276" s="26"/>
      <c r="C2276" s="17"/>
      <c r="D2276" s="27"/>
      <c r="E2276" s="18"/>
      <c r="F2276" s="18"/>
      <c r="G2276" s="18"/>
      <c r="H2276" s="30" t="str">
        <f t="shared" si="245"/>
        <v/>
      </c>
      <c r="I2276" s="31" t="str">
        <f>IF(OR(B2276="",C2276=""),"",IFERROR(E2276*IF(E2276="",0,VLOOKUP(C2276,'📦 Precios Proforma'!$B$5:$D$104,IF(D2276="DIA",2,3),FALSE)),0))</f>
        <v/>
      </c>
      <c r="J2276" s="31" t="str">
        <f t="shared" si="246"/>
        <v/>
      </c>
      <c r="K2276" s="31" t="str">
        <f t="shared" si="247"/>
        <v/>
      </c>
      <c r="L2276" s="31" t="str">
        <f>IF(OR(B2276="",C2276=""),"",IFERROR(E2276 / SUMIFS('📅 Resumen Diario'!$D$5:$D$504, '📅 Resumen Diario'!$B$5:$B$504, B2276, '📅 Resumen Diario'!$C$5:$C$504, D2276) * SUMIFS('📅 Resumen Diario'!$K$5:$K$504, '📅 Resumen Diario'!$B$5:$B$504, B2276, '📅 Resumen Diario'!$C$5:$C$504, D2276), 0))</f>
        <v/>
      </c>
      <c r="M2276" s="31" t="str">
        <f t="shared" si="248"/>
        <v/>
      </c>
      <c r="N2276" s="31" t="str">
        <f t="shared" si="249"/>
        <v/>
      </c>
      <c r="O2276" s="31" t="str">
        <f>IF(OR(B2276="",C2276=""),"",K2276-N2276 + IFERROR(E2276 / SUMIFS('📅 Resumen Diario'!$D$5:$D$504, '📅 Resumen Diario'!$B$5:$B$504, B2276, '📅 Resumen Diario'!$C$5:$C$504, D2276) * (SUMIFS('📋 Detalle Diario'!$E$5:$E$489, '📋 Detalle Diario'!$B$5:$B$489, B2276, '📋 Detalle Diario'!$C$5:$C$489, D2276) * 135 + SUMIFS('📋 Detalle Diario'!$I$5:$I$489, '📋 Detalle Diario'!$B$5:$B$489, B2276, '📋 Detalle Diario'!$C$5:$C$489, D2276) * 200), 0))</f>
        <v/>
      </c>
      <c r="P2276" s="32" t="str">
        <f t="shared" si="250"/>
        <v/>
      </c>
      <c r="Q2276" s="33" t="str">
        <f t="shared" si="251"/>
        <v/>
      </c>
    </row>
    <row r="2277" spans="2:17" ht="18" customHeight="1" x14ac:dyDescent="0.3">
      <c r="B2277" s="26"/>
      <c r="C2277" s="28"/>
      <c r="D2277" s="27"/>
      <c r="E2277" s="29"/>
      <c r="F2277" s="29"/>
      <c r="G2277" s="29"/>
      <c r="H2277" s="30" t="str">
        <f t="shared" si="245"/>
        <v/>
      </c>
      <c r="I2277" s="31" t="str">
        <f>IF(OR(B2277="",C2277=""),"",IFERROR(E2277*IF(E2277="",0,VLOOKUP(C2277,'📦 Precios Proforma'!$B$5:$D$104,IF(D2277="DIA",2,3),FALSE)),0))</f>
        <v/>
      </c>
      <c r="J2277" s="31" t="str">
        <f t="shared" si="246"/>
        <v/>
      </c>
      <c r="K2277" s="31" t="str">
        <f t="shared" si="247"/>
        <v/>
      </c>
      <c r="L2277" s="31" t="str">
        <f>IF(OR(B2277="",C2277=""),"",IFERROR(E2277 / SUMIFS('📅 Resumen Diario'!$D$5:$D$504, '📅 Resumen Diario'!$B$5:$B$504, B2277, '📅 Resumen Diario'!$C$5:$C$504, D2277) * SUMIFS('📅 Resumen Diario'!$K$5:$K$504, '📅 Resumen Diario'!$B$5:$B$504, B2277, '📅 Resumen Diario'!$C$5:$C$504, D2277), 0))</f>
        <v/>
      </c>
      <c r="M2277" s="31" t="str">
        <f t="shared" si="248"/>
        <v/>
      </c>
      <c r="N2277" s="31" t="str">
        <f t="shared" si="249"/>
        <v/>
      </c>
      <c r="O2277" s="31" t="str">
        <f>IF(OR(B2277="",C2277=""),"",K2277-N2277 + IFERROR(E2277 / SUMIFS('📅 Resumen Diario'!$D$5:$D$504, '📅 Resumen Diario'!$B$5:$B$504, B2277, '📅 Resumen Diario'!$C$5:$C$504, D2277) * (SUMIFS('📋 Detalle Diario'!$E$5:$E$489, '📋 Detalle Diario'!$B$5:$B$489, B2277, '📋 Detalle Diario'!$C$5:$C$489, D2277) * 135 + SUMIFS('📋 Detalle Diario'!$I$5:$I$489, '📋 Detalle Diario'!$B$5:$B$489, B2277, '📋 Detalle Diario'!$C$5:$C$489, D2277) * 200), 0))</f>
        <v/>
      </c>
      <c r="P2277" s="32" t="str">
        <f t="shared" si="250"/>
        <v/>
      </c>
      <c r="Q2277" s="33" t="str">
        <f t="shared" si="251"/>
        <v/>
      </c>
    </row>
    <row r="2278" spans="2:17" ht="18" customHeight="1" x14ac:dyDescent="0.3">
      <c r="B2278" s="26"/>
      <c r="C2278" s="17"/>
      <c r="D2278" s="27"/>
      <c r="E2278" s="18"/>
      <c r="F2278" s="18"/>
      <c r="G2278" s="18"/>
      <c r="H2278" s="30" t="str">
        <f t="shared" si="245"/>
        <v/>
      </c>
      <c r="I2278" s="31" t="str">
        <f>IF(OR(B2278="",C2278=""),"",IFERROR(E2278*IF(E2278="",0,VLOOKUP(C2278,'📦 Precios Proforma'!$B$5:$D$104,IF(D2278="DIA",2,3),FALSE)),0))</f>
        <v/>
      </c>
      <c r="J2278" s="31" t="str">
        <f t="shared" si="246"/>
        <v/>
      </c>
      <c r="K2278" s="31" t="str">
        <f t="shared" si="247"/>
        <v/>
      </c>
      <c r="L2278" s="31" t="str">
        <f>IF(OR(B2278="",C2278=""),"",IFERROR(E2278 / SUMIFS('📅 Resumen Diario'!$D$5:$D$504, '📅 Resumen Diario'!$B$5:$B$504, B2278, '📅 Resumen Diario'!$C$5:$C$504, D2278) * SUMIFS('📅 Resumen Diario'!$K$5:$K$504, '📅 Resumen Diario'!$B$5:$B$504, B2278, '📅 Resumen Diario'!$C$5:$C$504, D2278), 0))</f>
        <v/>
      </c>
      <c r="M2278" s="31" t="str">
        <f t="shared" si="248"/>
        <v/>
      </c>
      <c r="N2278" s="31" t="str">
        <f t="shared" si="249"/>
        <v/>
      </c>
      <c r="O2278" s="31" t="str">
        <f>IF(OR(B2278="",C2278=""),"",K2278-N2278 + IFERROR(E2278 / SUMIFS('📅 Resumen Diario'!$D$5:$D$504, '📅 Resumen Diario'!$B$5:$B$504, B2278, '📅 Resumen Diario'!$C$5:$C$504, D2278) * (SUMIFS('📋 Detalle Diario'!$E$5:$E$489, '📋 Detalle Diario'!$B$5:$B$489, B2278, '📋 Detalle Diario'!$C$5:$C$489, D2278) * 135 + SUMIFS('📋 Detalle Diario'!$I$5:$I$489, '📋 Detalle Diario'!$B$5:$B$489, B2278, '📋 Detalle Diario'!$C$5:$C$489, D2278) * 200), 0))</f>
        <v/>
      </c>
      <c r="P2278" s="32" t="str">
        <f t="shared" si="250"/>
        <v/>
      </c>
      <c r="Q2278" s="33" t="str">
        <f t="shared" si="251"/>
        <v/>
      </c>
    </row>
    <row r="2279" spans="2:17" ht="18" customHeight="1" x14ac:dyDescent="0.3">
      <c r="B2279" s="26"/>
      <c r="C2279" s="28"/>
      <c r="D2279" s="27"/>
      <c r="E2279" s="29"/>
      <c r="F2279" s="29"/>
      <c r="G2279" s="29"/>
      <c r="H2279" s="30" t="str">
        <f t="shared" si="245"/>
        <v/>
      </c>
      <c r="I2279" s="31" t="str">
        <f>IF(OR(B2279="",C2279=""),"",IFERROR(E2279*IF(E2279="",0,VLOOKUP(C2279,'📦 Precios Proforma'!$B$5:$D$104,IF(D2279="DIA",2,3),FALSE)),0))</f>
        <v/>
      </c>
      <c r="J2279" s="31" t="str">
        <f t="shared" si="246"/>
        <v/>
      </c>
      <c r="K2279" s="31" t="str">
        <f t="shared" si="247"/>
        <v/>
      </c>
      <c r="L2279" s="31" t="str">
        <f>IF(OR(B2279="",C2279=""),"",IFERROR(E2279 / SUMIFS('📅 Resumen Diario'!$D$5:$D$504, '📅 Resumen Diario'!$B$5:$B$504, B2279, '📅 Resumen Diario'!$C$5:$C$504, D2279) * SUMIFS('📅 Resumen Diario'!$K$5:$K$504, '📅 Resumen Diario'!$B$5:$B$504, B2279, '📅 Resumen Diario'!$C$5:$C$504, D2279), 0))</f>
        <v/>
      </c>
      <c r="M2279" s="31" t="str">
        <f t="shared" si="248"/>
        <v/>
      </c>
      <c r="N2279" s="31" t="str">
        <f t="shared" si="249"/>
        <v/>
      </c>
      <c r="O2279" s="31" t="str">
        <f>IF(OR(B2279="",C2279=""),"",K2279-N2279 + IFERROR(E2279 / SUMIFS('📅 Resumen Diario'!$D$5:$D$504, '📅 Resumen Diario'!$B$5:$B$504, B2279, '📅 Resumen Diario'!$C$5:$C$504, D2279) * (SUMIFS('📋 Detalle Diario'!$E$5:$E$489, '📋 Detalle Diario'!$B$5:$B$489, B2279, '📋 Detalle Diario'!$C$5:$C$489, D2279) * 135 + SUMIFS('📋 Detalle Diario'!$I$5:$I$489, '📋 Detalle Diario'!$B$5:$B$489, B2279, '📋 Detalle Diario'!$C$5:$C$489, D2279) * 200), 0))</f>
        <v/>
      </c>
      <c r="P2279" s="32" t="str">
        <f t="shared" si="250"/>
        <v/>
      </c>
      <c r="Q2279" s="33" t="str">
        <f t="shared" si="251"/>
        <v/>
      </c>
    </row>
    <row r="2280" spans="2:17" ht="18" customHeight="1" x14ac:dyDescent="0.3">
      <c r="B2280" s="26"/>
      <c r="C2280" s="17"/>
      <c r="D2280" s="27"/>
      <c r="E2280" s="18"/>
      <c r="F2280" s="18"/>
      <c r="G2280" s="18"/>
      <c r="H2280" s="30" t="str">
        <f t="shared" si="245"/>
        <v/>
      </c>
      <c r="I2280" s="31" t="str">
        <f>IF(OR(B2280="",C2280=""),"",IFERROR(E2280*IF(E2280="",0,VLOOKUP(C2280,'📦 Precios Proforma'!$B$5:$D$104,IF(D2280="DIA",2,3),FALSE)),0))</f>
        <v/>
      </c>
      <c r="J2280" s="31" t="str">
        <f t="shared" si="246"/>
        <v/>
      </c>
      <c r="K2280" s="31" t="str">
        <f t="shared" si="247"/>
        <v/>
      </c>
      <c r="L2280" s="31" t="str">
        <f>IF(OR(B2280="",C2280=""),"",IFERROR(E2280 / SUMIFS('📅 Resumen Diario'!$D$5:$D$504, '📅 Resumen Diario'!$B$5:$B$504, B2280, '📅 Resumen Diario'!$C$5:$C$504, D2280) * SUMIFS('📅 Resumen Diario'!$K$5:$K$504, '📅 Resumen Diario'!$B$5:$B$504, B2280, '📅 Resumen Diario'!$C$5:$C$504, D2280), 0))</f>
        <v/>
      </c>
      <c r="M2280" s="31" t="str">
        <f t="shared" si="248"/>
        <v/>
      </c>
      <c r="N2280" s="31" t="str">
        <f t="shared" si="249"/>
        <v/>
      </c>
      <c r="O2280" s="31" t="str">
        <f>IF(OR(B2280="",C2280=""),"",K2280-N2280 + IFERROR(E2280 / SUMIFS('📅 Resumen Diario'!$D$5:$D$504, '📅 Resumen Diario'!$B$5:$B$504, B2280, '📅 Resumen Diario'!$C$5:$C$504, D2280) * (SUMIFS('📋 Detalle Diario'!$E$5:$E$489, '📋 Detalle Diario'!$B$5:$B$489, B2280, '📋 Detalle Diario'!$C$5:$C$489, D2280) * 135 + SUMIFS('📋 Detalle Diario'!$I$5:$I$489, '📋 Detalle Diario'!$B$5:$B$489, B2280, '📋 Detalle Diario'!$C$5:$C$489, D2280) * 200), 0))</f>
        <v/>
      </c>
      <c r="P2280" s="32" t="str">
        <f t="shared" si="250"/>
        <v/>
      </c>
      <c r="Q2280" s="33" t="str">
        <f t="shared" si="251"/>
        <v/>
      </c>
    </row>
    <row r="2281" spans="2:17" ht="18" customHeight="1" x14ac:dyDescent="0.3">
      <c r="B2281" s="26"/>
      <c r="C2281" s="28"/>
      <c r="D2281" s="27"/>
      <c r="E2281" s="29"/>
      <c r="F2281" s="29"/>
      <c r="G2281" s="29"/>
      <c r="H2281" s="30" t="str">
        <f t="shared" si="245"/>
        <v/>
      </c>
      <c r="I2281" s="31" t="str">
        <f>IF(OR(B2281="",C2281=""),"",IFERROR(E2281*IF(E2281="",0,VLOOKUP(C2281,'📦 Precios Proforma'!$B$5:$D$104,IF(D2281="DIA",2,3),FALSE)),0))</f>
        <v/>
      </c>
      <c r="J2281" s="31" t="str">
        <f t="shared" si="246"/>
        <v/>
      </c>
      <c r="K2281" s="31" t="str">
        <f t="shared" si="247"/>
        <v/>
      </c>
      <c r="L2281" s="31" t="str">
        <f>IF(OR(B2281="",C2281=""),"",IFERROR(E2281 / SUMIFS('📅 Resumen Diario'!$D$5:$D$504, '📅 Resumen Diario'!$B$5:$B$504, B2281, '📅 Resumen Diario'!$C$5:$C$504, D2281) * SUMIFS('📅 Resumen Diario'!$K$5:$K$504, '📅 Resumen Diario'!$B$5:$B$504, B2281, '📅 Resumen Diario'!$C$5:$C$504, D2281), 0))</f>
        <v/>
      </c>
      <c r="M2281" s="31" t="str">
        <f t="shared" si="248"/>
        <v/>
      </c>
      <c r="N2281" s="31" t="str">
        <f t="shared" si="249"/>
        <v/>
      </c>
      <c r="O2281" s="31" t="str">
        <f>IF(OR(B2281="",C2281=""),"",K2281-N2281 + IFERROR(E2281 / SUMIFS('📅 Resumen Diario'!$D$5:$D$504, '📅 Resumen Diario'!$B$5:$B$504, B2281, '📅 Resumen Diario'!$C$5:$C$504, D2281) * (SUMIFS('📋 Detalle Diario'!$E$5:$E$489, '📋 Detalle Diario'!$B$5:$B$489, B2281, '📋 Detalle Diario'!$C$5:$C$489, D2281) * 135 + SUMIFS('📋 Detalle Diario'!$I$5:$I$489, '📋 Detalle Diario'!$B$5:$B$489, B2281, '📋 Detalle Diario'!$C$5:$C$489, D2281) * 200), 0))</f>
        <v/>
      </c>
      <c r="P2281" s="32" t="str">
        <f t="shared" si="250"/>
        <v/>
      </c>
      <c r="Q2281" s="33" t="str">
        <f t="shared" si="251"/>
        <v/>
      </c>
    </row>
    <row r="2282" spans="2:17" ht="18" customHeight="1" x14ac:dyDescent="0.3">
      <c r="B2282" s="26"/>
      <c r="C2282" s="17"/>
      <c r="D2282" s="27"/>
      <c r="E2282" s="18"/>
      <c r="F2282" s="18"/>
      <c r="G2282" s="18"/>
      <c r="H2282" s="30" t="str">
        <f t="shared" si="245"/>
        <v/>
      </c>
      <c r="I2282" s="31" t="str">
        <f>IF(OR(B2282="",C2282=""),"",IFERROR(E2282*IF(E2282="",0,VLOOKUP(C2282,'📦 Precios Proforma'!$B$5:$D$104,IF(D2282="DIA",2,3),FALSE)),0))</f>
        <v/>
      </c>
      <c r="J2282" s="31" t="str">
        <f t="shared" si="246"/>
        <v/>
      </c>
      <c r="K2282" s="31" t="str">
        <f t="shared" si="247"/>
        <v/>
      </c>
      <c r="L2282" s="31" t="str">
        <f>IF(OR(B2282="",C2282=""),"",IFERROR(E2282 / SUMIFS('📅 Resumen Diario'!$D$5:$D$504, '📅 Resumen Diario'!$B$5:$B$504, B2282, '📅 Resumen Diario'!$C$5:$C$504, D2282) * SUMIFS('📅 Resumen Diario'!$K$5:$K$504, '📅 Resumen Diario'!$B$5:$B$504, B2282, '📅 Resumen Diario'!$C$5:$C$504, D2282), 0))</f>
        <v/>
      </c>
      <c r="M2282" s="31" t="str">
        <f t="shared" si="248"/>
        <v/>
      </c>
      <c r="N2282" s="31" t="str">
        <f t="shared" si="249"/>
        <v/>
      </c>
      <c r="O2282" s="31" t="str">
        <f>IF(OR(B2282="",C2282=""),"",K2282-N2282 + IFERROR(E2282 / SUMIFS('📅 Resumen Diario'!$D$5:$D$504, '📅 Resumen Diario'!$B$5:$B$504, B2282, '📅 Resumen Diario'!$C$5:$C$504, D2282) * (SUMIFS('📋 Detalle Diario'!$E$5:$E$489, '📋 Detalle Diario'!$B$5:$B$489, B2282, '📋 Detalle Diario'!$C$5:$C$489, D2282) * 135 + SUMIFS('📋 Detalle Diario'!$I$5:$I$489, '📋 Detalle Diario'!$B$5:$B$489, B2282, '📋 Detalle Diario'!$C$5:$C$489, D2282) * 200), 0))</f>
        <v/>
      </c>
      <c r="P2282" s="32" t="str">
        <f t="shared" si="250"/>
        <v/>
      </c>
      <c r="Q2282" s="33" t="str">
        <f t="shared" si="251"/>
        <v/>
      </c>
    </row>
    <row r="2283" spans="2:17" ht="18" customHeight="1" x14ac:dyDescent="0.3">
      <c r="B2283" s="26"/>
      <c r="C2283" s="28"/>
      <c r="D2283" s="27"/>
      <c r="E2283" s="29"/>
      <c r="F2283" s="29"/>
      <c r="G2283" s="29"/>
      <c r="H2283" s="30" t="str">
        <f t="shared" si="245"/>
        <v/>
      </c>
      <c r="I2283" s="31" t="str">
        <f>IF(OR(B2283="",C2283=""),"",IFERROR(E2283*IF(E2283="",0,VLOOKUP(C2283,'📦 Precios Proforma'!$B$5:$D$104,IF(D2283="DIA",2,3),FALSE)),0))</f>
        <v/>
      </c>
      <c r="J2283" s="31" t="str">
        <f t="shared" si="246"/>
        <v/>
      </c>
      <c r="K2283" s="31" t="str">
        <f t="shared" si="247"/>
        <v/>
      </c>
      <c r="L2283" s="31" t="str">
        <f>IF(OR(B2283="",C2283=""),"",IFERROR(E2283 / SUMIFS('📅 Resumen Diario'!$D$5:$D$504, '📅 Resumen Diario'!$B$5:$B$504, B2283, '📅 Resumen Diario'!$C$5:$C$504, D2283) * SUMIFS('📅 Resumen Diario'!$K$5:$K$504, '📅 Resumen Diario'!$B$5:$B$504, B2283, '📅 Resumen Diario'!$C$5:$C$504, D2283), 0))</f>
        <v/>
      </c>
      <c r="M2283" s="31" t="str">
        <f t="shared" si="248"/>
        <v/>
      </c>
      <c r="N2283" s="31" t="str">
        <f t="shared" si="249"/>
        <v/>
      </c>
      <c r="O2283" s="31" t="str">
        <f>IF(OR(B2283="",C2283=""),"",K2283-N2283 + IFERROR(E2283 / SUMIFS('📅 Resumen Diario'!$D$5:$D$504, '📅 Resumen Diario'!$B$5:$B$504, B2283, '📅 Resumen Diario'!$C$5:$C$504, D2283) * (SUMIFS('📋 Detalle Diario'!$E$5:$E$489, '📋 Detalle Diario'!$B$5:$B$489, B2283, '📋 Detalle Diario'!$C$5:$C$489, D2283) * 135 + SUMIFS('📋 Detalle Diario'!$I$5:$I$489, '📋 Detalle Diario'!$B$5:$B$489, B2283, '📋 Detalle Diario'!$C$5:$C$489, D2283) * 200), 0))</f>
        <v/>
      </c>
      <c r="P2283" s="32" t="str">
        <f t="shared" si="250"/>
        <v/>
      </c>
      <c r="Q2283" s="33" t="str">
        <f t="shared" si="251"/>
        <v/>
      </c>
    </row>
    <row r="2284" spans="2:17" ht="18" customHeight="1" x14ac:dyDescent="0.3">
      <c r="B2284" s="26"/>
      <c r="C2284" s="17"/>
      <c r="D2284" s="27"/>
      <c r="E2284" s="18"/>
      <c r="F2284" s="18"/>
      <c r="G2284" s="18"/>
      <c r="H2284" s="30" t="str">
        <f t="shared" si="245"/>
        <v/>
      </c>
      <c r="I2284" s="31" t="str">
        <f>IF(OR(B2284="",C2284=""),"",IFERROR(E2284*IF(E2284="",0,VLOOKUP(C2284,'📦 Precios Proforma'!$B$5:$D$104,IF(D2284="DIA",2,3),FALSE)),0))</f>
        <v/>
      </c>
      <c r="J2284" s="31" t="str">
        <f t="shared" si="246"/>
        <v/>
      </c>
      <c r="K2284" s="31" t="str">
        <f t="shared" si="247"/>
        <v/>
      </c>
      <c r="L2284" s="31" t="str">
        <f>IF(OR(B2284="",C2284=""),"",IFERROR(E2284 / SUMIFS('📅 Resumen Diario'!$D$5:$D$504, '📅 Resumen Diario'!$B$5:$B$504, B2284, '📅 Resumen Diario'!$C$5:$C$504, D2284) * SUMIFS('📅 Resumen Diario'!$K$5:$K$504, '📅 Resumen Diario'!$B$5:$B$504, B2284, '📅 Resumen Diario'!$C$5:$C$504, D2284), 0))</f>
        <v/>
      </c>
      <c r="M2284" s="31" t="str">
        <f t="shared" si="248"/>
        <v/>
      </c>
      <c r="N2284" s="31" t="str">
        <f t="shared" si="249"/>
        <v/>
      </c>
      <c r="O2284" s="31" t="str">
        <f>IF(OR(B2284="",C2284=""),"",K2284-N2284 + IFERROR(E2284 / SUMIFS('📅 Resumen Diario'!$D$5:$D$504, '📅 Resumen Diario'!$B$5:$B$504, B2284, '📅 Resumen Diario'!$C$5:$C$504, D2284) * (SUMIFS('📋 Detalle Diario'!$E$5:$E$489, '📋 Detalle Diario'!$B$5:$B$489, B2284, '📋 Detalle Diario'!$C$5:$C$489, D2284) * 135 + SUMIFS('📋 Detalle Diario'!$I$5:$I$489, '📋 Detalle Diario'!$B$5:$B$489, B2284, '📋 Detalle Diario'!$C$5:$C$489, D2284) * 200), 0))</f>
        <v/>
      </c>
      <c r="P2284" s="32" t="str">
        <f t="shared" si="250"/>
        <v/>
      </c>
      <c r="Q2284" s="33" t="str">
        <f t="shared" si="251"/>
        <v/>
      </c>
    </row>
    <row r="2285" spans="2:17" ht="18" customHeight="1" x14ac:dyDescent="0.3">
      <c r="B2285" s="26"/>
      <c r="C2285" s="28"/>
      <c r="D2285" s="27"/>
      <c r="E2285" s="29"/>
      <c r="F2285" s="29"/>
      <c r="G2285" s="29"/>
      <c r="H2285" s="30" t="str">
        <f t="shared" si="245"/>
        <v/>
      </c>
      <c r="I2285" s="31" t="str">
        <f>IF(OR(B2285="",C2285=""),"",IFERROR(E2285*IF(E2285="",0,VLOOKUP(C2285,'📦 Precios Proforma'!$B$5:$D$104,IF(D2285="DIA",2,3),FALSE)),0))</f>
        <v/>
      </c>
      <c r="J2285" s="31" t="str">
        <f t="shared" si="246"/>
        <v/>
      </c>
      <c r="K2285" s="31" t="str">
        <f t="shared" si="247"/>
        <v/>
      </c>
      <c r="L2285" s="31" t="str">
        <f>IF(OR(B2285="",C2285=""),"",IFERROR(E2285 / SUMIFS('📅 Resumen Diario'!$D$5:$D$504, '📅 Resumen Diario'!$B$5:$B$504, B2285, '📅 Resumen Diario'!$C$5:$C$504, D2285) * SUMIFS('📅 Resumen Diario'!$K$5:$K$504, '📅 Resumen Diario'!$B$5:$B$504, B2285, '📅 Resumen Diario'!$C$5:$C$504, D2285), 0))</f>
        <v/>
      </c>
      <c r="M2285" s="31" t="str">
        <f t="shared" si="248"/>
        <v/>
      </c>
      <c r="N2285" s="31" t="str">
        <f t="shared" si="249"/>
        <v/>
      </c>
      <c r="O2285" s="31" t="str">
        <f>IF(OR(B2285="",C2285=""),"",K2285-N2285 + IFERROR(E2285 / SUMIFS('📅 Resumen Diario'!$D$5:$D$504, '📅 Resumen Diario'!$B$5:$B$504, B2285, '📅 Resumen Diario'!$C$5:$C$504, D2285) * (SUMIFS('📋 Detalle Diario'!$E$5:$E$489, '📋 Detalle Diario'!$B$5:$B$489, B2285, '📋 Detalle Diario'!$C$5:$C$489, D2285) * 135 + SUMIFS('📋 Detalle Diario'!$I$5:$I$489, '📋 Detalle Diario'!$B$5:$B$489, B2285, '📋 Detalle Diario'!$C$5:$C$489, D2285) * 200), 0))</f>
        <v/>
      </c>
      <c r="P2285" s="32" t="str">
        <f t="shared" si="250"/>
        <v/>
      </c>
      <c r="Q2285" s="33" t="str">
        <f t="shared" si="251"/>
        <v/>
      </c>
    </row>
    <row r="2286" spans="2:17" ht="18" customHeight="1" x14ac:dyDescent="0.3">
      <c r="B2286" s="26"/>
      <c r="C2286" s="17"/>
      <c r="D2286" s="27"/>
      <c r="E2286" s="18"/>
      <c r="F2286" s="18"/>
      <c r="G2286" s="18"/>
      <c r="H2286" s="30" t="str">
        <f t="shared" si="245"/>
        <v/>
      </c>
      <c r="I2286" s="31" t="str">
        <f>IF(OR(B2286="",C2286=""),"",IFERROR(E2286*IF(E2286="",0,VLOOKUP(C2286,'📦 Precios Proforma'!$B$5:$D$104,IF(D2286="DIA",2,3),FALSE)),0))</f>
        <v/>
      </c>
      <c r="J2286" s="31" t="str">
        <f t="shared" si="246"/>
        <v/>
      </c>
      <c r="K2286" s="31" t="str">
        <f t="shared" si="247"/>
        <v/>
      </c>
      <c r="L2286" s="31" t="str">
        <f>IF(OR(B2286="",C2286=""),"",IFERROR(E2286 / SUMIFS('📅 Resumen Diario'!$D$5:$D$504, '📅 Resumen Diario'!$B$5:$B$504, B2286, '📅 Resumen Diario'!$C$5:$C$504, D2286) * SUMIFS('📅 Resumen Diario'!$K$5:$K$504, '📅 Resumen Diario'!$B$5:$B$504, B2286, '📅 Resumen Diario'!$C$5:$C$504, D2286), 0))</f>
        <v/>
      </c>
      <c r="M2286" s="31" t="str">
        <f t="shared" si="248"/>
        <v/>
      </c>
      <c r="N2286" s="31" t="str">
        <f t="shared" si="249"/>
        <v/>
      </c>
      <c r="O2286" s="31" t="str">
        <f>IF(OR(B2286="",C2286=""),"",K2286-N2286 + IFERROR(E2286 / SUMIFS('📅 Resumen Diario'!$D$5:$D$504, '📅 Resumen Diario'!$B$5:$B$504, B2286, '📅 Resumen Diario'!$C$5:$C$504, D2286) * (SUMIFS('📋 Detalle Diario'!$E$5:$E$489, '📋 Detalle Diario'!$B$5:$B$489, B2286, '📋 Detalle Diario'!$C$5:$C$489, D2286) * 135 + SUMIFS('📋 Detalle Diario'!$I$5:$I$489, '📋 Detalle Diario'!$B$5:$B$489, B2286, '📋 Detalle Diario'!$C$5:$C$489, D2286) * 200), 0))</f>
        <v/>
      </c>
      <c r="P2286" s="32" t="str">
        <f t="shared" si="250"/>
        <v/>
      </c>
      <c r="Q2286" s="33" t="str">
        <f t="shared" si="251"/>
        <v/>
      </c>
    </row>
    <row r="2287" spans="2:17" ht="18" customHeight="1" x14ac:dyDescent="0.3">
      <c r="B2287" s="26"/>
      <c r="C2287" s="28"/>
      <c r="D2287" s="27"/>
      <c r="E2287" s="29"/>
      <c r="F2287" s="29"/>
      <c r="G2287" s="29"/>
      <c r="H2287" s="30" t="str">
        <f t="shared" si="245"/>
        <v/>
      </c>
      <c r="I2287" s="31" t="str">
        <f>IF(OR(B2287="",C2287=""),"",IFERROR(E2287*IF(E2287="",0,VLOOKUP(C2287,'📦 Precios Proforma'!$B$5:$D$104,IF(D2287="DIA",2,3),FALSE)),0))</f>
        <v/>
      </c>
      <c r="J2287" s="31" t="str">
        <f t="shared" si="246"/>
        <v/>
      </c>
      <c r="K2287" s="31" t="str">
        <f t="shared" si="247"/>
        <v/>
      </c>
      <c r="L2287" s="31" t="str">
        <f>IF(OR(B2287="",C2287=""),"",IFERROR(E2287 / SUMIFS('📅 Resumen Diario'!$D$5:$D$504, '📅 Resumen Diario'!$B$5:$B$504, B2287, '📅 Resumen Diario'!$C$5:$C$504, D2287) * SUMIFS('📅 Resumen Diario'!$K$5:$K$504, '📅 Resumen Diario'!$B$5:$B$504, B2287, '📅 Resumen Diario'!$C$5:$C$504, D2287), 0))</f>
        <v/>
      </c>
      <c r="M2287" s="31" t="str">
        <f t="shared" si="248"/>
        <v/>
      </c>
      <c r="N2287" s="31" t="str">
        <f t="shared" si="249"/>
        <v/>
      </c>
      <c r="O2287" s="31" t="str">
        <f>IF(OR(B2287="",C2287=""),"",K2287-N2287 + IFERROR(E2287 / SUMIFS('📅 Resumen Diario'!$D$5:$D$504, '📅 Resumen Diario'!$B$5:$B$504, B2287, '📅 Resumen Diario'!$C$5:$C$504, D2287) * (SUMIFS('📋 Detalle Diario'!$E$5:$E$489, '📋 Detalle Diario'!$B$5:$B$489, B2287, '📋 Detalle Diario'!$C$5:$C$489, D2287) * 135 + SUMIFS('📋 Detalle Diario'!$I$5:$I$489, '📋 Detalle Diario'!$B$5:$B$489, B2287, '📋 Detalle Diario'!$C$5:$C$489, D2287) * 200), 0))</f>
        <v/>
      </c>
      <c r="P2287" s="32" t="str">
        <f t="shared" si="250"/>
        <v/>
      </c>
      <c r="Q2287" s="33" t="str">
        <f t="shared" si="251"/>
        <v/>
      </c>
    </row>
    <row r="2288" spans="2:17" ht="18" customHeight="1" x14ac:dyDescent="0.3">
      <c r="B2288" s="26"/>
      <c r="C2288" s="17"/>
      <c r="D2288" s="27"/>
      <c r="E2288" s="18"/>
      <c r="F2288" s="18"/>
      <c r="G2288" s="18"/>
      <c r="H2288" s="30" t="str">
        <f t="shared" si="245"/>
        <v/>
      </c>
      <c r="I2288" s="31" t="str">
        <f>IF(OR(B2288="",C2288=""),"",IFERROR(E2288*IF(E2288="",0,VLOOKUP(C2288,'📦 Precios Proforma'!$B$5:$D$104,IF(D2288="DIA",2,3),FALSE)),0))</f>
        <v/>
      </c>
      <c r="J2288" s="31" t="str">
        <f t="shared" si="246"/>
        <v/>
      </c>
      <c r="K2288" s="31" t="str">
        <f t="shared" si="247"/>
        <v/>
      </c>
      <c r="L2288" s="31" t="str">
        <f>IF(OR(B2288="",C2288=""),"",IFERROR(E2288 / SUMIFS('📅 Resumen Diario'!$D$5:$D$504, '📅 Resumen Diario'!$B$5:$B$504, B2288, '📅 Resumen Diario'!$C$5:$C$504, D2288) * SUMIFS('📅 Resumen Diario'!$K$5:$K$504, '📅 Resumen Diario'!$B$5:$B$504, B2288, '📅 Resumen Diario'!$C$5:$C$504, D2288), 0))</f>
        <v/>
      </c>
      <c r="M2288" s="31" t="str">
        <f t="shared" si="248"/>
        <v/>
      </c>
      <c r="N2288" s="31" t="str">
        <f t="shared" si="249"/>
        <v/>
      </c>
      <c r="O2288" s="31" t="str">
        <f>IF(OR(B2288="",C2288=""),"",K2288-N2288 + IFERROR(E2288 / SUMIFS('📅 Resumen Diario'!$D$5:$D$504, '📅 Resumen Diario'!$B$5:$B$504, B2288, '📅 Resumen Diario'!$C$5:$C$504, D2288) * (SUMIFS('📋 Detalle Diario'!$E$5:$E$489, '📋 Detalle Diario'!$B$5:$B$489, B2288, '📋 Detalle Diario'!$C$5:$C$489, D2288) * 135 + SUMIFS('📋 Detalle Diario'!$I$5:$I$489, '📋 Detalle Diario'!$B$5:$B$489, B2288, '📋 Detalle Diario'!$C$5:$C$489, D2288) * 200), 0))</f>
        <v/>
      </c>
      <c r="P2288" s="32" t="str">
        <f t="shared" si="250"/>
        <v/>
      </c>
      <c r="Q2288" s="33" t="str">
        <f t="shared" si="251"/>
        <v/>
      </c>
    </row>
    <row r="2289" spans="2:17" ht="18" customHeight="1" x14ac:dyDescent="0.3">
      <c r="B2289" s="26"/>
      <c r="C2289" s="28"/>
      <c r="D2289" s="27"/>
      <c r="E2289" s="29"/>
      <c r="F2289" s="29"/>
      <c r="G2289" s="29"/>
      <c r="H2289" s="30" t="str">
        <f t="shared" si="245"/>
        <v/>
      </c>
      <c r="I2289" s="31" t="str">
        <f>IF(OR(B2289="",C2289=""),"",IFERROR(E2289*IF(E2289="",0,VLOOKUP(C2289,'📦 Precios Proforma'!$B$5:$D$104,IF(D2289="DIA",2,3),FALSE)),0))</f>
        <v/>
      </c>
      <c r="J2289" s="31" t="str">
        <f t="shared" si="246"/>
        <v/>
      </c>
      <c r="K2289" s="31" t="str">
        <f t="shared" si="247"/>
        <v/>
      </c>
      <c r="L2289" s="31" t="str">
        <f>IF(OR(B2289="",C2289=""),"",IFERROR(E2289 / SUMIFS('📅 Resumen Diario'!$D$5:$D$504, '📅 Resumen Diario'!$B$5:$B$504, B2289, '📅 Resumen Diario'!$C$5:$C$504, D2289) * SUMIFS('📅 Resumen Diario'!$K$5:$K$504, '📅 Resumen Diario'!$B$5:$B$504, B2289, '📅 Resumen Diario'!$C$5:$C$504, D2289), 0))</f>
        <v/>
      </c>
      <c r="M2289" s="31" t="str">
        <f t="shared" si="248"/>
        <v/>
      </c>
      <c r="N2289" s="31" t="str">
        <f t="shared" si="249"/>
        <v/>
      </c>
      <c r="O2289" s="31" t="str">
        <f>IF(OR(B2289="",C2289=""),"",K2289-N2289 + IFERROR(E2289 / SUMIFS('📅 Resumen Diario'!$D$5:$D$504, '📅 Resumen Diario'!$B$5:$B$504, B2289, '📅 Resumen Diario'!$C$5:$C$504, D2289) * (SUMIFS('📋 Detalle Diario'!$E$5:$E$489, '📋 Detalle Diario'!$B$5:$B$489, B2289, '📋 Detalle Diario'!$C$5:$C$489, D2289) * 135 + SUMIFS('📋 Detalle Diario'!$I$5:$I$489, '📋 Detalle Diario'!$B$5:$B$489, B2289, '📋 Detalle Diario'!$C$5:$C$489, D2289) * 200), 0))</f>
        <v/>
      </c>
      <c r="P2289" s="32" t="str">
        <f t="shared" si="250"/>
        <v/>
      </c>
      <c r="Q2289" s="33" t="str">
        <f t="shared" si="251"/>
        <v/>
      </c>
    </row>
    <row r="2290" spans="2:17" ht="18" customHeight="1" x14ac:dyDescent="0.3">
      <c r="B2290" s="26"/>
      <c r="C2290" s="17"/>
      <c r="D2290" s="27"/>
      <c r="E2290" s="18"/>
      <c r="F2290" s="18"/>
      <c r="G2290" s="18"/>
      <c r="H2290" s="30" t="str">
        <f t="shared" si="245"/>
        <v/>
      </c>
      <c r="I2290" s="31" t="str">
        <f>IF(OR(B2290="",C2290=""),"",IFERROR(E2290*IF(E2290="",0,VLOOKUP(C2290,'📦 Precios Proforma'!$B$5:$D$104,IF(D2290="DIA",2,3),FALSE)),0))</f>
        <v/>
      </c>
      <c r="J2290" s="31" t="str">
        <f t="shared" si="246"/>
        <v/>
      </c>
      <c r="K2290" s="31" t="str">
        <f t="shared" si="247"/>
        <v/>
      </c>
      <c r="L2290" s="31" t="str">
        <f>IF(OR(B2290="",C2290=""),"",IFERROR(E2290 / SUMIFS('📅 Resumen Diario'!$D$5:$D$504, '📅 Resumen Diario'!$B$5:$B$504, B2290, '📅 Resumen Diario'!$C$5:$C$504, D2290) * SUMIFS('📅 Resumen Diario'!$K$5:$K$504, '📅 Resumen Diario'!$B$5:$B$504, B2290, '📅 Resumen Diario'!$C$5:$C$504, D2290), 0))</f>
        <v/>
      </c>
      <c r="M2290" s="31" t="str">
        <f t="shared" si="248"/>
        <v/>
      </c>
      <c r="N2290" s="31" t="str">
        <f t="shared" si="249"/>
        <v/>
      </c>
      <c r="O2290" s="31" t="str">
        <f>IF(OR(B2290="",C2290=""),"",K2290-N2290 + IFERROR(E2290 / SUMIFS('📅 Resumen Diario'!$D$5:$D$504, '📅 Resumen Diario'!$B$5:$B$504, B2290, '📅 Resumen Diario'!$C$5:$C$504, D2290) * (SUMIFS('📋 Detalle Diario'!$E$5:$E$489, '📋 Detalle Diario'!$B$5:$B$489, B2290, '📋 Detalle Diario'!$C$5:$C$489, D2290) * 135 + SUMIFS('📋 Detalle Diario'!$I$5:$I$489, '📋 Detalle Diario'!$B$5:$B$489, B2290, '📋 Detalle Diario'!$C$5:$C$489, D2290) * 200), 0))</f>
        <v/>
      </c>
      <c r="P2290" s="32" t="str">
        <f t="shared" si="250"/>
        <v/>
      </c>
      <c r="Q2290" s="33" t="str">
        <f t="shared" si="251"/>
        <v/>
      </c>
    </row>
    <row r="2291" spans="2:17" ht="18" customHeight="1" x14ac:dyDescent="0.3">
      <c r="B2291" s="26"/>
      <c r="C2291" s="28"/>
      <c r="D2291" s="27"/>
      <c r="E2291" s="29"/>
      <c r="F2291" s="29"/>
      <c r="G2291" s="29"/>
      <c r="H2291" s="30" t="str">
        <f t="shared" si="245"/>
        <v/>
      </c>
      <c r="I2291" s="31" t="str">
        <f>IF(OR(B2291="",C2291=""),"",IFERROR(E2291*IF(E2291="",0,VLOOKUP(C2291,'📦 Precios Proforma'!$B$5:$D$104,IF(D2291="DIA",2,3),FALSE)),0))</f>
        <v/>
      </c>
      <c r="J2291" s="31" t="str">
        <f t="shared" si="246"/>
        <v/>
      </c>
      <c r="K2291" s="31" t="str">
        <f t="shared" si="247"/>
        <v/>
      </c>
      <c r="L2291" s="31" t="str">
        <f>IF(OR(B2291="",C2291=""),"",IFERROR(E2291 / SUMIFS('📅 Resumen Diario'!$D$5:$D$504, '📅 Resumen Diario'!$B$5:$B$504, B2291, '📅 Resumen Diario'!$C$5:$C$504, D2291) * SUMIFS('📅 Resumen Diario'!$K$5:$K$504, '📅 Resumen Diario'!$B$5:$B$504, B2291, '📅 Resumen Diario'!$C$5:$C$504, D2291), 0))</f>
        <v/>
      </c>
      <c r="M2291" s="31" t="str">
        <f t="shared" si="248"/>
        <v/>
      </c>
      <c r="N2291" s="31" t="str">
        <f t="shared" si="249"/>
        <v/>
      </c>
      <c r="O2291" s="31" t="str">
        <f>IF(OR(B2291="",C2291=""),"",K2291-N2291 + IFERROR(E2291 / SUMIFS('📅 Resumen Diario'!$D$5:$D$504, '📅 Resumen Diario'!$B$5:$B$504, B2291, '📅 Resumen Diario'!$C$5:$C$504, D2291) * (SUMIFS('📋 Detalle Diario'!$E$5:$E$489, '📋 Detalle Diario'!$B$5:$B$489, B2291, '📋 Detalle Diario'!$C$5:$C$489, D2291) * 135 + SUMIFS('📋 Detalle Diario'!$I$5:$I$489, '📋 Detalle Diario'!$B$5:$B$489, B2291, '📋 Detalle Diario'!$C$5:$C$489, D2291) * 200), 0))</f>
        <v/>
      </c>
      <c r="P2291" s="32" t="str">
        <f t="shared" si="250"/>
        <v/>
      </c>
      <c r="Q2291" s="33" t="str">
        <f t="shared" si="251"/>
        <v/>
      </c>
    </row>
    <row r="2292" spans="2:17" ht="18" customHeight="1" x14ac:dyDescent="0.3">
      <c r="B2292" s="26"/>
      <c r="C2292" s="17"/>
      <c r="D2292" s="27"/>
      <c r="E2292" s="18"/>
      <c r="F2292" s="18"/>
      <c r="G2292" s="18"/>
      <c r="H2292" s="30" t="str">
        <f t="shared" si="245"/>
        <v/>
      </c>
      <c r="I2292" s="31" t="str">
        <f>IF(OR(B2292="",C2292=""),"",IFERROR(E2292*IF(E2292="",0,VLOOKUP(C2292,'📦 Precios Proforma'!$B$5:$D$104,IF(D2292="DIA",2,3),FALSE)),0))</f>
        <v/>
      </c>
      <c r="J2292" s="31" t="str">
        <f t="shared" si="246"/>
        <v/>
      </c>
      <c r="K2292" s="31" t="str">
        <f t="shared" si="247"/>
        <v/>
      </c>
      <c r="L2292" s="31" t="str">
        <f>IF(OR(B2292="",C2292=""),"",IFERROR(E2292 / SUMIFS('📅 Resumen Diario'!$D$5:$D$504, '📅 Resumen Diario'!$B$5:$B$504, B2292, '📅 Resumen Diario'!$C$5:$C$504, D2292) * SUMIFS('📅 Resumen Diario'!$K$5:$K$504, '📅 Resumen Diario'!$B$5:$B$504, B2292, '📅 Resumen Diario'!$C$5:$C$504, D2292), 0))</f>
        <v/>
      </c>
      <c r="M2292" s="31" t="str">
        <f t="shared" si="248"/>
        <v/>
      </c>
      <c r="N2292" s="31" t="str">
        <f t="shared" si="249"/>
        <v/>
      </c>
      <c r="O2292" s="31" t="str">
        <f>IF(OR(B2292="",C2292=""),"",K2292-N2292 + IFERROR(E2292 / SUMIFS('📅 Resumen Diario'!$D$5:$D$504, '📅 Resumen Diario'!$B$5:$B$504, B2292, '📅 Resumen Diario'!$C$5:$C$504, D2292) * (SUMIFS('📋 Detalle Diario'!$E$5:$E$489, '📋 Detalle Diario'!$B$5:$B$489, B2292, '📋 Detalle Diario'!$C$5:$C$489, D2292) * 135 + SUMIFS('📋 Detalle Diario'!$I$5:$I$489, '📋 Detalle Diario'!$B$5:$B$489, B2292, '📋 Detalle Diario'!$C$5:$C$489, D2292) * 200), 0))</f>
        <v/>
      </c>
      <c r="P2292" s="32" t="str">
        <f t="shared" si="250"/>
        <v/>
      </c>
      <c r="Q2292" s="33" t="str">
        <f t="shared" si="251"/>
        <v/>
      </c>
    </row>
    <row r="2293" spans="2:17" ht="18" customHeight="1" x14ac:dyDescent="0.3">
      <c r="B2293" s="26"/>
      <c r="C2293" s="28"/>
      <c r="D2293" s="27"/>
      <c r="E2293" s="29"/>
      <c r="F2293" s="29"/>
      <c r="G2293" s="29"/>
      <c r="H2293" s="30" t="str">
        <f t="shared" si="245"/>
        <v/>
      </c>
      <c r="I2293" s="31" t="str">
        <f>IF(OR(B2293="",C2293=""),"",IFERROR(E2293*IF(E2293="",0,VLOOKUP(C2293,'📦 Precios Proforma'!$B$5:$D$104,IF(D2293="DIA",2,3),FALSE)),0))</f>
        <v/>
      </c>
      <c r="J2293" s="31" t="str">
        <f t="shared" si="246"/>
        <v/>
      </c>
      <c r="K2293" s="31" t="str">
        <f t="shared" si="247"/>
        <v/>
      </c>
      <c r="L2293" s="31" t="str">
        <f>IF(OR(B2293="",C2293=""),"",IFERROR(E2293 / SUMIFS('📅 Resumen Diario'!$D$5:$D$504, '📅 Resumen Diario'!$B$5:$B$504, B2293, '📅 Resumen Diario'!$C$5:$C$504, D2293) * SUMIFS('📅 Resumen Diario'!$K$5:$K$504, '📅 Resumen Diario'!$B$5:$B$504, B2293, '📅 Resumen Diario'!$C$5:$C$504, D2293), 0))</f>
        <v/>
      </c>
      <c r="M2293" s="31" t="str">
        <f t="shared" si="248"/>
        <v/>
      </c>
      <c r="N2293" s="31" t="str">
        <f t="shared" si="249"/>
        <v/>
      </c>
      <c r="O2293" s="31" t="str">
        <f>IF(OR(B2293="",C2293=""),"",K2293-N2293 + IFERROR(E2293 / SUMIFS('📅 Resumen Diario'!$D$5:$D$504, '📅 Resumen Diario'!$B$5:$B$504, B2293, '📅 Resumen Diario'!$C$5:$C$504, D2293) * (SUMIFS('📋 Detalle Diario'!$E$5:$E$489, '📋 Detalle Diario'!$B$5:$B$489, B2293, '📋 Detalle Diario'!$C$5:$C$489, D2293) * 135 + SUMIFS('📋 Detalle Diario'!$I$5:$I$489, '📋 Detalle Diario'!$B$5:$B$489, B2293, '📋 Detalle Diario'!$C$5:$C$489, D2293) * 200), 0))</f>
        <v/>
      </c>
      <c r="P2293" s="32" t="str">
        <f t="shared" si="250"/>
        <v/>
      </c>
      <c r="Q2293" s="33" t="str">
        <f t="shared" si="251"/>
        <v/>
      </c>
    </row>
    <row r="2294" spans="2:17" ht="18" customHeight="1" x14ac:dyDescent="0.3">
      <c r="B2294" s="26"/>
      <c r="C2294" s="17"/>
      <c r="D2294" s="27"/>
      <c r="E2294" s="18"/>
      <c r="F2294" s="18"/>
      <c r="G2294" s="18"/>
      <c r="H2294" s="30" t="str">
        <f t="shared" si="245"/>
        <v/>
      </c>
      <c r="I2294" s="31" t="str">
        <f>IF(OR(B2294="",C2294=""),"",IFERROR(E2294*IF(E2294="",0,VLOOKUP(C2294,'📦 Precios Proforma'!$B$5:$D$104,IF(D2294="DIA",2,3),FALSE)),0))</f>
        <v/>
      </c>
      <c r="J2294" s="31" t="str">
        <f t="shared" si="246"/>
        <v/>
      </c>
      <c r="K2294" s="31" t="str">
        <f t="shared" si="247"/>
        <v/>
      </c>
      <c r="L2294" s="31" t="str">
        <f>IF(OR(B2294="",C2294=""),"",IFERROR(E2294 / SUMIFS('📅 Resumen Diario'!$D$5:$D$504, '📅 Resumen Diario'!$B$5:$B$504, B2294, '📅 Resumen Diario'!$C$5:$C$504, D2294) * SUMIFS('📅 Resumen Diario'!$K$5:$K$504, '📅 Resumen Diario'!$B$5:$B$504, B2294, '📅 Resumen Diario'!$C$5:$C$504, D2294), 0))</f>
        <v/>
      </c>
      <c r="M2294" s="31" t="str">
        <f t="shared" si="248"/>
        <v/>
      </c>
      <c r="N2294" s="31" t="str">
        <f t="shared" si="249"/>
        <v/>
      </c>
      <c r="O2294" s="31" t="str">
        <f>IF(OR(B2294="",C2294=""),"",K2294-N2294 + IFERROR(E2294 / SUMIFS('📅 Resumen Diario'!$D$5:$D$504, '📅 Resumen Diario'!$B$5:$B$504, B2294, '📅 Resumen Diario'!$C$5:$C$504, D2294) * (SUMIFS('📋 Detalle Diario'!$E$5:$E$489, '📋 Detalle Diario'!$B$5:$B$489, B2294, '📋 Detalle Diario'!$C$5:$C$489, D2294) * 135 + SUMIFS('📋 Detalle Diario'!$I$5:$I$489, '📋 Detalle Diario'!$B$5:$B$489, B2294, '📋 Detalle Diario'!$C$5:$C$489, D2294) * 200), 0))</f>
        <v/>
      </c>
      <c r="P2294" s="32" t="str">
        <f t="shared" si="250"/>
        <v/>
      </c>
      <c r="Q2294" s="33" t="str">
        <f t="shared" si="251"/>
        <v/>
      </c>
    </row>
    <row r="2295" spans="2:17" ht="18" customHeight="1" x14ac:dyDescent="0.3">
      <c r="B2295" s="26"/>
      <c r="C2295" s="28"/>
      <c r="D2295" s="27"/>
      <c r="E2295" s="29"/>
      <c r="F2295" s="29"/>
      <c r="G2295" s="29"/>
      <c r="H2295" s="30" t="str">
        <f t="shared" si="245"/>
        <v/>
      </c>
      <c r="I2295" s="31" t="str">
        <f>IF(OR(B2295="",C2295=""),"",IFERROR(E2295*IF(E2295="",0,VLOOKUP(C2295,'📦 Precios Proforma'!$B$5:$D$104,IF(D2295="DIA",2,3),FALSE)),0))</f>
        <v/>
      </c>
      <c r="J2295" s="31" t="str">
        <f t="shared" si="246"/>
        <v/>
      </c>
      <c r="K2295" s="31" t="str">
        <f t="shared" si="247"/>
        <v/>
      </c>
      <c r="L2295" s="31" t="str">
        <f>IF(OR(B2295="",C2295=""),"",IFERROR(E2295 / SUMIFS('📅 Resumen Diario'!$D$5:$D$504, '📅 Resumen Diario'!$B$5:$B$504, B2295, '📅 Resumen Diario'!$C$5:$C$504, D2295) * SUMIFS('📅 Resumen Diario'!$K$5:$K$504, '📅 Resumen Diario'!$B$5:$B$504, B2295, '📅 Resumen Diario'!$C$5:$C$504, D2295), 0))</f>
        <v/>
      </c>
      <c r="M2295" s="31" t="str">
        <f t="shared" si="248"/>
        <v/>
      </c>
      <c r="N2295" s="31" t="str">
        <f t="shared" si="249"/>
        <v/>
      </c>
      <c r="O2295" s="31" t="str">
        <f>IF(OR(B2295="",C2295=""),"",K2295-N2295 + IFERROR(E2295 / SUMIFS('📅 Resumen Diario'!$D$5:$D$504, '📅 Resumen Diario'!$B$5:$B$504, B2295, '📅 Resumen Diario'!$C$5:$C$504, D2295) * (SUMIFS('📋 Detalle Diario'!$E$5:$E$489, '📋 Detalle Diario'!$B$5:$B$489, B2295, '📋 Detalle Diario'!$C$5:$C$489, D2295) * 135 + SUMIFS('📋 Detalle Diario'!$I$5:$I$489, '📋 Detalle Diario'!$B$5:$B$489, B2295, '📋 Detalle Diario'!$C$5:$C$489, D2295) * 200), 0))</f>
        <v/>
      </c>
      <c r="P2295" s="32" t="str">
        <f t="shared" si="250"/>
        <v/>
      </c>
      <c r="Q2295" s="33" t="str">
        <f t="shared" si="251"/>
        <v/>
      </c>
    </row>
    <row r="2296" spans="2:17" ht="18" customHeight="1" x14ac:dyDescent="0.3">
      <c r="B2296" s="26"/>
      <c r="C2296" s="17"/>
      <c r="D2296" s="27"/>
      <c r="E2296" s="18"/>
      <c r="F2296" s="18"/>
      <c r="G2296" s="18"/>
      <c r="H2296" s="30" t="str">
        <f t="shared" si="245"/>
        <v/>
      </c>
      <c r="I2296" s="31" t="str">
        <f>IF(OR(B2296="",C2296=""),"",IFERROR(E2296*IF(E2296="",0,VLOOKUP(C2296,'📦 Precios Proforma'!$B$5:$D$104,IF(D2296="DIA",2,3),FALSE)),0))</f>
        <v/>
      </c>
      <c r="J2296" s="31" t="str">
        <f t="shared" si="246"/>
        <v/>
      </c>
      <c r="K2296" s="31" t="str">
        <f t="shared" si="247"/>
        <v/>
      </c>
      <c r="L2296" s="31" t="str">
        <f>IF(OR(B2296="",C2296=""),"",IFERROR(E2296 / SUMIFS('📅 Resumen Diario'!$D$5:$D$504, '📅 Resumen Diario'!$B$5:$B$504, B2296, '📅 Resumen Diario'!$C$5:$C$504, D2296) * SUMIFS('📅 Resumen Diario'!$K$5:$K$504, '📅 Resumen Diario'!$B$5:$B$504, B2296, '📅 Resumen Diario'!$C$5:$C$504, D2296), 0))</f>
        <v/>
      </c>
      <c r="M2296" s="31" t="str">
        <f t="shared" si="248"/>
        <v/>
      </c>
      <c r="N2296" s="31" t="str">
        <f t="shared" si="249"/>
        <v/>
      </c>
      <c r="O2296" s="31" t="str">
        <f>IF(OR(B2296="",C2296=""),"",K2296-N2296 + IFERROR(E2296 / SUMIFS('📅 Resumen Diario'!$D$5:$D$504, '📅 Resumen Diario'!$B$5:$B$504, B2296, '📅 Resumen Diario'!$C$5:$C$504, D2296) * (SUMIFS('📋 Detalle Diario'!$E$5:$E$489, '📋 Detalle Diario'!$B$5:$B$489, B2296, '📋 Detalle Diario'!$C$5:$C$489, D2296) * 135 + SUMIFS('📋 Detalle Diario'!$I$5:$I$489, '📋 Detalle Diario'!$B$5:$B$489, B2296, '📋 Detalle Diario'!$C$5:$C$489, D2296) * 200), 0))</f>
        <v/>
      </c>
      <c r="P2296" s="32" t="str">
        <f t="shared" si="250"/>
        <v/>
      </c>
      <c r="Q2296" s="33" t="str">
        <f t="shared" si="251"/>
        <v/>
      </c>
    </row>
    <row r="2297" spans="2:17" ht="18" customHeight="1" x14ac:dyDescent="0.3">
      <c r="B2297" s="26"/>
      <c r="C2297" s="28"/>
      <c r="D2297" s="27"/>
      <c r="E2297" s="29"/>
      <c r="F2297" s="29"/>
      <c r="G2297" s="29"/>
      <c r="H2297" s="30" t="str">
        <f t="shared" si="245"/>
        <v/>
      </c>
      <c r="I2297" s="31" t="str">
        <f>IF(OR(B2297="",C2297=""),"",IFERROR(E2297*IF(E2297="",0,VLOOKUP(C2297,'📦 Precios Proforma'!$B$5:$D$104,IF(D2297="DIA",2,3),FALSE)),0))</f>
        <v/>
      </c>
      <c r="J2297" s="31" t="str">
        <f t="shared" si="246"/>
        <v/>
      </c>
      <c r="K2297" s="31" t="str">
        <f t="shared" si="247"/>
        <v/>
      </c>
      <c r="L2297" s="31" t="str">
        <f>IF(OR(B2297="",C2297=""),"",IFERROR(E2297 / SUMIFS('📅 Resumen Diario'!$D$5:$D$504, '📅 Resumen Diario'!$B$5:$B$504, B2297, '📅 Resumen Diario'!$C$5:$C$504, D2297) * SUMIFS('📅 Resumen Diario'!$K$5:$K$504, '📅 Resumen Diario'!$B$5:$B$504, B2297, '📅 Resumen Diario'!$C$5:$C$504, D2297), 0))</f>
        <v/>
      </c>
      <c r="M2297" s="31" t="str">
        <f t="shared" si="248"/>
        <v/>
      </c>
      <c r="N2297" s="31" t="str">
        <f t="shared" si="249"/>
        <v/>
      </c>
      <c r="O2297" s="31" t="str">
        <f>IF(OR(B2297="",C2297=""),"",K2297-N2297 + IFERROR(E2297 / SUMIFS('📅 Resumen Diario'!$D$5:$D$504, '📅 Resumen Diario'!$B$5:$B$504, B2297, '📅 Resumen Diario'!$C$5:$C$504, D2297) * (SUMIFS('📋 Detalle Diario'!$E$5:$E$489, '📋 Detalle Diario'!$B$5:$B$489, B2297, '📋 Detalle Diario'!$C$5:$C$489, D2297) * 135 + SUMIFS('📋 Detalle Diario'!$I$5:$I$489, '📋 Detalle Diario'!$B$5:$B$489, B2297, '📋 Detalle Diario'!$C$5:$C$489, D2297) * 200), 0))</f>
        <v/>
      </c>
      <c r="P2297" s="32" t="str">
        <f t="shared" si="250"/>
        <v/>
      </c>
      <c r="Q2297" s="33" t="str">
        <f t="shared" si="251"/>
        <v/>
      </c>
    </row>
    <row r="2298" spans="2:17" ht="18" customHeight="1" x14ac:dyDescent="0.3">
      <c r="B2298" s="26"/>
      <c r="C2298" s="17"/>
      <c r="D2298" s="27"/>
      <c r="E2298" s="18"/>
      <c r="F2298" s="18"/>
      <c r="G2298" s="18"/>
      <c r="H2298" s="30" t="str">
        <f t="shared" si="245"/>
        <v/>
      </c>
      <c r="I2298" s="31" t="str">
        <f>IF(OR(B2298="",C2298=""),"",IFERROR(E2298*IF(E2298="",0,VLOOKUP(C2298,'📦 Precios Proforma'!$B$5:$D$104,IF(D2298="DIA",2,3),FALSE)),0))</f>
        <v/>
      </c>
      <c r="J2298" s="31" t="str">
        <f t="shared" si="246"/>
        <v/>
      </c>
      <c r="K2298" s="31" t="str">
        <f t="shared" si="247"/>
        <v/>
      </c>
      <c r="L2298" s="31" t="str">
        <f>IF(OR(B2298="",C2298=""),"",IFERROR(E2298 / SUMIFS('📅 Resumen Diario'!$D$5:$D$504, '📅 Resumen Diario'!$B$5:$B$504, B2298, '📅 Resumen Diario'!$C$5:$C$504, D2298) * SUMIFS('📅 Resumen Diario'!$K$5:$K$504, '📅 Resumen Diario'!$B$5:$B$504, B2298, '📅 Resumen Diario'!$C$5:$C$504, D2298), 0))</f>
        <v/>
      </c>
      <c r="M2298" s="31" t="str">
        <f t="shared" si="248"/>
        <v/>
      </c>
      <c r="N2298" s="31" t="str">
        <f t="shared" si="249"/>
        <v/>
      </c>
      <c r="O2298" s="31" t="str">
        <f>IF(OR(B2298="",C2298=""),"",K2298-N2298 + IFERROR(E2298 / SUMIFS('📅 Resumen Diario'!$D$5:$D$504, '📅 Resumen Diario'!$B$5:$B$504, B2298, '📅 Resumen Diario'!$C$5:$C$504, D2298) * (SUMIFS('📋 Detalle Diario'!$E$5:$E$489, '📋 Detalle Diario'!$B$5:$B$489, B2298, '📋 Detalle Diario'!$C$5:$C$489, D2298) * 135 + SUMIFS('📋 Detalle Diario'!$I$5:$I$489, '📋 Detalle Diario'!$B$5:$B$489, B2298, '📋 Detalle Diario'!$C$5:$C$489, D2298) * 200), 0))</f>
        <v/>
      </c>
      <c r="P2298" s="32" t="str">
        <f t="shared" si="250"/>
        <v/>
      </c>
      <c r="Q2298" s="33" t="str">
        <f t="shared" si="251"/>
        <v/>
      </c>
    </row>
    <row r="2299" spans="2:17" ht="18" customHeight="1" x14ac:dyDescent="0.3">
      <c r="B2299" s="26"/>
      <c r="C2299" s="28"/>
      <c r="D2299" s="27"/>
      <c r="E2299" s="29"/>
      <c r="F2299" s="29"/>
      <c r="G2299" s="29"/>
      <c r="H2299" s="30" t="str">
        <f t="shared" si="245"/>
        <v/>
      </c>
      <c r="I2299" s="31" t="str">
        <f>IF(OR(B2299="",C2299=""),"",IFERROR(E2299*IF(E2299="",0,VLOOKUP(C2299,'📦 Precios Proforma'!$B$5:$D$104,IF(D2299="DIA",2,3),FALSE)),0))</f>
        <v/>
      </c>
      <c r="J2299" s="31" t="str">
        <f t="shared" si="246"/>
        <v/>
      </c>
      <c r="K2299" s="31" t="str">
        <f t="shared" si="247"/>
        <v/>
      </c>
      <c r="L2299" s="31" t="str">
        <f>IF(OR(B2299="",C2299=""),"",IFERROR(E2299 / SUMIFS('📅 Resumen Diario'!$D$5:$D$504, '📅 Resumen Diario'!$B$5:$B$504, B2299, '📅 Resumen Diario'!$C$5:$C$504, D2299) * SUMIFS('📅 Resumen Diario'!$K$5:$K$504, '📅 Resumen Diario'!$B$5:$B$504, B2299, '📅 Resumen Diario'!$C$5:$C$504, D2299), 0))</f>
        <v/>
      </c>
      <c r="M2299" s="31" t="str">
        <f t="shared" si="248"/>
        <v/>
      </c>
      <c r="N2299" s="31" t="str">
        <f t="shared" si="249"/>
        <v/>
      </c>
      <c r="O2299" s="31" t="str">
        <f>IF(OR(B2299="",C2299=""),"",K2299-N2299 + IFERROR(E2299 / SUMIFS('📅 Resumen Diario'!$D$5:$D$504, '📅 Resumen Diario'!$B$5:$B$504, B2299, '📅 Resumen Diario'!$C$5:$C$504, D2299) * (SUMIFS('📋 Detalle Diario'!$E$5:$E$489, '📋 Detalle Diario'!$B$5:$B$489, B2299, '📋 Detalle Diario'!$C$5:$C$489, D2299) * 135 + SUMIFS('📋 Detalle Diario'!$I$5:$I$489, '📋 Detalle Diario'!$B$5:$B$489, B2299, '📋 Detalle Diario'!$C$5:$C$489, D2299) * 200), 0))</f>
        <v/>
      </c>
      <c r="P2299" s="32" t="str">
        <f t="shared" si="250"/>
        <v/>
      </c>
      <c r="Q2299" s="33" t="str">
        <f t="shared" si="251"/>
        <v/>
      </c>
    </row>
    <row r="2300" spans="2:17" ht="18" customHeight="1" x14ac:dyDescent="0.3">
      <c r="B2300" s="26"/>
      <c r="C2300" s="17"/>
      <c r="D2300" s="27"/>
      <c r="E2300" s="18"/>
      <c r="F2300" s="18"/>
      <c r="G2300" s="18"/>
      <c r="H2300" s="30" t="str">
        <f t="shared" si="245"/>
        <v/>
      </c>
      <c r="I2300" s="31" t="str">
        <f>IF(OR(B2300="",C2300=""),"",IFERROR(E2300*IF(E2300="",0,VLOOKUP(C2300,'📦 Precios Proforma'!$B$5:$D$104,IF(D2300="DIA",2,3),FALSE)),0))</f>
        <v/>
      </c>
      <c r="J2300" s="31" t="str">
        <f t="shared" si="246"/>
        <v/>
      </c>
      <c r="K2300" s="31" t="str">
        <f t="shared" si="247"/>
        <v/>
      </c>
      <c r="L2300" s="31" t="str">
        <f>IF(OR(B2300="",C2300=""),"",IFERROR(E2300 / SUMIFS('📅 Resumen Diario'!$D$5:$D$504, '📅 Resumen Diario'!$B$5:$B$504, B2300, '📅 Resumen Diario'!$C$5:$C$504, D2300) * SUMIFS('📅 Resumen Diario'!$K$5:$K$504, '📅 Resumen Diario'!$B$5:$B$504, B2300, '📅 Resumen Diario'!$C$5:$C$504, D2300), 0))</f>
        <v/>
      </c>
      <c r="M2300" s="31" t="str">
        <f t="shared" si="248"/>
        <v/>
      </c>
      <c r="N2300" s="31" t="str">
        <f t="shared" si="249"/>
        <v/>
      </c>
      <c r="O2300" s="31" t="str">
        <f>IF(OR(B2300="",C2300=""),"",K2300-N2300 + IFERROR(E2300 / SUMIFS('📅 Resumen Diario'!$D$5:$D$504, '📅 Resumen Diario'!$B$5:$B$504, B2300, '📅 Resumen Diario'!$C$5:$C$504, D2300) * (SUMIFS('📋 Detalle Diario'!$E$5:$E$489, '📋 Detalle Diario'!$B$5:$B$489, B2300, '📋 Detalle Diario'!$C$5:$C$489, D2300) * 135 + SUMIFS('📋 Detalle Diario'!$I$5:$I$489, '📋 Detalle Diario'!$B$5:$B$489, B2300, '📋 Detalle Diario'!$C$5:$C$489, D2300) * 200), 0))</f>
        <v/>
      </c>
      <c r="P2300" s="32" t="str">
        <f t="shared" si="250"/>
        <v/>
      </c>
      <c r="Q2300" s="33" t="str">
        <f t="shared" si="251"/>
        <v/>
      </c>
    </row>
    <row r="2301" spans="2:17" ht="18" customHeight="1" x14ac:dyDescent="0.3">
      <c r="B2301" s="26"/>
      <c r="C2301" s="28"/>
      <c r="D2301" s="27"/>
      <c r="E2301" s="29"/>
      <c r="F2301" s="29"/>
      <c r="G2301" s="29"/>
      <c r="H2301" s="30" t="str">
        <f t="shared" si="245"/>
        <v/>
      </c>
      <c r="I2301" s="31" t="str">
        <f>IF(OR(B2301="",C2301=""),"",IFERROR(E2301*IF(E2301="",0,VLOOKUP(C2301,'📦 Precios Proforma'!$B$5:$D$104,IF(D2301="DIA",2,3),FALSE)),0))</f>
        <v/>
      </c>
      <c r="J2301" s="31" t="str">
        <f t="shared" si="246"/>
        <v/>
      </c>
      <c r="K2301" s="31" t="str">
        <f t="shared" si="247"/>
        <v/>
      </c>
      <c r="L2301" s="31" t="str">
        <f>IF(OR(B2301="",C2301=""),"",IFERROR(E2301 / SUMIFS('📅 Resumen Diario'!$D$5:$D$504, '📅 Resumen Diario'!$B$5:$B$504, B2301, '📅 Resumen Diario'!$C$5:$C$504, D2301) * SUMIFS('📅 Resumen Diario'!$K$5:$K$504, '📅 Resumen Diario'!$B$5:$B$504, B2301, '📅 Resumen Diario'!$C$5:$C$504, D2301), 0))</f>
        <v/>
      </c>
      <c r="M2301" s="31" t="str">
        <f t="shared" si="248"/>
        <v/>
      </c>
      <c r="N2301" s="31" t="str">
        <f t="shared" si="249"/>
        <v/>
      </c>
      <c r="O2301" s="31" t="str">
        <f>IF(OR(B2301="",C2301=""),"",K2301-N2301 + IFERROR(E2301 / SUMIFS('📅 Resumen Diario'!$D$5:$D$504, '📅 Resumen Diario'!$B$5:$B$504, B2301, '📅 Resumen Diario'!$C$5:$C$504, D2301) * (SUMIFS('📋 Detalle Diario'!$E$5:$E$489, '📋 Detalle Diario'!$B$5:$B$489, B2301, '📋 Detalle Diario'!$C$5:$C$489, D2301) * 135 + SUMIFS('📋 Detalle Diario'!$I$5:$I$489, '📋 Detalle Diario'!$B$5:$B$489, B2301, '📋 Detalle Diario'!$C$5:$C$489, D2301) * 200), 0))</f>
        <v/>
      </c>
      <c r="P2301" s="32" t="str">
        <f t="shared" si="250"/>
        <v/>
      </c>
      <c r="Q2301" s="33" t="str">
        <f t="shared" si="251"/>
        <v/>
      </c>
    </row>
    <row r="2302" spans="2:17" ht="18" customHeight="1" x14ac:dyDescent="0.3">
      <c r="B2302" s="26"/>
      <c r="C2302" s="17"/>
      <c r="D2302" s="27"/>
      <c r="E2302" s="18"/>
      <c r="F2302" s="18"/>
      <c r="G2302" s="18"/>
      <c r="H2302" s="30" t="str">
        <f t="shared" si="245"/>
        <v/>
      </c>
      <c r="I2302" s="31" t="str">
        <f>IF(OR(B2302="",C2302=""),"",IFERROR(E2302*IF(E2302="",0,VLOOKUP(C2302,'📦 Precios Proforma'!$B$5:$D$104,IF(D2302="DIA",2,3),FALSE)),0))</f>
        <v/>
      </c>
      <c r="J2302" s="31" t="str">
        <f t="shared" si="246"/>
        <v/>
      </c>
      <c r="K2302" s="31" t="str">
        <f t="shared" si="247"/>
        <v/>
      </c>
      <c r="L2302" s="31" t="str">
        <f>IF(OR(B2302="",C2302=""),"",IFERROR(E2302 / SUMIFS('📅 Resumen Diario'!$D$5:$D$504, '📅 Resumen Diario'!$B$5:$B$504, B2302, '📅 Resumen Diario'!$C$5:$C$504, D2302) * SUMIFS('📅 Resumen Diario'!$K$5:$K$504, '📅 Resumen Diario'!$B$5:$B$504, B2302, '📅 Resumen Diario'!$C$5:$C$504, D2302), 0))</f>
        <v/>
      </c>
      <c r="M2302" s="31" t="str">
        <f t="shared" si="248"/>
        <v/>
      </c>
      <c r="N2302" s="31" t="str">
        <f t="shared" si="249"/>
        <v/>
      </c>
      <c r="O2302" s="31" t="str">
        <f>IF(OR(B2302="",C2302=""),"",K2302-N2302 + IFERROR(E2302 / SUMIFS('📅 Resumen Diario'!$D$5:$D$504, '📅 Resumen Diario'!$B$5:$B$504, B2302, '📅 Resumen Diario'!$C$5:$C$504, D2302) * (SUMIFS('📋 Detalle Diario'!$E$5:$E$489, '📋 Detalle Diario'!$B$5:$B$489, B2302, '📋 Detalle Diario'!$C$5:$C$489, D2302) * 135 + SUMIFS('📋 Detalle Diario'!$I$5:$I$489, '📋 Detalle Diario'!$B$5:$B$489, B2302, '📋 Detalle Diario'!$C$5:$C$489, D2302) * 200), 0))</f>
        <v/>
      </c>
      <c r="P2302" s="32" t="str">
        <f t="shared" si="250"/>
        <v/>
      </c>
      <c r="Q2302" s="33" t="str">
        <f t="shared" si="251"/>
        <v/>
      </c>
    </row>
    <row r="2303" spans="2:17" ht="18" customHeight="1" x14ac:dyDescent="0.3">
      <c r="B2303" s="26"/>
      <c r="C2303" s="28"/>
      <c r="D2303" s="27"/>
      <c r="E2303" s="29"/>
      <c r="F2303" s="29"/>
      <c r="G2303" s="29"/>
      <c r="H2303" s="30" t="str">
        <f t="shared" si="245"/>
        <v/>
      </c>
      <c r="I2303" s="31" t="str">
        <f>IF(OR(B2303="",C2303=""),"",IFERROR(E2303*IF(E2303="",0,VLOOKUP(C2303,'📦 Precios Proforma'!$B$5:$D$104,IF(D2303="DIA",2,3),FALSE)),0))</f>
        <v/>
      </c>
      <c r="J2303" s="31" t="str">
        <f t="shared" si="246"/>
        <v/>
      </c>
      <c r="K2303" s="31" t="str">
        <f t="shared" si="247"/>
        <v/>
      </c>
      <c r="L2303" s="31" t="str">
        <f>IF(OR(B2303="",C2303=""),"",IFERROR(E2303 / SUMIFS('📅 Resumen Diario'!$D$5:$D$504, '📅 Resumen Diario'!$B$5:$B$504, B2303, '📅 Resumen Diario'!$C$5:$C$504, D2303) * SUMIFS('📅 Resumen Diario'!$K$5:$K$504, '📅 Resumen Diario'!$B$5:$B$504, B2303, '📅 Resumen Diario'!$C$5:$C$504, D2303), 0))</f>
        <v/>
      </c>
      <c r="M2303" s="31" t="str">
        <f t="shared" si="248"/>
        <v/>
      </c>
      <c r="N2303" s="31" t="str">
        <f t="shared" si="249"/>
        <v/>
      </c>
      <c r="O2303" s="31" t="str">
        <f>IF(OR(B2303="",C2303=""),"",K2303-N2303 + IFERROR(E2303 / SUMIFS('📅 Resumen Diario'!$D$5:$D$504, '📅 Resumen Diario'!$B$5:$B$504, B2303, '📅 Resumen Diario'!$C$5:$C$504, D2303) * (SUMIFS('📋 Detalle Diario'!$E$5:$E$489, '📋 Detalle Diario'!$B$5:$B$489, B2303, '📋 Detalle Diario'!$C$5:$C$489, D2303) * 135 + SUMIFS('📋 Detalle Diario'!$I$5:$I$489, '📋 Detalle Diario'!$B$5:$B$489, B2303, '📋 Detalle Diario'!$C$5:$C$489, D2303) * 200), 0))</f>
        <v/>
      </c>
      <c r="P2303" s="32" t="str">
        <f t="shared" si="250"/>
        <v/>
      </c>
      <c r="Q2303" s="33" t="str">
        <f t="shared" si="251"/>
        <v/>
      </c>
    </row>
    <row r="2304" spans="2:17" ht="18" customHeight="1" x14ac:dyDescent="0.3">
      <c r="B2304" s="26"/>
      <c r="C2304" s="17"/>
      <c r="D2304" s="27"/>
      <c r="E2304" s="18"/>
      <c r="F2304" s="18"/>
      <c r="G2304" s="18"/>
      <c r="H2304" s="30" t="str">
        <f t="shared" si="245"/>
        <v/>
      </c>
      <c r="I2304" s="31" t="str">
        <f>IF(OR(B2304="",C2304=""),"",IFERROR(E2304*IF(E2304="",0,VLOOKUP(C2304,'📦 Precios Proforma'!$B$5:$D$104,IF(D2304="DIA",2,3),FALSE)),0))</f>
        <v/>
      </c>
      <c r="J2304" s="31" t="str">
        <f t="shared" si="246"/>
        <v/>
      </c>
      <c r="K2304" s="31" t="str">
        <f t="shared" si="247"/>
        <v/>
      </c>
      <c r="L2304" s="31" t="str">
        <f>IF(OR(B2304="",C2304=""),"",IFERROR(E2304 / SUMIFS('📅 Resumen Diario'!$D$5:$D$504, '📅 Resumen Diario'!$B$5:$B$504, B2304, '📅 Resumen Diario'!$C$5:$C$504, D2304) * SUMIFS('📅 Resumen Diario'!$K$5:$K$504, '📅 Resumen Diario'!$B$5:$B$504, B2304, '📅 Resumen Diario'!$C$5:$C$504, D2304), 0))</f>
        <v/>
      </c>
      <c r="M2304" s="31" t="str">
        <f t="shared" si="248"/>
        <v/>
      </c>
      <c r="N2304" s="31" t="str">
        <f t="shared" si="249"/>
        <v/>
      </c>
      <c r="O2304" s="31" t="str">
        <f>IF(OR(B2304="",C2304=""),"",K2304-N2304 + IFERROR(E2304 / SUMIFS('📅 Resumen Diario'!$D$5:$D$504, '📅 Resumen Diario'!$B$5:$B$504, B2304, '📅 Resumen Diario'!$C$5:$C$504, D2304) * (SUMIFS('📋 Detalle Diario'!$E$5:$E$489, '📋 Detalle Diario'!$B$5:$B$489, B2304, '📋 Detalle Diario'!$C$5:$C$489, D2304) * 135 + SUMIFS('📋 Detalle Diario'!$I$5:$I$489, '📋 Detalle Diario'!$B$5:$B$489, B2304, '📋 Detalle Diario'!$C$5:$C$489, D2304) * 200), 0))</f>
        <v/>
      </c>
      <c r="P2304" s="32" t="str">
        <f t="shared" si="250"/>
        <v/>
      </c>
      <c r="Q2304" s="33" t="str">
        <f t="shared" si="251"/>
        <v/>
      </c>
    </row>
    <row r="2305" spans="2:17" ht="18" customHeight="1" x14ac:dyDescent="0.3">
      <c r="B2305" s="26"/>
      <c r="C2305" s="28"/>
      <c r="D2305" s="27"/>
      <c r="E2305" s="29"/>
      <c r="F2305" s="29"/>
      <c r="G2305" s="29"/>
      <c r="H2305" s="30" t="str">
        <f t="shared" si="245"/>
        <v/>
      </c>
      <c r="I2305" s="31" t="str">
        <f>IF(OR(B2305="",C2305=""),"",IFERROR(E2305*IF(E2305="",0,VLOOKUP(C2305,'📦 Precios Proforma'!$B$5:$D$104,IF(D2305="DIA",2,3),FALSE)),0))</f>
        <v/>
      </c>
      <c r="J2305" s="31" t="str">
        <f t="shared" si="246"/>
        <v/>
      </c>
      <c r="K2305" s="31" t="str">
        <f t="shared" si="247"/>
        <v/>
      </c>
      <c r="L2305" s="31" t="str">
        <f>IF(OR(B2305="",C2305=""),"",IFERROR(E2305 / SUMIFS('📅 Resumen Diario'!$D$5:$D$504, '📅 Resumen Diario'!$B$5:$B$504, B2305, '📅 Resumen Diario'!$C$5:$C$504, D2305) * SUMIFS('📅 Resumen Diario'!$K$5:$K$504, '📅 Resumen Diario'!$B$5:$B$504, B2305, '📅 Resumen Diario'!$C$5:$C$504, D2305), 0))</f>
        <v/>
      </c>
      <c r="M2305" s="31" t="str">
        <f t="shared" si="248"/>
        <v/>
      </c>
      <c r="N2305" s="31" t="str">
        <f t="shared" si="249"/>
        <v/>
      </c>
      <c r="O2305" s="31" t="str">
        <f>IF(OR(B2305="",C2305=""),"",K2305-N2305 + IFERROR(E2305 / SUMIFS('📅 Resumen Diario'!$D$5:$D$504, '📅 Resumen Diario'!$B$5:$B$504, B2305, '📅 Resumen Diario'!$C$5:$C$504, D2305) * (SUMIFS('📋 Detalle Diario'!$E$5:$E$489, '📋 Detalle Diario'!$B$5:$B$489, B2305, '📋 Detalle Diario'!$C$5:$C$489, D2305) * 135 + SUMIFS('📋 Detalle Diario'!$I$5:$I$489, '📋 Detalle Diario'!$B$5:$B$489, B2305, '📋 Detalle Diario'!$C$5:$C$489, D2305) * 200), 0))</f>
        <v/>
      </c>
      <c r="P2305" s="32" t="str">
        <f t="shared" si="250"/>
        <v/>
      </c>
      <c r="Q2305" s="33" t="str">
        <f t="shared" si="251"/>
        <v/>
      </c>
    </row>
    <row r="2306" spans="2:17" ht="18" customHeight="1" x14ac:dyDescent="0.3">
      <c r="B2306" s="26"/>
      <c r="C2306" s="17"/>
      <c r="D2306" s="27"/>
      <c r="E2306" s="18"/>
      <c r="F2306" s="18"/>
      <c r="G2306" s="18"/>
      <c r="H2306" s="30" t="str">
        <f t="shared" si="245"/>
        <v/>
      </c>
      <c r="I2306" s="31" t="str">
        <f>IF(OR(B2306="",C2306=""),"",IFERROR(E2306*IF(E2306="",0,VLOOKUP(C2306,'📦 Precios Proforma'!$B$5:$D$104,IF(D2306="DIA",2,3),FALSE)),0))</f>
        <v/>
      </c>
      <c r="J2306" s="31" t="str">
        <f t="shared" si="246"/>
        <v/>
      </c>
      <c r="K2306" s="31" t="str">
        <f t="shared" si="247"/>
        <v/>
      </c>
      <c r="L2306" s="31" t="str">
        <f>IF(OR(B2306="",C2306=""),"",IFERROR(E2306 / SUMIFS('📅 Resumen Diario'!$D$5:$D$504, '📅 Resumen Diario'!$B$5:$B$504, B2306, '📅 Resumen Diario'!$C$5:$C$504, D2306) * SUMIFS('📅 Resumen Diario'!$K$5:$K$504, '📅 Resumen Diario'!$B$5:$B$504, B2306, '📅 Resumen Diario'!$C$5:$C$504, D2306), 0))</f>
        <v/>
      </c>
      <c r="M2306" s="31" t="str">
        <f t="shared" si="248"/>
        <v/>
      </c>
      <c r="N2306" s="31" t="str">
        <f t="shared" si="249"/>
        <v/>
      </c>
      <c r="O2306" s="31" t="str">
        <f>IF(OR(B2306="",C2306=""),"",K2306-N2306 + IFERROR(E2306 / SUMIFS('📅 Resumen Diario'!$D$5:$D$504, '📅 Resumen Diario'!$B$5:$B$504, B2306, '📅 Resumen Diario'!$C$5:$C$504, D2306) * (SUMIFS('📋 Detalle Diario'!$E$5:$E$489, '📋 Detalle Diario'!$B$5:$B$489, B2306, '📋 Detalle Diario'!$C$5:$C$489, D2306) * 135 + SUMIFS('📋 Detalle Diario'!$I$5:$I$489, '📋 Detalle Diario'!$B$5:$B$489, B2306, '📋 Detalle Diario'!$C$5:$C$489, D2306) * 200), 0))</f>
        <v/>
      </c>
      <c r="P2306" s="32" t="str">
        <f t="shared" si="250"/>
        <v/>
      </c>
      <c r="Q2306" s="33" t="str">
        <f t="shared" si="251"/>
        <v/>
      </c>
    </row>
    <row r="2307" spans="2:17" ht="18" customHeight="1" x14ac:dyDescent="0.3">
      <c r="B2307" s="26"/>
      <c r="C2307" s="28"/>
      <c r="D2307" s="27"/>
      <c r="E2307" s="29"/>
      <c r="F2307" s="29"/>
      <c r="G2307" s="29"/>
      <c r="H2307" s="30" t="str">
        <f t="shared" si="245"/>
        <v/>
      </c>
      <c r="I2307" s="31" t="str">
        <f>IF(OR(B2307="",C2307=""),"",IFERROR(E2307*IF(E2307="",0,VLOOKUP(C2307,'📦 Precios Proforma'!$B$5:$D$104,IF(D2307="DIA",2,3),FALSE)),0))</f>
        <v/>
      </c>
      <c r="J2307" s="31" t="str">
        <f t="shared" si="246"/>
        <v/>
      </c>
      <c r="K2307" s="31" t="str">
        <f t="shared" si="247"/>
        <v/>
      </c>
      <c r="L2307" s="31" t="str">
        <f>IF(OR(B2307="",C2307=""),"",IFERROR(E2307 / SUMIFS('📅 Resumen Diario'!$D$5:$D$504, '📅 Resumen Diario'!$B$5:$B$504, B2307, '📅 Resumen Diario'!$C$5:$C$504, D2307) * SUMIFS('📅 Resumen Diario'!$K$5:$K$504, '📅 Resumen Diario'!$B$5:$B$504, B2307, '📅 Resumen Diario'!$C$5:$C$504, D2307), 0))</f>
        <v/>
      </c>
      <c r="M2307" s="31" t="str">
        <f t="shared" si="248"/>
        <v/>
      </c>
      <c r="N2307" s="31" t="str">
        <f t="shared" si="249"/>
        <v/>
      </c>
      <c r="O2307" s="31" t="str">
        <f>IF(OR(B2307="",C2307=""),"",K2307-N2307 + IFERROR(E2307 / SUMIFS('📅 Resumen Diario'!$D$5:$D$504, '📅 Resumen Diario'!$B$5:$B$504, B2307, '📅 Resumen Diario'!$C$5:$C$504, D2307) * (SUMIFS('📋 Detalle Diario'!$E$5:$E$489, '📋 Detalle Diario'!$B$5:$B$489, B2307, '📋 Detalle Diario'!$C$5:$C$489, D2307) * 135 + SUMIFS('📋 Detalle Diario'!$I$5:$I$489, '📋 Detalle Diario'!$B$5:$B$489, B2307, '📋 Detalle Diario'!$C$5:$C$489, D2307) * 200), 0))</f>
        <v/>
      </c>
      <c r="P2307" s="32" t="str">
        <f t="shared" si="250"/>
        <v/>
      </c>
      <c r="Q2307" s="33" t="str">
        <f t="shared" si="251"/>
        <v/>
      </c>
    </row>
    <row r="2308" spans="2:17" ht="18" customHeight="1" x14ac:dyDescent="0.3">
      <c r="B2308" s="26"/>
      <c r="C2308" s="17"/>
      <c r="D2308" s="27"/>
      <c r="E2308" s="18"/>
      <c r="F2308" s="18"/>
      <c r="G2308" s="18"/>
      <c r="H2308" s="30" t="str">
        <f t="shared" si="245"/>
        <v/>
      </c>
      <c r="I2308" s="31" t="str">
        <f>IF(OR(B2308="",C2308=""),"",IFERROR(E2308*IF(E2308="",0,VLOOKUP(C2308,'📦 Precios Proforma'!$B$5:$D$104,IF(D2308="DIA",2,3),FALSE)),0))</f>
        <v/>
      </c>
      <c r="J2308" s="31" t="str">
        <f t="shared" si="246"/>
        <v/>
      </c>
      <c r="K2308" s="31" t="str">
        <f t="shared" si="247"/>
        <v/>
      </c>
      <c r="L2308" s="31" t="str">
        <f>IF(OR(B2308="",C2308=""),"",IFERROR(E2308 / SUMIFS('📅 Resumen Diario'!$D$5:$D$504, '📅 Resumen Diario'!$B$5:$B$504, B2308, '📅 Resumen Diario'!$C$5:$C$504, D2308) * SUMIFS('📅 Resumen Diario'!$K$5:$K$504, '📅 Resumen Diario'!$B$5:$B$504, B2308, '📅 Resumen Diario'!$C$5:$C$504, D2308), 0))</f>
        <v/>
      </c>
      <c r="M2308" s="31" t="str">
        <f t="shared" si="248"/>
        <v/>
      </c>
      <c r="N2308" s="31" t="str">
        <f t="shared" si="249"/>
        <v/>
      </c>
      <c r="O2308" s="31" t="str">
        <f>IF(OR(B2308="",C2308=""),"",K2308-N2308 + IFERROR(E2308 / SUMIFS('📅 Resumen Diario'!$D$5:$D$504, '📅 Resumen Diario'!$B$5:$B$504, B2308, '📅 Resumen Diario'!$C$5:$C$504, D2308) * (SUMIFS('📋 Detalle Diario'!$E$5:$E$489, '📋 Detalle Diario'!$B$5:$B$489, B2308, '📋 Detalle Diario'!$C$5:$C$489, D2308) * 135 + SUMIFS('📋 Detalle Diario'!$I$5:$I$489, '📋 Detalle Diario'!$B$5:$B$489, B2308, '📋 Detalle Diario'!$C$5:$C$489, D2308) * 200), 0))</f>
        <v/>
      </c>
      <c r="P2308" s="32" t="str">
        <f t="shared" si="250"/>
        <v/>
      </c>
      <c r="Q2308" s="33" t="str">
        <f t="shared" si="251"/>
        <v/>
      </c>
    </row>
    <row r="2309" spans="2:17" ht="18" customHeight="1" x14ac:dyDescent="0.3">
      <c r="B2309" s="26"/>
      <c r="C2309" s="28"/>
      <c r="D2309" s="27"/>
      <c r="E2309" s="29"/>
      <c r="F2309" s="29"/>
      <c r="G2309" s="29"/>
      <c r="H2309" s="30" t="str">
        <f t="shared" si="245"/>
        <v/>
      </c>
      <c r="I2309" s="31" t="str">
        <f>IF(OR(B2309="",C2309=""),"",IFERROR(E2309*IF(E2309="",0,VLOOKUP(C2309,'📦 Precios Proforma'!$B$5:$D$104,IF(D2309="DIA",2,3),FALSE)),0))</f>
        <v/>
      </c>
      <c r="J2309" s="31" t="str">
        <f t="shared" si="246"/>
        <v/>
      </c>
      <c r="K2309" s="31" t="str">
        <f t="shared" si="247"/>
        <v/>
      </c>
      <c r="L2309" s="31" t="str">
        <f>IF(OR(B2309="",C2309=""),"",IFERROR(E2309 / SUMIFS('📅 Resumen Diario'!$D$5:$D$504, '📅 Resumen Diario'!$B$5:$B$504, B2309, '📅 Resumen Diario'!$C$5:$C$504, D2309) * SUMIFS('📅 Resumen Diario'!$K$5:$K$504, '📅 Resumen Diario'!$B$5:$B$504, B2309, '📅 Resumen Diario'!$C$5:$C$504, D2309), 0))</f>
        <v/>
      </c>
      <c r="M2309" s="31" t="str">
        <f t="shared" si="248"/>
        <v/>
      </c>
      <c r="N2309" s="31" t="str">
        <f t="shared" si="249"/>
        <v/>
      </c>
      <c r="O2309" s="31" t="str">
        <f>IF(OR(B2309="",C2309=""),"",K2309-N2309 + IFERROR(E2309 / SUMIFS('📅 Resumen Diario'!$D$5:$D$504, '📅 Resumen Diario'!$B$5:$B$504, B2309, '📅 Resumen Diario'!$C$5:$C$504, D2309) * (SUMIFS('📋 Detalle Diario'!$E$5:$E$489, '📋 Detalle Diario'!$B$5:$B$489, B2309, '📋 Detalle Diario'!$C$5:$C$489, D2309) * 135 + SUMIFS('📋 Detalle Diario'!$I$5:$I$489, '📋 Detalle Diario'!$B$5:$B$489, B2309, '📋 Detalle Diario'!$C$5:$C$489, D2309) * 200), 0))</f>
        <v/>
      </c>
      <c r="P2309" s="32" t="str">
        <f t="shared" si="250"/>
        <v/>
      </c>
      <c r="Q2309" s="33" t="str">
        <f t="shared" si="251"/>
        <v/>
      </c>
    </row>
    <row r="2310" spans="2:17" ht="18" customHeight="1" x14ac:dyDescent="0.3">
      <c r="B2310" s="26"/>
      <c r="C2310" s="17"/>
      <c r="D2310" s="27"/>
      <c r="E2310" s="18"/>
      <c r="F2310" s="18"/>
      <c r="G2310" s="18"/>
      <c r="H2310" s="30" t="str">
        <f t="shared" si="245"/>
        <v/>
      </c>
      <c r="I2310" s="31" t="str">
        <f>IF(OR(B2310="",C2310=""),"",IFERROR(E2310*IF(E2310="",0,VLOOKUP(C2310,'📦 Precios Proforma'!$B$5:$D$104,IF(D2310="DIA",2,3),FALSE)),0))</f>
        <v/>
      </c>
      <c r="J2310" s="31" t="str">
        <f t="shared" si="246"/>
        <v/>
      </c>
      <c r="K2310" s="31" t="str">
        <f t="shared" si="247"/>
        <v/>
      </c>
      <c r="L2310" s="31" t="str">
        <f>IF(OR(B2310="",C2310=""),"",IFERROR(E2310 / SUMIFS('📅 Resumen Diario'!$D$5:$D$504, '📅 Resumen Diario'!$B$5:$B$504, B2310, '📅 Resumen Diario'!$C$5:$C$504, D2310) * SUMIFS('📅 Resumen Diario'!$K$5:$K$504, '📅 Resumen Diario'!$B$5:$B$504, B2310, '📅 Resumen Diario'!$C$5:$C$504, D2310), 0))</f>
        <v/>
      </c>
      <c r="M2310" s="31" t="str">
        <f t="shared" si="248"/>
        <v/>
      </c>
      <c r="N2310" s="31" t="str">
        <f t="shared" si="249"/>
        <v/>
      </c>
      <c r="O2310" s="31" t="str">
        <f>IF(OR(B2310="",C2310=""),"",K2310-N2310 + IFERROR(E2310 / SUMIFS('📅 Resumen Diario'!$D$5:$D$504, '📅 Resumen Diario'!$B$5:$B$504, B2310, '📅 Resumen Diario'!$C$5:$C$504, D2310) * (SUMIFS('📋 Detalle Diario'!$E$5:$E$489, '📋 Detalle Diario'!$B$5:$B$489, B2310, '📋 Detalle Diario'!$C$5:$C$489, D2310) * 135 + SUMIFS('📋 Detalle Diario'!$I$5:$I$489, '📋 Detalle Diario'!$B$5:$B$489, B2310, '📋 Detalle Diario'!$C$5:$C$489, D2310) * 200), 0))</f>
        <v/>
      </c>
      <c r="P2310" s="32" t="str">
        <f t="shared" si="250"/>
        <v/>
      </c>
      <c r="Q2310" s="33" t="str">
        <f t="shared" si="251"/>
        <v/>
      </c>
    </row>
    <row r="2311" spans="2:17" ht="18" customHeight="1" x14ac:dyDescent="0.3">
      <c r="B2311" s="26"/>
      <c r="C2311" s="28"/>
      <c r="D2311" s="27"/>
      <c r="E2311" s="29"/>
      <c r="F2311" s="29"/>
      <c r="G2311" s="29"/>
      <c r="H2311" s="30" t="str">
        <f t="shared" ref="H2311:H2374" si="252">IF(OR(B2311="",C2311=""),"",F2311+G2311)</f>
        <v/>
      </c>
      <c r="I2311" s="31" t="str">
        <f>IF(OR(B2311="",C2311=""),"",IFERROR(E2311*IF(E2311="",0,VLOOKUP(C2311,'📦 Precios Proforma'!$B$5:$D$104,IF(D2311="DIA",2,3),FALSE)),0))</f>
        <v/>
      </c>
      <c r="J2311" s="31" t="str">
        <f t="shared" ref="J2311:J2374" si="253">IF(OR(B2311="",C2311=""),"",IF(D2311="DIA",H2311*1.01,H2311*1.35))</f>
        <v/>
      </c>
      <c r="K2311" s="31" t="str">
        <f t="shared" ref="K2311:K2374" si="254">IF(OR(B2311="",C2311=""),"",I2311+J2311)</f>
        <v/>
      </c>
      <c r="L2311" s="31" t="str">
        <f>IF(OR(B2311="",C2311=""),"",IFERROR(E2311 / SUMIFS('📅 Resumen Diario'!$D$5:$D$504, '📅 Resumen Diario'!$B$5:$B$504, B2311, '📅 Resumen Diario'!$C$5:$C$504, D2311) * SUMIFS('📅 Resumen Diario'!$K$5:$K$504, '📅 Resumen Diario'!$B$5:$B$504, B2311, '📅 Resumen Diario'!$C$5:$C$504, D2311), 0))</f>
        <v/>
      </c>
      <c r="M2311" s="31" t="str">
        <f t="shared" ref="M2311:M2374" si="255">IF(OR(B2311="",C2311=""),"",H2311*0.09)</f>
        <v/>
      </c>
      <c r="N2311" s="31" t="str">
        <f t="shared" ref="N2311:N2374" si="256">IF(OR(B2311="",C2311=""),"",L2311+M2311)</f>
        <v/>
      </c>
      <c r="O2311" s="31" t="str">
        <f>IF(OR(B2311="",C2311=""),"",K2311-N2311 + IFERROR(E2311 / SUMIFS('📅 Resumen Diario'!$D$5:$D$504, '📅 Resumen Diario'!$B$5:$B$504, B2311, '📅 Resumen Diario'!$C$5:$C$504, D2311) * (SUMIFS('📋 Detalle Diario'!$E$5:$E$489, '📋 Detalle Diario'!$B$5:$B$489, B2311, '📋 Detalle Diario'!$C$5:$C$489, D2311) * 135 + SUMIFS('📋 Detalle Diario'!$I$5:$I$489, '📋 Detalle Diario'!$B$5:$B$489, B2311, '📋 Detalle Diario'!$C$5:$C$489, D2311) * 200), 0))</f>
        <v/>
      </c>
      <c r="P2311" s="32" t="str">
        <f t="shared" ref="P2311:P2374" si="257">IF(OR(B2311="",C2311=""),"",IF(K2311=0, 0, O2311/K2311))</f>
        <v/>
      </c>
      <c r="Q2311" s="33" t="str">
        <f t="shared" ref="Q2311:Q2374" si="258">IF(B2311="","",IF(ISNUMBER(B2311),YEAR(B2311)&amp;"-"&amp;IF(MONTH(B2311)&lt;10,"0","")&amp;MONTH(B2311),LEFT(B2311,7)))</f>
        <v/>
      </c>
    </row>
    <row r="2312" spans="2:17" ht="18" customHeight="1" x14ac:dyDescent="0.3">
      <c r="B2312" s="26"/>
      <c r="C2312" s="17"/>
      <c r="D2312" s="27"/>
      <c r="E2312" s="18"/>
      <c r="F2312" s="18"/>
      <c r="G2312" s="18"/>
      <c r="H2312" s="30" t="str">
        <f t="shared" si="252"/>
        <v/>
      </c>
      <c r="I2312" s="31" t="str">
        <f>IF(OR(B2312="",C2312=""),"",IFERROR(E2312*IF(E2312="",0,VLOOKUP(C2312,'📦 Precios Proforma'!$B$5:$D$104,IF(D2312="DIA",2,3),FALSE)),0))</f>
        <v/>
      </c>
      <c r="J2312" s="31" t="str">
        <f t="shared" si="253"/>
        <v/>
      </c>
      <c r="K2312" s="31" t="str">
        <f t="shared" si="254"/>
        <v/>
      </c>
      <c r="L2312" s="31" t="str">
        <f>IF(OR(B2312="",C2312=""),"",IFERROR(E2312 / SUMIFS('📅 Resumen Diario'!$D$5:$D$504, '📅 Resumen Diario'!$B$5:$B$504, B2312, '📅 Resumen Diario'!$C$5:$C$504, D2312) * SUMIFS('📅 Resumen Diario'!$K$5:$K$504, '📅 Resumen Diario'!$B$5:$B$504, B2312, '📅 Resumen Diario'!$C$5:$C$504, D2312), 0))</f>
        <v/>
      </c>
      <c r="M2312" s="31" t="str">
        <f t="shared" si="255"/>
        <v/>
      </c>
      <c r="N2312" s="31" t="str">
        <f t="shared" si="256"/>
        <v/>
      </c>
      <c r="O2312" s="31" t="str">
        <f>IF(OR(B2312="",C2312=""),"",K2312-N2312 + IFERROR(E2312 / SUMIFS('📅 Resumen Diario'!$D$5:$D$504, '📅 Resumen Diario'!$B$5:$B$504, B2312, '📅 Resumen Diario'!$C$5:$C$504, D2312) * (SUMIFS('📋 Detalle Diario'!$E$5:$E$489, '📋 Detalle Diario'!$B$5:$B$489, B2312, '📋 Detalle Diario'!$C$5:$C$489, D2312) * 135 + SUMIFS('📋 Detalle Diario'!$I$5:$I$489, '📋 Detalle Diario'!$B$5:$B$489, B2312, '📋 Detalle Diario'!$C$5:$C$489, D2312) * 200), 0))</f>
        <v/>
      </c>
      <c r="P2312" s="32" t="str">
        <f t="shared" si="257"/>
        <v/>
      </c>
      <c r="Q2312" s="33" t="str">
        <f t="shared" si="258"/>
        <v/>
      </c>
    </row>
    <row r="2313" spans="2:17" ht="18" customHeight="1" x14ac:dyDescent="0.3">
      <c r="B2313" s="26"/>
      <c r="C2313" s="28"/>
      <c r="D2313" s="27"/>
      <c r="E2313" s="29"/>
      <c r="F2313" s="29"/>
      <c r="G2313" s="29"/>
      <c r="H2313" s="30" t="str">
        <f t="shared" si="252"/>
        <v/>
      </c>
      <c r="I2313" s="31" t="str">
        <f>IF(OR(B2313="",C2313=""),"",IFERROR(E2313*IF(E2313="",0,VLOOKUP(C2313,'📦 Precios Proforma'!$B$5:$D$104,IF(D2313="DIA",2,3),FALSE)),0))</f>
        <v/>
      </c>
      <c r="J2313" s="31" t="str">
        <f t="shared" si="253"/>
        <v/>
      </c>
      <c r="K2313" s="31" t="str">
        <f t="shared" si="254"/>
        <v/>
      </c>
      <c r="L2313" s="31" t="str">
        <f>IF(OR(B2313="",C2313=""),"",IFERROR(E2313 / SUMIFS('📅 Resumen Diario'!$D$5:$D$504, '📅 Resumen Diario'!$B$5:$B$504, B2313, '📅 Resumen Diario'!$C$5:$C$504, D2313) * SUMIFS('📅 Resumen Diario'!$K$5:$K$504, '📅 Resumen Diario'!$B$5:$B$504, B2313, '📅 Resumen Diario'!$C$5:$C$504, D2313), 0))</f>
        <v/>
      </c>
      <c r="M2313" s="31" t="str">
        <f t="shared" si="255"/>
        <v/>
      </c>
      <c r="N2313" s="31" t="str">
        <f t="shared" si="256"/>
        <v/>
      </c>
      <c r="O2313" s="31" t="str">
        <f>IF(OR(B2313="",C2313=""),"",K2313-N2313 + IFERROR(E2313 / SUMIFS('📅 Resumen Diario'!$D$5:$D$504, '📅 Resumen Diario'!$B$5:$B$504, B2313, '📅 Resumen Diario'!$C$5:$C$504, D2313) * (SUMIFS('📋 Detalle Diario'!$E$5:$E$489, '📋 Detalle Diario'!$B$5:$B$489, B2313, '📋 Detalle Diario'!$C$5:$C$489, D2313) * 135 + SUMIFS('📋 Detalle Diario'!$I$5:$I$489, '📋 Detalle Diario'!$B$5:$B$489, B2313, '📋 Detalle Diario'!$C$5:$C$489, D2313) * 200), 0))</f>
        <v/>
      </c>
      <c r="P2313" s="32" t="str">
        <f t="shared" si="257"/>
        <v/>
      </c>
      <c r="Q2313" s="33" t="str">
        <f t="shared" si="258"/>
        <v/>
      </c>
    </row>
    <row r="2314" spans="2:17" ht="18" customHeight="1" x14ac:dyDescent="0.3">
      <c r="B2314" s="26"/>
      <c r="C2314" s="17"/>
      <c r="D2314" s="27"/>
      <c r="E2314" s="18"/>
      <c r="F2314" s="18"/>
      <c r="G2314" s="18"/>
      <c r="H2314" s="30" t="str">
        <f t="shared" si="252"/>
        <v/>
      </c>
      <c r="I2314" s="31" t="str">
        <f>IF(OR(B2314="",C2314=""),"",IFERROR(E2314*IF(E2314="",0,VLOOKUP(C2314,'📦 Precios Proforma'!$B$5:$D$104,IF(D2314="DIA",2,3),FALSE)),0))</f>
        <v/>
      </c>
      <c r="J2314" s="31" t="str">
        <f t="shared" si="253"/>
        <v/>
      </c>
      <c r="K2314" s="31" t="str">
        <f t="shared" si="254"/>
        <v/>
      </c>
      <c r="L2314" s="31" t="str">
        <f>IF(OR(B2314="",C2314=""),"",IFERROR(E2314 / SUMIFS('📅 Resumen Diario'!$D$5:$D$504, '📅 Resumen Diario'!$B$5:$B$504, B2314, '📅 Resumen Diario'!$C$5:$C$504, D2314) * SUMIFS('📅 Resumen Diario'!$K$5:$K$504, '📅 Resumen Diario'!$B$5:$B$504, B2314, '📅 Resumen Diario'!$C$5:$C$504, D2314), 0))</f>
        <v/>
      </c>
      <c r="M2314" s="31" t="str">
        <f t="shared" si="255"/>
        <v/>
      </c>
      <c r="N2314" s="31" t="str">
        <f t="shared" si="256"/>
        <v/>
      </c>
      <c r="O2314" s="31" t="str">
        <f>IF(OR(B2314="",C2314=""),"",K2314-N2314 + IFERROR(E2314 / SUMIFS('📅 Resumen Diario'!$D$5:$D$504, '📅 Resumen Diario'!$B$5:$B$504, B2314, '📅 Resumen Diario'!$C$5:$C$504, D2314) * (SUMIFS('📋 Detalle Diario'!$E$5:$E$489, '📋 Detalle Diario'!$B$5:$B$489, B2314, '📋 Detalle Diario'!$C$5:$C$489, D2314) * 135 + SUMIFS('📋 Detalle Diario'!$I$5:$I$489, '📋 Detalle Diario'!$B$5:$B$489, B2314, '📋 Detalle Diario'!$C$5:$C$489, D2314) * 200), 0))</f>
        <v/>
      </c>
      <c r="P2314" s="32" t="str">
        <f t="shared" si="257"/>
        <v/>
      </c>
      <c r="Q2314" s="33" t="str">
        <f t="shared" si="258"/>
        <v/>
      </c>
    </row>
    <row r="2315" spans="2:17" ht="18" customHeight="1" x14ac:dyDescent="0.3">
      <c r="B2315" s="26"/>
      <c r="C2315" s="28"/>
      <c r="D2315" s="27"/>
      <c r="E2315" s="29"/>
      <c r="F2315" s="29"/>
      <c r="G2315" s="29"/>
      <c r="H2315" s="30" t="str">
        <f t="shared" si="252"/>
        <v/>
      </c>
      <c r="I2315" s="31" t="str">
        <f>IF(OR(B2315="",C2315=""),"",IFERROR(E2315*IF(E2315="",0,VLOOKUP(C2315,'📦 Precios Proforma'!$B$5:$D$104,IF(D2315="DIA",2,3),FALSE)),0))</f>
        <v/>
      </c>
      <c r="J2315" s="31" t="str">
        <f t="shared" si="253"/>
        <v/>
      </c>
      <c r="K2315" s="31" t="str">
        <f t="shared" si="254"/>
        <v/>
      </c>
      <c r="L2315" s="31" t="str">
        <f>IF(OR(B2315="",C2315=""),"",IFERROR(E2315 / SUMIFS('📅 Resumen Diario'!$D$5:$D$504, '📅 Resumen Diario'!$B$5:$B$504, B2315, '📅 Resumen Diario'!$C$5:$C$504, D2315) * SUMIFS('📅 Resumen Diario'!$K$5:$K$504, '📅 Resumen Diario'!$B$5:$B$504, B2315, '📅 Resumen Diario'!$C$5:$C$504, D2315), 0))</f>
        <v/>
      </c>
      <c r="M2315" s="31" t="str">
        <f t="shared" si="255"/>
        <v/>
      </c>
      <c r="N2315" s="31" t="str">
        <f t="shared" si="256"/>
        <v/>
      </c>
      <c r="O2315" s="31" t="str">
        <f>IF(OR(B2315="",C2315=""),"",K2315-N2315 + IFERROR(E2315 / SUMIFS('📅 Resumen Diario'!$D$5:$D$504, '📅 Resumen Diario'!$B$5:$B$504, B2315, '📅 Resumen Diario'!$C$5:$C$504, D2315) * (SUMIFS('📋 Detalle Diario'!$E$5:$E$489, '📋 Detalle Diario'!$B$5:$B$489, B2315, '📋 Detalle Diario'!$C$5:$C$489, D2315) * 135 + SUMIFS('📋 Detalle Diario'!$I$5:$I$489, '📋 Detalle Diario'!$B$5:$B$489, B2315, '📋 Detalle Diario'!$C$5:$C$489, D2315) * 200), 0))</f>
        <v/>
      </c>
      <c r="P2315" s="32" t="str">
        <f t="shared" si="257"/>
        <v/>
      </c>
      <c r="Q2315" s="33" t="str">
        <f t="shared" si="258"/>
        <v/>
      </c>
    </row>
    <row r="2316" spans="2:17" ht="18" customHeight="1" x14ac:dyDescent="0.3">
      <c r="B2316" s="26"/>
      <c r="C2316" s="17"/>
      <c r="D2316" s="27"/>
      <c r="E2316" s="18"/>
      <c r="F2316" s="18"/>
      <c r="G2316" s="18"/>
      <c r="H2316" s="30" t="str">
        <f t="shared" si="252"/>
        <v/>
      </c>
      <c r="I2316" s="31" t="str">
        <f>IF(OR(B2316="",C2316=""),"",IFERROR(E2316*IF(E2316="",0,VLOOKUP(C2316,'📦 Precios Proforma'!$B$5:$D$104,IF(D2316="DIA",2,3),FALSE)),0))</f>
        <v/>
      </c>
      <c r="J2316" s="31" t="str">
        <f t="shared" si="253"/>
        <v/>
      </c>
      <c r="K2316" s="31" t="str">
        <f t="shared" si="254"/>
        <v/>
      </c>
      <c r="L2316" s="31" t="str">
        <f>IF(OR(B2316="",C2316=""),"",IFERROR(E2316 / SUMIFS('📅 Resumen Diario'!$D$5:$D$504, '📅 Resumen Diario'!$B$5:$B$504, B2316, '📅 Resumen Diario'!$C$5:$C$504, D2316) * SUMIFS('📅 Resumen Diario'!$K$5:$K$504, '📅 Resumen Diario'!$B$5:$B$504, B2316, '📅 Resumen Diario'!$C$5:$C$504, D2316), 0))</f>
        <v/>
      </c>
      <c r="M2316" s="31" t="str">
        <f t="shared" si="255"/>
        <v/>
      </c>
      <c r="N2316" s="31" t="str">
        <f t="shared" si="256"/>
        <v/>
      </c>
      <c r="O2316" s="31" t="str">
        <f>IF(OR(B2316="",C2316=""),"",K2316-N2316 + IFERROR(E2316 / SUMIFS('📅 Resumen Diario'!$D$5:$D$504, '📅 Resumen Diario'!$B$5:$B$504, B2316, '📅 Resumen Diario'!$C$5:$C$504, D2316) * (SUMIFS('📋 Detalle Diario'!$E$5:$E$489, '📋 Detalle Diario'!$B$5:$B$489, B2316, '📋 Detalle Diario'!$C$5:$C$489, D2316) * 135 + SUMIFS('📋 Detalle Diario'!$I$5:$I$489, '📋 Detalle Diario'!$B$5:$B$489, B2316, '📋 Detalle Diario'!$C$5:$C$489, D2316) * 200), 0))</f>
        <v/>
      </c>
      <c r="P2316" s="32" t="str">
        <f t="shared" si="257"/>
        <v/>
      </c>
      <c r="Q2316" s="33" t="str">
        <f t="shared" si="258"/>
        <v/>
      </c>
    </row>
    <row r="2317" spans="2:17" ht="18" customHeight="1" x14ac:dyDescent="0.3">
      <c r="B2317" s="26"/>
      <c r="C2317" s="28"/>
      <c r="D2317" s="27"/>
      <c r="E2317" s="29"/>
      <c r="F2317" s="29"/>
      <c r="G2317" s="29"/>
      <c r="H2317" s="30" t="str">
        <f t="shared" si="252"/>
        <v/>
      </c>
      <c r="I2317" s="31" t="str">
        <f>IF(OR(B2317="",C2317=""),"",IFERROR(E2317*IF(E2317="",0,VLOOKUP(C2317,'📦 Precios Proforma'!$B$5:$D$104,IF(D2317="DIA",2,3),FALSE)),0))</f>
        <v/>
      </c>
      <c r="J2317" s="31" t="str">
        <f t="shared" si="253"/>
        <v/>
      </c>
      <c r="K2317" s="31" t="str">
        <f t="shared" si="254"/>
        <v/>
      </c>
      <c r="L2317" s="31" t="str">
        <f>IF(OR(B2317="",C2317=""),"",IFERROR(E2317 / SUMIFS('📅 Resumen Diario'!$D$5:$D$504, '📅 Resumen Diario'!$B$5:$B$504, B2317, '📅 Resumen Diario'!$C$5:$C$504, D2317) * SUMIFS('📅 Resumen Diario'!$K$5:$K$504, '📅 Resumen Diario'!$B$5:$B$504, B2317, '📅 Resumen Diario'!$C$5:$C$504, D2317), 0))</f>
        <v/>
      </c>
      <c r="M2317" s="31" t="str">
        <f t="shared" si="255"/>
        <v/>
      </c>
      <c r="N2317" s="31" t="str">
        <f t="shared" si="256"/>
        <v/>
      </c>
      <c r="O2317" s="31" t="str">
        <f>IF(OR(B2317="",C2317=""),"",K2317-N2317 + IFERROR(E2317 / SUMIFS('📅 Resumen Diario'!$D$5:$D$504, '📅 Resumen Diario'!$B$5:$B$504, B2317, '📅 Resumen Diario'!$C$5:$C$504, D2317) * (SUMIFS('📋 Detalle Diario'!$E$5:$E$489, '📋 Detalle Diario'!$B$5:$B$489, B2317, '📋 Detalle Diario'!$C$5:$C$489, D2317) * 135 + SUMIFS('📋 Detalle Diario'!$I$5:$I$489, '📋 Detalle Diario'!$B$5:$B$489, B2317, '📋 Detalle Diario'!$C$5:$C$489, D2317) * 200), 0))</f>
        <v/>
      </c>
      <c r="P2317" s="32" t="str">
        <f t="shared" si="257"/>
        <v/>
      </c>
      <c r="Q2317" s="33" t="str">
        <f t="shared" si="258"/>
        <v/>
      </c>
    </row>
    <row r="2318" spans="2:17" ht="18" customHeight="1" x14ac:dyDescent="0.3">
      <c r="B2318" s="26"/>
      <c r="C2318" s="17"/>
      <c r="D2318" s="27"/>
      <c r="E2318" s="18"/>
      <c r="F2318" s="18"/>
      <c r="G2318" s="18"/>
      <c r="H2318" s="30" t="str">
        <f t="shared" si="252"/>
        <v/>
      </c>
      <c r="I2318" s="31" t="str">
        <f>IF(OR(B2318="",C2318=""),"",IFERROR(E2318*IF(E2318="",0,VLOOKUP(C2318,'📦 Precios Proforma'!$B$5:$D$104,IF(D2318="DIA",2,3),FALSE)),0))</f>
        <v/>
      </c>
      <c r="J2318" s="31" t="str">
        <f t="shared" si="253"/>
        <v/>
      </c>
      <c r="K2318" s="31" t="str">
        <f t="shared" si="254"/>
        <v/>
      </c>
      <c r="L2318" s="31" t="str">
        <f>IF(OR(B2318="",C2318=""),"",IFERROR(E2318 / SUMIFS('📅 Resumen Diario'!$D$5:$D$504, '📅 Resumen Diario'!$B$5:$B$504, B2318, '📅 Resumen Diario'!$C$5:$C$504, D2318) * SUMIFS('📅 Resumen Diario'!$K$5:$K$504, '📅 Resumen Diario'!$B$5:$B$504, B2318, '📅 Resumen Diario'!$C$5:$C$504, D2318), 0))</f>
        <v/>
      </c>
      <c r="M2318" s="31" t="str">
        <f t="shared" si="255"/>
        <v/>
      </c>
      <c r="N2318" s="31" t="str">
        <f t="shared" si="256"/>
        <v/>
      </c>
      <c r="O2318" s="31" t="str">
        <f>IF(OR(B2318="",C2318=""),"",K2318-N2318 + IFERROR(E2318 / SUMIFS('📅 Resumen Diario'!$D$5:$D$504, '📅 Resumen Diario'!$B$5:$B$504, B2318, '📅 Resumen Diario'!$C$5:$C$504, D2318) * (SUMIFS('📋 Detalle Diario'!$E$5:$E$489, '📋 Detalle Diario'!$B$5:$B$489, B2318, '📋 Detalle Diario'!$C$5:$C$489, D2318) * 135 + SUMIFS('📋 Detalle Diario'!$I$5:$I$489, '📋 Detalle Diario'!$B$5:$B$489, B2318, '📋 Detalle Diario'!$C$5:$C$489, D2318) * 200), 0))</f>
        <v/>
      </c>
      <c r="P2318" s="32" t="str">
        <f t="shared" si="257"/>
        <v/>
      </c>
      <c r="Q2318" s="33" t="str">
        <f t="shared" si="258"/>
        <v/>
      </c>
    </row>
    <row r="2319" spans="2:17" ht="18" customHeight="1" x14ac:dyDescent="0.3">
      <c r="B2319" s="26"/>
      <c r="C2319" s="28"/>
      <c r="D2319" s="27"/>
      <c r="E2319" s="29"/>
      <c r="F2319" s="29"/>
      <c r="G2319" s="29"/>
      <c r="H2319" s="30" t="str">
        <f t="shared" si="252"/>
        <v/>
      </c>
      <c r="I2319" s="31" t="str">
        <f>IF(OR(B2319="",C2319=""),"",IFERROR(E2319*IF(E2319="",0,VLOOKUP(C2319,'📦 Precios Proforma'!$B$5:$D$104,IF(D2319="DIA",2,3),FALSE)),0))</f>
        <v/>
      </c>
      <c r="J2319" s="31" t="str">
        <f t="shared" si="253"/>
        <v/>
      </c>
      <c r="K2319" s="31" t="str">
        <f t="shared" si="254"/>
        <v/>
      </c>
      <c r="L2319" s="31" t="str">
        <f>IF(OR(B2319="",C2319=""),"",IFERROR(E2319 / SUMIFS('📅 Resumen Diario'!$D$5:$D$504, '📅 Resumen Diario'!$B$5:$B$504, B2319, '📅 Resumen Diario'!$C$5:$C$504, D2319) * SUMIFS('📅 Resumen Diario'!$K$5:$K$504, '📅 Resumen Diario'!$B$5:$B$504, B2319, '📅 Resumen Diario'!$C$5:$C$504, D2319), 0))</f>
        <v/>
      </c>
      <c r="M2319" s="31" t="str">
        <f t="shared" si="255"/>
        <v/>
      </c>
      <c r="N2319" s="31" t="str">
        <f t="shared" si="256"/>
        <v/>
      </c>
      <c r="O2319" s="31" t="str">
        <f>IF(OR(B2319="",C2319=""),"",K2319-N2319 + IFERROR(E2319 / SUMIFS('📅 Resumen Diario'!$D$5:$D$504, '📅 Resumen Diario'!$B$5:$B$504, B2319, '📅 Resumen Diario'!$C$5:$C$504, D2319) * (SUMIFS('📋 Detalle Diario'!$E$5:$E$489, '📋 Detalle Diario'!$B$5:$B$489, B2319, '📋 Detalle Diario'!$C$5:$C$489, D2319) * 135 + SUMIFS('📋 Detalle Diario'!$I$5:$I$489, '📋 Detalle Diario'!$B$5:$B$489, B2319, '📋 Detalle Diario'!$C$5:$C$489, D2319) * 200), 0))</f>
        <v/>
      </c>
      <c r="P2319" s="32" t="str">
        <f t="shared" si="257"/>
        <v/>
      </c>
      <c r="Q2319" s="33" t="str">
        <f t="shared" si="258"/>
        <v/>
      </c>
    </row>
    <row r="2320" spans="2:17" ht="18" customHeight="1" x14ac:dyDescent="0.3">
      <c r="B2320" s="26"/>
      <c r="C2320" s="17"/>
      <c r="D2320" s="27"/>
      <c r="E2320" s="18"/>
      <c r="F2320" s="18"/>
      <c r="G2320" s="18"/>
      <c r="H2320" s="30" t="str">
        <f t="shared" si="252"/>
        <v/>
      </c>
      <c r="I2320" s="31" t="str">
        <f>IF(OR(B2320="",C2320=""),"",IFERROR(E2320*IF(E2320="",0,VLOOKUP(C2320,'📦 Precios Proforma'!$B$5:$D$104,IF(D2320="DIA",2,3),FALSE)),0))</f>
        <v/>
      </c>
      <c r="J2320" s="31" t="str">
        <f t="shared" si="253"/>
        <v/>
      </c>
      <c r="K2320" s="31" t="str">
        <f t="shared" si="254"/>
        <v/>
      </c>
      <c r="L2320" s="31" t="str">
        <f>IF(OR(B2320="",C2320=""),"",IFERROR(E2320 / SUMIFS('📅 Resumen Diario'!$D$5:$D$504, '📅 Resumen Diario'!$B$5:$B$504, B2320, '📅 Resumen Diario'!$C$5:$C$504, D2320) * SUMIFS('📅 Resumen Diario'!$K$5:$K$504, '📅 Resumen Diario'!$B$5:$B$504, B2320, '📅 Resumen Diario'!$C$5:$C$504, D2320), 0))</f>
        <v/>
      </c>
      <c r="M2320" s="31" t="str">
        <f t="shared" si="255"/>
        <v/>
      </c>
      <c r="N2320" s="31" t="str">
        <f t="shared" si="256"/>
        <v/>
      </c>
      <c r="O2320" s="31" t="str">
        <f>IF(OR(B2320="",C2320=""),"",K2320-N2320 + IFERROR(E2320 / SUMIFS('📅 Resumen Diario'!$D$5:$D$504, '📅 Resumen Diario'!$B$5:$B$504, B2320, '📅 Resumen Diario'!$C$5:$C$504, D2320) * (SUMIFS('📋 Detalle Diario'!$E$5:$E$489, '📋 Detalle Diario'!$B$5:$B$489, B2320, '📋 Detalle Diario'!$C$5:$C$489, D2320) * 135 + SUMIFS('📋 Detalle Diario'!$I$5:$I$489, '📋 Detalle Diario'!$B$5:$B$489, B2320, '📋 Detalle Diario'!$C$5:$C$489, D2320) * 200), 0))</f>
        <v/>
      </c>
      <c r="P2320" s="32" t="str">
        <f t="shared" si="257"/>
        <v/>
      </c>
      <c r="Q2320" s="33" t="str">
        <f t="shared" si="258"/>
        <v/>
      </c>
    </row>
    <row r="2321" spans="2:17" ht="18" customHeight="1" x14ac:dyDescent="0.3">
      <c r="B2321" s="26"/>
      <c r="C2321" s="28"/>
      <c r="D2321" s="27"/>
      <c r="E2321" s="29"/>
      <c r="F2321" s="29"/>
      <c r="G2321" s="29"/>
      <c r="H2321" s="30" t="str">
        <f t="shared" si="252"/>
        <v/>
      </c>
      <c r="I2321" s="31" t="str">
        <f>IF(OR(B2321="",C2321=""),"",IFERROR(E2321*IF(E2321="",0,VLOOKUP(C2321,'📦 Precios Proforma'!$B$5:$D$104,IF(D2321="DIA",2,3),FALSE)),0))</f>
        <v/>
      </c>
      <c r="J2321" s="31" t="str">
        <f t="shared" si="253"/>
        <v/>
      </c>
      <c r="K2321" s="31" t="str">
        <f t="shared" si="254"/>
        <v/>
      </c>
      <c r="L2321" s="31" t="str">
        <f>IF(OR(B2321="",C2321=""),"",IFERROR(E2321 / SUMIFS('📅 Resumen Diario'!$D$5:$D$504, '📅 Resumen Diario'!$B$5:$B$504, B2321, '📅 Resumen Diario'!$C$5:$C$504, D2321) * SUMIFS('📅 Resumen Diario'!$K$5:$K$504, '📅 Resumen Diario'!$B$5:$B$504, B2321, '📅 Resumen Diario'!$C$5:$C$504, D2321), 0))</f>
        <v/>
      </c>
      <c r="M2321" s="31" t="str">
        <f t="shared" si="255"/>
        <v/>
      </c>
      <c r="N2321" s="31" t="str">
        <f t="shared" si="256"/>
        <v/>
      </c>
      <c r="O2321" s="31" t="str">
        <f>IF(OR(B2321="",C2321=""),"",K2321-N2321 + IFERROR(E2321 / SUMIFS('📅 Resumen Diario'!$D$5:$D$504, '📅 Resumen Diario'!$B$5:$B$504, B2321, '📅 Resumen Diario'!$C$5:$C$504, D2321) * (SUMIFS('📋 Detalle Diario'!$E$5:$E$489, '📋 Detalle Diario'!$B$5:$B$489, B2321, '📋 Detalle Diario'!$C$5:$C$489, D2321) * 135 + SUMIFS('📋 Detalle Diario'!$I$5:$I$489, '📋 Detalle Diario'!$B$5:$B$489, B2321, '📋 Detalle Diario'!$C$5:$C$489, D2321) * 200), 0))</f>
        <v/>
      </c>
      <c r="P2321" s="32" t="str">
        <f t="shared" si="257"/>
        <v/>
      </c>
      <c r="Q2321" s="33" t="str">
        <f t="shared" si="258"/>
        <v/>
      </c>
    </row>
    <row r="2322" spans="2:17" ht="18" customHeight="1" x14ac:dyDescent="0.3">
      <c r="B2322" s="26"/>
      <c r="C2322" s="17"/>
      <c r="D2322" s="27"/>
      <c r="E2322" s="18"/>
      <c r="F2322" s="18"/>
      <c r="G2322" s="18"/>
      <c r="H2322" s="30" t="str">
        <f t="shared" si="252"/>
        <v/>
      </c>
      <c r="I2322" s="31" t="str">
        <f>IF(OR(B2322="",C2322=""),"",IFERROR(E2322*IF(E2322="",0,VLOOKUP(C2322,'📦 Precios Proforma'!$B$5:$D$104,IF(D2322="DIA",2,3),FALSE)),0))</f>
        <v/>
      </c>
      <c r="J2322" s="31" t="str">
        <f t="shared" si="253"/>
        <v/>
      </c>
      <c r="K2322" s="31" t="str">
        <f t="shared" si="254"/>
        <v/>
      </c>
      <c r="L2322" s="31" t="str">
        <f>IF(OR(B2322="",C2322=""),"",IFERROR(E2322 / SUMIFS('📅 Resumen Diario'!$D$5:$D$504, '📅 Resumen Diario'!$B$5:$B$504, B2322, '📅 Resumen Diario'!$C$5:$C$504, D2322) * SUMIFS('📅 Resumen Diario'!$K$5:$K$504, '📅 Resumen Diario'!$B$5:$B$504, B2322, '📅 Resumen Diario'!$C$5:$C$504, D2322), 0))</f>
        <v/>
      </c>
      <c r="M2322" s="31" t="str">
        <f t="shared" si="255"/>
        <v/>
      </c>
      <c r="N2322" s="31" t="str">
        <f t="shared" si="256"/>
        <v/>
      </c>
      <c r="O2322" s="31" t="str">
        <f>IF(OR(B2322="",C2322=""),"",K2322-N2322 + IFERROR(E2322 / SUMIFS('📅 Resumen Diario'!$D$5:$D$504, '📅 Resumen Diario'!$B$5:$B$504, B2322, '📅 Resumen Diario'!$C$5:$C$504, D2322) * (SUMIFS('📋 Detalle Diario'!$E$5:$E$489, '📋 Detalle Diario'!$B$5:$B$489, B2322, '📋 Detalle Diario'!$C$5:$C$489, D2322) * 135 + SUMIFS('📋 Detalle Diario'!$I$5:$I$489, '📋 Detalle Diario'!$B$5:$B$489, B2322, '📋 Detalle Diario'!$C$5:$C$489, D2322) * 200), 0))</f>
        <v/>
      </c>
      <c r="P2322" s="32" t="str">
        <f t="shared" si="257"/>
        <v/>
      </c>
      <c r="Q2322" s="33" t="str">
        <f t="shared" si="258"/>
        <v/>
      </c>
    </row>
    <row r="2323" spans="2:17" ht="18" customHeight="1" x14ac:dyDescent="0.3">
      <c r="B2323" s="26"/>
      <c r="C2323" s="28"/>
      <c r="D2323" s="27"/>
      <c r="E2323" s="29"/>
      <c r="F2323" s="29"/>
      <c r="G2323" s="29"/>
      <c r="H2323" s="30" t="str">
        <f t="shared" si="252"/>
        <v/>
      </c>
      <c r="I2323" s="31" t="str">
        <f>IF(OR(B2323="",C2323=""),"",IFERROR(E2323*IF(E2323="",0,VLOOKUP(C2323,'📦 Precios Proforma'!$B$5:$D$104,IF(D2323="DIA",2,3),FALSE)),0))</f>
        <v/>
      </c>
      <c r="J2323" s="31" t="str">
        <f t="shared" si="253"/>
        <v/>
      </c>
      <c r="K2323" s="31" t="str">
        <f t="shared" si="254"/>
        <v/>
      </c>
      <c r="L2323" s="31" t="str">
        <f>IF(OR(B2323="",C2323=""),"",IFERROR(E2323 / SUMIFS('📅 Resumen Diario'!$D$5:$D$504, '📅 Resumen Diario'!$B$5:$B$504, B2323, '📅 Resumen Diario'!$C$5:$C$504, D2323) * SUMIFS('📅 Resumen Diario'!$K$5:$K$504, '📅 Resumen Diario'!$B$5:$B$504, B2323, '📅 Resumen Diario'!$C$5:$C$504, D2323), 0))</f>
        <v/>
      </c>
      <c r="M2323" s="31" t="str">
        <f t="shared" si="255"/>
        <v/>
      </c>
      <c r="N2323" s="31" t="str">
        <f t="shared" si="256"/>
        <v/>
      </c>
      <c r="O2323" s="31" t="str">
        <f>IF(OR(B2323="",C2323=""),"",K2323-N2323 + IFERROR(E2323 / SUMIFS('📅 Resumen Diario'!$D$5:$D$504, '📅 Resumen Diario'!$B$5:$B$504, B2323, '📅 Resumen Diario'!$C$5:$C$504, D2323) * (SUMIFS('📋 Detalle Diario'!$E$5:$E$489, '📋 Detalle Diario'!$B$5:$B$489, B2323, '📋 Detalle Diario'!$C$5:$C$489, D2323) * 135 + SUMIFS('📋 Detalle Diario'!$I$5:$I$489, '📋 Detalle Diario'!$B$5:$B$489, B2323, '📋 Detalle Diario'!$C$5:$C$489, D2323) * 200), 0))</f>
        <v/>
      </c>
      <c r="P2323" s="32" t="str">
        <f t="shared" si="257"/>
        <v/>
      </c>
      <c r="Q2323" s="33" t="str">
        <f t="shared" si="258"/>
        <v/>
      </c>
    </row>
    <row r="2324" spans="2:17" ht="18" customHeight="1" x14ac:dyDescent="0.3">
      <c r="B2324" s="26"/>
      <c r="C2324" s="17"/>
      <c r="D2324" s="27"/>
      <c r="E2324" s="18"/>
      <c r="F2324" s="18"/>
      <c r="G2324" s="18"/>
      <c r="H2324" s="30" t="str">
        <f t="shared" si="252"/>
        <v/>
      </c>
      <c r="I2324" s="31" t="str">
        <f>IF(OR(B2324="",C2324=""),"",IFERROR(E2324*IF(E2324="",0,VLOOKUP(C2324,'📦 Precios Proforma'!$B$5:$D$104,IF(D2324="DIA",2,3),FALSE)),0))</f>
        <v/>
      </c>
      <c r="J2324" s="31" t="str">
        <f t="shared" si="253"/>
        <v/>
      </c>
      <c r="K2324" s="31" t="str">
        <f t="shared" si="254"/>
        <v/>
      </c>
      <c r="L2324" s="31" t="str">
        <f>IF(OR(B2324="",C2324=""),"",IFERROR(E2324 / SUMIFS('📅 Resumen Diario'!$D$5:$D$504, '📅 Resumen Diario'!$B$5:$B$504, B2324, '📅 Resumen Diario'!$C$5:$C$504, D2324) * SUMIFS('📅 Resumen Diario'!$K$5:$K$504, '📅 Resumen Diario'!$B$5:$B$504, B2324, '📅 Resumen Diario'!$C$5:$C$504, D2324), 0))</f>
        <v/>
      </c>
      <c r="M2324" s="31" t="str">
        <f t="shared" si="255"/>
        <v/>
      </c>
      <c r="N2324" s="31" t="str">
        <f t="shared" si="256"/>
        <v/>
      </c>
      <c r="O2324" s="31" t="str">
        <f>IF(OR(B2324="",C2324=""),"",K2324-N2324 + IFERROR(E2324 / SUMIFS('📅 Resumen Diario'!$D$5:$D$504, '📅 Resumen Diario'!$B$5:$B$504, B2324, '📅 Resumen Diario'!$C$5:$C$504, D2324) * (SUMIFS('📋 Detalle Diario'!$E$5:$E$489, '📋 Detalle Diario'!$B$5:$B$489, B2324, '📋 Detalle Diario'!$C$5:$C$489, D2324) * 135 + SUMIFS('📋 Detalle Diario'!$I$5:$I$489, '📋 Detalle Diario'!$B$5:$B$489, B2324, '📋 Detalle Diario'!$C$5:$C$489, D2324) * 200), 0))</f>
        <v/>
      </c>
      <c r="P2324" s="32" t="str">
        <f t="shared" si="257"/>
        <v/>
      </c>
      <c r="Q2324" s="33" t="str">
        <f t="shared" si="258"/>
        <v/>
      </c>
    </row>
    <row r="2325" spans="2:17" ht="18" customHeight="1" x14ac:dyDescent="0.3">
      <c r="B2325" s="26"/>
      <c r="C2325" s="28"/>
      <c r="D2325" s="27"/>
      <c r="E2325" s="29"/>
      <c r="F2325" s="29"/>
      <c r="G2325" s="29"/>
      <c r="H2325" s="30" t="str">
        <f t="shared" si="252"/>
        <v/>
      </c>
      <c r="I2325" s="31" t="str">
        <f>IF(OR(B2325="",C2325=""),"",IFERROR(E2325*IF(E2325="",0,VLOOKUP(C2325,'📦 Precios Proforma'!$B$5:$D$104,IF(D2325="DIA",2,3),FALSE)),0))</f>
        <v/>
      </c>
      <c r="J2325" s="31" t="str">
        <f t="shared" si="253"/>
        <v/>
      </c>
      <c r="K2325" s="31" t="str">
        <f t="shared" si="254"/>
        <v/>
      </c>
      <c r="L2325" s="31" t="str">
        <f>IF(OR(B2325="",C2325=""),"",IFERROR(E2325 / SUMIFS('📅 Resumen Diario'!$D$5:$D$504, '📅 Resumen Diario'!$B$5:$B$504, B2325, '📅 Resumen Diario'!$C$5:$C$504, D2325) * SUMIFS('📅 Resumen Diario'!$K$5:$K$504, '📅 Resumen Diario'!$B$5:$B$504, B2325, '📅 Resumen Diario'!$C$5:$C$504, D2325), 0))</f>
        <v/>
      </c>
      <c r="M2325" s="31" t="str">
        <f t="shared" si="255"/>
        <v/>
      </c>
      <c r="N2325" s="31" t="str">
        <f t="shared" si="256"/>
        <v/>
      </c>
      <c r="O2325" s="31" t="str">
        <f>IF(OR(B2325="",C2325=""),"",K2325-N2325 + IFERROR(E2325 / SUMIFS('📅 Resumen Diario'!$D$5:$D$504, '📅 Resumen Diario'!$B$5:$B$504, B2325, '📅 Resumen Diario'!$C$5:$C$504, D2325) * (SUMIFS('📋 Detalle Diario'!$E$5:$E$489, '📋 Detalle Diario'!$B$5:$B$489, B2325, '📋 Detalle Diario'!$C$5:$C$489, D2325) * 135 + SUMIFS('📋 Detalle Diario'!$I$5:$I$489, '📋 Detalle Diario'!$B$5:$B$489, B2325, '📋 Detalle Diario'!$C$5:$C$489, D2325) * 200), 0))</f>
        <v/>
      </c>
      <c r="P2325" s="32" t="str">
        <f t="shared" si="257"/>
        <v/>
      </c>
      <c r="Q2325" s="33" t="str">
        <f t="shared" si="258"/>
        <v/>
      </c>
    </row>
    <row r="2326" spans="2:17" ht="18" customHeight="1" x14ac:dyDescent="0.3">
      <c r="B2326" s="26"/>
      <c r="C2326" s="17"/>
      <c r="D2326" s="27"/>
      <c r="E2326" s="18"/>
      <c r="F2326" s="18"/>
      <c r="G2326" s="18"/>
      <c r="H2326" s="30" t="str">
        <f t="shared" si="252"/>
        <v/>
      </c>
      <c r="I2326" s="31" t="str">
        <f>IF(OR(B2326="",C2326=""),"",IFERROR(E2326*IF(E2326="",0,VLOOKUP(C2326,'📦 Precios Proforma'!$B$5:$D$104,IF(D2326="DIA",2,3),FALSE)),0))</f>
        <v/>
      </c>
      <c r="J2326" s="31" t="str">
        <f t="shared" si="253"/>
        <v/>
      </c>
      <c r="K2326" s="31" t="str">
        <f t="shared" si="254"/>
        <v/>
      </c>
      <c r="L2326" s="31" t="str">
        <f>IF(OR(B2326="",C2326=""),"",IFERROR(E2326 / SUMIFS('📅 Resumen Diario'!$D$5:$D$504, '📅 Resumen Diario'!$B$5:$B$504, B2326, '📅 Resumen Diario'!$C$5:$C$504, D2326) * SUMIFS('📅 Resumen Diario'!$K$5:$K$504, '📅 Resumen Diario'!$B$5:$B$504, B2326, '📅 Resumen Diario'!$C$5:$C$504, D2326), 0))</f>
        <v/>
      </c>
      <c r="M2326" s="31" t="str">
        <f t="shared" si="255"/>
        <v/>
      </c>
      <c r="N2326" s="31" t="str">
        <f t="shared" si="256"/>
        <v/>
      </c>
      <c r="O2326" s="31" t="str">
        <f>IF(OR(B2326="",C2326=""),"",K2326-N2326 + IFERROR(E2326 / SUMIFS('📅 Resumen Diario'!$D$5:$D$504, '📅 Resumen Diario'!$B$5:$B$504, B2326, '📅 Resumen Diario'!$C$5:$C$504, D2326) * (SUMIFS('📋 Detalle Diario'!$E$5:$E$489, '📋 Detalle Diario'!$B$5:$B$489, B2326, '📋 Detalle Diario'!$C$5:$C$489, D2326) * 135 + SUMIFS('📋 Detalle Diario'!$I$5:$I$489, '📋 Detalle Diario'!$B$5:$B$489, B2326, '📋 Detalle Diario'!$C$5:$C$489, D2326) * 200), 0))</f>
        <v/>
      </c>
      <c r="P2326" s="32" t="str">
        <f t="shared" si="257"/>
        <v/>
      </c>
      <c r="Q2326" s="33" t="str">
        <f t="shared" si="258"/>
        <v/>
      </c>
    </row>
    <row r="2327" spans="2:17" ht="18" customHeight="1" x14ac:dyDescent="0.3">
      <c r="B2327" s="26"/>
      <c r="C2327" s="28"/>
      <c r="D2327" s="27"/>
      <c r="E2327" s="29"/>
      <c r="F2327" s="29"/>
      <c r="G2327" s="29"/>
      <c r="H2327" s="30" t="str">
        <f t="shared" si="252"/>
        <v/>
      </c>
      <c r="I2327" s="31" t="str">
        <f>IF(OR(B2327="",C2327=""),"",IFERROR(E2327*IF(E2327="",0,VLOOKUP(C2327,'📦 Precios Proforma'!$B$5:$D$104,IF(D2327="DIA",2,3),FALSE)),0))</f>
        <v/>
      </c>
      <c r="J2327" s="31" t="str">
        <f t="shared" si="253"/>
        <v/>
      </c>
      <c r="K2327" s="31" t="str">
        <f t="shared" si="254"/>
        <v/>
      </c>
      <c r="L2327" s="31" t="str">
        <f>IF(OR(B2327="",C2327=""),"",IFERROR(E2327 / SUMIFS('📅 Resumen Diario'!$D$5:$D$504, '📅 Resumen Diario'!$B$5:$B$504, B2327, '📅 Resumen Diario'!$C$5:$C$504, D2327) * SUMIFS('📅 Resumen Diario'!$K$5:$K$504, '📅 Resumen Diario'!$B$5:$B$504, B2327, '📅 Resumen Diario'!$C$5:$C$504, D2327), 0))</f>
        <v/>
      </c>
      <c r="M2327" s="31" t="str">
        <f t="shared" si="255"/>
        <v/>
      </c>
      <c r="N2327" s="31" t="str">
        <f t="shared" si="256"/>
        <v/>
      </c>
      <c r="O2327" s="31" t="str">
        <f>IF(OR(B2327="",C2327=""),"",K2327-N2327 + IFERROR(E2327 / SUMIFS('📅 Resumen Diario'!$D$5:$D$504, '📅 Resumen Diario'!$B$5:$B$504, B2327, '📅 Resumen Diario'!$C$5:$C$504, D2327) * (SUMIFS('📋 Detalle Diario'!$E$5:$E$489, '📋 Detalle Diario'!$B$5:$B$489, B2327, '📋 Detalle Diario'!$C$5:$C$489, D2327) * 135 + SUMIFS('📋 Detalle Diario'!$I$5:$I$489, '📋 Detalle Diario'!$B$5:$B$489, B2327, '📋 Detalle Diario'!$C$5:$C$489, D2327) * 200), 0))</f>
        <v/>
      </c>
      <c r="P2327" s="32" t="str">
        <f t="shared" si="257"/>
        <v/>
      </c>
      <c r="Q2327" s="33" t="str">
        <f t="shared" si="258"/>
        <v/>
      </c>
    </row>
    <row r="2328" spans="2:17" ht="18" customHeight="1" x14ac:dyDescent="0.3">
      <c r="B2328" s="26"/>
      <c r="C2328" s="17"/>
      <c r="D2328" s="27"/>
      <c r="E2328" s="18"/>
      <c r="F2328" s="18"/>
      <c r="G2328" s="18"/>
      <c r="H2328" s="30" t="str">
        <f t="shared" si="252"/>
        <v/>
      </c>
      <c r="I2328" s="31" t="str">
        <f>IF(OR(B2328="",C2328=""),"",IFERROR(E2328*IF(E2328="",0,VLOOKUP(C2328,'📦 Precios Proforma'!$B$5:$D$104,IF(D2328="DIA",2,3),FALSE)),0))</f>
        <v/>
      </c>
      <c r="J2328" s="31" t="str">
        <f t="shared" si="253"/>
        <v/>
      </c>
      <c r="K2328" s="31" t="str">
        <f t="shared" si="254"/>
        <v/>
      </c>
      <c r="L2328" s="31" t="str">
        <f>IF(OR(B2328="",C2328=""),"",IFERROR(E2328 / SUMIFS('📅 Resumen Diario'!$D$5:$D$504, '📅 Resumen Diario'!$B$5:$B$504, B2328, '📅 Resumen Diario'!$C$5:$C$504, D2328) * SUMIFS('📅 Resumen Diario'!$K$5:$K$504, '📅 Resumen Diario'!$B$5:$B$504, B2328, '📅 Resumen Diario'!$C$5:$C$504, D2328), 0))</f>
        <v/>
      </c>
      <c r="M2328" s="31" t="str">
        <f t="shared" si="255"/>
        <v/>
      </c>
      <c r="N2328" s="31" t="str">
        <f t="shared" si="256"/>
        <v/>
      </c>
      <c r="O2328" s="31" t="str">
        <f>IF(OR(B2328="",C2328=""),"",K2328-N2328 + IFERROR(E2328 / SUMIFS('📅 Resumen Diario'!$D$5:$D$504, '📅 Resumen Diario'!$B$5:$B$504, B2328, '📅 Resumen Diario'!$C$5:$C$504, D2328) * (SUMIFS('📋 Detalle Diario'!$E$5:$E$489, '📋 Detalle Diario'!$B$5:$B$489, B2328, '📋 Detalle Diario'!$C$5:$C$489, D2328) * 135 + SUMIFS('📋 Detalle Diario'!$I$5:$I$489, '📋 Detalle Diario'!$B$5:$B$489, B2328, '📋 Detalle Diario'!$C$5:$C$489, D2328) * 200), 0))</f>
        <v/>
      </c>
      <c r="P2328" s="32" t="str">
        <f t="shared" si="257"/>
        <v/>
      </c>
      <c r="Q2328" s="33" t="str">
        <f t="shared" si="258"/>
        <v/>
      </c>
    </row>
    <row r="2329" spans="2:17" ht="18" customHeight="1" x14ac:dyDescent="0.3">
      <c r="B2329" s="26"/>
      <c r="C2329" s="28"/>
      <c r="D2329" s="27"/>
      <c r="E2329" s="29"/>
      <c r="F2329" s="29"/>
      <c r="G2329" s="29"/>
      <c r="H2329" s="30" t="str">
        <f t="shared" si="252"/>
        <v/>
      </c>
      <c r="I2329" s="31" t="str">
        <f>IF(OR(B2329="",C2329=""),"",IFERROR(E2329*IF(E2329="",0,VLOOKUP(C2329,'📦 Precios Proforma'!$B$5:$D$104,IF(D2329="DIA",2,3),FALSE)),0))</f>
        <v/>
      </c>
      <c r="J2329" s="31" t="str">
        <f t="shared" si="253"/>
        <v/>
      </c>
      <c r="K2329" s="31" t="str">
        <f t="shared" si="254"/>
        <v/>
      </c>
      <c r="L2329" s="31" t="str">
        <f>IF(OR(B2329="",C2329=""),"",IFERROR(E2329 / SUMIFS('📅 Resumen Diario'!$D$5:$D$504, '📅 Resumen Diario'!$B$5:$B$504, B2329, '📅 Resumen Diario'!$C$5:$C$504, D2329) * SUMIFS('📅 Resumen Diario'!$K$5:$K$504, '📅 Resumen Diario'!$B$5:$B$504, B2329, '📅 Resumen Diario'!$C$5:$C$504, D2329), 0))</f>
        <v/>
      </c>
      <c r="M2329" s="31" t="str">
        <f t="shared" si="255"/>
        <v/>
      </c>
      <c r="N2329" s="31" t="str">
        <f t="shared" si="256"/>
        <v/>
      </c>
      <c r="O2329" s="31" t="str">
        <f>IF(OR(B2329="",C2329=""),"",K2329-N2329 + IFERROR(E2329 / SUMIFS('📅 Resumen Diario'!$D$5:$D$504, '📅 Resumen Diario'!$B$5:$B$504, B2329, '📅 Resumen Diario'!$C$5:$C$504, D2329) * (SUMIFS('📋 Detalle Diario'!$E$5:$E$489, '📋 Detalle Diario'!$B$5:$B$489, B2329, '📋 Detalle Diario'!$C$5:$C$489, D2329) * 135 + SUMIFS('📋 Detalle Diario'!$I$5:$I$489, '📋 Detalle Diario'!$B$5:$B$489, B2329, '📋 Detalle Diario'!$C$5:$C$489, D2329) * 200), 0))</f>
        <v/>
      </c>
      <c r="P2329" s="32" t="str">
        <f t="shared" si="257"/>
        <v/>
      </c>
      <c r="Q2329" s="33" t="str">
        <f t="shared" si="258"/>
        <v/>
      </c>
    </row>
    <row r="2330" spans="2:17" ht="18" customHeight="1" x14ac:dyDescent="0.3">
      <c r="B2330" s="26"/>
      <c r="C2330" s="17"/>
      <c r="D2330" s="27"/>
      <c r="E2330" s="18"/>
      <c r="F2330" s="18"/>
      <c r="G2330" s="18"/>
      <c r="H2330" s="30" t="str">
        <f t="shared" si="252"/>
        <v/>
      </c>
      <c r="I2330" s="31" t="str">
        <f>IF(OR(B2330="",C2330=""),"",IFERROR(E2330*IF(E2330="",0,VLOOKUP(C2330,'📦 Precios Proforma'!$B$5:$D$104,IF(D2330="DIA",2,3),FALSE)),0))</f>
        <v/>
      </c>
      <c r="J2330" s="31" t="str">
        <f t="shared" si="253"/>
        <v/>
      </c>
      <c r="K2330" s="31" t="str">
        <f t="shared" si="254"/>
        <v/>
      </c>
      <c r="L2330" s="31" t="str">
        <f>IF(OR(B2330="",C2330=""),"",IFERROR(E2330 / SUMIFS('📅 Resumen Diario'!$D$5:$D$504, '📅 Resumen Diario'!$B$5:$B$504, B2330, '📅 Resumen Diario'!$C$5:$C$504, D2330) * SUMIFS('📅 Resumen Diario'!$K$5:$K$504, '📅 Resumen Diario'!$B$5:$B$504, B2330, '📅 Resumen Diario'!$C$5:$C$504, D2330), 0))</f>
        <v/>
      </c>
      <c r="M2330" s="31" t="str">
        <f t="shared" si="255"/>
        <v/>
      </c>
      <c r="N2330" s="31" t="str">
        <f t="shared" si="256"/>
        <v/>
      </c>
      <c r="O2330" s="31" t="str">
        <f>IF(OR(B2330="",C2330=""),"",K2330-N2330 + IFERROR(E2330 / SUMIFS('📅 Resumen Diario'!$D$5:$D$504, '📅 Resumen Diario'!$B$5:$B$504, B2330, '📅 Resumen Diario'!$C$5:$C$504, D2330) * (SUMIFS('📋 Detalle Diario'!$E$5:$E$489, '📋 Detalle Diario'!$B$5:$B$489, B2330, '📋 Detalle Diario'!$C$5:$C$489, D2330) * 135 + SUMIFS('📋 Detalle Diario'!$I$5:$I$489, '📋 Detalle Diario'!$B$5:$B$489, B2330, '📋 Detalle Diario'!$C$5:$C$489, D2330) * 200), 0))</f>
        <v/>
      </c>
      <c r="P2330" s="32" t="str">
        <f t="shared" si="257"/>
        <v/>
      </c>
      <c r="Q2330" s="33" t="str">
        <f t="shared" si="258"/>
        <v/>
      </c>
    </row>
    <row r="2331" spans="2:17" ht="18" customHeight="1" x14ac:dyDescent="0.3">
      <c r="B2331" s="26"/>
      <c r="C2331" s="28"/>
      <c r="D2331" s="27"/>
      <c r="E2331" s="29"/>
      <c r="F2331" s="29"/>
      <c r="G2331" s="29"/>
      <c r="H2331" s="30" t="str">
        <f t="shared" si="252"/>
        <v/>
      </c>
      <c r="I2331" s="31" t="str">
        <f>IF(OR(B2331="",C2331=""),"",IFERROR(E2331*IF(E2331="",0,VLOOKUP(C2331,'📦 Precios Proforma'!$B$5:$D$104,IF(D2331="DIA",2,3),FALSE)),0))</f>
        <v/>
      </c>
      <c r="J2331" s="31" t="str">
        <f t="shared" si="253"/>
        <v/>
      </c>
      <c r="K2331" s="31" t="str">
        <f t="shared" si="254"/>
        <v/>
      </c>
      <c r="L2331" s="31" t="str">
        <f>IF(OR(B2331="",C2331=""),"",IFERROR(E2331 / SUMIFS('📅 Resumen Diario'!$D$5:$D$504, '📅 Resumen Diario'!$B$5:$B$504, B2331, '📅 Resumen Diario'!$C$5:$C$504, D2331) * SUMIFS('📅 Resumen Diario'!$K$5:$K$504, '📅 Resumen Diario'!$B$5:$B$504, B2331, '📅 Resumen Diario'!$C$5:$C$504, D2331), 0))</f>
        <v/>
      </c>
      <c r="M2331" s="31" t="str">
        <f t="shared" si="255"/>
        <v/>
      </c>
      <c r="N2331" s="31" t="str">
        <f t="shared" si="256"/>
        <v/>
      </c>
      <c r="O2331" s="31" t="str">
        <f>IF(OR(B2331="",C2331=""),"",K2331-N2331 + IFERROR(E2331 / SUMIFS('📅 Resumen Diario'!$D$5:$D$504, '📅 Resumen Diario'!$B$5:$B$504, B2331, '📅 Resumen Diario'!$C$5:$C$504, D2331) * (SUMIFS('📋 Detalle Diario'!$E$5:$E$489, '📋 Detalle Diario'!$B$5:$B$489, B2331, '📋 Detalle Diario'!$C$5:$C$489, D2331) * 135 + SUMIFS('📋 Detalle Diario'!$I$5:$I$489, '📋 Detalle Diario'!$B$5:$B$489, B2331, '📋 Detalle Diario'!$C$5:$C$489, D2331) * 200), 0))</f>
        <v/>
      </c>
      <c r="P2331" s="32" t="str">
        <f t="shared" si="257"/>
        <v/>
      </c>
      <c r="Q2331" s="33" t="str">
        <f t="shared" si="258"/>
        <v/>
      </c>
    </row>
    <row r="2332" spans="2:17" ht="18" customHeight="1" x14ac:dyDescent="0.3">
      <c r="B2332" s="26"/>
      <c r="C2332" s="17"/>
      <c r="D2332" s="27"/>
      <c r="E2332" s="18"/>
      <c r="F2332" s="18"/>
      <c r="G2332" s="18"/>
      <c r="H2332" s="30" t="str">
        <f t="shared" si="252"/>
        <v/>
      </c>
      <c r="I2332" s="31" t="str">
        <f>IF(OR(B2332="",C2332=""),"",IFERROR(E2332*IF(E2332="",0,VLOOKUP(C2332,'📦 Precios Proforma'!$B$5:$D$104,IF(D2332="DIA",2,3),FALSE)),0))</f>
        <v/>
      </c>
      <c r="J2332" s="31" t="str">
        <f t="shared" si="253"/>
        <v/>
      </c>
      <c r="K2332" s="31" t="str">
        <f t="shared" si="254"/>
        <v/>
      </c>
      <c r="L2332" s="31" t="str">
        <f>IF(OR(B2332="",C2332=""),"",IFERROR(E2332 / SUMIFS('📅 Resumen Diario'!$D$5:$D$504, '📅 Resumen Diario'!$B$5:$B$504, B2332, '📅 Resumen Diario'!$C$5:$C$504, D2332) * SUMIFS('📅 Resumen Diario'!$K$5:$K$504, '📅 Resumen Diario'!$B$5:$B$504, B2332, '📅 Resumen Diario'!$C$5:$C$504, D2332), 0))</f>
        <v/>
      </c>
      <c r="M2332" s="31" t="str">
        <f t="shared" si="255"/>
        <v/>
      </c>
      <c r="N2332" s="31" t="str">
        <f t="shared" si="256"/>
        <v/>
      </c>
      <c r="O2332" s="31" t="str">
        <f>IF(OR(B2332="",C2332=""),"",K2332-N2332 + IFERROR(E2332 / SUMIFS('📅 Resumen Diario'!$D$5:$D$504, '📅 Resumen Diario'!$B$5:$B$504, B2332, '📅 Resumen Diario'!$C$5:$C$504, D2332) * (SUMIFS('📋 Detalle Diario'!$E$5:$E$489, '📋 Detalle Diario'!$B$5:$B$489, B2332, '📋 Detalle Diario'!$C$5:$C$489, D2332) * 135 + SUMIFS('📋 Detalle Diario'!$I$5:$I$489, '📋 Detalle Diario'!$B$5:$B$489, B2332, '📋 Detalle Diario'!$C$5:$C$489, D2332) * 200), 0))</f>
        <v/>
      </c>
      <c r="P2332" s="32" t="str">
        <f t="shared" si="257"/>
        <v/>
      </c>
      <c r="Q2332" s="33" t="str">
        <f t="shared" si="258"/>
        <v/>
      </c>
    </row>
    <row r="2333" spans="2:17" ht="18" customHeight="1" x14ac:dyDescent="0.3">
      <c r="B2333" s="26"/>
      <c r="C2333" s="28"/>
      <c r="D2333" s="27"/>
      <c r="E2333" s="29"/>
      <c r="F2333" s="29"/>
      <c r="G2333" s="29"/>
      <c r="H2333" s="30" t="str">
        <f t="shared" si="252"/>
        <v/>
      </c>
      <c r="I2333" s="31" t="str">
        <f>IF(OR(B2333="",C2333=""),"",IFERROR(E2333*IF(E2333="",0,VLOOKUP(C2333,'📦 Precios Proforma'!$B$5:$D$104,IF(D2333="DIA",2,3),FALSE)),0))</f>
        <v/>
      </c>
      <c r="J2333" s="31" t="str">
        <f t="shared" si="253"/>
        <v/>
      </c>
      <c r="K2333" s="31" t="str">
        <f t="shared" si="254"/>
        <v/>
      </c>
      <c r="L2333" s="31" t="str">
        <f>IF(OR(B2333="",C2333=""),"",IFERROR(E2333 / SUMIFS('📅 Resumen Diario'!$D$5:$D$504, '📅 Resumen Diario'!$B$5:$B$504, B2333, '📅 Resumen Diario'!$C$5:$C$504, D2333) * SUMIFS('📅 Resumen Diario'!$K$5:$K$504, '📅 Resumen Diario'!$B$5:$B$504, B2333, '📅 Resumen Diario'!$C$5:$C$504, D2333), 0))</f>
        <v/>
      </c>
      <c r="M2333" s="31" t="str">
        <f t="shared" si="255"/>
        <v/>
      </c>
      <c r="N2333" s="31" t="str">
        <f t="shared" si="256"/>
        <v/>
      </c>
      <c r="O2333" s="31" t="str">
        <f>IF(OR(B2333="",C2333=""),"",K2333-N2333 + IFERROR(E2333 / SUMIFS('📅 Resumen Diario'!$D$5:$D$504, '📅 Resumen Diario'!$B$5:$B$504, B2333, '📅 Resumen Diario'!$C$5:$C$504, D2333) * (SUMIFS('📋 Detalle Diario'!$E$5:$E$489, '📋 Detalle Diario'!$B$5:$B$489, B2333, '📋 Detalle Diario'!$C$5:$C$489, D2333) * 135 + SUMIFS('📋 Detalle Diario'!$I$5:$I$489, '📋 Detalle Diario'!$B$5:$B$489, B2333, '📋 Detalle Diario'!$C$5:$C$489, D2333) * 200), 0))</f>
        <v/>
      </c>
      <c r="P2333" s="32" t="str">
        <f t="shared" si="257"/>
        <v/>
      </c>
      <c r="Q2333" s="33" t="str">
        <f t="shared" si="258"/>
        <v/>
      </c>
    </row>
    <row r="2334" spans="2:17" ht="18" customHeight="1" x14ac:dyDescent="0.3">
      <c r="B2334" s="26"/>
      <c r="C2334" s="17"/>
      <c r="D2334" s="27"/>
      <c r="E2334" s="18"/>
      <c r="F2334" s="18"/>
      <c r="G2334" s="18"/>
      <c r="H2334" s="30" t="str">
        <f t="shared" si="252"/>
        <v/>
      </c>
      <c r="I2334" s="31" t="str">
        <f>IF(OR(B2334="",C2334=""),"",IFERROR(E2334*IF(E2334="",0,VLOOKUP(C2334,'📦 Precios Proforma'!$B$5:$D$104,IF(D2334="DIA",2,3),FALSE)),0))</f>
        <v/>
      </c>
      <c r="J2334" s="31" t="str">
        <f t="shared" si="253"/>
        <v/>
      </c>
      <c r="K2334" s="31" t="str">
        <f t="shared" si="254"/>
        <v/>
      </c>
      <c r="L2334" s="31" t="str">
        <f>IF(OR(B2334="",C2334=""),"",IFERROR(E2334 / SUMIFS('📅 Resumen Diario'!$D$5:$D$504, '📅 Resumen Diario'!$B$5:$B$504, B2334, '📅 Resumen Diario'!$C$5:$C$504, D2334) * SUMIFS('📅 Resumen Diario'!$K$5:$K$504, '📅 Resumen Diario'!$B$5:$B$504, B2334, '📅 Resumen Diario'!$C$5:$C$504, D2334), 0))</f>
        <v/>
      </c>
      <c r="M2334" s="31" t="str">
        <f t="shared" si="255"/>
        <v/>
      </c>
      <c r="N2334" s="31" t="str">
        <f t="shared" si="256"/>
        <v/>
      </c>
      <c r="O2334" s="31" t="str">
        <f>IF(OR(B2334="",C2334=""),"",K2334-N2334 + IFERROR(E2334 / SUMIFS('📅 Resumen Diario'!$D$5:$D$504, '📅 Resumen Diario'!$B$5:$B$504, B2334, '📅 Resumen Diario'!$C$5:$C$504, D2334) * (SUMIFS('📋 Detalle Diario'!$E$5:$E$489, '📋 Detalle Diario'!$B$5:$B$489, B2334, '📋 Detalle Diario'!$C$5:$C$489, D2334) * 135 + SUMIFS('📋 Detalle Diario'!$I$5:$I$489, '📋 Detalle Diario'!$B$5:$B$489, B2334, '📋 Detalle Diario'!$C$5:$C$489, D2334) * 200), 0))</f>
        <v/>
      </c>
      <c r="P2334" s="32" t="str">
        <f t="shared" si="257"/>
        <v/>
      </c>
      <c r="Q2334" s="33" t="str">
        <f t="shared" si="258"/>
        <v/>
      </c>
    </row>
    <row r="2335" spans="2:17" ht="18" customHeight="1" x14ac:dyDescent="0.3">
      <c r="B2335" s="26"/>
      <c r="C2335" s="28"/>
      <c r="D2335" s="27"/>
      <c r="E2335" s="29"/>
      <c r="F2335" s="29"/>
      <c r="G2335" s="29"/>
      <c r="H2335" s="30" t="str">
        <f t="shared" si="252"/>
        <v/>
      </c>
      <c r="I2335" s="31" t="str">
        <f>IF(OR(B2335="",C2335=""),"",IFERROR(E2335*IF(E2335="",0,VLOOKUP(C2335,'📦 Precios Proforma'!$B$5:$D$104,IF(D2335="DIA",2,3),FALSE)),0))</f>
        <v/>
      </c>
      <c r="J2335" s="31" t="str">
        <f t="shared" si="253"/>
        <v/>
      </c>
      <c r="K2335" s="31" t="str">
        <f t="shared" si="254"/>
        <v/>
      </c>
      <c r="L2335" s="31" t="str">
        <f>IF(OR(B2335="",C2335=""),"",IFERROR(E2335 / SUMIFS('📅 Resumen Diario'!$D$5:$D$504, '📅 Resumen Diario'!$B$5:$B$504, B2335, '📅 Resumen Diario'!$C$5:$C$504, D2335) * SUMIFS('📅 Resumen Diario'!$K$5:$K$504, '📅 Resumen Diario'!$B$5:$B$504, B2335, '📅 Resumen Diario'!$C$5:$C$504, D2335), 0))</f>
        <v/>
      </c>
      <c r="M2335" s="31" t="str">
        <f t="shared" si="255"/>
        <v/>
      </c>
      <c r="N2335" s="31" t="str">
        <f t="shared" si="256"/>
        <v/>
      </c>
      <c r="O2335" s="31" t="str">
        <f>IF(OR(B2335="",C2335=""),"",K2335-N2335 + IFERROR(E2335 / SUMIFS('📅 Resumen Diario'!$D$5:$D$504, '📅 Resumen Diario'!$B$5:$B$504, B2335, '📅 Resumen Diario'!$C$5:$C$504, D2335) * (SUMIFS('📋 Detalle Diario'!$E$5:$E$489, '📋 Detalle Diario'!$B$5:$B$489, B2335, '📋 Detalle Diario'!$C$5:$C$489, D2335) * 135 + SUMIFS('📋 Detalle Diario'!$I$5:$I$489, '📋 Detalle Diario'!$B$5:$B$489, B2335, '📋 Detalle Diario'!$C$5:$C$489, D2335) * 200), 0))</f>
        <v/>
      </c>
      <c r="P2335" s="32" t="str">
        <f t="shared" si="257"/>
        <v/>
      </c>
      <c r="Q2335" s="33" t="str">
        <f t="shared" si="258"/>
        <v/>
      </c>
    </row>
    <row r="2336" spans="2:17" ht="18" customHeight="1" x14ac:dyDescent="0.3">
      <c r="B2336" s="26"/>
      <c r="C2336" s="17"/>
      <c r="D2336" s="27"/>
      <c r="E2336" s="18"/>
      <c r="F2336" s="18"/>
      <c r="G2336" s="18"/>
      <c r="H2336" s="30" t="str">
        <f t="shared" si="252"/>
        <v/>
      </c>
      <c r="I2336" s="31" t="str">
        <f>IF(OR(B2336="",C2336=""),"",IFERROR(E2336*IF(E2336="",0,VLOOKUP(C2336,'📦 Precios Proforma'!$B$5:$D$104,IF(D2336="DIA",2,3),FALSE)),0))</f>
        <v/>
      </c>
      <c r="J2336" s="31" t="str">
        <f t="shared" si="253"/>
        <v/>
      </c>
      <c r="K2336" s="31" t="str">
        <f t="shared" si="254"/>
        <v/>
      </c>
      <c r="L2336" s="31" t="str">
        <f>IF(OR(B2336="",C2336=""),"",IFERROR(E2336 / SUMIFS('📅 Resumen Diario'!$D$5:$D$504, '📅 Resumen Diario'!$B$5:$B$504, B2336, '📅 Resumen Diario'!$C$5:$C$504, D2336) * SUMIFS('📅 Resumen Diario'!$K$5:$K$504, '📅 Resumen Diario'!$B$5:$B$504, B2336, '📅 Resumen Diario'!$C$5:$C$504, D2336), 0))</f>
        <v/>
      </c>
      <c r="M2336" s="31" t="str">
        <f t="shared" si="255"/>
        <v/>
      </c>
      <c r="N2336" s="31" t="str">
        <f t="shared" si="256"/>
        <v/>
      </c>
      <c r="O2336" s="31" t="str">
        <f>IF(OR(B2336="",C2336=""),"",K2336-N2336 + IFERROR(E2336 / SUMIFS('📅 Resumen Diario'!$D$5:$D$504, '📅 Resumen Diario'!$B$5:$B$504, B2336, '📅 Resumen Diario'!$C$5:$C$504, D2336) * (SUMIFS('📋 Detalle Diario'!$E$5:$E$489, '📋 Detalle Diario'!$B$5:$B$489, B2336, '📋 Detalle Diario'!$C$5:$C$489, D2336) * 135 + SUMIFS('📋 Detalle Diario'!$I$5:$I$489, '📋 Detalle Diario'!$B$5:$B$489, B2336, '📋 Detalle Diario'!$C$5:$C$489, D2336) * 200), 0))</f>
        <v/>
      </c>
      <c r="P2336" s="32" t="str">
        <f t="shared" si="257"/>
        <v/>
      </c>
      <c r="Q2336" s="33" t="str">
        <f t="shared" si="258"/>
        <v/>
      </c>
    </row>
    <row r="2337" spans="2:17" ht="18" customHeight="1" x14ac:dyDescent="0.3">
      <c r="B2337" s="26"/>
      <c r="C2337" s="28"/>
      <c r="D2337" s="27"/>
      <c r="E2337" s="29"/>
      <c r="F2337" s="29"/>
      <c r="G2337" s="29"/>
      <c r="H2337" s="30" t="str">
        <f t="shared" si="252"/>
        <v/>
      </c>
      <c r="I2337" s="31" t="str">
        <f>IF(OR(B2337="",C2337=""),"",IFERROR(E2337*IF(E2337="",0,VLOOKUP(C2337,'📦 Precios Proforma'!$B$5:$D$104,IF(D2337="DIA",2,3),FALSE)),0))</f>
        <v/>
      </c>
      <c r="J2337" s="31" t="str">
        <f t="shared" si="253"/>
        <v/>
      </c>
      <c r="K2337" s="31" t="str">
        <f t="shared" si="254"/>
        <v/>
      </c>
      <c r="L2337" s="31" t="str">
        <f>IF(OR(B2337="",C2337=""),"",IFERROR(E2337 / SUMIFS('📅 Resumen Diario'!$D$5:$D$504, '📅 Resumen Diario'!$B$5:$B$504, B2337, '📅 Resumen Diario'!$C$5:$C$504, D2337) * SUMIFS('📅 Resumen Diario'!$K$5:$K$504, '📅 Resumen Diario'!$B$5:$B$504, B2337, '📅 Resumen Diario'!$C$5:$C$504, D2337), 0))</f>
        <v/>
      </c>
      <c r="M2337" s="31" t="str">
        <f t="shared" si="255"/>
        <v/>
      </c>
      <c r="N2337" s="31" t="str">
        <f t="shared" si="256"/>
        <v/>
      </c>
      <c r="O2337" s="31" t="str">
        <f>IF(OR(B2337="",C2337=""),"",K2337-N2337 + IFERROR(E2337 / SUMIFS('📅 Resumen Diario'!$D$5:$D$504, '📅 Resumen Diario'!$B$5:$B$504, B2337, '📅 Resumen Diario'!$C$5:$C$504, D2337) * (SUMIFS('📋 Detalle Diario'!$E$5:$E$489, '📋 Detalle Diario'!$B$5:$B$489, B2337, '📋 Detalle Diario'!$C$5:$C$489, D2337) * 135 + SUMIFS('📋 Detalle Diario'!$I$5:$I$489, '📋 Detalle Diario'!$B$5:$B$489, B2337, '📋 Detalle Diario'!$C$5:$C$489, D2337) * 200), 0))</f>
        <v/>
      </c>
      <c r="P2337" s="32" t="str">
        <f t="shared" si="257"/>
        <v/>
      </c>
      <c r="Q2337" s="33" t="str">
        <f t="shared" si="258"/>
        <v/>
      </c>
    </row>
    <row r="2338" spans="2:17" ht="18" customHeight="1" x14ac:dyDescent="0.3">
      <c r="B2338" s="26"/>
      <c r="C2338" s="17"/>
      <c r="D2338" s="27"/>
      <c r="E2338" s="18"/>
      <c r="F2338" s="18"/>
      <c r="G2338" s="18"/>
      <c r="H2338" s="30" t="str">
        <f t="shared" si="252"/>
        <v/>
      </c>
      <c r="I2338" s="31" t="str">
        <f>IF(OR(B2338="",C2338=""),"",IFERROR(E2338*IF(E2338="",0,VLOOKUP(C2338,'📦 Precios Proforma'!$B$5:$D$104,IF(D2338="DIA",2,3),FALSE)),0))</f>
        <v/>
      </c>
      <c r="J2338" s="31" t="str">
        <f t="shared" si="253"/>
        <v/>
      </c>
      <c r="K2338" s="31" t="str">
        <f t="shared" si="254"/>
        <v/>
      </c>
      <c r="L2338" s="31" t="str">
        <f>IF(OR(B2338="",C2338=""),"",IFERROR(E2338 / SUMIFS('📅 Resumen Diario'!$D$5:$D$504, '📅 Resumen Diario'!$B$5:$B$504, B2338, '📅 Resumen Diario'!$C$5:$C$504, D2338) * SUMIFS('📅 Resumen Diario'!$K$5:$K$504, '📅 Resumen Diario'!$B$5:$B$504, B2338, '📅 Resumen Diario'!$C$5:$C$504, D2338), 0))</f>
        <v/>
      </c>
      <c r="M2338" s="31" t="str">
        <f t="shared" si="255"/>
        <v/>
      </c>
      <c r="N2338" s="31" t="str">
        <f t="shared" si="256"/>
        <v/>
      </c>
      <c r="O2338" s="31" t="str">
        <f>IF(OR(B2338="",C2338=""),"",K2338-N2338 + IFERROR(E2338 / SUMIFS('📅 Resumen Diario'!$D$5:$D$504, '📅 Resumen Diario'!$B$5:$B$504, B2338, '📅 Resumen Diario'!$C$5:$C$504, D2338) * (SUMIFS('📋 Detalle Diario'!$E$5:$E$489, '📋 Detalle Diario'!$B$5:$B$489, B2338, '📋 Detalle Diario'!$C$5:$C$489, D2338) * 135 + SUMIFS('📋 Detalle Diario'!$I$5:$I$489, '📋 Detalle Diario'!$B$5:$B$489, B2338, '📋 Detalle Diario'!$C$5:$C$489, D2338) * 200), 0))</f>
        <v/>
      </c>
      <c r="P2338" s="32" t="str">
        <f t="shared" si="257"/>
        <v/>
      </c>
      <c r="Q2338" s="33" t="str">
        <f t="shared" si="258"/>
        <v/>
      </c>
    </row>
    <row r="2339" spans="2:17" ht="18" customHeight="1" x14ac:dyDescent="0.3">
      <c r="B2339" s="26"/>
      <c r="C2339" s="28"/>
      <c r="D2339" s="27"/>
      <c r="E2339" s="29"/>
      <c r="F2339" s="29"/>
      <c r="G2339" s="29"/>
      <c r="H2339" s="30" t="str">
        <f t="shared" si="252"/>
        <v/>
      </c>
      <c r="I2339" s="31" t="str">
        <f>IF(OR(B2339="",C2339=""),"",IFERROR(E2339*IF(E2339="",0,VLOOKUP(C2339,'📦 Precios Proforma'!$B$5:$D$104,IF(D2339="DIA",2,3),FALSE)),0))</f>
        <v/>
      </c>
      <c r="J2339" s="31" t="str">
        <f t="shared" si="253"/>
        <v/>
      </c>
      <c r="K2339" s="31" t="str">
        <f t="shared" si="254"/>
        <v/>
      </c>
      <c r="L2339" s="31" t="str">
        <f>IF(OR(B2339="",C2339=""),"",IFERROR(E2339 / SUMIFS('📅 Resumen Diario'!$D$5:$D$504, '📅 Resumen Diario'!$B$5:$B$504, B2339, '📅 Resumen Diario'!$C$5:$C$504, D2339) * SUMIFS('📅 Resumen Diario'!$K$5:$K$504, '📅 Resumen Diario'!$B$5:$B$504, B2339, '📅 Resumen Diario'!$C$5:$C$504, D2339), 0))</f>
        <v/>
      </c>
      <c r="M2339" s="31" t="str">
        <f t="shared" si="255"/>
        <v/>
      </c>
      <c r="N2339" s="31" t="str">
        <f t="shared" si="256"/>
        <v/>
      </c>
      <c r="O2339" s="31" t="str">
        <f>IF(OR(B2339="",C2339=""),"",K2339-N2339 + IFERROR(E2339 / SUMIFS('📅 Resumen Diario'!$D$5:$D$504, '📅 Resumen Diario'!$B$5:$B$504, B2339, '📅 Resumen Diario'!$C$5:$C$504, D2339) * (SUMIFS('📋 Detalle Diario'!$E$5:$E$489, '📋 Detalle Diario'!$B$5:$B$489, B2339, '📋 Detalle Diario'!$C$5:$C$489, D2339) * 135 + SUMIFS('📋 Detalle Diario'!$I$5:$I$489, '📋 Detalle Diario'!$B$5:$B$489, B2339, '📋 Detalle Diario'!$C$5:$C$489, D2339) * 200), 0))</f>
        <v/>
      </c>
      <c r="P2339" s="32" t="str">
        <f t="shared" si="257"/>
        <v/>
      </c>
      <c r="Q2339" s="33" t="str">
        <f t="shared" si="258"/>
        <v/>
      </c>
    </row>
    <row r="2340" spans="2:17" ht="18" customHeight="1" x14ac:dyDescent="0.3">
      <c r="B2340" s="26"/>
      <c r="C2340" s="17"/>
      <c r="D2340" s="27"/>
      <c r="E2340" s="18"/>
      <c r="F2340" s="18"/>
      <c r="G2340" s="18"/>
      <c r="H2340" s="30" t="str">
        <f t="shared" si="252"/>
        <v/>
      </c>
      <c r="I2340" s="31" t="str">
        <f>IF(OR(B2340="",C2340=""),"",IFERROR(E2340*IF(E2340="",0,VLOOKUP(C2340,'📦 Precios Proforma'!$B$5:$D$104,IF(D2340="DIA",2,3),FALSE)),0))</f>
        <v/>
      </c>
      <c r="J2340" s="31" t="str">
        <f t="shared" si="253"/>
        <v/>
      </c>
      <c r="K2340" s="31" t="str">
        <f t="shared" si="254"/>
        <v/>
      </c>
      <c r="L2340" s="31" t="str">
        <f>IF(OR(B2340="",C2340=""),"",IFERROR(E2340 / SUMIFS('📅 Resumen Diario'!$D$5:$D$504, '📅 Resumen Diario'!$B$5:$B$504, B2340, '📅 Resumen Diario'!$C$5:$C$504, D2340) * SUMIFS('📅 Resumen Diario'!$K$5:$K$504, '📅 Resumen Diario'!$B$5:$B$504, B2340, '📅 Resumen Diario'!$C$5:$C$504, D2340), 0))</f>
        <v/>
      </c>
      <c r="M2340" s="31" t="str">
        <f t="shared" si="255"/>
        <v/>
      </c>
      <c r="N2340" s="31" t="str">
        <f t="shared" si="256"/>
        <v/>
      </c>
      <c r="O2340" s="31" t="str">
        <f>IF(OR(B2340="",C2340=""),"",K2340-N2340 + IFERROR(E2340 / SUMIFS('📅 Resumen Diario'!$D$5:$D$504, '📅 Resumen Diario'!$B$5:$B$504, B2340, '📅 Resumen Diario'!$C$5:$C$504, D2340) * (SUMIFS('📋 Detalle Diario'!$E$5:$E$489, '📋 Detalle Diario'!$B$5:$B$489, B2340, '📋 Detalle Diario'!$C$5:$C$489, D2340) * 135 + SUMIFS('📋 Detalle Diario'!$I$5:$I$489, '📋 Detalle Diario'!$B$5:$B$489, B2340, '📋 Detalle Diario'!$C$5:$C$489, D2340) * 200), 0))</f>
        <v/>
      </c>
      <c r="P2340" s="32" t="str">
        <f t="shared" si="257"/>
        <v/>
      </c>
      <c r="Q2340" s="33" t="str">
        <f t="shared" si="258"/>
        <v/>
      </c>
    </row>
    <row r="2341" spans="2:17" ht="18" customHeight="1" x14ac:dyDescent="0.3">
      <c r="B2341" s="26"/>
      <c r="C2341" s="28"/>
      <c r="D2341" s="27"/>
      <c r="E2341" s="29"/>
      <c r="F2341" s="29"/>
      <c r="G2341" s="29"/>
      <c r="H2341" s="30" t="str">
        <f t="shared" si="252"/>
        <v/>
      </c>
      <c r="I2341" s="31" t="str">
        <f>IF(OR(B2341="",C2341=""),"",IFERROR(E2341*IF(E2341="",0,VLOOKUP(C2341,'📦 Precios Proforma'!$B$5:$D$104,IF(D2341="DIA",2,3),FALSE)),0))</f>
        <v/>
      </c>
      <c r="J2341" s="31" t="str">
        <f t="shared" si="253"/>
        <v/>
      </c>
      <c r="K2341" s="31" t="str">
        <f t="shared" si="254"/>
        <v/>
      </c>
      <c r="L2341" s="31" t="str">
        <f>IF(OR(B2341="",C2341=""),"",IFERROR(E2341 / SUMIFS('📅 Resumen Diario'!$D$5:$D$504, '📅 Resumen Diario'!$B$5:$B$504, B2341, '📅 Resumen Diario'!$C$5:$C$504, D2341) * SUMIFS('📅 Resumen Diario'!$K$5:$K$504, '📅 Resumen Diario'!$B$5:$B$504, B2341, '📅 Resumen Diario'!$C$5:$C$504, D2341), 0))</f>
        <v/>
      </c>
      <c r="M2341" s="31" t="str">
        <f t="shared" si="255"/>
        <v/>
      </c>
      <c r="N2341" s="31" t="str">
        <f t="shared" si="256"/>
        <v/>
      </c>
      <c r="O2341" s="31" t="str">
        <f>IF(OR(B2341="",C2341=""),"",K2341-N2341 + IFERROR(E2341 / SUMIFS('📅 Resumen Diario'!$D$5:$D$504, '📅 Resumen Diario'!$B$5:$B$504, B2341, '📅 Resumen Diario'!$C$5:$C$504, D2341) * (SUMIFS('📋 Detalle Diario'!$E$5:$E$489, '📋 Detalle Diario'!$B$5:$B$489, B2341, '📋 Detalle Diario'!$C$5:$C$489, D2341) * 135 + SUMIFS('📋 Detalle Diario'!$I$5:$I$489, '📋 Detalle Diario'!$B$5:$B$489, B2341, '📋 Detalle Diario'!$C$5:$C$489, D2341) * 200), 0))</f>
        <v/>
      </c>
      <c r="P2341" s="32" t="str">
        <f t="shared" si="257"/>
        <v/>
      </c>
      <c r="Q2341" s="33" t="str">
        <f t="shared" si="258"/>
        <v/>
      </c>
    </row>
    <row r="2342" spans="2:17" ht="18" customHeight="1" x14ac:dyDescent="0.3">
      <c r="B2342" s="26"/>
      <c r="C2342" s="17"/>
      <c r="D2342" s="27"/>
      <c r="E2342" s="18"/>
      <c r="F2342" s="18"/>
      <c r="G2342" s="18"/>
      <c r="H2342" s="30" t="str">
        <f t="shared" si="252"/>
        <v/>
      </c>
      <c r="I2342" s="31" t="str">
        <f>IF(OR(B2342="",C2342=""),"",IFERROR(E2342*IF(E2342="",0,VLOOKUP(C2342,'📦 Precios Proforma'!$B$5:$D$104,IF(D2342="DIA",2,3),FALSE)),0))</f>
        <v/>
      </c>
      <c r="J2342" s="31" t="str">
        <f t="shared" si="253"/>
        <v/>
      </c>
      <c r="K2342" s="31" t="str">
        <f t="shared" si="254"/>
        <v/>
      </c>
      <c r="L2342" s="31" t="str">
        <f>IF(OR(B2342="",C2342=""),"",IFERROR(E2342 / SUMIFS('📅 Resumen Diario'!$D$5:$D$504, '📅 Resumen Diario'!$B$5:$B$504, B2342, '📅 Resumen Diario'!$C$5:$C$504, D2342) * SUMIFS('📅 Resumen Diario'!$K$5:$K$504, '📅 Resumen Diario'!$B$5:$B$504, B2342, '📅 Resumen Diario'!$C$5:$C$504, D2342), 0))</f>
        <v/>
      </c>
      <c r="M2342" s="31" t="str">
        <f t="shared" si="255"/>
        <v/>
      </c>
      <c r="N2342" s="31" t="str">
        <f t="shared" si="256"/>
        <v/>
      </c>
      <c r="O2342" s="31" t="str">
        <f>IF(OR(B2342="",C2342=""),"",K2342-N2342 + IFERROR(E2342 / SUMIFS('📅 Resumen Diario'!$D$5:$D$504, '📅 Resumen Diario'!$B$5:$B$504, B2342, '📅 Resumen Diario'!$C$5:$C$504, D2342) * (SUMIFS('📋 Detalle Diario'!$E$5:$E$489, '📋 Detalle Diario'!$B$5:$B$489, B2342, '📋 Detalle Diario'!$C$5:$C$489, D2342) * 135 + SUMIFS('📋 Detalle Diario'!$I$5:$I$489, '📋 Detalle Diario'!$B$5:$B$489, B2342, '📋 Detalle Diario'!$C$5:$C$489, D2342) * 200), 0))</f>
        <v/>
      </c>
      <c r="P2342" s="32" t="str">
        <f t="shared" si="257"/>
        <v/>
      </c>
      <c r="Q2342" s="33" t="str">
        <f t="shared" si="258"/>
        <v/>
      </c>
    </row>
    <row r="2343" spans="2:17" ht="18" customHeight="1" x14ac:dyDescent="0.3">
      <c r="B2343" s="26"/>
      <c r="C2343" s="28"/>
      <c r="D2343" s="27"/>
      <c r="E2343" s="29"/>
      <c r="F2343" s="29"/>
      <c r="G2343" s="29"/>
      <c r="H2343" s="30" t="str">
        <f t="shared" si="252"/>
        <v/>
      </c>
      <c r="I2343" s="31" t="str">
        <f>IF(OR(B2343="",C2343=""),"",IFERROR(E2343*IF(E2343="",0,VLOOKUP(C2343,'📦 Precios Proforma'!$B$5:$D$104,IF(D2343="DIA",2,3),FALSE)),0))</f>
        <v/>
      </c>
      <c r="J2343" s="31" t="str">
        <f t="shared" si="253"/>
        <v/>
      </c>
      <c r="K2343" s="31" t="str">
        <f t="shared" si="254"/>
        <v/>
      </c>
      <c r="L2343" s="31" t="str">
        <f>IF(OR(B2343="",C2343=""),"",IFERROR(E2343 / SUMIFS('📅 Resumen Diario'!$D$5:$D$504, '📅 Resumen Diario'!$B$5:$B$504, B2343, '📅 Resumen Diario'!$C$5:$C$504, D2343) * SUMIFS('📅 Resumen Diario'!$K$5:$K$504, '📅 Resumen Diario'!$B$5:$B$504, B2343, '📅 Resumen Diario'!$C$5:$C$504, D2343), 0))</f>
        <v/>
      </c>
      <c r="M2343" s="31" t="str">
        <f t="shared" si="255"/>
        <v/>
      </c>
      <c r="N2343" s="31" t="str">
        <f t="shared" si="256"/>
        <v/>
      </c>
      <c r="O2343" s="31" t="str">
        <f>IF(OR(B2343="",C2343=""),"",K2343-N2343 + IFERROR(E2343 / SUMIFS('📅 Resumen Diario'!$D$5:$D$504, '📅 Resumen Diario'!$B$5:$B$504, B2343, '📅 Resumen Diario'!$C$5:$C$504, D2343) * (SUMIFS('📋 Detalle Diario'!$E$5:$E$489, '📋 Detalle Diario'!$B$5:$B$489, B2343, '📋 Detalle Diario'!$C$5:$C$489, D2343) * 135 + SUMIFS('📋 Detalle Diario'!$I$5:$I$489, '📋 Detalle Diario'!$B$5:$B$489, B2343, '📋 Detalle Diario'!$C$5:$C$489, D2343) * 200), 0))</f>
        <v/>
      </c>
      <c r="P2343" s="32" t="str">
        <f t="shared" si="257"/>
        <v/>
      </c>
      <c r="Q2343" s="33" t="str">
        <f t="shared" si="258"/>
        <v/>
      </c>
    </row>
    <row r="2344" spans="2:17" ht="18" customHeight="1" x14ac:dyDescent="0.3">
      <c r="B2344" s="26"/>
      <c r="C2344" s="17"/>
      <c r="D2344" s="27"/>
      <c r="E2344" s="18"/>
      <c r="F2344" s="18"/>
      <c r="G2344" s="18"/>
      <c r="H2344" s="30" t="str">
        <f t="shared" si="252"/>
        <v/>
      </c>
      <c r="I2344" s="31" t="str">
        <f>IF(OR(B2344="",C2344=""),"",IFERROR(E2344*IF(E2344="",0,VLOOKUP(C2344,'📦 Precios Proforma'!$B$5:$D$104,IF(D2344="DIA",2,3),FALSE)),0))</f>
        <v/>
      </c>
      <c r="J2344" s="31" t="str">
        <f t="shared" si="253"/>
        <v/>
      </c>
      <c r="K2344" s="31" t="str">
        <f t="shared" si="254"/>
        <v/>
      </c>
      <c r="L2344" s="31" t="str">
        <f>IF(OR(B2344="",C2344=""),"",IFERROR(E2344 / SUMIFS('📅 Resumen Diario'!$D$5:$D$504, '📅 Resumen Diario'!$B$5:$B$504, B2344, '📅 Resumen Diario'!$C$5:$C$504, D2344) * SUMIFS('📅 Resumen Diario'!$K$5:$K$504, '📅 Resumen Diario'!$B$5:$B$504, B2344, '📅 Resumen Diario'!$C$5:$C$504, D2344), 0))</f>
        <v/>
      </c>
      <c r="M2344" s="31" t="str">
        <f t="shared" si="255"/>
        <v/>
      </c>
      <c r="N2344" s="31" t="str">
        <f t="shared" si="256"/>
        <v/>
      </c>
      <c r="O2344" s="31" t="str">
        <f>IF(OR(B2344="",C2344=""),"",K2344-N2344 + IFERROR(E2344 / SUMIFS('📅 Resumen Diario'!$D$5:$D$504, '📅 Resumen Diario'!$B$5:$B$504, B2344, '📅 Resumen Diario'!$C$5:$C$504, D2344) * (SUMIFS('📋 Detalle Diario'!$E$5:$E$489, '📋 Detalle Diario'!$B$5:$B$489, B2344, '📋 Detalle Diario'!$C$5:$C$489, D2344) * 135 + SUMIFS('📋 Detalle Diario'!$I$5:$I$489, '📋 Detalle Diario'!$B$5:$B$489, B2344, '📋 Detalle Diario'!$C$5:$C$489, D2344) * 200), 0))</f>
        <v/>
      </c>
      <c r="P2344" s="32" t="str">
        <f t="shared" si="257"/>
        <v/>
      </c>
      <c r="Q2344" s="33" t="str">
        <f t="shared" si="258"/>
        <v/>
      </c>
    </row>
    <row r="2345" spans="2:17" ht="18" customHeight="1" x14ac:dyDescent="0.3">
      <c r="B2345" s="26"/>
      <c r="C2345" s="28"/>
      <c r="D2345" s="27"/>
      <c r="E2345" s="29"/>
      <c r="F2345" s="29"/>
      <c r="G2345" s="29"/>
      <c r="H2345" s="30" t="str">
        <f t="shared" si="252"/>
        <v/>
      </c>
      <c r="I2345" s="31" t="str">
        <f>IF(OR(B2345="",C2345=""),"",IFERROR(E2345*IF(E2345="",0,VLOOKUP(C2345,'📦 Precios Proforma'!$B$5:$D$104,IF(D2345="DIA",2,3),FALSE)),0))</f>
        <v/>
      </c>
      <c r="J2345" s="31" t="str">
        <f t="shared" si="253"/>
        <v/>
      </c>
      <c r="K2345" s="31" t="str">
        <f t="shared" si="254"/>
        <v/>
      </c>
      <c r="L2345" s="31" t="str">
        <f>IF(OR(B2345="",C2345=""),"",IFERROR(E2345 / SUMIFS('📅 Resumen Diario'!$D$5:$D$504, '📅 Resumen Diario'!$B$5:$B$504, B2345, '📅 Resumen Diario'!$C$5:$C$504, D2345) * SUMIFS('📅 Resumen Diario'!$K$5:$K$504, '📅 Resumen Diario'!$B$5:$B$504, B2345, '📅 Resumen Diario'!$C$5:$C$504, D2345), 0))</f>
        <v/>
      </c>
      <c r="M2345" s="31" t="str">
        <f t="shared" si="255"/>
        <v/>
      </c>
      <c r="N2345" s="31" t="str">
        <f t="shared" si="256"/>
        <v/>
      </c>
      <c r="O2345" s="31" t="str">
        <f>IF(OR(B2345="",C2345=""),"",K2345-N2345 + IFERROR(E2345 / SUMIFS('📅 Resumen Diario'!$D$5:$D$504, '📅 Resumen Diario'!$B$5:$B$504, B2345, '📅 Resumen Diario'!$C$5:$C$504, D2345) * (SUMIFS('📋 Detalle Diario'!$E$5:$E$489, '📋 Detalle Diario'!$B$5:$B$489, B2345, '📋 Detalle Diario'!$C$5:$C$489, D2345) * 135 + SUMIFS('📋 Detalle Diario'!$I$5:$I$489, '📋 Detalle Diario'!$B$5:$B$489, B2345, '📋 Detalle Diario'!$C$5:$C$489, D2345) * 200), 0))</f>
        <v/>
      </c>
      <c r="P2345" s="32" t="str">
        <f t="shared" si="257"/>
        <v/>
      </c>
      <c r="Q2345" s="33" t="str">
        <f t="shared" si="258"/>
        <v/>
      </c>
    </row>
    <row r="2346" spans="2:17" ht="18" customHeight="1" x14ac:dyDescent="0.3">
      <c r="B2346" s="26"/>
      <c r="C2346" s="17"/>
      <c r="D2346" s="27"/>
      <c r="E2346" s="18"/>
      <c r="F2346" s="18"/>
      <c r="G2346" s="18"/>
      <c r="H2346" s="30" t="str">
        <f t="shared" si="252"/>
        <v/>
      </c>
      <c r="I2346" s="31" t="str">
        <f>IF(OR(B2346="",C2346=""),"",IFERROR(E2346*IF(E2346="",0,VLOOKUP(C2346,'📦 Precios Proforma'!$B$5:$D$104,IF(D2346="DIA",2,3),FALSE)),0))</f>
        <v/>
      </c>
      <c r="J2346" s="31" t="str">
        <f t="shared" si="253"/>
        <v/>
      </c>
      <c r="K2346" s="31" t="str">
        <f t="shared" si="254"/>
        <v/>
      </c>
      <c r="L2346" s="31" t="str">
        <f>IF(OR(B2346="",C2346=""),"",IFERROR(E2346 / SUMIFS('📅 Resumen Diario'!$D$5:$D$504, '📅 Resumen Diario'!$B$5:$B$504, B2346, '📅 Resumen Diario'!$C$5:$C$504, D2346) * SUMIFS('📅 Resumen Diario'!$K$5:$K$504, '📅 Resumen Diario'!$B$5:$B$504, B2346, '📅 Resumen Diario'!$C$5:$C$504, D2346), 0))</f>
        <v/>
      </c>
      <c r="M2346" s="31" t="str">
        <f t="shared" si="255"/>
        <v/>
      </c>
      <c r="N2346" s="31" t="str">
        <f t="shared" si="256"/>
        <v/>
      </c>
      <c r="O2346" s="31" t="str">
        <f>IF(OR(B2346="",C2346=""),"",K2346-N2346 + IFERROR(E2346 / SUMIFS('📅 Resumen Diario'!$D$5:$D$504, '📅 Resumen Diario'!$B$5:$B$504, B2346, '📅 Resumen Diario'!$C$5:$C$504, D2346) * (SUMIFS('📋 Detalle Diario'!$E$5:$E$489, '📋 Detalle Diario'!$B$5:$B$489, B2346, '📋 Detalle Diario'!$C$5:$C$489, D2346) * 135 + SUMIFS('📋 Detalle Diario'!$I$5:$I$489, '📋 Detalle Diario'!$B$5:$B$489, B2346, '📋 Detalle Diario'!$C$5:$C$489, D2346) * 200), 0))</f>
        <v/>
      </c>
      <c r="P2346" s="32" t="str">
        <f t="shared" si="257"/>
        <v/>
      </c>
      <c r="Q2346" s="33" t="str">
        <f t="shared" si="258"/>
        <v/>
      </c>
    </row>
    <row r="2347" spans="2:17" ht="18" customHeight="1" x14ac:dyDescent="0.3">
      <c r="B2347" s="26"/>
      <c r="C2347" s="28"/>
      <c r="D2347" s="27"/>
      <c r="E2347" s="29"/>
      <c r="F2347" s="29"/>
      <c r="G2347" s="29"/>
      <c r="H2347" s="30" t="str">
        <f t="shared" si="252"/>
        <v/>
      </c>
      <c r="I2347" s="31" t="str">
        <f>IF(OR(B2347="",C2347=""),"",IFERROR(E2347*IF(E2347="",0,VLOOKUP(C2347,'📦 Precios Proforma'!$B$5:$D$104,IF(D2347="DIA",2,3),FALSE)),0))</f>
        <v/>
      </c>
      <c r="J2347" s="31" t="str">
        <f t="shared" si="253"/>
        <v/>
      </c>
      <c r="K2347" s="31" t="str">
        <f t="shared" si="254"/>
        <v/>
      </c>
      <c r="L2347" s="31" t="str">
        <f>IF(OR(B2347="",C2347=""),"",IFERROR(E2347 / SUMIFS('📅 Resumen Diario'!$D$5:$D$504, '📅 Resumen Diario'!$B$5:$B$504, B2347, '📅 Resumen Diario'!$C$5:$C$504, D2347) * SUMIFS('📅 Resumen Diario'!$K$5:$K$504, '📅 Resumen Diario'!$B$5:$B$504, B2347, '📅 Resumen Diario'!$C$5:$C$504, D2347), 0))</f>
        <v/>
      </c>
      <c r="M2347" s="31" t="str">
        <f t="shared" si="255"/>
        <v/>
      </c>
      <c r="N2347" s="31" t="str">
        <f t="shared" si="256"/>
        <v/>
      </c>
      <c r="O2347" s="31" t="str">
        <f>IF(OR(B2347="",C2347=""),"",K2347-N2347 + IFERROR(E2347 / SUMIFS('📅 Resumen Diario'!$D$5:$D$504, '📅 Resumen Diario'!$B$5:$B$504, B2347, '📅 Resumen Diario'!$C$5:$C$504, D2347) * (SUMIFS('📋 Detalle Diario'!$E$5:$E$489, '📋 Detalle Diario'!$B$5:$B$489, B2347, '📋 Detalle Diario'!$C$5:$C$489, D2347) * 135 + SUMIFS('📋 Detalle Diario'!$I$5:$I$489, '📋 Detalle Diario'!$B$5:$B$489, B2347, '📋 Detalle Diario'!$C$5:$C$489, D2347) * 200), 0))</f>
        <v/>
      </c>
      <c r="P2347" s="32" t="str">
        <f t="shared" si="257"/>
        <v/>
      </c>
      <c r="Q2347" s="33" t="str">
        <f t="shared" si="258"/>
        <v/>
      </c>
    </row>
    <row r="2348" spans="2:17" ht="18" customHeight="1" x14ac:dyDescent="0.3">
      <c r="B2348" s="26"/>
      <c r="C2348" s="17"/>
      <c r="D2348" s="27"/>
      <c r="E2348" s="18"/>
      <c r="F2348" s="18"/>
      <c r="G2348" s="18"/>
      <c r="H2348" s="30" t="str">
        <f t="shared" si="252"/>
        <v/>
      </c>
      <c r="I2348" s="31" t="str">
        <f>IF(OR(B2348="",C2348=""),"",IFERROR(E2348*IF(E2348="",0,VLOOKUP(C2348,'📦 Precios Proforma'!$B$5:$D$104,IF(D2348="DIA",2,3),FALSE)),0))</f>
        <v/>
      </c>
      <c r="J2348" s="31" t="str">
        <f t="shared" si="253"/>
        <v/>
      </c>
      <c r="K2348" s="31" t="str">
        <f t="shared" si="254"/>
        <v/>
      </c>
      <c r="L2348" s="31" t="str">
        <f>IF(OR(B2348="",C2348=""),"",IFERROR(E2348 / SUMIFS('📅 Resumen Diario'!$D$5:$D$504, '📅 Resumen Diario'!$B$5:$B$504, B2348, '📅 Resumen Diario'!$C$5:$C$504, D2348) * SUMIFS('📅 Resumen Diario'!$K$5:$K$504, '📅 Resumen Diario'!$B$5:$B$504, B2348, '📅 Resumen Diario'!$C$5:$C$504, D2348), 0))</f>
        <v/>
      </c>
      <c r="M2348" s="31" t="str">
        <f t="shared" si="255"/>
        <v/>
      </c>
      <c r="N2348" s="31" t="str">
        <f t="shared" si="256"/>
        <v/>
      </c>
      <c r="O2348" s="31" t="str">
        <f>IF(OR(B2348="",C2348=""),"",K2348-N2348 + IFERROR(E2348 / SUMIFS('📅 Resumen Diario'!$D$5:$D$504, '📅 Resumen Diario'!$B$5:$B$504, B2348, '📅 Resumen Diario'!$C$5:$C$504, D2348) * (SUMIFS('📋 Detalle Diario'!$E$5:$E$489, '📋 Detalle Diario'!$B$5:$B$489, B2348, '📋 Detalle Diario'!$C$5:$C$489, D2348) * 135 + SUMIFS('📋 Detalle Diario'!$I$5:$I$489, '📋 Detalle Diario'!$B$5:$B$489, B2348, '📋 Detalle Diario'!$C$5:$C$489, D2348) * 200), 0))</f>
        <v/>
      </c>
      <c r="P2348" s="32" t="str">
        <f t="shared" si="257"/>
        <v/>
      </c>
      <c r="Q2348" s="33" t="str">
        <f t="shared" si="258"/>
        <v/>
      </c>
    </row>
    <row r="2349" spans="2:17" ht="18" customHeight="1" x14ac:dyDescent="0.3">
      <c r="B2349" s="26"/>
      <c r="C2349" s="28"/>
      <c r="D2349" s="27"/>
      <c r="E2349" s="29"/>
      <c r="F2349" s="29"/>
      <c r="G2349" s="29"/>
      <c r="H2349" s="30" t="str">
        <f t="shared" si="252"/>
        <v/>
      </c>
      <c r="I2349" s="31" t="str">
        <f>IF(OR(B2349="",C2349=""),"",IFERROR(E2349*IF(E2349="",0,VLOOKUP(C2349,'📦 Precios Proforma'!$B$5:$D$104,IF(D2349="DIA",2,3),FALSE)),0))</f>
        <v/>
      </c>
      <c r="J2349" s="31" t="str">
        <f t="shared" si="253"/>
        <v/>
      </c>
      <c r="K2349" s="31" t="str">
        <f t="shared" si="254"/>
        <v/>
      </c>
      <c r="L2349" s="31" t="str">
        <f>IF(OR(B2349="",C2349=""),"",IFERROR(E2349 / SUMIFS('📅 Resumen Diario'!$D$5:$D$504, '📅 Resumen Diario'!$B$5:$B$504, B2349, '📅 Resumen Diario'!$C$5:$C$504, D2349) * SUMIFS('📅 Resumen Diario'!$K$5:$K$504, '📅 Resumen Diario'!$B$5:$B$504, B2349, '📅 Resumen Diario'!$C$5:$C$504, D2349), 0))</f>
        <v/>
      </c>
      <c r="M2349" s="31" t="str">
        <f t="shared" si="255"/>
        <v/>
      </c>
      <c r="N2349" s="31" t="str">
        <f t="shared" si="256"/>
        <v/>
      </c>
      <c r="O2349" s="31" t="str">
        <f>IF(OR(B2349="",C2349=""),"",K2349-N2349 + IFERROR(E2349 / SUMIFS('📅 Resumen Diario'!$D$5:$D$504, '📅 Resumen Diario'!$B$5:$B$504, B2349, '📅 Resumen Diario'!$C$5:$C$504, D2349) * (SUMIFS('📋 Detalle Diario'!$E$5:$E$489, '📋 Detalle Diario'!$B$5:$B$489, B2349, '📋 Detalle Diario'!$C$5:$C$489, D2349) * 135 + SUMIFS('📋 Detalle Diario'!$I$5:$I$489, '📋 Detalle Diario'!$B$5:$B$489, B2349, '📋 Detalle Diario'!$C$5:$C$489, D2349) * 200), 0))</f>
        <v/>
      </c>
      <c r="P2349" s="32" t="str">
        <f t="shared" si="257"/>
        <v/>
      </c>
      <c r="Q2349" s="33" t="str">
        <f t="shared" si="258"/>
        <v/>
      </c>
    </row>
    <row r="2350" spans="2:17" ht="18" customHeight="1" x14ac:dyDescent="0.3">
      <c r="B2350" s="26"/>
      <c r="C2350" s="17"/>
      <c r="D2350" s="27"/>
      <c r="E2350" s="18"/>
      <c r="F2350" s="18"/>
      <c r="G2350" s="18"/>
      <c r="H2350" s="30" t="str">
        <f t="shared" si="252"/>
        <v/>
      </c>
      <c r="I2350" s="31" t="str">
        <f>IF(OR(B2350="",C2350=""),"",IFERROR(E2350*IF(E2350="",0,VLOOKUP(C2350,'📦 Precios Proforma'!$B$5:$D$104,IF(D2350="DIA",2,3),FALSE)),0))</f>
        <v/>
      </c>
      <c r="J2350" s="31" t="str">
        <f t="shared" si="253"/>
        <v/>
      </c>
      <c r="K2350" s="31" t="str">
        <f t="shared" si="254"/>
        <v/>
      </c>
      <c r="L2350" s="31" t="str">
        <f>IF(OR(B2350="",C2350=""),"",IFERROR(E2350 / SUMIFS('📅 Resumen Diario'!$D$5:$D$504, '📅 Resumen Diario'!$B$5:$B$504, B2350, '📅 Resumen Diario'!$C$5:$C$504, D2350) * SUMIFS('📅 Resumen Diario'!$K$5:$K$504, '📅 Resumen Diario'!$B$5:$B$504, B2350, '📅 Resumen Diario'!$C$5:$C$504, D2350), 0))</f>
        <v/>
      </c>
      <c r="M2350" s="31" t="str">
        <f t="shared" si="255"/>
        <v/>
      </c>
      <c r="N2350" s="31" t="str">
        <f t="shared" si="256"/>
        <v/>
      </c>
      <c r="O2350" s="31" t="str">
        <f>IF(OR(B2350="",C2350=""),"",K2350-N2350 + IFERROR(E2350 / SUMIFS('📅 Resumen Diario'!$D$5:$D$504, '📅 Resumen Diario'!$B$5:$B$504, B2350, '📅 Resumen Diario'!$C$5:$C$504, D2350) * (SUMIFS('📋 Detalle Diario'!$E$5:$E$489, '📋 Detalle Diario'!$B$5:$B$489, B2350, '📋 Detalle Diario'!$C$5:$C$489, D2350) * 135 + SUMIFS('📋 Detalle Diario'!$I$5:$I$489, '📋 Detalle Diario'!$B$5:$B$489, B2350, '📋 Detalle Diario'!$C$5:$C$489, D2350) * 200), 0))</f>
        <v/>
      </c>
      <c r="P2350" s="32" t="str">
        <f t="shared" si="257"/>
        <v/>
      </c>
      <c r="Q2350" s="33" t="str">
        <f t="shared" si="258"/>
        <v/>
      </c>
    </row>
    <row r="2351" spans="2:17" ht="18" customHeight="1" x14ac:dyDescent="0.3">
      <c r="B2351" s="26"/>
      <c r="C2351" s="28"/>
      <c r="D2351" s="27"/>
      <c r="E2351" s="29"/>
      <c r="F2351" s="29"/>
      <c r="G2351" s="29"/>
      <c r="H2351" s="30" t="str">
        <f t="shared" si="252"/>
        <v/>
      </c>
      <c r="I2351" s="31" t="str">
        <f>IF(OR(B2351="",C2351=""),"",IFERROR(E2351*IF(E2351="",0,VLOOKUP(C2351,'📦 Precios Proforma'!$B$5:$D$104,IF(D2351="DIA",2,3),FALSE)),0))</f>
        <v/>
      </c>
      <c r="J2351" s="31" t="str">
        <f t="shared" si="253"/>
        <v/>
      </c>
      <c r="K2351" s="31" t="str">
        <f t="shared" si="254"/>
        <v/>
      </c>
      <c r="L2351" s="31" t="str">
        <f>IF(OR(B2351="",C2351=""),"",IFERROR(E2351 / SUMIFS('📅 Resumen Diario'!$D$5:$D$504, '📅 Resumen Diario'!$B$5:$B$504, B2351, '📅 Resumen Diario'!$C$5:$C$504, D2351) * SUMIFS('📅 Resumen Diario'!$K$5:$K$504, '📅 Resumen Diario'!$B$5:$B$504, B2351, '📅 Resumen Diario'!$C$5:$C$504, D2351), 0))</f>
        <v/>
      </c>
      <c r="M2351" s="31" t="str">
        <f t="shared" si="255"/>
        <v/>
      </c>
      <c r="N2351" s="31" t="str">
        <f t="shared" si="256"/>
        <v/>
      </c>
      <c r="O2351" s="31" t="str">
        <f>IF(OR(B2351="",C2351=""),"",K2351-N2351 + IFERROR(E2351 / SUMIFS('📅 Resumen Diario'!$D$5:$D$504, '📅 Resumen Diario'!$B$5:$B$504, B2351, '📅 Resumen Diario'!$C$5:$C$504, D2351) * (SUMIFS('📋 Detalle Diario'!$E$5:$E$489, '📋 Detalle Diario'!$B$5:$B$489, B2351, '📋 Detalle Diario'!$C$5:$C$489, D2351) * 135 + SUMIFS('📋 Detalle Diario'!$I$5:$I$489, '📋 Detalle Diario'!$B$5:$B$489, B2351, '📋 Detalle Diario'!$C$5:$C$489, D2351) * 200), 0))</f>
        <v/>
      </c>
      <c r="P2351" s="32" t="str">
        <f t="shared" si="257"/>
        <v/>
      </c>
      <c r="Q2351" s="33" t="str">
        <f t="shared" si="258"/>
        <v/>
      </c>
    </row>
    <row r="2352" spans="2:17" ht="18" customHeight="1" x14ac:dyDescent="0.3">
      <c r="B2352" s="26"/>
      <c r="C2352" s="17"/>
      <c r="D2352" s="27"/>
      <c r="E2352" s="18"/>
      <c r="F2352" s="18"/>
      <c r="G2352" s="18"/>
      <c r="H2352" s="30" t="str">
        <f t="shared" si="252"/>
        <v/>
      </c>
      <c r="I2352" s="31" t="str">
        <f>IF(OR(B2352="",C2352=""),"",IFERROR(E2352*IF(E2352="",0,VLOOKUP(C2352,'📦 Precios Proforma'!$B$5:$D$104,IF(D2352="DIA",2,3),FALSE)),0))</f>
        <v/>
      </c>
      <c r="J2352" s="31" t="str">
        <f t="shared" si="253"/>
        <v/>
      </c>
      <c r="K2352" s="31" t="str">
        <f t="shared" si="254"/>
        <v/>
      </c>
      <c r="L2352" s="31" t="str">
        <f>IF(OR(B2352="",C2352=""),"",IFERROR(E2352 / SUMIFS('📅 Resumen Diario'!$D$5:$D$504, '📅 Resumen Diario'!$B$5:$B$504, B2352, '📅 Resumen Diario'!$C$5:$C$504, D2352) * SUMIFS('📅 Resumen Diario'!$K$5:$K$504, '📅 Resumen Diario'!$B$5:$B$504, B2352, '📅 Resumen Diario'!$C$5:$C$504, D2352), 0))</f>
        <v/>
      </c>
      <c r="M2352" s="31" t="str">
        <f t="shared" si="255"/>
        <v/>
      </c>
      <c r="N2352" s="31" t="str">
        <f t="shared" si="256"/>
        <v/>
      </c>
      <c r="O2352" s="31" t="str">
        <f>IF(OR(B2352="",C2352=""),"",K2352-N2352 + IFERROR(E2352 / SUMIFS('📅 Resumen Diario'!$D$5:$D$504, '📅 Resumen Diario'!$B$5:$B$504, B2352, '📅 Resumen Diario'!$C$5:$C$504, D2352) * (SUMIFS('📋 Detalle Diario'!$E$5:$E$489, '📋 Detalle Diario'!$B$5:$B$489, B2352, '📋 Detalle Diario'!$C$5:$C$489, D2352) * 135 + SUMIFS('📋 Detalle Diario'!$I$5:$I$489, '📋 Detalle Diario'!$B$5:$B$489, B2352, '📋 Detalle Diario'!$C$5:$C$489, D2352) * 200), 0))</f>
        <v/>
      </c>
      <c r="P2352" s="32" t="str">
        <f t="shared" si="257"/>
        <v/>
      </c>
      <c r="Q2352" s="33" t="str">
        <f t="shared" si="258"/>
        <v/>
      </c>
    </row>
    <row r="2353" spans="2:17" ht="18" customHeight="1" x14ac:dyDescent="0.3">
      <c r="B2353" s="26"/>
      <c r="C2353" s="28"/>
      <c r="D2353" s="27"/>
      <c r="E2353" s="29"/>
      <c r="F2353" s="29"/>
      <c r="G2353" s="29"/>
      <c r="H2353" s="30" t="str">
        <f t="shared" si="252"/>
        <v/>
      </c>
      <c r="I2353" s="31" t="str">
        <f>IF(OR(B2353="",C2353=""),"",IFERROR(E2353*IF(E2353="",0,VLOOKUP(C2353,'📦 Precios Proforma'!$B$5:$D$104,IF(D2353="DIA",2,3),FALSE)),0))</f>
        <v/>
      </c>
      <c r="J2353" s="31" t="str">
        <f t="shared" si="253"/>
        <v/>
      </c>
      <c r="K2353" s="31" t="str">
        <f t="shared" si="254"/>
        <v/>
      </c>
      <c r="L2353" s="31" t="str">
        <f>IF(OR(B2353="",C2353=""),"",IFERROR(E2353 / SUMIFS('📅 Resumen Diario'!$D$5:$D$504, '📅 Resumen Diario'!$B$5:$B$504, B2353, '📅 Resumen Diario'!$C$5:$C$504, D2353) * SUMIFS('📅 Resumen Diario'!$K$5:$K$504, '📅 Resumen Diario'!$B$5:$B$504, B2353, '📅 Resumen Diario'!$C$5:$C$504, D2353), 0))</f>
        <v/>
      </c>
      <c r="M2353" s="31" t="str">
        <f t="shared" si="255"/>
        <v/>
      </c>
      <c r="N2353" s="31" t="str">
        <f t="shared" si="256"/>
        <v/>
      </c>
      <c r="O2353" s="31" t="str">
        <f>IF(OR(B2353="",C2353=""),"",K2353-N2353 + IFERROR(E2353 / SUMIFS('📅 Resumen Diario'!$D$5:$D$504, '📅 Resumen Diario'!$B$5:$B$504, B2353, '📅 Resumen Diario'!$C$5:$C$504, D2353) * (SUMIFS('📋 Detalle Diario'!$E$5:$E$489, '📋 Detalle Diario'!$B$5:$B$489, B2353, '📋 Detalle Diario'!$C$5:$C$489, D2353) * 135 + SUMIFS('📋 Detalle Diario'!$I$5:$I$489, '📋 Detalle Diario'!$B$5:$B$489, B2353, '📋 Detalle Diario'!$C$5:$C$489, D2353) * 200), 0))</f>
        <v/>
      </c>
      <c r="P2353" s="32" t="str">
        <f t="shared" si="257"/>
        <v/>
      </c>
      <c r="Q2353" s="33" t="str">
        <f t="shared" si="258"/>
        <v/>
      </c>
    </row>
    <row r="2354" spans="2:17" ht="18" customHeight="1" x14ac:dyDescent="0.3">
      <c r="B2354" s="26"/>
      <c r="C2354" s="17"/>
      <c r="D2354" s="27"/>
      <c r="E2354" s="18"/>
      <c r="F2354" s="18"/>
      <c r="G2354" s="18"/>
      <c r="H2354" s="30" t="str">
        <f t="shared" si="252"/>
        <v/>
      </c>
      <c r="I2354" s="31" t="str">
        <f>IF(OR(B2354="",C2354=""),"",IFERROR(E2354*IF(E2354="",0,VLOOKUP(C2354,'📦 Precios Proforma'!$B$5:$D$104,IF(D2354="DIA",2,3),FALSE)),0))</f>
        <v/>
      </c>
      <c r="J2354" s="31" t="str">
        <f t="shared" si="253"/>
        <v/>
      </c>
      <c r="K2354" s="31" t="str">
        <f t="shared" si="254"/>
        <v/>
      </c>
      <c r="L2354" s="31" t="str">
        <f>IF(OR(B2354="",C2354=""),"",IFERROR(E2354 / SUMIFS('📅 Resumen Diario'!$D$5:$D$504, '📅 Resumen Diario'!$B$5:$B$504, B2354, '📅 Resumen Diario'!$C$5:$C$504, D2354) * SUMIFS('📅 Resumen Diario'!$K$5:$K$504, '📅 Resumen Diario'!$B$5:$B$504, B2354, '📅 Resumen Diario'!$C$5:$C$504, D2354), 0))</f>
        <v/>
      </c>
      <c r="M2354" s="31" t="str">
        <f t="shared" si="255"/>
        <v/>
      </c>
      <c r="N2354" s="31" t="str">
        <f t="shared" si="256"/>
        <v/>
      </c>
      <c r="O2354" s="31" t="str">
        <f>IF(OR(B2354="",C2354=""),"",K2354-N2354 + IFERROR(E2354 / SUMIFS('📅 Resumen Diario'!$D$5:$D$504, '📅 Resumen Diario'!$B$5:$B$504, B2354, '📅 Resumen Diario'!$C$5:$C$504, D2354) * (SUMIFS('📋 Detalle Diario'!$E$5:$E$489, '📋 Detalle Diario'!$B$5:$B$489, B2354, '📋 Detalle Diario'!$C$5:$C$489, D2354) * 135 + SUMIFS('📋 Detalle Diario'!$I$5:$I$489, '📋 Detalle Diario'!$B$5:$B$489, B2354, '📋 Detalle Diario'!$C$5:$C$489, D2354) * 200), 0))</f>
        <v/>
      </c>
      <c r="P2354" s="32" t="str">
        <f t="shared" si="257"/>
        <v/>
      </c>
      <c r="Q2354" s="33" t="str">
        <f t="shared" si="258"/>
        <v/>
      </c>
    </row>
    <row r="2355" spans="2:17" ht="18" customHeight="1" x14ac:dyDescent="0.3">
      <c r="B2355" s="26"/>
      <c r="C2355" s="28"/>
      <c r="D2355" s="27"/>
      <c r="E2355" s="29"/>
      <c r="F2355" s="29"/>
      <c r="G2355" s="29"/>
      <c r="H2355" s="30" t="str">
        <f t="shared" si="252"/>
        <v/>
      </c>
      <c r="I2355" s="31" t="str">
        <f>IF(OR(B2355="",C2355=""),"",IFERROR(E2355*IF(E2355="",0,VLOOKUP(C2355,'📦 Precios Proforma'!$B$5:$D$104,IF(D2355="DIA",2,3),FALSE)),0))</f>
        <v/>
      </c>
      <c r="J2355" s="31" t="str">
        <f t="shared" si="253"/>
        <v/>
      </c>
      <c r="K2355" s="31" t="str">
        <f t="shared" si="254"/>
        <v/>
      </c>
      <c r="L2355" s="31" t="str">
        <f>IF(OR(B2355="",C2355=""),"",IFERROR(E2355 / SUMIFS('📅 Resumen Diario'!$D$5:$D$504, '📅 Resumen Diario'!$B$5:$B$504, B2355, '📅 Resumen Diario'!$C$5:$C$504, D2355) * SUMIFS('📅 Resumen Diario'!$K$5:$K$504, '📅 Resumen Diario'!$B$5:$B$504, B2355, '📅 Resumen Diario'!$C$5:$C$504, D2355), 0))</f>
        <v/>
      </c>
      <c r="M2355" s="31" t="str">
        <f t="shared" si="255"/>
        <v/>
      </c>
      <c r="N2355" s="31" t="str">
        <f t="shared" si="256"/>
        <v/>
      </c>
      <c r="O2355" s="31" t="str">
        <f>IF(OR(B2355="",C2355=""),"",K2355-N2355 + IFERROR(E2355 / SUMIFS('📅 Resumen Diario'!$D$5:$D$504, '📅 Resumen Diario'!$B$5:$B$504, B2355, '📅 Resumen Diario'!$C$5:$C$504, D2355) * (SUMIFS('📋 Detalle Diario'!$E$5:$E$489, '📋 Detalle Diario'!$B$5:$B$489, B2355, '📋 Detalle Diario'!$C$5:$C$489, D2355) * 135 + SUMIFS('📋 Detalle Diario'!$I$5:$I$489, '📋 Detalle Diario'!$B$5:$B$489, B2355, '📋 Detalle Diario'!$C$5:$C$489, D2355) * 200), 0))</f>
        <v/>
      </c>
      <c r="P2355" s="32" t="str">
        <f t="shared" si="257"/>
        <v/>
      </c>
      <c r="Q2355" s="33" t="str">
        <f t="shared" si="258"/>
        <v/>
      </c>
    </row>
    <row r="2356" spans="2:17" ht="18" customHeight="1" x14ac:dyDescent="0.3">
      <c r="B2356" s="26"/>
      <c r="C2356" s="17"/>
      <c r="D2356" s="27"/>
      <c r="E2356" s="18"/>
      <c r="F2356" s="18"/>
      <c r="G2356" s="18"/>
      <c r="H2356" s="30" t="str">
        <f t="shared" si="252"/>
        <v/>
      </c>
      <c r="I2356" s="31" t="str">
        <f>IF(OR(B2356="",C2356=""),"",IFERROR(E2356*IF(E2356="",0,VLOOKUP(C2356,'📦 Precios Proforma'!$B$5:$D$104,IF(D2356="DIA",2,3),FALSE)),0))</f>
        <v/>
      </c>
      <c r="J2356" s="31" t="str">
        <f t="shared" si="253"/>
        <v/>
      </c>
      <c r="K2356" s="31" t="str">
        <f t="shared" si="254"/>
        <v/>
      </c>
      <c r="L2356" s="31" t="str">
        <f>IF(OR(B2356="",C2356=""),"",IFERROR(E2356 / SUMIFS('📅 Resumen Diario'!$D$5:$D$504, '📅 Resumen Diario'!$B$5:$B$504, B2356, '📅 Resumen Diario'!$C$5:$C$504, D2356) * SUMIFS('📅 Resumen Diario'!$K$5:$K$504, '📅 Resumen Diario'!$B$5:$B$504, B2356, '📅 Resumen Diario'!$C$5:$C$504, D2356), 0))</f>
        <v/>
      </c>
      <c r="M2356" s="31" t="str">
        <f t="shared" si="255"/>
        <v/>
      </c>
      <c r="N2356" s="31" t="str">
        <f t="shared" si="256"/>
        <v/>
      </c>
      <c r="O2356" s="31" t="str">
        <f>IF(OR(B2356="",C2356=""),"",K2356-N2356 + IFERROR(E2356 / SUMIFS('📅 Resumen Diario'!$D$5:$D$504, '📅 Resumen Diario'!$B$5:$B$504, B2356, '📅 Resumen Diario'!$C$5:$C$504, D2356) * (SUMIFS('📋 Detalle Diario'!$E$5:$E$489, '📋 Detalle Diario'!$B$5:$B$489, B2356, '📋 Detalle Diario'!$C$5:$C$489, D2356) * 135 + SUMIFS('📋 Detalle Diario'!$I$5:$I$489, '📋 Detalle Diario'!$B$5:$B$489, B2356, '📋 Detalle Diario'!$C$5:$C$489, D2356) * 200), 0))</f>
        <v/>
      </c>
      <c r="P2356" s="32" t="str">
        <f t="shared" si="257"/>
        <v/>
      </c>
      <c r="Q2356" s="33" t="str">
        <f t="shared" si="258"/>
        <v/>
      </c>
    </row>
    <row r="2357" spans="2:17" ht="18" customHeight="1" x14ac:dyDescent="0.3">
      <c r="B2357" s="26"/>
      <c r="C2357" s="28"/>
      <c r="D2357" s="27"/>
      <c r="E2357" s="29"/>
      <c r="F2357" s="29"/>
      <c r="G2357" s="29"/>
      <c r="H2357" s="30" t="str">
        <f t="shared" si="252"/>
        <v/>
      </c>
      <c r="I2357" s="31" t="str">
        <f>IF(OR(B2357="",C2357=""),"",IFERROR(E2357*IF(E2357="",0,VLOOKUP(C2357,'📦 Precios Proforma'!$B$5:$D$104,IF(D2357="DIA",2,3),FALSE)),0))</f>
        <v/>
      </c>
      <c r="J2357" s="31" t="str">
        <f t="shared" si="253"/>
        <v/>
      </c>
      <c r="K2357" s="31" t="str">
        <f t="shared" si="254"/>
        <v/>
      </c>
      <c r="L2357" s="31" t="str">
        <f>IF(OR(B2357="",C2357=""),"",IFERROR(E2357 / SUMIFS('📅 Resumen Diario'!$D$5:$D$504, '📅 Resumen Diario'!$B$5:$B$504, B2357, '📅 Resumen Diario'!$C$5:$C$504, D2357) * SUMIFS('📅 Resumen Diario'!$K$5:$K$504, '📅 Resumen Diario'!$B$5:$B$504, B2357, '📅 Resumen Diario'!$C$5:$C$504, D2357), 0))</f>
        <v/>
      </c>
      <c r="M2357" s="31" t="str">
        <f t="shared" si="255"/>
        <v/>
      </c>
      <c r="N2357" s="31" t="str">
        <f t="shared" si="256"/>
        <v/>
      </c>
      <c r="O2357" s="31" t="str">
        <f>IF(OR(B2357="",C2357=""),"",K2357-N2357 + IFERROR(E2357 / SUMIFS('📅 Resumen Diario'!$D$5:$D$504, '📅 Resumen Diario'!$B$5:$B$504, B2357, '📅 Resumen Diario'!$C$5:$C$504, D2357) * (SUMIFS('📋 Detalle Diario'!$E$5:$E$489, '📋 Detalle Diario'!$B$5:$B$489, B2357, '📋 Detalle Diario'!$C$5:$C$489, D2357) * 135 + SUMIFS('📋 Detalle Diario'!$I$5:$I$489, '📋 Detalle Diario'!$B$5:$B$489, B2357, '📋 Detalle Diario'!$C$5:$C$489, D2357) * 200), 0))</f>
        <v/>
      </c>
      <c r="P2357" s="32" t="str">
        <f t="shared" si="257"/>
        <v/>
      </c>
      <c r="Q2357" s="33" t="str">
        <f t="shared" si="258"/>
        <v/>
      </c>
    </row>
    <row r="2358" spans="2:17" ht="18" customHeight="1" x14ac:dyDescent="0.3">
      <c r="B2358" s="26"/>
      <c r="C2358" s="17"/>
      <c r="D2358" s="27"/>
      <c r="E2358" s="18"/>
      <c r="F2358" s="18"/>
      <c r="G2358" s="18"/>
      <c r="H2358" s="30" t="str">
        <f t="shared" si="252"/>
        <v/>
      </c>
      <c r="I2358" s="31" t="str">
        <f>IF(OR(B2358="",C2358=""),"",IFERROR(E2358*IF(E2358="",0,VLOOKUP(C2358,'📦 Precios Proforma'!$B$5:$D$104,IF(D2358="DIA",2,3),FALSE)),0))</f>
        <v/>
      </c>
      <c r="J2358" s="31" t="str">
        <f t="shared" si="253"/>
        <v/>
      </c>
      <c r="K2358" s="31" t="str">
        <f t="shared" si="254"/>
        <v/>
      </c>
      <c r="L2358" s="31" t="str">
        <f>IF(OR(B2358="",C2358=""),"",IFERROR(E2358 / SUMIFS('📅 Resumen Diario'!$D$5:$D$504, '📅 Resumen Diario'!$B$5:$B$504, B2358, '📅 Resumen Diario'!$C$5:$C$504, D2358) * SUMIFS('📅 Resumen Diario'!$K$5:$K$504, '📅 Resumen Diario'!$B$5:$B$504, B2358, '📅 Resumen Diario'!$C$5:$C$504, D2358), 0))</f>
        <v/>
      </c>
      <c r="M2358" s="31" t="str">
        <f t="shared" si="255"/>
        <v/>
      </c>
      <c r="N2358" s="31" t="str">
        <f t="shared" si="256"/>
        <v/>
      </c>
      <c r="O2358" s="31" t="str">
        <f>IF(OR(B2358="",C2358=""),"",K2358-N2358 + IFERROR(E2358 / SUMIFS('📅 Resumen Diario'!$D$5:$D$504, '📅 Resumen Diario'!$B$5:$B$504, B2358, '📅 Resumen Diario'!$C$5:$C$504, D2358) * (SUMIFS('📋 Detalle Diario'!$E$5:$E$489, '📋 Detalle Diario'!$B$5:$B$489, B2358, '📋 Detalle Diario'!$C$5:$C$489, D2358) * 135 + SUMIFS('📋 Detalle Diario'!$I$5:$I$489, '📋 Detalle Diario'!$B$5:$B$489, B2358, '📋 Detalle Diario'!$C$5:$C$489, D2358) * 200), 0))</f>
        <v/>
      </c>
      <c r="P2358" s="32" t="str">
        <f t="shared" si="257"/>
        <v/>
      </c>
      <c r="Q2358" s="33" t="str">
        <f t="shared" si="258"/>
        <v/>
      </c>
    </row>
    <row r="2359" spans="2:17" ht="18" customHeight="1" x14ac:dyDescent="0.3">
      <c r="B2359" s="26"/>
      <c r="C2359" s="28"/>
      <c r="D2359" s="27"/>
      <c r="E2359" s="29"/>
      <c r="F2359" s="29"/>
      <c r="G2359" s="29"/>
      <c r="H2359" s="30" t="str">
        <f t="shared" si="252"/>
        <v/>
      </c>
      <c r="I2359" s="31" t="str">
        <f>IF(OR(B2359="",C2359=""),"",IFERROR(E2359*IF(E2359="",0,VLOOKUP(C2359,'📦 Precios Proforma'!$B$5:$D$104,IF(D2359="DIA",2,3),FALSE)),0))</f>
        <v/>
      </c>
      <c r="J2359" s="31" t="str">
        <f t="shared" si="253"/>
        <v/>
      </c>
      <c r="K2359" s="31" t="str">
        <f t="shared" si="254"/>
        <v/>
      </c>
      <c r="L2359" s="31" t="str">
        <f>IF(OR(B2359="",C2359=""),"",IFERROR(E2359 / SUMIFS('📅 Resumen Diario'!$D$5:$D$504, '📅 Resumen Diario'!$B$5:$B$504, B2359, '📅 Resumen Diario'!$C$5:$C$504, D2359) * SUMIFS('📅 Resumen Diario'!$K$5:$K$504, '📅 Resumen Diario'!$B$5:$B$504, B2359, '📅 Resumen Diario'!$C$5:$C$504, D2359), 0))</f>
        <v/>
      </c>
      <c r="M2359" s="31" t="str">
        <f t="shared" si="255"/>
        <v/>
      </c>
      <c r="N2359" s="31" t="str">
        <f t="shared" si="256"/>
        <v/>
      </c>
      <c r="O2359" s="31" t="str">
        <f>IF(OR(B2359="",C2359=""),"",K2359-N2359 + IFERROR(E2359 / SUMIFS('📅 Resumen Diario'!$D$5:$D$504, '📅 Resumen Diario'!$B$5:$B$504, B2359, '📅 Resumen Diario'!$C$5:$C$504, D2359) * (SUMIFS('📋 Detalle Diario'!$E$5:$E$489, '📋 Detalle Diario'!$B$5:$B$489, B2359, '📋 Detalle Diario'!$C$5:$C$489, D2359) * 135 + SUMIFS('📋 Detalle Diario'!$I$5:$I$489, '📋 Detalle Diario'!$B$5:$B$489, B2359, '📋 Detalle Diario'!$C$5:$C$489, D2359) * 200), 0))</f>
        <v/>
      </c>
      <c r="P2359" s="32" t="str">
        <f t="shared" si="257"/>
        <v/>
      </c>
      <c r="Q2359" s="33" t="str">
        <f t="shared" si="258"/>
        <v/>
      </c>
    </row>
    <row r="2360" spans="2:17" ht="18" customHeight="1" x14ac:dyDescent="0.3">
      <c r="B2360" s="26"/>
      <c r="C2360" s="17"/>
      <c r="D2360" s="27"/>
      <c r="E2360" s="18"/>
      <c r="F2360" s="18"/>
      <c r="G2360" s="18"/>
      <c r="H2360" s="30" t="str">
        <f t="shared" si="252"/>
        <v/>
      </c>
      <c r="I2360" s="31" t="str">
        <f>IF(OR(B2360="",C2360=""),"",IFERROR(E2360*IF(E2360="",0,VLOOKUP(C2360,'📦 Precios Proforma'!$B$5:$D$104,IF(D2360="DIA",2,3),FALSE)),0))</f>
        <v/>
      </c>
      <c r="J2360" s="31" t="str">
        <f t="shared" si="253"/>
        <v/>
      </c>
      <c r="K2360" s="31" t="str">
        <f t="shared" si="254"/>
        <v/>
      </c>
      <c r="L2360" s="31" t="str">
        <f>IF(OR(B2360="",C2360=""),"",IFERROR(E2360 / SUMIFS('📅 Resumen Diario'!$D$5:$D$504, '📅 Resumen Diario'!$B$5:$B$504, B2360, '📅 Resumen Diario'!$C$5:$C$504, D2360) * SUMIFS('📅 Resumen Diario'!$K$5:$K$504, '📅 Resumen Diario'!$B$5:$B$504, B2360, '📅 Resumen Diario'!$C$5:$C$504, D2360), 0))</f>
        <v/>
      </c>
      <c r="M2360" s="31" t="str">
        <f t="shared" si="255"/>
        <v/>
      </c>
      <c r="N2360" s="31" t="str">
        <f t="shared" si="256"/>
        <v/>
      </c>
      <c r="O2360" s="31" t="str">
        <f>IF(OR(B2360="",C2360=""),"",K2360-N2360 + IFERROR(E2360 / SUMIFS('📅 Resumen Diario'!$D$5:$D$504, '📅 Resumen Diario'!$B$5:$B$504, B2360, '📅 Resumen Diario'!$C$5:$C$504, D2360) * (SUMIFS('📋 Detalle Diario'!$E$5:$E$489, '📋 Detalle Diario'!$B$5:$B$489, B2360, '📋 Detalle Diario'!$C$5:$C$489, D2360) * 135 + SUMIFS('📋 Detalle Diario'!$I$5:$I$489, '📋 Detalle Diario'!$B$5:$B$489, B2360, '📋 Detalle Diario'!$C$5:$C$489, D2360) * 200), 0))</f>
        <v/>
      </c>
      <c r="P2360" s="32" t="str">
        <f t="shared" si="257"/>
        <v/>
      </c>
      <c r="Q2360" s="33" t="str">
        <f t="shared" si="258"/>
        <v/>
      </c>
    </row>
    <row r="2361" spans="2:17" ht="18" customHeight="1" x14ac:dyDescent="0.3">
      <c r="B2361" s="26"/>
      <c r="C2361" s="28"/>
      <c r="D2361" s="27"/>
      <c r="E2361" s="29"/>
      <c r="F2361" s="29"/>
      <c r="G2361" s="29"/>
      <c r="H2361" s="30" t="str">
        <f t="shared" si="252"/>
        <v/>
      </c>
      <c r="I2361" s="31" t="str">
        <f>IF(OR(B2361="",C2361=""),"",IFERROR(E2361*IF(E2361="",0,VLOOKUP(C2361,'📦 Precios Proforma'!$B$5:$D$104,IF(D2361="DIA",2,3),FALSE)),0))</f>
        <v/>
      </c>
      <c r="J2361" s="31" t="str">
        <f t="shared" si="253"/>
        <v/>
      </c>
      <c r="K2361" s="31" t="str">
        <f t="shared" si="254"/>
        <v/>
      </c>
      <c r="L2361" s="31" t="str">
        <f>IF(OR(B2361="",C2361=""),"",IFERROR(E2361 / SUMIFS('📅 Resumen Diario'!$D$5:$D$504, '📅 Resumen Diario'!$B$5:$B$504, B2361, '📅 Resumen Diario'!$C$5:$C$504, D2361) * SUMIFS('📅 Resumen Diario'!$K$5:$K$504, '📅 Resumen Diario'!$B$5:$B$504, B2361, '📅 Resumen Diario'!$C$5:$C$504, D2361), 0))</f>
        <v/>
      </c>
      <c r="M2361" s="31" t="str">
        <f t="shared" si="255"/>
        <v/>
      </c>
      <c r="N2361" s="31" t="str">
        <f t="shared" si="256"/>
        <v/>
      </c>
      <c r="O2361" s="31" t="str">
        <f>IF(OR(B2361="",C2361=""),"",K2361-N2361 + IFERROR(E2361 / SUMIFS('📅 Resumen Diario'!$D$5:$D$504, '📅 Resumen Diario'!$B$5:$B$504, B2361, '📅 Resumen Diario'!$C$5:$C$504, D2361) * (SUMIFS('📋 Detalle Diario'!$E$5:$E$489, '📋 Detalle Diario'!$B$5:$B$489, B2361, '📋 Detalle Diario'!$C$5:$C$489, D2361) * 135 + SUMIFS('📋 Detalle Diario'!$I$5:$I$489, '📋 Detalle Diario'!$B$5:$B$489, B2361, '📋 Detalle Diario'!$C$5:$C$489, D2361) * 200), 0))</f>
        <v/>
      </c>
      <c r="P2361" s="32" t="str">
        <f t="shared" si="257"/>
        <v/>
      </c>
      <c r="Q2361" s="33" t="str">
        <f t="shared" si="258"/>
        <v/>
      </c>
    </row>
    <row r="2362" spans="2:17" ht="18" customHeight="1" x14ac:dyDescent="0.3">
      <c r="B2362" s="26"/>
      <c r="C2362" s="17"/>
      <c r="D2362" s="27"/>
      <c r="E2362" s="18"/>
      <c r="F2362" s="18"/>
      <c r="G2362" s="18"/>
      <c r="H2362" s="30" t="str">
        <f t="shared" si="252"/>
        <v/>
      </c>
      <c r="I2362" s="31" t="str">
        <f>IF(OR(B2362="",C2362=""),"",IFERROR(E2362*IF(E2362="",0,VLOOKUP(C2362,'📦 Precios Proforma'!$B$5:$D$104,IF(D2362="DIA",2,3),FALSE)),0))</f>
        <v/>
      </c>
      <c r="J2362" s="31" t="str">
        <f t="shared" si="253"/>
        <v/>
      </c>
      <c r="K2362" s="31" t="str">
        <f t="shared" si="254"/>
        <v/>
      </c>
      <c r="L2362" s="31" t="str">
        <f>IF(OR(B2362="",C2362=""),"",IFERROR(E2362 / SUMIFS('📅 Resumen Diario'!$D$5:$D$504, '📅 Resumen Diario'!$B$5:$B$504, B2362, '📅 Resumen Diario'!$C$5:$C$504, D2362) * SUMIFS('📅 Resumen Diario'!$K$5:$K$504, '📅 Resumen Diario'!$B$5:$B$504, B2362, '📅 Resumen Diario'!$C$5:$C$504, D2362), 0))</f>
        <v/>
      </c>
      <c r="M2362" s="31" t="str">
        <f t="shared" si="255"/>
        <v/>
      </c>
      <c r="N2362" s="31" t="str">
        <f t="shared" si="256"/>
        <v/>
      </c>
      <c r="O2362" s="31" t="str">
        <f>IF(OR(B2362="",C2362=""),"",K2362-N2362 + IFERROR(E2362 / SUMIFS('📅 Resumen Diario'!$D$5:$D$504, '📅 Resumen Diario'!$B$5:$B$504, B2362, '📅 Resumen Diario'!$C$5:$C$504, D2362) * (SUMIFS('📋 Detalle Diario'!$E$5:$E$489, '📋 Detalle Diario'!$B$5:$B$489, B2362, '📋 Detalle Diario'!$C$5:$C$489, D2362) * 135 + SUMIFS('📋 Detalle Diario'!$I$5:$I$489, '📋 Detalle Diario'!$B$5:$B$489, B2362, '📋 Detalle Diario'!$C$5:$C$489, D2362) * 200), 0))</f>
        <v/>
      </c>
      <c r="P2362" s="32" t="str">
        <f t="shared" si="257"/>
        <v/>
      </c>
      <c r="Q2362" s="33" t="str">
        <f t="shared" si="258"/>
        <v/>
      </c>
    </row>
    <row r="2363" spans="2:17" ht="18" customHeight="1" x14ac:dyDescent="0.3">
      <c r="B2363" s="26"/>
      <c r="C2363" s="28"/>
      <c r="D2363" s="27"/>
      <c r="E2363" s="29"/>
      <c r="F2363" s="29"/>
      <c r="G2363" s="29"/>
      <c r="H2363" s="30" t="str">
        <f t="shared" si="252"/>
        <v/>
      </c>
      <c r="I2363" s="31" t="str">
        <f>IF(OR(B2363="",C2363=""),"",IFERROR(E2363*IF(E2363="",0,VLOOKUP(C2363,'📦 Precios Proforma'!$B$5:$D$104,IF(D2363="DIA",2,3),FALSE)),0))</f>
        <v/>
      </c>
      <c r="J2363" s="31" t="str">
        <f t="shared" si="253"/>
        <v/>
      </c>
      <c r="K2363" s="31" t="str">
        <f t="shared" si="254"/>
        <v/>
      </c>
      <c r="L2363" s="31" t="str">
        <f>IF(OR(B2363="",C2363=""),"",IFERROR(E2363 / SUMIFS('📅 Resumen Diario'!$D$5:$D$504, '📅 Resumen Diario'!$B$5:$B$504, B2363, '📅 Resumen Diario'!$C$5:$C$504, D2363) * SUMIFS('📅 Resumen Diario'!$K$5:$K$504, '📅 Resumen Diario'!$B$5:$B$504, B2363, '📅 Resumen Diario'!$C$5:$C$504, D2363), 0))</f>
        <v/>
      </c>
      <c r="M2363" s="31" t="str">
        <f t="shared" si="255"/>
        <v/>
      </c>
      <c r="N2363" s="31" t="str">
        <f t="shared" si="256"/>
        <v/>
      </c>
      <c r="O2363" s="31" t="str">
        <f>IF(OR(B2363="",C2363=""),"",K2363-N2363 + IFERROR(E2363 / SUMIFS('📅 Resumen Diario'!$D$5:$D$504, '📅 Resumen Diario'!$B$5:$B$504, B2363, '📅 Resumen Diario'!$C$5:$C$504, D2363) * (SUMIFS('📋 Detalle Diario'!$E$5:$E$489, '📋 Detalle Diario'!$B$5:$B$489, B2363, '📋 Detalle Diario'!$C$5:$C$489, D2363) * 135 + SUMIFS('📋 Detalle Diario'!$I$5:$I$489, '📋 Detalle Diario'!$B$5:$B$489, B2363, '📋 Detalle Diario'!$C$5:$C$489, D2363) * 200), 0))</f>
        <v/>
      </c>
      <c r="P2363" s="32" t="str">
        <f t="shared" si="257"/>
        <v/>
      </c>
      <c r="Q2363" s="33" t="str">
        <f t="shared" si="258"/>
        <v/>
      </c>
    </row>
    <row r="2364" spans="2:17" ht="18" customHeight="1" x14ac:dyDescent="0.3">
      <c r="B2364" s="26"/>
      <c r="C2364" s="17"/>
      <c r="D2364" s="27"/>
      <c r="E2364" s="18"/>
      <c r="F2364" s="18"/>
      <c r="G2364" s="18"/>
      <c r="H2364" s="30" t="str">
        <f t="shared" si="252"/>
        <v/>
      </c>
      <c r="I2364" s="31" t="str">
        <f>IF(OR(B2364="",C2364=""),"",IFERROR(E2364*IF(E2364="",0,VLOOKUP(C2364,'📦 Precios Proforma'!$B$5:$D$104,IF(D2364="DIA",2,3),FALSE)),0))</f>
        <v/>
      </c>
      <c r="J2364" s="31" t="str">
        <f t="shared" si="253"/>
        <v/>
      </c>
      <c r="K2364" s="31" t="str">
        <f t="shared" si="254"/>
        <v/>
      </c>
      <c r="L2364" s="31" t="str">
        <f>IF(OR(B2364="",C2364=""),"",IFERROR(E2364 / SUMIFS('📅 Resumen Diario'!$D$5:$D$504, '📅 Resumen Diario'!$B$5:$B$504, B2364, '📅 Resumen Diario'!$C$5:$C$504, D2364) * SUMIFS('📅 Resumen Diario'!$K$5:$K$504, '📅 Resumen Diario'!$B$5:$B$504, B2364, '📅 Resumen Diario'!$C$5:$C$504, D2364), 0))</f>
        <v/>
      </c>
      <c r="M2364" s="31" t="str">
        <f t="shared" si="255"/>
        <v/>
      </c>
      <c r="N2364" s="31" t="str">
        <f t="shared" si="256"/>
        <v/>
      </c>
      <c r="O2364" s="31" t="str">
        <f>IF(OR(B2364="",C2364=""),"",K2364-N2364 + IFERROR(E2364 / SUMIFS('📅 Resumen Diario'!$D$5:$D$504, '📅 Resumen Diario'!$B$5:$B$504, B2364, '📅 Resumen Diario'!$C$5:$C$504, D2364) * (SUMIFS('📋 Detalle Diario'!$E$5:$E$489, '📋 Detalle Diario'!$B$5:$B$489, B2364, '📋 Detalle Diario'!$C$5:$C$489, D2364) * 135 + SUMIFS('📋 Detalle Diario'!$I$5:$I$489, '📋 Detalle Diario'!$B$5:$B$489, B2364, '📋 Detalle Diario'!$C$5:$C$489, D2364) * 200), 0))</f>
        <v/>
      </c>
      <c r="P2364" s="32" t="str">
        <f t="shared" si="257"/>
        <v/>
      </c>
      <c r="Q2364" s="33" t="str">
        <f t="shared" si="258"/>
        <v/>
      </c>
    </row>
    <row r="2365" spans="2:17" ht="18" customHeight="1" x14ac:dyDescent="0.3">
      <c r="B2365" s="26"/>
      <c r="C2365" s="28"/>
      <c r="D2365" s="27"/>
      <c r="E2365" s="29"/>
      <c r="F2365" s="29"/>
      <c r="G2365" s="29"/>
      <c r="H2365" s="30" t="str">
        <f t="shared" si="252"/>
        <v/>
      </c>
      <c r="I2365" s="31" t="str">
        <f>IF(OR(B2365="",C2365=""),"",IFERROR(E2365*IF(E2365="",0,VLOOKUP(C2365,'📦 Precios Proforma'!$B$5:$D$104,IF(D2365="DIA",2,3),FALSE)),0))</f>
        <v/>
      </c>
      <c r="J2365" s="31" t="str">
        <f t="shared" si="253"/>
        <v/>
      </c>
      <c r="K2365" s="31" t="str">
        <f t="shared" si="254"/>
        <v/>
      </c>
      <c r="L2365" s="31" t="str">
        <f>IF(OR(B2365="",C2365=""),"",IFERROR(E2365 / SUMIFS('📅 Resumen Diario'!$D$5:$D$504, '📅 Resumen Diario'!$B$5:$B$504, B2365, '📅 Resumen Diario'!$C$5:$C$504, D2365) * SUMIFS('📅 Resumen Diario'!$K$5:$K$504, '📅 Resumen Diario'!$B$5:$B$504, B2365, '📅 Resumen Diario'!$C$5:$C$504, D2365), 0))</f>
        <v/>
      </c>
      <c r="M2365" s="31" t="str">
        <f t="shared" si="255"/>
        <v/>
      </c>
      <c r="N2365" s="31" t="str">
        <f t="shared" si="256"/>
        <v/>
      </c>
      <c r="O2365" s="31" t="str">
        <f>IF(OR(B2365="",C2365=""),"",K2365-N2365 + IFERROR(E2365 / SUMIFS('📅 Resumen Diario'!$D$5:$D$504, '📅 Resumen Diario'!$B$5:$B$504, B2365, '📅 Resumen Diario'!$C$5:$C$504, D2365) * (SUMIFS('📋 Detalle Diario'!$E$5:$E$489, '📋 Detalle Diario'!$B$5:$B$489, B2365, '📋 Detalle Diario'!$C$5:$C$489, D2365) * 135 + SUMIFS('📋 Detalle Diario'!$I$5:$I$489, '📋 Detalle Diario'!$B$5:$B$489, B2365, '📋 Detalle Diario'!$C$5:$C$489, D2365) * 200), 0))</f>
        <v/>
      </c>
      <c r="P2365" s="32" t="str">
        <f t="shared" si="257"/>
        <v/>
      </c>
      <c r="Q2365" s="33" t="str">
        <f t="shared" si="258"/>
        <v/>
      </c>
    </row>
    <row r="2366" spans="2:17" ht="18" customHeight="1" x14ac:dyDescent="0.3">
      <c r="B2366" s="26"/>
      <c r="C2366" s="17"/>
      <c r="D2366" s="27"/>
      <c r="E2366" s="18"/>
      <c r="F2366" s="18"/>
      <c r="G2366" s="18"/>
      <c r="H2366" s="30" t="str">
        <f t="shared" si="252"/>
        <v/>
      </c>
      <c r="I2366" s="31" t="str">
        <f>IF(OR(B2366="",C2366=""),"",IFERROR(E2366*IF(E2366="",0,VLOOKUP(C2366,'📦 Precios Proforma'!$B$5:$D$104,IF(D2366="DIA",2,3),FALSE)),0))</f>
        <v/>
      </c>
      <c r="J2366" s="31" t="str">
        <f t="shared" si="253"/>
        <v/>
      </c>
      <c r="K2366" s="31" t="str">
        <f t="shared" si="254"/>
        <v/>
      </c>
      <c r="L2366" s="31" t="str">
        <f>IF(OR(B2366="",C2366=""),"",IFERROR(E2366 / SUMIFS('📅 Resumen Diario'!$D$5:$D$504, '📅 Resumen Diario'!$B$5:$B$504, B2366, '📅 Resumen Diario'!$C$5:$C$504, D2366) * SUMIFS('📅 Resumen Diario'!$K$5:$K$504, '📅 Resumen Diario'!$B$5:$B$504, B2366, '📅 Resumen Diario'!$C$5:$C$504, D2366), 0))</f>
        <v/>
      </c>
      <c r="M2366" s="31" t="str">
        <f t="shared" si="255"/>
        <v/>
      </c>
      <c r="N2366" s="31" t="str">
        <f t="shared" si="256"/>
        <v/>
      </c>
      <c r="O2366" s="31" t="str">
        <f>IF(OR(B2366="",C2366=""),"",K2366-N2366 + IFERROR(E2366 / SUMIFS('📅 Resumen Diario'!$D$5:$D$504, '📅 Resumen Diario'!$B$5:$B$504, B2366, '📅 Resumen Diario'!$C$5:$C$504, D2366) * (SUMIFS('📋 Detalle Diario'!$E$5:$E$489, '📋 Detalle Diario'!$B$5:$B$489, B2366, '📋 Detalle Diario'!$C$5:$C$489, D2366) * 135 + SUMIFS('📋 Detalle Diario'!$I$5:$I$489, '📋 Detalle Diario'!$B$5:$B$489, B2366, '📋 Detalle Diario'!$C$5:$C$489, D2366) * 200), 0))</f>
        <v/>
      </c>
      <c r="P2366" s="32" t="str">
        <f t="shared" si="257"/>
        <v/>
      </c>
      <c r="Q2366" s="33" t="str">
        <f t="shared" si="258"/>
        <v/>
      </c>
    </row>
    <row r="2367" spans="2:17" ht="18" customHeight="1" x14ac:dyDescent="0.3">
      <c r="B2367" s="26"/>
      <c r="C2367" s="28"/>
      <c r="D2367" s="27"/>
      <c r="E2367" s="29"/>
      <c r="F2367" s="29"/>
      <c r="G2367" s="29"/>
      <c r="H2367" s="30" t="str">
        <f t="shared" si="252"/>
        <v/>
      </c>
      <c r="I2367" s="31" t="str">
        <f>IF(OR(B2367="",C2367=""),"",IFERROR(E2367*IF(E2367="",0,VLOOKUP(C2367,'📦 Precios Proforma'!$B$5:$D$104,IF(D2367="DIA",2,3),FALSE)),0))</f>
        <v/>
      </c>
      <c r="J2367" s="31" t="str">
        <f t="shared" si="253"/>
        <v/>
      </c>
      <c r="K2367" s="31" t="str">
        <f t="shared" si="254"/>
        <v/>
      </c>
      <c r="L2367" s="31" t="str">
        <f>IF(OR(B2367="",C2367=""),"",IFERROR(E2367 / SUMIFS('📅 Resumen Diario'!$D$5:$D$504, '📅 Resumen Diario'!$B$5:$B$504, B2367, '📅 Resumen Diario'!$C$5:$C$504, D2367) * SUMIFS('📅 Resumen Diario'!$K$5:$K$504, '📅 Resumen Diario'!$B$5:$B$504, B2367, '📅 Resumen Diario'!$C$5:$C$504, D2367), 0))</f>
        <v/>
      </c>
      <c r="M2367" s="31" t="str">
        <f t="shared" si="255"/>
        <v/>
      </c>
      <c r="N2367" s="31" t="str">
        <f t="shared" si="256"/>
        <v/>
      </c>
      <c r="O2367" s="31" t="str">
        <f>IF(OR(B2367="",C2367=""),"",K2367-N2367 + IFERROR(E2367 / SUMIFS('📅 Resumen Diario'!$D$5:$D$504, '📅 Resumen Diario'!$B$5:$B$504, B2367, '📅 Resumen Diario'!$C$5:$C$504, D2367) * (SUMIFS('📋 Detalle Diario'!$E$5:$E$489, '📋 Detalle Diario'!$B$5:$B$489, B2367, '📋 Detalle Diario'!$C$5:$C$489, D2367) * 135 + SUMIFS('📋 Detalle Diario'!$I$5:$I$489, '📋 Detalle Diario'!$B$5:$B$489, B2367, '📋 Detalle Diario'!$C$5:$C$489, D2367) * 200), 0))</f>
        <v/>
      </c>
      <c r="P2367" s="32" t="str">
        <f t="shared" si="257"/>
        <v/>
      </c>
      <c r="Q2367" s="33" t="str">
        <f t="shared" si="258"/>
        <v/>
      </c>
    </row>
    <row r="2368" spans="2:17" ht="18" customHeight="1" x14ac:dyDescent="0.3">
      <c r="B2368" s="26"/>
      <c r="C2368" s="17"/>
      <c r="D2368" s="27"/>
      <c r="E2368" s="18"/>
      <c r="F2368" s="18"/>
      <c r="G2368" s="18"/>
      <c r="H2368" s="30" t="str">
        <f t="shared" si="252"/>
        <v/>
      </c>
      <c r="I2368" s="31" t="str">
        <f>IF(OR(B2368="",C2368=""),"",IFERROR(E2368*IF(E2368="",0,VLOOKUP(C2368,'📦 Precios Proforma'!$B$5:$D$104,IF(D2368="DIA",2,3),FALSE)),0))</f>
        <v/>
      </c>
      <c r="J2368" s="31" t="str">
        <f t="shared" si="253"/>
        <v/>
      </c>
      <c r="K2368" s="31" t="str">
        <f t="shared" si="254"/>
        <v/>
      </c>
      <c r="L2368" s="31" t="str">
        <f>IF(OR(B2368="",C2368=""),"",IFERROR(E2368 / SUMIFS('📅 Resumen Diario'!$D$5:$D$504, '📅 Resumen Diario'!$B$5:$B$504, B2368, '📅 Resumen Diario'!$C$5:$C$504, D2368) * SUMIFS('📅 Resumen Diario'!$K$5:$K$504, '📅 Resumen Diario'!$B$5:$B$504, B2368, '📅 Resumen Diario'!$C$5:$C$504, D2368), 0))</f>
        <v/>
      </c>
      <c r="M2368" s="31" t="str">
        <f t="shared" si="255"/>
        <v/>
      </c>
      <c r="N2368" s="31" t="str">
        <f t="shared" si="256"/>
        <v/>
      </c>
      <c r="O2368" s="31" t="str">
        <f>IF(OR(B2368="",C2368=""),"",K2368-N2368 + IFERROR(E2368 / SUMIFS('📅 Resumen Diario'!$D$5:$D$504, '📅 Resumen Diario'!$B$5:$B$504, B2368, '📅 Resumen Diario'!$C$5:$C$504, D2368) * (SUMIFS('📋 Detalle Diario'!$E$5:$E$489, '📋 Detalle Diario'!$B$5:$B$489, B2368, '📋 Detalle Diario'!$C$5:$C$489, D2368) * 135 + SUMIFS('📋 Detalle Diario'!$I$5:$I$489, '📋 Detalle Diario'!$B$5:$B$489, B2368, '📋 Detalle Diario'!$C$5:$C$489, D2368) * 200), 0))</f>
        <v/>
      </c>
      <c r="P2368" s="32" t="str">
        <f t="shared" si="257"/>
        <v/>
      </c>
      <c r="Q2368" s="33" t="str">
        <f t="shared" si="258"/>
        <v/>
      </c>
    </row>
    <row r="2369" spans="2:17" ht="18" customHeight="1" x14ac:dyDescent="0.3">
      <c r="B2369" s="26"/>
      <c r="C2369" s="28"/>
      <c r="D2369" s="27"/>
      <c r="E2369" s="29"/>
      <c r="F2369" s="29"/>
      <c r="G2369" s="29"/>
      <c r="H2369" s="30" t="str">
        <f t="shared" si="252"/>
        <v/>
      </c>
      <c r="I2369" s="31" t="str">
        <f>IF(OR(B2369="",C2369=""),"",IFERROR(E2369*IF(E2369="",0,VLOOKUP(C2369,'📦 Precios Proforma'!$B$5:$D$104,IF(D2369="DIA",2,3),FALSE)),0))</f>
        <v/>
      </c>
      <c r="J2369" s="31" t="str">
        <f t="shared" si="253"/>
        <v/>
      </c>
      <c r="K2369" s="31" t="str">
        <f t="shared" si="254"/>
        <v/>
      </c>
      <c r="L2369" s="31" t="str">
        <f>IF(OR(B2369="",C2369=""),"",IFERROR(E2369 / SUMIFS('📅 Resumen Diario'!$D$5:$D$504, '📅 Resumen Diario'!$B$5:$B$504, B2369, '📅 Resumen Diario'!$C$5:$C$504, D2369) * SUMIFS('📅 Resumen Diario'!$K$5:$K$504, '📅 Resumen Diario'!$B$5:$B$504, B2369, '📅 Resumen Diario'!$C$5:$C$504, D2369), 0))</f>
        <v/>
      </c>
      <c r="M2369" s="31" t="str">
        <f t="shared" si="255"/>
        <v/>
      </c>
      <c r="N2369" s="31" t="str">
        <f t="shared" si="256"/>
        <v/>
      </c>
      <c r="O2369" s="31" t="str">
        <f>IF(OR(B2369="",C2369=""),"",K2369-N2369 + IFERROR(E2369 / SUMIFS('📅 Resumen Diario'!$D$5:$D$504, '📅 Resumen Diario'!$B$5:$B$504, B2369, '📅 Resumen Diario'!$C$5:$C$504, D2369) * (SUMIFS('📋 Detalle Diario'!$E$5:$E$489, '📋 Detalle Diario'!$B$5:$B$489, B2369, '📋 Detalle Diario'!$C$5:$C$489, D2369) * 135 + SUMIFS('📋 Detalle Diario'!$I$5:$I$489, '📋 Detalle Diario'!$B$5:$B$489, B2369, '📋 Detalle Diario'!$C$5:$C$489, D2369) * 200), 0))</f>
        <v/>
      </c>
      <c r="P2369" s="32" t="str">
        <f t="shared" si="257"/>
        <v/>
      </c>
      <c r="Q2369" s="33" t="str">
        <f t="shared" si="258"/>
        <v/>
      </c>
    </row>
    <row r="2370" spans="2:17" ht="18" customHeight="1" x14ac:dyDescent="0.3">
      <c r="B2370" s="26"/>
      <c r="C2370" s="17"/>
      <c r="D2370" s="27"/>
      <c r="E2370" s="18"/>
      <c r="F2370" s="18"/>
      <c r="G2370" s="18"/>
      <c r="H2370" s="30" t="str">
        <f t="shared" si="252"/>
        <v/>
      </c>
      <c r="I2370" s="31" t="str">
        <f>IF(OR(B2370="",C2370=""),"",IFERROR(E2370*IF(E2370="",0,VLOOKUP(C2370,'📦 Precios Proforma'!$B$5:$D$104,IF(D2370="DIA",2,3),FALSE)),0))</f>
        <v/>
      </c>
      <c r="J2370" s="31" t="str">
        <f t="shared" si="253"/>
        <v/>
      </c>
      <c r="K2370" s="31" t="str">
        <f t="shared" si="254"/>
        <v/>
      </c>
      <c r="L2370" s="31" t="str">
        <f>IF(OR(B2370="",C2370=""),"",IFERROR(E2370 / SUMIFS('📅 Resumen Diario'!$D$5:$D$504, '📅 Resumen Diario'!$B$5:$B$504, B2370, '📅 Resumen Diario'!$C$5:$C$504, D2370) * SUMIFS('📅 Resumen Diario'!$K$5:$K$504, '📅 Resumen Diario'!$B$5:$B$504, B2370, '📅 Resumen Diario'!$C$5:$C$504, D2370), 0))</f>
        <v/>
      </c>
      <c r="M2370" s="31" t="str">
        <f t="shared" si="255"/>
        <v/>
      </c>
      <c r="N2370" s="31" t="str">
        <f t="shared" si="256"/>
        <v/>
      </c>
      <c r="O2370" s="31" t="str">
        <f>IF(OR(B2370="",C2370=""),"",K2370-N2370 + IFERROR(E2370 / SUMIFS('📅 Resumen Diario'!$D$5:$D$504, '📅 Resumen Diario'!$B$5:$B$504, B2370, '📅 Resumen Diario'!$C$5:$C$504, D2370) * (SUMIFS('📋 Detalle Diario'!$E$5:$E$489, '📋 Detalle Diario'!$B$5:$B$489, B2370, '📋 Detalle Diario'!$C$5:$C$489, D2370) * 135 + SUMIFS('📋 Detalle Diario'!$I$5:$I$489, '📋 Detalle Diario'!$B$5:$B$489, B2370, '📋 Detalle Diario'!$C$5:$C$489, D2370) * 200), 0))</f>
        <v/>
      </c>
      <c r="P2370" s="32" t="str">
        <f t="shared" si="257"/>
        <v/>
      </c>
      <c r="Q2370" s="33" t="str">
        <f t="shared" si="258"/>
        <v/>
      </c>
    </row>
    <row r="2371" spans="2:17" ht="18" customHeight="1" x14ac:dyDescent="0.3">
      <c r="B2371" s="26"/>
      <c r="C2371" s="28"/>
      <c r="D2371" s="27"/>
      <c r="E2371" s="29"/>
      <c r="F2371" s="29"/>
      <c r="G2371" s="29"/>
      <c r="H2371" s="30" t="str">
        <f t="shared" si="252"/>
        <v/>
      </c>
      <c r="I2371" s="31" t="str">
        <f>IF(OR(B2371="",C2371=""),"",IFERROR(E2371*IF(E2371="",0,VLOOKUP(C2371,'📦 Precios Proforma'!$B$5:$D$104,IF(D2371="DIA",2,3),FALSE)),0))</f>
        <v/>
      </c>
      <c r="J2371" s="31" t="str">
        <f t="shared" si="253"/>
        <v/>
      </c>
      <c r="K2371" s="31" t="str">
        <f t="shared" si="254"/>
        <v/>
      </c>
      <c r="L2371" s="31" t="str">
        <f>IF(OR(B2371="",C2371=""),"",IFERROR(E2371 / SUMIFS('📅 Resumen Diario'!$D$5:$D$504, '📅 Resumen Diario'!$B$5:$B$504, B2371, '📅 Resumen Diario'!$C$5:$C$504, D2371) * SUMIFS('📅 Resumen Diario'!$K$5:$K$504, '📅 Resumen Diario'!$B$5:$B$504, B2371, '📅 Resumen Diario'!$C$5:$C$504, D2371), 0))</f>
        <v/>
      </c>
      <c r="M2371" s="31" t="str">
        <f t="shared" si="255"/>
        <v/>
      </c>
      <c r="N2371" s="31" t="str">
        <f t="shared" si="256"/>
        <v/>
      </c>
      <c r="O2371" s="31" t="str">
        <f>IF(OR(B2371="",C2371=""),"",K2371-N2371 + IFERROR(E2371 / SUMIFS('📅 Resumen Diario'!$D$5:$D$504, '📅 Resumen Diario'!$B$5:$B$504, B2371, '📅 Resumen Diario'!$C$5:$C$504, D2371) * (SUMIFS('📋 Detalle Diario'!$E$5:$E$489, '📋 Detalle Diario'!$B$5:$B$489, B2371, '📋 Detalle Diario'!$C$5:$C$489, D2371) * 135 + SUMIFS('📋 Detalle Diario'!$I$5:$I$489, '📋 Detalle Diario'!$B$5:$B$489, B2371, '📋 Detalle Diario'!$C$5:$C$489, D2371) * 200), 0))</f>
        <v/>
      </c>
      <c r="P2371" s="32" t="str">
        <f t="shared" si="257"/>
        <v/>
      </c>
      <c r="Q2371" s="33" t="str">
        <f t="shared" si="258"/>
        <v/>
      </c>
    </row>
    <row r="2372" spans="2:17" ht="18" customHeight="1" x14ac:dyDescent="0.3">
      <c r="B2372" s="26"/>
      <c r="C2372" s="17"/>
      <c r="D2372" s="27"/>
      <c r="E2372" s="18"/>
      <c r="F2372" s="18"/>
      <c r="G2372" s="18"/>
      <c r="H2372" s="30" t="str">
        <f t="shared" si="252"/>
        <v/>
      </c>
      <c r="I2372" s="31" t="str">
        <f>IF(OR(B2372="",C2372=""),"",IFERROR(E2372*IF(E2372="",0,VLOOKUP(C2372,'📦 Precios Proforma'!$B$5:$D$104,IF(D2372="DIA",2,3),FALSE)),0))</f>
        <v/>
      </c>
      <c r="J2372" s="31" t="str">
        <f t="shared" si="253"/>
        <v/>
      </c>
      <c r="K2372" s="31" t="str">
        <f t="shared" si="254"/>
        <v/>
      </c>
      <c r="L2372" s="31" t="str">
        <f>IF(OR(B2372="",C2372=""),"",IFERROR(E2372 / SUMIFS('📅 Resumen Diario'!$D$5:$D$504, '📅 Resumen Diario'!$B$5:$B$504, B2372, '📅 Resumen Diario'!$C$5:$C$504, D2372) * SUMIFS('📅 Resumen Diario'!$K$5:$K$504, '📅 Resumen Diario'!$B$5:$B$504, B2372, '📅 Resumen Diario'!$C$5:$C$504, D2372), 0))</f>
        <v/>
      </c>
      <c r="M2372" s="31" t="str">
        <f t="shared" si="255"/>
        <v/>
      </c>
      <c r="N2372" s="31" t="str">
        <f t="shared" si="256"/>
        <v/>
      </c>
      <c r="O2372" s="31" t="str">
        <f>IF(OR(B2372="",C2372=""),"",K2372-N2372 + IFERROR(E2372 / SUMIFS('📅 Resumen Diario'!$D$5:$D$504, '📅 Resumen Diario'!$B$5:$B$504, B2372, '📅 Resumen Diario'!$C$5:$C$504, D2372) * (SUMIFS('📋 Detalle Diario'!$E$5:$E$489, '📋 Detalle Diario'!$B$5:$B$489, B2372, '📋 Detalle Diario'!$C$5:$C$489, D2372) * 135 + SUMIFS('📋 Detalle Diario'!$I$5:$I$489, '📋 Detalle Diario'!$B$5:$B$489, B2372, '📋 Detalle Diario'!$C$5:$C$489, D2372) * 200), 0))</f>
        <v/>
      </c>
      <c r="P2372" s="32" t="str">
        <f t="shared" si="257"/>
        <v/>
      </c>
      <c r="Q2372" s="33" t="str">
        <f t="shared" si="258"/>
        <v/>
      </c>
    </row>
    <row r="2373" spans="2:17" ht="18" customHeight="1" x14ac:dyDescent="0.3">
      <c r="B2373" s="26"/>
      <c r="C2373" s="28"/>
      <c r="D2373" s="27"/>
      <c r="E2373" s="29"/>
      <c r="F2373" s="29"/>
      <c r="G2373" s="29"/>
      <c r="H2373" s="30" t="str">
        <f t="shared" si="252"/>
        <v/>
      </c>
      <c r="I2373" s="31" t="str">
        <f>IF(OR(B2373="",C2373=""),"",IFERROR(E2373*IF(E2373="",0,VLOOKUP(C2373,'📦 Precios Proforma'!$B$5:$D$104,IF(D2373="DIA",2,3),FALSE)),0))</f>
        <v/>
      </c>
      <c r="J2373" s="31" t="str">
        <f t="shared" si="253"/>
        <v/>
      </c>
      <c r="K2373" s="31" t="str">
        <f t="shared" si="254"/>
        <v/>
      </c>
      <c r="L2373" s="31" t="str">
        <f>IF(OR(B2373="",C2373=""),"",IFERROR(E2373 / SUMIFS('📅 Resumen Diario'!$D$5:$D$504, '📅 Resumen Diario'!$B$5:$B$504, B2373, '📅 Resumen Diario'!$C$5:$C$504, D2373) * SUMIFS('📅 Resumen Diario'!$K$5:$K$504, '📅 Resumen Diario'!$B$5:$B$504, B2373, '📅 Resumen Diario'!$C$5:$C$504, D2373), 0))</f>
        <v/>
      </c>
      <c r="M2373" s="31" t="str">
        <f t="shared" si="255"/>
        <v/>
      </c>
      <c r="N2373" s="31" t="str">
        <f t="shared" si="256"/>
        <v/>
      </c>
      <c r="O2373" s="31" t="str">
        <f>IF(OR(B2373="",C2373=""),"",K2373-N2373 + IFERROR(E2373 / SUMIFS('📅 Resumen Diario'!$D$5:$D$504, '📅 Resumen Diario'!$B$5:$B$504, B2373, '📅 Resumen Diario'!$C$5:$C$504, D2373) * (SUMIFS('📋 Detalle Diario'!$E$5:$E$489, '📋 Detalle Diario'!$B$5:$B$489, B2373, '📋 Detalle Diario'!$C$5:$C$489, D2373) * 135 + SUMIFS('📋 Detalle Diario'!$I$5:$I$489, '📋 Detalle Diario'!$B$5:$B$489, B2373, '📋 Detalle Diario'!$C$5:$C$489, D2373) * 200), 0))</f>
        <v/>
      </c>
      <c r="P2373" s="32" t="str">
        <f t="shared" si="257"/>
        <v/>
      </c>
      <c r="Q2373" s="33" t="str">
        <f t="shared" si="258"/>
        <v/>
      </c>
    </row>
    <row r="2374" spans="2:17" ht="18" customHeight="1" x14ac:dyDescent="0.3">
      <c r="B2374" s="26"/>
      <c r="C2374" s="17"/>
      <c r="D2374" s="27"/>
      <c r="E2374" s="18"/>
      <c r="F2374" s="18"/>
      <c r="G2374" s="18"/>
      <c r="H2374" s="30" t="str">
        <f t="shared" si="252"/>
        <v/>
      </c>
      <c r="I2374" s="31" t="str">
        <f>IF(OR(B2374="",C2374=""),"",IFERROR(E2374*IF(E2374="",0,VLOOKUP(C2374,'📦 Precios Proforma'!$B$5:$D$104,IF(D2374="DIA",2,3),FALSE)),0))</f>
        <v/>
      </c>
      <c r="J2374" s="31" t="str">
        <f t="shared" si="253"/>
        <v/>
      </c>
      <c r="K2374" s="31" t="str">
        <f t="shared" si="254"/>
        <v/>
      </c>
      <c r="L2374" s="31" t="str">
        <f>IF(OR(B2374="",C2374=""),"",IFERROR(E2374 / SUMIFS('📅 Resumen Diario'!$D$5:$D$504, '📅 Resumen Diario'!$B$5:$B$504, B2374, '📅 Resumen Diario'!$C$5:$C$504, D2374) * SUMIFS('📅 Resumen Diario'!$K$5:$K$504, '📅 Resumen Diario'!$B$5:$B$504, B2374, '📅 Resumen Diario'!$C$5:$C$504, D2374), 0))</f>
        <v/>
      </c>
      <c r="M2374" s="31" t="str">
        <f t="shared" si="255"/>
        <v/>
      </c>
      <c r="N2374" s="31" t="str">
        <f t="shared" si="256"/>
        <v/>
      </c>
      <c r="O2374" s="31" t="str">
        <f>IF(OR(B2374="",C2374=""),"",K2374-N2374 + IFERROR(E2374 / SUMIFS('📅 Resumen Diario'!$D$5:$D$504, '📅 Resumen Diario'!$B$5:$B$504, B2374, '📅 Resumen Diario'!$C$5:$C$504, D2374) * (SUMIFS('📋 Detalle Diario'!$E$5:$E$489, '📋 Detalle Diario'!$B$5:$B$489, B2374, '📋 Detalle Diario'!$C$5:$C$489, D2374) * 135 + SUMIFS('📋 Detalle Diario'!$I$5:$I$489, '📋 Detalle Diario'!$B$5:$B$489, B2374, '📋 Detalle Diario'!$C$5:$C$489, D2374) * 200), 0))</f>
        <v/>
      </c>
      <c r="P2374" s="32" t="str">
        <f t="shared" si="257"/>
        <v/>
      </c>
      <c r="Q2374" s="33" t="str">
        <f t="shared" si="258"/>
        <v/>
      </c>
    </row>
    <row r="2375" spans="2:17" ht="18" customHeight="1" x14ac:dyDescent="0.3">
      <c r="B2375" s="26"/>
      <c r="C2375" s="28"/>
      <c r="D2375" s="27"/>
      <c r="E2375" s="29"/>
      <c r="F2375" s="29"/>
      <c r="G2375" s="29"/>
      <c r="H2375" s="30" t="str">
        <f t="shared" ref="H2375:H2438" si="259">IF(OR(B2375="",C2375=""),"",F2375+G2375)</f>
        <v/>
      </c>
      <c r="I2375" s="31" t="str">
        <f>IF(OR(B2375="",C2375=""),"",IFERROR(E2375*IF(E2375="",0,VLOOKUP(C2375,'📦 Precios Proforma'!$B$5:$D$104,IF(D2375="DIA",2,3),FALSE)),0))</f>
        <v/>
      </c>
      <c r="J2375" s="31" t="str">
        <f t="shared" ref="J2375:J2438" si="260">IF(OR(B2375="",C2375=""),"",IF(D2375="DIA",H2375*1.01,H2375*1.35))</f>
        <v/>
      </c>
      <c r="K2375" s="31" t="str">
        <f t="shared" ref="K2375:K2438" si="261">IF(OR(B2375="",C2375=""),"",I2375+J2375)</f>
        <v/>
      </c>
      <c r="L2375" s="31" t="str">
        <f>IF(OR(B2375="",C2375=""),"",IFERROR(E2375 / SUMIFS('📅 Resumen Diario'!$D$5:$D$504, '📅 Resumen Diario'!$B$5:$B$504, B2375, '📅 Resumen Diario'!$C$5:$C$504, D2375) * SUMIFS('📅 Resumen Diario'!$K$5:$K$504, '📅 Resumen Diario'!$B$5:$B$504, B2375, '📅 Resumen Diario'!$C$5:$C$504, D2375), 0))</f>
        <v/>
      </c>
      <c r="M2375" s="31" t="str">
        <f t="shared" ref="M2375:M2438" si="262">IF(OR(B2375="",C2375=""),"",H2375*0.09)</f>
        <v/>
      </c>
      <c r="N2375" s="31" t="str">
        <f t="shared" ref="N2375:N2438" si="263">IF(OR(B2375="",C2375=""),"",L2375+M2375)</f>
        <v/>
      </c>
      <c r="O2375" s="31" t="str">
        <f>IF(OR(B2375="",C2375=""),"",K2375-N2375 + IFERROR(E2375 / SUMIFS('📅 Resumen Diario'!$D$5:$D$504, '📅 Resumen Diario'!$B$5:$B$504, B2375, '📅 Resumen Diario'!$C$5:$C$504, D2375) * (SUMIFS('📋 Detalle Diario'!$E$5:$E$489, '📋 Detalle Diario'!$B$5:$B$489, B2375, '📋 Detalle Diario'!$C$5:$C$489, D2375) * 135 + SUMIFS('📋 Detalle Diario'!$I$5:$I$489, '📋 Detalle Diario'!$B$5:$B$489, B2375, '📋 Detalle Diario'!$C$5:$C$489, D2375) * 200), 0))</f>
        <v/>
      </c>
      <c r="P2375" s="32" t="str">
        <f t="shared" ref="P2375:P2438" si="264">IF(OR(B2375="",C2375=""),"",IF(K2375=0, 0, O2375/K2375))</f>
        <v/>
      </c>
      <c r="Q2375" s="33" t="str">
        <f t="shared" ref="Q2375:Q2438" si="265">IF(B2375="","",IF(ISNUMBER(B2375),YEAR(B2375)&amp;"-"&amp;IF(MONTH(B2375)&lt;10,"0","")&amp;MONTH(B2375),LEFT(B2375,7)))</f>
        <v/>
      </c>
    </row>
    <row r="2376" spans="2:17" ht="18" customHeight="1" x14ac:dyDescent="0.3">
      <c r="B2376" s="26"/>
      <c r="C2376" s="17"/>
      <c r="D2376" s="27"/>
      <c r="E2376" s="18"/>
      <c r="F2376" s="18"/>
      <c r="G2376" s="18"/>
      <c r="H2376" s="30" t="str">
        <f t="shared" si="259"/>
        <v/>
      </c>
      <c r="I2376" s="31" t="str">
        <f>IF(OR(B2376="",C2376=""),"",IFERROR(E2376*IF(E2376="",0,VLOOKUP(C2376,'📦 Precios Proforma'!$B$5:$D$104,IF(D2376="DIA",2,3),FALSE)),0))</f>
        <v/>
      </c>
      <c r="J2376" s="31" t="str">
        <f t="shared" si="260"/>
        <v/>
      </c>
      <c r="K2376" s="31" t="str">
        <f t="shared" si="261"/>
        <v/>
      </c>
      <c r="L2376" s="31" t="str">
        <f>IF(OR(B2376="",C2376=""),"",IFERROR(E2376 / SUMIFS('📅 Resumen Diario'!$D$5:$D$504, '📅 Resumen Diario'!$B$5:$B$504, B2376, '📅 Resumen Diario'!$C$5:$C$504, D2376) * SUMIFS('📅 Resumen Diario'!$K$5:$K$504, '📅 Resumen Diario'!$B$5:$B$504, B2376, '📅 Resumen Diario'!$C$5:$C$504, D2376), 0))</f>
        <v/>
      </c>
      <c r="M2376" s="31" t="str">
        <f t="shared" si="262"/>
        <v/>
      </c>
      <c r="N2376" s="31" t="str">
        <f t="shared" si="263"/>
        <v/>
      </c>
      <c r="O2376" s="31" t="str">
        <f>IF(OR(B2376="",C2376=""),"",K2376-N2376 + IFERROR(E2376 / SUMIFS('📅 Resumen Diario'!$D$5:$D$504, '📅 Resumen Diario'!$B$5:$B$504, B2376, '📅 Resumen Diario'!$C$5:$C$504, D2376) * (SUMIFS('📋 Detalle Diario'!$E$5:$E$489, '📋 Detalle Diario'!$B$5:$B$489, B2376, '📋 Detalle Diario'!$C$5:$C$489, D2376) * 135 + SUMIFS('📋 Detalle Diario'!$I$5:$I$489, '📋 Detalle Diario'!$B$5:$B$489, B2376, '📋 Detalle Diario'!$C$5:$C$489, D2376) * 200), 0))</f>
        <v/>
      </c>
      <c r="P2376" s="32" t="str">
        <f t="shared" si="264"/>
        <v/>
      </c>
      <c r="Q2376" s="33" t="str">
        <f t="shared" si="265"/>
        <v/>
      </c>
    </row>
    <row r="2377" spans="2:17" ht="18" customHeight="1" x14ac:dyDescent="0.3">
      <c r="B2377" s="26"/>
      <c r="C2377" s="28"/>
      <c r="D2377" s="27"/>
      <c r="E2377" s="29"/>
      <c r="F2377" s="29"/>
      <c r="G2377" s="29"/>
      <c r="H2377" s="30" t="str">
        <f t="shared" si="259"/>
        <v/>
      </c>
      <c r="I2377" s="31" t="str">
        <f>IF(OR(B2377="",C2377=""),"",IFERROR(E2377*IF(E2377="",0,VLOOKUP(C2377,'📦 Precios Proforma'!$B$5:$D$104,IF(D2377="DIA",2,3),FALSE)),0))</f>
        <v/>
      </c>
      <c r="J2377" s="31" t="str">
        <f t="shared" si="260"/>
        <v/>
      </c>
      <c r="K2377" s="31" t="str">
        <f t="shared" si="261"/>
        <v/>
      </c>
      <c r="L2377" s="31" t="str">
        <f>IF(OR(B2377="",C2377=""),"",IFERROR(E2377 / SUMIFS('📅 Resumen Diario'!$D$5:$D$504, '📅 Resumen Diario'!$B$5:$B$504, B2377, '📅 Resumen Diario'!$C$5:$C$504, D2377) * SUMIFS('📅 Resumen Diario'!$K$5:$K$504, '📅 Resumen Diario'!$B$5:$B$504, B2377, '📅 Resumen Diario'!$C$5:$C$504, D2377), 0))</f>
        <v/>
      </c>
      <c r="M2377" s="31" t="str">
        <f t="shared" si="262"/>
        <v/>
      </c>
      <c r="N2377" s="31" t="str">
        <f t="shared" si="263"/>
        <v/>
      </c>
      <c r="O2377" s="31" t="str">
        <f>IF(OR(B2377="",C2377=""),"",K2377-N2377 + IFERROR(E2377 / SUMIFS('📅 Resumen Diario'!$D$5:$D$504, '📅 Resumen Diario'!$B$5:$B$504, B2377, '📅 Resumen Diario'!$C$5:$C$504, D2377) * (SUMIFS('📋 Detalle Diario'!$E$5:$E$489, '📋 Detalle Diario'!$B$5:$B$489, B2377, '📋 Detalle Diario'!$C$5:$C$489, D2377) * 135 + SUMIFS('📋 Detalle Diario'!$I$5:$I$489, '📋 Detalle Diario'!$B$5:$B$489, B2377, '📋 Detalle Diario'!$C$5:$C$489, D2377) * 200), 0))</f>
        <v/>
      </c>
      <c r="P2377" s="32" t="str">
        <f t="shared" si="264"/>
        <v/>
      </c>
      <c r="Q2377" s="33" t="str">
        <f t="shared" si="265"/>
        <v/>
      </c>
    </row>
    <row r="2378" spans="2:17" ht="18" customHeight="1" x14ac:dyDescent="0.3">
      <c r="B2378" s="26"/>
      <c r="C2378" s="17"/>
      <c r="D2378" s="27"/>
      <c r="E2378" s="18"/>
      <c r="F2378" s="18"/>
      <c r="G2378" s="18"/>
      <c r="H2378" s="30" t="str">
        <f t="shared" si="259"/>
        <v/>
      </c>
      <c r="I2378" s="31" t="str">
        <f>IF(OR(B2378="",C2378=""),"",IFERROR(E2378*IF(E2378="",0,VLOOKUP(C2378,'📦 Precios Proforma'!$B$5:$D$104,IF(D2378="DIA",2,3),FALSE)),0))</f>
        <v/>
      </c>
      <c r="J2378" s="31" t="str">
        <f t="shared" si="260"/>
        <v/>
      </c>
      <c r="K2378" s="31" t="str">
        <f t="shared" si="261"/>
        <v/>
      </c>
      <c r="L2378" s="31" t="str">
        <f>IF(OR(B2378="",C2378=""),"",IFERROR(E2378 / SUMIFS('📅 Resumen Diario'!$D$5:$D$504, '📅 Resumen Diario'!$B$5:$B$504, B2378, '📅 Resumen Diario'!$C$5:$C$504, D2378) * SUMIFS('📅 Resumen Diario'!$K$5:$K$504, '📅 Resumen Diario'!$B$5:$B$504, B2378, '📅 Resumen Diario'!$C$5:$C$504, D2378), 0))</f>
        <v/>
      </c>
      <c r="M2378" s="31" t="str">
        <f t="shared" si="262"/>
        <v/>
      </c>
      <c r="N2378" s="31" t="str">
        <f t="shared" si="263"/>
        <v/>
      </c>
      <c r="O2378" s="31" t="str">
        <f>IF(OR(B2378="",C2378=""),"",K2378-N2378 + IFERROR(E2378 / SUMIFS('📅 Resumen Diario'!$D$5:$D$504, '📅 Resumen Diario'!$B$5:$B$504, B2378, '📅 Resumen Diario'!$C$5:$C$504, D2378) * (SUMIFS('📋 Detalle Diario'!$E$5:$E$489, '📋 Detalle Diario'!$B$5:$B$489, B2378, '📋 Detalle Diario'!$C$5:$C$489, D2378) * 135 + SUMIFS('📋 Detalle Diario'!$I$5:$I$489, '📋 Detalle Diario'!$B$5:$B$489, B2378, '📋 Detalle Diario'!$C$5:$C$489, D2378) * 200), 0))</f>
        <v/>
      </c>
      <c r="P2378" s="32" t="str">
        <f t="shared" si="264"/>
        <v/>
      </c>
      <c r="Q2378" s="33" t="str">
        <f t="shared" si="265"/>
        <v/>
      </c>
    </row>
    <row r="2379" spans="2:17" ht="18" customHeight="1" x14ac:dyDescent="0.3">
      <c r="B2379" s="26"/>
      <c r="C2379" s="28"/>
      <c r="D2379" s="27"/>
      <c r="E2379" s="29"/>
      <c r="F2379" s="29"/>
      <c r="G2379" s="29"/>
      <c r="H2379" s="30" t="str">
        <f t="shared" si="259"/>
        <v/>
      </c>
      <c r="I2379" s="31" t="str">
        <f>IF(OR(B2379="",C2379=""),"",IFERROR(E2379*IF(E2379="",0,VLOOKUP(C2379,'📦 Precios Proforma'!$B$5:$D$104,IF(D2379="DIA",2,3),FALSE)),0))</f>
        <v/>
      </c>
      <c r="J2379" s="31" t="str">
        <f t="shared" si="260"/>
        <v/>
      </c>
      <c r="K2379" s="31" t="str">
        <f t="shared" si="261"/>
        <v/>
      </c>
      <c r="L2379" s="31" t="str">
        <f>IF(OR(B2379="",C2379=""),"",IFERROR(E2379 / SUMIFS('📅 Resumen Diario'!$D$5:$D$504, '📅 Resumen Diario'!$B$5:$B$504, B2379, '📅 Resumen Diario'!$C$5:$C$504, D2379) * SUMIFS('📅 Resumen Diario'!$K$5:$K$504, '📅 Resumen Diario'!$B$5:$B$504, B2379, '📅 Resumen Diario'!$C$5:$C$504, D2379), 0))</f>
        <v/>
      </c>
      <c r="M2379" s="31" t="str">
        <f t="shared" si="262"/>
        <v/>
      </c>
      <c r="N2379" s="31" t="str">
        <f t="shared" si="263"/>
        <v/>
      </c>
      <c r="O2379" s="31" t="str">
        <f>IF(OR(B2379="",C2379=""),"",K2379-N2379 + IFERROR(E2379 / SUMIFS('📅 Resumen Diario'!$D$5:$D$504, '📅 Resumen Diario'!$B$5:$B$504, B2379, '📅 Resumen Diario'!$C$5:$C$504, D2379) * (SUMIFS('📋 Detalle Diario'!$E$5:$E$489, '📋 Detalle Diario'!$B$5:$B$489, B2379, '📋 Detalle Diario'!$C$5:$C$489, D2379) * 135 + SUMIFS('📋 Detalle Diario'!$I$5:$I$489, '📋 Detalle Diario'!$B$5:$B$489, B2379, '📋 Detalle Diario'!$C$5:$C$489, D2379) * 200), 0))</f>
        <v/>
      </c>
      <c r="P2379" s="32" t="str">
        <f t="shared" si="264"/>
        <v/>
      </c>
      <c r="Q2379" s="33" t="str">
        <f t="shared" si="265"/>
        <v/>
      </c>
    </row>
    <row r="2380" spans="2:17" ht="18" customHeight="1" x14ac:dyDescent="0.3">
      <c r="B2380" s="26"/>
      <c r="C2380" s="17"/>
      <c r="D2380" s="27"/>
      <c r="E2380" s="18"/>
      <c r="F2380" s="18"/>
      <c r="G2380" s="18"/>
      <c r="H2380" s="30" t="str">
        <f t="shared" si="259"/>
        <v/>
      </c>
      <c r="I2380" s="31" t="str">
        <f>IF(OR(B2380="",C2380=""),"",IFERROR(E2380*IF(E2380="",0,VLOOKUP(C2380,'📦 Precios Proforma'!$B$5:$D$104,IF(D2380="DIA",2,3),FALSE)),0))</f>
        <v/>
      </c>
      <c r="J2380" s="31" t="str">
        <f t="shared" si="260"/>
        <v/>
      </c>
      <c r="K2380" s="31" t="str">
        <f t="shared" si="261"/>
        <v/>
      </c>
      <c r="L2380" s="31" t="str">
        <f>IF(OR(B2380="",C2380=""),"",IFERROR(E2380 / SUMIFS('📅 Resumen Diario'!$D$5:$D$504, '📅 Resumen Diario'!$B$5:$B$504, B2380, '📅 Resumen Diario'!$C$5:$C$504, D2380) * SUMIFS('📅 Resumen Diario'!$K$5:$K$504, '📅 Resumen Diario'!$B$5:$B$504, B2380, '📅 Resumen Diario'!$C$5:$C$504, D2380), 0))</f>
        <v/>
      </c>
      <c r="M2380" s="31" t="str">
        <f t="shared" si="262"/>
        <v/>
      </c>
      <c r="N2380" s="31" t="str">
        <f t="shared" si="263"/>
        <v/>
      </c>
      <c r="O2380" s="31" t="str">
        <f>IF(OR(B2380="",C2380=""),"",K2380-N2380 + IFERROR(E2380 / SUMIFS('📅 Resumen Diario'!$D$5:$D$504, '📅 Resumen Diario'!$B$5:$B$504, B2380, '📅 Resumen Diario'!$C$5:$C$504, D2380) * (SUMIFS('📋 Detalle Diario'!$E$5:$E$489, '📋 Detalle Diario'!$B$5:$B$489, B2380, '📋 Detalle Diario'!$C$5:$C$489, D2380) * 135 + SUMIFS('📋 Detalle Diario'!$I$5:$I$489, '📋 Detalle Diario'!$B$5:$B$489, B2380, '📋 Detalle Diario'!$C$5:$C$489, D2380) * 200), 0))</f>
        <v/>
      </c>
      <c r="P2380" s="32" t="str">
        <f t="shared" si="264"/>
        <v/>
      </c>
      <c r="Q2380" s="33" t="str">
        <f t="shared" si="265"/>
        <v/>
      </c>
    </row>
    <row r="2381" spans="2:17" ht="18" customHeight="1" x14ac:dyDescent="0.3">
      <c r="B2381" s="26"/>
      <c r="C2381" s="28"/>
      <c r="D2381" s="27"/>
      <c r="E2381" s="29"/>
      <c r="F2381" s="29"/>
      <c r="G2381" s="29"/>
      <c r="H2381" s="30" t="str">
        <f t="shared" si="259"/>
        <v/>
      </c>
      <c r="I2381" s="31" t="str">
        <f>IF(OR(B2381="",C2381=""),"",IFERROR(E2381*IF(E2381="",0,VLOOKUP(C2381,'📦 Precios Proforma'!$B$5:$D$104,IF(D2381="DIA",2,3),FALSE)),0))</f>
        <v/>
      </c>
      <c r="J2381" s="31" t="str">
        <f t="shared" si="260"/>
        <v/>
      </c>
      <c r="K2381" s="31" t="str">
        <f t="shared" si="261"/>
        <v/>
      </c>
      <c r="L2381" s="31" t="str">
        <f>IF(OR(B2381="",C2381=""),"",IFERROR(E2381 / SUMIFS('📅 Resumen Diario'!$D$5:$D$504, '📅 Resumen Diario'!$B$5:$B$504, B2381, '📅 Resumen Diario'!$C$5:$C$504, D2381) * SUMIFS('📅 Resumen Diario'!$K$5:$K$504, '📅 Resumen Diario'!$B$5:$B$504, B2381, '📅 Resumen Diario'!$C$5:$C$504, D2381), 0))</f>
        <v/>
      </c>
      <c r="M2381" s="31" t="str">
        <f t="shared" si="262"/>
        <v/>
      </c>
      <c r="N2381" s="31" t="str">
        <f t="shared" si="263"/>
        <v/>
      </c>
      <c r="O2381" s="31" t="str">
        <f>IF(OR(B2381="",C2381=""),"",K2381-N2381 + IFERROR(E2381 / SUMIFS('📅 Resumen Diario'!$D$5:$D$504, '📅 Resumen Diario'!$B$5:$B$504, B2381, '📅 Resumen Diario'!$C$5:$C$504, D2381) * (SUMIFS('📋 Detalle Diario'!$E$5:$E$489, '📋 Detalle Diario'!$B$5:$B$489, B2381, '📋 Detalle Diario'!$C$5:$C$489, D2381) * 135 + SUMIFS('📋 Detalle Diario'!$I$5:$I$489, '📋 Detalle Diario'!$B$5:$B$489, B2381, '📋 Detalle Diario'!$C$5:$C$489, D2381) * 200), 0))</f>
        <v/>
      </c>
      <c r="P2381" s="32" t="str">
        <f t="shared" si="264"/>
        <v/>
      </c>
      <c r="Q2381" s="33" t="str">
        <f t="shared" si="265"/>
        <v/>
      </c>
    </row>
    <row r="2382" spans="2:17" ht="18" customHeight="1" x14ac:dyDescent="0.3">
      <c r="B2382" s="26"/>
      <c r="C2382" s="17"/>
      <c r="D2382" s="27"/>
      <c r="E2382" s="18"/>
      <c r="F2382" s="18"/>
      <c r="G2382" s="18"/>
      <c r="H2382" s="30" t="str">
        <f t="shared" si="259"/>
        <v/>
      </c>
      <c r="I2382" s="31" t="str">
        <f>IF(OR(B2382="",C2382=""),"",IFERROR(E2382*IF(E2382="",0,VLOOKUP(C2382,'📦 Precios Proforma'!$B$5:$D$104,IF(D2382="DIA",2,3),FALSE)),0))</f>
        <v/>
      </c>
      <c r="J2382" s="31" t="str">
        <f t="shared" si="260"/>
        <v/>
      </c>
      <c r="K2382" s="31" t="str">
        <f t="shared" si="261"/>
        <v/>
      </c>
      <c r="L2382" s="31" t="str">
        <f>IF(OR(B2382="",C2382=""),"",IFERROR(E2382 / SUMIFS('📅 Resumen Diario'!$D$5:$D$504, '📅 Resumen Diario'!$B$5:$B$504, B2382, '📅 Resumen Diario'!$C$5:$C$504, D2382) * SUMIFS('📅 Resumen Diario'!$K$5:$K$504, '📅 Resumen Diario'!$B$5:$B$504, B2382, '📅 Resumen Diario'!$C$5:$C$504, D2382), 0))</f>
        <v/>
      </c>
      <c r="M2382" s="31" t="str">
        <f t="shared" si="262"/>
        <v/>
      </c>
      <c r="N2382" s="31" t="str">
        <f t="shared" si="263"/>
        <v/>
      </c>
      <c r="O2382" s="31" t="str">
        <f>IF(OR(B2382="",C2382=""),"",K2382-N2382 + IFERROR(E2382 / SUMIFS('📅 Resumen Diario'!$D$5:$D$504, '📅 Resumen Diario'!$B$5:$B$504, B2382, '📅 Resumen Diario'!$C$5:$C$504, D2382) * (SUMIFS('📋 Detalle Diario'!$E$5:$E$489, '📋 Detalle Diario'!$B$5:$B$489, B2382, '📋 Detalle Diario'!$C$5:$C$489, D2382) * 135 + SUMIFS('📋 Detalle Diario'!$I$5:$I$489, '📋 Detalle Diario'!$B$5:$B$489, B2382, '📋 Detalle Diario'!$C$5:$C$489, D2382) * 200), 0))</f>
        <v/>
      </c>
      <c r="P2382" s="32" t="str">
        <f t="shared" si="264"/>
        <v/>
      </c>
      <c r="Q2382" s="33" t="str">
        <f t="shared" si="265"/>
        <v/>
      </c>
    </row>
    <row r="2383" spans="2:17" ht="18" customHeight="1" x14ac:dyDescent="0.3">
      <c r="B2383" s="26"/>
      <c r="C2383" s="28"/>
      <c r="D2383" s="27"/>
      <c r="E2383" s="29"/>
      <c r="F2383" s="29"/>
      <c r="G2383" s="29"/>
      <c r="H2383" s="30" t="str">
        <f t="shared" si="259"/>
        <v/>
      </c>
      <c r="I2383" s="31" t="str">
        <f>IF(OR(B2383="",C2383=""),"",IFERROR(E2383*IF(E2383="",0,VLOOKUP(C2383,'📦 Precios Proforma'!$B$5:$D$104,IF(D2383="DIA",2,3),FALSE)),0))</f>
        <v/>
      </c>
      <c r="J2383" s="31" t="str">
        <f t="shared" si="260"/>
        <v/>
      </c>
      <c r="K2383" s="31" t="str">
        <f t="shared" si="261"/>
        <v/>
      </c>
      <c r="L2383" s="31" t="str">
        <f>IF(OR(B2383="",C2383=""),"",IFERROR(E2383 / SUMIFS('📅 Resumen Diario'!$D$5:$D$504, '📅 Resumen Diario'!$B$5:$B$504, B2383, '📅 Resumen Diario'!$C$5:$C$504, D2383) * SUMIFS('📅 Resumen Diario'!$K$5:$K$504, '📅 Resumen Diario'!$B$5:$B$504, B2383, '📅 Resumen Diario'!$C$5:$C$504, D2383), 0))</f>
        <v/>
      </c>
      <c r="M2383" s="31" t="str">
        <f t="shared" si="262"/>
        <v/>
      </c>
      <c r="N2383" s="31" t="str">
        <f t="shared" si="263"/>
        <v/>
      </c>
      <c r="O2383" s="31" t="str">
        <f>IF(OR(B2383="",C2383=""),"",K2383-N2383 + IFERROR(E2383 / SUMIFS('📅 Resumen Diario'!$D$5:$D$504, '📅 Resumen Diario'!$B$5:$B$504, B2383, '📅 Resumen Diario'!$C$5:$C$504, D2383) * (SUMIFS('📋 Detalle Diario'!$E$5:$E$489, '📋 Detalle Diario'!$B$5:$B$489, B2383, '📋 Detalle Diario'!$C$5:$C$489, D2383) * 135 + SUMIFS('📋 Detalle Diario'!$I$5:$I$489, '📋 Detalle Diario'!$B$5:$B$489, B2383, '📋 Detalle Diario'!$C$5:$C$489, D2383) * 200), 0))</f>
        <v/>
      </c>
      <c r="P2383" s="32" t="str">
        <f t="shared" si="264"/>
        <v/>
      </c>
      <c r="Q2383" s="33" t="str">
        <f t="shared" si="265"/>
        <v/>
      </c>
    </row>
    <row r="2384" spans="2:17" ht="18" customHeight="1" x14ac:dyDescent="0.3">
      <c r="B2384" s="26"/>
      <c r="C2384" s="17"/>
      <c r="D2384" s="27"/>
      <c r="E2384" s="18"/>
      <c r="F2384" s="18"/>
      <c r="G2384" s="18"/>
      <c r="H2384" s="30" t="str">
        <f t="shared" si="259"/>
        <v/>
      </c>
      <c r="I2384" s="31" t="str">
        <f>IF(OR(B2384="",C2384=""),"",IFERROR(E2384*IF(E2384="",0,VLOOKUP(C2384,'📦 Precios Proforma'!$B$5:$D$104,IF(D2384="DIA",2,3),FALSE)),0))</f>
        <v/>
      </c>
      <c r="J2384" s="31" t="str">
        <f t="shared" si="260"/>
        <v/>
      </c>
      <c r="K2384" s="31" t="str">
        <f t="shared" si="261"/>
        <v/>
      </c>
      <c r="L2384" s="31" t="str">
        <f>IF(OR(B2384="",C2384=""),"",IFERROR(E2384 / SUMIFS('📅 Resumen Diario'!$D$5:$D$504, '📅 Resumen Diario'!$B$5:$B$504, B2384, '📅 Resumen Diario'!$C$5:$C$504, D2384) * SUMIFS('📅 Resumen Diario'!$K$5:$K$504, '📅 Resumen Diario'!$B$5:$B$504, B2384, '📅 Resumen Diario'!$C$5:$C$504, D2384), 0))</f>
        <v/>
      </c>
      <c r="M2384" s="31" t="str">
        <f t="shared" si="262"/>
        <v/>
      </c>
      <c r="N2384" s="31" t="str">
        <f t="shared" si="263"/>
        <v/>
      </c>
      <c r="O2384" s="31" t="str">
        <f>IF(OR(B2384="",C2384=""),"",K2384-N2384 + IFERROR(E2384 / SUMIFS('📅 Resumen Diario'!$D$5:$D$504, '📅 Resumen Diario'!$B$5:$B$504, B2384, '📅 Resumen Diario'!$C$5:$C$504, D2384) * (SUMIFS('📋 Detalle Diario'!$E$5:$E$489, '📋 Detalle Diario'!$B$5:$B$489, B2384, '📋 Detalle Diario'!$C$5:$C$489, D2384) * 135 + SUMIFS('📋 Detalle Diario'!$I$5:$I$489, '📋 Detalle Diario'!$B$5:$B$489, B2384, '📋 Detalle Diario'!$C$5:$C$489, D2384) * 200), 0))</f>
        <v/>
      </c>
      <c r="P2384" s="32" t="str">
        <f t="shared" si="264"/>
        <v/>
      </c>
      <c r="Q2384" s="33" t="str">
        <f t="shared" si="265"/>
        <v/>
      </c>
    </row>
    <row r="2385" spans="2:17" ht="18" customHeight="1" x14ac:dyDescent="0.3">
      <c r="B2385" s="26"/>
      <c r="C2385" s="28"/>
      <c r="D2385" s="27"/>
      <c r="E2385" s="29"/>
      <c r="F2385" s="29"/>
      <c r="G2385" s="29"/>
      <c r="H2385" s="30" t="str">
        <f t="shared" si="259"/>
        <v/>
      </c>
      <c r="I2385" s="31" t="str">
        <f>IF(OR(B2385="",C2385=""),"",IFERROR(E2385*IF(E2385="",0,VLOOKUP(C2385,'📦 Precios Proforma'!$B$5:$D$104,IF(D2385="DIA",2,3),FALSE)),0))</f>
        <v/>
      </c>
      <c r="J2385" s="31" t="str">
        <f t="shared" si="260"/>
        <v/>
      </c>
      <c r="K2385" s="31" t="str">
        <f t="shared" si="261"/>
        <v/>
      </c>
      <c r="L2385" s="31" t="str">
        <f>IF(OR(B2385="",C2385=""),"",IFERROR(E2385 / SUMIFS('📅 Resumen Diario'!$D$5:$D$504, '📅 Resumen Diario'!$B$5:$B$504, B2385, '📅 Resumen Diario'!$C$5:$C$504, D2385) * SUMIFS('📅 Resumen Diario'!$K$5:$K$504, '📅 Resumen Diario'!$B$5:$B$504, B2385, '📅 Resumen Diario'!$C$5:$C$504, D2385), 0))</f>
        <v/>
      </c>
      <c r="M2385" s="31" t="str">
        <f t="shared" si="262"/>
        <v/>
      </c>
      <c r="N2385" s="31" t="str">
        <f t="shared" si="263"/>
        <v/>
      </c>
      <c r="O2385" s="31" t="str">
        <f>IF(OR(B2385="",C2385=""),"",K2385-N2385 + IFERROR(E2385 / SUMIFS('📅 Resumen Diario'!$D$5:$D$504, '📅 Resumen Diario'!$B$5:$B$504, B2385, '📅 Resumen Diario'!$C$5:$C$504, D2385) * (SUMIFS('📋 Detalle Diario'!$E$5:$E$489, '📋 Detalle Diario'!$B$5:$B$489, B2385, '📋 Detalle Diario'!$C$5:$C$489, D2385) * 135 + SUMIFS('📋 Detalle Diario'!$I$5:$I$489, '📋 Detalle Diario'!$B$5:$B$489, B2385, '📋 Detalle Diario'!$C$5:$C$489, D2385) * 200), 0))</f>
        <v/>
      </c>
      <c r="P2385" s="32" t="str">
        <f t="shared" si="264"/>
        <v/>
      </c>
      <c r="Q2385" s="33" t="str">
        <f t="shared" si="265"/>
        <v/>
      </c>
    </row>
    <row r="2386" spans="2:17" ht="18" customHeight="1" x14ac:dyDescent="0.3">
      <c r="B2386" s="26"/>
      <c r="C2386" s="17"/>
      <c r="D2386" s="27"/>
      <c r="E2386" s="18"/>
      <c r="F2386" s="18"/>
      <c r="G2386" s="18"/>
      <c r="H2386" s="30" t="str">
        <f t="shared" si="259"/>
        <v/>
      </c>
      <c r="I2386" s="31" t="str">
        <f>IF(OR(B2386="",C2386=""),"",IFERROR(E2386*IF(E2386="",0,VLOOKUP(C2386,'📦 Precios Proforma'!$B$5:$D$104,IF(D2386="DIA",2,3),FALSE)),0))</f>
        <v/>
      </c>
      <c r="J2386" s="31" t="str">
        <f t="shared" si="260"/>
        <v/>
      </c>
      <c r="K2386" s="31" t="str">
        <f t="shared" si="261"/>
        <v/>
      </c>
      <c r="L2386" s="31" t="str">
        <f>IF(OR(B2386="",C2386=""),"",IFERROR(E2386 / SUMIFS('📅 Resumen Diario'!$D$5:$D$504, '📅 Resumen Diario'!$B$5:$B$504, B2386, '📅 Resumen Diario'!$C$5:$C$504, D2386) * SUMIFS('📅 Resumen Diario'!$K$5:$K$504, '📅 Resumen Diario'!$B$5:$B$504, B2386, '📅 Resumen Diario'!$C$5:$C$504, D2386), 0))</f>
        <v/>
      </c>
      <c r="M2386" s="31" t="str">
        <f t="shared" si="262"/>
        <v/>
      </c>
      <c r="N2386" s="31" t="str">
        <f t="shared" si="263"/>
        <v/>
      </c>
      <c r="O2386" s="31" t="str">
        <f>IF(OR(B2386="",C2386=""),"",K2386-N2386 + IFERROR(E2386 / SUMIFS('📅 Resumen Diario'!$D$5:$D$504, '📅 Resumen Diario'!$B$5:$B$504, B2386, '📅 Resumen Diario'!$C$5:$C$504, D2386) * (SUMIFS('📋 Detalle Diario'!$E$5:$E$489, '📋 Detalle Diario'!$B$5:$B$489, B2386, '📋 Detalle Diario'!$C$5:$C$489, D2386) * 135 + SUMIFS('📋 Detalle Diario'!$I$5:$I$489, '📋 Detalle Diario'!$B$5:$B$489, B2386, '📋 Detalle Diario'!$C$5:$C$489, D2386) * 200), 0))</f>
        <v/>
      </c>
      <c r="P2386" s="32" t="str">
        <f t="shared" si="264"/>
        <v/>
      </c>
      <c r="Q2386" s="33" t="str">
        <f t="shared" si="265"/>
        <v/>
      </c>
    </row>
    <row r="2387" spans="2:17" ht="18" customHeight="1" x14ac:dyDescent="0.3">
      <c r="B2387" s="26"/>
      <c r="C2387" s="28"/>
      <c r="D2387" s="27"/>
      <c r="E2387" s="29"/>
      <c r="F2387" s="29"/>
      <c r="G2387" s="29"/>
      <c r="H2387" s="30" t="str">
        <f t="shared" si="259"/>
        <v/>
      </c>
      <c r="I2387" s="31" t="str">
        <f>IF(OR(B2387="",C2387=""),"",IFERROR(E2387*IF(E2387="",0,VLOOKUP(C2387,'📦 Precios Proforma'!$B$5:$D$104,IF(D2387="DIA",2,3),FALSE)),0))</f>
        <v/>
      </c>
      <c r="J2387" s="31" t="str">
        <f t="shared" si="260"/>
        <v/>
      </c>
      <c r="K2387" s="31" t="str">
        <f t="shared" si="261"/>
        <v/>
      </c>
      <c r="L2387" s="31" t="str">
        <f>IF(OR(B2387="",C2387=""),"",IFERROR(E2387 / SUMIFS('📅 Resumen Diario'!$D$5:$D$504, '📅 Resumen Diario'!$B$5:$B$504, B2387, '📅 Resumen Diario'!$C$5:$C$504, D2387) * SUMIFS('📅 Resumen Diario'!$K$5:$K$504, '📅 Resumen Diario'!$B$5:$B$504, B2387, '📅 Resumen Diario'!$C$5:$C$504, D2387), 0))</f>
        <v/>
      </c>
      <c r="M2387" s="31" t="str">
        <f t="shared" si="262"/>
        <v/>
      </c>
      <c r="N2387" s="31" t="str">
        <f t="shared" si="263"/>
        <v/>
      </c>
      <c r="O2387" s="31" t="str">
        <f>IF(OR(B2387="",C2387=""),"",K2387-N2387 + IFERROR(E2387 / SUMIFS('📅 Resumen Diario'!$D$5:$D$504, '📅 Resumen Diario'!$B$5:$B$504, B2387, '📅 Resumen Diario'!$C$5:$C$504, D2387) * (SUMIFS('📋 Detalle Diario'!$E$5:$E$489, '📋 Detalle Diario'!$B$5:$B$489, B2387, '📋 Detalle Diario'!$C$5:$C$489, D2387) * 135 + SUMIFS('📋 Detalle Diario'!$I$5:$I$489, '📋 Detalle Diario'!$B$5:$B$489, B2387, '📋 Detalle Diario'!$C$5:$C$489, D2387) * 200), 0))</f>
        <v/>
      </c>
      <c r="P2387" s="32" t="str">
        <f t="shared" si="264"/>
        <v/>
      </c>
      <c r="Q2387" s="33" t="str">
        <f t="shared" si="265"/>
        <v/>
      </c>
    </row>
    <row r="2388" spans="2:17" ht="18" customHeight="1" x14ac:dyDescent="0.3">
      <c r="B2388" s="26"/>
      <c r="C2388" s="17"/>
      <c r="D2388" s="27"/>
      <c r="E2388" s="18"/>
      <c r="F2388" s="18"/>
      <c r="G2388" s="18"/>
      <c r="H2388" s="30" t="str">
        <f t="shared" si="259"/>
        <v/>
      </c>
      <c r="I2388" s="31" t="str">
        <f>IF(OR(B2388="",C2388=""),"",IFERROR(E2388*IF(E2388="",0,VLOOKUP(C2388,'📦 Precios Proforma'!$B$5:$D$104,IF(D2388="DIA",2,3),FALSE)),0))</f>
        <v/>
      </c>
      <c r="J2388" s="31" t="str">
        <f t="shared" si="260"/>
        <v/>
      </c>
      <c r="K2388" s="31" t="str">
        <f t="shared" si="261"/>
        <v/>
      </c>
      <c r="L2388" s="31" t="str">
        <f>IF(OR(B2388="",C2388=""),"",IFERROR(E2388 / SUMIFS('📅 Resumen Diario'!$D$5:$D$504, '📅 Resumen Diario'!$B$5:$B$504, B2388, '📅 Resumen Diario'!$C$5:$C$504, D2388) * SUMIFS('📅 Resumen Diario'!$K$5:$K$504, '📅 Resumen Diario'!$B$5:$B$504, B2388, '📅 Resumen Diario'!$C$5:$C$504, D2388), 0))</f>
        <v/>
      </c>
      <c r="M2388" s="31" t="str">
        <f t="shared" si="262"/>
        <v/>
      </c>
      <c r="N2388" s="31" t="str">
        <f t="shared" si="263"/>
        <v/>
      </c>
      <c r="O2388" s="31" t="str">
        <f>IF(OR(B2388="",C2388=""),"",K2388-N2388 + IFERROR(E2388 / SUMIFS('📅 Resumen Diario'!$D$5:$D$504, '📅 Resumen Diario'!$B$5:$B$504, B2388, '📅 Resumen Diario'!$C$5:$C$504, D2388) * (SUMIFS('📋 Detalle Diario'!$E$5:$E$489, '📋 Detalle Diario'!$B$5:$B$489, B2388, '📋 Detalle Diario'!$C$5:$C$489, D2388) * 135 + SUMIFS('📋 Detalle Diario'!$I$5:$I$489, '📋 Detalle Diario'!$B$5:$B$489, B2388, '📋 Detalle Diario'!$C$5:$C$489, D2388) * 200), 0))</f>
        <v/>
      </c>
      <c r="P2388" s="32" t="str">
        <f t="shared" si="264"/>
        <v/>
      </c>
      <c r="Q2388" s="33" t="str">
        <f t="shared" si="265"/>
        <v/>
      </c>
    </row>
    <row r="2389" spans="2:17" ht="18" customHeight="1" x14ac:dyDescent="0.3">
      <c r="B2389" s="26"/>
      <c r="C2389" s="28"/>
      <c r="D2389" s="27"/>
      <c r="E2389" s="29"/>
      <c r="F2389" s="29"/>
      <c r="G2389" s="29"/>
      <c r="H2389" s="30" t="str">
        <f t="shared" si="259"/>
        <v/>
      </c>
      <c r="I2389" s="31" t="str">
        <f>IF(OR(B2389="",C2389=""),"",IFERROR(E2389*IF(E2389="",0,VLOOKUP(C2389,'📦 Precios Proforma'!$B$5:$D$104,IF(D2389="DIA",2,3),FALSE)),0))</f>
        <v/>
      </c>
      <c r="J2389" s="31" t="str">
        <f t="shared" si="260"/>
        <v/>
      </c>
      <c r="K2389" s="31" t="str">
        <f t="shared" si="261"/>
        <v/>
      </c>
      <c r="L2389" s="31" t="str">
        <f>IF(OR(B2389="",C2389=""),"",IFERROR(E2389 / SUMIFS('📅 Resumen Diario'!$D$5:$D$504, '📅 Resumen Diario'!$B$5:$B$504, B2389, '📅 Resumen Diario'!$C$5:$C$504, D2389) * SUMIFS('📅 Resumen Diario'!$K$5:$K$504, '📅 Resumen Diario'!$B$5:$B$504, B2389, '📅 Resumen Diario'!$C$5:$C$504, D2389), 0))</f>
        <v/>
      </c>
      <c r="M2389" s="31" t="str">
        <f t="shared" si="262"/>
        <v/>
      </c>
      <c r="N2389" s="31" t="str">
        <f t="shared" si="263"/>
        <v/>
      </c>
      <c r="O2389" s="31" t="str">
        <f>IF(OR(B2389="",C2389=""),"",K2389-N2389 + IFERROR(E2389 / SUMIFS('📅 Resumen Diario'!$D$5:$D$504, '📅 Resumen Diario'!$B$5:$B$504, B2389, '📅 Resumen Diario'!$C$5:$C$504, D2389) * (SUMIFS('📋 Detalle Diario'!$E$5:$E$489, '📋 Detalle Diario'!$B$5:$B$489, B2389, '📋 Detalle Diario'!$C$5:$C$489, D2389) * 135 + SUMIFS('📋 Detalle Diario'!$I$5:$I$489, '📋 Detalle Diario'!$B$5:$B$489, B2389, '📋 Detalle Diario'!$C$5:$C$489, D2389) * 200), 0))</f>
        <v/>
      </c>
      <c r="P2389" s="32" t="str">
        <f t="shared" si="264"/>
        <v/>
      </c>
      <c r="Q2389" s="33" t="str">
        <f t="shared" si="265"/>
        <v/>
      </c>
    </row>
    <row r="2390" spans="2:17" ht="18" customHeight="1" x14ac:dyDescent="0.3">
      <c r="B2390" s="26"/>
      <c r="C2390" s="17"/>
      <c r="D2390" s="27"/>
      <c r="E2390" s="18"/>
      <c r="F2390" s="18"/>
      <c r="G2390" s="18"/>
      <c r="H2390" s="30" t="str">
        <f t="shared" si="259"/>
        <v/>
      </c>
      <c r="I2390" s="31" t="str">
        <f>IF(OR(B2390="",C2390=""),"",IFERROR(E2390*IF(E2390="",0,VLOOKUP(C2390,'📦 Precios Proforma'!$B$5:$D$104,IF(D2390="DIA",2,3),FALSE)),0))</f>
        <v/>
      </c>
      <c r="J2390" s="31" t="str">
        <f t="shared" si="260"/>
        <v/>
      </c>
      <c r="K2390" s="31" t="str">
        <f t="shared" si="261"/>
        <v/>
      </c>
      <c r="L2390" s="31" t="str">
        <f>IF(OR(B2390="",C2390=""),"",IFERROR(E2390 / SUMIFS('📅 Resumen Diario'!$D$5:$D$504, '📅 Resumen Diario'!$B$5:$B$504, B2390, '📅 Resumen Diario'!$C$5:$C$504, D2390) * SUMIFS('📅 Resumen Diario'!$K$5:$K$504, '📅 Resumen Diario'!$B$5:$B$504, B2390, '📅 Resumen Diario'!$C$5:$C$504, D2390), 0))</f>
        <v/>
      </c>
      <c r="M2390" s="31" t="str">
        <f t="shared" si="262"/>
        <v/>
      </c>
      <c r="N2390" s="31" t="str">
        <f t="shared" si="263"/>
        <v/>
      </c>
      <c r="O2390" s="31" t="str">
        <f>IF(OR(B2390="",C2390=""),"",K2390-N2390 + IFERROR(E2390 / SUMIFS('📅 Resumen Diario'!$D$5:$D$504, '📅 Resumen Diario'!$B$5:$B$504, B2390, '📅 Resumen Diario'!$C$5:$C$504, D2390) * (SUMIFS('📋 Detalle Diario'!$E$5:$E$489, '📋 Detalle Diario'!$B$5:$B$489, B2390, '📋 Detalle Diario'!$C$5:$C$489, D2390) * 135 + SUMIFS('📋 Detalle Diario'!$I$5:$I$489, '📋 Detalle Diario'!$B$5:$B$489, B2390, '📋 Detalle Diario'!$C$5:$C$489, D2390) * 200), 0))</f>
        <v/>
      </c>
      <c r="P2390" s="32" t="str">
        <f t="shared" si="264"/>
        <v/>
      </c>
      <c r="Q2390" s="33" t="str">
        <f t="shared" si="265"/>
        <v/>
      </c>
    </row>
    <row r="2391" spans="2:17" ht="18" customHeight="1" x14ac:dyDescent="0.3">
      <c r="B2391" s="26"/>
      <c r="C2391" s="28"/>
      <c r="D2391" s="27"/>
      <c r="E2391" s="29"/>
      <c r="F2391" s="29"/>
      <c r="G2391" s="29"/>
      <c r="H2391" s="30" t="str">
        <f t="shared" si="259"/>
        <v/>
      </c>
      <c r="I2391" s="31" t="str">
        <f>IF(OR(B2391="",C2391=""),"",IFERROR(E2391*IF(E2391="",0,VLOOKUP(C2391,'📦 Precios Proforma'!$B$5:$D$104,IF(D2391="DIA",2,3),FALSE)),0))</f>
        <v/>
      </c>
      <c r="J2391" s="31" t="str">
        <f t="shared" si="260"/>
        <v/>
      </c>
      <c r="K2391" s="31" t="str">
        <f t="shared" si="261"/>
        <v/>
      </c>
      <c r="L2391" s="31" t="str">
        <f>IF(OR(B2391="",C2391=""),"",IFERROR(E2391 / SUMIFS('📅 Resumen Diario'!$D$5:$D$504, '📅 Resumen Diario'!$B$5:$B$504, B2391, '📅 Resumen Diario'!$C$5:$C$504, D2391) * SUMIFS('📅 Resumen Diario'!$K$5:$K$504, '📅 Resumen Diario'!$B$5:$B$504, B2391, '📅 Resumen Diario'!$C$5:$C$504, D2391), 0))</f>
        <v/>
      </c>
      <c r="M2391" s="31" t="str">
        <f t="shared" si="262"/>
        <v/>
      </c>
      <c r="N2391" s="31" t="str">
        <f t="shared" si="263"/>
        <v/>
      </c>
      <c r="O2391" s="31" t="str">
        <f>IF(OR(B2391="",C2391=""),"",K2391-N2391 + IFERROR(E2391 / SUMIFS('📅 Resumen Diario'!$D$5:$D$504, '📅 Resumen Diario'!$B$5:$B$504, B2391, '📅 Resumen Diario'!$C$5:$C$504, D2391) * (SUMIFS('📋 Detalle Diario'!$E$5:$E$489, '📋 Detalle Diario'!$B$5:$B$489, B2391, '📋 Detalle Diario'!$C$5:$C$489, D2391) * 135 + SUMIFS('📋 Detalle Diario'!$I$5:$I$489, '📋 Detalle Diario'!$B$5:$B$489, B2391, '📋 Detalle Diario'!$C$5:$C$489, D2391) * 200), 0))</f>
        <v/>
      </c>
      <c r="P2391" s="32" t="str">
        <f t="shared" si="264"/>
        <v/>
      </c>
      <c r="Q2391" s="33" t="str">
        <f t="shared" si="265"/>
        <v/>
      </c>
    </row>
    <row r="2392" spans="2:17" ht="18" customHeight="1" x14ac:dyDescent="0.3">
      <c r="B2392" s="26"/>
      <c r="C2392" s="17"/>
      <c r="D2392" s="27"/>
      <c r="E2392" s="18"/>
      <c r="F2392" s="18"/>
      <c r="G2392" s="18"/>
      <c r="H2392" s="30" t="str">
        <f t="shared" si="259"/>
        <v/>
      </c>
      <c r="I2392" s="31" t="str">
        <f>IF(OR(B2392="",C2392=""),"",IFERROR(E2392*IF(E2392="",0,VLOOKUP(C2392,'📦 Precios Proforma'!$B$5:$D$104,IF(D2392="DIA",2,3),FALSE)),0))</f>
        <v/>
      </c>
      <c r="J2392" s="31" t="str">
        <f t="shared" si="260"/>
        <v/>
      </c>
      <c r="K2392" s="31" t="str">
        <f t="shared" si="261"/>
        <v/>
      </c>
      <c r="L2392" s="31" t="str">
        <f>IF(OR(B2392="",C2392=""),"",IFERROR(E2392 / SUMIFS('📅 Resumen Diario'!$D$5:$D$504, '📅 Resumen Diario'!$B$5:$B$504, B2392, '📅 Resumen Diario'!$C$5:$C$504, D2392) * SUMIFS('📅 Resumen Diario'!$K$5:$K$504, '📅 Resumen Diario'!$B$5:$B$504, B2392, '📅 Resumen Diario'!$C$5:$C$504, D2392), 0))</f>
        <v/>
      </c>
      <c r="M2392" s="31" t="str">
        <f t="shared" si="262"/>
        <v/>
      </c>
      <c r="N2392" s="31" t="str">
        <f t="shared" si="263"/>
        <v/>
      </c>
      <c r="O2392" s="31" t="str">
        <f>IF(OR(B2392="",C2392=""),"",K2392-N2392 + IFERROR(E2392 / SUMIFS('📅 Resumen Diario'!$D$5:$D$504, '📅 Resumen Diario'!$B$5:$B$504, B2392, '📅 Resumen Diario'!$C$5:$C$504, D2392) * (SUMIFS('📋 Detalle Diario'!$E$5:$E$489, '📋 Detalle Diario'!$B$5:$B$489, B2392, '📋 Detalle Diario'!$C$5:$C$489, D2392) * 135 + SUMIFS('📋 Detalle Diario'!$I$5:$I$489, '📋 Detalle Diario'!$B$5:$B$489, B2392, '📋 Detalle Diario'!$C$5:$C$489, D2392) * 200), 0))</f>
        <v/>
      </c>
      <c r="P2392" s="32" t="str">
        <f t="shared" si="264"/>
        <v/>
      </c>
      <c r="Q2392" s="33" t="str">
        <f t="shared" si="265"/>
        <v/>
      </c>
    </row>
    <row r="2393" spans="2:17" ht="18" customHeight="1" x14ac:dyDescent="0.3">
      <c r="B2393" s="26"/>
      <c r="C2393" s="28"/>
      <c r="D2393" s="27"/>
      <c r="E2393" s="29"/>
      <c r="F2393" s="29"/>
      <c r="G2393" s="29"/>
      <c r="H2393" s="30" t="str">
        <f t="shared" si="259"/>
        <v/>
      </c>
      <c r="I2393" s="31" t="str">
        <f>IF(OR(B2393="",C2393=""),"",IFERROR(E2393*IF(E2393="",0,VLOOKUP(C2393,'📦 Precios Proforma'!$B$5:$D$104,IF(D2393="DIA",2,3),FALSE)),0))</f>
        <v/>
      </c>
      <c r="J2393" s="31" t="str">
        <f t="shared" si="260"/>
        <v/>
      </c>
      <c r="K2393" s="31" t="str">
        <f t="shared" si="261"/>
        <v/>
      </c>
      <c r="L2393" s="31" t="str">
        <f>IF(OR(B2393="",C2393=""),"",IFERROR(E2393 / SUMIFS('📅 Resumen Diario'!$D$5:$D$504, '📅 Resumen Diario'!$B$5:$B$504, B2393, '📅 Resumen Diario'!$C$5:$C$504, D2393) * SUMIFS('📅 Resumen Diario'!$K$5:$K$504, '📅 Resumen Diario'!$B$5:$B$504, B2393, '📅 Resumen Diario'!$C$5:$C$504, D2393), 0))</f>
        <v/>
      </c>
      <c r="M2393" s="31" t="str">
        <f t="shared" si="262"/>
        <v/>
      </c>
      <c r="N2393" s="31" t="str">
        <f t="shared" si="263"/>
        <v/>
      </c>
      <c r="O2393" s="31" t="str">
        <f>IF(OR(B2393="",C2393=""),"",K2393-N2393 + IFERROR(E2393 / SUMIFS('📅 Resumen Diario'!$D$5:$D$504, '📅 Resumen Diario'!$B$5:$B$504, B2393, '📅 Resumen Diario'!$C$5:$C$504, D2393) * (SUMIFS('📋 Detalle Diario'!$E$5:$E$489, '📋 Detalle Diario'!$B$5:$B$489, B2393, '📋 Detalle Diario'!$C$5:$C$489, D2393) * 135 + SUMIFS('📋 Detalle Diario'!$I$5:$I$489, '📋 Detalle Diario'!$B$5:$B$489, B2393, '📋 Detalle Diario'!$C$5:$C$489, D2393) * 200), 0))</f>
        <v/>
      </c>
      <c r="P2393" s="32" t="str">
        <f t="shared" si="264"/>
        <v/>
      </c>
      <c r="Q2393" s="33" t="str">
        <f t="shared" si="265"/>
        <v/>
      </c>
    </row>
    <row r="2394" spans="2:17" ht="18" customHeight="1" x14ac:dyDescent="0.3">
      <c r="B2394" s="26"/>
      <c r="C2394" s="17"/>
      <c r="D2394" s="27"/>
      <c r="E2394" s="18"/>
      <c r="F2394" s="18"/>
      <c r="G2394" s="18"/>
      <c r="H2394" s="30" t="str">
        <f t="shared" si="259"/>
        <v/>
      </c>
      <c r="I2394" s="31" t="str">
        <f>IF(OR(B2394="",C2394=""),"",IFERROR(E2394*IF(E2394="",0,VLOOKUP(C2394,'📦 Precios Proforma'!$B$5:$D$104,IF(D2394="DIA",2,3),FALSE)),0))</f>
        <v/>
      </c>
      <c r="J2394" s="31" t="str">
        <f t="shared" si="260"/>
        <v/>
      </c>
      <c r="K2394" s="31" t="str">
        <f t="shared" si="261"/>
        <v/>
      </c>
      <c r="L2394" s="31" t="str">
        <f>IF(OR(B2394="",C2394=""),"",IFERROR(E2394 / SUMIFS('📅 Resumen Diario'!$D$5:$D$504, '📅 Resumen Diario'!$B$5:$B$504, B2394, '📅 Resumen Diario'!$C$5:$C$504, D2394) * SUMIFS('📅 Resumen Diario'!$K$5:$K$504, '📅 Resumen Diario'!$B$5:$B$504, B2394, '📅 Resumen Diario'!$C$5:$C$504, D2394), 0))</f>
        <v/>
      </c>
      <c r="M2394" s="31" t="str">
        <f t="shared" si="262"/>
        <v/>
      </c>
      <c r="N2394" s="31" t="str">
        <f t="shared" si="263"/>
        <v/>
      </c>
      <c r="O2394" s="31" t="str">
        <f>IF(OR(B2394="",C2394=""),"",K2394-N2394 + IFERROR(E2394 / SUMIFS('📅 Resumen Diario'!$D$5:$D$504, '📅 Resumen Diario'!$B$5:$B$504, B2394, '📅 Resumen Diario'!$C$5:$C$504, D2394) * (SUMIFS('📋 Detalle Diario'!$E$5:$E$489, '📋 Detalle Diario'!$B$5:$B$489, B2394, '📋 Detalle Diario'!$C$5:$C$489, D2394) * 135 + SUMIFS('📋 Detalle Diario'!$I$5:$I$489, '📋 Detalle Diario'!$B$5:$B$489, B2394, '📋 Detalle Diario'!$C$5:$C$489, D2394) * 200), 0))</f>
        <v/>
      </c>
      <c r="P2394" s="32" t="str">
        <f t="shared" si="264"/>
        <v/>
      </c>
      <c r="Q2394" s="33" t="str">
        <f t="shared" si="265"/>
        <v/>
      </c>
    </row>
    <row r="2395" spans="2:17" ht="18" customHeight="1" x14ac:dyDescent="0.3">
      <c r="B2395" s="26"/>
      <c r="C2395" s="28"/>
      <c r="D2395" s="27"/>
      <c r="E2395" s="29"/>
      <c r="F2395" s="29"/>
      <c r="G2395" s="29"/>
      <c r="H2395" s="30" t="str">
        <f t="shared" si="259"/>
        <v/>
      </c>
      <c r="I2395" s="31" t="str">
        <f>IF(OR(B2395="",C2395=""),"",IFERROR(E2395*IF(E2395="",0,VLOOKUP(C2395,'📦 Precios Proforma'!$B$5:$D$104,IF(D2395="DIA",2,3),FALSE)),0))</f>
        <v/>
      </c>
      <c r="J2395" s="31" t="str">
        <f t="shared" si="260"/>
        <v/>
      </c>
      <c r="K2395" s="31" t="str">
        <f t="shared" si="261"/>
        <v/>
      </c>
      <c r="L2395" s="31" t="str">
        <f>IF(OR(B2395="",C2395=""),"",IFERROR(E2395 / SUMIFS('📅 Resumen Diario'!$D$5:$D$504, '📅 Resumen Diario'!$B$5:$B$504, B2395, '📅 Resumen Diario'!$C$5:$C$504, D2395) * SUMIFS('📅 Resumen Diario'!$K$5:$K$504, '📅 Resumen Diario'!$B$5:$B$504, B2395, '📅 Resumen Diario'!$C$5:$C$504, D2395), 0))</f>
        <v/>
      </c>
      <c r="M2395" s="31" t="str">
        <f t="shared" si="262"/>
        <v/>
      </c>
      <c r="N2395" s="31" t="str">
        <f t="shared" si="263"/>
        <v/>
      </c>
      <c r="O2395" s="31" t="str">
        <f>IF(OR(B2395="",C2395=""),"",K2395-N2395 + IFERROR(E2395 / SUMIFS('📅 Resumen Diario'!$D$5:$D$504, '📅 Resumen Diario'!$B$5:$B$504, B2395, '📅 Resumen Diario'!$C$5:$C$504, D2395) * (SUMIFS('📋 Detalle Diario'!$E$5:$E$489, '📋 Detalle Diario'!$B$5:$B$489, B2395, '📋 Detalle Diario'!$C$5:$C$489, D2395) * 135 + SUMIFS('📋 Detalle Diario'!$I$5:$I$489, '📋 Detalle Diario'!$B$5:$B$489, B2395, '📋 Detalle Diario'!$C$5:$C$489, D2395) * 200), 0))</f>
        <v/>
      </c>
      <c r="P2395" s="32" t="str">
        <f t="shared" si="264"/>
        <v/>
      </c>
      <c r="Q2395" s="33" t="str">
        <f t="shared" si="265"/>
        <v/>
      </c>
    </row>
    <row r="2396" spans="2:17" ht="18" customHeight="1" x14ac:dyDescent="0.3">
      <c r="B2396" s="26"/>
      <c r="C2396" s="17"/>
      <c r="D2396" s="27"/>
      <c r="E2396" s="18"/>
      <c r="F2396" s="18"/>
      <c r="G2396" s="18"/>
      <c r="H2396" s="30" t="str">
        <f t="shared" si="259"/>
        <v/>
      </c>
      <c r="I2396" s="31" t="str">
        <f>IF(OR(B2396="",C2396=""),"",IFERROR(E2396*IF(E2396="",0,VLOOKUP(C2396,'📦 Precios Proforma'!$B$5:$D$104,IF(D2396="DIA",2,3),FALSE)),0))</f>
        <v/>
      </c>
      <c r="J2396" s="31" t="str">
        <f t="shared" si="260"/>
        <v/>
      </c>
      <c r="K2396" s="31" t="str">
        <f t="shared" si="261"/>
        <v/>
      </c>
      <c r="L2396" s="31" t="str">
        <f>IF(OR(B2396="",C2396=""),"",IFERROR(E2396 / SUMIFS('📅 Resumen Diario'!$D$5:$D$504, '📅 Resumen Diario'!$B$5:$B$504, B2396, '📅 Resumen Diario'!$C$5:$C$504, D2396) * SUMIFS('📅 Resumen Diario'!$K$5:$K$504, '📅 Resumen Diario'!$B$5:$B$504, B2396, '📅 Resumen Diario'!$C$5:$C$504, D2396), 0))</f>
        <v/>
      </c>
      <c r="M2396" s="31" t="str">
        <f t="shared" si="262"/>
        <v/>
      </c>
      <c r="N2396" s="31" t="str">
        <f t="shared" si="263"/>
        <v/>
      </c>
      <c r="O2396" s="31" t="str">
        <f>IF(OR(B2396="",C2396=""),"",K2396-N2396 + IFERROR(E2396 / SUMIFS('📅 Resumen Diario'!$D$5:$D$504, '📅 Resumen Diario'!$B$5:$B$504, B2396, '📅 Resumen Diario'!$C$5:$C$504, D2396) * (SUMIFS('📋 Detalle Diario'!$E$5:$E$489, '📋 Detalle Diario'!$B$5:$B$489, B2396, '📋 Detalle Diario'!$C$5:$C$489, D2396) * 135 + SUMIFS('📋 Detalle Diario'!$I$5:$I$489, '📋 Detalle Diario'!$B$5:$B$489, B2396, '📋 Detalle Diario'!$C$5:$C$489, D2396) * 200), 0))</f>
        <v/>
      </c>
      <c r="P2396" s="32" t="str">
        <f t="shared" si="264"/>
        <v/>
      </c>
      <c r="Q2396" s="33" t="str">
        <f t="shared" si="265"/>
        <v/>
      </c>
    </row>
    <row r="2397" spans="2:17" ht="18" customHeight="1" x14ac:dyDescent="0.3">
      <c r="B2397" s="26"/>
      <c r="C2397" s="28"/>
      <c r="D2397" s="27"/>
      <c r="E2397" s="29"/>
      <c r="F2397" s="29"/>
      <c r="G2397" s="29"/>
      <c r="H2397" s="30" t="str">
        <f t="shared" si="259"/>
        <v/>
      </c>
      <c r="I2397" s="31" t="str">
        <f>IF(OR(B2397="",C2397=""),"",IFERROR(E2397*IF(E2397="",0,VLOOKUP(C2397,'📦 Precios Proforma'!$B$5:$D$104,IF(D2397="DIA",2,3),FALSE)),0))</f>
        <v/>
      </c>
      <c r="J2397" s="31" t="str">
        <f t="shared" si="260"/>
        <v/>
      </c>
      <c r="K2397" s="31" t="str">
        <f t="shared" si="261"/>
        <v/>
      </c>
      <c r="L2397" s="31" t="str">
        <f>IF(OR(B2397="",C2397=""),"",IFERROR(E2397 / SUMIFS('📅 Resumen Diario'!$D$5:$D$504, '📅 Resumen Diario'!$B$5:$B$504, B2397, '📅 Resumen Diario'!$C$5:$C$504, D2397) * SUMIFS('📅 Resumen Diario'!$K$5:$K$504, '📅 Resumen Diario'!$B$5:$B$504, B2397, '📅 Resumen Diario'!$C$5:$C$504, D2397), 0))</f>
        <v/>
      </c>
      <c r="M2397" s="31" t="str">
        <f t="shared" si="262"/>
        <v/>
      </c>
      <c r="N2397" s="31" t="str">
        <f t="shared" si="263"/>
        <v/>
      </c>
      <c r="O2397" s="31" t="str">
        <f>IF(OR(B2397="",C2397=""),"",K2397-N2397 + IFERROR(E2397 / SUMIFS('📅 Resumen Diario'!$D$5:$D$504, '📅 Resumen Diario'!$B$5:$B$504, B2397, '📅 Resumen Diario'!$C$5:$C$504, D2397) * (SUMIFS('📋 Detalle Diario'!$E$5:$E$489, '📋 Detalle Diario'!$B$5:$B$489, B2397, '📋 Detalle Diario'!$C$5:$C$489, D2397) * 135 + SUMIFS('📋 Detalle Diario'!$I$5:$I$489, '📋 Detalle Diario'!$B$5:$B$489, B2397, '📋 Detalle Diario'!$C$5:$C$489, D2397) * 200), 0))</f>
        <v/>
      </c>
      <c r="P2397" s="32" t="str">
        <f t="shared" si="264"/>
        <v/>
      </c>
      <c r="Q2397" s="33" t="str">
        <f t="shared" si="265"/>
        <v/>
      </c>
    </row>
    <row r="2398" spans="2:17" ht="18" customHeight="1" x14ac:dyDescent="0.3">
      <c r="B2398" s="26"/>
      <c r="C2398" s="17"/>
      <c r="D2398" s="27"/>
      <c r="E2398" s="18"/>
      <c r="F2398" s="18"/>
      <c r="G2398" s="18"/>
      <c r="H2398" s="30" t="str">
        <f t="shared" si="259"/>
        <v/>
      </c>
      <c r="I2398" s="31" t="str">
        <f>IF(OR(B2398="",C2398=""),"",IFERROR(E2398*IF(E2398="",0,VLOOKUP(C2398,'📦 Precios Proforma'!$B$5:$D$104,IF(D2398="DIA",2,3),FALSE)),0))</f>
        <v/>
      </c>
      <c r="J2398" s="31" t="str">
        <f t="shared" si="260"/>
        <v/>
      </c>
      <c r="K2398" s="31" t="str">
        <f t="shared" si="261"/>
        <v/>
      </c>
      <c r="L2398" s="31" t="str">
        <f>IF(OR(B2398="",C2398=""),"",IFERROR(E2398 / SUMIFS('📅 Resumen Diario'!$D$5:$D$504, '📅 Resumen Diario'!$B$5:$B$504, B2398, '📅 Resumen Diario'!$C$5:$C$504, D2398) * SUMIFS('📅 Resumen Diario'!$K$5:$K$504, '📅 Resumen Diario'!$B$5:$B$504, B2398, '📅 Resumen Diario'!$C$5:$C$504, D2398), 0))</f>
        <v/>
      </c>
      <c r="M2398" s="31" t="str">
        <f t="shared" si="262"/>
        <v/>
      </c>
      <c r="N2398" s="31" t="str">
        <f t="shared" si="263"/>
        <v/>
      </c>
      <c r="O2398" s="31" t="str">
        <f>IF(OR(B2398="",C2398=""),"",K2398-N2398 + IFERROR(E2398 / SUMIFS('📅 Resumen Diario'!$D$5:$D$504, '📅 Resumen Diario'!$B$5:$B$504, B2398, '📅 Resumen Diario'!$C$5:$C$504, D2398) * (SUMIFS('📋 Detalle Diario'!$E$5:$E$489, '📋 Detalle Diario'!$B$5:$B$489, B2398, '📋 Detalle Diario'!$C$5:$C$489, D2398) * 135 + SUMIFS('📋 Detalle Diario'!$I$5:$I$489, '📋 Detalle Diario'!$B$5:$B$489, B2398, '📋 Detalle Diario'!$C$5:$C$489, D2398) * 200), 0))</f>
        <v/>
      </c>
      <c r="P2398" s="32" t="str">
        <f t="shared" si="264"/>
        <v/>
      </c>
      <c r="Q2398" s="33" t="str">
        <f t="shared" si="265"/>
        <v/>
      </c>
    </row>
    <row r="2399" spans="2:17" ht="18" customHeight="1" x14ac:dyDescent="0.3">
      <c r="B2399" s="26"/>
      <c r="C2399" s="28"/>
      <c r="D2399" s="27"/>
      <c r="E2399" s="29"/>
      <c r="F2399" s="29"/>
      <c r="G2399" s="29"/>
      <c r="H2399" s="30" t="str">
        <f t="shared" si="259"/>
        <v/>
      </c>
      <c r="I2399" s="31" t="str">
        <f>IF(OR(B2399="",C2399=""),"",IFERROR(E2399*IF(E2399="",0,VLOOKUP(C2399,'📦 Precios Proforma'!$B$5:$D$104,IF(D2399="DIA",2,3),FALSE)),0))</f>
        <v/>
      </c>
      <c r="J2399" s="31" t="str">
        <f t="shared" si="260"/>
        <v/>
      </c>
      <c r="K2399" s="31" t="str">
        <f t="shared" si="261"/>
        <v/>
      </c>
      <c r="L2399" s="31" t="str">
        <f>IF(OR(B2399="",C2399=""),"",IFERROR(E2399 / SUMIFS('📅 Resumen Diario'!$D$5:$D$504, '📅 Resumen Diario'!$B$5:$B$504, B2399, '📅 Resumen Diario'!$C$5:$C$504, D2399) * SUMIFS('📅 Resumen Diario'!$K$5:$K$504, '📅 Resumen Diario'!$B$5:$B$504, B2399, '📅 Resumen Diario'!$C$5:$C$504, D2399), 0))</f>
        <v/>
      </c>
      <c r="M2399" s="31" t="str">
        <f t="shared" si="262"/>
        <v/>
      </c>
      <c r="N2399" s="31" t="str">
        <f t="shared" si="263"/>
        <v/>
      </c>
      <c r="O2399" s="31" t="str">
        <f>IF(OR(B2399="",C2399=""),"",K2399-N2399 + IFERROR(E2399 / SUMIFS('📅 Resumen Diario'!$D$5:$D$504, '📅 Resumen Diario'!$B$5:$B$504, B2399, '📅 Resumen Diario'!$C$5:$C$504, D2399) * (SUMIFS('📋 Detalle Diario'!$E$5:$E$489, '📋 Detalle Diario'!$B$5:$B$489, B2399, '📋 Detalle Diario'!$C$5:$C$489, D2399) * 135 + SUMIFS('📋 Detalle Diario'!$I$5:$I$489, '📋 Detalle Diario'!$B$5:$B$489, B2399, '📋 Detalle Diario'!$C$5:$C$489, D2399) * 200), 0))</f>
        <v/>
      </c>
      <c r="P2399" s="32" t="str">
        <f t="shared" si="264"/>
        <v/>
      </c>
      <c r="Q2399" s="33" t="str">
        <f t="shared" si="265"/>
        <v/>
      </c>
    </row>
    <row r="2400" spans="2:17" ht="18" customHeight="1" x14ac:dyDescent="0.3">
      <c r="B2400" s="26"/>
      <c r="C2400" s="17"/>
      <c r="D2400" s="27"/>
      <c r="E2400" s="18"/>
      <c r="F2400" s="18"/>
      <c r="G2400" s="18"/>
      <c r="H2400" s="30" t="str">
        <f t="shared" si="259"/>
        <v/>
      </c>
      <c r="I2400" s="31" t="str">
        <f>IF(OR(B2400="",C2400=""),"",IFERROR(E2400*IF(E2400="",0,VLOOKUP(C2400,'📦 Precios Proforma'!$B$5:$D$104,IF(D2400="DIA",2,3),FALSE)),0))</f>
        <v/>
      </c>
      <c r="J2400" s="31" t="str">
        <f t="shared" si="260"/>
        <v/>
      </c>
      <c r="K2400" s="31" t="str">
        <f t="shared" si="261"/>
        <v/>
      </c>
      <c r="L2400" s="31" t="str">
        <f>IF(OR(B2400="",C2400=""),"",IFERROR(E2400 / SUMIFS('📅 Resumen Diario'!$D$5:$D$504, '📅 Resumen Diario'!$B$5:$B$504, B2400, '📅 Resumen Diario'!$C$5:$C$504, D2400) * SUMIFS('📅 Resumen Diario'!$K$5:$K$504, '📅 Resumen Diario'!$B$5:$B$504, B2400, '📅 Resumen Diario'!$C$5:$C$504, D2400), 0))</f>
        <v/>
      </c>
      <c r="M2400" s="31" t="str">
        <f t="shared" si="262"/>
        <v/>
      </c>
      <c r="N2400" s="31" t="str">
        <f t="shared" si="263"/>
        <v/>
      </c>
      <c r="O2400" s="31" t="str">
        <f>IF(OR(B2400="",C2400=""),"",K2400-N2400 + IFERROR(E2400 / SUMIFS('📅 Resumen Diario'!$D$5:$D$504, '📅 Resumen Diario'!$B$5:$B$504, B2400, '📅 Resumen Diario'!$C$5:$C$504, D2400) * (SUMIFS('📋 Detalle Diario'!$E$5:$E$489, '📋 Detalle Diario'!$B$5:$B$489, B2400, '📋 Detalle Diario'!$C$5:$C$489, D2400) * 135 + SUMIFS('📋 Detalle Diario'!$I$5:$I$489, '📋 Detalle Diario'!$B$5:$B$489, B2400, '📋 Detalle Diario'!$C$5:$C$489, D2400) * 200), 0))</f>
        <v/>
      </c>
      <c r="P2400" s="32" t="str">
        <f t="shared" si="264"/>
        <v/>
      </c>
      <c r="Q2400" s="33" t="str">
        <f t="shared" si="265"/>
        <v/>
      </c>
    </row>
    <row r="2401" spans="2:17" ht="18" customHeight="1" x14ac:dyDescent="0.3">
      <c r="B2401" s="26"/>
      <c r="C2401" s="28"/>
      <c r="D2401" s="27"/>
      <c r="E2401" s="29"/>
      <c r="F2401" s="29"/>
      <c r="G2401" s="29"/>
      <c r="H2401" s="30" t="str">
        <f t="shared" si="259"/>
        <v/>
      </c>
      <c r="I2401" s="31" t="str">
        <f>IF(OR(B2401="",C2401=""),"",IFERROR(E2401*IF(E2401="",0,VLOOKUP(C2401,'📦 Precios Proforma'!$B$5:$D$104,IF(D2401="DIA",2,3),FALSE)),0))</f>
        <v/>
      </c>
      <c r="J2401" s="31" t="str">
        <f t="shared" si="260"/>
        <v/>
      </c>
      <c r="K2401" s="31" t="str">
        <f t="shared" si="261"/>
        <v/>
      </c>
      <c r="L2401" s="31" t="str">
        <f>IF(OR(B2401="",C2401=""),"",IFERROR(E2401 / SUMIFS('📅 Resumen Diario'!$D$5:$D$504, '📅 Resumen Diario'!$B$5:$B$504, B2401, '📅 Resumen Diario'!$C$5:$C$504, D2401) * SUMIFS('📅 Resumen Diario'!$K$5:$K$504, '📅 Resumen Diario'!$B$5:$B$504, B2401, '📅 Resumen Diario'!$C$5:$C$504, D2401), 0))</f>
        <v/>
      </c>
      <c r="M2401" s="31" t="str">
        <f t="shared" si="262"/>
        <v/>
      </c>
      <c r="N2401" s="31" t="str">
        <f t="shared" si="263"/>
        <v/>
      </c>
      <c r="O2401" s="31" t="str">
        <f>IF(OR(B2401="",C2401=""),"",K2401-N2401 + IFERROR(E2401 / SUMIFS('📅 Resumen Diario'!$D$5:$D$504, '📅 Resumen Diario'!$B$5:$B$504, B2401, '📅 Resumen Diario'!$C$5:$C$504, D2401) * (SUMIFS('📋 Detalle Diario'!$E$5:$E$489, '📋 Detalle Diario'!$B$5:$B$489, B2401, '📋 Detalle Diario'!$C$5:$C$489, D2401) * 135 + SUMIFS('📋 Detalle Diario'!$I$5:$I$489, '📋 Detalle Diario'!$B$5:$B$489, B2401, '📋 Detalle Diario'!$C$5:$C$489, D2401) * 200), 0))</f>
        <v/>
      </c>
      <c r="P2401" s="32" t="str">
        <f t="shared" si="264"/>
        <v/>
      </c>
      <c r="Q2401" s="33" t="str">
        <f t="shared" si="265"/>
        <v/>
      </c>
    </row>
    <row r="2402" spans="2:17" ht="18" customHeight="1" x14ac:dyDescent="0.3">
      <c r="B2402" s="26"/>
      <c r="C2402" s="17"/>
      <c r="D2402" s="27"/>
      <c r="E2402" s="18"/>
      <c r="F2402" s="18"/>
      <c r="G2402" s="18"/>
      <c r="H2402" s="30" t="str">
        <f t="shared" si="259"/>
        <v/>
      </c>
      <c r="I2402" s="31" t="str">
        <f>IF(OR(B2402="",C2402=""),"",IFERROR(E2402*IF(E2402="",0,VLOOKUP(C2402,'📦 Precios Proforma'!$B$5:$D$104,IF(D2402="DIA",2,3),FALSE)),0))</f>
        <v/>
      </c>
      <c r="J2402" s="31" t="str">
        <f t="shared" si="260"/>
        <v/>
      </c>
      <c r="K2402" s="31" t="str">
        <f t="shared" si="261"/>
        <v/>
      </c>
      <c r="L2402" s="31" t="str">
        <f>IF(OR(B2402="",C2402=""),"",IFERROR(E2402 / SUMIFS('📅 Resumen Diario'!$D$5:$D$504, '📅 Resumen Diario'!$B$5:$B$504, B2402, '📅 Resumen Diario'!$C$5:$C$504, D2402) * SUMIFS('📅 Resumen Diario'!$K$5:$K$504, '📅 Resumen Diario'!$B$5:$B$504, B2402, '📅 Resumen Diario'!$C$5:$C$504, D2402), 0))</f>
        <v/>
      </c>
      <c r="M2402" s="31" t="str">
        <f t="shared" si="262"/>
        <v/>
      </c>
      <c r="N2402" s="31" t="str">
        <f t="shared" si="263"/>
        <v/>
      </c>
      <c r="O2402" s="31" t="str">
        <f>IF(OR(B2402="",C2402=""),"",K2402-N2402 + IFERROR(E2402 / SUMIFS('📅 Resumen Diario'!$D$5:$D$504, '📅 Resumen Diario'!$B$5:$B$504, B2402, '📅 Resumen Diario'!$C$5:$C$504, D2402) * (SUMIFS('📋 Detalle Diario'!$E$5:$E$489, '📋 Detalle Diario'!$B$5:$B$489, B2402, '📋 Detalle Diario'!$C$5:$C$489, D2402) * 135 + SUMIFS('📋 Detalle Diario'!$I$5:$I$489, '📋 Detalle Diario'!$B$5:$B$489, B2402, '📋 Detalle Diario'!$C$5:$C$489, D2402) * 200), 0))</f>
        <v/>
      </c>
      <c r="P2402" s="32" t="str">
        <f t="shared" si="264"/>
        <v/>
      </c>
      <c r="Q2402" s="33" t="str">
        <f t="shared" si="265"/>
        <v/>
      </c>
    </row>
    <row r="2403" spans="2:17" ht="18" customHeight="1" x14ac:dyDescent="0.3">
      <c r="B2403" s="26"/>
      <c r="C2403" s="28"/>
      <c r="D2403" s="27"/>
      <c r="E2403" s="29"/>
      <c r="F2403" s="29"/>
      <c r="G2403" s="29"/>
      <c r="H2403" s="30" t="str">
        <f t="shared" si="259"/>
        <v/>
      </c>
      <c r="I2403" s="31" t="str">
        <f>IF(OR(B2403="",C2403=""),"",IFERROR(E2403*IF(E2403="",0,VLOOKUP(C2403,'📦 Precios Proforma'!$B$5:$D$104,IF(D2403="DIA",2,3),FALSE)),0))</f>
        <v/>
      </c>
      <c r="J2403" s="31" t="str">
        <f t="shared" si="260"/>
        <v/>
      </c>
      <c r="K2403" s="31" t="str">
        <f t="shared" si="261"/>
        <v/>
      </c>
      <c r="L2403" s="31" t="str">
        <f>IF(OR(B2403="",C2403=""),"",IFERROR(E2403 / SUMIFS('📅 Resumen Diario'!$D$5:$D$504, '📅 Resumen Diario'!$B$5:$B$504, B2403, '📅 Resumen Diario'!$C$5:$C$504, D2403) * SUMIFS('📅 Resumen Diario'!$K$5:$K$504, '📅 Resumen Diario'!$B$5:$B$504, B2403, '📅 Resumen Diario'!$C$5:$C$504, D2403), 0))</f>
        <v/>
      </c>
      <c r="M2403" s="31" t="str">
        <f t="shared" si="262"/>
        <v/>
      </c>
      <c r="N2403" s="31" t="str">
        <f t="shared" si="263"/>
        <v/>
      </c>
      <c r="O2403" s="31" t="str">
        <f>IF(OR(B2403="",C2403=""),"",K2403-N2403 + IFERROR(E2403 / SUMIFS('📅 Resumen Diario'!$D$5:$D$504, '📅 Resumen Diario'!$B$5:$B$504, B2403, '📅 Resumen Diario'!$C$5:$C$504, D2403) * (SUMIFS('📋 Detalle Diario'!$E$5:$E$489, '📋 Detalle Diario'!$B$5:$B$489, B2403, '📋 Detalle Diario'!$C$5:$C$489, D2403) * 135 + SUMIFS('📋 Detalle Diario'!$I$5:$I$489, '📋 Detalle Diario'!$B$5:$B$489, B2403, '📋 Detalle Diario'!$C$5:$C$489, D2403) * 200), 0))</f>
        <v/>
      </c>
      <c r="P2403" s="32" t="str">
        <f t="shared" si="264"/>
        <v/>
      </c>
      <c r="Q2403" s="33" t="str">
        <f t="shared" si="265"/>
        <v/>
      </c>
    </row>
    <row r="2404" spans="2:17" ht="18" customHeight="1" x14ac:dyDescent="0.3">
      <c r="B2404" s="26"/>
      <c r="C2404" s="17"/>
      <c r="D2404" s="27"/>
      <c r="E2404" s="18"/>
      <c r="F2404" s="18"/>
      <c r="G2404" s="18"/>
      <c r="H2404" s="30" t="str">
        <f t="shared" si="259"/>
        <v/>
      </c>
      <c r="I2404" s="31" t="str">
        <f>IF(OR(B2404="",C2404=""),"",IFERROR(E2404*IF(E2404="",0,VLOOKUP(C2404,'📦 Precios Proforma'!$B$5:$D$104,IF(D2404="DIA",2,3),FALSE)),0))</f>
        <v/>
      </c>
      <c r="J2404" s="31" t="str">
        <f t="shared" si="260"/>
        <v/>
      </c>
      <c r="K2404" s="31" t="str">
        <f t="shared" si="261"/>
        <v/>
      </c>
      <c r="L2404" s="31" t="str">
        <f>IF(OR(B2404="",C2404=""),"",IFERROR(E2404 / SUMIFS('📅 Resumen Diario'!$D$5:$D$504, '📅 Resumen Diario'!$B$5:$B$504, B2404, '📅 Resumen Diario'!$C$5:$C$504, D2404) * SUMIFS('📅 Resumen Diario'!$K$5:$K$504, '📅 Resumen Diario'!$B$5:$B$504, B2404, '📅 Resumen Diario'!$C$5:$C$504, D2404), 0))</f>
        <v/>
      </c>
      <c r="M2404" s="31" t="str">
        <f t="shared" si="262"/>
        <v/>
      </c>
      <c r="N2404" s="31" t="str">
        <f t="shared" si="263"/>
        <v/>
      </c>
      <c r="O2404" s="31" t="str">
        <f>IF(OR(B2404="",C2404=""),"",K2404-N2404 + IFERROR(E2404 / SUMIFS('📅 Resumen Diario'!$D$5:$D$504, '📅 Resumen Diario'!$B$5:$B$504, B2404, '📅 Resumen Diario'!$C$5:$C$504, D2404) * (SUMIFS('📋 Detalle Diario'!$E$5:$E$489, '📋 Detalle Diario'!$B$5:$B$489, B2404, '📋 Detalle Diario'!$C$5:$C$489, D2404) * 135 + SUMIFS('📋 Detalle Diario'!$I$5:$I$489, '📋 Detalle Diario'!$B$5:$B$489, B2404, '📋 Detalle Diario'!$C$5:$C$489, D2404) * 200), 0))</f>
        <v/>
      </c>
      <c r="P2404" s="32" t="str">
        <f t="shared" si="264"/>
        <v/>
      </c>
      <c r="Q2404" s="33" t="str">
        <f t="shared" si="265"/>
        <v/>
      </c>
    </row>
    <row r="2405" spans="2:17" ht="18" customHeight="1" x14ac:dyDescent="0.3">
      <c r="B2405" s="26"/>
      <c r="C2405" s="28"/>
      <c r="D2405" s="27"/>
      <c r="E2405" s="29"/>
      <c r="F2405" s="29"/>
      <c r="G2405" s="29"/>
      <c r="H2405" s="30" t="str">
        <f t="shared" si="259"/>
        <v/>
      </c>
      <c r="I2405" s="31" t="str">
        <f>IF(OR(B2405="",C2405=""),"",IFERROR(E2405*IF(E2405="",0,VLOOKUP(C2405,'📦 Precios Proforma'!$B$5:$D$104,IF(D2405="DIA",2,3),FALSE)),0))</f>
        <v/>
      </c>
      <c r="J2405" s="31" t="str">
        <f t="shared" si="260"/>
        <v/>
      </c>
      <c r="K2405" s="31" t="str">
        <f t="shared" si="261"/>
        <v/>
      </c>
      <c r="L2405" s="31" t="str">
        <f>IF(OR(B2405="",C2405=""),"",IFERROR(E2405 / SUMIFS('📅 Resumen Diario'!$D$5:$D$504, '📅 Resumen Diario'!$B$5:$B$504, B2405, '📅 Resumen Diario'!$C$5:$C$504, D2405) * SUMIFS('📅 Resumen Diario'!$K$5:$K$504, '📅 Resumen Diario'!$B$5:$B$504, B2405, '📅 Resumen Diario'!$C$5:$C$504, D2405), 0))</f>
        <v/>
      </c>
      <c r="M2405" s="31" t="str">
        <f t="shared" si="262"/>
        <v/>
      </c>
      <c r="N2405" s="31" t="str">
        <f t="shared" si="263"/>
        <v/>
      </c>
      <c r="O2405" s="31" t="str">
        <f>IF(OR(B2405="",C2405=""),"",K2405-N2405 + IFERROR(E2405 / SUMIFS('📅 Resumen Diario'!$D$5:$D$504, '📅 Resumen Diario'!$B$5:$B$504, B2405, '📅 Resumen Diario'!$C$5:$C$504, D2405) * (SUMIFS('📋 Detalle Diario'!$E$5:$E$489, '📋 Detalle Diario'!$B$5:$B$489, B2405, '📋 Detalle Diario'!$C$5:$C$489, D2405) * 135 + SUMIFS('📋 Detalle Diario'!$I$5:$I$489, '📋 Detalle Diario'!$B$5:$B$489, B2405, '📋 Detalle Diario'!$C$5:$C$489, D2405) * 200), 0))</f>
        <v/>
      </c>
      <c r="P2405" s="32" t="str">
        <f t="shared" si="264"/>
        <v/>
      </c>
      <c r="Q2405" s="33" t="str">
        <f t="shared" si="265"/>
        <v/>
      </c>
    </row>
    <row r="2406" spans="2:17" ht="18" customHeight="1" x14ac:dyDescent="0.3">
      <c r="B2406" s="26"/>
      <c r="C2406" s="17"/>
      <c r="D2406" s="27"/>
      <c r="E2406" s="18"/>
      <c r="F2406" s="18"/>
      <c r="G2406" s="18"/>
      <c r="H2406" s="30" t="str">
        <f t="shared" si="259"/>
        <v/>
      </c>
      <c r="I2406" s="31" t="str">
        <f>IF(OR(B2406="",C2406=""),"",IFERROR(E2406*IF(E2406="",0,VLOOKUP(C2406,'📦 Precios Proforma'!$B$5:$D$104,IF(D2406="DIA",2,3),FALSE)),0))</f>
        <v/>
      </c>
      <c r="J2406" s="31" t="str">
        <f t="shared" si="260"/>
        <v/>
      </c>
      <c r="K2406" s="31" t="str">
        <f t="shared" si="261"/>
        <v/>
      </c>
      <c r="L2406" s="31" t="str">
        <f>IF(OR(B2406="",C2406=""),"",IFERROR(E2406 / SUMIFS('📅 Resumen Diario'!$D$5:$D$504, '📅 Resumen Diario'!$B$5:$B$504, B2406, '📅 Resumen Diario'!$C$5:$C$504, D2406) * SUMIFS('📅 Resumen Diario'!$K$5:$K$504, '📅 Resumen Diario'!$B$5:$B$504, B2406, '📅 Resumen Diario'!$C$5:$C$504, D2406), 0))</f>
        <v/>
      </c>
      <c r="M2406" s="31" t="str">
        <f t="shared" si="262"/>
        <v/>
      </c>
      <c r="N2406" s="31" t="str">
        <f t="shared" si="263"/>
        <v/>
      </c>
      <c r="O2406" s="31" t="str">
        <f>IF(OR(B2406="",C2406=""),"",K2406-N2406 + IFERROR(E2406 / SUMIFS('📅 Resumen Diario'!$D$5:$D$504, '📅 Resumen Diario'!$B$5:$B$504, B2406, '📅 Resumen Diario'!$C$5:$C$504, D2406) * (SUMIFS('📋 Detalle Diario'!$E$5:$E$489, '📋 Detalle Diario'!$B$5:$B$489, B2406, '📋 Detalle Diario'!$C$5:$C$489, D2406) * 135 + SUMIFS('📋 Detalle Diario'!$I$5:$I$489, '📋 Detalle Diario'!$B$5:$B$489, B2406, '📋 Detalle Diario'!$C$5:$C$489, D2406) * 200), 0))</f>
        <v/>
      </c>
      <c r="P2406" s="32" t="str">
        <f t="shared" si="264"/>
        <v/>
      </c>
      <c r="Q2406" s="33" t="str">
        <f t="shared" si="265"/>
        <v/>
      </c>
    </row>
    <row r="2407" spans="2:17" ht="18" customHeight="1" x14ac:dyDescent="0.3">
      <c r="B2407" s="26"/>
      <c r="C2407" s="28"/>
      <c r="D2407" s="27"/>
      <c r="E2407" s="29"/>
      <c r="F2407" s="29"/>
      <c r="G2407" s="29"/>
      <c r="H2407" s="30" t="str">
        <f t="shared" si="259"/>
        <v/>
      </c>
      <c r="I2407" s="31" t="str">
        <f>IF(OR(B2407="",C2407=""),"",IFERROR(E2407*IF(E2407="",0,VLOOKUP(C2407,'📦 Precios Proforma'!$B$5:$D$104,IF(D2407="DIA",2,3),FALSE)),0))</f>
        <v/>
      </c>
      <c r="J2407" s="31" t="str">
        <f t="shared" si="260"/>
        <v/>
      </c>
      <c r="K2407" s="31" t="str">
        <f t="shared" si="261"/>
        <v/>
      </c>
      <c r="L2407" s="31" t="str">
        <f>IF(OR(B2407="",C2407=""),"",IFERROR(E2407 / SUMIFS('📅 Resumen Diario'!$D$5:$D$504, '📅 Resumen Diario'!$B$5:$B$504, B2407, '📅 Resumen Diario'!$C$5:$C$504, D2407) * SUMIFS('📅 Resumen Diario'!$K$5:$K$504, '📅 Resumen Diario'!$B$5:$B$504, B2407, '📅 Resumen Diario'!$C$5:$C$504, D2407), 0))</f>
        <v/>
      </c>
      <c r="M2407" s="31" t="str">
        <f t="shared" si="262"/>
        <v/>
      </c>
      <c r="N2407" s="31" t="str">
        <f t="shared" si="263"/>
        <v/>
      </c>
      <c r="O2407" s="31" t="str">
        <f>IF(OR(B2407="",C2407=""),"",K2407-N2407 + IFERROR(E2407 / SUMIFS('📅 Resumen Diario'!$D$5:$D$504, '📅 Resumen Diario'!$B$5:$B$504, B2407, '📅 Resumen Diario'!$C$5:$C$504, D2407) * (SUMIFS('📋 Detalle Diario'!$E$5:$E$489, '📋 Detalle Diario'!$B$5:$B$489, B2407, '📋 Detalle Diario'!$C$5:$C$489, D2407) * 135 + SUMIFS('📋 Detalle Diario'!$I$5:$I$489, '📋 Detalle Diario'!$B$5:$B$489, B2407, '📋 Detalle Diario'!$C$5:$C$489, D2407) * 200), 0))</f>
        <v/>
      </c>
      <c r="P2407" s="32" t="str">
        <f t="shared" si="264"/>
        <v/>
      </c>
      <c r="Q2407" s="33" t="str">
        <f t="shared" si="265"/>
        <v/>
      </c>
    </row>
    <row r="2408" spans="2:17" ht="18" customHeight="1" x14ac:dyDescent="0.3">
      <c r="B2408" s="26"/>
      <c r="C2408" s="17"/>
      <c r="D2408" s="27"/>
      <c r="E2408" s="18"/>
      <c r="F2408" s="18"/>
      <c r="G2408" s="18"/>
      <c r="H2408" s="30" t="str">
        <f t="shared" si="259"/>
        <v/>
      </c>
      <c r="I2408" s="31" t="str">
        <f>IF(OR(B2408="",C2408=""),"",IFERROR(E2408*IF(E2408="",0,VLOOKUP(C2408,'📦 Precios Proforma'!$B$5:$D$104,IF(D2408="DIA",2,3),FALSE)),0))</f>
        <v/>
      </c>
      <c r="J2408" s="31" t="str">
        <f t="shared" si="260"/>
        <v/>
      </c>
      <c r="K2408" s="31" t="str">
        <f t="shared" si="261"/>
        <v/>
      </c>
      <c r="L2408" s="31" t="str">
        <f>IF(OR(B2408="",C2408=""),"",IFERROR(E2408 / SUMIFS('📅 Resumen Diario'!$D$5:$D$504, '📅 Resumen Diario'!$B$5:$B$504, B2408, '📅 Resumen Diario'!$C$5:$C$504, D2408) * SUMIFS('📅 Resumen Diario'!$K$5:$K$504, '📅 Resumen Diario'!$B$5:$B$504, B2408, '📅 Resumen Diario'!$C$5:$C$504, D2408), 0))</f>
        <v/>
      </c>
      <c r="M2408" s="31" t="str">
        <f t="shared" si="262"/>
        <v/>
      </c>
      <c r="N2408" s="31" t="str">
        <f t="shared" si="263"/>
        <v/>
      </c>
      <c r="O2408" s="31" t="str">
        <f>IF(OR(B2408="",C2408=""),"",K2408-N2408 + IFERROR(E2408 / SUMIFS('📅 Resumen Diario'!$D$5:$D$504, '📅 Resumen Diario'!$B$5:$B$504, B2408, '📅 Resumen Diario'!$C$5:$C$504, D2408) * (SUMIFS('📋 Detalle Diario'!$E$5:$E$489, '📋 Detalle Diario'!$B$5:$B$489, B2408, '📋 Detalle Diario'!$C$5:$C$489, D2408) * 135 + SUMIFS('📋 Detalle Diario'!$I$5:$I$489, '📋 Detalle Diario'!$B$5:$B$489, B2408, '📋 Detalle Diario'!$C$5:$C$489, D2408) * 200), 0))</f>
        <v/>
      </c>
      <c r="P2408" s="32" t="str">
        <f t="shared" si="264"/>
        <v/>
      </c>
      <c r="Q2408" s="33" t="str">
        <f t="shared" si="265"/>
        <v/>
      </c>
    </row>
    <row r="2409" spans="2:17" ht="18" customHeight="1" x14ac:dyDescent="0.3">
      <c r="B2409" s="26"/>
      <c r="C2409" s="28"/>
      <c r="D2409" s="27"/>
      <c r="E2409" s="29"/>
      <c r="F2409" s="29"/>
      <c r="G2409" s="29"/>
      <c r="H2409" s="30" t="str">
        <f t="shared" si="259"/>
        <v/>
      </c>
      <c r="I2409" s="31" t="str">
        <f>IF(OR(B2409="",C2409=""),"",IFERROR(E2409*IF(E2409="",0,VLOOKUP(C2409,'📦 Precios Proforma'!$B$5:$D$104,IF(D2409="DIA",2,3),FALSE)),0))</f>
        <v/>
      </c>
      <c r="J2409" s="31" t="str">
        <f t="shared" si="260"/>
        <v/>
      </c>
      <c r="K2409" s="31" t="str">
        <f t="shared" si="261"/>
        <v/>
      </c>
      <c r="L2409" s="31" t="str">
        <f>IF(OR(B2409="",C2409=""),"",IFERROR(E2409 / SUMIFS('📅 Resumen Diario'!$D$5:$D$504, '📅 Resumen Diario'!$B$5:$B$504, B2409, '📅 Resumen Diario'!$C$5:$C$504, D2409) * SUMIFS('📅 Resumen Diario'!$K$5:$K$504, '📅 Resumen Diario'!$B$5:$B$504, B2409, '📅 Resumen Diario'!$C$5:$C$504, D2409), 0))</f>
        <v/>
      </c>
      <c r="M2409" s="31" t="str">
        <f t="shared" si="262"/>
        <v/>
      </c>
      <c r="N2409" s="31" t="str">
        <f t="shared" si="263"/>
        <v/>
      </c>
      <c r="O2409" s="31" t="str">
        <f>IF(OR(B2409="",C2409=""),"",K2409-N2409 + IFERROR(E2409 / SUMIFS('📅 Resumen Diario'!$D$5:$D$504, '📅 Resumen Diario'!$B$5:$B$504, B2409, '📅 Resumen Diario'!$C$5:$C$504, D2409) * (SUMIFS('📋 Detalle Diario'!$E$5:$E$489, '📋 Detalle Diario'!$B$5:$B$489, B2409, '📋 Detalle Diario'!$C$5:$C$489, D2409) * 135 + SUMIFS('📋 Detalle Diario'!$I$5:$I$489, '📋 Detalle Diario'!$B$5:$B$489, B2409, '📋 Detalle Diario'!$C$5:$C$489, D2409) * 200), 0))</f>
        <v/>
      </c>
      <c r="P2409" s="32" t="str">
        <f t="shared" si="264"/>
        <v/>
      </c>
      <c r="Q2409" s="33" t="str">
        <f t="shared" si="265"/>
        <v/>
      </c>
    </row>
    <row r="2410" spans="2:17" ht="18" customHeight="1" x14ac:dyDescent="0.3">
      <c r="B2410" s="26"/>
      <c r="C2410" s="17"/>
      <c r="D2410" s="27"/>
      <c r="E2410" s="18"/>
      <c r="F2410" s="18"/>
      <c r="G2410" s="18"/>
      <c r="H2410" s="30" t="str">
        <f t="shared" si="259"/>
        <v/>
      </c>
      <c r="I2410" s="31" t="str">
        <f>IF(OR(B2410="",C2410=""),"",IFERROR(E2410*IF(E2410="",0,VLOOKUP(C2410,'📦 Precios Proforma'!$B$5:$D$104,IF(D2410="DIA",2,3),FALSE)),0))</f>
        <v/>
      </c>
      <c r="J2410" s="31" t="str">
        <f t="shared" si="260"/>
        <v/>
      </c>
      <c r="K2410" s="31" t="str">
        <f t="shared" si="261"/>
        <v/>
      </c>
      <c r="L2410" s="31" t="str">
        <f>IF(OR(B2410="",C2410=""),"",IFERROR(E2410 / SUMIFS('📅 Resumen Diario'!$D$5:$D$504, '📅 Resumen Diario'!$B$5:$B$504, B2410, '📅 Resumen Diario'!$C$5:$C$504, D2410) * SUMIFS('📅 Resumen Diario'!$K$5:$K$504, '📅 Resumen Diario'!$B$5:$B$504, B2410, '📅 Resumen Diario'!$C$5:$C$504, D2410), 0))</f>
        <v/>
      </c>
      <c r="M2410" s="31" t="str">
        <f t="shared" si="262"/>
        <v/>
      </c>
      <c r="N2410" s="31" t="str">
        <f t="shared" si="263"/>
        <v/>
      </c>
      <c r="O2410" s="31" t="str">
        <f>IF(OR(B2410="",C2410=""),"",K2410-N2410 + IFERROR(E2410 / SUMIFS('📅 Resumen Diario'!$D$5:$D$504, '📅 Resumen Diario'!$B$5:$B$504, B2410, '📅 Resumen Diario'!$C$5:$C$504, D2410) * (SUMIFS('📋 Detalle Diario'!$E$5:$E$489, '📋 Detalle Diario'!$B$5:$B$489, B2410, '📋 Detalle Diario'!$C$5:$C$489, D2410) * 135 + SUMIFS('📋 Detalle Diario'!$I$5:$I$489, '📋 Detalle Diario'!$B$5:$B$489, B2410, '📋 Detalle Diario'!$C$5:$C$489, D2410) * 200), 0))</f>
        <v/>
      </c>
      <c r="P2410" s="32" t="str">
        <f t="shared" si="264"/>
        <v/>
      </c>
      <c r="Q2410" s="33" t="str">
        <f t="shared" si="265"/>
        <v/>
      </c>
    </row>
    <row r="2411" spans="2:17" ht="18" customHeight="1" x14ac:dyDescent="0.3">
      <c r="B2411" s="26"/>
      <c r="C2411" s="28"/>
      <c r="D2411" s="27"/>
      <c r="E2411" s="29"/>
      <c r="F2411" s="29"/>
      <c r="G2411" s="29"/>
      <c r="H2411" s="30" t="str">
        <f t="shared" si="259"/>
        <v/>
      </c>
      <c r="I2411" s="31" t="str">
        <f>IF(OR(B2411="",C2411=""),"",IFERROR(E2411*IF(E2411="",0,VLOOKUP(C2411,'📦 Precios Proforma'!$B$5:$D$104,IF(D2411="DIA",2,3),FALSE)),0))</f>
        <v/>
      </c>
      <c r="J2411" s="31" t="str">
        <f t="shared" si="260"/>
        <v/>
      </c>
      <c r="K2411" s="31" t="str">
        <f t="shared" si="261"/>
        <v/>
      </c>
      <c r="L2411" s="31" t="str">
        <f>IF(OR(B2411="",C2411=""),"",IFERROR(E2411 / SUMIFS('📅 Resumen Diario'!$D$5:$D$504, '📅 Resumen Diario'!$B$5:$B$504, B2411, '📅 Resumen Diario'!$C$5:$C$504, D2411) * SUMIFS('📅 Resumen Diario'!$K$5:$K$504, '📅 Resumen Diario'!$B$5:$B$504, B2411, '📅 Resumen Diario'!$C$5:$C$504, D2411), 0))</f>
        <v/>
      </c>
      <c r="M2411" s="31" t="str">
        <f t="shared" si="262"/>
        <v/>
      </c>
      <c r="N2411" s="31" t="str">
        <f t="shared" si="263"/>
        <v/>
      </c>
      <c r="O2411" s="31" t="str">
        <f>IF(OR(B2411="",C2411=""),"",K2411-N2411 + IFERROR(E2411 / SUMIFS('📅 Resumen Diario'!$D$5:$D$504, '📅 Resumen Diario'!$B$5:$B$504, B2411, '📅 Resumen Diario'!$C$5:$C$504, D2411) * (SUMIFS('📋 Detalle Diario'!$E$5:$E$489, '📋 Detalle Diario'!$B$5:$B$489, B2411, '📋 Detalle Diario'!$C$5:$C$489, D2411) * 135 + SUMIFS('📋 Detalle Diario'!$I$5:$I$489, '📋 Detalle Diario'!$B$5:$B$489, B2411, '📋 Detalle Diario'!$C$5:$C$489, D2411) * 200), 0))</f>
        <v/>
      </c>
      <c r="P2411" s="32" t="str">
        <f t="shared" si="264"/>
        <v/>
      </c>
      <c r="Q2411" s="33" t="str">
        <f t="shared" si="265"/>
        <v/>
      </c>
    </row>
    <row r="2412" spans="2:17" ht="18" customHeight="1" x14ac:dyDescent="0.3">
      <c r="B2412" s="26"/>
      <c r="C2412" s="17"/>
      <c r="D2412" s="27"/>
      <c r="E2412" s="18"/>
      <c r="F2412" s="18"/>
      <c r="G2412" s="18"/>
      <c r="H2412" s="30" t="str">
        <f t="shared" si="259"/>
        <v/>
      </c>
      <c r="I2412" s="31" t="str">
        <f>IF(OR(B2412="",C2412=""),"",IFERROR(E2412*IF(E2412="",0,VLOOKUP(C2412,'📦 Precios Proforma'!$B$5:$D$104,IF(D2412="DIA",2,3),FALSE)),0))</f>
        <v/>
      </c>
      <c r="J2412" s="31" t="str">
        <f t="shared" si="260"/>
        <v/>
      </c>
      <c r="K2412" s="31" t="str">
        <f t="shared" si="261"/>
        <v/>
      </c>
      <c r="L2412" s="31" t="str">
        <f>IF(OR(B2412="",C2412=""),"",IFERROR(E2412 / SUMIFS('📅 Resumen Diario'!$D$5:$D$504, '📅 Resumen Diario'!$B$5:$B$504, B2412, '📅 Resumen Diario'!$C$5:$C$504, D2412) * SUMIFS('📅 Resumen Diario'!$K$5:$K$504, '📅 Resumen Diario'!$B$5:$B$504, B2412, '📅 Resumen Diario'!$C$5:$C$504, D2412), 0))</f>
        <v/>
      </c>
      <c r="M2412" s="31" t="str">
        <f t="shared" si="262"/>
        <v/>
      </c>
      <c r="N2412" s="31" t="str">
        <f t="shared" si="263"/>
        <v/>
      </c>
      <c r="O2412" s="31" t="str">
        <f>IF(OR(B2412="",C2412=""),"",K2412-N2412 + IFERROR(E2412 / SUMIFS('📅 Resumen Diario'!$D$5:$D$504, '📅 Resumen Diario'!$B$5:$B$504, B2412, '📅 Resumen Diario'!$C$5:$C$504, D2412) * (SUMIFS('📋 Detalle Diario'!$E$5:$E$489, '📋 Detalle Diario'!$B$5:$B$489, B2412, '📋 Detalle Diario'!$C$5:$C$489, D2412) * 135 + SUMIFS('📋 Detalle Diario'!$I$5:$I$489, '📋 Detalle Diario'!$B$5:$B$489, B2412, '📋 Detalle Diario'!$C$5:$C$489, D2412) * 200), 0))</f>
        <v/>
      </c>
      <c r="P2412" s="32" t="str">
        <f t="shared" si="264"/>
        <v/>
      </c>
      <c r="Q2412" s="33" t="str">
        <f t="shared" si="265"/>
        <v/>
      </c>
    </row>
    <row r="2413" spans="2:17" ht="18" customHeight="1" x14ac:dyDescent="0.3">
      <c r="B2413" s="26"/>
      <c r="C2413" s="28"/>
      <c r="D2413" s="27"/>
      <c r="E2413" s="29"/>
      <c r="F2413" s="29"/>
      <c r="G2413" s="29"/>
      <c r="H2413" s="30" t="str">
        <f t="shared" si="259"/>
        <v/>
      </c>
      <c r="I2413" s="31" t="str">
        <f>IF(OR(B2413="",C2413=""),"",IFERROR(E2413*IF(E2413="",0,VLOOKUP(C2413,'📦 Precios Proforma'!$B$5:$D$104,IF(D2413="DIA",2,3),FALSE)),0))</f>
        <v/>
      </c>
      <c r="J2413" s="31" t="str">
        <f t="shared" si="260"/>
        <v/>
      </c>
      <c r="K2413" s="31" t="str">
        <f t="shared" si="261"/>
        <v/>
      </c>
      <c r="L2413" s="31" t="str">
        <f>IF(OR(B2413="",C2413=""),"",IFERROR(E2413 / SUMIFS('📅 Resumen Diario'!$D$5:$D$504, '📅 Resumen Diario'!$B$5:$B$504, B2413, '📅 Resumen Diario'!$C$5:$C$504, D2413) * SUMIFS('📅 Resumen Diario'!$K$5:$K$504, '📅 Resumen Diario'!$B$5:$B$504, B2413, '📅 Resumen Diario'!$C$5:$C$504, D2413), 0))</f>
        <v/>
      </c>
      <c r="M2413" s="31" t="str">
        <f t="shared" si="262"/>
        <v/>
      </c>
      <c r="N2413" s="31" t="str">
        <f t="shared" si="263"/>
        <v/>
      </c>
      <c r="O2413" s="31" t="str">
        <f>IF(OR(B2413="",C2413=""),"",K2413-N2413 + IFERROR(E2413 / SUMIFS('📅 Resumen Diario'!$D$5:$D$504, '📅 Resumen Diario'!$B$5:$B$504, B2413, '📅 Resumen Diario'!$C$5:$C$504, D2413) * (SUMIFS('📋 Detalle Diario'!$E$5:$E$489, '📋 Detalle Diario'!$B$5:$B$489, B2413, '📋 Detalle Diario'!$C$5:$C$489, D2413) * 135 + SUMIFS('📋 Detalle Diario'!$I$5:$I$489, '📋 Detalle Diario'!$B$5:$B$489, B2413, '📋 Detalle Diario'!$C$5:$C$489, D2413) * 200), 0))</f>
        <v/>
      </c>
      <c r="P2413" s="32" t="str">
        <f t="shared" si="264"/>
        <v/>
      </c>
      <c r="Q2413" s="33" t="str">
        <f t="shared" si="265"/>
        <v/>
      </c>
    </row>
    <row r="2414" spans="2:17" ht="18" customHeight="1" x14ac:dyDescent="0.3">
      <c r="B2414" s="26"/>
      <c r="C2414" s="17"/>
      <c r="D2414" s="27"/>
      <c r="E2414" s="18"/>
      <c r="F2414" s="18"/>
      <c r="G2414" s="18"/>
      <c r="H2414" s="30" t="str">
        <f t="shared" si="259"/>
        <v/>
      </c>
      <c r="I2414" s="31" t="str">
        <f>IF(OR(B2414="",C2414=""),"",IFERROR(E2414*IF(E2414="",0,VLOOKUP(C2414,'📦 Precios Proforma'!$B$5:$D$104,IF(D2414="DIA",2,3),FALSE)),0))</f>
        <v/>
      </c>
      <c r="J2414" s="31" t="str">
        <f t="shared" si="260"/>
        <v/>
      </c>
      <c r="K2414" s="31" t="str">
        <f t="shared" si="261"/>
        <v/>
      </c>
      <c r="L2414" s="31" t="str">
        <f>IF(OR(B2414="",C2414=""),"",IFERROR(E2414 / SUMIFS('📅 Resumen Diario'!$D$5:$D$504, '📅 Resumen Diario'!$B$5:$B$504, B2414, '📅 Resumen Diario'!$C$5:$C$504, D2414) * SUMIFS('📅 Resumen Diario'!$K$5:$K$504, '📅 Resumen Diario'!$B$5:$B$504, B2414, '📅 Resumen Diario'!$C$5:$C$504, D2414), 0))</f>
        <v/>
      </c>
      <c r="M2414" s="31" t="str">
        <f t="shared" si="262"/>
        <v/>
      </c>
      <c r="N2414" s="31" t="str">
        <f t="shared" si="263"/>
        <v/>
      </c>
      <c r="O2414" s="31" t="str">
        <f>IF(OR(B2414="",C2414=""),"",K2414-N2414 + IFERROR(E2414 / SUMIFS('📅 Resumen Diario'!$D$5:$D$504, '📅 Resumen Diario'!$B$5:$B$504, B2414, '📅 Resumen Diario'!$C$5:$C$504, D2414) * (SUMIFS('📋 Detalle Diario'!$E$5:$E$489, '📋 Detalle Diario'!$B$5:$B$489, B2414, '📋 Detalle Diario'!$C$5:$C$489, D2414) * 135 + SUMIFS('📋 Detalle Diario'!$I$5:$I$489, '📋 Detalle Diario'!$B$5:$B$489, B2414, '📋 Detalle Diario'!$C$5:$C$489, D2414) * 200), 0))</f>
        <v/>
      </c>
      <c r="P2414" s="32" t="str">
        <f t="shared" si="264"/>
        <v/>
      </c>
      <c r="Q2414" s="33" t="str">
        <f t="shared" si="265"/>
        <v/>
      </c>
    </row>
    <row r="2415" spans="2:17" ht="18" customHeight="1" x14ac:dyDescent="0.3">
      <c r="B2415" s="26"/>
      <c r="C2415" s="28"/>
      <c r="D2415" s="27"/>
      <c r="E2415" s="29"/>
      <c r="F2415" s="29"/>
      <c r="G2415" s="29"/>
      <c r="H2415" s="30" t="str">
        <f t="shared" si="259"/>
        <v/>
      </c>
      <c r="I2415" s="31" t="str">
        <f>IF(OR(B2415="",C2415=""),"",IFERROR(E2415*IF(E2415="",0,VLOOKUP(C2415,'📦 Precios Proforma'!$B$5:$D$104,IF(D2415="DIA",2,3),FALSE)),0))</f>
        <v/>
      </c>
      <c r="J2415" s="31" t="str">
        <f t="shared" si="260"/>
        <v/>
      </c>
      <c r="K2415" s="31" t="str">
        <f t="shared" si="261"/>
        <v/>
      </c>
      <c r="L2415" s="31" t="str">
        <f>IF(OR(B2415="",C2415=""),"",IFERROR(E2415 / SUMIFS('📅 Resumen Diario'!$D$5:$D$504, '📅 Resumen Diario'!$B$5:$B$504, B2415, '📅 Resumen Diario'!$C$5:$C$504, D2415) * SUMIFS('📅 Resumen Diario'!$K$5:$K$504, '📅 Resumen Diario'!$B$5:$B$504, B2415, '📅 Resumen Diario'!$C$5:$C$504, D2415), 0))</f>
        <v/>
      </c>
      <c r="M2415" s="31" t="str">
        <f t="shared" si="262"/>
        <v/>
      </c>
      <c r="N2415" s="31" t="str">
        <f t="shared" si="263"/>
        <v/>
      </c>
      <c r="O2415" s="31" t="str">
        <f>IF(OR(B2415="",C2415=""),"",K2415-N2415 + IFERROR(E2415 / SUMIFS('📅 Resumen Diario'!$D$5:$D$504, '📅 Resumen Diario'!$B$5:$B$504, B2415, '📅 Resumen Diario'!$C$5:$C$504, D2415) * (SUMIFS('📋 Detalle Diario'!$E$5:$E$489, '📋 Detalle Diario'!$B$5:$B$489, B2415, '📋 Detalle Diario'!$C$5:$C$489, D2415) * 135 + SUMIFS('📋 Detalle Diario'!$I$5:$I$489, '📋 Detalle Diario'!$B$5:$B$489, B2415, '📋 Detalle Diario'!$C$5:$C$489, D2415) * 200), 0))</f>
        <v/>
      </c>
      <c r="P2415" s="32" t="str">
        <f t="shared" si="264"/>
        <v/>
      </c>
      <c r="Q2415" s="33" t="str">
        <f t="shared" si="265"/>
        <v/>
      </c>
    </row>
    <row r="2416" spans="2:17" ht="18" customHeight="1" x14ac:dyDescent="0.3">
      <c r="B2416" s="26"/>
      <c r="C2416" s="17"/>
      <c r="D2416" s="27"/>
      <c r="E2416" s="18"/>
      <c r="F2416" s="18"/>
      <c r="G2416" s="18"/>
      <c r="H2416" s="30" t="str">
        <f t="shared" si="259"/>
        <v/>
      </c>
      <c r="I2416" s="31" t="str">
        <f>IF(OR(B2416="",C2416=""),"",IFERROR(E2416*IF(E2416="",0,VLOOKUP(C2416,'📦 Precios Proforma'!$B$5:$D$104,IF(D2416="DIA",2,3),FALSE)),0))</f>
        <v/>
      </c>
      <c r="J2416" s="31" t="str">
        <f t="shared" si="260"/>
        <v/>
      </c>
      <c r="K2416" s="31" t="str">
        <f t="shared" si="261"/>
        <v/>
      </c>
      <c r="L2416" s="31" t="str">
        <f>IF(OR(B2416="",C2416=""),"",IFERROR(E2416 / SUMIFS('📅 Resumen Diario'!$D$5:$D$504, '📅 Resumen Diario'!$B$5:$B$504, B2416, '📅 Resumen Diario'!$C$5:$C$504, D2416) * SUMIFS('📅 Resumen Diario'!$K$5:$K$504, '📅 Resumen Diario'!$B$5:$B$504, B2416, '📅 Resumen Diario'!$C$5:$C$504, D2416), 0))</f>
        <v/>
      </c>
      <c r="M2416" s="31" t="str">
        <f t="shared" si="262"/>
        <v/>
      </c>
      <c r="N2416" s="31" t="str">
        <f t="shared" si="263"/>
        <v/>
      </c>
      <c r="O2416" s="31" t="str">
        <f>IF(OR(B2416="",C2416=""),"",K2416-N2416 + IFERROR(E2416 / SUMIFS('📅 Resumen Diario'!$D$5:$D$504, '📅 Resumen Diario'!$B$5:$B$504, B2416, '📅 Resumen Diario'!$C$5:$C$504, D2416) * (SUMIFS('📋 Detalle Diario'!$E$5:$E$489, '📋 Detalle Diario'!$B$5:$B$489, B2416, '📋 Detalle Diario'!$C$5:$C$489, D2416) * 135 + SUMIFS('📋 Detalle Diario'!$I$5:$I$489, '📋 Detalle Diario'!$B$5:$B$489, B2416, '📋 Detalle Diario'!$C$5:$C$489, D2416) * 200), 0))</f>
        <v/>
      </c>
      <c r="P2416" s="32" t="str">
        <f t="shared" si="264"/>
        <v/>
      </c>
      <c r="Q2416" s="33" t="str">
        <f t="shared" si="265"/>
        <v/>
      </c>
    </row>
    <row r="2417" spans="2:17" ht="18" customHeight="1" x14ac:dyDescent="0.3">
      <c r="B2417" s="26"/>
      <c r="C2417" s="28"/>
      <c r="D2417" s="27"/>
      <c r="E2417" s="29"/>
      <c r="F2417" s="29"/>
      <c r="G2417" s="29"/>
      <c r="H2417" s="30" t="str">
        <f t="shared" si="259"/>
        <v/>
      </c>
      <c r="I2417" s="31" t="str">
        <f>IF(OR(B2417="",C2417=""),"",IFERROR(E2417*IF(E2417="",0,VLOOKUP(C2417,'📦 Precios Proforma'!$B$5:$D$104,IF(D2417="DIA",2,3),FALSE)),0))</f>
        <v/>
      </c>
      <c r="J2417" s="31" t="str">
        <f t="shared" si="260"/>
        <v/>
      </c>
      <c r="K2417" s="31" t="str">
        <f t="shared" si="261"/>
        <v/>
      </c>
      <c r="L2417" s="31" t="str">
        <f>IF(OR(B2417="",C2417=""),"",IFERROR(E2417 / SUMIFS('📅 Resumen Diario'!$D$5:$D$504, '📅 Resumen Diario'!$B$5:$B$504, B2417, '📅 Resumen Diario'!$C$5:$C$504, D2417) * SUMIFS('📅 Resumen Diario'!$K$5:$K$504, '📅 Resumen Diario'!$B$5:$B$504, B2417, '📅 Resumen Diario'!$C$5:$C$504, D2417), 0))</f>
        <v/>
      </c>
      <c r="M2417" s="31" t="str">
        <f t="shared" si="262"/>
        <v/>
      </c>
      <c r="N2417" s="31" t="str">
        <f t="shared" si="263"/>
        <v/>
      </c>
      <c r="O2417" s="31" t="str">
        <f>IF(OR(B2417="",C2417=""),"",K2417-N2417 + IFERROR(E2417 / SUMIFS('📅 Resumen Diario'!$D$5:$D$504, '📅 Resumen Diario'!$B$5:$B$504, B2417, '📅 Resumen Diario'!$C$5:$C$504, D2417) * (SUMIFS('📋 Detalle Diario'!$E$5:$E$489, '📋 Detalle Diario'!$B$5:$B$489, B2417, '📋 Detalle Diario'!$C$5:$C$489, D2417) * 135 + SUMIFS('📋 Detalle Diario'!$I$5:$I$489, '📋 Detalle Diario'!$B$5:$B$489, B2417, '📋 Detalle Diario'!$C$5:$C$489, D2417) * 200), 0))</f>
        <v/>
      </c>
      <c r="P2417" s="32" t="str">
        <f t="shared" si="264"/>
        <v/>
      </c>
      <c r="Q2417" s="33" t="str">
        <f t="shared" si="265"/>
        <v/>
      </c>
    </row>
    <row r="2418" spans="2:17" ht="18" customHeight="1" x14ac:dyDescent="0.3">
      <c r="B2418" s="26"/>
      <c r="C2418" s="17"/>
      <c r="D2418" s="27"/>
      <c r="E2418" s="18"/>
      <c r="F2418" s="18"/>
      <c r="G2418" s="18"/>
      <c r="H2418" s="30" t="str">
        <f t="shared" si="259"/>
        <v/>
      </c>
      <c r="I2418" s="31" t="str">
        <f>IF(OR(B2418="",C2418=""),"",IFERROR(E2418*IF(E2418="",0,VLOOKUP(C2418,'📦 Precios Proforma'!$B$5:$D$104,IF(D2418="DIA",2,3),FALSE)),0))</f>
        <v/>
      </c>
      <c r="J2418" s="31" t="str">
        <f t="shared" si="260"/>
        <v/>
      </c>
      <c r="K2418" s="31" t="str">
        <f t="shared" si="261"/>
        <v/>
      </c>
      <c r="L2418" s="31" t="str">
        <f>IF(OR(B2418="",C2418=""),"",IFERROR(E2418 / SUMIFS('📅 Resumen Diario'!$D$5:$D$504, '📅 Resumen Diario'!$B$5:$B$504, B2418, '📅 Resumen Diario'!$C$5:$C$504, D2418) * SUMIFS('📅 Resumen Diario'!$K$5:$K$504, '📅 Resumen Diario'!$B$5:$B$504, B2418, '📅 Resumen Diario'!$C$5:$C$504, D2418), 0))</f>
        <v/>
      </c>
      <c r="M2418" s="31" t="str">
        <f t="shared" si="262"/>
        <v/>
      </c>
      <c r="N2418" s="31" t="str">
        <f t="shared" si="263"/>
        <v/>
      </c>
      <c r="O2418" s="31" t="str">
        <f>IF(OR(B2418="",C2418=""),"",K2418-N2418 + IFERROR(E2418 / SUMIFS('📅 Resumen Diario'!$D$5:$D$504, '📅 Resumen Diario'!$B$5:$B$504, B2418, '📅 Resumen Diario'!$C$5:$C$504, D2418) * (SUMIFS('📋 Detalle Diario'!$E$5:$E$489, '📋 Detalle Diario'!$B$5:$B$489, B2418, '📋 Detalle Diario'!$C$5:$C$489, D2418) * 135 + SUMIFS('📋 Detalle Diario'!$I$5:$I$489, '📋 Detalle Diario'!$B$5:$B$489, B2418, '📋 Detalle Diario'!$C$5:$C$489, D2418) * 200), 0))</f>
        <v/>
      </c>
      <c r="P2418" s="32" t="str">
        <f t="shared" si="264"/>
        <v/>
      </c>
      <c r="Q2418" s="33" t="str">
        <f t="shared" si="265"/>
        <v/>
      </c>
    </row>
    <row r="2419" spans="2:17" ht="18" customHeight="1" x14ac:dyDescent="0.3">
      <c r="B2419" s="26"/>
      <c r="C2419" s="28"/>
      <c r="D2419" s="27"/>
      <c r="E2419" s="29"/>
      <c r="F2419" s="29"/>
      <c r="G2419" s="29"/>
      <c r="H2419" s="30" t="str">
        <f t="shared" si="259"/>
        <v/>
      </c>
      <c r="I2419" s="31" t="str">
        <f>IF(OR(B2419="",C2419=""),"",IFERROR(E2419*IF(E2419="",0,VLOOKUP(C2419,'📦 Precios Proforma'!$B$5:$D$104,IF(D2419="DIA",2,3),FALSE)),0))</f>
        <v/>
      </c>
      <c r="J2419" s="31" t="str">
        <f t="shared" si="260"/>
        <v/>
      </c>
      <c r="K2419" s="31" t="str">
        <f t="shared" si="261"/>
        <v/>
      </c>
      <c r="L2419" s="31" t="str">
        <f>IF(OR(B2419="",C2419=""),"",IFERROR(E2419 / SUMIFS('📅 Resumen Diario'!$D$5:$D$504, '📅 Resumen Diario'!$B$5:$B$504, B2419, '📅 Resumen Diario'!$C$5:$C$504, D2419) * SUMIFS('📅 Resumen Diario'!$K$5:$K$504, '📅 Resumen Diario'!$B$5:$B$504, B2419, '📅 Resumen Diario'!$C$5:$C$504, D2419), 0))</f>
        <v/>
      </c>
      <c r="M2419" s="31" t="str">
        <f t="shared" si="262"/>
        <v/>
      </c>
      <c r="N2419" s="31" t="str">
        <f t="shared" si="263"/>
        <v/>
      </c>
      <c r="O2419" s="31" t="str">
        <f>IF(OR(B2419="",C2419=""),"",K2419-N2419 + IFERROR(E2419 / SUMIFS('📅 Resumen Diario'!$D$5:$D$504, '📅 Resumen Diario'!$B$5:$B$504, B2419, '📅 Resumen Diario'!$C$5:$C$504, D2419) * (SUMIFS('📋 Detalle Diario'!$E$5:$E$489, '📋 Detalle Diario'!$B$5:$B$489, B2419, '📋 Detalle Diario'!$C$5:$C$489, D2419) * 135 + SUMIFS('📋 Detalle Diario'!$I$5:$I$489, '📋 Detalle Diario'!$B$5:$B$489, B2419, '📋 Detalle Diario'!$C$5:$C$489, D2419) * 200), 0))</f>
        <v/>
      </c>
      <c r="P2419" s="32" t="str">
        <f t="shared" si="264"/>
        <v/>
      </c>
      <c r="Q2419" s="33" t="str">
        <f t="shared" si="265"/>
        <v/>
      </c>
    </row>
    <row r="2420" spans="2:17" ht="18" customHeight="1" x14ac:dyDescent="0.3">
      <c r="B2420" s="26"/>
      <c r="C2420" s="17"/>
      <c r="D2420" s="27"/>
      <c r="E2420" s="18"/>
      <c r="F2420" s="18"/>
      <c r="G2420" s="18"/>
      <c r="H2420" s="30" t="str">
        <f t="shared" si="259"/>
        <v/>
      </c>
      <c r="I2420" s="31" t="str">
        <f>IF(OR(B2420="",C2420=""),"",IFERROR(E2420*IF(E2420="",0,VLOOKUP(C2420,'📦 Precios Proforma'!$B$5:$D$104,IF(D2420="DIA",2,3),FALSE)),0))</f>
        <v/>
      </c>
      <c r="J2420" s="31" t="str">
        <f t="shared" si="260"/>
        <v/>
      </c>
      <c r="K2420" s="31" t="str">
        <f t="shared" si="261"/>
        <v/>
      </c>
      <c r="L2420" s="31" t="str">
        <f>IF(OR(B2420="",C2420=""),"",IFERROR(E2420 / SUMIFS('📅 Resumen Diario'!$D$5:$D$504, '📅 Resumen Diario'!$B$5:$B$504, B2420, '📅 Resumen Diario'!$C$5:$C$504, D2420) * SUMIFS('📅 Resumen Diario'!$K$5:$K$504, '📅 Resumen Diario'!$B$5:$B$504, B2420, '📅 Resumen Diario'!$C$5:$C$504, D2420), 0))</f>
        <v/>
      </c>
      <c r="M2420" s="31" t="str">
        <f t="shared" si="262"/>
        <v/>
      </c>
      <c r="N2420" s="31" t="str">
        <f t="shared" si="263"/>
        <v/>
      </c>
      <c r="O2420" s="31" t="str">
        <f>IF(OR(B2420="",C2420=""),"",K2420-N2420 + IFERROR(E2420 / SUMIFS('📅 Resumen Diario'!$D$5:$D$504, '📅 Resumen Diario'!$B$5:$B$504, B2420, '📅 Resumen Diario'!$C$5:$C$504, D2420) * (SUMIFS('📋 Detalle Diario'!$E$5:$E$489, '📋 Detalle Diario'!$B$5:$B$489, B2420, '📋 Detalle Diario'!$C$5:$C$489, D2420) * 135 + SUMIFS('📋 Detalle Diario'!$I$5:$I$489, '📋 Detalle Diario'!$B$5:$B$489, B2420, '📋 Detalle Diario'!$C$5:$C$489, D2420) * 200), 0))</f>
        <v/>
      </c>
      <c r="P2420" s="32" t="str">
        <f t="shared" si="264"/>
        <v/>
      </c>
      <c r="Q2420" s="33" t="str">
        <f t="shared" si="265"/>
        <v/>
      </c>
    </row>
    <row r="2421" spans="2:17" ht="18" customHeight="1" x14ac:dyDescent="0.3">
      <c r="B2421" s="26"/>
      <c r="C2421" s="28"/>
      <c r="D2421" s="27"/>
      <c r="E2421" s="29"/>
      <c r="F2421" s="29"/>
      <c r="G2421" s="29"/>
      <c r="H2421" s="30" t="str">
        <f t="shared" si="259"/>
        <v/>
      </c>
      <c r="I2421" s="31" t="str">
        <f>IF(OR(B2421="",C2421=""),"",IFERROR(E2421*IF(E2421="",0,VLOOKUP(C2421,'📦 Precios Proforma'!$B$5:$D$104,IF(D2421="DIA",2,3),FALSE)),0))</f>
        <v/>
      </c>
      <c r="J2421" s="31" t="str">
        <f t="shared" si="260"/>
        <v/>
      </c>
      <c r="K2421" s="31" t="str">
        <f t="shared" si="261"/>
        <v/>
      </c>
      <c r="L2421" s="31" t="str">
        <f>IF(OR(B2421="",C2421=""),"",IFERROR(E2421 / SUMIFS('📅 Resumen Diario'!$D$5:$D$504, '📅 Resumen Diario'!$B$5:$B$504, B2421, '📅 Resumen Diario'!$C$5:$C$504, D2421) * SUMIFS('📅 Resumen Diario'!$K$5:$K$504, '📅 Resumen Diario'!$B$5:$B$504, B2421, '📅 Resumen Diario'!$C$5:$C$504, D2421), 0))</f>
        <v/>
      </c>
      <c r="M2421" s="31" t="str">
        <f t="shared" si="262"/>
        <v/>
      </c>
      <c r="N2421" s="31" t="str">
        <f t="shared" si="263"/>
        <v/>
      </c>
      <c r="O2421" s="31" t="str">
        <f>IF(OR(B2421="",C2421=""),"",K2421-N2421 + IFERROR(E2421 / SUMIFS('📅 Resumen Diario'!$D$5:$D$504, '📅 Resumen Diario'!$B$5:$B$504, B2421, '📅 Resumen Diario'!$C$5:$C$504, D2421) * (SUMIFS('📋 Detalle Diario'!$E$5:$E$489, '📋 Detalle Diario'!$B$5:$B$489, B2421, '📋 Detalle Diario'!$C$5:$C$489, D2421) * 135 + SUMIFS('📋 Detalle Diario'!$I$5:$I$489, '📋 Detalle Diario'!$B$5:$B$489, B2421, '📋 Detalle Diario'!$C$5:$C$489, D2421) * 200), 0))</f>
        <v/>
      </c>
      <c r="P2421" s="32" t="str">
        <f t="shared" si="264"/>
        <v/>
      </c>
      <c r="Q2421" s="33" t="str">
        <f t="shared" si="265"/>
        <v/>
      </c>
    </row>
    <row r="2422" spans="2:17" ht="18" customHeight="1" x14ac:dyDescent="0.3">
      <c r="B2422" s="26"/>
      <c r="C2422" s="17"/>
      <c r="D2422" s="27"/>
      <c r="E2422" s="18"/>
      <c r="F2422" s="18"/>
      <c r="G2422" s="18"/>
      <c r="H2422" s="30" t="str">
        <f t="shared" si="259"/>
        <v/>
      </c>
      <c r="I2422" s="31" t="str">
        <f>IF(OR(B2422="",C2422=""),"",IFERROR(E2422*IF(E2422="",0,VLOOKUP(C2422,'📦 Precios Proforma'!$B$5:$D$104,IF(D2422="DIA",2,3),FALSE)),0))</f>
        <v/>
      </c>
      <c r="J2422" s="31" t="str">
        <f t="shared" si="260"/>
        <v/>
      </c>
      <c r="K2422" s="31" t="str">
        <f t="shared" si="261"/>
        <v/>
      </c>
      <c r="L2422" s="31" t="str">
        <f>IF(OR(B2422="",C2422=""),"",IFERROR(E2422 / SUMIFS('📅 Resumen Diario'!$D$5:$D$504, '📅 Resumen Diario'!$B$5:$B$504, B2422, '📅 Resumen Diario'!$C$5:$C$504, D2422) * SUMIFS('📅 Resumen Diario'!$K$5:$K$504, '📅 Resumen Diario'!$B$5:$B$504, B2422, '📅 Resumen Diario'!$C$5:$C$504, D2422), 0))</f>
        <v/>
      </c>
      <c r="M2422" s="31" t="str">
        <f t="shared" si="262"/>
        <v/>
      </c>
      <c r="N2422" s="31" t="str">
        <f t="shared" si="263"/>
        <v/>
      </c>
      <c r="O2422" s="31" t="str">
        <f>IF(OR(B2422="",C2422=""),"",K2422-N2422 + IFERROR(E2422 / SUMIFS('📅 Resumen Diario'!$D$5:$D$504, '📅 Resumen Diario'!$B$5:$B$504, B2422, '📅 Resumen Diario'!$C$5:$C$504, D2422) * (SUMIFS('📋 Detalle Diario'!$E$5:$E$489, '📋 Detalle Diario'!$B$5:$B$489, B2422, '📋 Detalle Diario'!$C$5:$C$489, D2422) * 135 + SUMIFS('📋 Detalle Diario'!$I$5:$I$489, '📋 Detalle Diario'!$B$5:$B$489, B2422, '📋 Detalle Diario'!$C$5:$C$489, D2422) * 200), 0))</f>
        <v/>
      </c>
      <c r="P2422" s="32" t="str">
        <f t="shared" si="264"/>
        <v/>
      </c>
      <c r="Q2422" s="33" t="str">
        <f t="shared" si="265"/>
        <v/>
      </c>
    </row>
    <row r="2423" spans="2:17" ht="18" customHeight="1" x14ac:dyDescent="0.3">
      <c r="B2423" s="26"/>
      <c r="C2423" s="28"/>
      <c r="D2423" s="27"/>
      <c r="E2423" s="29"/>
      <c r="F2423" s="29"/>
      <c r="G2423" s="29"/>
      <c r="H2423" s="30" t="str">
        <f t="shared" si="259"/>
        <v/>
      </c>
      <c r="I2423" s="31" t="str">
        <f>IF(OR(B2423="",C2423=""),"",IFERROR(E2423*IF(E2423="",0,VLOOKUP(C2423,'📦 Precios Proforma'!$B$5:$D$104,IF(D2423="DIA",2,3),FALSE)),0))</f>
        <v/>
      </c>
      <c r="J2423" s="31" t="str">
        <f t="shared" si="260"/>
        <v/>
      </c>
      <c r="K2423" s="31" t="str">
        <f t="shared" si="261"/>
        <v/>
      </c>
      <c r="L2423" s="31" t="str">
        <f>IF(OR(B2423="",C2423=""),"",IFERROR(E2423 / SUMIFS('📅 Resumen Diario'!$D$5:$D$504, '📅 Resumen Diario'!$B$5:$B$504, B2423, '📅 Resumen Diario'!$C$5:$C$504, D2423) * SUMIFS('📅 Resumen Diario'!$K$5:$K$504, '📅 Resumen Diario'!$B$5:$B$504, B2423, '📅 Resumen Diario'!$C$5:$C$504, D2423), 0))</f>
        <v/>
      </c>
      <c r="M2423" s="31" t="str">
        <f t="shared" si="262"/>
        <v/>
      </c>
      <c r="N2423" s="31" t="str">
        <f t="shared" si="263"/>
        <v/>
      </c>
      <c r="O2423" s="31" t="str">
        <f>IF(OR(B2423="",C2423=""),"",K2423-N2423 + IFERROR(E2423 / SUMIFS('📅 Resumen Diario'!$D$5:$D$504, '📅 Resumen Diario'!$B$5:$B$504, B2423, '📅 Resumen Diario'!$C$5:$C$504, D2423) * (SUMIFS('📋 Detalle Diario'!$E$5:$E$489, '📋 Detalle Diario'!$B$5:$B$489, B2423, '📋 Detalle Diario'!$C$5:$C$489, D2423) * 135 + SUMIFS('📋 Detalle Diario'!$I$5:$I$489, '📋 Detalle Diario'!$B$5:$B$489, B2423, '📋 Detalle Diario'!$C$5:$C$489, D2423) * 200), 0))</f>
        <v/>
      </c>
      <c r="P2423" s="32" t="str">
        <f t="shared" si="264"/>
        <v/>
      </c>
      <c r="Q2423" s="33" t="str">
        <f t="shared" si="265"/>
        <v/>
      </c>
    </row>
    <row r="2424" spans="2:17" ht="18" customHeight="1" x14ac:dyDescent="0.3">
      <c r="B2424" s="26"/>
      <c r="C2424" s="17"/>
      <c r="D2424" s="27"/>
      <c r="E2424" s="18"/>
      <c r="F2424" s="18"/>
      <c r="G2424" s="18"/>
      <c r="H2424" s="30" t="str">
        <f t="shared" si="259"/>
        <v/>
      </c>
      <c r="I2424" s="31" t="str">
        <f>IF(OR(B2424="",C2424=""),"",IFERROR(E2424*IF(E2424="",0,VLOOKUP(C2424,'📦 Precios Proforma'!$B$5:$D$104,IF(D2424="DIA",2,3),FALSE)),0))</f>
        <v/>
      </c>
      <c r="J2424" s="31" t="str">
        <f t="shared" si="260"/>
        <v/>
      </c>
      <c r="K2424" s="31" t="str">
        <f t="shared" si="261"/>
        <v/>
      </c>
      <c r="L2424" s="31" t="str">
        <f>IF(OR(B2424="",C2424=""),"",IFERROR(E2424 / SUMIFS('📅 Resumen Diario'!$D$5:$D$504, '📅 Resumen Diario'!$B$5:$B$504, B2424, '📅 Resumen Diario'!$C$5:$C$504, D2424) * SUMIFS('📅 Resumen Diario'!$K$5:$K$504, '📅 Resumen Diario'!$B$5:$B$504, B2424, '📅 Resumen Diario'!$C$5:$C$504, D2424), 0))</f>
        <v/>
      </c>
      <c r="M2424" s="31" t="str">
        <f t="shared" si="262"/>
        <v/>
      </c>
      <c r="N2424" s="31" t="str">
        <f t="shared" si="263"/>
        <v/>
      </c>
      <c r="O2424" s="31" t="str">
        <f>IF(OR(B2424="",C2424=""),"",K2424-N2424 + IFERROR(E2424 / SUMIFS('📅 Resumen Diario'!$D$5:$D$504, '📅 Resumen Diario'!$B$5:$B$504, B2424, '📅 Resumen Diario'!$C$5:$C$504, D2424) * (SUMIFS('📋 Detalle Diario'!$E$5:$E$489, '📋 Detalle Diario'!$B$5:$B$489, B2424, '📋 Detalle Diario'!$C$5:$C$489, D2424) * 135 + SUMIFS('📋 Detalle Diario'!$I$5:$I$489, '📋 Detalle Diario'!$B$5:$B$489, B2424, '📋 Detalle Diario'!$C$5:$C$489, D2424) * 200), 0))</f>
        <v/>
      </c>
      <c r="P2424" s="32" t="str">
        <f t="shared" si="264"/>
        <v/>
      </c>
      <c r="Q2424" s="33" t="str">
        <f t="shared" si="265"/>
        <v/>
      </c>
    </row>
    <row r="2425" spans="2:17" ht="18" customHeight="1" x14ac:dyDescent="0.3">
      <c r="B2425" s="26"/>
      <c r="C2425" s="28"/>
      <c r="D2425" s="27"/>
      <c r="E2425" s="29"/>
      <c r="F2425" s="29"/>
      <c r="G2425" s="29"/>
      <c r="H2425" s="30" t="str">
        <f t="shared" si="259"/>
        <v/>
      </c>
      <c r="I2425" s="31" t="str">
        <f>IF(OR(B2425="",C2425=""),"",IFERROR(E2425*IF(E2425="",0,VLOOKUP(C2425,'📦 Precios Proforma'!$B$5:$D$104,IF(D2425="DIA",2,3),FALSE)),0))</f>
        <v/>
      </c>
      <c r="J2425" s="31" t="str">
        <f t="shared" si="260"/>
        <v/>
      </c>
      <c r="K2425" s="31" t="str">
        <f t="shared" si="261"/>
        <v/>
      </c>
      <c r="L2425" s="31" t="str">
        <f>IF(OR(B2425="",C2425=""),"",IFERROR(E2425 / SUMIFS('📅 Resumen Diario'!$D$5:$D$504, '📅 Resumen Diario'!$B$5:$B$504, B2425, '📅 Resumen Diario'!$C$5:$C$504, D2425) * SUMIFS('📅 Resumen Diario'!$K$5:$K$504, '📅 Resumen Diario'!$B$5:$B$504, B2425, '📅 Resumen Diario'!$C$5:$C$504, D2425), 0))</f>
        <v/>
      </c>
      <c r="M2425" s="31" t="str">
        <f t="shared" si="262"/>
        <v/>
      </c>
      <c r="N2425" s="31" t="str">
        <f t="shared" si="263"/>
        <v/>
      </c>
      <c r="O2425" s="31" t="str">
        <f>IF(OR(B2425="",C2425=""),"",K2425-N2425 + IFERROR(E2425 / SUMIFS('📅 Resumen Diario'!$D$5:$D$504, '📅 Resumen Diario'!$B$5:$B$504, B2425, '📅 Resumen Diario'!$C$5:$C$504, D2425) * (SUMIFS('📋 Detalle Diario'!$E$5:$E$489, '📋 Detalle Diario'!$B$5:$B$489, B2425, '📋 Detalle Diario'!$C$5:$C$489, D2425) * 135 + SUMIFS('📋 Detalle Diario'!$I$5:$I$489, '📋 Detalle Diario'!$B$5:$B$489, B2425, '📋 Detalle Diario'!$C$5:$C$489, D2425) * 200), 0))</f>
        <v/>
      </c>
      <c r="P2425" s="32" t="str">
        <f t="shared" si="264"/>
        <v/>
      </c>
      <c r="Q2425" s="33" t="str">
        <f t="shared" si="265"/>
        <v/>
      </c>
    </row>
    <row r="2426" spans="2:17" ht="18" customHeight="1" x14ac:dyDescent="0.3">
      <c r="B2426" s="26"/>
      <c r="C2426" s="17"/>
      <c r="D2426" s="27"/>
      <c r="E2426" s="18"/>
      <c r="F2426" s="18"/>
      <c r="G2426" s="18"/>
      <c r="H2426" s="30" t="str">
        <f t="shared" si="259"/>
        <v/>
      </c>
      <c r="I2426" s="31" t="str">
        <f>IF(OR(B2426="",C2426=""),"",IFERROR(E2426*IF(E2426="",0,VLOOKUP(C2426,'📦 Precios Proforma'!$B$5:$D$104,IF(D2426="DIA",2,3),FALSE)),0))</f>
        <v/>
      </c>
      <c r="J2426" s="31" t="str">
        <f t="shared" si="260"/>
        <v/>
      </c>
      <c r="K2426" s="31" t="str">
        <f t="shared" si="261"/>
        <v/>
      </c>
      <c r="L2426" s="31" t="str">
        <f>IF(OR(B2426="",C2426=""),"",IFERROR(E2426 / SUMIFS('📅 Resumen Diario'!$D$5:$D$504, '📅 Resumen Diario'!$B$5:$B$504, B2426, '📅 Resumen Diario'!$C$5:$C$504, D2426) * SUMIFS('📅 Resumen Diario'!$K$5:$K$504, '📅 Resumen Diario'!$B$5:$B$504, B2426, '📅 Resumen Diario'!$C$5:$C$504, D2426), 0))</f>
        <v/>
      </c>
      <c r="M2426" s="31" t="str">
        <f t="shared" si="262"/>
        <v/>
      </c>
      <c r="N2426" s="31" t="str">
        <f t="shared" si="263"/>
        <v/>
      </c>
      <c r="O2426" s="31" t="str">
        <f>IF(OR(B2426="",C2426=""),"",K2426-N2426 + IFERROR(E2426 / SUMIFS('📅 Resumen Diario'!$D$5:$D$504, '📅 Resumen Diario'!$B$5:$B$504, B2426, '📅 Resumen Diario'!$C$5:$C$504, D2426) * (SUMIFS('📋 Detalle Diario'!$E$5:$E$489, '📋 Detalle Diario'!$B$5:$B$489, B2426, '📋 Detalle Diario'!$C$5:$C$489, D2426) * 135 + SUMIFS('📋 Detalle Diario'!$I$5:$I$489, '📋 Detalle Diario'!$B$5:$B$489, B2426, '📋 Detalle Diario'!$C$5:$C$489, D2426) * 200), 0))</f>
        <v/>
      </c>
      <c r="P2426" s="32" t="str">
        <f t="shared" si="264"/>
        <v/>
      </c>
      <c r="Q2426" s="33" t="str">
        <f t="shared" si="265"/>
        <v/>
      </c>
    </row>
    <row r="2427" spans="2:17" ht="18" customHeight="1" x14ac:dyDescent="0.3">
      <c r="B2427" s="26"/>
      <c r="C2427" s="28"/>
      <c r="D2427" s="27"/>
      <c r="E2427" s="29"/>
      <c r="F2427" s="29"/>
      <c r="G2427" s="29"/>
      <c r="H2427" s="30" t="str">
        <f t="shared" si="259"/>
        <v/>
      </c>
      <c r="I2427" s="31" t="str">
        <f>IF(OR(B2427="",C2427=""),"",IFERROR(E2427*IF(E2427="",0,VLOOKUP(C2427,'📦 Precios Proforma'!$B$5:$D$104,IF(D2427="DIA",2,3),FALSE)),0))</f>
        <v/>
      </c>
      <c r="J2427" s="31" t="str">
        <f t="shared" si="260"/>
        <v/>
      </c>
      <c r="K2427" s="31" t="str">
        <f t="shared" si="261"/>
        <v/>
      </c>
      <c r="L2427" s="31" t="str">
        <f>IF(OR(B2427="",C2427=""),"",IFERROR(E2427 / SUMIFS('📅 Resumen Diario'!$D$5:$D$504, '📅 Resumen Diario'!$B$5:$B$504, B2427, '📅 Resumen Diario'!$C$5:$C$504, D2427) * SUMIFS('📅 Resumen Diario'!$K$5:$K$504, '📅 Resumen Diario'!$B$5:$B$504, B2427, '📅 Resumen Diario'!$C$5:$C$504, D2427), 0))</f>
        <v/>
      </c>
      <c r="M2427" s="31" t="str">
        <f t="shared" si="262"/>
        <v/>
      </c>
      <c r="N2427" s="31" t="str">
        <f t="shared" si="263"/>
        <v/>
      </c>
      <c r="O2427" s="31" t="str">
        <f>IF(OR(B2427="",C2427=""),"",K2427-N2427 + IFERROR(E2427 / SUMIFS('📅 Resumen Diario'!$D$5:$D$504, '📅 Resumen Diario'!$B$5:$B$504, B2427, '📅 Resumen Diario'!$C$5:$C$504, D2427) * (SUMIFS('📋 Detalle Diario'!$E$5:$E$489, '📋 Detalle Diario'!$B$5:$B$489, B2427, '📋 Detalle Diario'!$C$5:$C$489, D2427) * 135 + SUMIFS('📋 Detalle Diario'!$I$5:$I$489, '📋 Detalle Diario'!$B$5:$B$489, B2427, '📋 Detalle Diario'!$C$5:$C$489, D2427) * 200), 0))</f>
        <v/>
      </c>
      <c r="P2427" s="32" t="str">
        <f t="shared" si="264"/>
        <v/>
      </c>
      <c r="Q2427" s="33" t="str">
        <f t="shared" si="265"/>
        <v/>
      </c>
    </row>
    <row r="2428" spans="2:17" ht="18" customHeight="1" x14ac:dyDescent="0.3">
      <c r="B2428" s="26"/>
      <c r="C2428" s="17"/>
      <c r="D2428" s="27"/>
      <c r="E2428" s="18"/>
      <c r="F2428" s="18"/>
      <c r="G2428" s="18"/>
      <c r="H2428" s="30" t="str">
        <f t="shared" si="259"/>
        <v/>
      </c>
      <c r="I2428" s="31" t="str">
        <f>IF(OR(B2428="",C2428=""),"",IFERROR(E2428*IF(E2428="",0,VLOOKUP(C2428,'📦 Precios Proforma'!$B$5:$D$104,IF(D2428="DIA",2,3),FALSE)),0))</f>
        <v/>
      </c>
      <c r="J2428" s="31" t="str">
        <f t="shared" si="260"/>
        <v/>
      </c>
      <c r="K2428" s="31" t="str">
        <f t="shared" si="261"/>
        <v/>
      </c>
      <c r="L2428" s="31" t="str">
        <f>IF(OR(B2428="",C2428=""),"",IFERROR(E2428 / SUMIFS('📅 Resumen Diario'!$D$5:$D$504, '📅 Resumen Diario'!$B$5:$B$504, B2428, '📅 Resumen Diario'!$C$5:$C$504, D2428) * SUMIFS('📅 Resumen Diario'!$K$5:$K$504, '📅 Resumen Diario'!$B$5:$B$504, B2428, '📅 Resumen Diario'!$C$5:$C$504, D2428), 0))</f>
        <v/>
      </c>
      <c r="M2428" s="31" t="str">
        <f t="shared" si="262"/>
        <v/>
      </c>
      <c r="N2428" s="31" t="str">
        <f t="shared" si="263"/>
        <v/>
      </c>
      <c r="O2428" s="31" t="str">
        <f>IF(OR(B2428="",C2428=""),"",K2428-N2428 + IFERROR(E2428 / SUMIFS('📅 Resumen Diario'!$D$5:$D$504, '📅 Resumen Diario'!$B$5:$B$504, B2428, '📅 Resumen Diario'!$C$5:$C$504, D2428) * (SUMIFS('📋 Detalle Diario'!$E$5:$E$489, '📋 Detalle Diario'!$B$5:$B$489, B2428, '📋 Detalle Diario'!$C$5:$C$489, D2428) * 135 + SUMIFS('📋 Detalle Diario'!$I$5:$I$489, '📋 Detalle Diario'!$B$5:$B$489, B2428, '📋 Detalle Diario'!$C$5:$C$489, D2428) * 200), 0))</f>
        <v/>
      </c>
      <c r="P2428" s="32" t="str">
        <f t="shared" si="264"/>
        <v/>
      </c>
      <c r="Q2428" s="33" t="str">
        <f t="shared" si="265"/>
        <v/>
      </c>
    </row>
    <row r="2429" spans="2:17" ht="18" customHeight="1" x14ac:dyDescent="0.3">
      <c r="B2429" s="26"/>
      <c r="C2429" s="28"/>
      <c r="D2429" s="27"/>
      <c r="E2429" s="29"/>
      <c r="F2429" s="29"/>
      <c r="G2429" s="29"/>
      <c r="H2429" s="30" t="str">
        <f t="shared" si="259"/>
        <v/>
      </c>
      <c r="I2429" s="31" t="str">
        <f>IF(OR(B2429="",C2429=""),"",IFERROR(E2429*IF(E2429="",0,VLOOKUP(C2429,'📦 Precios Proforma'!$B$5:$D$104,IF(D2429="DIA",2,3),FALSE)),0))</f>
        <v/>
      </c>
      <c r="J2429" s="31" t="str">
        <f t="shared" si="260"/>
        <v/>
      </c>
      <c r="K2429" s="31" t="str">
        <f t="shared" si="261"/>
        <v/>
      </c>
      <c r="L2429" s="31" t="str">
        <f>IF(OR(B2429="",C2429=""),"",IFERROR(E2429 / SUMIFS('📅 Resumen Diario'!$D$5:$D$504, '📅 Resumen Diario'!$B$5:$B$504, B2429, '📅 Resumen Diario'!$C$5:$C$504, D2429) * SUMIFS('📅 Resumen Diario'!$K$5:$K$504, '📅 Resumen Diario'!$B$5:$B$504, B2429, '📅 Resumen Diario'!$C$5:$C$504, D2429), 0))</f>
        <v/>
      </c>
      <c r="M2429" s="31" t="str">
        <f t="shared" si="262"/>
        <v/>
      </c>
      <c r="N2429" s="31" t="str">
        <f t="shared" si="263"/>
        <v/>
      </c>
      <c r="O2429" s="31" t="str">
        <f>IF(OR(B2429="",C2429=""),"",K2429-N2429 + IFERROR(E2429 / SUMIFS('📅 Resumen Diario'!$D$5:$D$504, '📅 Resumen Diario'!$B$5:$B$504, B2429, '📅 Resumen Diario'!$C$5:$C$504, D2429) * (SUMIFS('📋 Detalle Diario'!$E$5:$E$489, '📋 Detalle Diario'!$B$5:$B$489, B2429, '📋 Detalle Diario'!$C$5:$C$489, D2429) * 135 + SUMIFS('📋 Detalle Diario'!$I$5:$I$489, '📋 Detalle Diario'!$B$5:$B$489, B2429, '📋 Detalle Diario'!$C$5:$C$489, D2429) * 200), 0))</f>
        <v/>
      </c>
      <c r="P2429" s="32" t="str">
        <f t="shared" si="264"/>
        <v/>
      </c>
      <c r="Q2429" s="33" t="str">
        <f t="shared" si="265"/>
        <v/>
      </c>
    </row>
    <row r="2430" spans="2:17" ht="18" customHeight="1" x14ac:dyDescent="0.3">
      <c r="B2430" s="26"/>
      <c r="C2430" s="17"/>
      <c r="D2430" s="27"/>
      <c r="E2430" s="18"/>
      <c r="F2430" s="18"/>
      <c r="G2430" s="18"/>
      <c r="H2430" s="30" t="str">
        <f t="shared" si="259"/>
        <v/>
      </c>
      <c r="I2430" s="31" t="str">
        <f>IF(OR(B2430="",C2430=""),"",IFERROR(E2430*IF(E2430="",0,VLOOKUP(C2430,'📦 Precios Proforma'!$B$5:$D$104,IF(D2430="DIA",2,3),FALSE)),0))</f>
        <v/>
      </c>
      <c r="J2430" s="31" t="str">
        <f t="shared" si="260"/>
        <v/>
      </c>
      <c r="K2430" s="31" t="str">
        <f t="shared" si="261"/>
        <v/>
      </c>
      <c r="L2430" s="31" t="str">
        <f>IF(OR(B2430="",C2430=""),"",IFERROR(E2430 / SUMIFS('📅 Resumen Diario'!$D$5:$D$504, '📅 Resumen Diario'!$B$5:$B$504, B2430, '📅 Resumen Diario'!$C$5:$C$504, D2430) * SUMIFS('📅 Resumen Diario'!$K$5:$K$504, '📅 Resumen Diario'!$B$5:$B$504, B2430, '📅 Resumen Diario'!$C$5:$C$504, D2430), 0))</f>
        <v/>
      </c>
      <c r="M2430" s="31" t="str">
        <f t="shared" si="262"/>
        <v/>
      </c>
      <c r="N2430" s="31" t="str">
        <f t="shared" si="263"/>
        <v/>
      </c>
      <c r="O2430" s="31" t="str">
        <f>IF(OR(B2430="",C2430=""),"",K2430-N2430 + IFERROR(E2430 / SUMIFS('📅 Resumen Diario'!$D$5:$D$504, '📅 Resumen Diario'!$B$5:$B$504, B2430, '📅 Resumen Diario'!$C$5:$C$504, D2430) * (SUMIFS('📋 Detalle Diario'!$E$5:$E$489, '📋 Detalle Diario'!$B$5:$B$489, B2430, '📋 Detalle Diario'!$C$5:$C$489, D2430) * 135 + SUMIFS('📋 Detalle Diario'!$I$5:$I$489, '📋 Detalle Diario'!$B$5:$B$489, B2430, '📋 Detalle Diario'!$C$5:$C$489, D2430) * 200), 0))</f>
        <v/>
      </c>
      <c r="P2430" s="32" t="str">
        <f t="shared" si="264"/>
        <v/>
      </c>
      <c r="Q2430" s="33" t="str">
        <f t="shared" si="265"/>
        <v/>
      </c>
    </row>
    <row r="2431" spans="2:17" ht="18" customHeight="1" x14ac:dyDescent="0.3">
      <c r="B2431" s="26"/>
      <c r="C2431" s="28"/>
      <c r="D2431" s="27"/>
      <c r="E2431" s="29"/>
      <c r="F2431" s="29"/>
      <c r="G2431" s="29"/>
      <c r="H2431" s="30" t="str">
        <f t="shared" si="259"/>
        <v/>
      </c>
      <c r="I2431" s="31" t="str">
        <f>IF(OR(B2431="",C2431=""),"",IFERROR(E2431*IF(E2431="",0,VLOOKUP(C2431,'📦 Precios Proforma'!$B$5:$D$104,IF(D2431="DIA",2,3),FALSE)),0))</f>
        <v/>
      </c>
      <c r="J2431" s="31" t="str">
        <f t="shared" si="260"/>
        <v/>
      </c>
      <c r="K2431" s="31" t="str">
        <f t="shared" si="261"/>
        <v/>
      </c>
      <c r="L2431" s="31" t="str">
        <f>IF(OR(B2431="",C2431=""),"",IFERROR(E2431 / SUMIFS('📅 Resumen Diario'!$D$5:$D$504, '📅 Resumen Diario'!$B$5:$B$504, B2431, '📅 Resumen Diario'!$C$5:$C$504, D2431) * SUMIFS('📅 Resumen Diario'!$K$5:$K$504, '📅 Resumen Diario'!$B$5:$B$504, B2431, '📅 Resumen Diario'!$C$5:$C$504, D2431), 0))</f>
        <v/>
      </c>
      <c r="M2431" s="31" t="str">
        <f t="shared" si="262"/>
        <v/>
      </c>
      <c r="N2431" s="31" t="str">
        <f t="shared" si="263"/>
        <v/>
      </c>
      <c r="O2431" s="31" t="str">
        <f>IF(OR(B2431="",C2431=""),"",K2431-N2431 + IFERROR(E2431 / SUMIFS('📅 Resumen Diario'!$D$5:$D$504, '📅 Resumen Diario'!$B$5:$B$504, B2431, '📅 Resumen Diario'!$C$5:$C$504, D2431) * (SUMIFS('📋 Detalle Diario'!$E$5:$E$489, '📋 Detalle Diario'!$B$5:$B$489, B2431, '📋 Detalle Diario'!$C$5:$C$489, D2431) * 135 + SUMIFS('📋 Detalle Diario'!$I$5:$I$489, '📋 Detalle Diario'!$B$5:$B$489, B2431, '📋 Detalle Diario'!$C$5:$C$489, D2431) * 200), 0))</f>
        <v/>
      </c>
      <c r="P2431" s="32" t="str">
        <f t="shared" si="264"/>
        <v/>
      </c>
      <c r="Q2431" s="33" t="str">
        <f t="shared" si="265"/>
        <v/>
      </c>
    </row>
    <row r="2432" spans="2:17" ht="18" customHeight="1" x14ac:dyDescent="0.3">
      <c r="B2432" s="26"/>
      <c r="C2432" s="17"/>
      <c r="D2432" s="27"/>
      <c r="E2432" s="18"/>
      <c r="F2432" s="18"/>
      <c r="G2432" s="18"/>
      <c r="H2432" s="30" t="str">
        <f t="shared" si="259"/>
        <v/>
      </c>
      <c r="I2432" s="31" t="str">
        <f>IF(OR(B2432="",C2432=""),"",IFERROR(E2432*IF(E2432="",0,VLOOKUP(C2432,'📦 Precios Proforma'!$B$5:$D$104,IF(D2432="DIA",2,3),FALSE)),0))</f>
        <v/>
      </c>
      <c r="J2432" s="31" t="str">
        <f t="shared" si="260"/>
        <v/>
      </c>
      <c r="K2432" s="31" t="str">
        <f t="shared" si="261"/>
        <v/>
      </c>
      <c r="L2432" s="31" t="str">
        <f>IF(OR(B2432="",C2432=""),"",IFERROR(E2432 / SUMIFS('📅 Resumen Diario'!$D$5:$D$504, '📅 Resumen Diario'!$B$5:$B$504, B2432, '📅 Resumen Diario'!$C$5:$C$504, D2432) * SUMIFS('📅 Resumen Diario'!$K$5:$K$504, '📅 Resumen Diario'!$B$5:$B$504, B2432, '📅 Resumen Diario'!$C$5:$C$504, D2432), 0))</f>
        <v/>
      </c>
      <c r="M2432" s="31" t="str">
        <f t="shared" si="262"/>
        <v/>
      </c>
      <c r="N2432" s="31" t="str">
        <f t="shared" si="263"/>
        <v/>
      </c>
      <c r="O2432" s="31" t="str">
        <f>IF(OR(B2432="",C2432=""),"",K2432-N2432 + IFERROR(E2432 / SUMIFS('📅 Resumen Diario'!$D$5:$D$504, '📅 Resumen Diario'!$B$5:$B$504, B2432, '📅 Resumen Diario'!$C$5:$C$504, D2432) * (SUMIFS('📋 Detalle Diario'!$E$5:$E$489, '📋 Detalle Diario'!$B$5:$B$489, B2432, '📋 Detalle Diario'!$C$5:$C$489, D2432) * 135 + SUMIFS('📋 Detalle Diario'!$I$5:$I$489, '📋 Detalle Diario'!$B$5:$B$489, B2432, '📋 Detalle Diario'!$C$5:$C$489, D2432) * 200), 0))</f>
        <v/>
      </c>
      <c r="P2432" s="32" t="str">
        <f t="shared" si="264"/>
        <v/>
      </c>
      <c r="Q2432" s="33" t="str">
        <f t="shared" si="265"/>
        <v/>
      </c>
    </row>
    <row r="2433" spans="2:17" ht="18" customHeight="1" x14ac:dyDescent="0.3">
      <c r="B2433" s="26"/>
      <c r="C2433" s="28"/>
      <c r="D2433" s="27"/>
      <c r="E2433" s="29"/>
      <c r="F2433" s="29"/>
      <c r="G2433" s="29"/>
      <c r="H2433" s="30" t="str">
        <f t="shared" si="259"/>
        <v/>
      </c>
      <c r="I2433" s="31" t="str">
        <f>IF(OR(B2433="",C2433=""),"",IFERROR(E2433*IF(E2433="",0,VLOOKUP(C2433,'📦 Precios Proforma'!$B$5:$D$104,IF(D2433="DIA",2,3),FALSE)),0))</f>
        <v/>
      </c>
      <c r="J2433" s="31" t="str">
        <f t="shared" si="260"/>
        <v/>
      </c>
      <c r="K2433" s="31" t="str">
        <f t="shared" si="261"/>
        <v/>
      </c>
      <c r="L2433" s="31" t="str">
        <f>IF(OR(B2433="",C2433=""),"",IFERROR(E2433 / SUMIFS('📅 Resumen Diario'!$D$5:$D$504, '📅 Resumen Diario'!$B$5:$B$504, B2433, '📅 Resumen Diario'!$C$5:$C$504, D2433) * SUMIFS('📅 Resumen Diario'!$K$5:$K$504, '📅 Resumen Diario'!$B$5:$B$504, B2433, '📅 Resumen Diario'!$C$5:$C$504, D2433), 0))</f>
        <v/>
      </c>
      <c r="M2433" s="31" t="str">
        <f t="shared" si="262"/>
        <v/>
      </c>
      <c r="N2433" s="31" t="str">
        <f t="shared" si="263"/>
        <v/>
      </c>
      <c r="O2433" s="31" t="str">
        <f>IF(OR(B2433="",C2433=""),"",K2433-N2433 + IFERROR(E2433 / SUMIFS('📅 Resumen Diario'!$D$5:$D$504, '📅 Resumen Diario'!$B$5:$B$504, B2433, '📅 Resumen Diario'!$C$5:$C$504, D2433) * (SUMIFS('📋 Detalle Diario'!$E$5:$E$489, '📋 Detalle Diario'!$B$5:$B$489, B2433, '📋 Detalle Diario'!$C$5:$C$489, D2433) * 135 + SUMIFS('📋 Detalle Diario'!$I$5:$I$489, '📋 Detalle Diario'!$B$5:$B$489, B2433, '📋 Detalle Diario'!$C$5:$C$489, D2433) * 200), 0))</f>
        <v/>
      </c>
      <c r="P2433" s="32" t="str">
        <f t="shared" si="264"/>
        <v/>
      </c>
      <c r="Q2433" s="33" t="str">
        <f t="shared" si="265"/>
        <v/>
      </c>
    </row>
    <row r="2434" spans="2:17" ht="18" customHeight="1" x14ac:dyDescent="0.3">
      <c r="B2434" s="26"/>
      <c r="C2434" s="17"/>
      <c r="D2434" s="27"/>
      <c r="E2434" s="18"/>
      <c r="F2434" s="18"/>
      <c r="G2434" s="18"/>
      <c r="H2434" s="30" t="str">
        <f t="shared" si="259"/>
        <v/>
      </c>
      <c r="I2434" s="31" t="str">
        <f>IF(OR(B2434="",C2434=""),"",IFERROR(E2434*IF(E2434="",0,VLOOKUP(C2434,'📦 Precios Proforma'!$B$5:$D$104,IF(D2434="DIA",2,3),FALSE)),0))</f>
        <v/>
      </c>
      <c r="J2434" s="31" t="str">
        <f t="shared" si="260"/>
        <v/>
      </c>
      <c r="K2434" s="31" t="str">
        <f t="shared" si="261"/>
        <v/>
      </c>
      <c r="L2434" s="31" t="str">
        <f>IF(OR(B2434="",C2434=""),"",IFERROR(E2434 / SUMIFS('📅 Resumen Diario'!$D$5:$D$504, '📅 Resumen Diario'!$B$5:$B$504, B2434, '📅 Resumen Diario'!$C$5:$C$504, D2434) * SUMIFS('📅 Resumen Diario'!$K$5:$K$504, '📅 Resumen Diario'!$B$5:$B$504, B2434, '📅 Resumen Diario'!$C$5:$C$504, D2434), 0))</f>
        <v/>
      </c>
      <c r="M2434" s="31" t="str">
        <f t="shared" si="262"/>
        <v/>
      </c>
      <c r="N2434" s="31" t="str">
        <f t="shared" si="263"/>
        <v/>
      </c>
      <c r="O2434" s="31" t="str">
        <f>IF(OR(B2434="",C2434=""),"",K2434-N2434 + IFERROR(E2434 / SUMIFS('📅 Resumen Diario'!$D$5:$D$504, '📅 Resumen Diario'!$B$5:$B$504, B2434, '📅 Resumen Diario'!$C$5:$C$504, D2434) * (SUMIFS('📋 Detalle Diario'!$E$5:$E$489, '📋 Detalle Diario'!$B$5:$B$489, B2434, '📋 Detalle Diario'!$C$5:$C$489, D2434) * 135 + SUMIFS('📋 Detalle Diario'!$I$5:$I$489, '📋 Detalle Diario'!$B$5:$B$489, B2434, '📋 Detalle Diario'!$C$5:$C$489, D2434) * 200), 0))</f>
        <v/>
      </c>
      <c r="P2434" s="32" t="str">
        <f t="shared" si="264"/>
        <v/>
      </c>
      <c r="Q2434" s="33" t="str">
        <f t="shared" si="265"/>
        <v/>
      </c>
    </row>
    <row r="2435" spans="2:17" ht="18" customHeight="1" x14ac:dyDescent="0.3">
      <c r="B2435" s="26"/>
      <c r="C2435" s="28"/>
      <c r="D2435" s="27"/>
      <c r="E2435" s="29"/>
      <c r="F2435" s="29"/>
      <c r="G2435" s="29"/>
      <c r="H2435" s="30" t="str">
        <f t="shared" si="259"/>
        <v/>
      </c>
      <c r="I2435" s="31" t="str">
        <f>IF(OR(B2435="",C2435=""),"",IFERROR(E2435*IF(E2435="",0,VLOOKUP(C2435,'📦 Precios Proforma'!$B$5:$D$104,IF(D2435="DIA",2,3),FALSE)),0))</f>
        <v/>
      </c>
      <c r="J2435" s="31" t="str">
        <f t="shared" si="260"/>
        <v/>
      </c>
      <c r="K2435" s="31" t="str">
        <f t="shared" si="261"/>
        <v/>
      </c>
      <c r="L2435" s="31" t="str">
        <f>IF(OR(B2435="",C2435=""),"",IFERROR(E2435 / SUMIFS('📅 Resumen Diario'!$D$5:$D$504, '📅 Resumen Diario'!$B$5:$B$504, B2435, '📅 Resumen Diario'!$C$5:$C$504, D2435) * SUMIFS('📅 Resumen Diario'!$K$5:$K$504, '📅 Resumen Diario'!$B$5:$B$504, B2435, '📅 Resumen Diario'!$C$5:$C$504, D2435), 0))</f>
        <v/>
      </c>
      <c r="M2435" s="31" t="str">
        <f t="shared" si="262"/>
        <v/>
      </c>
      <c r="N2435" s="31" t="str">
        <f t="shared" si="263"/>
        <v/>
      </c>
      <c r="O2435" s="31" t="str">
        <f>IF(OR(B2435="",C2435=""),"",K2435-N2435 + IFERROR(E2435 / SUMIFS('📅 Resumen Diario'!$D$5:$D$504, '📅 Resumen Diario'!$B$5:$B$504, B2435, '📅 Resumen Diario'!$C$5:$C$504, D2435) * (SUMIFS('📋 Detalle Diario'!$E$5:$E$489, '📋 Detalle Diario'!$B$5:$B$489, B2435, '📋 Detalle Diario'!$C$5:$C$489, D2435) * 135 + SUMIFS('📋 Detalle Diario'!$I$5:$I$489, '📋 Detalle Diario'!$B$5:$B$489, B2435, '📋 Detalle Diario'!$C$5:$C$489, D2435) * 200), 0))</f>
        <v/>
      </c>
      <c r="P2435" s="32" t="str">
        <f t="shared" si="264"/>
        <v/>
      </c>
      <c r="Q2435" s="33" t="str">
        <f t="shared" si="265"/>
        <v/>
      </c>
    </row>
    <row r="2436" spans="2:17" ht="18" customHeight="1" x14ac:dyDescent="0.3">
      <c r="B2436" s="26"/>
      <c r="C2436" s="17"/>
      <c r="D2436" s="27"/>
      <c r="E2436" s="18"/>
      <c r="F2436" s="18"/>
      <c r="G2436" s="18"/>
      <c r="H2436" s="30" t="str">
        <f t="shared" si="259"/>
        <v/>
      </c>
      <c r="I2436" s="31" t="str">
        <f>IF(OR(B2436="",C2436=""),"",IFERROR(E2436*IF(E2436="",0,VLOOKUP(C2436,'📦 Precios Proforma'!$B$5:$D$104,IF(D2436="DIA",2,3),FALSE)),0))</f>
        <v/>
      </c>
      <c r="J2436" s="31" t="str">
        <f t="shared" si="260"/>
        <v/>
      </c>
      <c r="K2436" s="31" t="str">
        <f t="shared" si="261"/>
        <v/>
      </c>
      <c r="L2436" s="31" t="str">
        <f>IF(OR(B2436="",C2436=""),"",IFERROR(E2436 / SUMIFS('📅 Resumen Diario'!$D$5:$D$504, '📅 Resumen Diario'!$B$5:$B$504, B2436, '📅 Resumen Diario'!$C$5:$C$504, D2436) * SUMIFS('📅 Resumen Diario'!$K$5:$K$504, '📅 Resumen Diario'!$B$5:$B$504, B2436, '📅 Resumen Diario'!$C$5:$C$504, D2436), 0))</f>
        <v/>
      </c>
      <c r="M2436" s="31" t="str">
        <f t="shared" si="262"/>
        <v/>
      </c>
      <c r="N2436" s="31" t="str">
        <f t="shared" si="263"/>
        <v/>
      </c>
      <c r="O2436" s="31" t="str">
        <f>IF(OR(B2436="",C2436=""),"",K2436-N2436 + IFERROR(E2436 / SUMIFS('📅 Resumen Diario'!$D$5:$D$504, '📅 Resumen Diario'!$B$5:$B$504, B2436, '📅 Resumen Diario'!$C$5:$C$504, D2436) * (SUMIFS('📋 Detalle Diario'!$E$5:$E$489, '📋 Detalle Diario'!$B$5:$B$489, B2436, '📋 Detalle Diario'!$C$5:$C$489, D2436) * 135 + SUMIFS('📋 Detalle Diario'!$I$5:$I$489, '📋 Detalle Diario'!$B$5:$B$489, B2436, '📋 Detalle Diario'!$C$5:$C$489, D2436) * 200), 0))</f>
        <v/>
      </c>
      <c r="P2436" s="32" t="str">
        <f t="shared" si="264"/>
        <v/>
      </c>
      <c r="Q2436" s="33" t="str">
        <f t="shared" si="265"/>
        <v/>
      </c>
    </row>
    <row r="2437" spans="2:17" ht="18" customHeight="1" x14ac:dyDescent="0.3">
      <c r="B2437" s="26"/>
      <c r="C2437" s="28"/>
      <c r="D2437" s="27"/>
      <c r="E2437" s="29"/>
      <c r="F2437" s="29"/>
      <c r="G2437" s="29"/>
      <c r="H2437" s="30" t="str">
        <f t="shared" si="259"/>
        <v/>
      </c>
      <c r="I2437" s="31" t="str">
        <f>IF(OR(B2437="",C2437=""),"",IFERROR(E2437*IF(E2437="",0,VLOOKUP(C2437,'📦 Precios Proforma'!$B$5:$D$104,IF(D2437="DIA",2,3),FALSE)),0))</f>
        <v/>
      </c>
      <c r="J2437" s="31" t="str">
        <f t="shared" si="260"/>
        <v/>
      </c>
      <c r="K2437" s="31" t="str">
        <f t="shared" si="261"/>
        <v/>
      </c>
      <c r="L2437" s="31" t="str">
        <f>IF(OR(B2437="",C2437=""),"",IFERROR(E2437 / SUMIFS('📅 Resumen Diario'!$D$5:$D$504, '📅 Resumen Diario'!$B$5:$B$504, B2437, '📅 Resumen Diario'!$C$5:$C$504, D2437) * SUMIFS('📅 Resumen Diario'!$K$5:$K$504, '📅 Resumen Diario'!$B$5:$B$504, B2437, '📅 Resumen Diario'!$C$5:$C$504, D2437), 0))</f>
        <v/>
      </c>
      <c r="M2437" s="31" t="str">
        <f t="shared" si="262"/>
        <v/>
      </c>
      <c r="N2437" s="31" t="str">
        <f t="shared" si="263"/>
        <v/>
      </c>
      <c r="O2437" s="31" t="str">
        <f>IF(OR(B2437="",C2437=""),"",K2437-N2437 + IFERROR(E2437 / SUMIFS('📅 Resumen Diario'!$D$5:$D$504, '📅 Resumen Diario'!$B$5:$B$504, B2437, '📅 Resumen Diario'!$C$5:$C$504, D2437) * (SUMIFS('📋 Detalle Diario'!$E$5:$E$489, '📋 Detalle Diario'!$B$5:$B$489, B2437, '📋 Detalle Diario'!$C$5:$C$489, D2437) * 135 + SUMIFS('📋 Detalle Diario'!$I$5:$I$489, '📋 Detalle Diario'!$B$5:$B$489, B2437, '📋 Detalle Diario'!$C$5:$C$489, D2437) * 200), 0))</f>
        <v/>
      </c>
      <c r="P2437" s="32" t="str">
        <f t="shared" si="264"/>
        <v/>
      </c>
      <c r="Q2437" s="33" t="str">
        <f t="shared" si="265"/>
        <v/>
      </c>
    </row>
    <row r="2438" spans="2:17" ht="18" customHeight="1" x14ac:dyDescent="0.3">
      <c r="B2438" s="26"/>
      <c r="C2438" s="17"/>
      <c r="D2438" s="27"/>
      <c r="E2438" s="18"/>
      <c r="F2438" s="18"/>
      <c r="G2438" s="18"/>
      <c r="H2438" s="30" t="str">
        <f t="shared" si="259"/>
        <v/>
      </c>
      <c r="I2438" s="31" t="str">
        <f>IF(OR(B2438="",C2438=""),"",IFERROR(E2438*IF(E2438="",0,VLOOKUP(C2438,'📦 Precios Proforma'!$B$5:$D$104,IF(D2438="DIA",2,3),FALSE)),0))</f>
        <v/>
      </c>
      <c r="J2438" s="31" t="str">
        <f t="shared" si="260"/>
        <v/>
      </c>
      <c r="K2438" s="31" t="str">
        <f t="shared" si="261"/>
        <v/>
      </c>
      <c r="L2438" s="31" t="str">
        <f>IF(OR(B2438="",C2438=""),"",IFERROR(E2438 / SUMIFS('📅 Resumen Diario'!$D$5:$D$504, '📅 Resumen Diario'!$B$5:$B$504, B2438, '📅 Resumen Diario'!$C$5:$C$504, D2438) * SUMIFS('📅 Resumen Diario'!$K$5:$K$504, '📅 Resumen Diario'!$B$5:$B$504, B2438, '📅 Resumen Diario'!$C$5:$C$504, D2438), 0))</f>
        <v/>
      </c>
      <c r="M2438" s="31" t="str">
        <f t="shared" si="262"/>
        <v/>
      </c>
      <c r="N2438" s="31" t="str">
        <f t="shared" si="263"/>
        <v/>
      </c>
      <c r="O2438" s="31" t="str">
        <f>IF(OR(B2438="",C2438=""),"",K2438-N2438 + IFERROR(E2438 / SUMIFS('📅 Resumen Diario'!$D$5:$D$504, '📅 Resumen Diario'!$B$5:$B$504, B2438, '📅 Resumen Diario'!$C$5:$C$504, D2438) * (SUMIFS('📋 Detalle Diario'!$E$5:$E$489, '📋 Detalle Diario'!$B$5:$B$489, B2438, '📋 Detalle Diario'!$C$5:$C$489, D2438) * 135 + SUMIFS('📋 Detalle Diario'!$I$5:$I$489, '📋 Detalle Diario'!$B$5:$B$489, B2438, '📋 Detalle Diario'!$C$5:$C$489, D2438) * 200), 0))</f>
        <v/>
      </c>
      <c r="P2438" s="32" t="str">
        <f t="shared" si="264"/>
        <v/>
      </c>
      <c r="Q2438" s="33" t="str">
        <f t="shared" si="265"/>
        <v/>
      </c>
    </row>
    <row r="2439" spans="2:17" ht="18" customHeight="1" x14ac:dyDescent="0.3">
      <c r="B2439" s="26"/>
      <c r="C2439" s="28"/>
      <c r="D2439" s="27"/>
      <c r="E2439" s="29"/>
      <c r="F2439" s="29"/>
      <c r="G2439" s="29"/>
      <c r="H2439" s="30" t="str">
        <f t="shared" ref="H2439:H2502" si="266">IF(OR(B2439="",C2439=""),"",F2439+G2439)</f>
        <v/>
      </c>
      <c r="I2439" s="31" t="str">
        <f>IF(OR(B2439="",C2439=""),"",IFERROR(E2439*IF(E2439="",0,VLOOKUP(C2439,'📦 Precios Proforma'!$B$5:$D$104,IF(D2439="DIA",2,3),FALSE)),0))</f>
        <v/>
      </c>
      <c r="J2439" s="31" t="str">
        <f t="shared" ref="J2439:J2502" si="267">IF(OR(B2439="",C2439=""),"",IF(D2439="DIA",H2439*1.01,H2439*1.35))</f>
        <v/>
      </c>
      <c r="K2439" s="31" t="str">
        <f t="shared" ref="K2439:K2502" si="268">IF(OR(B2439="",C2439=""),"",I2439+J2439)</f>
        <v/>
      </c>
      <c r="L2439" s="31" t="str">
        <f>IF(OR(B2439="",C2439=""),"",IFERROR(E2439 / SUMIFS('📅 Resumen Diario'!$D$5:$D$504, '📅 Resumen Diario'!$B$5:$B$504, B2439, '📅 Resumen Diario'!$C$5:$C$504, D2439) * SUMIFS('📅 Resumen Diario'!$K$5:$K$504, '📅 Resumen Diario'!$B$5:$B$504, B2439, '📅 Resumen Diario'!$C$5:$C$504, D2439), 0))</f>
        <v/>
      </c>
      <c r="M2439" s="31" t="str">
        <f t="shared" ref="M2439:M2502" si="269">IF(OR(B2439="",C2439=""),"",H2439*0.09)</f>
        <v/>
      </c>
      <c r="N2439" s="31" t="str">
        <f t="shared" ref="N2439:N2502" si="270">IF(OR(B2439="",C2439=""),"",L2439+M2439)</f>
        <v/>
      </c>
      <c r="O2439" s="31" t="str">
        <f>IF(OR(B2439="",C2439=""),"",K2439-N2439 + IFERROR(E2439 / SUMIFS('📅 Resumen Diario'!$D$5:$D$504, '📅 Resumen Diario'!$B$5:$B$504, B2439, '📅 Resumen Diario'!$C$5:$C$504, D2439) * (SUMIFS('📋 Detalle Diario'!$E$5:$E$489, '📋 Detalle Diario'!$B$5:$B$489, B2439, '📋 Detalle Diario'!$C$5:$C$489, D2439) * 135 + SUMIFS('📋 Detalle Diario'!$I$5:$I$489, '📋 Detalle Diario'!$B$5:$B$489, B2439, '📋 Detalle Diario'!$C$5:$C$489, D2439) * 200), 0))</f>
        <v/>
      </c>
      <c r="P2439" s="32" t="str">
        <f t="shared" ref="P2439:P2502" si="271">IF(OR(B2439="",C2439=""),"",IF(K2439=0, 0, O2439/K2439))</f>
        <v/>
      </c>
      <c r="Q2439" s="33" t="str">
        <f t="shared" ref="Q2439:Q2502" si="272">IF(B2439="","",IF(ISNUMBER(B2439),YEAR(B2439)&amp;"-"&amp;IF(MONTH(B2439)&lt;10,"0","")&amp;MONTH(B2439),LEFT(B2439,7)))</f>
        <v/>
      </c>
    </row>
    <row r="2440" spans="2:17" ht="18" customHeight="1" x14ac:dyDescent="0.3">
      <c r="B2440" s="26"/>
      <c r="C2440" s="17"/>
      <c r="D2440" s="27"/>
      <c r="E2440" s="18"/>
      <c r="F2440" s="18"/>
      <c r="G2440" s="18"/>
      <c r="H2440" s="30" t="str">
        <f t="shared" si="266"/>
        <v/>
      </c>
      <c r="I2440" s="31" t="str">
        <f>IF(OR(B2440="",C2440=""),"",IFERROR(E2440*IF(E2440="",0,VLOOKUP(C2440,'📦 Precios Proforma'!$B$5:$D$104,IF(D2440="DIA",2,3),FALSE)),0))</f>
        <v/>
      </c>
      <c r="J2440" s="31" t="str">
        <f t="shared" si="267"/>
        <v/>
      </c>
      <c r="K2440" s="31" t="str">
        <f t="shared" si="268"/>
        <v/>
      </c>
      <c r="L2440" s="31" t="str">
        <f>IF(OR(B2440="",C2440=""),"",IFERROR(E2440 / SUMIFS('📅 Resumen Diario'!$D$5:$D$504, '📅 Resumen Diario'!$B$5:$B$504, B2440, '📅 Resumen Diario'!$C$5:$C$504, D2440) * SUMIFS('📅 Resumen Diario'!$K$5:$K$504, '📅 Resumen Diario'!$B$5:$B$504, B2440, '📅 Resumen Diario'!$C$5:$C$504, D2440), 0))</f>
        <v/>
      </c>
      <c r="M2440" s="31" t="str">
        <f t="shared" si="269"/>
        <v/>
      </c>
      <c r="N2440" s="31" t="str">
        <f t="shared" si="270"/>
        <v/>
      </c>
      <c r="O2440" s="31" t="str">
        <f>IF(OR(B2440="",C2440=""),"",K2440-N2440 + IFERROR(E2440 / SUMIFS('📅 Resumen Diario'!$D$5:$D$504, '📅 Resumen Diario'!$B$5:$B$504, B2440, '📅 Resumen Diario'!$C$5:$C$504, D2440) * (SUMIFS('📋 Detalle Diario'!$E$5:$E$489, '📋 Detalle Diario'!$B$5:$B$489, B2440, '📋 Detalle Diario'!$C$5:$C$489, D2440) * 135 + SUMIFS('📋 Detalle Diario'!$I$5:$I$489, '📋 Detalle Diario'!$B$5:$B$489, B2440, '📋 Detalle Diario'!$C$5:$C$489, D2440) * 200), 0))</f>
        <v/>
      </c>
      <c r="P2440" s="32" t="str">
        <f t="shared" si="271"/>
        <v/>
      </c>
      <c r="Q2440" s="33" t="str">
        <f t="shared" si="272"/>
        <v/>
      </c>
    </row>
    <row r="2441" spans="2:17" ht="18" customHeight="1" x14ac:dyDescent="0.3">
      <c r="B2441" s="26"/>
      <c r="C2441" s="28"/>
      <c r="D2441" s="27"/>
      <c r="E2441" s="29"/>
      <c r="F2441" s="29"/>
      <c r="G2441" s="29"/>
      <c r="H2441" s="30" t="str">
        <f t="shared" si="266"/>
        <v/>
      </c>
      <c r="I2441" s="31" t="str">
        <f>IF(OR(B2441="",C2441=""),"",IFERROR(E2441*IF(E2441="",0,VLOOKUP(C2441,'📦 Precios Proforma'!$B$5:$D$104,IF(D2441="DIA",2,3),FALSE)),0))</f>
        <v/>
      </c>
      <c r="J2441" s="31" t="str">
        <f t="shared" si="267"/>
        <v/>
      </c>
      <c r="K2441" s="31" t="str">
        <f t="shared" si="268"/>
        <v/>
      </c>
      <c r="L2441" s="31" t="str">
        <f>IF(OR(B2441="",C2441=""),"",IFERROR(E2441 / SUMIFS('📅 Resumen Diario'!$D$5:$D$504, '📅 Resumen Diario'!$B$5:$B$504, B2441, '📅 Resumen Diario'!$C$5:$C$504, D2441) * SUMIFS('📅 Resumen Diario'!$K$5:$K$504, '📅 Resumen Diario'!$B$5:$B$504, B2441, '📅 Resumen Diario'!$C$5:$C$504, D2441), 0))</f>
        <v/>
      </c>
      <c r="M2441" s="31" t="str">
        <f t="shared" si="269"/>
        <v/>
      </c>
      <c r="N2441" s="31" t="str">
        <f t="shared" si="270"/>
        <v/>
      </c>
      <c r="O2441" s="31" t="str">
        <f>IF(OR(B2441="",C2441=""),"",K2441-N2441 + IFERROR(E2441 / SUMIFS('📅 Resumen Diario'!$D$5:$D$504, '📅 Resumen Diario'!$B$5:$B$504, B2441, '📅 Resumen Diario'!$C$5:$C$504, D2441) * (SUMIFS('📋 Detalle Diario'!$E$5:$E$489, '📋 Detalle Diario'!$B$5:$B$489, B2441, '📋 Detalle Diario'!$C$5:$C$489, D2441) * 135 + SUMIFS('📋 Detalle Diario'!$I$5:$I$489, '📋 Detalle Diario'!$B$5:$B$489, B2441, '📋 Detalle Diario'!$C$5:$C$489, D2441) * 200), 0))</f>
        <v/>
      </c>
      <c r="P2441" s="32" t="str">
        <f t="shared" si="271"/>
        <v/>
      </c>
      <c r="Q2441" s="33" t="str">
        <f t="shared" si="272"/>
        <v/>
      </c>
    </row>
    <row r="2442" spans="2:17" ht="18" customHeight="1" x14ac:dyDescent="0.3">
      <c r="B2442" s="26"/>
      <c r="C2442" s="17"/>
      <c r="D2442" s="27"/>
      <c r="E2442" s="18"/>
      <c r="F2442" s="18"/>
      <c r="G2442" s="18"/>
      <c r="H2442" s="30" t="str">
        <f t="shared" si="266"/>
        <v/>
      </c>
      <c r="I2442" s="31" t="str">
        <f>IF(OR(B2442="",C2442=""),"",IFERROR(E2442*IF(E2442="",0,VLOOKUP(C2442,'📦 Precios Proforma'!$B$5:$D$104,IF(D2442="DIA",2,3),FALSE)),0))</f>
        <v/>
      </c>
      <c r="J2442" s="31" t="str">
        <f t="shared" si="267"/>
        <v/>
      </c>
      <c r="K2442" s="31" t="str">
        <f t="shared" si="268"/>
        <v/>
      </c>
      <c r="L2442" s="31" t="str">
        <f>IF(OR(B2442="",C2442=""),"",IFERROR(E2442 / SUMIFS('📅 Resumen Diario'!$D$5:$D$504, '📅 Resumen Diario'!$B$5:$B$504, B2442, '📅 Resumen Diario'!$C$5:$C$504, D2442) * SUMIFS('📅 Resumen Diario'!$K$5:$K$504, '📅 Resumen Diario'!$B$5:$B$504, B2442, '📅 Resumen Diario'!$C$5:$C$504, D2442), 0))</f>
        <v/>
      </c>
      <c r="M2442" s="31" t="str">
        <f t="shared" si="269"/>
        <v/>
      </c>
      <c r="N2442" s="31" t="str">
        <f t="shared" si="270"/>
        <v/>
      </c>
      <c r="O2442" s="31" t="str">
        <f>IF(OR(B2442="",C2442=""),"",K2442-N2442 + IFERROR(E2442 / SUMIFS('📅 Resumen Diario'!$D$5:$D$504, '📅 Resumen Diario'!$B$5:$B$504, B2442, '📅 Resumen Diario'!$C$5:$C$504, D2442) * (SUMIFS('📋 Detalle Diario'!$E$5:$E$489, '📋 Detalle Diario'!$B$5:$B$489, B2442, '📋 Detalle Diario'!$C$5:$C$489, D2442) * 135 + SUMIFS('📋 Detalle Diario'!$I$5:$I$489, '📋 Detalle Diario'!$B$5:$B$489, B2442, '📋 Detalle Diario'!$C$5:$C$489, D2442) * 200), 0))</f>
        <v/>
      </c>
      <c r="P2442" s="32" t="str">
        <f t="shared" si="271"/>
        <v/>
      </c>
      <c r="Q2442" s="33" t="str">
        <f t="shared" si="272"/>
        <v/>
      </c>
    </row>
    <row r="2443" spans="2:17" ht="18" customHeight="1" x14ac:dyDescent="0.3">
      <c r="B2443" s="26"/>
      <c r="C2443" s="28"/>
      <c r="D2443" s="27"/>
      <c r="E2443" s="29"/>
      <c r="F2443" s="29"/>
      <c r="G2443" s="29"/>
      <c r="H2443" s="30" t="str">
        <f t="shared" si="266"/>
        <v/>
      </c>
      <c r="I2443" s="31" t="str">
        <f>IF(OR(B2443="",C2443=""),"",IFERROR(E2443*IF(E2443="",0,VLOOKUP(C2443,'📦 Precios Proforma'!$B$5:$D$104,IF(D2443="DIA",2,3),FALSE)),0))</f>
        <v/>
      </c>
      <c r="J2443" s="31" t="str">
        <f t="shared" si="267"/>
        <v/>
      </c>
      <c r="K2443" s="31" t="str">
        <f t="shared" si="268"/>
        <v/>
      </c>
      <c r="L2443" s="31" t="str">
        <f>IF(OR(B2443="",C2443=""),"",IFERROR(E2443 / SUMIFS('📅 Resumen Diario'!$D$5:$D$504, '📅 Resumen Diario'!$B$5:$B$504, B2443, '📅 Resumen Diario'!$C$5:$C$504, D2443) * SUMIFS('📅 Resumen Diario'!$K$5:$K$504, '📅 Resumen Diario'!$B$5:$B$504, B2443, '📅 Resumen Diario'!$C$5:$C$504, D2443), 0))</f>
        <v/>
      </c>
      <c r="M2443" s="31" t="str">
        <f t="shared" si="269"/>
        <v/>
      </c>
      <c r="N2443" s="31" t="str">
        <f t="shared" si="270"/>
        <v/>
      </c>
      <c r="O2443" s="31" t="str">
        <f>IF(OR(B2443="",C2443=""),"",K2443-N2443 + IFERROR(E2443 / SUMIFS('📅 Resumen Diario'!$D$5:$D$504, '📅 Resumen Diario'!$B$5:$B$504, B2443, '📅 Resumen Diario'!$C$5:$C$504, D2443) * (SUMIFS('📋 Detalle Diario'!$E$5:$E$489, '📋 Detalle Diario'!$B$5:$B$489, B2443, '📋 Detalle Diario'!$C$5:$C$489, D2443) * 135 + SUMIFS('📋 Detalle Diario'!$I$5:$I$489, '📋 Detalle Diario'!$B$5:$B$489, B2443, '📋 Detalle Diario'!$C$5:$C$489, D2443) * 200), 0))</f>
        <v/>
      </c>
      <c r="P2443" s="32" t="str">
        <f t="shared" si="271"/>
        <v/>
      </c>
      <c r="Q2443" s="33" t="str">
        <f t="shared" si="272"/>
        <v/>
      </c>
    </row>
    <row r="2444" spans="2:17" ht="18" customHeight="1" x14ac:dyDescent="0.3">
      <c r="B2444" s="26"/>
      <c r="C2444" s="17"/>
      <c r="D2444" s="27"/>
      <c r="E2444" s="18"/>
      <c r="F2444" s="18"/>
      <c r="G2444" s="18"/>
      <c r="H2444" s="30" t="str">
        <f t="shared" si="266"/>
        <v/>
      </c>
      <c r="I2444" s="31" t="str">
        <f>IF(OR(B2444="",C2444=""),"",IFERROR(E2444*IF(E2444="",0,VLOOKUP(C2444,'📦 Precios Proforma'!$B$5:$D$104,IF(D2444="DIA",2,3),FALSE)),0))</f>
        <v/>
      </c>
      <c r="J2444" s="31" t="str">
        <f t="shared" si="267"/>
        <v/>
      </c>
      <c r="K2444" s="31" t="str">
        <f t="shared" si="268"/>
        <v/>
      </c>
      <c r="L2444" s="31" t="str">
        <f>IF(OR(B2444="",C2444=""),"",IFERROR(E2444 / SUMIFS('📅 Resumen Diario'!$D$5:$D$504, '📅 Resumen Diario'!$B$5:$B$504, B2444, '📅 Resumen Diario'!$C$5:$C$504, D2444) * SUMIFS('📅 Resumen Diario'!$K$5:$K$504, '📅 Resumen Diario'!$B$5:$B$504, B2444, '📅 Resumen Diario'!$C$5:$C$504, D2444), 0))</f>
        <v/>
      </c>
      <c r="M2444" s="31" t="str">
        <f t="shared" si="269"/>
        <v/>
      </c>
      <c r="N2444" s="31" t="str">
        <f t="shared" si="270"/>
        <v/>
      </c>
      <c r="O2444" s="31" t="str">
        <f>IF(OR(B2444="",C2444=""),"",K2444-N2444 + IFERROR(E2444 / SUMIFS('📅 Resumen Diario'!$D$5:$D$504, '📅 Resumen Diario'!$B$5:$B$504, B2444, '📅 Resumen Diario'!$C$5:$C$504, D2444) * (SUMIFS('📋 Detalle Diario'!$E$5:$E$489, '📋 Detalle Diario'!$B$5:$B$489, B2444, '📋 Detalle Diario'!$C$5:$C$489, D2444) * 135 + SUMIFS('📋 Detalle Diario'!$I$5:$I$489, '📋 Detalle Diario'!$B$5:$B$489, B2444, '📋 Detalle Diario'!$C$5:$C$489, D2444) * 200), 0))</f>
        <v/>
      </c>
      <c r="P2444" s="32" t="str">
        <f t="shared" si="271"/>
        <v/>
      </c>
      <c r="Q2444" s="33" t="str">
        <f t="shared" si="272"/>
        <v/>
      </c>
    </row>
    <row r="2445" spans="2:17" ht="18" customHeight="1" x14ac:dyDescent="0.3">
      <c r="B2445" s="26"/>
      <c r="C2445" s="28"/>
      <c r="D2445" s="27"/>
      <c r="E2445" s="29"/>
      <c r="F2445" s="29"/>
      <c r="G2445" s="29"/>
      <c r="H2445" s="30" t="str">
        <f t="shared" si="266"/>
        <v/>
      </c>
      <c r="I2445" s="31" t="str">
        <f>IF(OR(B2445="",C2445=""),"",IFERROR(E2445*IF(E2445="",0,VLOOKUP(C2445,'📦 Precios Proforma'!$B$5:$D$104,IF(D2445="DIA",2,3),FALSE)),0))</f>
        <v/>
      </c>
      <c r="J2445" s="31" t="str">
        <f t="shared" si="267"/>
        <v/>
      </c>
      <c r="K2445" s="31" t="str">
        <f t="shared" si="268"/>
        <v/>
      </c>
      <c r="L2445" s="31" t="str">
        <f>IF(OR(B2445="",C2445=""),"",IFERROR(E2445 / SUMIFS('📅 Resumen Diario'!$D$5:$D$504, '📅 Resumen Diario'!$B$5:$B$504, B2445, '📅 Resumen Diario'!$C$5:$C$504, D2445) * SUMIFS('📅 Resumen Diario'!$K$5:$K$504, '📅 Resumen Diario'!$B$5:$B$504, B2445, '📅 Resumen Diario'!$C$5:$C$504, D2445), 0))</f>
        <v/>
      </c>
      <c r="M2445" s="31" t="str">
        <f t="shared" si="269"/>
        <v/>
      </c>
      <c r="N2445" s="31" t="str">
        <f t="shared" si="270"/>
        <v/>
      </c>
      <c r="O2445" s="31" t="str">
        <f>IF(OR(B2445="",C2445=""),"",K2445-N2445 + IFERROR(E2445 / SUMIFS('📅 Resumen Diario'!$D$5:$D$504, '📅 Resumen Diario'!$B$5:$B$504, B2445, '📅 Resumen Diario'!$C$5:$C$504, D2445) * (SUMIFS('📋 Detalle Diario'!$E$5:$E$489, '📋 Detalle Diario'!$B$5:$B$489, B2445, '📋 Detalle Diario'!$C$5:$C$489, D2445) * 135 + SUMIFS('📋 Detalle Diario'!$I$5:$I$489, '📋 Detalle Diario'!$B$5:$B$489, B2445, '📋 Detalle Diario'!$C$5:$C$489, D2445) * 200), 0))</f>
        <v/>
      </c>
      <c r="P2445" s="32" t="str">
        <f t="shared" si="271"/>
        <v/>
      </c>
      <c r="Q2445" s="33" t="str">
        <f t="shared" si="272"/>
        <v/>
      </c>
    </row>
    <row r="2446" spans="2:17" ht="18" customHeight="1" x14ac:dyDescent="0.3">
      <c r="B2446" s="26"/>
      <c r="C2446" s="17"/>
      <c r="D2446" s="27"/>
      <c r="E2446" s="18"/>
      <c r="F2446" s="18"/>
      <c r="G2446" s="18"/>
      <c r="H2446" s="30" t="str">
        <f t="shared" si="266"/>
        <v/>
      </c>
      <c r="I2446" s="31" t="str">
        <f>IF(OR(B2446="",C2446=""),"",IFERROR(E2446*IF(E2446="",0,VLOOKUP(C2446,'📦 Precios Proforma'!$B$5:$D$104,IF(D2446="DIA",2,3),FALSE)),0))</f>
        <v/>
      </c>
      <c r="J2446" s="31" t="str">
        <f t="shared" si="267"/>
        <v/>
      </c>
      <c r="K2446" s="31" t="str">
        <f t="shared" si="268"/>
        <v/>
      </c>
      <c r="L2446" s="31" t="str">
        <f>IF(OR(B2446="",C2446=""),"",IFERROR(E2446 / SUMIFS('📅 Resumen Diario'!$D$5:$D$504, '📅 Resumen Diario'!$B$5:$B$504, B2446, '📅 Resumen Diario'!$C$5:$C$504, D2446) * SUMIFS('📅 Resumen Diario'!$K$5:$K$504, '📅 Resumen Diario'!$B$5:$B$504, B2446, '📅 Resumen Diario'!$C$5:$C$504, D2446), 0))</f>
        <v/>
      </c>
      <c r="M2446" s="31" t="str">
        <f t="shared" si="269"/>
        <v/>
      </c>
      <c r="N2446" s="31" t="str">
        <f t="shared" si="270"/>
        <v/>
      </c>
      <c r="O2446" s="31" t="str">
        <f>IF(OR(B2446="",C2446=""),"",K2446-N2446 + IFERROR(E2446 / SUMIFS('📅 Resumen Diario'!$D$5:$D$504, '📅 Resumen Diario'!$B$5:$B$504, B2446, '📅 Resumen Diario'!$C$5:$C$504, D2446) * (SUMIFS('📋 Detalle Diario'!$E$5:$E$489, '📋 Detalle Diario'!$B$5:$B$489, B2446, '📋 Detalle Diario'!$C$5:$C$489, D2446) * 135 + SUMIFS('📋 Detalle Diario'!$I$5:$I$489, '📋 Detalle Diario'!$B$5:$B$489, B2446, '📋 Detalle Diario'!$C$5:$C$489, D2446) * 200), 0))</f>
        <v/>
      </c>
      <c r="P2446" s="32" t="str">
        <f t="shared" si="271"/>
        <v/>
      </c>
      <c r="Q2446" s="33" t="str">
        <f t="shared" si="272"/>
        <v/>
      </c>
    </row>
    <row r="2447" spans="2:17" ht="18" customHeight="1" x14ac:dyDescent="0.3">
      <c r="B2447" s="26"/>
      <c r="C2447" s="28"/>
      <c r="D2447" s="27"/>
      <c r="E2447" s="29"/>
      <c r="F2447" s="29"/>
      <c r="G2447" s="29"/>
      <c r="H2447" s="30" t="str">
        <f t="shared" si="266"/>
        <v/>
      </c>
      <c r="I2447" s="31" t="str">
        <f>IF(OR(B2447="",C2447=""),"",IFERROR(E2447*IF(E2447="",0,VLOOKUP(C2447,'📦 Precios Proforma'!$B$5:$D$104,IF(D2447="DIA",2,3),FALSE)),0))</f>
        <v/>
      </c>
      <c r="J2447" s="31" t="str">
        <f t="shared" si="267"/>
        <v/>
      </c>
      <c r="K2447" s="31" t="str">
        <f t="shared" si="268"/>
        <v/>
      </c>
      <c r="L2447" s="31" t="str">
        <f>IF(OR(B2447="",C2447=""),"",IFERROR(E2447 / SUMIFS('📅 Resumen Diario'!$D$5:$D$504, '📅 Resumen Diario'!$B$5:$B$504, B2447, '📅 Resumen Diario'!$C$5:$C$504, D2447) * SUMIFS('📅 Resumen Diario'!$K$5:$K$504, '📅 Resumen Diario'!$B$5:$B$504, B2447, '📅 Resumen Diario'!$C$5:$C$504, D2447), 0))</f>
        <v/>
      </c>
      <c r="M2447" s="31" t="str">
        <f t="shared" si="269"/>
        <v/>
      </c>
      <c r="N2447" s="31" t="str">
        <f t="shared" si="270"/>
        <v/>
      </c>
      <c r="O2447" s="31" t="str">
        <f>IF(OR(B2447="",C2447=""),"",K2447-N2447 + IFERROR(E2447 / SUMIFS('📅 Resumen Diario'!$D$5:$D$504, '📅 Resumen Diario'!$B$5:$B$504, B2447, '📅 Resumen Diario'!$C$5:$C$504, D2447) * (SUMIFS('📋 Detalle Diario'!$E$5:$E$489, '📋 Detalle Diario'!$B$5:$B$489, B2447, '📋 Detalle Diario'!$C$5:$C$489, D2447) * 135 + SUMIFS('📋 Detalle Diario'!$I$5:$I$489, '📋 Detalle Diario'!$B$5:$B$489, B2447, '📋 Detalle Diario'!$C$5:$C$489, D2447) * 200), 0))</f>
        <v/>
      </c>
      <c r="P2447" s="32" t="str">
        <f t="shared" si="271"/>
        <v/>
      </c>
      <c r="Q2447" s="33" t="str">
        <f t="shared" si="272"/>
        <v/>
      </c>
    </row>
    <row r="2448" spans="2:17" ht="18" customHeight="1" x14ac:dyDescent="0.3">
      <c r="B2448" s="26"/>
      <c r="C2448" s="17"/>
      <c r="D2448" s="27"/>
      <c r="E2448" s="18"/>
      <c r="F2448" s="18"/>
      <c r="G2448" s="18"/>
      <c r="H2448" s="30" t="str">
        <f t="shared" si="266"/>
        <v/>
      </c>
      <c r="I2448" s="31" t="str">
        <f>IF(OR(B2448="",C2448=""),"",IFERROR(E2448*IF(E2448="",0,VLOOKUP(C2448,'📦 Precios Proforma'!$B$5:$D$104,IF(D2448="DIA",2,3),FALSE)),0))</f>
        <v/>
      </c>
      <c r="J2448" s="31" t="str">
        <f t="shared" si="267"/>
        <v/>
      </c>
      <c r="K2448" s="31" t="str">
        <f t="shared" si="268"/>
        <v/>
      </c>
      <c r="L2448" s="31" t="str">
        <f>IF(OR(B2448="",C2448=""),"",IFERROR(E2448 / SUMIFS('📅 Resumen Diario'!$D$5:$D$504, '📅 Resumen Diario'!$B$5:$B$504, B2448, '📅 Resumen Diario'!$C$5:$C$504, D2448) * SUMIFS('📅 Resumen Diario'!$K$5:$K$504, '📅 Resumen Diario'!$B$5:$B$504, B2448, '📅 Resumen Diario'!$C$5:$C$504, D2448), 0))</f>
        <v/>
      </c>
      <c r="M2448" s="31" t="str">
        <f t="shared" si="269"/>
        <v/>
      </c>
      <c r="N2448" s="31" t="str">
        <f t="shared" si="270"/>
        <v/>
      </c>
      <c r="O2448" s="31" t="str">
        <f>IF(OR(B2448="",C2448=""),"",K2448-N2448 + IFERROR(E2448 / SUMIFS('📅 Resumen Diario'!$D$5:$D$504, '📅 Resumen Diario'!$B$5:$B$504, B2448, '📅 Resumen Diario'!$C$5:$C$504, D2448) * (SUMIFS('📋 Detalle Diario'!$E$5:$E$489, '📋 Detalle Diario'!$B$5:$B$489, B2448, '📋 Detalle Diario'!$C$5:$C$489, D2448) * 135 + SUMIFS('📋 Detalle Diario'!$I$5:$I$489, '📋 Detalle Diario'!$B$5:$B$489, B2448, '📋 Detalle Diario'!$C$5:$C$489, D2448) * 200), 0))</f>
        <v/>
      </c>
      <c r="P2448" s="32" t="str">
        <f t="shared" si="271"/>
        <v/>
      </c>
      <c r="Q2448" s="33" t="str">
        <f t="shared" si="272"/>
        <v/>
      </c>
    </row>
    <row r="2449" spans="2:17" ht="18" customHeight="1" x14ac:dyDescent="0.3">
      <c r="B2449" s="26"/>
      <c r="C2449" s="28"/>
      <c r="D2449" s="27"/>
      <c r="E2449" s="29"/>
      <c r="F2449" s="29"/>
      <c r="G2449" s="29"/>
      <c r="H2449" s="30" t="str">
        <f t="shared" si="266"/>
        <v/>
      </c>
      <c r="I2449" s="31" t="str">
        <f>IF(OR(B2449="",C2449=""),"",IFERROR(E2449*IF(E2449="",0,VLOOKUP(C2449,'📦 Precios Proforma'!$B$5:$D$104,IF(D2449="DIA",2,3),FALSE)),0))</f>
        <v/>
      </c>
      <c r="J2449" s="31" t="str">
        <f t="shared" si="267"/>
        <v/>
      </c>
      <c r="K2449" s="31" t="str">
        <f t="shared" si="268"/>
        <v/>
      </c>
      <c r="L2449" s="31" t="str">
        <f>IF(OR(B2449="",C2449=""),"",IFERROR(E2449 / SUMIFS('📅 Resumen Diario'!$D$5:$D$504, '📅 Resumen Diario'!$B$5:$B$504, B2449, '📅 Resumen Diario'!$C$5:$C$504, D2449) * SUMIFS('📅 Resumen Diario'!$K$5:$K$504, '📅 Resumen Diario'!$B$5:$B$504, B2449, '📅 Resumen Diario'!$C$5:$C$504, D2449), 0))</f>
        <v/>
      </c>
      <c r="M2449" s="31" t="str">
        <f t="shared" si="269"/>
        <v/>
      </c>
      <c r="N2449" s="31" t="str">
        <f t="shared" si="270"/>
        <v/>
      </c>
      <c r="O2449" s="31" t="str">
        <f>IF(OR(B2449="",C2449=""),"",K2449-N2449 + IFERROR(E2449 / SUMIFS('📅 Resumen Diario'!$D$5:$D$504, '📅 Resumen Diario'!$B$5:$B$504, B2449, '📅 Resumen Diario'!$C$5:$C$504, D2449) * (SUMIFS('📋 Detalle Diario'!$E$5:$E$489, '📋 Detalle Diario'!$B$5:$B$489, B2449, '📋 Detalle Diario'!$C$5:$C$489, D2449) * 135 + SUMIFS('📋 Detalle Diario'!$I$5:$I$489, '📋 Detalle Diario'!$B$5:$B$489, B2449, '📋 Detalle Diario'!$C$5:$C$489, D2449) * 200), 0))</f>
        <v/>
      </c>
      <c r="P2449" s="32" t="str">
        <f t="shared" si="271"/>
        <v/>
      </c>
      <c r="Q2449" s="33" t="str">
        <f t="shared" si="272"/>
        <v/>
      </c>
    </row>
    <row r="2450" spans="2:17" ht="18" customHeight="1" x14ac:dyDescent="0.3">
      <c r="B2450" s="26"/>
      <c r="C2450" s="17"/>
      <c r="D2450" s="27"/>
      <c r="E2450" s="18"/>
      <c r="F2450" s="18"/>
      <c r="G2450" s="18"/>
      <c r="H2450" s="30" t="str">
        <f t="shared" si="266"/>
        <v/>
      </c>
      <c r="I2450" s="31" t="str">
        <f>IF(OR(B2450="",C2450=""),"",IFERROR(E2450*IF(E2450="",0,VLOOKUP(C2450,'📦 Precios Proforma'!$B$5:$D$104,IF(D2450="DIA",2,3),FALSE)),0))</f>
        <v/>
      </c>
      <c r="J2450" s="31" t="str">
        <f t="shared" si="267"/>
        <v/>
      </c>
      <c r="K2450" s="31" t="str">
        <f t="shared" si="268"/>
        <v/>
      </c>
      <c r="L2450" s="31" t="str">
        <f>IF(OR(B2450="",C2450=""),"",IFERROR(E2450 / SUMIFS('📅 Resumen Diario'!$D$5:$D$504, '📅 Resumen Diario'!$B$5:$B$504, B2450, '📅 Resumen Diario'!$C$5:$C$504, D2450) * SUMIFS('📅 Resumen Diario'!$K$5:$K$504, '📅 Resumen Diario'!$B$5:$B$504, B2450, '📅 Resumen Diario'!$C$5:$C$504, D2450), 0))</f>
        <v/>
      </c>
      <c r="M2450" s="31" t="str">
        <f t="shared" si="269"/>
        <v/>
      </c>
      <c r="N2450" s="31" t="str">
        <f t="shared" si="270"/>
        <v/>
      </c>
      <c r="O2450" s="31" t="str">
        <f>IF(OR(B2450="",C2450=""),"",K2450-N2450 + IFERROR(E2450 / SUMIFS('📅 Resumen Diario'!$D$5:$D$504, '📅 Resumen Diario'!$B$5:$B$504, B2450, '📅 Resumen Diario'!$C$5:$C$504, D2450) * (SUMIFS('📋 Detalle Diario'!$E$5:$E$489, '📋 Detalle Diario'!$B$5:$B$489, B2450, '📋 Detalle Diario'!$C$5:$C$489, D2450) * 135 + SUMIFS('📋 Detalle Diario'!$I$5:$I$489, '📋 Detalle Diario'!$B$5:$B$489, B2450, '📋 Detalle Diario'!$C$5:$C$489, D2450) * 200), 0))</f>
        <v/>
      </c>
      <c r="P2450" s="32" t="str">
        <f t="shared" si="271"/>
        <v/>
      </c>
      <c r="Q2450" s="33" t="str">
        <f t="shared" si="272"/>
        <v/>
      </c>
    </row>
    <row r="2451" spans="2:17" ht="18" customHeight="1" x14ac:dyDescent="0.3">
      <c r="B2451" s="26"/>
      <c r="C2451" s="28"/>
      <c r="D2451" s="27"/>
      <c r="E2451" s="29"/>
      <c r="F2451" s="29"/>
      <c r="G2451" s="29"/>
      <c r="H2451" s="30" t="str">
        <f t="shared" si="266"/>
        <v/>
      </c>
      <c r="I2451" s="31" t="str">
        <f>IF(OR(B2451="",C2451=""),"",IFERROR(E2451*IF(E2451="",0,VLOOKUP(C2451,'📦 Precios Proforma'!$B$5:$D$104,IF(D2451="DIA",2,3),FALSE)),0))</f>
        <v/>
      </c>
      <c r="J2451" s="31" t="str">
        <f t="shared" si="267"/>
        <v/>
      </c>
      <c r="K2451" s="31" t="str">
        <f t="shared" si="268"/>
        <v/>
      </c>
      <c r="L2451" s="31" t="str">
        <f>IF(OR(B2451="",C2451=""),"",IFERROR(E2451 / SUMIFS('📅 Resumen Diario'!$D$5:$D$504, '📅 Resumen Diario'!$B$5:$B$504, B2451, '📅 Resumen Diario'!$C$5:$C$504, D2451) * SUMIFS('📅 Resumen Diario'!$K$5:$K$504, '📅 Resumen Diario'!$B$5:$B$504, B2451, '📅 Resumen Diario'!$C$5:$C$504, D2451), 0))</f>
        <v/>
      </c>
      <c r="M2451" s="31" t="str">
        <f t="shared" si="269"/>
        <v/>
      </c>
      <c r="N2451" s="31" t="str">
        <f t="shared" si="270"/>
        <v/>
      </c>
      <c r="O2451" s="31" t="str">
        <f>IF(OR(B2451="",C2451=""),"",K2451-N2451 + IFERROR(E2451 / SUMIFS('📅 Resumen Diario'!$D$5:$D$504, '📅 Resumen Diario'!$B$5:$B$504, B2451, '📅 Resumen Diario'!$C$5:$C$504, D2451) * (SUMIFS('📋 Detalle Diario'!$E$5:$E$489, '📋 Detalle Diario'!$B$5:$B$489, B2451, '📋 Detalle Diario'!$C$5:$C$489, D2451) * 135 + SUMIFS('📋 Detalle Diario'!$I$5:$I$489, '📋 Detalle Diario'!$B$5:$B$489, B2451, '📋 Detalle Diario'!$C$5:$C$489, D2451) * 200), 0))</f>
        <v/>
      </c>
      <c r="P2451" s="32" t="str">
        <f t="shared" si="271"/>
        <v/>
      </c>
      <c r="Q2451" s="33" t="str">
        <f t="shared" si="272"/>
        <v/>
      </c>
    </row>
    <row r="2452" spans="2:17" ht="18" customHeight="1" x14ac:dyDescent="0.3">
      <c r="B2452" s="26"/>
      <c r="C2452" s="17"/>
      <c r="D2452" s="27"/>
      <c r="E2452" s="18"/>
      <c r="F2452" s="18"/>
      <c r="G2452" s="18"/>
      <c r="H2452" s="30" t="str">
        <f t="shared" si="266"/>
        <v/>
      </c>
      <c r="I2452" s="31" t="str">
        <f>IF(OR(B2452="",C2452=""),"",IFERROR(E2452*IF(E2452="",0,VLOOKUP(C2452,'📦 Precios Proforma'!$B$5:$D$104,IF(D2452="DIA",2,3),FALSE)),0))</f>
        <v/>
      </c>
      <c r="J2452" s="31" t="str">
        <f t="shared" si="267"/>
        <v/>
      </c>
      <c r="K2452" s="31" t="str">
        <f t="shared" si="268"/>
        <v/>
      </c>
      <c r="L2452" s="31" t="str">
        <f>IF(OR(B2452="",C2452=""),"",IFERROR(E2452 / SUMIFS('📅 Resumen Diario'!$D$5:$D$504, '📅 Resumen Diario'!$B$5:$B$504, B2452, '📅 Resumen Diario'!$C$5:$C$504, D2452) * SUMIFS('📅 Resumen Diario'!$K$5:$K$504, '📅 Resumen Diario'!$B$5:$B$504, B2452, '📅 Resumen Diario'!$C$5:$C$504, D2452), 0))</f>
        <v/>
      </c>
      <c r="M2452" s="31" t="str">
        <f t="shared" si="269"/>
        <v/>
      </c>
      <c r="N2452" s="31" t="str">
        <f t="shared" si="270"/>
        <v/>
      </c>
      <c r="O2452" s="31" t="str">
        <f>IF(OR(B2452="",C2452=""),"",K2452-N2452 + IFERROR(E2452 / SUMIFS('📅 Resumen Diario'!$D$5:$D$504, '📅 Resumen Diario'!$B$5:$B$504, B2452, '📅 Resumen Diario'!$C$5:$C$504, D2452) * (SUMIFS('📋 Detalle Diario'!$E$5:$E$489, '📋 Detalle Diario'!$B$5:$B$489, B2452, '📋 Detalle Diario'!$C$5:$C$489, D2452) * 135 + SUMIFS('📋 Detalle Diario'!$I$5:$I$489, '📋 Detalle Diario'!$B$5:$B$489, B2452, '📋 Detalle Diario'!$C$5:$C$489, D2452) * 200), 0))</f>
        <v/>
      </c>
      <c r="P2452" s="32" t="str">
        <f t="shared" si="271"/>
        <v/>
      </c>
      <c r="Q2452" s="33" t="str">
        <f t="shared" si="272"/>
        <v/>
      </c>
    </row>
    <row r="2453" spans="2:17" ht="18" customHeight="1" x14ac:dyDescent="0.3">
      <c r="B2453" s="26"/>
      <c r="C2453" s="28"/>
      <c r="D2453" s="27"/>
      <c r="E2453" s="29"/>
      <c r="F2453" s="29"/>
      <c r="G2453" s="29"/>
      <c r="H2453" s="30" t="str">
        <f t="shared" si="266"/>
        <v/>
      </c>
      <c r="I2453" s="31" t="str">
        <f>IF(OR(B2453="",C2453=""),"",IFERROR(E2453*IF(E2453="",0,VLOOKUP(C2453,'📦 Precios Proforma'!$B$5:$D$104,IF(D2453="DIA",2,3),FALSE)),0))</f>
        <v/>
      </c>
      <c r="J2453" s="31" t="str">
        <f t="shared" si="267"/>
        <v/>
      </c>
      <c r="K2453" s="31" t="str">
        <f t="shared" si="268"/>
        <v/>
      </c>
      <c r="L2453" s="31" t="str">
        <f>IF(OR(B2453="",C2453=""),"",IFERROR(E2453 / SUMIFS('📅 Resumen Diario'!$D$5:$D$504, '📅 Resumen Diario'!$B$5:$B$504, B2453, '📅 Resumen Diario'!$C$5:$C$504, D2453) * SUMIFS('📅 Resumen Diario'!$K$5:$K$504, '📅 Resumen Diario'!$B$5:$B$504, B2453, '📅 Resumen Diario'!$C$5:$C$504, D2453), 0))</f>
        <v/>
      </c>
      <c r="M2453" s="31" t="str">
        <f t="shared" si="269"/>
        <v/>
      </c>
      <c r="N2453" s="31" t="str">
        <f t="shared" si="270"/>
        <v/>
      </c>
      <c r="O2453" s="31" t="str">
        <f>IF(OR(B2453="",C2453=""),"",K2453-N2453 + IFERROR(E2453 / SUMIFS('📅 Resumen Diario'!$D$5:$D$504, '📅 Resumen Diario'!$B$5:$B$504, B2453, '📅 Resumen Diario'!$C$5:$C$504, D2453) * (SUMIFS('📋 Detalle Diario'!$E$5:$E$489, '📋 Detalle Diario'!$B$5:$B$489, B2453, '📋 Detalle Diario'!$C$5:$C$489, D2453) * 135 + SUMIFS('📋 Detalle Diario'!$I$5:$I$489, '📋 Detalle Diario'!$B$5:$B$489, B2453, '📋 Detalle Diario'!$C$5:$C$489, D2453) * 200), 0))</f>
        <v/>
      </c>
      <c r="P2453" s="32" t="str">
        <f t="shared" si="271"/>
        <v/>
      </c>
      <c r="Q2453" s="33" t="str">
        <f t="shared" si="272"/>
        <v/>
      </c>
    </row>
    <row r="2454" spans="2:17" ht="18" customHeight="1" x14ac:dyDescent="0.3">
      <c r="B2454" s="26"/>
      <c r="C2454" s="17"/>
      <c r="D2454" s="27"/>
      <c r="E2454" s="18"/>
      <c r="F2454" s="18"/>
      <c r="G2454" s="18"/>
      <c r="H2454" s="30" t="str">
        <f t="shared" si="266"/>
        <v/>
      </c>
      <c r="I2454" s="31" t="str">
        <f>IF(OR(B2454="",C2454=""),"",IFERROR(E2454*IF(E2454="",0,VLOOKUP(C2454,'📦 Precios Proforma'!$B$5:$D$104,IF(D2454="DIA",2,3),FALSE)),0))</f>
        <v/>
      </c>
      <c r="J2454" s="31" t="str">
        <f t="shared" si="267"/>
        <v/>
      </c>
      <c r="K2454" s="31" t="str">
        <f t="shared" si="268"/>
        <v/>
      </c>
      <c r="L2454" s="31" t="str">
        <f>IF(OR(B2454="",C2454=""),"",IFERROR(E2454 / SUMIFS('📅 Resumen Diario'!$D$5:$D$504, '📅 Resumen Diario'!$B$5:$B$504, B2454, '📅 Resumen Diario'!$C$5:$C$504, D2454) * SUMIFS('📅 Resumen Diario'!$K$5:$K$504, '📅 Resumen Diario'!$B$5:$B$504, B2454, '📅 Resumen Diario'!$C$5:$C$504, D2454), 0))</f>
        <v/>
      </c>
      <c r="M2454" s="31" t="str">
        <f t="shared" si="269"/>
        <v/>
      </c>
      <c r="N2454" s="31" t="str">
        <f t="shared" si="270"/>
        <v/>
      </c>
      <c r="O2454" s="31" t="str">
        <f>IF(OR(B2454="",C2454=""),"",K2454-N2454 + IFERROR(E2454 / SUMIFS('📅 Resumen Diario'!$D$5:$D$504, '📅 Resumen Diario'!$B$5:$B$504, B2454, '📅 Resumen Diario'!$C$5:$C$504, D2454) * (SUMIFS('📋 Detalle Diario'!$E$5:$E$489, '📋 Detalle Diario'!$B$5:$B$489, B2454, '📋 Detalle Diario'!$C$5:$C$489, D2454) * 135 + SUMIFS('📋 Detalle Diario'!$I$5:$I$489, '📋 Detalle Diario'!$B$5:$B$489, B2454, '📋 Detalle Diario'!$C$5:$C$489, D2454) * 200), 0))</f>
        <v/>
      </c>
      <c r="P2454" s="32" t="str">
        <f t="shared" si="271"/>
        <v/>
      </c>
      <c r="Q2454" s="33" t="str">
        <f t="shared" si="272"/>
        <v/>
      </c>
    </row>
    <row r="2455" spans="2:17" ht="18" customHeight="1" x14ac:dyDescent="0.3">
      <c r="B2455" s="26"/>
      <c r="C2455" s="28"/>
      <c r="D2455" s="27"/>
      <c r="E2455" s="29"/>
      <c r="F2455" s="29"/>
      <c r="G2455" s="29"/>
      <c r="H2455" s="30" t="str">
        <f t="shared" si="266"/>
        <v/>
      </c>
      <c r="I2455" s="31" t="str">
        <f>IF(OR(B2455="",C2455=""),"",IFERROR(E2455*IF(E2455="",0,VLOOKUP(C2455,'📦 Precios Proforma'!$B$5:$D$104,IF(D2455="DIA",2,3),FALSE)),0))</f>
        <v/>
      </c>
      <c r="J2455" s="31" t="str">
        <f t="shared" si="267"/>
        <v/>
      </c>
      <c r="K2455" s="31" t="str">
        <f t="shared" si="268"/>
        <v/>
      </c>
      <c r="L2455" s="31" t="str">
        <f>IF(OR(B2455="",C2455=""),"",IFERROR(E2455 / SUMIFS('📅 Resumen Diario'!$D$5:$D$504, '📅 Resumen Diario'!$B$5:$B$504, B2455, '📅 Resumen Diario'!$C$5:$C$504, D2455) * SUMIFS('📅 Resumen Diario'!$K$5:$K$504, '📅 Resumen Diario'!$B$5:$B$504, B2455, '📅 Resumen Diario'!$C$5:$C$504, D2455), 0))</f>
        <v/>
      </c>
      <c r="M2455" s="31" t="str">
        <f t="shared" si="269"/>
        <v/>
      </c>
      <c r="N2455" s="31" t="str">
        <f t="shared" si="270"/>
        <v/>
      </c>
      <c r="O2455" s="31" t="str">
        <f>IF(OR(B2455="",C2455=""),"",K2455-N2455 + IFERROR(E2455 / SUMIFS('📅 Resumen Diario'!$D$5:$D$504, '📅 Resumen Diario'!$B$5:$B$504, B2455, '📅 Resumen Diario'!$C$5:$C$504, D2455) * (SUMIFS('📋 Detalle Diario'!$E$5:$E$489, '📋 Detalle Diario'!$B$5:$B$489, B2455, '📋 Detalle Diario'!$C$5:$C$489, D2455) * 135 + SUMIFS('📋 Detalle Diario'!$I$5:$I$489, '📋 Detalle Diario'!$B$5:$B$489, B2455, '📋 Detalle Diario'!$C$5:$C$489, D2455) * 200), 0))</f>
        <v/>
      </c>
      <c r="P2455" s="32" t="str">
        <f t="shared" si="271"/>
        <v/>
      </c>
      <c r="Q2455" s="33" t="str">
        <f t="shared" si="272"/>
        <v/>
      </c>
    </row>
    <row r="2456" spans="2:17" ht="18" customHeight="1" x14ac:dyDescent="0.3">
      <c r="B2456" s="26"/>
      <c r="C2456" s="17"/>
      <c r="D2456" s="27"/>
      <c r="E2456" s="18"/>
      <c r="F2456" s="18"/>
      <c r="G2456" s="18"/>
      <c r="H2456" s="30" t="str">
        <f t="shared" si="266"/>
        <v/>
      </c>
      <c r="I2456" s="31" t="str">
        <f>IF(OR(B2456="",C2456=""),"",IFERROR(E2456*IF(E2456="",0,VLOOKUP(C2456,'📦 Precios Proforma'!$B$5:$D$104,IF(D2456="DIA",2,3),FALSE)),0))</f>
        <v/>
      </c>
      <c r="J2456" s="31" t="str">
        <f t="shared" si="267"/>
        <v/>
      </c>
      <c r="K2456" s="31" t="str">
        <f t="shared" si="268"/>
        <v/>
      </c>
      <c r="L2456" s="31" t="str">
        <f>IF(OR(B2456="",C2456=""),"",IFERROR(E2456 / SUMIFS('📅 Resumen Diario'!$D$5:$D$504, '📅 Resumen Diario'!$B$5:$B$504, B2456, '📅 Resumen Diario'!$C$5:$C$504, D2456) * SUMIFS('📅 Resumen Diario'!$K$5:$K$504, '📅 Resumen Diario'!$B$5:$B$504, B2456, '📅 Resumen Diario'!$C$5:$C$504, D2456), 0))</f>
        <v/>
      </c>
      <c r="M2456" s="31" t="str">
        <f t="shared" si="269"/>
        <v/>
      </c>
      <c r="N2456" s="31" t="str">
        <f t="shared" si="270"/>
        <v/>
      </c>
      <c r="O2456" s="31" t="str">
        <f>IF(OR(B2456="",C2456=""),"",K2456-N2456 + IFERROR(E2456 / SUMIFS('📅 Resumen Diario'!$D$5:$D$504, '📅 Resumen Diario'!$B$5:$B$504, B2456, '📅 Resumen Diario'!$C$5:$C$504, D2456) * (SUMIFS('📋 Detalle Diario'!$E$5:$E$489, '📋 Detalle Diario'!$B$5:$B$489, B2456, '📋 Detalle Diario'!$C$5:$C$489, D2456) * 135 + SUMIFS('📋 Detalle Diario'!$I$5:$I$489, '📋 Detalle Diario'!$B$5:$B$489, B2456, '📋 Detalle Diario'!$C$5:$C$489, D2456) * 200), 0))</f>
        <v/>
      </c>
      <c r="P2456" s="32" t="str">
        <f t="shared" si="271"/>
        <v/>
      </c>
      <c r="Q2456" s="33" t="str">
        <f t="shared" si="272"/>
        <v/>
      </c>
    </row>
    <row r="2457" spans="2:17" ht="18" customHeight="1" x14ac:dyDescent="0.3">
      <c r="B2457" s="26"/>
      <c r="C2457" s="28"/>
      <c r="D2457" s="27"/>
      <c r="E2457" s="29"/>
      <c r="F2457" s="29"/>
      <c r="G2457" s="29"/>
      <c r="H2457" s="30" t="str">
        <f t="shared" si="266"/>
        <v/>
      </c>
      <c r="I2457" s="31" t="str">
        <f>IF(OR(B2457="",C2457=""),"",IFERROR(E2457*IF(E2457="",0,VLOOKUP(C2457,'📦 Precios Proforma'!$B$5:$D$104,IF(D2457="DIA",2,3),FALSE)),0))</f>
        <v/>
      </c>
      <c r="J2457" s="31" t="str">
        <f t="shared" si="267"/>
        <v/>
      </c>
      <c r="K2457" s="31" t="str">
        <f t="shared" si="268"/>
        <v/>
      </c>
      <c r="L2457" s="31" t="str">
        <f>IF(OR(B2457="",C2457=""),"",IFERROR(E2457 / SUMIFS('📅 Resumen Diario'!$D$5:$D$504, '📅 Resumen Diario'!$B$5:$B$504, B2457, '📅 Resumen Diario'!$C$5:$C$504, D2457) * SUMIFS('📅 Resumen Diario'!$K$5:$K$504, '📅 Resumen Diario'!$B$5:$B$504, B2457, '📅 Resumen Diario'!$C$5:$C$504, D2457), 0))</f>
        <v/>
      </c>
      <c r="M2457" s="31" t="str">
        <f t="shared" si="269"/>
        <v/>
      </c>
      <c r="N2457" s="31" t="str">
        <f t="shared" si="270"/>
        <v/>
      </c>
      <c r="O2457" s="31" t="str">
        <f>IF(OR(B2457="",C2457=""),"",K2457-N2457 + IFERROR(E2457 / SUMIFS('📅 Resumen Diario'!$D$5:$D$504, '📅 Resumen Diario'!$B$5:$B$504, B2457, '📅 Resumen Diario'!$C$5:$C$504, D2457) * (SUMIFS('📋 Detalle Diario'!$E$5:$E$489, '📋 Detalle Diario'!$B$5:$B$489, B2457, '📋 Detalle Diario'!$C$5:$C$489, D2457) * 135 + SUMIFS('📋 Detalle Diario'!$I$5:$I$489, '📋 Detalle Diario'!$B$5:$B$489, B2457, '📋 Detalle Diario'!$C$5:$C$489, D2457) * 200), 0))</f>
        <v/>
      </c>
      <c r="P2457" s="32" t="str">
        <f t="shared" si="271"/>
        <v/>
      </c>
      <c r="Q2457" s="33" t="str">
        <f t="shared" si="272"/>
        <v/>
      </c>
    </row>
    <row r="2458" spans="2:17" ht="18" customHeight="1" x14ac:dyDescent="0.3">
      <c r="B2458" s="26"/>
      <c r="C2458" s="17"/>
      <c r="D2458" s="27"/>
      <c r="E2458" s="18"/>
      <c r="F2458" s="18"/>
      <c r="G2458" s="18"/>
      <c r="H2458" s="30" t="str">
        <f t="shared" si="266"/>
        <v/>
      </c>
      <c r="I2458" s="31" t="str">
        <f>IF(OR(B2458="",C2458=""),"",IFERROR(E2458*IF(E2458="",0,VLOOKUP(C2458,'📦 Precios Proforma'!$B$5:$D$104,IF(D2458="DIA",2,3),FALSE)),0))</f>
        <v/>
      </c>
      <c r="J2458" s="31" t="str">
        <f t="shared" si="267"/>
        <v/>
      </c>
      <c r="K2458" s="31" t="str">
        <f t="shared" si="268"/>
        <v/>
      </c>
      <c r="L2458" s="31" t="str">
        <f>IF(OR(B2458="",C2458=""),"",IFERROR(E2458 / SUMIFS('📅 Resumen Diario'!$D$5:$D$504, '📅 Resumen Diario'!$B$5:$B$504, B2458, '📅 Resumen Diario'!$C$5:$C$504, D2458) * SUMIFS('📅 Resumen Diario'!$K$5:$K$504, '📅 Resumen Diario'!$B$5:$B$504, B2458, '📅 Resumen Diario'!$C$5:$C$504, D2458), 0))</f>
        <v/>
      </c>
      <c r="M2458" s="31" t="str">
        <f t="shared" si="269"/>
        <v/>
      </c>
      <c r="N2458" s="31" t="str">
        <f t="shared" si="270"/>
        <v/>
      </c>
      <c r="O2458" s="31" t="str">
        <f>IF(OR(B2458="",C2458=""),"",K2458-N2458 + IFERROR(E2458 / SUMIFS('📅 Resumen Diario'!$D$5:$D$504, '📅 Resumen Diario'!$B$5:$B$504, B2458, '📅 Resumen Diario'!$C$5:$C$504, D2458) * (SUMIFS('📋 Detalle Diario'!$E$5:$E$489, '📋 Detalle Diario'!$B$5:$B$489, B2458, '📋 Detalle Diario'!$C$5:$C$489, D2458) * 135 + SUMIFS('📋 Detalle Diario'!$I$5:$I$489, '📋 Detalle Diario'!$B$5:$B$489, B2458, '📋 Detalle Diario'!$C$5:$C$489, D2458) * 200), 0))</f>
        <v/>
      </c>
      <c r="P2458" s="32" t="str">
        <f t="shared" si="271"/>
        <v/>
      </c>
      <c r="Q2458" s="33" t="str">
        <f t="shared" si="272"/>
        <v/>
      </c>
    </row>
    <row r="2459" spans="2:17" ht="18" customHeight="1" x14ac:dyDescent="0.3">
      <c r="B2459" s="26"/>
      <c r="C2459" s="28"/>
      <c r="D2459" s="27"/>
      <c r="E2459" s="29"/>
      <c r="F2459" s="29"/>
      <c r="G2459" s="29"/>
      <c r="H2459" s="30" t="str">
        <f t="shared" si="266"/>
        <v/>
      </c>
      <c r="I2459" s="31" t="str">
        <f>IF(OR(B2459="",C2459=""),"",IFERROR(E2459*IF(E2459="",0,VLOOKUP(C2459,'📦 Precios Proforma'!$B$5:$D$104,IF(D2459="DIA",2,3),FALSE)),0))</f>
        <v/>
      </c>
      <c r="J2459" s="31" t="str">
        <f t="shared" si="267"/>
        <v/>
      </c>
      <c r="K2459" s="31" t="str">
        <f t="shared" si="268"/>
        <v/>
      </c>
      <c r="L2459" s="31" t="str">
        <f>IF(OR(B2459="",C2459=""),"",IFERROR(E2459 / SUMIFS('📅 Resumen Diario'!$D$5:$D$504, '📅 Resumen Diario'!$B$5:$B$504, B2459, '📅 Resumen Diario'!$C$5:$C$504, D2459) * SUMIFS('📅 Resumen Diario'!$K$5:$K$504, '📅 Resumen Diario'!$B$5:$B$504, B2459, '📅 Resumen Diario'!$C$5:$C$504, D2459), 0))</f>
        <v/>
      </c>
      <c r="M2459" s="31" t="str">
        <f t="shared" si="269"/>
        <v/>
      </c>
      <c r="N2459" s="31" t="str">
        <f t="shared" si="270"/>
        <v/>
      </c>
      <c r="O2459" s="31" t="str">
        <f>IF(OR(B2459="",C2459=""),"",K2459-N2459 + IFERROR(E2459 / SUMIFS('📅 Resumen Diario'!$D$5:$D$504, '📅 Resumen Diario'!$B$5:$B$504, B2459, '📅 Resumen Diario'!$C$5:$C$504, D2459) * (SUMIFS('📋 Detalle Diario'!$E$5:$E$489, '📋 Detalle Diario'!$B$5:$B$489, B2459, '📋 Detalle Diario'!$C$5:$C$489, D2459) * 135 + SUMIFS('📋 Detalle Diario'!$I$5:$I$489, '📋 Detalle Diario'!$B$5:$B$489, B2459, '📋 Detalle Diario'!$C$5:$C$489, D2459) * 200), 0))</f>
        <v/>
      </c>
      <c r="P2459" s="32" t="str">
        <f t="shared" si="271"/>
        <v/>
      </c>
      <c r="Q2459" s="33" t="str">
        <f t="shared" si="272"/>
        <v/>
      </c>
    </row>
    <row r="2460" spans="2:17" ht="18" customHeight="1" x14ac:dyDescent="0.3">
      <c r="B2460" s="26"/>
      <c r="C2460" s="17"/>
      <c r="D2460" s="27"/>
      <c r="E2460" s="18"/>
      <c r="F2460" s="18"/>
      <c r="G2460" s="18"/>
      <c r="H2460" s="30" t="str">
        <f t="shared" si="266"/>
        <v/>
      </c>
      <c r="I2460" s="31" t="str">
        <f>IF(OR(B2460="",C2460=""),"",IFERROR(E2460*IF(E2460="",0,VLOOKUP(C2460,'📦 Precios Proforma'!$B$5:$D$104,IF(D2460="DIA",2,3),FALSE)),0))</f>
        <v/>
      </c>
      <c r="J2460" s="31" t="str">
        <f t="shared" si="267"/>
        <v/>
      </c>
      <c r="K2460" s="31" t="str">
        <f t="shared" si="268"/>
        <v/>
      </c>
      <c r="L2460" s="31" t="str">
        <f>IF(OR(B2460="",C2460=""),"",IFERROR(E2460 / SUMIFS('📅 Resumen Diario'!$D$5:$D$504, '📅 Resumen Diario'!$B$5:$B$504, B2460, '📅 Resumen Diario'!$C$5:$C$504, D2460) * SUMIFS('📅 Resumen Diario'!$K$5:$K$504, '📅 Resumen Diario'!$B$5:$B$504, B2460, '📅 Resumen Diario'!$C$5:$C$504, D2460), 0))</f>
        <v/>
      </c>
      <c r="M2460" s="31" t="str">
        <f t="shared" si="269"/>
        <v/>
      </c>
      <c r="N2460" s="31" t="str">
        <f t="shared" si="270"/>
        <v/>
      </c>
      <c r="O2460" s="31" t="str">
        <f>IF(OR(B2460="",C2460=""),"",K2460-N2460 + IFERROR(E2460 / SUMIFS('📅 Resumen Diario'!$D$5:$D$504, '📅 Resumen Diario'!$B$5:$B$504, B2460, '📅 Resumen Diario'!$C$5:$C$504, D2460) * (SUMIFS('📋 Detalle Diario'!$E$5:$E$489, '📋 Detalle Diario'!$B$5:$B$489, B2460, '📋 Detalle Diario'!$C$5:$C$489, D2460) * 135 + SUMIFS('📋 Detalle Diario'!$I$5:$I$489, '📋 Detalle Diario'!$B$5:$B$489, B2460, '📋 Detalle Diario'!$C$5:$C$489, D2460) * 200), 0))</f>
        <v/>
      </c>
      <c r="P2460" s="32" t="str">
        <f t="shared" si="271"/>
        <v/>
      </c>
      <c r="Q2460" s="33" t="str">
        <f t="shared" si="272"/>
        <v/>
      </c>
    </row>
    <row r="2461" spans="2:17" ht="18" customHeight="1" x14ac:dyDescent="0.3">
      <c r="B2461" s="26"/>
      <c r="C2461" s="28"/>
      <c r="D2461" s="27"/>
      <c r="E2461" s="29"/>
      <c r="F2461" s="29"/>
      <c r="G2461" s="29"/>
      <c r="H2461" s="30" t="str">
        <f t="shared" si="266"/>
        <v/>
      </c>
      <c r="I2461" s="31" t="str">
        <f>IF(OR(B2461="",C2461=""),"",IFERROR(E2461*IF(E2461="",0,VLOOKUP(C2461,'📦 Precios Proforma'!$B$5:$D$104,IF(D2461="DIA",2,3),FALSE)),0))</f>
        <v/>
      </c>
      <c r="J2461" s="31" t="str">
        <f t="shared" si="267"/>
        <v/>
      </c>
      <c r="K2461" s="31" t="str">
        <f t="shared" si="268"/>
        <v/>
      </c>
      <c r="L2461" s="31" t="str">
        <f>IF(OR(B2461="",C2461=""),"",IFERROR(E2461 / SUMIFS('📅 Resumen Diario'!$D$5:$D$504, '📅 Resumen Diario'!$B$5:$B$504, B2461, '📅 Resumen Diario'!$C$5:$C$504, D2461) * SUMIFS('📅 Resumen Diario'!$K$5:$K$504, '📅 Resumen Diario'!$B$5:$B$504, B2461, '📅 Resumen Diario'!$C$5:$C$504, D2461), 0))</f>
        <v/>
      </c>
      <c r="M2461" s="31" t="str">
        <f t="shared" si="269"/>
        <v/>
      </c>
      <c r="N2461" s="31" t="str">
        <f t="shared" si="270"/>
        <v/>
      </c>
      <c r="O2461" s="31" t="str">
        <f>IF(OR(B2461="",C2461=""),"",K2461-N2461 + IFERROR(E2461 / SUMIFS('📅 Resumen Diario'!$D$5:$D$504, '📅 Resumen Diario'!$B$5:$B$504, B2461, '📅 Resumen Diario'!$C$5:$C$504, D2461) * (SUMIFS('📋 Detalle Diario'!$E$5:$E$489, '📋 Detalle Diario'!$B$5:$B$489, B2461, '📋 Detalle Diario'!$C$5:$C$489, D2461) * 135 + SUMIFS('📋 Detalle Diario'!$I$5:$I$489, '📋 Detalle Diario'!$B$5:$B$489, B2461, '📋 Detalle Diario'!$C$5:$C$489, D2461) * 200), 0))</f>
        <v/>
      </c>
      <c r="P2461" s="32" t="str">
        <f t="shared" si="271"/>
        <v/>
      </c>
      <c r="Q2461" s="33" t="str">
        <f t="shared" si="272"/>
        <v/>
      </c>
    </row>
    <row r="2462" spans="2:17" ht="18" customHeight="1" x14ac:dyDescent="0.3">
      <c r="B2462" s="26"/>
      <c r="C2462" s="17"/>
      <c r="D2462" s="27"/>
      <c r="E2462" s="18"/>
      <c r="F2462" s="18"/>
      <c r="G2462" s="18"/>
      <c r="H2462" s="30" t="str">
        <f t="shared" si="266"/>
        <v/>
      </c>
      <c r="I2462" s="31" t="str">
        <f>IF(OR(B2462="",C2462=""),"",IFERROR(E2462*IF(E2462="",0,VLOOKUP(C2462,'📦 Precios Proforma'!$B$5:$D$104,IF(D2462="DIA",2,3),FALSE)),0))</f>
        <v/>
      </c>
      <c r="J2462" s="31" t="str">
        <f t="shared" si="267"/>
        <v/>
      </c>
      <c r="K2462" s="31" t="str">
        <f t="shared" si="268"/>
        <v/>
      </c>
      <c r="L2462" s="31" t="str">
        <f>IF(OR(B2462="",C2462=""),"",IFERROR(E2462 / SUMIFS('📅 Resumen Diario'!$D$5:$D$504, '📅 Resumen Diario'!$B$5:$B$504, B2462, '📅 Resumen Diario'!$C$5:$C$504, D2462) * SUMIFS('📅 Resumen Diario'!$K$5:$K$504, '📅 Resumen Diario'!$B$5:$B$504, B2462, '📅 Resumen Diario'!$C$5:$C$504, D2462), 0))</f>
        <v/>
      </c>
      <c r="M2462" s="31" t="str">
        <f t="shared" si="269"/>
        <v/>
      </c>
      <c r="N2462" s="31" t="str">
        <f t="shared" si="270"/>
        <v/>
      </c>
      <c r="O2462" s="31" t="str">
        <f>IF(OR(B2462="",C2462=""),"",K2462-N2462 + IFERROR(E2462 / SUMIFS('📅 Resumen Diario'!$D$5:$D$504, '📅 Resumen Diario'!$B$5:$B$504, B2462, '📅 Resumen Diario'!$C$5:$C$504, D2462) * (SUMIFS('📋 Detalle Diario'!$E$5:$E$489, '📋 Detalle Diario'!$B$5:$B$489, B2462, '📋 Detalle Diario'!$C$5:$C$489, D2462) * 135 + SUMIFS('📋 Detalle Diario'!$I$5:$I$489, '📋 Detalle Diario'!$B$5:$B$489, B2462, '📋 Detalle Diario'!$C$5:$C$489, D2462) * 200), 0))</f>
        <v/>
      </c>
      <c r="P2462" s="32" t="str">
        <f t="shared" si="271"/>
        <v/>
      </c>
      <c r="Q2462" s="33" t="str">
        <f t="shared" si="272"/>
        <v/>
      </c>
    </row>
    <row r="2463" spans="2:17" ht="18" customHeight="1" x14ac:dyDescent="0.3">
      <c r="B2463" s="26"/>
      <c r="C2463" s="28"/>
      <c r="D2463" s="27"/>
      <c r="E2463" s="29"/>
      <c r="F2463" s="29"/>
      <c r="G2463" s="29"/>
      <c r="H2463" s="30" t="str">
        <f t="shared" si="266"/>
        <v/>
      </c>
      <c r="I2463" s="31" t="str">
        <f>IF(OR(B2463="",C2463=""),"",IFERROR(E2463*IF(E2463="",0,VLOOKUP(C2463,'📦 Precios Proforma'!$B$5:$D$104,IF(D2463="DIA",2,3),FALSE)),0))</f>
        <v/>
      </c>
      <c r="J2463" s="31" t="str">
        <f t="shared" si="267"/>
        <v/>
      </c>
      <c r="K2463" s="31" t="str">
        <f t="shared" si="268"/>
        <v/>
      </c>
      <c r="L2463" s="31" t="str">
        <f>IF(OR(B2463="",C2463=""),"",IFERROR(E2463 / SUMIFS('📅 Resumen Diario'!$D$5:$D$504, '📅 Resumen Diario'!$B$5:$B$504, B2463, '📅 Resumen Diario'!$C$5:$C$504, D2463) * SUMIFS('📅 Resumen Diario'!$K$5:$K$504, '📅 Resumen Diario'!$B$5:$B$504, B2463, '📅 Resumen Diario'!$C$5:$C$504, D2463), 0))</f>
        <v/>
      </c>
      <c r="M2463" s="31" t="str">
        <f t="shared" si="269"/>
        <v/>
      </c>
      <c r="N2463" s="31" t="str">
        <f t="shared" si="270"/>
        <v/>
      </c>
      <c r="O2463" s="31" t="str">
        <f>IF(OR(B2463="",C2463=""),"",K2463-N2463 + IFERROR(E2463 / SUMIFS('📅 Resumen Diario'!$D$5:$D$504, '📅 Resumen Diario'!$B$5:$B$504, B2463, '📅 Resumen Diario'!$C$5:$C$504, D2463) * (SUMIFS('📋 Detalle Diario'!$E$5:$E$489, '📋 Detalle Diario'!$B$5:$B$489, B2463, '📋 Detalle Diario'!$C$5:$C$489, D2463) * 135 + SUMIFS('📋 Detalle Diario'!$I$5:$I$489, '📋 Detalle Diario'!$B$5:$B$489, B2463, '📋 Detalle Diario'!$C$5:$C$489, D2463) * 200), 0))</f>
        <v/>
      </c>
      <c r="P2463" s="32" t="str">
        <f t="shared" si="271"/>
        <v/>
      </c>
      <c r="Q2463" s="33" t="str">
        <f t="shared" si="272"/>
        <v/>
      </c>
    </row>
    <row r="2464" spans="2:17" ht="18" customHeight="1" x14ac:dyDescent="0.3">
      <c r="B2464" s="26"/>
      <c r="C2464" s="17"/>
      <c r="D2464" s="27"/>
      <c r="E2464" s="18"/>
      <c r="F2464" s="18"/>
      <c r="G2464" s="18"/>
      <c r="H2464" s="30" t="str">
        <f t="shared" si="266"/>
        <v/>
      </c>
      <c r="I2464" s="31" t="str">
        <f>IF(OR(B2464="",C2464=""),"",IFERROR(E2464*IF(E2464="",0,VLOOKUP(C2464,'📦 Precios Proforma'!$B$5:$D$104,IF(D2464="DIA",2,3),FALSE)),0))</f>
        <v/>
      </c>
      <c r="J2464" s="31" t="str">
        <f t="shared" si="267"/>
        <v/>
      </c>
      <c r="K2464" s="31" t="str">
        <f t="shared" si="268"/>
        <v/>
      </c>
      <c r="L2464" s="31" t="str">
        <f>IF(OR(B2464="",C2464=""),"",IFERROR(E2464 / SUMIFS('📅 Resumen Diario'!$D$5:$D$504, '📅 Resumen Diario'!$B$5:$B$504, B2464, '📅 Resumen Diario'!$C$5:$C$504, D2464) * SUMIFS('📅 Resumen Diario'!$K$5:$K$504, '📅 Resumen Diario'!$B$5:$B$504, B2464, '📅 Resumen Diario'!$C$5:$C$504, D2464), 0))</f>
        <v/>
      </c>
      <c r="M2464" s="31" t="str">
        <f t="shared" si="269"/>
        <v/>
      </c>
      <c r="N2464" s="31" t="str">
        <f t="shared" si="270"/>
        <v/>
      </c>
      <c r="O2464" s="31" t="str">
        <f>IF(OR(B2464="",C2464=""),"",K2464-N2464 + IFERROR(E2464 / SUMIFS('📅 Resumen Diario'!$D$5:$D$504, '📅 Resumen Diario'!$B$5:$B$504, B2464, '📅 Resumen Diario'!$C$5:$C$504, D2464) * (SUMIFS('📋 Detalle Diario'!$E$5:$E$489, '📋 Detalle Diario'!$B$5:$B$489, B2464, '📋 Detalle Diario'!$C$5:$C$489, D2464) * 135 + SUMIFS('📋 Detalle Diario'!$I$5:$I$489, '📋 Detalle Diario'!$B$5:$B$489, B2464, '📋 Detalle Diario'!$C$5:$C$489, D2464) * 200), 0))</f>
        <v/>
      </c>
      <c r="P2464" s="32" t="str">
        <f t="shared" si="271"/>
        <v/>
      </c>
      <c r="Q2464" s="33" t="str">
        <f t="shared" si="272"/>
        <v/>
      </c>
    </row>
    <row r="2465" spans="2:17" ht="18" customHeight="1" x14ac:dyDescent="0.3">
      <c r="B2465" s="26"/>
      <c r="C2465" s="28"/>
      <c r="D2465" s="27"/>
      <c r="E2465" s="29"/>
      <c r="F2465" s="29"/>
      <c r="G2465" s="29"/>
      <c r="H2465" s="30" t="str">
        <f t="shared" si="266"/>
        <v/>
      </c>
      <c r="I2465" s="31" t="str">
        <f>IF(OR(B2465="",C2465=""),"",IFERROR(E2465*IF(E2465="",0,VLOOKUP(C2465,'📦 Precios Proforma'!$B$5:$D$104,IF(D2465="DIA",2,3),FALSE)),0))</f>
        <v/>
      </c>
      <c r="J2465" s="31" t="str">
        <f t="shared" si="267"/>
        <v/>
      </c>
      <c r="K2465" s="31" t="str">
        <f t="shared" si="268"/>
        <v/>
      </c>
      <c r="L2465" s="31" t="str">
        <f>IF(OR(B2465="",C2465=""),"",IFERROR(E2465 / SUMIFS('📅 Resumen Diario'!$D$5:$D$504, '📅 Resumen Diario'!$B$5:$B$504, B2465, '📅 Resumen Diario'!$C$5:$C$504, D2465) * SUMIFS('📅 Resumen Diario'!$K$5:$K$504, '📅 Resumen Diario'!$B$5:$B$504, B2465, '📅 Resumen Diario'!$C$5:$C$504, D2465), 0))</f>
        <v/>
      </c>
      <c r="M2465" s="31" t="str">
        <f t="shared" si="269"/>
        <v/>
      </c>
      <c r="N2465" s="31" t="str">
        <f t="shared" si="270"/>
        <v/>
      </c>
      <c r="O2465" s="31" t="str">
        <f>IF(OR(B2465="",C2465=""),"",K2465-N2465 + IFERROR(E2465 / SUMIFS('📅 Resumen Diario'!$D$5:$D$504, '📅 Resumen Diario'!$B$5:$B$504, B2465, '📅 Resumen Diario'!$C$5:$C$504, D2465) * (SUMIFS('📋 Detalle Diario'!$E$5:$E$489, '📋 Detalle Diario'!$B$5:$B$489, B2465, '📋 Detalle Diario'!$C$5:$C$489, D2465) * 135 + SUMIFS('📋 Detalle Diario'!$I$5:$I$489, '📋 Detalle Diario'!$B$5:$B$489, B2465, '📋 Detalle Diario'!$C$5:$C$489, D2465) * 200), 0))</f>
        <v/>
      </c>
      <c r="P2465" s="32" t="str">
        <f t="shared" si="271"/>
        <v/>
      </c>
      <c r="Q2465" s="33" t="str">
        <f t="shared" si="272"/>
        <v/>
      </c>
    </row>
    <row r="2466" spans="2:17" ht="18" customHeight="1" x14ac:dyDescent="0.3">
      <c r="B2466" s="26"/>
      <c r="C2466" s="17"/>
      <c r="D2466" s="27"/>
      <c r="E2466" s="18"/>
      <c r="F2466" s="18"/>
      <c r="G2466" s="18"/>
      <c r="H2466" s="30" t="str">
        <f t="shared" si="266"/>
        <v/>
      </c>
      <c r="I2466" s="31" t="str">
        <f>IF(OR(B2466="",C2466=""),"",IFERROR(E2466*IF(E2466="",0,VLOOKUP(C2466,'📦 Precios Proforma'!$B$5:$D$104,IF(D2466="DIA",2,3),FALSE)),0))</f>
        <v/>
      </c>
      <c r="J2466" s="31" t="str">
        <f t="shared" si="267"/>
        <v/>
      </c>
      <c r="K2466" s="31" t="str">
        <f t="shared" si="268"/>
        <v/>
      </c>
      <c r="L2466" s="31" t="str">
        <f>IF(OR(B2466="",C2466=""),"",IFERROR(E2466 / SUMIFS('📅 Resumen Diario'!$D$5:$D$504, '📅 Resumen Diario'!$B$5:$B$504, B2466, '📅 Resumen Diario'!$C$5:$C$504, D2466) * SUMIFS('📅 Resumen Diario'!$K$5:$K$504, '📅 Resumen Diario'!$B$5:$B$504, B2466, '📅 Resumen Diario'!$C$5:$C$504, D2466), 0))</f>
        <v/>
      </c>
      <c r="M2466" s="31" t="str">
        <f t="shared" si="269"/>
        <v/>
      </c>
      <c r="N2466" s="31" t="str">
        <f t="shared" si="270"/>
        <v/>
      </c>
      <c r="O2466" s="31" t="str">
        <f>IF(OR(B2466="",C2466=""),"",K2466-N2466 + IFERROR(E2466 / SUMIFS('📅 Resumen Diario'!$D$5:$D$504, '📅 Resumen Diario'!$B$5:$B$504, B2466, '📅 Resumen Diario'!$C$5:$C$504, D2466) * (SUMIFS('📋 Detalle Diario'!$E$5:$E$489, '📋 Detalle Diario'!$B$5:$B$489, B2466, '📋 Detalle Diario'!$C$5:$C$489, D2466) * 135 + SUMIFS('📋 Detalle Diario'!$I$5:$I$489, '📋 Detalle Diario'!$B$5:$B$489, B2466, '📋 Detalle Diario'!$C$5:$C$489, D2466) * 200), 0))</f>
        <v/>
      </c>
      <c r="P2466" s="32" t="str">
        <f t="shared" si="271"/>
        <v/>
      </c>
      <c r="Q2466" s="33" t="str">
        <f t="shared" si="272"/>
        <v/>
      </c>
    </row>
    <row r="2467" spans="2:17" ht="18" customHeight="1" x14ac:dyDescent="0.3">
      <c r="B2467" s="26"/>
      <c r="C2467" s="28"/>
      <c r="D2467" s="27"/>
      <c r="E2467" s="29"/>
      <c r="F2467" s="29"/>
      <c r="G2467" s="29"/>
      <c r="H2467" s="30" t="str">
        <f t="shared" si="266"/>
        <v/>
      </c>
      <c r="I2467" s="31" t="str">
        <f>IF(OR(B2467="",C2467=""),"",IFERROR(E2467*IF(E2467="",0,VLOOKUP(C2467,'📦 Precios Proforma'!$B$5:$D$104,IF(D2467="DIA",2,3),FALSE)),0))</f>
        <v/>
      </c>
      <c r="J2467" s="31" t="str">
        <f t="shared" si="267"/>
        <v/>
      </c>
      <c r="K2467" s="31" t="str">
        <f t="shared" si="268"/>
        <v/>
      </c>
      <c r="L2467" s="31" t="str">
        <f>IF(OR(B2467="",C2467=""),"",IFERROR(E2467 / SUMIFS('📅 Resumen Diario'!$D$5:$D$504, '📅 Resumen Diario'!$B$5:$B$504, B2467, '📅 Resumen Diario'!$C$5:$C$504, D2467) * SUMIFS('📅 Resumen Diario'!$K$5:$K$504, '📅 Resumen Diario'!$B$5:$B$504, B2467, '📅 Resumen Diario'!$C$5:$C$504, D2467), 0))</f>
        <v/>
      </c>
      <c r="M2467" s="31" t="str">
        <f t="shared" si="269"/>
        <v/>
      </c>
      <c r="N2467" s="31" t="str">
        <f t="shared" si="270"/>
        <v/>
      </c>
      <c r="O2467" s="31" t="str">
        <f>IF(OR(B2467="",C2467=""),"",K2467-N2467 + IFERROR(E2467 / SUMIFS('📅 Resumen Diario'!$D$5:$D$504, '📅 Resumen Diario'!$B$5:$B$504, B2467, '📅 Resumen Diario'!$C$5:$C$504, D2467) * (SUMIFS('📋 Detalle Diario'!$E$5:$E$489, '📋 Detalle Diario'!$B$5:$B$489, B2467, '📋 Detalle Diario'!$C$5:$C$489, D2467) * 135 + SUMIFS('📋 Detalle Diario'!$I$5:$I$489, '📋 Detalle Diario'!$B$5:$B$489, B2467, '📋 Detalle Diario'!$C$5:$C$489, D2467) * 200), 0))</f>
        <v/>
      </c>
      <c r="P2467" s="32" t="str">
        <f t="shared" si="271"/>
        <v/>
      </c>
      <c r="Q2467" s="33" t="str">
        <f t="shared" si="272"/>
        <v/>
      </c>
    </row>
    <row r="2468" spans="2:17" ht="18" customHeight="1" x14ac:dyDescent="0.3">
      <c r="B2468" s="26"/>
      <c r="C2468" s="17"/>
      <c r="D2468" s="27"/>
      <c r="E2468" s="18"/>
      <c r="F2468" s="18"/>
      <c r="G2468" s="18"/>
      <c r="H2468" s="30" t="str">
        <f t="shared" si="266"/>
        <v/>
      </c>
      <c r="I2468" s="31" t="str">
        <f>IF(OR(B2468="",C2468=""),"",IFERROR(E2468*IF(E2468="",0,VLOOKUP(C2468,'📦 Precios Proforma'!$B$5:$D$104,IF(D2468="DIA",2,3),FALSE)),0))</f>
        <v/>
      </c>
      <c r="J2468" s="31" t="str">
        <f t="shared" si="267"/>
        <v/>
      </c>
      <c r="K2468" s="31" t="str">
        <f t="shared" si="268"/>
        <v/>
      </c>
      <c r="L2468" s="31" t="str">
        <f>IF(OR(B2468="",C2468=""),"",IFERROR(E2468 / SUMIFS('📅 Resumen Diario'!$D$5:$D$504, '📅 Resumen Diario'!$B$5:$B$504, B2468, '📅 Resumen Diario'!$C$5:$C$504, D2468) * SUMIFS('📅 Resumen Diario'!$K$5:$K$504, '📅 Resumen Diario'!$B$5:$B$504, B2468, '📅 Resumen Diario'!$C$5:$C$504, D2468), 0))</f>
        <v/>
      </c>
      <c r="M2468" s="31" t="str">
        <f t="shared" si="269"/>
        <v/>
      </c>
      <c r="N2468" s="31" t="str">
        <f t="shared" si="270"/>
        <v/>
      </c>
      <c r="O2468" s="31" t="str">
        <f>IF(OR(B2468="",C2468=""),"",K2468-N2468 + IFERROR(E2468 / SUMIFS('📅 Resumen Diario'!$D$5:$D$504, '📅 Resumen Diario'!$B$5:$B$504, B2468, '📅 Resumen Diario'!$C$5:$C$504, D2468) * (SUMIFS('📋 Detalle Diario'!$E$5:$E$489, '📋 Detalle Diario'!$B$5:$B$489, B2468, '📋 Detalle Diario'!$C$5:$C$489, D2468) * 135 + SUMIFS('📋 Detalle Diario'!$I$5:$I$489, '📋 Detalle Diario'!$B$5:$B$489, B2468, '📋 Detalle Diario'!$C$5:$C$489, D2468) * 200), 0))</f>
        <v/>
      </c>
      <c r="P2468" s="32" t="str">
        <f t="shared" si="271"/>
        <v/>
      </c>
      <c r="Q2468" s="33" t="str">
        <f t="shared" si="272"/>
        <v/>
      </c>
    </row>
    <row r="2469" spans="2:17" ht="18" customHeight="1" x14ac:dyDescent="0.3">
      <c r="B2469" s="26"/>
      <c r="C2469" s="28"/>
      <c r="D2469" s="27"/>
      <c r="E2469" s="29"/>
      <c r="F2469" s="29"/>
      <c r="G2469" s="29"/>
      <c r="H2469" s="30" t="str">
        <f t="shared" si="266"/>
        <v/>
      </c>
      <c r="I2469" s="31" t="str">
        <f>IF(OR(B2469="",C2469=""),"",IFERROR(E2469*IF(E2469="",0,VLOOKUP(C2469,'📦 Precios Proforma'!$B$5:$D$104,IF(D2469="DIA",2,3),FALSE)),0))</f>
        <v/>
      </c>
      <c r="J2469" s="31" t="str">
        <f t="shared" si="267"/>
        <v/>
      </c>
      <c r="K2469" s="31" t="str">
        <f t="shared" si="268"/>
        <v/>
      </c>
      <c r="L2469" s="31" t="str">
        <f>IF(OR(B2469="",C2469=""),"",IFERROR(E2469 / SUMIFS('📅 Resumen Diario'!$D$5:$D$504, '📅 Resumen Diario'!$B$5:$B$504, B2469, '📅 Resumen Diario'!$C$5:$C$504, D2469) * SUMIFS('📅 Resumen Diario'!$K$5:$K$504, '📅 Resumen Diario'!$B$5:$B$504, B2469, '📅 Resumen Diario'!$C$5:$C$504, D2469), 0))</f>
        <v/>
      </c>
      <c r="M2469" s="31" t="str">
        <f t="shared" si="269"/>
        <v/>
      </c>
      <c r="N2469" s="31" t="str">
        <f t="shared" si="270"/>
        <v/>
      </c>
      <c r="O2469" s="31" t="str">
        <f>IF(OR(B2469="",C2469=""),"",K2469-N2469 + IFERROR(E2469 / SUMIFS('📅 Resumen Diario'!$D$5:$D$504, '📅 Resumen Diario'!$B$5:$B$504, B2469, '📅 Resumen Diario'!$C$5:$C$504, D2469) * (SUMIFS('📋 Detalle Diario'!$E$5:$E$489, '📋 Detalle Diario'!$B$5:$B$489, B2469, '📋 Detalle Diario'!$C$5:$C$489, D2469) * 135 + SUMIFS('📋 Detalle Diario'!$I$5:$I$489, '📋 Detalle Diario'!$B$5:$B$489, B2469, '📋 Detalle Diario'!$C$5:$C$489, D2469) * 200), 0))</f>
        <v/>
      </c>
      <c r="P2469" s="32" t="str">
        <f t="shared" si="271"/>
        <v/>
      </c>
      <c r="Q2469" s="33" t="str">
        <f t="shared" si="272"/>
        <v/>
      </c>
    </row>
    <row r="2470" spans="2:17" ht="18" customHeight="1" x14ac:dyDescent="0.3">
      <c r="B2470" s="26"/>
      <c r="C2470" s="17"/>
      <c r="D2470" s="27"/>
      <c r="E2470" s="18"/>
      <c r="F2470" s="18"/>
      <c r="G2470" s="18"/>
      <c r="H2470" s="30" t="str">
        <f t="shared" si="266"/>
        <v/>
      </c>
      <c r="I2470" s="31" t="str">
        <f>IF(OR(B2470="",C2470=""),"",IFERROR(E2470*IF(E2470="",0,VLOOKUP(C2470,'📦 Precios Proforma'!$B$5:$D$104,IF(D2470="DIA",2,3),FALSE)),0))</f>
        <v/>
      </c>
      <c r="J2470" s="31" t="str">
        <f t="shared" si="267"/>
        <v/>
      </c>
      <c r="K2470" s="31" t="str">
        <f t="shared" si="268"/>
        <v/>
      </c>
      <c r="L2470" s="31" t="str">
        <f>IF(OR(B2470="",C2470=""),"",IFERROR(E2470 / SUMIFS('📅 Resumen Diario'!$D$5:$D$504, '📅 Resumen Diario'!$B$5:$B$504, B2470, '📅 Resumen Diario'!$C$5:$C$504, D2470) * SUMIFS('📅 Resumen Diario'!$K$5:$K$504, '📅 Resumen Diario'!$B$5:$B$504, B2470, '📅 Resumen Diario'!$C$5:$C$504, D2470), 0))</f>
        <v/>
      </c>
      <c r="M2470" s="31" t="str">
        <f t="shared" si="269"/>
        <v/>
      </c>
      <c r="N2470" s="31" t="str">
        <f t="shared" si="270"/>
        <v/>
      </c>
      <c r="O2470" s="31" t="str">
        <f>IF(OR(B2470="",C2470=""),"",K2470-N2470 + IFERROR(E2470 / SUMIFS('📅 Resumen Diario'!$D$5:$D$504, '📅 Resumen Diario'!$B$5:$B$504, B2470, '📅 Resumen Diario'!$C$5:$C$504, D2470) * (SUMIFS('📋 Detalle Diario'!$E$5:$E$489, '📋 Detalle Diario'!$B$5:$B$489, B2470, '📋 Detalle Diario'!$C$5:$C$489, D2470) * 135 + SUMIFS('📋 Detalle Diario'!$I$5:$I$489, '📋 Detalle Diario'!$B$5:$B$489, B2470, '📋 Detalle Diario'!$C$5:$C$489, D2470) * 200), 0))</f>
        <v/>
      </c>
      <c r="P2470" s="32" t="str">
        <f t="shared" si="271"/>
        <v/>
      </c>
      <c r="Q2470" s="33" t="str">
        <f t="shared" si="272"/>
        <v/>
      </c>
    </row>
    <row r="2471" spans="2:17" ht="18" customHeight="1" x14ac:dyDescent="0.3">
      <c r="B2471" s="26"/>
      <c r="C2471" s="28"/>
      <c r="D2471" s="27"/>
      <c r="E2471" s="29"/>
      <c r="F2471" s="29"/>
      <c r="G2471" s="29"/>
      <c r="H2471" s="30" t="str">
        <f t="shared" si="266"/>
        <v/>
      </c>
      <c r="I2471" s="31" t="str">
        <f>IF(OR(B2471="",C2471=""),"",IFERROR(E2471*IF(E2471="",0,VLOOKUP(C2471,'📦 Precios Proforma'!$B$5:$D$104,IF(D2471="DIA",2,3),FALSE)),0))</f>
        <v/>
      </c>
      <c r="J2471" s="31" t="str">
        <f t="shared" si="267"/>
        <v/>
      </c>
      <c r="K2471" s="31" t="str">
        <f t="shared" si="268"/>
        <v/>
      </c>
      <c r="L2471" s="31" t="str">
        <f>IF(OR(B2471="",C2471=""),"",IFERROR(E2471 / SUMIFS('📅 Resumen Diario'!$D$5:$D$504, '📅 Resumen Diario'!$B$5:$B$504, B2471, '📅 Resumen Diario'!$C$5:$C$504, D2471) * SUMIFS('📅 Resumen Diario'!$K$5:$K$504, '📅 Resumen Diario'!$B$5:$B$504, B2471, '📅 Resumen Diario'!$C$5:$C$504, D2471), 0))</f>
        <v/>
      </c>
      <c r="M2471" s="31" t="str">
        <f t="shared" si="269"/>
        <v/>
      </c>
      <c r="N2471" s="31" t="str">
        <f t="shared" si="270"/>
        <v/>
      </c>
      <c r="O2471" s="31" t="str">
        <f>IF(OR(B2471="",C2471=""),"",K2471-N2471 + IFERROR(E2471 / SUMIFS('📅 Resumen Diario'!$D$5:$D$504, '📅 Resumen Diario'!$B$5:$B$504, B2471, '📅 Resumen Diario'!$C$5:$C$504, D2471) * (SUMIFS('📋 Detalle Diario'!$E$5:$E$489, '📋 Detalle Diario'!$B$5:$B$489, B2471, '📋 Detalle Diario'!$C$5:$C$489, D2471) * 135 + SUMIFS('📋 Detalle Diario'!$I$5:$I$489, '📋 Detalle Diario'!$B$5:$B$489, B2471, '📋 Detalle Diario'!$C$5:$C$489, D2471) * 200), 0))</f>
        <v/>
      </c>
      <c r="P2471" s="32" t="str">
        <f t="shared" si="271"/>
        <v/>
      </c>
      <c r="Q2471" s="33" t="str">
        <f t="shared" si="272"/>
        <v/>
      </c>
    </row>
    <row r="2472" spans="2:17" ht="18" customHeight="1" x14ac:dyDescent="0.3">
      <c r="B2472" s="26"/>
      <c r="C2472" s="17"/>
      <c r="D2472" s="27"/>
      <c r="E2472" s="18"/>
      <c r="F2472" s="18"/>
      <c r="G2472" s="18"/>
      <c r="H2472" s="30" t="str">
        <f t="shared" si="266"/>
        <v/>
      </c>
      <c r="I2472" s="31" t="str">
        <f>IF(OR(B2472="",C2472=""),"",IFERROR(E2472*IF(E2472="",0,VLOOKUP(C2472,'📦 Precios Proforma'!$B$5:$D$104,IF(D2472="DIA",2,3),FALSE)),0))</f>
        <v/>
      </c>
      <c r="J2472" s="31" t="str">
        <f t="shared" si="267"/>
        <v/>
      </c>
      <c r="K2472" s="31" t="str">
        <f t="shared" si="268"/>
        <v/>
      </c>
      <c r="L2472" s="31" t="str">
        <f>IF(OR(B2472="",C2472=""),"",IFERROR(E2472 / SUMIFS('📅 Resumen Diario'!$D$5:$D$504, '📅 Resumen Diario'!$B$5:$B$504, B2472, '📅 Resumen Diario'!$C$5:$C$504, D2472) * SUMIFS('📅 Resumen Diario'!$K$5:$K$504, '📅 Resumen Diario'!$B$5:$B$504, B2472, '📅 Resumen Diario'!$C$5:$C$504, D2472), 0))</f>
        <v/>
      </c>
      <c r="M2472" s="31" t="str">
        <f t="shared" si="269"/>
        <v/>
      </c>
      <c r="N2472" s="31" t="str">
        <f t="shared" si="270"/>
        <v/>
      </c>
      <c r="O2472" s="31" t="str">
        <f>IF(OR(B2472="",C2472=""),"",K2472-N2472 + IFERROR(E2472 / SUMIFS('📅 Resumen Diario'!$D$5:$D$504, '📅 Resumen Diario'!$B$5:$B$504, B2472, '📅 Resumen Diario'!$C$5:$C$504, D2472) * (SUMIFS('📋 Detalle Diario'!$E$5:$E$489, '📋 Detalle Diario'!$B$5:$B$489, B2472, '📋 Detalle Diario'!$C$5:$C$489, D2472) * 135 + SUMIFS('📋 Detalle Diario'!$I$5:$I$489, '📋 Detalle Diario'!$B$5:$B$489, B2472, '📋 Detalle Diario'!$C$5:$C$489, D2472) * 200), 0))</f>
        <v/>
      </c>
      <c r="P2472" s="32" t="str">
        <f t="shared" si="271"/>
        <v/>
      </c>
      <c r="Q2472" s="33" t="str">
        <f t="shared" si="272"/>
        <v/>
      </c>
    </row>
    <row r="2473" spans="2:17" ht="18" customHeight="1" x14ac:dyDescent="0.3">
      <c r="B2473" s="26"/>
      <c r="C2473" s="28"/>
      <c r="D2473" s="27"/>
      <c r="E2473" s="29"/>
      <c r="F2473" s="29"/>
      <c r="G2473" s="29"/>
      <c r="H2473" s="30" t="str">
        <f t="shared" si="266"/>
        <v/>
      </c>
      <c r="I2473" s="31" t="str">
        <f>IF(OR(B2473="",C2473=""),"",IFERROR(E2473*IF(E2473="",0,VLOOKUP(C2473,'📦 Precios Proforma'!$B$5:$D$104,IF(D2473="DIA",2,3),FALSE)),0))</f>
        <v/>
      </c>
      <c r="J2473" s="31" t="str">
        <f t="shared" si="267"/>
        <v/>
      </c>
      <c r="K2473" s="31" t="str">
        <f t="shared" si="268"/>
        <v/>
      </c>
      <c r="L2473" s="31" t="str">
        <f>IF(OR(B2473="",C2473=""),"",IFERROR(E2473 / SUMIFS('📅 Resumen Diario'!$D$5:$D$504, '📅 Resumen Diario'!$B$5:$B$504, B2473, '📅 Resumen Diario'!$C$5:$C$504, D2473) * SUMIFS('📅 Resumen Diario'!$K$5:$K$504, '📅 Resumen Diario'!$B$5:$B$504, B2473, '📅 Resumen Diario'!$C$5:$C$504, D2473), 0))</f>
        <v/>
      </c>
      <c r="M2473" s="31" t="str">
        <f t="shared" si="269"/>
        <v/>
      </c>
      <c r="N2473" s="31" t="str">
        <f t="shared" si="270"/>
        <v/>
      </c>
      <c r="O2473" s="31" t="str">
        <f>IF(OR(B2473="",C2473=""),"",K2473-N2473 + IFERROR(E2473 / SUMIFS('📅 Resumen Diario'!$D$5:$D$504, '📅 Resumen Diario'!$B$5:$B$504, B2473, '📅 Resumen Diario'!$C$5:$C$504, D2473) * (SUMIFS('📋 Detalle Diario'!$E$5:$E$489, '📋 Detalle Diario'!$B$5:$B$489, B2473, '📋 Detalle Diario'!$C$5:$C$489, D2473) * 135 + SUMIFS('📋 Detalle Diario'!$I$5:$I$489, '📋 Detalle Diario'!$B$5:$B$489, B2473, '📋 Detalle Diario'!$C$5:$C$489, D2473) * 200), 0))</f>
        <v/>
      </c>
      <c r="P2473" s="32" t="str">
        <f t="shared" si="271"/>
        <v/>
      </c>
      <c r="Q2473" s="33" t="str">
        <f t="shared" si="272"/>
        <v/>
      </c>
    </row>
    <row r="2474" spans="2:17" ht="18" customHeight="1" x14ac:dyDescent="0.3">
      <c r="B2474" s="26"/>
      <c r="C2474" s="17"/>
      <c r="D2474" s="27"/>
      <c r="E2474" s="18"/>
      <c r="F2474" s="18"/>
      <c r="G2474" s="18"/>
      <c r="H2474" s="30" t="str">
        <f t="shared" si="266"/>
        <v/>
      </c>
      <c r="I2474" s="31" t="str">
        <f>IF(OR(B2474="",C2474=""),"",IFERROR(E2474*IF(E2474="",0,VLOOKUP(C2474,'📦 Precios Proforma'!$B$5:$D$104,IF(D2474="DIA",2,3),FALSE)),0))</f>
        <v/>
      </c>
      <c r="J2474" s="31" t="str">
        <f t="shared" si="267"/>
        <v/>
      </c>
      <c r="K2474" s="31" t="str">
        <f t="shared" si="268"/>
        <v/>
      </c>
      <c r="L2474" s="31" t="str">
        <f>IF(OR(B2474="",C2474=""),"",IFERROR(E2474 / SUMIFS('📅 Resumen Diario'!$D$5:$D$504, '📅 Resumen Diario'!$B$5:$B$504, B2474, '📅 Resumen Diario'!$C$5:$C$504, D2474) * SUMIFS('📅 Resumen Diario'!$K$5:$K$504, '📅 Resumen Diario'!$B$5:$B$504, B2474, '📅 Resumen Diario'!$C$5:$C$504, D2474), 0))</f>
        <v/>
      </c>
      <c r="M2474" s="31" t="str">
        <f t="shared" si="269"/>
        <v/>
      </c>
      <c r="N2474" s="31" t="str">
        <f t="shared" si="270"/>
        <v/>
      </c>
      <c r="O2474" s="31" t="str">
        <f>IF(OR(B2474="",C2474=""),"",K2474-N2474 + IFERROR(E2474 / SUMIFS('📅 Resumen Diario'!$D$5:$D$504, '📅 Resumen Diario'!$B$5:$B$504, B2474, '📅 Resumen Diario'!$C$5:$C$504, D2474) * (SUMIFS('📋 Detalle Diario'!$E$5:$E$489, '📋 Detalle Diario'!$B$5:$B$489, B2474, '📋 Detalle Diario'!$C$5:$C$489, D2474) * 135 + SUMIFS('📋 Detalle Diario'!$I$5:$I$489, '📋 Detalle Diario'!$B$5:$B$489, B2474, '📋 Detalle Diario'!$C$5:$C$489, D2474) * 200), 0))</f>
        <v/>
      </c>
      <c r="P2474" s="32" t="str">
        <f t="shared" si="271"/>
        <v/>
      </c>
      <c r="Q2474" s="33" t="str">
        <f t="shared" si="272"/>
        <v/>
      </c>
    </row>
    <row r="2475" spans="2:17" ht="18" customHeight="1" x14ac:dyDescent="0.3">
      <c r="B2475" s="26"/>
      <c r="C2475" s="28"/>
      <c r="D2475" s="27"/>
      <c r="E2475" s="29"/>
      <c r="F2475" s="29"/>
      <c r="G2475" s="29"/>
      <c r="H2475" s="30" t="str">
        <f t="shared" si="266"/>
        <v/>
      </c>
      <c r="I2475" s="31" t="str">
        <f>IF(OR(B2475="",C2475=""),"",IFERROR(E2475*IF(E2475="",0,VLOOKUP(C2475,'📦 Precios Proforma'!$B$5:$D$104,IF(D2475="DIA",2,3),FALSE)),0))</f>
        <v/>
      </c>
      <c r="J2475" s="31" t="str">
        <f t="shared" si="267"/>
        <v/>
      </c>
      <c r="K2475" s="31" t="str">
        <f t="shared" si="268"/>
        <v/>
      </c>
      <c r="L2475" s="31" t="str">
        <f>IF(OR(B2475="",C2475=""),"",IFERROR(E2475 / SUMIFS('📅 Resumen Diario'!$D$5:$D$504, '📅 Resumen Diario'!$B$5:$B$504, B2475, '📅 Resumen Diario'!$C$5:$C$504, D2475) * SUMIFS('📅 Resumen Diario'!$K$5:$K$504, '📅 Resumen Diario'!$B$5:$B$504, B2475, '📅 Resumen Diario'!$C$5:$C$504, D2475), 0))</f>
        <v/>
      </c>
      <c r="M2475" s="31" t="str">
        <f t="shared" si="269"/>
        <v/>
      </c>
      <c r="N2475" s="31" t="str">
        <f t="shared" si="270"/>
        <v/>
      </c>
      <c r="O2475" s="31" t="str">
        <f>IF(OR(B2475="",C2475=""),"",K2475-N2475 + IFERROR(E2475 / SUMIFS('📅 Resumen Diario'!$D$5:$D$504, '📅 Resumen Diario'!$B$5:$B$504, B2475, '📅 Resumen Diario'!$C$5:$C$504, D2475) * (SUMIFS('📋 Detalle Diario'!$E$5:$E$489, '📋 Detalle Diario'!$B$5:$B$489, B2475, '📋 Detalle Diario'!$C$5:$C$489, D2475) * 135 + SUMIFS('📋 Detalle Diario'!$I$5:$I$489, '📋 Detalle Diario'!$B$5:$B$489, B2475, '📋 Detalle Diario'!$C$5:$C$489, D2475) * 200), 0))</f>
        <v/>
      </c>
      <c r="P2475" s="32" t="str">
        <f t="shared" si="271"/>
        <v/>
      </c>
      <c r="Q2475" s="33" t="str">
        <f t="shared" si="272"/>
        <v/>
      </c>
    </row>
    <row r="2476" spans="2:17" ht="18" customHeight="1" x14ac:dyDescent="0.3">
      <c r="B2476" s="26"/>
      <c r="C2476" s="17"/>
      <c r="D2476" s="27"/>
      <c r="E2476" s="18"/>
      <c r="F2476" s="18"/>
      <c r="G2476" s="18"/>
      <c r="H2476" s="30" t="str">
        <f t="shared" si="266"/>
        <v/>
      </c>
      <c r="I2476" s="31" t="str">
        <f>IF(OR(B2476="",C2476=""),"",IFERROR(E2476*IF(E2476="",0,VLOOKUP(C2476,'📦 Precios Proforma'!$B$5:$D$104,IF(D2476="DIA",2,3),FALSE)),0))</f>
        <v/>
      </c>
      <c r="J2476" s="31" t="str">
        <f t="shared" si="267"/>
        <v/>
      </c>
      <c r="K2476" s="31" t="str">
        <f t="shared" si="268"/>
        <v/>
      </c>
      <c r="L2476" s="31" t="str">
        <f>IF(OR(B2476="",C2476=""),"",IFERROR(E2476 / SUMIFS('📅 Resumen Diario'!$D$5:$D$504, '📅 Resumen Diario'!$B$5:$B$504, B2476, '📅 Resumen Diario'!$C$5:$C$504, D2476) * SUMIFS('📅 Resumen Diario'!$K$5:$K$504, '📅 Resumen Diario'!$B$5:$B$504, B2476, '📅 Resumen Diario'!$C$5:$C$504, D2476), 0))</f>
        <v/>
      </c>
      <c r="M2476" s="31" t="str">
        <f t="shared" si="269"/>
        <v/>
      </c>
      <c r="N2476" s="31" t="str">
        <f t="shared" si="270"/>
        <v/>
      </c>
      <c r="O2476" s="31" t="str">
        <f>IF(OR(B2476="",C2476=""),"",K2476-N2476 + IFERROR(E2476 / SUMIFS('📅 Resumen Diario'!$D$5:$D$504, '📅 Resumen Diario'!$B$5:$B$504, B2476, '📅 Resumen Diario'!$C$5:$C$504, D2476) * (SUMIFS('📋 Detalle Diario'!$E$5:$E$489, '📋 Detalle Diario'!$B$5:$B$489, B2476, '📋 Detalle Diario'!$C$5:$C$489, D2476) * 135 + SUMIFS('📋 Detalle Diario'!$I$5:$I$489, '📋 Detalle Diario'!$B$5:$B$489, B2476, '📋 Detalle Diario'!$C$5:$C$489, D2476) * 200), 0))</f>
        <v/>
      </c>
      <c r="P2476" s="32" t="str">
        <f t="shared" si="271"/>
        <v/>
      </c>
      <c r="Q2476" s="33" t="str">
        <f t="shared" si="272"/>
        <v/>
      </c>
    </row>
    <row r="2477" spans="2:17" ht="18" customHeight="1" x14ac:dyDescent="0.3">
      <c r="B2477" s="26"/>
      <c r="C2477" s="28"/>
      <c r="D2477" s="27"/>
      <c r="E2477" s="29"/>
      <c r="F2477" s="29"/>
      <c r="G2477" s="29"/>
      <c r="H2477" s="30" t="str">
        <f t="shared" si="266"/>
        <v/>
      </c>
      <c r="I2477" s="31" t="str">
        <f>IF(OR(B2477="",C2477=""),"",IFERROR(E2477*IF(E2477="",0,VLOOKUP(C2477,'📦 Precios Proforma'!$B$5:$D$104,IF(D2477="DIA",2,3),FALSE)),0))</f>
        <v/>
      </c>
      <c r="J2477" s="31" t="str">
        <f t="shared" si="267"/>
        <v/>
      </c>
      <c r="K2477" s="31" t="str">
        <f t="shared" si="268"/>
        <v/>
      </c>
      <c r="L2477" s="31" t="str">
        <f>IF(OR(B2477="",C2477=""),"",IFERROR(E2477 / SUMIFS('📅 Resumen Diario'!$D$5:$D$504, '📅 Resumen Diario'!$B$5:$B$504, B2477, '📅 Resumen Diario'!$C$5:$C$504, D2477) * SUMIFS('📅 Resumen Diario'!$K$5:$K$504, '📅 Resumen Diario'!$B$5:$B$504, B2477, '📅 Resumen Diario'!$C$5:$C$504, D2477), 0))</f>
        <v/>
      </c>
      <c r="M2477" s="31" t="str">
        <f t="shared" si="269"/>
        <v/>
      </c>
      <c r="N2477" s="31" t="str">
        <f t="shared" si="270"/>
        <v/>
      </c>
      <c r="O2477" s="31" t="str">
        <f>IF(OR(B2477="",C2477=""),"",K2477-N2477 + IFERROR(E2477 / SUMIFS('📅 Resumen Diario'!$D$5:$D$504, '📅 Resumen Diario'!$B$5:$B$504, B2477, '📅 Resumen Diario'!$C$5:$C$504, D2477) * (SUMIFS('📋 Detalle Diario'!$E$5:$E$489, '📋 Detalle Diario'!$B$5:$B$489, B2477, '📋 Detalle Diario'!$C$5:$C$489, D2477) * 135 + SUMIFS('📋 Detalle Diario'!$I$5:$I$489, '📋 Detalle Diario'!$B$5:$B$489, B2477, '📋 Detalle Diario'!$C$5:$C$489, D2477) * 200), 0))</f>
        <v/>
      </c>
      <c r="P2477" s="32" t="str">
        <f t="shared" si="271"/>
        <v/>
      </c>
      <c r="Q2477" s="33" t="str">
        <f t="shared" si="272"/>
        <v/>
      </c>
    </row>
    <row r="2478" spans="2:17" ht="18" customHeight="1" x14ac:dyDescent="0.3">
      <c r="B2478" s="26"/>
      <c r="C2478" s="17"/>
      <c r="D2478" s="27"/>
      <c r="E2478" s="18"/>
      <c r="F2478" s="18"/>
      <c r="G2478" s="18"/>
      <c r="H2478" s="30" t="str">
        <f t="shared" si="266"/>
        <v/>
      </c>
      <c r="I2478" s="31" t="str">
        <f>IF(OR(B2478="",C2478=""),"",IFERROR(E2478*IF(E2478="",0,VLOOKUP(C2478,'📦 Precios Proforma'!$B$5:$D$104,IF(D2478="DIA",2,3),FALSE)),0))</f>
        <v/>
      </c>
      <c r="J2478" s="31" t="str">
        <f t="shared" si="267"/>
        <v/>
      </c>
      <c r="K2478" s="31" t="str">
        <f t="shared" si="268"/>
        <v/>
      </c>
      <c r="L2478" s="31" t="str">
        <f>IF(OR(B2478="",C2478=""),"",IFERROR(E2478 / SUMIFS('📅 Resumen Diario'!$D$5:$D$504, '📅 Resumen Diario'!$B$5:$B$504, B2478, '📅 Resumen Diario'!$C$5:$C$504, D2478) * SUMIFS('📅 Resumen Diario'!$K$5:$K$504, '📅 Resumen Diario'!$B$5:$B$504, B2478, '📅 Resumen Diario'!$C$5:$C$504, D2478), 0))</f>
        <v/>
      </c>
      <c r="M2478" s="31" t="str">
        <f t="shared" si="269"/>
        <v/>
      </c>
      <c r="N2478" s="31" t="str">
        <f t="shared" si="270"/>
        <v/>
      </c>
      <c r="O2478" s="31" t="str">
        <f>IF(OR(B2478="",C2478=""),"",K2478-N2478 + IFERROR(E2478 / SUMIFS('📅 Resumen Diario'!$D$5:$D$504, '📅 Resumen Diario'!$B$5:$B$504, B2478, '📅 Resumen Diario'!$C$5:$C$504, D2478) * (SUMIFS('📋 Detalle Diario'!$E$5:$E$489, '📋 Detalle Diario'!$B$5:$B$489, B2478, '📋 Detalle Diario'!$C$5:$C$489, D2478) * 135 + SUMIFS('📋 Detalle Diario'!$I$5:$I$489, '📋 Detalle Diario'!$B$5:$B$489, B2478, '📋 Detalle Diario'!$C$5:$C$489, D2478) * 200), 0))</f>
        <v/>
      </c>
      <c r="P2478" s="32" t="str">
        <f t="shared" si="271"/>
        <v/>
      </c>
      <c r="Q2478" s="33" t="str">
        <f t="shared" si="272"/>
        <v/>
      </c>
    </row>
    <row r="2479" spans="2:17" ht="18" customHeight="1" x14ac:dyDescent="0.3">
      <c r="B2479" s="26"/>
      <c r="C2479" s="28"/>
      <c r="D2479" s="27"/>
      <c r="E2479" s="29"/>
      <c r="F2479" s="29"/>
      <c r="G2479" s="29"/>
      <c r="H2479" s="30" t="str">
        <f t="shared" si="266"/>
        <v/>
      </c>
      <c r="I2479" s="31" t="str">
        <f>IF(OR(B2479="",C2479=""),"",IFERROR(E2479*IF(E2479="",0,VLOOKUP(C2479,'📦 Precios Proforma'!$B$5:$D$104,IF(D2479="DIA",2,3),FALSE)),0))</f>
        <v/>
      </c>
      <c r="J2479" s="31" t="str">
        <f t="shared" si="267"/>
        <v/>
      </c>
      <c r="K2479" s="31" t="str">
        <f t="shared" si="268"/>
        <v/>
      </c>
      <c r="L2479" s="31" t="str">
        <f>IF(OR(B2479="",C2479=""),"",IFERROR(E2479 / SUMIFS('📅 Resumen Diario'!$D$5:$D$504, '📅 Resumen Diario'!$B$5:$B$504, B2479, '📅 Resumen Diario'!$C$5:$C$504, D2479) * SUMIFS('📅 Resumen Diario'!$K$5:$K$504, '📅 Resumen Diario'!$B$5:$B$504, B2479, '📅 Resumen Diario'!$C$5:$C$504, D2479), 0))</f>
        <v/>
      </c>
      <c r="M2479" s="31" t="str">
        <f t="shared" si="269"/>
        <v/>
      </c>
      <c r="N2479" s="31" t="str">
        <f t="shared" si="270"/>
        <v/>
      </c>
      <c r="O2479" s="31" t="str">
        <f>IF(OR(B2479="",C2479=""),"",K2479-N2479 + IFERROR(E2479 / SUMIFS('📅 Resumen Diario'!$D$5:$D$504, '📅 Resumen Diario'!$B$5:$B$504, B2479, '📅 Resumen Diario'!$C$5:$C$504, D2479) * (SUMIFS('📋 Detalle Diario'!$E$5:$E$489, '📋 Detalle Diario'!$B$5:$B$489, B2479, '📋 Detalle Diario'!$C$5:$C$489, D2479) * 135 + SUMIFS('📋 Detalle Diario'!$I$5:$I$489, '📋 Detalle Diario'!$B$5:$B$489, B2479, '📋 Detalle Diario'!$C$5:$C$489, D2479) * 200), 0))</f>
        <v/>
      </c>
      <c r="P2479" s="32" t="str">
        <f t="shared" si="271"/>
        <v/>
      </c>
      <c r="Q2479" s="33" t="str">
        <f t="shared" si="272"/>
        <v/>
      </c>
    </row>
    <row r="2480" spans="2:17" ht="18" customHeight="1" x14ac:dyDescent="0.3">
      <c r="B2480" s="26"/>
      <c r="C2480" s="17"/>
      <c r="D2480" s="27"/>
      <c r="E2480" s="18"/>
      <c r="F2480" s="18"/>
      <c r="G2480" s="18"/>
      <c r="H2480" s="30" t="str">
        <f t="shared" si="266"/>
        <v/>
      </c>
      <c r="I2480" s="31" t="str">
        <f>IF(OR(B2480="",C2480=""),"",IFERROR(E2480*IF(E2480="",0,VLOOKUP(C2480,'📦 Precios Proforma'!$B$5:$D$104,IF(D2480="DIA",2,3),FALSE)),0))</f>
        <v/>
      </c>
      <c r="J2480" s="31" t="str">
        <f t="shared" si="267"/>
        <v/>
      </c>
      <c r="K2480" s="31" t="str">
        <f t="shared" si="268"/>
        <v/>
      </c>
      <c r="L2480" s="31" t="str">
        <f>IF(OR(B2480="",C2480=""),"",IFERROR(E2480 / SUMIFS('📅 Resumen Diario'!$D$5:$D$504, '📅 Resumen Diario'!$B$5:$B$504, B2480, '📅 Resumen Diario'!$C$5:$C$504, D2480) * SUMIFS('📅 Resumen Diario'!$K$5:$K$504, '📅 Resumen Diario'!$B$5:$B$504, B2480, '📅 Resumen Diario'!$C$5:$C$504, D2480), 0))</f>
        <v/>
      </c>
      <c r="M2480" s="31" t="str">
        <f t="shared" si="269"/>
        <v/>
      </c>
      <c r="N2480" s="31" t="str">
        <f t="shared" si="270"/>
        <v/>
      </c>
      <c r="O2480" s="31" t="str">
        <f>IF(OR(B2480="",C2480=""),"",K2480-N2480 + IFERROR(E2480 / SUMIFS('📅 Resumen Diario'!$D$5:$D$504, '📅 Resumen Diario'!$B$5:$B$504, B2480, '📅 Resumen Diario'!$C$5:$C$504, D2480) * (SUMIFS('📋 Detalle Diario'!$E$5:$E$489, '📋 Detalle Diario'!$B$5:$B$489, B2480, '📋 Detalle Diario'!$C$5:$C$489, D2480) * 135 + SUMIFS('📋 Detalle Diario'!$I$5:$I$489, '📋 Detalle Diario'!$B$5:$B$489, B2480, '📋 Detalle Diario'!$C$5:$C$489, D2480) * 200), 0))</f>
        <v/>
      </c>
      <c r="P2480" s="32" t="str">
        <f t="shared" si="271"/>
        <v/>
      </c>
      <c r="Q2480" s="33" t="str">
        <f t="shared" si="272"/>
        <v/>
      </c>
    </row>
    <row r="2481" spans="2:17" ht="18" customHeight="1" x14ac:dyDescent="0.3">
      <c r="B2481" s="26"/>
      <c r="C2481" s="28"/>
      <c r="D2481" s="27"/>
      <c r="E2481" s="29"/>
      <c r="F2481" s="29"/>
      <c r="G2481" s="29"/>
      <c r="H2481" s="30" t="str">
        <f t="shared" si="266"/>
        <v/>
      </c>
      <c r="I2481" s="31" t="str">
        <f>IF(OR(B2481="",C2481=""),"",IFERROR(E2481*IF(E2481="",0,VLOOKUP(C2481,'📦 Precios Proforma'!$B$5:$D$104,IF(D2481="DIA",2,3),FALSE)),0))</f>
        <v/>
      </c>
      <c r="J2481" s="31" t="str">
        <f t="shared" si="267"/>
        <v/>
      </c>
      <c r="K2481" s="31" t="str">
        <f t="shared" si="268"/>
        <v/>
      </c>
      <c r="L2481" s="31" t="str">
        <f>IF(OR(B2481="",C2481=""),"",IFERROR(E2481 / SUMIFS('📅 Resumen Diario'!$D$5:$D$504, '📅 Resumen Diario'!$B$5:$B$504, B2481, '📅 Resumen Diario'!$C$5:$C$504, D2481) * SUMIFS('📅 Resumen Diario'!$K$5:$K$504, '📅 Resumen Diario'!$B$5:$B$504, B2481, '📅 Resumen Diario'!$C$5:$C$504, D2481), 0))</f>
        <v/>
      </c>
      <c r="M2481" s="31" t="str">
        <f t="shared" si="269"/>
        <v/>
      </c>
      <c r="N2481" s="31" t="str">
        <f t="shared" si="270"/>
        <v/>
      </c>
      <c r="O2481" s="31" t="str">
        <f>IF(OR(B2481="",C2481=""),"",K2481-N2481 + IFERROR(E2481 / SUMIFS('📅 Resumen Diario'!$D$5:$D$504, '📅 Resumen Diario'!$B$5:$B$504, B2481, '📅 Resumen Diario'!$C$5:$C$504, D2481) * (SUMIFS('📋 Detalle Diario'!$E$5:$E$489, '📋 Detalle Diario'!$B$5:$B$489, B2481, '📋 Detalle Diario'!$C$5:$C$489, D2481) * 135 + SUMIFS('📋 Detalle Diario'!$I$5:$I$489, '📋 Detalle Diario'!$B$5:$B$489, B2481, '📋 Detalle Diario'!$C$5:$C$489, D2481) * 200), 0))</f>
        <v/>
      </c>
      <c r="P2481" s="32" t="str">
        <f t="shared" si="271"/>
        <v/>
      </c>
      <c r="Q2481" s="33" t="str">
        <f t="shared" si="272"/>
        <v/>
      </c>
    </row>
    <row r="2482" spans="2:17" ht="18" customHeight="1" x14ac:dyDescent="0.3">
      <c r="B2482" s="26"/>
      <c r="C2482" s="17"/>
      <c r="D2482" s="27"/>
      <c r="E2482" s="18"/>
      <c r="F2482" s="18"/>
      <c r="G2482" s="18"/>
      <c r="H2482" s="30" t="str">
        <f t="shared" si="266"/>
        <v/>
      </c>
      <c r="I2482" s="31" t="str">
        <f>IF(OR(B2482="",C2482=""),"",IFERROR(E2482*IF(E2482="",0,VLOOKUP(C2482,'📦 Precios Proforma'!$B$5:$D$104,IF(D2482="DIA",2,3),FALSE)),0))</f>
        <v/>
      </c>
      <c r="J2482" s="31" t="str">
        <f t="shared" si="267"/>
        <v/>
      </c>
      <c r="K2482" s="31" t="str">
        <f t="shared" si="268"/>
        <v/>
      </c>
      <c r="L2482" s="31" t="str">
        <f>IF(OR(B2482="",C2482=""),"",IFERROR(E2482 / SUMIFS('📅 Resumen Diario'!$D$5:$D$504, '📅 Resumen Diario'!$B$5:$B$504, B2482, '📅 Resumen Diario'!$C$5:$C$504, D2482) * SUMIFS('📅 Resumen Diario'!$K$5:$K$504, '📅 Resumen Diario'!$B$5:$B$504, B2482, '📅 Resumen Diario'!$C$5:$C$504, D2482), 0))</f>
        <v/>
      </c>
      <c r="M2482" s="31" t="str">
        <f t="shared" si="269"/>
        <v/>
      </c>
      <c r="N2482" s="31" t="str">
        <f t="shared" si="270"/>
        <v/>
      </c>
      <c r="O2482" s="31" t="str">
        <f>IF(OR(B2482="",C2482=""),"",K2482-N2482 + IFERROR(E2482 / SUMIFS('📅 Resumen Diario'!$D$5:$D$504, '📅 Resumen Diario'!$B$5:$B$504, B2482, '📅 Resumen Diario'!$C$5:$C$504, D2482) * (SUMIFS('📋 Detalle Diario'!$E$5:$E$489, '📋 Detalle Diario'!$B$5:$B$489, B2482, '📋 Detalle Diario'!$C$5:$C$489, D2482) * 135 + SUMIFS('📋 Detalle Diario'!$I$5:$I$489, '📋 Detalle Diario'!$B$5:$B$489, B2482, '📋 Detalle Diario'!$C$5:$C$489, D2482) * 200), 0))</f>
        <v/>
      </c>
      <c r="P2482" s="32" t="str">
        <f t="shared" si="271"/>
        <v/>
      </c>
      <c r="Q2482" s="33" t="str">
        <f t="shared" si="272"/>
        <v/>
      </c>
    </row>
    <row r="2483" spans="2:17" ht="18" customHeight="1" x14ac:dyDescent="0.3">
      <c r="B2483" s="26"/>
      <c r="C2483" s="28"/>
      <c r="D2483" s="27"/>
      <c r="E2483" s="29"/>
      <c r="F2483" s="29"/>
      <c r="G2483" s="29"/>
      <c r="H2483" s="30" t="str">
        <f t="shared" si="266"/>
        <v/>
      </c>
      <c r="I2483" s="31" t="str">
        <f>IF(OR(B2483="",C2483=""),"",IFERROR(E2483*IF(E2483="",0,VLOOKUP(C2483,'📦 Precios Proforma'!$B$5:$D$104,IF(D2483="DIA",2,3),FALSE)),0))</f>
        <v/>
      </c>
      <c r="J2483" s="31" t="str">
        <f t="shared" si="267"/>
        <v/>
      </c>
      <c r="K2483" s="31" t="str">
        <f t="shared" si="268"/>
        <v/>
      </c>
      <c r="L2483" s="31" t="str">
        <f>IF(OR(B2483="",C2483=""),"",IFERROR(E2483 / SUMIFS('📅 Resumen Diario'!$D$5:$D$504, '📅 Resumen Diario'!$B$5:$B$504, B2483, '📅 Resumen Diario'!$C$5:$C$504, D2483) * SUMIFS('📅 Resumen Diario'!$K$5:$K$504, '📅 Resumen Diario'!$B$5:$B$504, B2483, '📅 Resumen Diario'!$C$5:$C$504, D2483), 0))</f>
        <v/>
      </c>
      <c r="M2483" s="31" t="str">
        <f t="shared" si="269"/>
        <v/>
      </c>
      <c r="N2483" s="31" t="str">
        <f t="shared" si="270"/>
        <v/>
      </c>
      <c r="O2483" s="31" t="str">
        <f>IF(OR(B2483="",C2483=""),"",K2483-N2483 + IFERROR(E2483 / SUMIFS('📅 Resumen Diario'!$D$5:$D$504, '📅 Resumen Diario'!$B$5:$B$504, B2483, '📅 Resumen Diario'!$C$5:$C$504, D2483) * (SUMIFS('📋 Detalle Diario'!$E$5:$E$489, '📋 Detalle Diario'!$B$5:$B$489, B2483, '📋 Detalle Diario'!$C$5:$C$489, D2483) * 135 + SUMIFS('📋 Detalle Diario'!$I$5:$I$489, '📋 Detalle Diario'!$B$5:$B$489, B2483, '📋 Detalle Diario'!$C$5:$C$489, D2483) * 200), 0))</f>
        <v/>
      </c>
      <c r="P2483" s="32" t="str">
        <f t="shared" si="271"/>
        <v/>
      </c>
      <c r="Q2483" s="33" t="str">
        <f t="shared" si="272"/>
        <v/>
      </c>
    </row>
    <row r="2484" spans="2:17" ht="18" customHeight="1" x14ac:dyDescent="0.3">
      <c r="B2484" s="26"/>
      <c r="C2484" s="17"/>
      <c r="D2484" s="27"/>
      <c r="E2484" s="18"/>
      <c r="F2484" s="18"/>
      <c r="G2484" s="18"/>
      <c r="H2484" s="30" t="str">
        <f t="shared" si="266"/>
        <v/>
      </c>
      <c r="I2484" s="31" t="str">
        <f>IF(OR(B2484="",C2484=""),"",IFERROR(E2484*IF(E2484="",0,VLOOKUP(C2484,'📦 Precios Proforma'!$B$5:$D$104,IF(D2484="DIA",2,3),FALSE)),0))</f>
        <v/>
      </c>
      <c r="J2484" s="31" t="str">
        <f t="shared" si="267"/>
        <v/>
      </c>
      <c r="K2484" s="31" t="str">
        <f t="shared" si="268"/>
        <v/>
      </c>
      <c r="L2484" s="31" t="str">
        <f>IF(OR(B2484="",C2484=""),"",IFERROR(E2484 / SUMIFS('📅 Resumen Diario'!$D$5:$D$504, '📅 Resumen Diario'!$B$5:$B$504, B2484, '📅 Resumen Diario'!$C$5:$C$504, D2484) * SUMIFS('📅 Resumen Diario'!$K$5:$K$504, '📅 Resumen Diario'!$B$5:$B$504, B2484, '📅 Resumen Diario'!$C$5:$C$504, D2484), 0))</f>
        <v/>
      </c>
      <c r="M2484" s="31" t="str">
        <f t="shared" si="269"/>
        <v/>
      </c>
      <c r="N2484" s="31" t="str">
        <f t="shared" si="270"/>
        <v/>
      </c>
      <c r="O2484" s="31" t="str">
        <f>IF(OR(B2484="",C2484=""),"",K2484-N2484 + IFERROR(E2484 / SUMIFS('📅 Resumen Diario'!$D$5:$D$504, '📅 Resumen Diario'!$B$5:$B$504, B2484, '📅 Resumen Diario'!$C$5:$C$504, D2484) * (SUMIFS('📋 Detalle Diario'!$E$5:$E$489, '📋 Detalle Diario'!$B$5:$B$489, B2484, '📋 Detalle Diario'!$C$5:$C$489, D2484) * 135 + SUMIFS('📋 Detalle Diario'!$I$5:$I$489, '📋 Detalle Diario'!$B$5:$B$489, B2484, '📋 Detalle Diario'!$C$5:$C$489, D2484) * 200), 0))</f>
        <v/>
      </c>
      <c r="P2484" s="32" t="str">
        <f t="shared" si="271"/>
        <v/>
      </c>
      <c r="Q2484" s="33" t="str">
        <f t="shared" si="272"/>
        <v/>
      </c>
    </row>
    <row r="2485" spans="2:17" ht="18" customHeight="1" x14ac:dyDescent="0.3">
      <c r="B2485" s="26"/>
      <c r="C2485" s="28"/>
      <c r="D2485" s="27"/>
      <c r="E2485" s="29"/>
      <c r="F2485" s="29"/>
      <c r="G2485" s="29"/>
      <c r="H2485" s="30" t="str">
        <f t="shared" si="266"/>
        <v/>
      </c>
      <c r="I2485" s="31" t="str">
        <f>IF(OR(B2485="",C2485=""),"",IFERROR(E2485*IF(E2485="",0,VLOOKUP(C2485,'📦 Precios Proforma'!$B$5:$D$104,IF(D2485="DIA",2,3),FALSE)),0))</f>
        <v/>
      </c>
      <c r="J2485" s="31" t="str">
        <f t="shared" si="267"/>
        <v/>
      </c>
      <c r="K2485" s="31" t="str">
        <f t="shared" si="268"/>
        <v/>
      </c>
      <c r="L2485" s="31" t="str">
        <f>IF(OR(B2485="",C2485=""),"",IFERROR(E2485 / SUMIFS('📅 Resumen Diario'!$D$5:$D$504, '📅 Resumen Diario'!$B$5:$B$504, B2485, '📅 Resumen Diario'!$C$5:$C$504, D2485) * SUMIFS('📅 Resumen Diario'!$K$5:$K$504, '📅 Resumen Diario'!$B$5:$B$504, B2485, '📅 Resumen Diario'!$C$5:$C$504, D2485), 0))</f>
        <v/>
      </c>
      <c r="M2485" s="31" t="str">
        <f t="shared" si="269"/>
        <v/>
      </c>
      <c r="N2485" s="31" t="str">
        <f t="shared" si="270"/>
        <v/>
      </c>
      <c r="O2485" s="31" t="str">
        <f>IF(OR(B2485="",C2485=""),"",K2485-N2485 + IFERROR(E2485 / SUMIFS('📅 Resumen Diario'!$D$5:$D$504, '📅 Resumen Diario'!$B$5:$B$504, B2485, '📅 Resumen Diario'!$C$5:$C$504, D2485) * (SUMIFS('📋 Detalle Diario'!$E$5:$E$489, '📋 Detalle Diario'!$B$5:$B$489, B2485, '📋 Detalle Diario'!$C$5:$C$489, D2485) * 135 + SUMIFS('📋 Detalle Diario'!$I$5:$I$489, '📋 Detalle Diario'!$B$5:$B$489, B2485, '📋 Detalle Diario'!$C$5:$C$489, D2485) * 200), 0))</f>
        <v/>
      </c>
      <c r="P2485" s="32" t="str">
        <f t="shared" si="271"/>
        <v/>
      </c>
      <c r="Q2485" s="33" t="str">
        <f t="shared" si="272"/>
        <v/>
      </c>
    </row>
    <row r="2486" spans="2:17" ht="18" customHeight="1" x14ac:dyDescent="0.3">
      <c r="B2486" s="26"/>
      <c r="C2486" s="17"/>
      <c r="D2486" s="27"/>
      <c r="E2486" s="18"/>
      <c r="F2486" s="18"/>
      <c r="G2486" s="18"/>
      <c r="H2486" s="30" t="str">
        <f t="shared" si="266"/>
        <v/>
      </c>
      <c r="I2486" s="31" t="str">
        <f>IF(OR(B2486="",C2486=""),"",IFERROR(E2486*IF(E2486="",0,VLOOKUP(C2486,'📦 Precios Proforma'!$B$5:$D$104,IF(D2486="DIA",2,3),FALSE)),0))</f>
        <v/>
      </c>
      <c r="J2486" s="31" t="str">
        <f t="shared" si="267"/>
        <v/>
      </c>
      <c r="K2486" s="31" t="str">
        <f t="shared" si="268"/>
        <v/>
      </c>
      <c r="L2486" s="31" t="str">
        <f>IF(OR(B2486="",C2486=""),"",IFERROR(E2486 / SUMIFS('📅 Resumen Diario'!$D$5:$D$504, '📅 Resumen Diario'!$B$5:$B$504, B2486, '📅 Resumen Diario'!$C$5:$C$504, D2486) * SUMIFS('📅 Resumen Diario'!$K$5:$K$504, '📅 Resumen Diario'!$B$5:$B$504, B2486, '📅 Resumen Diario'!$C$5:$C$504, D2486), 0))</f>
        <v/>
      </c>
      <c r="M2486" s="31" t="str">
        <f t="shared" si="269"/>
        <v/>
      </c>
      <c r="N2486" s="31" t="str">
        <f t="shared" si="270"/>
        <v/>
      </c>
      <c r="O2486" s="31" t="str">
        <f>IF(OR(B2486="",C2486=""),"",K2486-N2486 + IFERROR(E2486 / SUMIFS('📅 Resumen Diario'!$D$5:$D$504, '📅 Resumen Diario'!$B$5:$B$504, B2486, '📅 Resumen Diario'!$C$5:$C$504, D2486) * (SUMIFS('📋 Detalle Diario'!$E$5:$E$489, '📋 Detalle Diario'!$B$5:$B$489, B2486, '📋 Detalle Diario'!$C$5:$C$489, D2486) * 135 + SUMIFS('📋 Detalle Diario'!$I$5:$I$489, '📋 Detalle Diario'!$B$5:$B$489, B2486, '📋 Detalle Diario'!$C$5:$C$489, D2486) * 200), 0))</f>
        <v/>
      </c>
      <c r="P2486" s="32" t="str">
        <f t="shared" si="271"/>
        <v/>
      </c>
      <c r="Q2486" s="33" t="str">
        <f t="shared" si="272"/>
        <v/>
      </c>
    </row>
    <row r="2487" spans="2:17" ht="18" customHeight="1" x14ac:dyDescent="0.3">
      <c r="B2487" s="26"/>
      <c r="C2487" s="28"/>
      <c r="D2487" s="27"/>
      <c r="E2487" s="29"/>
      <c r="F2487" s="29"/>
      <c r="G2487" s="29"/>
      <c r="H2487" s="30" t="str">
        <f t="shared" si="266"/>
        <v/>
      </c>
      <c r="I2487" s="31" t="str">
        <f>IF(OR(B2487="",C2487=""),"",IFERROR(E2487*IF(E2487="",0,VLOOKUP(C2487,'📦 Precios Proforma'!$B$5:$D$104,IF(D2487="DIA",2,3),FALSE)),0))</f>
        <v/>
      </c>
      <c r="J2487" s="31" t="str">
        <f t="shared" si="267"/>
        <v/>
      </c>
      <c r="K2487" s="31" t="str">
        <f t="shared" si="268"/>
        <v/>
      </c>
      <c r="L2487" s="31" t="str">
        <f>IF(OR(B2487="",C2487=""),"",IFERROR(E2487 / SUMIFS('📅 Resumen Diario'!$D$5:$D$504, '📅 Resumen Diario'!$B$5:$B$504, B2487, '📅 Resumen Diario'!$C$5:$C$504, D2487) * SUMIFS('📅 Resumen Diario'!$K$5:$K$504, '📅 Resumen Diario'!$B$5:$B$504, B2487, '📅 Resumen Diario'!$C$5:$C$504, D2487), 0))</f>
        <v/>
      </c>
      <c r="M2487" s="31" t="str">
        <f t="shared" si="269"/>
        <v/>
      </c>
      <c r="N2487" s="31" t="str">
        <f t="shared" si="270"/>
        <v/>
      </c>
      <c r="O2487" s="31" t="str">
        <f>IF(OR(B2487="",C2487=""),"",K2487-N2487 + IFERROR(E2487 / SUMIFS('📅 Resumen Diario'!$D$5:$D$504, '📅 Resumen Diario'!$B$5:$B$504, B2487, '📅 Resumen Diario'!$C$5:$C$504, D2487) * (SUMIFS('📋 Detalle Diario'!$E$5:$E$489, '📋 Detalle Diario'!$B$5:$B$489, B2487, '📋 Detalle Diario'!$C$5:$C$489, D2487) * 135 + SUMIFS('📋 Detalle Diario'!$I$5:$I$489, '📋 Detalle Diario'!$B$5:$B$489, B2487, '📋 Detalle Diario'!$C$5:$C$489, D2487) * 200), 0))</f>
        <v/>
      </c>
      <c r="P2487" s="32" t="str">
        <f t="shared" si="271"/>
        <v/>
      </c>
      <c r="Q2487" s="33" t="str">
        <f t="shared" si="272"/>
        <v/>
      </c>
    </row>
    <row r="2488" spans="2:17" ht="18" customHeight="1" x14ac:dyDescent="0.3">
      <c r="B2488" s="26"/>
      <c r="C2488" s="17"/>
      <c r="D2488" s="27"/>
      <c r="E2488" s="18"/>
      <c r="F2488" s="18"/>
      <c r="G2488" s="18"/>
      <c r="H2488" s="30" t="str">
        <f t="shared" si="266"/>
        <v/>
      </c>
      <c r="I2488" s="31" t="str">
        <f>IF(OR(B2488="",C2488=""),"",IFERROR(E2488*IF(E2488="",0,VLOOKUP(C2488,'📦 Precios Proforma'!$B$5:$D$104,IF(D2488="DIA",2,3),FALSE)),0))</f>
        <v/>
      </c>
      <c r="J2488" s="31" t="str">
        <f t="shared" si="267"/>
        <v/>
      </c>
      <c r="K2488" s="31" t="str">
        <f t="shared" si="268"/>
        <v/>
      </c>
      <c r="L2488" s="31" t="str">
        <f>IF(OR(B2488="",C2488=""),"",IFERROR(E2488 / SUMIFS('📅 Resumen Diario'!$D$5:$D$504, '📅 Resumen Diario'!$B$5:$B$504, B2488, '📅 Resumen Diario'!$C$5:$C$504, D2488) * SUMIFS('📅 Resumen Diario'!$K$5:$K$504, '📅 Resumen Diario'!$B$5:$B$504, B2488, '📅 Resumen Diario'!$C$5:$C$504, D2488), 0))</f>
        <v/>
      </c>
      <c r="M2488" s="31" t="str">
        <f t="shared" si="269"/>
        <v/>
      </c>
      <c r="N2488" s="31" t="str">
        <f t="shared" si="270"/>
        <v/>
      </c>
      <c r="O2488" s="31" t="str">
        <f>IF(OR(B2488="",C2488=""),"",K2488-N2488 + IFERROR(E2488 / SUMIFS('📅 Resumen Diario'!$D$5:$D$504, '📅 Resumen Diario'!$B$5:$B$504, B2488, '📅 Resumen Diario'!$C$5:$C$504, D2488) * (SUMIFS('📋 Detalle Diario'!$E$5:$E$489, '📋 Detalle Diario'!$B$5:$B$489, B2488, '📋 Detalle Diario'!$C$5:$C$489, D2488) * 135 + SUMIFS('📋 Detalle Diario'!$I$5:$I$489, '📋 Detalle Diario'!$B$5:$B$489, B2488, '📋 Detalle Diario'!$C$5:$C$489, D2488) * 200), 0))</f>
        <v/>
      </c>
      <c r="P2488" s="32" t="str">
        <f t="shared" si="271"/>
        <v/>
      </c>
      <c r="Q2488" s="33" t="str">
        <f t="shared" si="272"/>
        <v/>
      </c>
    </row>
    <row r="2489" spans="2:17" ht="18" customHeight="1" x14ac:dyDescent="0.3">
      <c r="B2489" s="26"/>
      <c r="C2489" s="28"/>
      <c r="D2489" s="27"/>
      <c r="E2489" s="29"/>
      <c r="F2489" s="29"/>
      <c r="G2489" s="29"/>
      <c r="H2489" s="30" t="str">
        <f t="shared" si="266"/>
        <v/>
      </c>
      <c r="I2489" s="31" t="str">
        <f>IF(OR(B2489="",C2489=""),"",IFERROR(E2489*IF(E2489="",0,VLOOKUP(C2489,'📦 Precios Proforma'!$B$5:$D$104,IF(D2489="DIA",2,3),FALSE)),0))</f>
        <v/>
      </c>
      <c r="J2489" s="31" t="str">
        <f t="shared" si="267"/>
        <v/>
      </c>
      <c r="K2489" s="31" t="str">
        <f t="shared" si="268"/>
        <v/>
      </c>
      <c r="L2489" s="31" t="str">
        <f>IF(OR(B2489="",C2489=""),"",IFERROR(E2489 / SUMIFS('📅 Resumen Diario'!$D$5:$D$504, '📅 Resumen Diario'!$B$5:$B$504, B2489, '📅 Resumen Diario'!$C$5:$C$504, D2489) * SUMIFS('📅 Resumen Diario'!$K$5:$K$504, '📅 Resumen Diario'!$B$5:$B$504, B2489, '📅 Resumen Diario'!$C$5:$C$504, D2489), 0))</f>
        <v/>
      </c>
      <c r="M2489" s="31" t="str">
        <f t="shared" si="269"/>
        <v/>
      </c>
      <c r="N2489" s="31" t="str">
        <f t="shared" si="270"/>
        <v/>
      </c>
      <c r="O2489" s="31" t="str">
        <f>IF(OR(B2489="",C2489=""),"",K2489-N2489 + IFERROR(E2489 / SUMIFS('📅 Resumen Diario'!$D$5:$D$504, '📅 Resumen Diario'!$B$5:$B$504, B2489, '📅 Resumen Diario'!$C$5:$C$504, D2489) * (SUMIFS('📋 Detalle Diario'!$E$5:$E$489, '📋 Detalle Diario'!$B$5:$B$489, B2489, '📋 Detalle Diario'!$C$5:$C$489, D2489) * 135 + SUMIFS('📋 Detalle Diario'!$I$5:$I$489, '📋 Detalle Diario'!$B$5:$B$489, B2489, '📋 Detalle Diario'!$C$5:$C$489, D2489) * 200), 0))</f>
        <v/>
      </c>
      <c r="P2489" s="32" t="str">
        <f t="shared" si="271"/>
        <v/>
      </c>
      <c r="Q2489" s="33" t="str">
        <f t="shared" si="272"/>
        <v/>
      </c>
    </row>
    <row r="2490" spans="2:17" ht="18" customHeight="1" x14ac:dyDescent="0.3">
      <c r="B2490" s="26"/>
      <c r="C2490" s="17"/>
      <c r="D2490" s="27"/>
      <c r="E2490" s="18"/>
      <c r="F2490" s="18"/>
      <c r="G2490" s="18"/>
      <c r="H2490" s="30" t="str">
        <f t="shared" si="266"/>
        <v/>
      </c>
      <c r="I2490" s="31" t="str">
        <f>IF(OR(B2490="",C2490=""),"",IFERROR(E2490*IF(E2490="",0,VLOOKUP(C2490,'📦 Precios Proforma'!$B$5:$D$104,IF(D2490="DIA",2,3),FALSE)),0))</f>
        <v/>
      </c>
      <c r="J2490" s="31" t="str">
        <f t="shared" si="267"/>
        <v/>
      </c>
      <c r="K2490" s="31" t="str">
        <f t="shared" si="268"/>
        <v/>
      </c>
      <c r="L2490" s="31" t="str">
        <f>IF(OR(B2490="",C2490=""),"",IFERROR(E2490 / SUMIFS('📅 Resumen Diario'!$D$5:$D$504, '📅 Resumen Diario'!$B$5:$B$504, B2490, '📅 Resumen Diario'!$C$5:$C$504, D2490) * SUMIFS('📅 Resumen Diario'!$K$5:$K$504, '📅 Resumen Diario'!$B$5:$B$504, B2490, '📅 Resumen Diario'!$C$5:$C$504, D2490), 0))</f>
        <v/>
      </c>
      <c r="M2490" s="31" t="str">
        <f t="shared" si="269"/>
        <v/>
      </c>
      <c r="N2490" s="31" t="str">
        <f t="shared" si="270"/>
        <v/>
      </c>
      <c r="O2490" s="31" t="str">
        <f>IF(OR(B2490="",C2490=""),"",K2490-N2490 + IFERROR(E2490 / SUMIFS('📅 Resumen Diario'!$D$5:$D$504, '📅 Resumen Diario'!$B$5:$B$504, B2490, '📅 Resumen Diario'!$C$5:$C$504, D2490) * (SUMIFS('📋 Detalle Diario'!$E$5:$E$489, '📋 Detalle Diario'!$B$5:$B$489, B2490, '📋 Detalle Diario'!$C$5:$C$489, D2490) * 135 + SUMIFS('📋 Detalle Diario'!$I$5:$I$489, '📋 Detalle Diario'!$B$5:$B$489, B2490, '📋 Detalle Diario'!$C$5:$C$489, D2490) * 200), 0))</f>
        <v/>
      </c>
      <c r="P2490" s="32" t="str">
        <f t="shared" si="271"/>
        <v/>
      </c>
      <c r="Q2490" s="33" t="str">
        <f t="shared" si="272"/>
        <v/>
      </c>
    </row>
    <row r="2491" spans="2:17" ht="18" customHeight="1" x14ac:dyDescent="0.3">
      <c r="B2491" s="26"/>
      <c r="C2491" s="28"/>
      <c r="D2491" s="27"/>
      <c r="E2491" s="29"/>
      <c r="F2491" s="29"/>
      <c r="G2491" s="29"/>
      <c r="H2491" s="30" t="str">
        <f t="shared" si="266"/>
        <v/>
      </c>
      <c r="I2491" s="31" t="str">
        <f>IF(OR(B2491="",C2491=""),"",IFERROR(E2491*IF(E2491="",0,VLOOKUP(C2491,'📦 Precios Proforma'!$B$5:$D$104,IF(D2491="DIA",2,3),FALSE)),0))</f>
        <v/>
      </c>
      <c r="J2491" s="31" t="str">
        <f t="shared" si="267"/>
        <v/>
      </c>
      <c r="K2491" s="31" t="str">
        <f t="shared" si="268"/>
        <v/>
      </c>
      <c r="L2491" s="31" t="str">
        <f>IF(OR(B2491="",C2491=""),"",IFERROR(E2491 / SUMIFS('📅 Resumen Diario'!$D$5:$D$504, '📅 Resumen Diario'!$B$5:$B$504, B2491, '📅 Resumen Diario'!$C$5:$C$504, D2491) * SUMIFS('📅 Resumen Diario'!$K$5:$K$504, '📅 Resumen Diario'!$B$5:$B$504, B2491, '📅 Resumen Diario'!$C$5:$C$504, D2491), 0))</f>
        <v/>
      </c>
      <c r="M2491" s="31" t="str">
        <f t="shared" si="269"/>
        <v/>
      </c>
      <c r="N2491" s="31" t="str">
        <f t="shared" si="270"/>
        <v/>
      </c>
      <c r="O2491" s="31" t="str">
        <f>IF(OR(B2491="",C2491=""),"",K2491-N2491 + IFERROR(E2491 / SUMIFS('📅 Resumen Diario'!$D$5:$D$504, '📅 Resumen Diario'!$B$5:$B$504, B2491, '📅 Resumen Diario'!$C$5:$C$504, D2491) * (SUMIFS('📋 Detalle Diario'!$E$5:$E$489, '📋 Detalle Diario'!$B$5:$B$489, B2491, '📋 Detalle Diario'!$C$5:$C$489, D2491) * 135 + SUMIFS('📋 Detalle Diario'!$I$5:$I$489, '📋 Detalle Diario'!$B$5:$B$489, B2491, '📋 Detalle Diario'!$C$5:$C$489, D2491) * 200), 0))</f>
        <v/>
      </c>
      <c r="P2491" s="32" t="str">
        <f t="shared" si="271"/>
        <v/>
      </c>
      <c r="Q2491" s="33" t="str">
        <f t="shared" si="272"/>
        <v/>
      </c>
    </row>
    <row r="2492" spans="2:17" ht="18" customHeight="1" x14ac:dyDescent="0.3">
      <c r="B2492" s="26"/>
      <c r="C2492" s="17"/>
      <c r="D2492" s="27"/>
      <c r="E2492" s="18"/>
      <c r="F2492" s="18"/>
      <c r="G2492" s="18"/>
      <c r="H2492" s="30" t="str">
        <f t="shared" si="266"/>
        <v/>
      </c>
      <c r="I2492" s="31" t="str">
        <f>IF(OR(B2492="",C2492=""),"",IFERROR(E2492*IF(E2492="",0,VLOOKUP(C2492,'📦 Precios Proforma'!$B$5:$D$104,IF(D2492="DIA",2,3),FALSE)),0))</f>
        <v/>
      </c>
      <c r="J2492" s="31" t="str">
        <f t="shared" si="267"/>
        <v/>
      </c>
      <c r="K2492" s="31" t="str">
        <f t="shared" si="268"/>
        <v/>
      </c>
      <c r="L2492" s="31" t="str">
        <f>IF(OR(B2492="",C2492=""),"",IFERROR(E2492 / SUMIFS('📅 Resumen Diario'!$D$5:$D$504, '📅 Resumen Diario'!$B$5:$B$504, B2492, '📅 Resumen Diario'!$C$5:$C$504, D2492) * SUMIFS('📅 Resumen Diario'!$K$5:$K$504, '📅 Resumen Diario'!$B$5:$B$504, B2492, '📅 Resumen Diario'!$C$5:$C$504, D2492), 0))</f>
        <v/>
      </c>
      <c r="M2492" s="31" t="str">
        <f t="shared" si="269"/>
        <v/>
      </c>
      <c r="N2492" s="31" t="str">
        <f t="shared" si="270"/>
        <v/>
      </c>
      <c r="O2492" s="31" t="str">
        <f>IF(OR(B2492="",C2492=""),"",K2492-N2492 + IFERROR(E2492 / SUMIFS('📅 Resumen Diario'!$D$5:$D$504, '📅 Resumen Diario'!$B$5:$B$504, B2492, '📅 Resumen Diario'!$C$5:$C$504, D2492) * (SUMIFS('📋 Detalle Diario'!$E$5:$E$489, '📋 Detalle Diario'!$B$5:$B$489, B2492, '📋 Detalle Diario'!$C$5:$C$489, D2492) * 135 + SUMIFS('📋 Detalle Diario'!$I$5:$I$489, '📋 Detalle Diario'!$B$5:$B$489, B2492, '📋 Detalle Diario'!$C$5:$C$489, D2492) * 200), 0))</f>
        <v/>
      </c>
      <c r="P2492" s="32" t="str">
        <f t="shared" si="271"/>
        <v/>
      </c>
      <c r="Q2492" s="33" t="str">
        <f t="shared" si="272"/>
        <v/>
      </c>
    </row>
    <row r="2493" spans="2:17" ht="18" customHeight="1" x14ac:dyDescent="0.3">
      <c r="B2493" s="26"/>
      <c r="C2493" s="28"/>
      <c r="D2493" s="27"/>
      <c r="E2493" s="29"/>
      <c r="F2493" s="29"/>
      <c r="G2493" s="29"/>
      <c r="H2493" s="30" t="str">
        <f t="shared" si="266"/>
        <v/>
      </c>
      <c r="I2493" s="31" t="str">
        <f>IF(OR(B2493="",C2493=""),"",IFERROR(E2493*IF(E2493="",0,VLOOKUP(C2493,'📦 Precios Proforma'!$B$5:$D$104,IF(D2493="DIA",2,3),FALSE)),0))</f>
        <v/>
      </c>
      <c r="J2493" s="31" t="str">
        <f t="shared" si="267"/>
        <v/>
      </c>
      <c r="K2493" s="31" t="str">
        <f t="shared" si="268"/>
        <v/>
      </c>
      <c r="L2493" s="31" t="str">
        <f>IF(OR(B2493="",C2493=""),"",IFERROR(E2493 / SUMIFS('📅 Resumen Diario'!$D$5:$D$504, '📅 Resumen Diario'!$B$5:$B$504, B2493, '📅 Resumen Diario'!$C$5:$C$504, D2493) * SUMIFS('📅 Resumen Diario'!$K$5:$K$504, '📅 Resumen Diario'!$B$5:$B$504, B2493, '📅 Resumen Diario'!$C$5:$C$504, D2493), 0))</f>
        <v/>
      </c>
      <c r="M2493" s="31" t="str">
        <f t="shared" si="269"/>
        <v/>
      </c>
      <c r="N2493" s="31" t="str">
        <f t="shared" si="270"/>
        <v/>
      </c>
      <c r="O2493" s="31" t="str">
        <f>IF(OR(B2493="",C2493=""),"",K2493-N2493 + IFERROR(E2493 / SUMIFS('📅 Resumen Diario'!$D$5:$D$504, '📅 Resumen Diario'!$B$5:$B$504, B2493, '📅 Resumen Diario'!$C$5:$C$504, D2493) * (SUMIFS('📋 Detalle Diario'!$E$5:$E$489, '📋 Detalle Diario'!$B$5:$B$489, B2493, '📋 Detalle Diario'!$C$5:$C$489, D2493) * 135 + SUMIFS('📋 Detalle Diario'!$I$5:$I$489, '📋 Detalle Diario'!$B$5:$B$489, B2493, '📋 Detalle Diario'!$C$5:$C$489, D2493) * 200), 0))</f>
        <v/>
      </c>
      <c r="P2493" s="32" t="str">
        <f t="shared" si="271"/>
        <v/>
      </c>
      <c r="Q2493" s="33" t="str">
        <f t="shared" si="272"/>
        <v/>
      </c>
    </row>
    <row r="2494" spans="2:17" ht="18" customHeight="1" x14ac:dyDescent="0.3">
      <c r="B2494" s="26"/>
      <c r="C2494" s="17"/>
      <c r="D2494" s="27"/>
      <c r="E2494" s="18"/>
      <c r="F2494" s="18"/>
      <c r="G2494" s="18"/>
      <c r="H2494" s="30" t="str">
        <f t="shared" si="266"/>
        <v/>
      </c>
      <c r="I2494" s="31" t="str">
        <f>IF(OR(B2494="",C2494=""),"",IFERROR(E2494*IF(E2494="",0,VLOOKUP(C2494,'📦 Precios Proforma'!$B$5:$D$104,IF(D2494="DIA",2,3),FALSE)),0))</f>
        <v/>
      </c>
      <c r="J2494" s="31" t="str">
        <f t="shared" si="267"/>
        <v/>
      </c>
      <c r="K2494" s="31" t="str">
        <f t="shared" si="268"/>
        <v/>
      </c>
      <c r="L2494" s="31" t="str">
        <f>IF(OR(B2494="",C2494=""),"",IFERROR(E2494 / SUMIFS('📅 Resumen Diario'!$D$5:$D$504, '📅 Resumen Diario'!$B$5:$B$504, B2494, '📅 Resumen Diario'!$C$5:$C$504, D2494) * SUMIFS('📅 Resumen Diario'!$K$5:$K$504, '📅 Resumen Diario'!$B$5:$B$504, B2494, '📅 Resumen Diario'!$C$5:$C$504, D2494), 0))</f>
        <v/>
      </c>
      <c r="M2494" s="31" t="str">
        <f t="shared" si="269"/>
        <v/>
      </c>
      <c r="N2494" s="31" t="str">
        <f t="shared" si="270"/>
        <v/>
      </c>
      <c r="O2494" s="31" t="str">
        <f>IF(OR(B2494="",C2494=""),"",K2494-N2494 + IFERROR(E2494 / SUMIFS('📅 Resumen Diario'!$D$5:$D$504, '📅 Resumen Diario'!$B$5:$B$504, B2494, '📅 Resumen Diario'!$C$5:$C$504, D2494) * (SUMIFS('📋 Detalle Diario'!$E$5:$E$489, '📋 Detalle Diario'!$B$5:$B$489, B2494, '📋 Detalle Diario'!$C$5:$C$489, D2494) * 135 + SUMIFS('📋 Detalle Diario'!$I$5:$I$489, '📋 Detalle Diario'!$B$5:$B$489, B2494, '📋 Detalle Diario'!$C$5:$C$489, D2494) * 200), 0))</f>
        <v/>
      </c>
      <c r="P2494" s="32" t="str">
        <f t="shared" si="271"/>
        <v/>
      </c>
      <c r="Q2494" s="33" t="str">
        <f t="shared" si="272"/>
        <v/>
      </c>
    </row>
    <row r="2495" spans="2:17" ht="18" customHeight="1" x14ac:dyDescent="0.3">
      <c r="B2495" s="26"/>
      <c r="C2495" s="28"/>
      <c r="D2495" s="27"/>
      <c r="E2495" s="29"/>
      <c r="F2495" s="29"/>
      <c r="G2495" s="29"/>
      <c r="H2495" s="30" t="str">
        <f t="shared" si="266"/>
        <v/>
      </c>
      <c r="I2495" s="31" t="str">
        <f>IF(OR(B2495="",C2495=""),"",IFERROR(E2495*IF(E2495="",0,VLOOKUP(C2495,'📦 Precios Proforma'!$B$5:$D$104,IF(D2495="DIA",2,3),FALSE)),0))</f>
        <v/>
      </c>
      <c r="J2495" s="31" t="str">
        <f t="shared" si="267"/>
        <v/>
      </c>
      <c r="K2495" s="31" t="str">
        <f t="shared" si="268"/>
        <v/>
      </c>
      <c r="L2495" s="31" t="str">
        <f>IF(OR(B2495="",C2495=""),"",IFERROR(E2495 / SUMIFS('📅 Resumen Diario'!$D$5:$D$504, '📅 Resumen Diario'!$B$5:$B$504, B2495, '📅 Resumen Diario'!$C$5:$C$504, D2495) * SUMIFS('📅 Resumen Diario'!$K$5:$K$504, '📅 Resumen Diario'!$B$5:$B$504, B2495, '📅 Resumen Diario'!$C$5:$C$504, D2495), 0))</f>
        <v/>
      </c>
      <c r="M2495" s="31" t="str">
        <f t="shared" si="269"/>
        <v/>
      </c>
      <c r="N2495" s="31" t="str">
        <f t="shared" si="270"/>
        <v/>
      </c>
      <c r="O2495" s="31" t="str">
        <f>IF(OR(B2495="",C2495=""),"",K2495-N2495 + IFERROR(E2495 / SUMIFS('📅 Resumen Diario'!$D$5:$D$504, '📅 Resumen Diario'!$B$5:$B$504, B2495, '📅 Resumen Diario'!$C$5:$C$504, D2495) * (SUMIFS('📋 Detalle Diario'!$E$5:$E$489, '📋 Detalle Diario'!$B$5:$B$489, B2495, '📋 Detalle Diario'!$C$5:$C$489, D2495) * 135 + SUMIFS('📋 Detalle Diario'!$I$5:$I$489, '📋 Detalle Diario'!$B$5:$B$489, B2495, '📋 Detalle Diario'!$C$5:$C$489, D2495) * 200), 0))</f>
        <v/>
      </c>
      <c r="P2495" s="32" t="str">
        <f t="shared" si="271"/>
        <v/>
      </c>
      <c r="Q2495" s="33" t="str">
        <f t="shared" si="272"/>
        <v/>
      </c>
    </row>
    <row r="2496" spans="2:17" ht="18" customHeight="1" x14ac:dyDescent="0.3">
      <c r="B2496" s="26"/>
      <c r="C2496" s="17"/>
      <c r="D2496" s="27"/>
      <c r="E2496" s="18"/>
      <c r="F2496" s="18"/>
      <c r="G2496" s="18"/>
      <c r="H2496" s="30" t="str">
        <f t="shared" si="266"/>
        <v/>
      </c>
      <c r="I2496" s="31" t="str">
        <f>IF(OR(B2496="",C2496=""),"",IFERROR(E2496*IF(E2496="",0,VLOOKUP(C2496,'📦 Precios Proforma'!$B$5:$D$104,IF(D2496="DIA",2,3),FALSE)),0))</f>
        <v/>
      </c>
      <c r="J2496" s="31" t="str">
        <f t="shared" si="267"/>
        <v/>
      </c>
      <c r="K2496" s="31" t="str">
        <f t="shared" si="268"/>
        <v/>
      </c>
      <c r="L2496" s="31" t="str">
        <f>IF(OR(B2496="",C2496=""),"",IFERROR(E2496 / SUMIFS('📅 Resumen Diario'!$D$5:$D$504, '📅 Resumen Diario'!$B$5:$B$504, B2496, '📅 Resumen Diario'!$C$5:$C$504, D2496) * SUMIFS('📅 Resumen Diario'!$K$5:$K$504, '📅 Resumen Diario'!$B$5:$B$504, B2496, '📅 Resumen Diario'!$C$5:$C$504, D2496), 0))</f>
        <v/>
      </c>
      <c r="M2496" s="31" t="str">
        <f t="shared" si="269"/>
        <v/>
      </c>
      <c r="N2496" s="31" t="str">
        <f t="shared" si="270"/>
        <v/>
      </c>
      <c r="O2496" s="31" t="str">
        <f>IF(OR(B2496="",C2496=""),"",K2496-N2496 + IFERROR(E2496 / SUMIFS('📅 Resumen Diario'!$D$5:$D$504, '📅 Resumen Diario'!$B$5:$B$504, B2496, '📅 Resumen Diario'!$C$5:$C$504, D2496) * (SUMIFS('📋 Detalle Diario'!$E$5:$E$489, '📋 Detalle Diario'!$B$5:$B$489, B2496, '📋 Detalle Diario'!$C$5:$C$489, D2496) * 135 + SUMIFS('📋 Detalle Diario'!$I$5:$I$489, '📋 Detalle Diario'!$B$5:$B$489, B2496, '📋 Detalle Diario'!$C$5:$C$489, D2496) * 200), 0))</f>
        <v/>
      </c>
      <c r="P2496" s="32" t="str">
        <f t="shared" si="271"/>
        <v/>
      </c>
      <c r="Q2496" s="33" t="str">
        <f t="shared" si="272"/>
        <v/>
      </c>
    </row>
    <row r="2497" spans="2:17" ht="18" customHeight="1" x14ac:dyDescent="0.3">
      <c r="B2497" s="26"/>
      <c r="C2497" s="28"/>
      <c r="D2497" s="27"/>
      <c r="E2497" s="29"/>
      <c r="F2497" s="29"/>
      <c r="G2497" s="29"/>
      <c r="H2497" s="30" t="str">
        <f t="shared" si="266"/>
        <v/>
      </c>
      <c r="I2497" s="31" t="str">
        <f>IF(OR(B2497="",C2497=""),"",IFERROR(E2497*IF(E2497="",0,VLOOKUP(C2497,'📦 Precios Proforma'!$B$5:$D$104,IF(D2497="DIA",2,3),FALSE)),0))</f>
        <v/>
      </c>
      <c r="J2497" s="31" t="str">
        <f t="shared" si="267"/>
        <v/>
      </c>
      <c r="K2497" s="31" t="str">
        <f t="shared" si="268"/>
        <v/>
      </c>
      <c r="L2497" s="31" t="str">
        <f>IF(OR(B2497="",C2497=""),"",IFERROR(E2497 / SUMIFS('📅 Resumen Diario'!$D$5:$D$504, '📅 Resumen Diario'!$B$5:$B$504, B2497, '📅 Resumen Diario'!$C$5:$C$504, D2497) * SUMIFS('📅 Resumen Diario'!$K$5:$K$504, '📅 Resumen Diario'!$B$5:$B$504, B2497, '📅 Resumen Diario'!$C$5:$C$504, D2497), 0))</f>
        <v/>
      </c>
      <c r="M2497" s="31" t="str">
        <f t="shared" si="269"/>
        <v/>
      </c>
      <c r="N2497" s="31" t="str">
        <f t="shared" si="270"/>
        <v/>
      </c>
      <c r="O2497" s="31" t="str">
        <f>IF(OR(B2497="",C2497=""),"",K2497-N2497 + IFERROR(E2497 / SUMIFS('📅 Resumen Diario'!$D$5:$D$504, '📅 Resumen Diario'!$B$5:$B$504, B2497, '📅 Resumen Diario'!$C$5:$C$504, D2497) * (SUMIFS('📋 Detalle Diario'!$E$5:$E$489, '📋 Detalle Diario'!$B$5:$B$489, B2497, '📋 Detalle Diario'!$C$5:$C$489, D2497) * 135 + SUMIFS('📋 Detalle Diario'!$I$5:$I$489, '📋 Detalle Diario'!$B$5:$B$489, B2497, '📋 Detalle Diario'!$C$5:$C$489, D2497) * 200), 0))</f>
        <v/>
      </c>
      <c r="P2497" s="32" t="str">
        <f t="shared" si="271"/>
        <v/>
      </c>
      <c r="Q2497" s="33" t="str">
        <f t="shared" si="272"/>
        <v/>
      </c>
    </row>
    <row r="2498" spans="2:17" ht="18" customHeight="1" x14ac:dyDescent="0.3">
      <c r="B2498" s="26"/>
      <c r="C2498" s="17"/>
      <c r="D2498" s="27"/>
      <c r="E2498" s="18"/>
      <c r="F2498" s="18"/>
      <c r="G2498" s="18"/>
      <c r="H2498" s="30" t="str">
        <f t="shared" si="266"/>
        <v/>
      </c>
      <c r="I2498" s="31" t="str">
        <f>IF(OR(B2498="",C2498=""),"",IFERROR(E2498*IF(E2498="",0,VLOOKUP(C2498,'📦 Precios Proforma'!$B$5:$D$104,IF(D2498="DIA",2,3),FALSE)),0))</f>
        <v/>
      </c>
      <c r="J2498" s="31" t="str">
        <f t="shared" si="267"/>
        <v/>
      </c>
      <c r="K2498" s="31" t="str">
        <f t="shared" si="268"/>
        <v/>
      </c>
      <c r="L2498" s="31" t="str">
        <f>IF(OR(B2498="",C2498=""),"",IFERROR(E2498 / SUMIFS('📅 Resumen Diario'!$D$5:$D$504, '📅 Resumen Diario'!$B$5:$B$504, B2498, '📅 Resumen Diario'!$C$5:$C$504, D2498) * SUMIFS('📅 Resumen Diario'!$K$5:$K$504, '📅 Resumen Diario'!$B$5:$B$504, B2498, '📅 Resumen Diario'!$C$5:$C$504, D2498), 0))</f>
        <v/>
      </c>
      <c r="M2498" s="31" t="str">
        <f t="shared" si="269"/>
        <v/>
      </c>
      <c r="N2498" s="31" t="str">
        <f t="shared" si="270"/>
        <v/>
      </c>
      <c r="O2498" s="31" t="str">
        <f>IF(OR(B2498="",C2498=""),"",K2498-N2498 + IFERROR(E2498 / SUMIFS('📅 Resumen Diario'!$D$5:$D$504, '📅 Resumen Diario'!$B$5:$B$504, B2498, '📅 Resumen Diario'!$C$5:$C$504, D2498) * (SUMIFS('📋 Detalle Diario'!$E$5:$E$489, '📋 Detalle Diario'!$B$5:$B$489, B2498, '📋 Detalle Diario'!$C$5:$C$489, D2498) * 135 + SUMIFS('📋 Detalle Diario'!$I$5:$I$489, '📋 Detalle Diario'!$B$5:$B$489, B2498, '📋 Detalle Diario'!$C$5:$C$489, D2498) * 200), 0))</f>
        <v/>
      </c>
      <c r="P2498" s="32" t="str">
        <f t="shared" si="271"/>
        <v/>
      </c>
      <c r="Q2498" s="33" t="str">
        <f t="shared" si="272"/>
        <v/>
      </c>
    </row>
    <row r="2499" spans="2:17" ht="18" customHeight="1" x14ac:dyDescent="0.3">
      <c r="B2499" s="26"/>
      <c r="C2499" s="28"/>
      <c r="D2499" s="27"/>
      <c r="E2499" s="29"/>
      <c r="F2499" s="29"/>
      <c r="G2499" s="29"/>
      <c r="H2499" s="30" t="str">
        <f t="shared" si="266"/>
        <v/>
      </c>
      <c r="I2499" s="31" t="str">
        <f>IF(OR(B2499="",C2499=""),"",IFERROR(E2499*IF(E2499="",0,VLOOKUP(C2499,'📦 Precios Proforma'!$B$5:$D$104,IF(D2499="DIA",2,3),FALSE)),0))</f>
        <v/>
      </c>
      <c r="J2499" s="31" t="str">
        <f t="shared" si="267"/>
        <v/>
      </c>
      <c r="K2499" s="31" t="str">
        <f t="shared" si="268"/>
        <v/>
      </c>
      <c r="L2499" s="31" t="str">
        <f>IF(OR(B2499="",C2499=""),"",IFERROR(E2499 / SUMIFS('📅 Resumen Diario'!$D$5:$D$504, '📅 Resumen Diario'!$B$5:$B$504, B2499, '📅 Resumen Diario'!$C$5:$C$504, D2499) * SUMIFS('📅 Resumen Diario'!$K$5:$K$504, '📅 Resumen Diario'!$B$5:$B$504, B2499, '📅 Resumen Diario'!$C$5:$C$504, D2499), 0))</f>
        <v/>
      </c>
      <c r="M2499" s="31" t="str">
        <f t="shared" si="269"/>
        <v/>
      </c>
      <c r="N2499" s="31" t="str">
        <f t="shared" si="270"/>
        <v/>
      </c>
      <c r="O2499" s="31" t="str">
        <f>IF(OR(B2499="",C2499=""),"",K2499-N2499 + IFERROR(E2499 / SUMIFS('📅 Resumen Diario'!$D$5:$D$504, '📅 Resumen Diario'!$B$5:$B$504, B2499, '📅 Resumen Diario'!$C$5:$C$504, D2499) * (SUMIFS('📋 Detalle Diario'!$E$5:$E$489, '📋 Detalle Diario'!$B$5:$B$489, B2499, '📋 Detalle Diario'!$C$5:$C$489, D2499) * 135 + SUMIFS('📋 Detalle Diario'!$I$5:$I$489, '📋 Detalle Diario'!$B$5:$B$489, B2499, '📋 Detalle Diario'!$C$5:$C$489, D2499) * 200), 0))</f>
        <v/>
      </c>
      <c r="P2499" s="32" t="str">
        <f t="shared" si="271"/>
        <v/>
      </c>
      <c r="Q2499" s="33" t="str">
        <f t="shared" si="272"/>
        <v/>
      </c>
    </row>
    <row r="2500" spans="2:17" ht="18" customHeight="1" x14ac:dyDescent="0.3">
      <c r="B2500" s="26"/>
      <c r="C2500" s="17"/>
      <c r="D2500" s="27"/>
      <c r="E2500" s="18"/>
      <c r="F2500" s="18"/>
      <c r="G2500" s="18"/>
      <c r="H2500" s="30" t="str">
        <f t="shared" si="266"/>
        <v/>
      </c>
      <c r="I2500" s="31" t="str">
        <f>IF(OR(B2500="",C2500=""),"",IFERROR(E2500*IF(E2500="",0,VLOOKUP(C2500,'📦 Precios Proforma'!$B$5:$D$104,IF(D2500="DIA",2,3),FALSE)),0))</f>
        <v/>
      </c>
      <c r="J2500" s="31" t="str">
        <f t="shared" si="267"/>
        <v/>
      </c>
      <c r="K2500" s="31" t="str">
        <f t="shared" si="268"/>
        <v/>
      </c>
      <c r="L2500" s="31" t="str">
        <f>IF(OR(B2500="",C2500=""),"",IFERROR(E2500 / SUMIFS('📅 Resumen Diario'!$D$5:$D$504, '📅 Resumen Diario'!$B$5:$B$504, B2500, '📅 Resumen Diario'!$C$5:$C$504, D2500) * SUMIFS('📅 Resumen Diario'!$K$5:$K$504, '📅 Resumen Diario'!$B$5:$B$504, B2500, '📅 Resumen Diario'!$C$5:$C$504, D2500), 0))</f>
        <v/>
      </c>
      <c r="M2500" s="31" t="str">
        <f t="shared" si="269"/>
        <v/>
      </c>
      <c r="N2500" s="31" t="str">
        <f t="shared" si="270"/>
        <v/>
      </c>
      <c r="O2500" s="31" t="str">
        <f>IF(OR(B2500="",C2500=""),"",K2500-N2500 + IFERROR(E2500 / SUMIFS('📅 Resumen Diario'!$D$5:$D$504, '📅 Resumen Diario'!$B$5:$B$504, B2500, '📅 Resumen Diario'!$C$5:$C$504, D2500) * (SUMIFS('📋 Detalle Diario'!$E$5:$E$489, '📋 Detalle Diario'!$B$5:$B$489, B2500, '📋 Detalle Diario'!$C$5:$C$489, D2500) * 135 + SUMIFS('📋 Detalle Diario'!$I$5:$I$489, '📋 Detalle Diario'!$B$5:$B$489, B2500, '📋 Detalle Diario'!$C$5:$C$489, D2500) * 200), 0))</f>
        <v/>
      </c>
      <c r="P2500" s="32" t="str">
        <f t="shared" si="271"/>
        <v/>
      </c>
      <c r="Q2500" s="33" t="str">
        <f t="shared" si="272"/>
        <v/>
      </c>
    </row>
    <row r="2501" spans="2:17" ht="18" customHeight="1" x14ac:dyDescent="0.3">
      <c r="B2501" s="26"/>
      <c r="C2501" s="28"/>
      <c r="D2501" s="27"/>
      <c r="E2501" s="29"/>
      <c r="F2501" s="29"/>
      <c r="G2501" s="29"/>
      <c r="H2501" s="30" t="str">
        <f t="shared" si="266"/>
        <v/>
      </c>
      <c r="I2501" s="31" t="str">
        <f>IF(OR(B2501="",C2501=""),"",IFERROR(E2501*IF(E2501="",0,VLOOKUP(C2501,'📦 Precios Proforma'!$B$5:$D$104,IF(D2501="DIA",2,3),FALSE)),0))</f>
        <v/>
      </c>
      <c r="J2501" s="31" t="str">
        <f t="shared" si="267"/>
        <v/>
      </c>
      <c r="K2501" s="31" t="str">
        <f t="shared" si="268"/>
        <v/>
      </c>
      <c r="L2501" s="31" t="str">
        <f>IF(OR(B2501="",C2501=""),"",IFERROR(E2501 / SUMIFS('📅 Resumen Diario'!$D$5:$D$504, '📅 Resumen Diario'!$B$5:$B$504, B2501, '📅 Resumen Diario'!$C$5:$C$504, D2501) * SUMIFS('📅 Resumen Diario'!$K$5:$K$504, '📅 Resumen Diario'!$B$5:$B$504, B2501, '📅 Resumen Diario'!$C$5:$C$504, D2501), 0))</f>
        <v/>
      </c>
      <c r="M2501" s="31" t="str">
        <f t="shared" si="269"/>
        <v/>
      </c>
      <c r="N2501" s="31" t="str">
        <f t="shared" si="270"/>
        <v/>
      </c>
      <c r="O2501" s="31" t="str">
        <f>IF(OR(B2501="",C2501=""),"",K2501-N2501 + IFERROR(E2501 / SUMIFS('📅 Resumen Diario'!$D$5:$D$504, '📅 Resumen Diario'!$B$5:$B$504, B2501, '📅 Resumen Diario'!$C$5:$C$504, D2501) * (SUMIFS('📋 Detalle Diario'!$E$5:$E$489, '📋 Detalle Diario'!$B$5:$B$489, B2501, '📋 Detalle Diario'!$C$5:$C$489, D2501) * 135 + SUMIFS('📋 Detalle Diario'!$I$5:$I$489, '📋 Detalle Diario'!$B$5:$B$489, B2501, '📋 Detalle Diario'!$C$5:$C$489, D2501) * 200), 0))</f>
        <v/>
      </c>
      <c r="P2501" s="32" t="str">
        <f t="shared" si="271"/>
        <v/>
      </c>
      <c r="Q2501" s="33" t="str">
        <f t="shared" si="272"/>
        <v/>
      </c>
    </row>
    <row r="2502" spans="2:17" ht="18" customHeight="1" x14ac:dyDescent="0.3">
      <c r="B2502" s="26"/>
      <c r="C2502" s="17"/>
      <c r="D2502" s="27"/>
      <c r="E2502" s="18"/>
      <c r="F2502" s="18"/>
      <c r="G2502" s="18"/>
      <c r="H2502" s="30" t="str">
        <f t="shared" si="266"/>
        <v/>
      </c>
      <c r="I2502" s="31" t="str">
        <f>IF(OR(B2502="",C2502=""),"",IFERROR(E2502*IF(E2502="",0,VLOOKUP(C2502,'📦 Precios Proforma'!$B$5:$D$104,IF(D2502="DIA",2,3),FALSE)),0))</f>
        <v/>
      </c>
      <c r="J2502" s="31" t="str">
        <f t="shared" si="267"/>
        <v/>
      </c>
      <c r="K2502" s="31" t="str">
        <f t="shared" si="268"/>
        <v/>
      </c>
      <c r="L2502" s="31" t="str">
        <f>IF(OR(B2502="",C2502=""),"",IFERROR(E2502 / SUMIFS('📅 Resumen Diario'!$D$5:$D$504, '📅 Resumen Diario'!$B$5:$B$504, B2502, '📅 Resumen Diario'!$C$5:$C$504, D2502) * SUMIFS('📅 Resumen Diario'!$K$5:$K$504, '📅 Resumen Diario'!$B$5:$B$504, B2502, '📅 Resumen Diario'!$C$5:$C$504, D2502), 0))</f>
        <v/>
      </c>
      <c r="M2502" s="31" t="str">
        <f t="shared" si="269"/>
        <v/>
      </c>
      <c r="N2502" s="31" t="str">
        <f t="shared" si="270"/>
        <v/>
      </c>
      <c r="O2502" s="31" t="str">
        <f>IF(OR(B2502="",C2502=""),"",K2502-N2502 + IFERROR(E2502 / SUMIFS('📅 Resumen Diario'!$D$5:$D$504, '📅 Resumen Diario'!$B$5:$B$504, B2502, '📅 Resumen Diario'!$C$5:$C$504, D2502) * (SUMIFS('📋 Detalle Diario'!$E$5:$E$489, '📋 Detalle Diario'!$B$5:$B$489, B2502, '📋 Detalle Diario'!$C$5:$C$489, D2502) * 135 + SUMIFS('📋 Detalle Diario'!$I$5:$I$489, '📋 Detalle Diario'!$B$5:$B$489, B2502, '📋 Detalle Diario'!$C$5:$C$489, D2502) * 200), 0))</f>
        <v/>
      </c>
      <c r="P2502" s="32" t="str">
        <f t="shared" si="271"/>
        <v/>
      </c>
      <c r="Q2502" s="33" t="str">
        <f t="shared" si="272"/>
        <v/>
      </c>
    </row>
    <row r="2503" spans="2:17" ht="18" customHeight="1" x14ac:dyDescent="0.3">
      <c r="B2503" s="26"/>
      <c r="C2503" s="28"/>
      <c r="D2503" s="27"/>
      <c r="E2503" s="29"/>
      <c r="F2503" s="29"/>
      <c r="G2503" s="29"/>
      <c r="H2503" s="30" t="str">
        <f t="shared" ref="H2503:H2566" si="273">IF(OR(B2503="",C2503=""),"",F2503+G2503)</f>
        <v/>
      </c>
      <c r="I2503" s="31" t="str">
        <f>IF(OR(B2503="",C2503=""),"",IFERROR(E2503*IF(E2503="",0,VLOOKUP(C2503,'📦 Precios Proforma'!$B$5:$D$104,IF(D2503="DIA",2,3),FALSE)),0))</f>
        <v/>
      </c>
      <c r="J2503" s="31" t="str">
        <f t="shared" ref="J2503:J2566" si="274">IF(OR(B2503="",C2503=""),"",IF(D2503="DIA",H2503*1.01,H2503*1.35))</f>
        <v/>
      </c>
      <c r="K2503" s="31" t="str">
        <f t="shared" ref="K2503:K2566" si="275">IF(OR(B2503="",C2503=""),"",I2503+J2503)</f>
        <v/>
      </c>
      <c r="L2503" s="31" t="str">
        <f>IF(OR(B2503="",C2503=""),"",IFERROR(E2503 / SUMIFS('📅 Resumen Diario'!$D$5:$D$504, '📅 Resumen Diario'!$B$5:$B$504, B2503, '📅 Resumen Diario'!$C$5:$C$504, D2503) * SUMIFS('📅 Resumen Diario'!$K$5:$K$504, '📅 Resumen Diario'!$B$5:$B$504, B2503, '📅 Resumen Diario'!$C$5:$C$504, D2503), 0))</f>
        <v/>
      </c>
      <c r="M2503" s="31" t="str">
        <f t="shared" ref="M2503:M2566" si="276">IF(OR(B2503="",C2503=""),"",H2503*0.09)</f>
        <v/>
      </c>
      <c r="N2503" s="31" t="str">
        <f t="shared" ref="N2503:N2566" si="277">IF(OR(B2503="",C2503=""),"",L2503+M2503)</f>
        <v/>
      </c>
      <c r="O2503" s="31" t="str">
        <f>IF(OR(B2503="",C2503=""),"",K2503-N2503 + IFERROR(E2503 / SUMIFS('📅 Resumen Diario'!$D$5:$D$504, '📅 Resumen Diario'!$B$5:$B$504, B2503, '📅 Resumen Diario'!$C$5:$C$504, D2503) * (SUMIFS('📋 Detalle Diario'!$E$5:$E$489, '📋 Detalle Diario'!$B$5:$B$489, B2503, '📋 Detalle Diario'!$C$5:$C$489, D2503) * 135 + SUMIFS('📋 Detalle Diario'!$I$5:$I$489, '📋 Detalle Diario'!$B$5:$B$489, B2503, '📋 Detalle Diario'!$C$5:$C$489, D2503) * 200), 0))</f>
        <v/>
      </c>
      <c r="P2503" s="32" t="str">
        <f t="shared" ref="P2503:P2566" si="278">IF(OR(B2503="",C2503=""),"",IF(K2503=0, 0, O2503/K2503))</f>
        <v/>
      </c>
      <c r="Q2503" s="33" t="str">
        <f t="shared" ref="Q2503:Q2566" si="279">IF(B2503="","",IF(ISNUMBER(B2503),YEAR(B2503)&amp;"-"&amp;IF(MONTH(B2503)&lt;10,"0","")&amp;MONTH(B2503),LEFT(B2503,7)))</f>
        <v/>
      </c>
    </row>
    <row r="2504" spans="2:17" ht="18" customHeight="1" x14ac:dyDescent="0.3">
      <c r="B2504" s="26"/>
      <c r="C2504" s="17"/>
      <c r="D2504" s="27"/>
      <c r="E2504" s="18"/>
      <c r="F2504" s="18"/>
      <c r="G2504" s="18"/>
      <c r="H2504" s="30" t="str">
        <f t="shared" si="273"/>
        <v/>
      </c>
      <c r="I2504" s="31" t="str">
        <f>IF(OR(B2504="",C2504=""),"",IFERROR(E2504*IF(E2504="",0,VLOOKUP(C2504,'📦 Precios Proforma'!$B$5:$D$104,IF(D2504="DIA",2,3),FALSE)),0))</f>
        <v/>
      </c>
      <c r="J2504" s="31" t="str">
        <f t="shared" si="274"/>
        <v/>
      </c>
      <c r="K2504" s="31" t="str">
        <f t="shared" si="275"/>
        <v/>
      </c>
      <c r="L2504" s="31" t="str">
        <f>IF(OR(B2504="",C2504=""),"",IFERROR(E2504 / SUMIFS('📅 Resumen Diario'!$D$5:$D$504, '📅 Resumen Diario'!$B$5:$B$504, B2504, '📅 Resumen Diario'!$C$5:$C$504, D2504) * SUMIFS('📅 Resumen Diario'!$K$5:$K$504, '📅 Resumen Diario'!$B$5:$B$504, B2504, '📅 Resumen Diario'!$C$5:$C$504, D2504), 0))</f>
        <v/>
      </c>
      <c r="M2504" s="31" t="str">
        <f t="shared" si="276"/>
        <v/>
      </c>
      <c r="N2504" s="31" t="str">
        <f t="shared" si="277"/>
        <v/>
      </c>
      <c r="O2504" s="31" t="str">
        <f>IF(OR(B2504="",C2504=""),"",K2504-N2504 + IFERROR(E2504 / SUMIFS('📅 Resumen Diario'!$D$5:$D$504, '📅 Resumen Diario'!$B$5:$B$504, B2504, '📅 Resumen Diario'!$C$5:$C$504, D2504) * (SUMIFS('📋 Detalle Diario'!$E$5:$E$489, '📋 Detalle Diario'!$B$5:$B$489, B2504, '📋 Detalle Diario'!$C$5:$C$489, D2504) * 135 + SUMIFS('📋 Detalle Diario'!$I$5:$I$489, '📋 Detalle Diario'!$B$5:$B$489, B2504, '📋 Detalle Diario'!$C$5:$C$489, D2504) * 200), 0))</f>
        <v/>
      </c>
      <c r="P2504" s="32" t="str">
        <f t="shared" si="278"/>
        <v/>
      </c>
      <c r="Q2504" s="33" t="str">
        <f t="shared" si="279"/>
        <v/>
      </c>
    </row>
    <row r="2505" spans="2:17" ht="18" customHeight="1" x14ac:dyDescent="0.3">
      <c r="B2505" s="26"/>
      <c r="C2505" s="28"/>
      <c r="D2505" s="27"/>
      <c r="E2505" s="29"/>
      <c r="F2505" s="29"/>
      <c r="G2505" s="29"/>
      <c r="H2505" s="30" t="str">
        <f t="shared" si="273"/>
        <v/>
      </c>
      <c r="I2505" s="31" t="str">
        <f>IF(OR(B2505="",C2505=""),"",IFERROR(E2505*IF(E2505="",0,VLOOKUP(C2505,'📦 Precios Proforma'!$B$5:$D$104,IF(D2505="DIA",2,3),FALSE)),0))</f>
        <v/>
      </c>
      <c r="J2505" s="31" t="str">
        <f t="shared" si="274"/>
        <v/>
      </c>
      <c r="K2505" s="31" t="str">
        <f t="shared" si="275"/>
        <v/>
      </c>
      <c r="L2505" s="31" t="str">
        <f>IF(OR(B2505="",C2505=""),"",IFERROR(E2505 / SUMIFS('📅 Resumen Diario'!$D$5:$D$504, '📅 Resumen Diario'!$B$5:$B$504, B2505, '📅 Resumen Diario'!$C$5:$C$504, D2505) * SUMIFS('📅 Resumen Diario'!$K$5:$K$504, '📅 Resumen Diario'!$B$5:$B$504, B2505, '📅 Resumen Diario'!$C$5:$C$504, D2505), 0))</f>
        <v/>
      </c>
      <c r="M2505" s="31" t="str">
        <f t="shared" si="276"/>
        <v/>
      </c>
      <c r="N2505" s="31" t="str">
        <f t="shared" si="277"/>
        <v/>
      </c>
      <c r="O2505" s="31" t="str">
        <f>IF(OR(B2505="",C2505=""),"",K2505-N2505 + IFERROR(E2505 / SUMIFS('📅 Resumen Diario'!$D$5:$D$504, '📅 Resumen Diario'!$B$5:$B$504, B2505, '📅 Resumen Diario'!$C$5:$C$504, D2505) * (SUMIFS('📋 Detalle Diario'!$E$5:$E$489, '📋 Detalle Diario'!$B$5:$B$489, B2505, '📋 Detalle Diario'!$C$5:$C$489, D2505) * 135 + SUMIFS('📋 Detalle Diario'!$I$5:$I$489, '📋 Detalle Diario'!$B$5:$B$489, B2505, '📋 Detalle Diario'!$C$5:$C$489, D2505) * 200), 0))</f>
        <v/>
      </c>
      <c r="P2505" s="32" t="str">
        <f t="shared" si="278"/>
        <v/>
      </c>
      <c r="Q2505" s="33" t="str">
        <f t="shared" si="279"/>
        <v/>
      </c>
    </row>
    <row r="2506" spans="2:17" ht="18" customHeight="1" x14ac:dyDescent="0.3">
      <c r="B2506" s="26"/>
      <c r="C2506" s="17"/>
      <c r="D2506" s="27"/>
      <c r="E2506" s="18"/>
      <c r="F2506" s="18"/>
      <c r="G2506" s="18"/>
      <c r="H2506" s="30" t="str">
        <f t="shared" si="273"/>
        <v/>
      </c>
      <c r="I2506" s="31" t="str">
        <f>IF(OR(B2506="",C2506=""),"",IFERROR(E2506*IF(E2506="",0,VLOOKUP(C2506,'📦 Precios Proforma'!$B$5:$D$104,IF(D2506="DIA",2,3),FALSE)),0))</f>
        <v/>
      </c>
      <c r="J2506" s="31" t="str">
        <f t="shared" si="274"/>
        <v/>
      </c>
      <c r="K2506" s="31" t="str">
        <f t="shared" si="275"/>
        <v/>
      </c>
      <c r="L2506" s="31" t="str">
        <f>IF(OR(B2506="",C2506=""),"",IFERROR(E2506 / SUMIFS('📅 Resumen Diario'!$D$5:$D$504, '📅 Resumen Diario'!$B$5:$B$504, B2506, '📅 Resumen Diario'!$C$5:$C$504, D2506) * SUMIFS('📅 Resumen Diario'!$K$5:$K$504, '📅 Resumen Diario'!$B$5:$B$504, B2506, '📅 Resumen Diario'!$C$5:$C$504, D2506), 0))</f>
        <v/>
      </c>
      <c r="M2506" s="31" t="str">
        <f t="shared" si="276"/>
        <v/>
      </c>
      <c r="N2506" s="31" t="str">
        <f t="shared" si="277"/>
        <v/>
      </c>
      <c r="O2506" s="31" t="str">
        <f>IF(OR(B2506="",C2506=""),"",K2506-N2506 + IFERROR(E2506 / SUMIFS('📅 Resumen Diario'!$D$5:$D$504, '📅 Resumen Diario'!$B$5:$B$504, B2506, '📅 Resumen Diario'!$C$5:$C$504, D2506) * (SUMIFS('📋 Detalle Diario'!$E$5:$E$489, '📋 Detalle Diario'!$B$5:$B$489, B2506, '📋 Detalle Diario'!$C$5:$C$489, D2506) * 135 + SUMIFS('📋 Detalle Diario'!$I$5:$I$489, '📋 Detalle Diario'!$B$5:$B$489, B2506, '📋 Detalle Diario'!$C$5:$C$489, D2506) * 200), 0))</f>
        <v/>
      </c>
      <c r="P2506" s="32" t="str">
        <f t="shared" si="278"/>
        <v/>
      </c>
      <c r="Q2506" s="33" t="str">
        <f t="shared" si="279"/>
        <v/>
      </c>
    </row>
    <row r="2507" spans="2:17" ht="18" customHeight="1" x14ac:dyDescent="0.3">
      <c r="B2507" s="26"/>
      <c r="C2507" s="28"/>
      <c r="D2507" s="27"/>
      <c r="E2507" s="29"/>
      <c r="F2507" s="29"/>
      <c r="G2507" s="29"/>
      <c r="H2507" s="30" t="str">
        <f t="shared" si="273"/>
        <v/>
      </c>
      <c r="I2507" s="31" t="str">
        <f>IF(OR(B2507="",C2507=""),"",IFERROR(E2507*IF(E2507="",0,VLOOKUP(C2507,'📦 Precios Proforma'!$B$5:$D$104,IF(D2507="DIA",2,3),FALSE)),0))</f>
        <v/>
      </c>
      <c r="J2507" s="31" t="str">
        <f t="shared" si="274"/>
        <v/>
      </c>
      <c r="K2507" s="31" t="str">
        <f t="shared" si="275"/>
        <v/>
      </c>
      <c r="L2507" s="31" t="str">
        <f>IF(OR(B2507="",C2507=""),"",IFERROR(E2507 / SUMIFS('📅 Resumen Diario'!$D$5:$D$504, '📅 Resumen Diario'!$B$5:$B$504, B2507, '📅 Resumen Diario'!$C$5:$C$504, D2507) * SUMIFS('📅 Resumen Diario'!$K$5:$K$504, '📅 Resumen Diario'!$B$5:$B$504, B2507, '📅 Resumen Diario'!$C$5:$C$504, D2507), 0))</f>
        <v/>
      </c>
      <c r="M2507" s="31" t="str">
        <f t="shared" si="276"/>
        <v/>
      </c>
      <c r="N2507" s="31" t="str">
        <f t="shared" si="277"/>
        <v/>
      </c>
      <c r="O2507" s="31" t="str">
        <f>IF(OR(B2507="",C2507=""),"",K2507-N2507 + IFERROR(E2507 / SUMIFS('📅 Resumen Diario'!$D$5:$D$504, '📅 Resumen Diario'!$B$5:$B$504, B2507, '📅 Resumen Diario'!$C$5:$C$504, D2507) * (SUMIFS('📋 Detalle Diario'!$E$5:$E$489, '📋 Detalle Diario'!$B$5:$B$489, B2507, '📋 Detalle Diario'!$C$5:$C$489, D2507) * 135 + SUMIFS('📋 Detalle Diario'!$I$5:$I$489, '📋 Detalle Diario'!$B$5:$B$489, B2507, '📋 Detalle Diario'!$C$5:$C$489, D2507) * 200), 0))</f>
        <v/>
      </c>
      <c r="P2507" s="32" t="str">
        <f t="shared" si="278"/>
        <v/>
      </c>
      <c r="Q2507" s="33" t="str">
        <f t="shared" si="279"/>
        <v/>
      </c>
    </row>
    <row r="2508" spans="2:17" ht="18" customHeight="1" x14ac:dyDescent="0.3">
      <c r="B2508" s="26"/>
      <c r="C2508" s="17"/>
      <c r="D2508" s="27"/>
      <c r="E2508" s="18"/>
      <c r="F2508" s="18"/>
      <c r="G2508" s="18"/>
      <c r="H2508" s="30" t="str">
        <f t="shared" si="273"/>
        <v/>
      </c>
      <c r="I2508" s="31" t="str">
        <f>IF(OR(B2508="",C2508=""),"",IFERROR(E2508*IF(E2508="",0,VLOOKUP(C2508,'📦 Precios Proforma'!$B$5:$D$104,IF(D2508="DIA",2,3),FALSE)),0))</f>
        <v/>
      </c>
      <c r="J2508" s="31" t="str">
        <f t="shared" si="274"/>
        <v/>
      </c>
      <c r="K2508" s="31" t="str">
        <f t="shared" si="275"/>
        <v/>
      </c>
      <c r="L2508" s="31" t="str">
        <f>IF(OR(B2508="",C2508=""),"",IFERROR(E2508 / SUMIFS('📅 Resumen Diario'!$D$5:$D$504, '📅 Resumen Diario'!$B$5:$B$504, B2508, '📅 Resumen Diario'!$C$5:$C$504, D2508) * SUMIFS('📅 Resumen Diario'!$K$5:$K$504, '📅 Resumen Diario'!$B$5:$B$504, B2508, '📅 Resumen Diario'!$C$5:$C$504, D2508), 0))</f>
        <v/>
      </c>
      <c r="M2508" s="31" t="str">
        <f t="shared" si="276"/>
        <v/>
      </c>
      <c r="N2508" s="31" t="str">
        <f t="shared" si="277"/>
        <v/>
      </c>
      <c r="O2508" s="31" t="str">
        <f>IF(OR(B2508="",C2508=""),"",K2508-N2508 + IFERROR(E2508 / SUMIFS('📅 Resumen Diario'!$D$5:$D$504, '📅 Resumen Diario'!$B$5:$B$504, B2508, '📅 Resumen Diario'!$C$5:$C$504, D2508) * (SUMIFS('📋 Detalle Diario'!$E$5:$E$489, '📋 Detalle Diario'!$B$5:$B$489, B2508, '📋 Detalle Diario'!$C$5:$C$489, D2508) * 135 + SUMIFS('📋 Detalle Diario'!$I$5:$I$489, '📋 Detalle Diario'!$B$5:$B$489, B2508, '📋 Detalle Diario'!$C$5:$C$489, D2508) * 200), 0))</f>
        <v/>
      </c>
      <c r="P2508" s="32" t="str">
        <f t="shared" si="278"/>
        <v/>
      </c>
      <c r="Q2508" s="33" t="str">
        <f t="shared" si="279"/>
        <v/>
      </c>
    </row>
    <row r="2509" spans="2:17" ht="18" customHeight="1" x14ac:dyDescent="0.3">
      <c r="B2509" s="26"/>
      <c r="C2509" s="28"/>
      <c r="D2509" s="27"/>
      <c r="E2509" s="29"/>
      <c r="F2509" s="29"/>
      <c r="G2509" s="29"/>
      <c r="H2509" s="30" t="str">
        <f t="shared" si="273"/>
        <v/>
      </c>
      <c r="I2509" s="31" t="str">
        <f>IF(OR(B2509="",C2509=""),"",IFERROR(E2509*IF(E2509="",0,VLOOKUP(C2509,'📦 Precios Proforma'!$B$5:$D$104,IF(D2509="DIA",2,3),FALSE)),0))</f>
        <v/>
      </c>
      <c r="J2509" s="31" t="str">
        <f t="shared" si="274"/>
        <v/>
      </c>
      <c r="K2509" s="31" t="str">
        <f t="shared" si="275"/>
        <v/>
      </c>
      <c r="L2509" s="31" t="str">
        <f>IF(OR(B2509="",C2509=""),"",IFERROR(E2509 / SUMIFS('📅 Resumen Diario'!$D$5:$D$504, '📅 Resumen Diario'!$B$5:$B$504, B2509, '📅 Resumen Diario'!$C$5:$C$504, D2509) * SUMIFS('📅 Resumen Diario'!$K$5:$K$504, '📅 Resumen Diario'!$B$5:$B$504, B2509, '📅 Resumen Diario'!$C$5:$C$504, D2509), 0))</f>
        <v/>
      </c>
      <c r="M2509" s="31" t="str">
        <f t="shared" si="276"/>
        <v/>
      </c>
      <c r="N2509" s="31" t="str">
        <f t="shared" si="277"/>
        <v/>
      </c>
      <c r="O2509" s="31" t="str">
        <f>IF(OR(B2509="",C2509=""),"",K2509-N2509 + IFERROR(E2509 / SUMIFS('📅 Resumen Diario'!$D$5:$D$504, '📅 Resumen Diario'!$B$5:$B$504, B2509, '📅 Resumen Diario'!$C$5:$C$504, D2509) * (SUMIFS('📋 Detalle Diario'!$E$5:$E$489, '📋 Detalle Diario'!$B$5:$B$489, B2509, '📋 Detalle Diario'!$C$5:$C$489, D2509) * 135 + SUMIFS('📋 Detalle Diario'!$I$5:$I$489, '📋 Detalle Diario'!$B$5:$B$489, B2509, '📋 Detalle Diario'!$C$5:$C$489, D2509) * 200), 0))</f>
        <v/>
      </c>
      <c r="P2509" s="32" t="str">
        <f t="shared" si="278"/>
        <v/>
      </c>
      <c r="Q2509" s="33" t="str">
        <f t="shared" si="279"/>
        <v/>
      </c>
    </row>
    <row r="2510" spans="2:17" ht="18" customHeight="1" x14ac:dyDescent="0.3">
      <c r="B2510" s="26"/>
      <c r="C2510" s="17"/>
      <c r="D2510" s="27"/>
      <c r="E2510" s="18"/>
      <c r="F2510" s="18"/>
      <c r="G2510" s="18"/>
      <c r="H2510" s="30" t="str">
        <f t="shared" si="273"/>
        <v/>
      </c>
      <c r="I2510" s="31" t="str">
        <f>IF(OR(B2510="",C2510=""),"",IFERROR(E2510*IF(E2510="",0,VLOOKUP(C2510,'📦 Precios Proforma'!$B$5:$D$104,IF(D2510="DIA",2,3),FALSE)),0))</f>
        <v/>
      </c>
      <c r="J2510" s="31" t="str">
        <f t="shared" si="274"/>
        <v/>
      </c>
      <c r="K2510" s="31" t="str">
        <f t="shared" si="275"/>
        <v/>
      </c>
      <c r="L2510" s="31" t="str">
        <f>IF(OR(B2510="",C2510=""),"",IFERROR(E2510 / SUMIFS('📅 Resumen Diario'!$D$5:$D$504, '📅 Resumen Diario'!$B$5:$B$504, B2510, '📅 Resumen Diario'!$C$5:$C$504, D2510) * SUMIFS('📅 Resumen Diario'!$K$5:$K$504, '📅 Resumen Diario'!$B$5:$B$504, B2510, '📅 Resumen Diario'!$C$5:$C$504, D2510), 0))</f>
        <v/>
      </c>
      <c r="M2510" s="31" t="str">
        <f t="shared" si="276"/>
        <v/>
      </c>
      <c r="N2510" s="31" t="str">
        <f t="shared" si="277"/>
        <v/>
      </c>
      <c r="O2510" s="31" t="str">
        <f>IF(OR(B2510="",C2510=""),"",K2510-N2510 + IFERROR(E2510 / SUMIFS('📅 Resumen Diario'!$D$5:$D$504, '📅 Resumen Diario'!$B$5:$B$504, B2510, '📅 Resumen Diario'!$C$5:$C$504, D2510) * (SUMIFS('📋 Detalle Diario'!$E$5:$E$489, '📋 Detalle Diario'!$B$5:$B$489, B2510, '📋 Detalle Diario'!$C$5:$C$489, D2510) * 135 + SUMIFS('📋 Detalle Diario'!$I$5:$I$489, '📋 Detalle Diario'!$B$5:$B$489, B2510, '📋 Detalle Diario'!$C$5:$C$489, D2510) * 200), 0))</f>
        <v/>
      </c>
      <c r="P2510" s="32" t="str">
        <f t="shared" si="278"/>
        <v/>
      </c>
      <c r="Q2510" s="33" t="str">
        <f t="shared" si="279"/>
        <v/>
      </c>
    </row>
    <row r="2511" spans="2:17" ht="18" customHeight="1" x14ac:dyDescent="0.3">
      <c r="B2511" s="26"/>
      <c r="C2511" s="28"/>
      <c r="D2511" s="27"/>
      <c r="E2511" s="29"/>
      <c r="F2511" s="29"/>
      <c r="G2511" s="29"/>
      <c r="H2511" s="30" t="str">
        <f t="shared" si="273"/>
        <v/>
      </c>
      <c r="I2511" s="31" t="str">
        <f>IF(OR(B2511="",C2511=""),"",IFERROR(E2511*IF(E2511="",0,VLOOKUP(C2511,'📦 Precios Proforma'!$B$5:$D$104,IF(D2511="DIA",2,3),FALSE)),0))</f>
        <v/>
      </c>
      <c r="J2511" s="31" t="str">
        <f t="shared" si="274"/>
        <v/>
      </c>
      <c r="K2511" s="31" t="str">
        <f t="shared" si="275"/>
        <v/>
      </c>
      <c r="L2511" s="31" t="str">
        <f>IF(OR(B2511="",C2511=""),"",IFERROR(E2511 / SUMIFS('📅 Resumen Diario'!$D$5:$D$504, '📅 Resumen Diario'!$B$5:$B$504, B2511, '📅 Resumen Diario'!$C$5:$C$504, D2511) * SUMIFS('📅 Resumen Diario'!$K$5:$K$504, '📅 Resumen Diario'!$B$5:$B$504, B2511, '📅 Resumen Diario'!$C$5:$C$504, D2511), 0))</f>
        <v/>
      </c>
      <c r="M2511" s="31" t="str">
        <f t="shared" si="276"/>
        <v/>
      </c>
      <c r="N2511" s="31" t="str">
        <f t="shared" si="277"/>
        <v/>
      </c>
      <c r="O2511" s="31" t="str">
        <f>IF(OR(B2511="",C2511=""),"",K2511-N2511 + IFERROR(E2511 / SUMIFS('📅 Resumen Diario'!$D$5:$D$504, '📅 Resumen Diario'!$B$5:$B$504, B2511, '📅 Resumen Diario'!$C$5:$C$504, D2511) * (SUMIFS('📋 Detalle Diario'!$E$5:$E$489, '📋 Detalle Diario'!$B$5:$B$489, B2511, '📋 Detalle Diario'!$C$5:$C$489, D2511) * 135 + SUMIFS('📋 Detalle Diario'!$I$5:$I$489, '📋 Detalle Diario'!$B$5:$B$489, B2511, '📋 Detalle Diario'!$C$5:$C$489, D2511) * 200), 0))</f>
        <v/>
      </c>
      <c r="P2511" s="32" t="str">
        <f t="shared" si="278"/>
        <v/>
      </c>
      <c r="Q2511" s="33" t="str">
        <f t="shared" si="279"/>
        <v/>
      </c>
    </row>
    <row r="2512" spans="2:17" ht="18" customHeight="1" x14ac:dyDescent="0.3">
      <c r="B2512" s="26"/>
      <c r="C2512" s="17"/>
      <c r="D2512" s="27"/>
      <c r="E2512" s="18"/>
      <c r="F2512" s="18"/>
      <c r="G2512" s="18"/>
      <c r="H2512" s="30" t="str">
        <f t="shared" si="273"/>
        <v/>
      </c>
      <c r="I2512" s="31" t="str">
        <f>IF(OR(B2512="",C2512=""),"",IFERROR(E2512*IF(E2512="",0,VLOOKUP(C2512,'📦 Precios Proforma'!$B$5:$D$104,IF(D2512="DIA",2,3),FALSE)),0))</f>
        <v/>
      </c>
      <c r="J2512" s="31" t="str">
        <f t="shared" si="274"/>
        <v/>
      </c>
      <c r="K2512" s="31" t="str">
        <f t="shared" si="275"/>
        <v/>
      </c>
      <c r="L2512" s="31" t="str">
        <f>IF(OR(B2512="",C2512=""),"",IFERROR(E2512 / SUMIFS('📅 Resumen Diario'!$D$5:$D$504, '📅 Resumen Diario'!$B$5:$B$504, B2512, '📅 Resumen Diario'!$C$5:$C$504, D2512) * SUMIFS('📅 Resumen Diario'!$K$5:$K$504, '📅 Resumen Diario'!$B$5:$B$504, B2512, '📅 Resumen Diario'!$C$5:$C$504, D2512), 0))</f>
        <v/>
      </c>
      <c r="M2512" s="31" t="str">
        <f t="shared" si="276"/>
        <v/>
      </c>
      <c r="N2512" s="31" t="str">
        <f t="shared" si="277"/>
        <v/>
      </c>
      <c r="O2512" s="31" t="str">
        <f>IF(OR(B2512="",C2512=""),"",K2512-N2512 + IFERROR(E2512 / SUMIFS('📅 Resumen Diario'!$D$5:$D$504, '📅 Resumen Diario'!$B$5:$B$504, B2512, '📅 Resumen Diario'!$C$5:$C$504, D2512) * (SUMIFS('📋 Detalle Diario'!$E$5:$E$489, '📋 Detalle Diario'!$B$5:$B$489, B2512, '📋 Detalle Diario'!$C$5:$C$489, D2512) * 135 + SUMIFS('📋 Detalle Diario'!$I$5:$I$489, '📋 Detalle Diario'!$B$5:$B$489, B2512, '📋 Detalle Diario'!$C$5:$C$489, D2512) * 200), 0))</f>
        <v/>
      </c>
      <c r="P2512" s="32" t="str">
        <f t="shared" si="278"/>
        <v/>
      </c>
      <c r="Q2512" s="33" t="str">
        <f t="shared" si="279"/>
        <v/>
      </c>
    </row>
    <row r="2513" spans="2:17" ht="18" customHeight="1" x14ac:dyDescent="0.3">
      <c r="B2513" s="26"/>
      <c r="C2513" s="28"/>
      <c r="D2513" s="27"/>
      <c r="E2513" s="29"/>
      <c r="F2513" s="29"/>
      <c r="G2513" s="29"/>
      <c r="H2513" s="30" t="str">
        <f t="shared" si="273"/>
        <v/>
      </c>
      <c r="I2513" s="31" t="str">
        <f>IF(OR(B2513="",C2513=""),"",IFERROR(E2513*IF(E2513="",0,VLOOKUP(C2513,'📦 Precios Proforma'!$B$5:$D$104,IF(D2513="DIA",2,3),FALSE)),0))</f>
        <v/>
      </c>
      <c r="J2513" s="31" t="str">
        <f t="shared" si="274"/>
        <v/>
      </c>
      <c r="K2513" s="31" t="str">
        <f t="shared" si="275"/>
        <v/>
      </c>
      <c r="L2513" s="31" t="str">
        <f>IF(OR(B2513="",C2513=""),"",IFERROR(E2513 / SUMIFS('📅 Resumen Diario'!$D$5:$D$504, '📅 Resumen Diario'!$B$5:$B$504, B2513, '📅 Resumen Diario'!$C$5:$C$504, D2513) * SUMIFS('📅 Resumen Diario'!$K$5:$K$504, '📅 Resumen Diario'!$B$5:$B$504, B2513, '📅 Resumen Diario'!$C$5:$C$504, D2513), 0))</f>
        <v/>
      </c>
      <c r="M2513" s="31" t="str">
        <f t="shared" si="276"/>
        <v/>
      </c>
      <c r="N2513" s="31" t="str">
        <f t="shared" si="277"/>
        <v/>
      </c>
      <c r="O2513" s="31" t="str">
        <f>IF(OR(B2513="",C2513=""),"",K2513-N2513 + IFERROR(E2513 / SUMIFS('📅 Resumen Diario'!$D$5:$D$504, '📅 Resumen Diario'!$B$5:$B$504, B2513, '📅 Resumen Diario'!$C$5:$C$504, D2513) * (SUMIFS('📋 Detalle Diario'!$E$5:$E$489, '📋 Detalle Diario'!$B$5:$B$489, B2513, '📋 Detalle Diario'!$C$5:$C$489, D2513) * 135 + SUMIFS('📋 Detalle Diario'!$I$5:$I$489, '📋 Detalle Diario'!$B$5:$B$489, B2513, '📋 Detalle Diario'!$C$5:$C$489, D2513) * 200), 0))</f>
        <v/>
      </c>
      <c r="P2513" s="32" t="str">
        <f t="shared" si="278"/>
        <v/>
      </c>
      <c r="Q2513" s="33" t="str">
        <f t="shared" si="279"/>
        <v/>
      </c>
    </row>
    <row r="2514" spans="2:17" ht="18" customHeight="1" x14ac:dyDescent="0.3">
      <c r="B2514" s="26"/>
      <c r="C2514" s="17"/>
      <c r="D2514" s="27"/>
      <c r="E2514" s="18"/>
      <c r="F2514" s="18"/>
      <c r="G2514" s="18"/>
      <c r="H2514" s="30" t="str">
        <f t="shared" si="273"/>
        <v/>
      </c>
      <c r="I2514" s="31" t="str">
        <f>IF(OR(B2514="",C2514=""),"",IFERROR(E2514*IF(E2514="",0,VLOOKUP(C2514,'📦 Precios Proforma'!$B$5:$D$104,IF(D2514="DIA",2,3),FALSE)),0))</f>
        <v/>
      </c>
      <c r="J2514" s="31" t="str">
        <f t="shared" si="274"/>
        <v/>
      </c>
      <c r="K2514" s="31" t="str">
        <f t="shared" si="275"/>
        <v/>
      </c>
      <c r="L2514" s="31" t="str">
        <f>IF(OR(B2514="",C2514=""),"",IFERROR(E2514 / SUMIFS('📅 Resumen Diario'!$D$5:$D$504, '📅 Resumen Diario'!$B$5:$B$504, B2514, '📅 Resumen Diario'!$C$5:$C$504, D2514) * SUMIFS('📅 Resumen Diario'!$K$5:$K$504, '📅 Resumen Diario'!$B$5:$B$504, B2514, '📅 Resumen Diario'!$C$5:$C$504, D2514), 0))</f>
        <v/>
      </c>
      <c r="M2514" s="31" t="str">
        <f t="shared" si="276"/>
        <v/>
      </c>
      <c r="N2514" s="31" t="str">
        <f t="shared" si="277"/>
        <v/>
      </c>
      <c r="O2514" s="31" t="str">
        <f>IF(OR(B2514="",C2514=""),"",K2514-N2514 + IFERROR(E2514 / SUMIFS('📅 Resumen Diario'!$D$5:$D$504, '📅 Resumen Diario'!$B$5:$B$504, B2514, '📅 Resumen Diario'!$C$5:$C$504, D2514) * (SUMIFS('📋 Detalle Diario'!$E$5:$E$489, '📋 Detalle Diario'!$B$5:$B$489, B2514, '📋 Detalle Diario'!$C$5:$C$489, D2514) * 135 + SUMIFS('📋 Detalle Diario'!$I$5:$I$489, '📋 Detalle Diario'!$B$5:$B$489, B2514, '📋 Detalle Diario'!$C$5:$C$489, D2514) * 200), 0))</f>
        <v/>
      </c>
      <c r="P2514" s="32" t="str">
        <f t="shared" si="278"/>
        <v/>
      </c>
      <c r="Q2514" s="33" t="str">
        <f t="shared" si="279"/>
        <v/>
      </c>
    </row>
    <row r="2515" spans="2:17" ht="18" customHeight="1" x14ac:dyDescent="0.3">
      <c r="B2515" s="26"/>
      <c r="C2515" s="28"/>
      <c r="D2515" s="27"/>
      <c r="E2515" s="29"/>
      <c r="F2515" s="29"/>
      <c r="G2515" s="29"/>
      <c r="H2515" s="30" t="str">
        <f t="shared" si="273"/>
        <v/>
      </c>
      <c r="I2515" s="31" t="str">
        <f>IF(OR(B2515="",C2515=""),"",IFERROR(E2515*IF(E2515="",0,VLOOKUP(C2515,'📦 Precios Proforma'!$B$5:$D$104,IF(D2515="DIA",2,3),FALSE)),0))</f>
        <v/>
      </c>
      <c r="J2515" s="31" t="str">
        <f t="shared" si="274"/>
        <v/>
      </c>
      <c r="K2515" s="31" t="str">
        <f t="shared" si="275"/>
        <v/>
      </c>
      <c r="L2515" s="31" t="str">
        <f>IF(OR(B2515="",C2515=""),"",IFERROR(E2515 / SUMIFS('📅 Resumen Diario'!$D$5:$D$504, '📅 Resumen Diario'!$B$5:$B$504, B2515, '📅 Resumen Diario'!$C$5:$C$504, D2515) * SUMIFS('📅 Resumen Diario'!$K$5:$K$504, '📅 Resumen Diario'!$B$5:$B$504, B2515, '📅 Resumen Diario'!$C$5:$C$504, D2515), 0))</f>
        <v/>
      </c>
      <c r="M2515" s="31" t="str">
        <f t="shared" si="276"/>
        <v/>
      </c>
      <c r="N2515" s="31" t="str">
        <f t="shared" si="277"/>
        <v/>
      </c>
      <c r="O2515" s="31" t="str">
        <f>IF(OR(B2515="",C2515=""),"",K2515-N2515 + IFERROR(E2515 / SUMIFS('📅 Resumen Diario'!$D$5:$D$504, '📅 Resumen Diario'!$B$5:$B$504, B2515, '📅 Resumen Diario'!$C$5:$C$504, D2515) * (SUMIFS('📋 Detalle Diario'!$E$5:$E$489, '📋 Detalle Diario'!$B$5:$B$489, B2515, '📋 Detalle Diario'!$C$5:$C$489, D2515) * 135 + SUMIFS('📋 Detalle Diario'!$I$5:$I$489, '📋 Detalle Diario'!$B$5:$B$489, B2515, '📋 Detalle Diario'!$C$5:$C$489, D2515) * 200), 0))</f>
        <v/>
      </c>
      <c r="P2515" s="32" t="str">
        <f t="shared" si="278"/>
        <v/>
      </c>
      <c r="Q2515" s="33" t="str">
        <f t="shared" si="279"/>
        <v/>
      </c>
    </row>
    <row r="2516" spans="2:17" ht="18" customHeight="1" x14ac:dyDescent="0.3">
      <c r="B2516" s="26"/>
      <c r="C2516" s="17"/>
      <c r="D2516" s="27"/>
      <c r="E2516" s="18"/>
      <c r="F2516" s="18"/>
      <c r="G2516" s="18"/>
      <c r="H2516" s="30" t="str">
        <f t="shared" si="273"/>
        <v/>
      </c>
      <c r="I2516" s="31" t="str">
        <f>IF(OR(B2516="",C2516=""),"",IFERROR(E2516*IF(E2516="",0,VLOOKUP(C2516,'📦 Precios Proforma'!$B$5:$D$104,IF(D2516="DIA",2,3),FALSE)),0))</f>
        <v/>
      </c>
      <c r="J2516" s="31" t="str">
        <f t="shared" si="274"/>
        <v/>
      </c>
      <c r="K2516" s="31" t="str">
        <f t="shared" si="275"/>
        <v/>
      </c>
      <c r="L2516" s="31" t="str">
        <f>IF(OR(B2516="",C2516=""),"",IFERROR(E2516 / SUMIFS('📅 Resumen Diario'!$D$5:$D$504, '📅 Resumen Diario'!$B$5:$B$504, B2516, '📅 Resumen Diario'!$C$5:$C$504, D2516) * SUMIFS('📅 Resumen Diario'!$K$5:$K$504, '📅 Resumen Diario'!$B$5:$B$504, B2516, '📅 Resumen Diario'!$C$5:$C$504, D2516), 0))</f>
        <v/>
      </c>
      <c r="M2516" s="31" t="str">
        <f t="shared" si="276"/>
        <v/>
      </c>
      <c r="N2516" s="31" t="str">
        <f t="shared" si="277"/>
        <v/>
      </c>
      <c r="O2516" s="31" t="str">
        <f>IF(OR(B2516="",C2516=""),"",K2516-N2516 + IFERROR(E2516 / SUMIFS('📅 Resumen Diario'!$D$5:$D$504, '📅 Resumen Diario'!$B$5:$B$504, B2516, '📅 Resumen Diario'!$C$5:$C$504, D2516) * (SUMIFS('📋 Detalle Diario'!$E$5:$E$489, '📋 Detalle Diario'!$B$5:$B$489, B2516, '📋 Detalle Diario'!$C$5:$C$489, D2516) * 135 + SUMIFS('📋 Detalle Diario'!$I$5:$I$489, '📋 Detalle Diario'!$B$5:$B$489, B2516, '📋 Detalle Diario'!$C$5:$C$489, D2516) * 200), 0))</f>
        <v/>
      </c>
      <c r="P2516" s="32" t="str">
        <f t="shared" si="278"/>
        <v/>
      </c>
      <c r="Q2516" s="33" t="str">
        <f t="shared" si="279"/>
        <v/>
      </c>
    </row>
    <row r="2517" spans="2:17" ht="18" customHeight="1" x14ac:dyDescent="0.3">
      <c r="B2517" s="26"/>
      <c r="C2517" s="28"/>
      <c r="D2517" s="27"/>
      <c r="E2517" s="29"/>
      <c r="F2517" s="29"/>
      <c r="G2517" s="29"/>
      <c r="H2517" s="30" t="str">
        <f t="shared" si="273"/>
        <v/>
      </c>
      <c r="I2517" s="31" t="str">
        <f>IF(OR(B2517="",C2517=""),"",IFERROR(E2517*IF(E2517="",0,VLOOKUP(C2517,'📦 Precios Proforma'!$B$5:$D$104,IF(D2517="DIA",2,3),FALSE)),0))</f>
        <v/>
      </c>
      <c r="J2517" s="31" t="str">
        <f t="shared" si="274"/>
        <v/>
      </c>
      <c r="K2517" s="31" t="str">
        <f t="shared" si="275"/>
        <v/>
      </c>
      <c r="L2517" s="31" t="str">
        <f>IF(OR(B2517="",C2517=""),"",IFERROR(E2517 / SUMIFS('📅 Resumen Diario'!$D$5:$D$504, '📅 Resumen Diario'!$B$5:$B$504, B2517, '📅 Resumen Diario'!$C$5:$C$504, D2517) * SUMIFS('📅 Resumen Diario'!$K$5:$K$504, '📅 Resumen Diario'!$B$5:$B$504, B2517, '📅 Resumen Diario'!$C$5:$C$504, D2517), 0))</f>
        <v/>
      </c>
      <c r="M2517" s="31" t="str">
        <f t="shared" si="276"/>
        <v/>
      </c>
      <c r="N2517" s="31" t="str">
        <f t="shared" si="277"/>
        <v/>
      </c>
      <c r="O2517" s="31" t="str">
        <f>IF(OR(B2517="",C2517=""),"",K2517-N2517 + IFERROR(E2517 / SUMIFS('📅 Resumen Diario'!$D$5:$D$504, '📅 Resumen Diario'!$B$5:$B$504, B2517, '📅 Resumen Diario'!$C$5:$C$504, D2517) * (SUMIFS('📋 Detalle Diario'!$E$5:$E$489, '📋 Detalle Diario'!$B$5:$B$489, B2517, '📋 Detalle Diario'!$C$5:$C$489, D2517) * 135 + SUMIFS('📋 Detalle Diario'!$I$5:$I$489, '📋 Detalle Diario'!$B$5:$B$489, B2517, '📋 Detalle Diario'!$C$5:$C$489, D2517) * 200), 0))</f>
        <v/>
      </c>
      <c r="P2517" s="32" t="str">
        <f t="shared" si="278"/>
        <v/>
      </c>
      <c r="Q2517" s="33" t="str">
        <f t="shared" si="279"/>
        <v/>
      </c>
    </row>
    <row r="2518" spans="2:17" ht="18" customHeight="1" x14ac:dyDescent="0.3">
      <c r="B2518" s="26"/>
      <c r="C2518" s="17"/>
      <c r="D2518" s="27"/>
      <c r="E2518" s="18"/>
      <c r="F2518" s="18"/>
      <c r="G2518" s="18"/>
      <c r="H2518" s="30" t="str">
        <f t="shared" si="273"/>
        <v/>
      </c>
      <c r="I2518" s="31" t="str">
        <f>IF(OR(B2518="",C2518=""),"",IFERROR(E2518*IF(E2518="",0,VLOOKUP(C2518,'📦 Precios Proforma'!$B$5:$D$104,IF(D2518="DIA",2,3),FALSE)),0))</f>
        <v/>
      </c>
      <c r="J2518" s="31" t="str">
        <f t="shared" si="274"/>
        <v/>
      </c>
      <c r="K2518" s="31" t="str">
        <f t="shared" si="275"/>
        <v/>
      </c>
      <c r="L2518" s="31" t="str">
        <f>IF(OR(B2518="",C2518=""),"",IFERROR(E2518 / SUMIFS('📅 Resumen Diario'!$D$5:$D$504, '📅 Resumen Diario'!$B$5:$B$504, B2518, '📅 Resumen Diario'!$C$5:$C$504, D2518) * SUMIFS('📅 Resumen Diario'!$K$5:$K$504, '📅 Resumen Diario'!$B$5:$B$504, B2518, '📅 Resumen Diario'!$C$5:$C$504, D2518), 0))</f>
        <v/>
      </c>
      <c r="M2518" s="31" t="str">
        <f t="shared" si="276"/>
        <v/>
      </c>
      <c r="N2518" s="31" t="str">
        <f t="shared" si="277"/>
        <v/>
      </c>
      <c r="O2518" s="31" t="str">
        <f>IF(OR(B2518="",C2518=""),"",K2518-N2518 + IFERROR(E2518 / SUMIFS('📅 Resumen Diario'!$D$5:$D$504, '📅 Resumen Diario'!$B$5:$B$504, B2518, '📅 Resumen Diario'!$C$5:$C$504, D2518) * (SUMIFS('📋 Detalle Diario'!$E$5:$E$489, '📋 Detalle Diario'!$B$5:$B$489, B2518, '📋 Detalle Diario'!$C$5:$C$489, D2518) * 135 + SUMIFS('📋 Detalle Diario'!$I$5:$I$489, '📋 Detalle Diario'!$B$5:$B$489, B2518, '📋 Detalle Diario'!$C$5:$C$489, D2518) * 200), 0))</f>
        <v/>
      </c>
      <c r="P2518" s="32" t="str">
        <f t="shared" si="278"/>
        <v/>
      </c>
      <c r="Q2518" s="33" t="str">
        <f t="shared" si="279"/>
        <v/>
      </c>
    </row>
    <row r="2519" spans="2:17" ht="18" customHeight="1" x14ac:dyDescent="0.3">
      <c r="B2519" s="26"/>
      <c r="C2519" s="28"/>
      <c r="D2519" s="27"/>
      <c r="E2519" s="29"/>
      <c r="F2519" s="29"/>
      <c r="G2519" s="29"/>
      <c r="H2519" s="30" t="str">
        <f t="shared" si="273"/>
        <v/>
      </c>
      <c r="I2519" s="31" t="str">
        <f>IF(OR(B2519="",C2519=""),"",IFERROR(E2519*IF(E2519="",0,VLOOKUP(C2519,'📦 Precios Proforma'!$B$5:$D$104,IF(D2519="DIA",2,3),FALSE)),0))</f>
        <v/>
      </c>
      <c r="J2519" s="31" t="str">
        <f t="shared" si="274"/>
        <v/>
      </c>
      <c r="K2519" s="31" t="str">
        <f t="shared" si="275"/>
        <v/>
      </c>
      <c r="L2519" s="31" t="str">
        <f>IF(OR(B2519="",C2519=""),"",IFERROR(E2519 / SUMIFS('📅 Resumen Diario'!$D$5:$D$504, '📅 Resumen Diario'!$B$5:$B$504, B2519, '📅 Resumen Diario'!$C$5:$C$504, D2519) * SUMIFS('📅 Resumen Diario'!$K$5:$K$504, '📅 Resumen Diario'!$B$5:$B$504, B2519, '📅 Resumen Diario'!$C$5:$C$504, D2519), 0))</f>
        <v/>
      </c>
      <c r="M2519" s="31" t="str">
        <f t="shared" si="276"/>
        <v/>
      </c>
      <c r="N2519" s="31" t="str">
        <f t="shared" si="277"/>
        <v/>
      </c>
      <c r="O2519" s="31" t="str">
        <f>IF(OR(B2519="",C2519=""),"",K2519-N2519 + IFERROR(E2519 / SUMIFS('📅 Resumen Diario'!$D$5:$D$504, '📅 Resumen Diario'!$B$5:$B$504, B2519, '📅 Resumen Diario'!$C$5:$C$504, D2519) * (SUMIFS('📋 Detalle Diario'!$E$5:$E$489, '📋 Detalle Diario'!$B$5:$B$489, B2519, '📋 Detalle Diario'!$C$5:$C$489, D2519) * 135 + SUMIFS('📋 Detalle Diario'!$I$5:$I$489, '📋 Detalle Diario'!$B$5:$B$489, B2519, '📋 Detalle Diario'!$C$5:$C$489, D2519) * 200), 0))</f>
        <v/>
      </c>
      <c r="P2519" s="32" t="str">
        <f t="shared" si="278"/>
        <v/>
      </c>
      <c r="Q2519" s="33" t="str">
        <f t="shared" si="279"/>
        <v/>
      </c>
    </row>
    <row r="2520" spans="2:17" ht="18" customHeight="1" x14ac:dyDescent="0.3">
      <c r="B2520" s="26"/>
      <c r="C2520" s="17"/>
      <c r="D2520" s="27"/>
      <c r="E2520" s="18"/>
      <c r="F2520" s="18"/>
      <c r="G2520" s="18"/>
      <c r="H2520" s="30" t="str">
        <f t="shared" si="273"/>
        <v/>
      </c>
      <c r="I2520" s="31" t="str">
        <f>IF(OR(B2520="",C2520=""),"",IFERROR(E2520*IF(E2520="",0,VLOOKUP(C2520,'📦 Precios Proforma'!$B$5:$D$104,IF(D2520="DIA",2,3),FALSE)),0))</f>
        <v/>
      </c>
      <c r="J2520" s="31" t="str">
        <f t="shared" si="274"/>
        <v/>
      </c>
      <c r="K2520" s="31" t="str">
        <f t="shared" si="275"/>
        <v/>
      </c>
      <c r="L2520" s="31" t="str">
        <f>IF(OR(B2520="",C2520=""),"",IFERROR(E2520 / SUMIFS('📅 Resumen Diario'!$D$5:$D$504, '📅 Resumen Diario'!$B$5:$B$504, B2520, '📅 Resumen Diario'!$C$5:$C$504, D2520) * SUMIFS('📅 Resumen Diario'!$K$5:$K$504, '📅 Resumen Diario'!$B$5:$B$504, B2520, '📅 Resumen Diario'!$C$5:$C$504, D2520), 0))</f>
        <v/>
      </c>
      <c r="M2520" s="31" t="str">
        <f t="shared" si="276"/>
        <v/>
      </c>
      <c r="N2520" s="31" t="str">
        <f t="shared" si="277"/>
        <v/>
      </c>
      <c r="O2520" s="31" t="str">
        <f>IF(OR(B2520="",C2520=""),"",K2520-N2520 + IFERROR(E2520 / SUMIFS('📅 Resumen Diario'!$D$5:$D$504, '📅 Resumen Diario'!$B$5:$B$504, B2520, '📅 Resumen Diario'!$C$5:$C$504, D2520) * (SUMIFS('📋 Detalle Diario'!$E$5:$E$489, '📋 Detalle Diario'!$B$5:$B$489, B2520, '📋 Detalle Diario'!$C$5:$C$489, D2520) * 135 + SUMIFS('📋 Detalle Diario'!$I$5:$I$489, '📋 Detalle Diario'!$B$5:$B$489, B2520, '📋 Detalle Diario'!$C$5:$C$489, D2520) * 200), 0))</f>
        <v/>
      </c>
      <c r="P2520" s="32" t="str">
        <f t="shared" si="278"/>
        <v/>
      </c>
      <c r="Q2520" s="33" t="str">
        <f t="shared" si="279"/>
        <v/>
      </c>
    </row>
    <row r="2521" spans="2:17" ht="18" customHeight="1" x14ac:dyDescent="0.3">
      <c r="B2521" s="26"/>
      <c r="C2521" s="28"/>
      <c r="D2521" s="27"/>
      <c r="E2521" s="29"/>
      <c r="F2521" s="29"/>
      <c r="G2521" s="29"/>
      <c r="H2521" s="30" t="str">
        <f t="shared" si="273"/>
        <v/>
      </c>
      <c r="I2521" s="31" t="str">
        <f>IF(OR(B2521="",C2521=""),"",IFERROR(E2521*IF(E2521="",0,VLOOKUP(C2521,'📦 Precios Proforma'!$B$5:$D$104,IF(D2521="DIA",2,3),FALSE)),0))</f>
        <v/>
      </c>
      <c r="J2521" s="31" t="str">
        <f t="shared" si="274"/>
        <v/>
      </c>
      <c r="K2521" s="31" t="str">
        <f t="shared" si="275"/>
        <v/>
      </c>
      <c r="L2521" s="31" t="str">
        <f>IF(OR(B2521="",C2521=""),"",IFERROR(E2521 / SUMIFS('📅 Resumen Diario'!$D$5:$D$504, '📅 Resumen Diario'!$B$5:$B$504, B2521, '📅 Resumen Diario'!$C$5:$C$504, D2521) * SUMIFS('📅 Resumen Diario'!$K$5:$K$504, '📅 Resumen Diario'!$B$5:$B$504, B2521, '📅 Resumen Diario'!$C$5:$C$504, D2521), 0))</f>
        <v/>
      </c>
      <c r="M2521" s="31" t="str">
        <f t="shared" si="276"/>
        <v/>
      </c>
      <c r="N2521" s="31" t="str">
        <f t="shared" si="277"/>
        <v/>
      </c>
      <c r="O2521" s="31" t="str">
        <f>IF(OR(B2521="",C2521=""),"",K2521-N2521 + IFERROR(E2521 / SUMIFS('📅 Resumen Diario'!$D$5:$D$504, '📅 Resumen Diario'!$B$5:$B$504, B2521, '📅 Resumen Diario'!$C$5:$C$504, D2521) * (SUMIFS('📋 Detalle Diario'!$E$5:$E$489, '📋 Detalle Diario'!$B$5:$B$489, B2521, '📋 Detalle Diario'!$C$5:$C$489, D2521) * 135 + SUMIFS('📋 Detalle Diario'!$I$5:$I$489, '📋 Detalle Diario'!$B$5:$B$489, B2521, '📋 Detalle Diario'!$C$5:$C$489, D2521) * 200), 0))</f>
        <v/>
      </c>
      <c r="P2521" s="32" t="str">
        <f t="shared" si="278"/>
        <v/>
      </c>
      <c r="Q2521" s="33" t="str">
        <f t="shared" si="279"/>
        <v/>
      </c>
    </row>
    <row r="2522" spans="2:17" ht="18" customHeight="1" x14ac:dyDescent="0.3">
      <c r="B2522" s="26"/>
      <c r="C2522" s="17"/>
      <c r="D2522" s="27"/>
      <c r="E2522" s="18"/>
      <c r="F2522" s="18"/>
      <c r="G2522" s="18"/>
      <c r="H2522" s="30" t="str">
        <f t="shared" si="273"/>
        <v/>
      </c>
      <c r="I2522" s="31" t="str">
        <f>IF(OR(B2522="",C2522=""),"",IFERROR(E2522*IF(E2522="",0,VLOOKUP(C2522,'📦 Precios Proforma'!$B$5:$D$104,IF(D2522="DIA",2,3),FALSE)),0))</f>
        <v/>
      </c>
      <c r="J2522" s="31" t="str">
        <f t="shared" si="274"/>
        <v/>
      </c>
      <c r="K2522" s="31" t="str">
        <f t="shared" si="275"/>
        <v/>
      </c>
      <c r="L2522" s="31" t="str">
        <f>IF(OR(B2522="",C2522=""),"",IFERROR(E2522 / SUMIFS('📅 Resumen Diario'!$D$5:$D$504, '📅 Resumen Diario'!$B$5:$B$504, B2522, '📅 Resumen Diario'!$C$5:$C$504, D2522) * SUMIFS('📅 Resumen Diario'!$K$5:$K$504, '📅 Resumen Diario'!$B$5:$B$504, B2522, '📅 Resumen Diario'!$C$5:$C$504, D2522), 0))</f>
        <v/>
      </c>
      <c r="M2522" s="31" t="str">
        <f t="shared" si="276"/>
        <v/>
      </c>
      <c r="N2522" s="31" t="str">
        <f t="shared" si="277"/>
        <v/>
      </c>
      <c r="O2522" s="31" t="str">
        <f>IF(OR(B2522="",C2522=""),"",K2522-N2522 + IFERROR(E2522 / SUMIFS('📅 Resumen Diario'!$D$5:$D$504, '📅 Resumen Diario'!$B$5:$B$504, B2522, '📅 Resumen Diario'!$C$5:$C$504, D2522) * (SUMIFS('📋 Detalle Diario'!$E$5:$E$489, '📋 Detalle Diario'!$B$5:$B$489, B2522, '📋 Detalle Diario'!$C$5:$C$489, D2522) * 135 + SUMIFS('📋 Detalle Diario'!$I$5:$I$489, '📋 Detalle Diario'!$B$5:$B$489, B2522, '📋 Detalle Diario'!$C$5:$C$489, D2522) * 200), 0))</f>
        <v/>
      </c>
      <c r="P2522" s="32" t="str">
        <f t="shared" si="278"/>
        <v/>
      </c>
      <c r="Q2522" s="33" t="str">
        <f t="shared" si="279"/>
        <v/>
      </c>
    </row>
    <row r="2523" spans="2:17" ht="18" customHeight="1" x14ac:dyDescent="0.3">
      <c r="B2523" s="26"/>
      <c r="C2523" s="28"/>
      <c r="D2523" s="27"/>
      <c r="E2523" s="29"/>
      <c r="F2523" s="29"/>
      <c r="G2523" s="29"/>
      <c r="H2523" s="30" t="str">
        <f t="shared" si="273"/>
        <v/>
      </c>
      <c r="I2523" s="31" t="str">
        <f>IF(OR(B2523="",C2523=""),"",IFERROR(E2523*IF(E2523="",0,VLOOKUP(C2523,'📦 Precios Proforma'!$B$5:$D$104,IF(D2523="DIA",2,3),FALSE)),0))</f>
        <v/>
      </c>
      <c r="J2523" s="31" t="str">
        <f t="shared" si="274"/>
        <v/>
      </c>
      <c r="K2523" s="31" t="str">
        <f t="shared" si="275"/>
        <v/>
      </c>
      <c r="L2523" s="31" t="str">
        <f>IF(OR(B2523="",C2523=""),"",IFERROR(E2523 / SUMIFS('📅 Resumen Diario'!$D$5:$D$504, '📅 Resumen Diario'!$B$5:$B$504, B2523, '📅 Resumen Diario'!$C$5:$C$504, D2523) * SUMIFS('📅 Resumen Diario'!$K$5:$K$504, '📅 Resumen Diario'!$B$5:$B$504, B2523, '📅 Resumen Diario'!$C$5:$C$504, D2523), 0))</f>
        <v/>
      </c>
      <c r="M2523" s="31" t="str">
        <f t="shared" si="276"/>
        <v/>
      </c>
      <c r="N2523" s="31" t="str">
        <f t="shared" si="277"/>
        <v/>
      </c>
      <c r="O2523" s="31" t="str">
        <f>IF(OR(B2523="",C2523=""),"",K2523-N2523 + IFERROR(E2523 / SUMIFS('📅 Resumen Diario'!$D$5:$D$504, '📅 Resumen Diario'!$B$5:$B$504, B2523, '📅 Resumen Diario'!$C$5:$C$504, D2523) * (SUMIFS('📋 Detalle Diario'!$E$5:$E$489, '📋 Detalle Diario'!$B$5:$B$489, B2523, '📋 Detalle Diario'!$C$5:$C$489, D2523) * 135 + SUMIFS('📋 Detalle Diario'!$I$5:$I$489, '📋 Detalle Diario'!$B$5:$B$489, B2523, '📋 Detalle Diario'!$C$5:$C$489, D2523) * 200), 0))</f>
        <v/>
      </c>
      <c r="P2523" s="32" t="str">
        <f t="shared" si="278"/>
        <v/>
      </c>
      <c r="Q2523" s="33" t="str">
        <f t="shared" si="279"/>
        <v/>
      </c>
    </row>
    <row r="2524" spans="2:17" ht="18" customHeight="1" x14ac:dyDescent="0.3">
      <c r="B2524" s="26"/>
      <c r="C2524" s="17"/>
      <c r="D2524" s="27"/>
      <c r="E2524" s="18"/>
      <c r="F2524" s="18"/>
      <c r="G2524" s="18"/>
      <c r="H2524" s="30" t="str">
        <f t="shared" si="273"/>
        <v/>
      </c>
      <c r="I2524" s="31" t="str">
        <f>IF(OR(B2524="",C2524=""),"",IFERROR(E2524*IF(E2524="",0,VLOOKUP(C2524,'📦 Precios Proforma'!$B$5:$D$104,IF(D2524="DIA",2,3),FALSE)),0))</f>
        <v/>
      </c>
      <c r="J2524" s="31" t="str">
        <f t="shared" si="274"/>
        <v/>
      </c>
      <c r="K2524" s="31" t="str">
        <f t="shared" si="275"/>
        <v/>
      </c>
      <c r="L2524" s="31" t="str">
        <f>IF(OR(B2524="",C2524=""),"",IFERROR(E2524 / SUMIFS('📅 Resumen Diario'!$D$5:$D$504, '📅 Resumen Diario'!$B$5:$B$504, B2524, '📅 Resumen Diario'!$C$5:$C$504, D2524) * SUMIFS('📅 Resumen Diario'!$K$5:$K$504, '📅 Resumen Diario'!$B$5:$B$504, B2524, '📅 Resumen Diario'!$C$5:$C$504, D2524), 0))</f>
        <v/>
      </c>
      <c r="M2524" s="31" t="str">
        <f t="shared" si="276"/>
        <v/>
      </c>
      <c r="N2524" s="31" t="str">
        <f t="shared" si="277"/>
        <v/>
      </c>
      <c r="O2524" s="31" t="str">
        <f>IF(OR(B2524="",C2524=""),"",K2524-N2524 + IFERROR(E2524 / SUMIFS('📅 Resumen Diario'!$D$5:$D$504, '📅 Resumen Diario'!$B$5:$B$504, B2524, '📅 Resumen Diario'!$C$5:$C$504, D2524) * (SUMIFS('📋 Detalle Diario'!$E$5:$E$489, '📋 Detalle Diario'!$B$5:$B$489, B2524, '📋 Detalle Diario'!$C$5:$C$489, D2524) * 135 + SUMIFS('📋 Detalle Diario'!$I$5:$I$489, '📋 Detalle Diario'!$B$5:$B$489, B2524, '📋 Detalle Diario'!$C$5:$C$489, D2524) * 200), 0))</f>
        <v/>
      </c>
      <c r="P2524" s="32" t="str">
        <f t="shared" si="278"/>
        <v/>
      </c>
      <c r="Q2524" s="33" t="str">
        <f t="shared" si="279"/>
        <v/>
      </c>
    </row>
    <row r="2525" spans="2:17" ht="18" customHeight="1" x14ac:dyDescent="0.3">
      <c r="B2525" s="26"/>
      <c r="C2525" s="28"/>
      <c r="D2525" s="27"/>
      <c r="E2525" s="29"/>
      <c r="F2525" s="29"/>
      <c r="G2525" s="29"/>
      <c r="H2525" s="30" t="str">
        <f t="shared" si="273"/>
        <v/>
      </c>
      <c r="I2525" s="31" t="str">
        <f>IF(OR(B2525="",C2525=""),"",IFERROR(E2525*IF(E2525="",0,VLOOKUP(C2525,'📦 Precios Proforma'!$B$5:$D$104,IF(D2525="DIA",2,3),FALSE)),0))</f>
        <v/>
      </c>
      <c r="J2525" s="31" t="str">
        <f t="shared" si="274"/>
        <v/>
      </c>
      <c r="K2525" s="31" t="str">
        <f t="shared" si="275"/>
        <v/>
      </c>
      <c r="L2525" s="31" t="str">
        <f>IF(OR(B2525="",C2525=""),"",IFERROR(E2525 / SUMIFS('📅 Resumen Diario'!$D$5:$D$504, '📅 Resumen Diario'!$B$5:$B$504, B2525, '📅 Resumen Diario'!$C$5:$C$504, D2525) * SUMIFS('📅 Resumen Diario'!$K$5:$K$504, '📅 Resumen Diario'!$B$5:$B$504, B2525, '📅 Resumen Diario'!$C$5:$C$504, D2525), 0))</f>
        <v/>
      </c>
      <c r="M2525" s="31" t="str">
        <f t="shared" si="276"/>
        <v/>
      </c>
      <c r="N2525" s="31" t="str">
        <f t="shared" si="277"/>
        <v/>
      </c>
      <c r="O2525" s="31" t="str">
        <f>IF(OR(B2525="",C2525=""),"",K2525-N2525 + IFERROR(E2525 / SUMIFS('📅 Resumen Diario'!$D$5:$D$504, '📅 Resumen Diario'!$B$5:$B$504, B2525, '📅 Resumen Diario'!$C$5:$C$504, D2525) * (SUMIFS('📋 Detalle Diario'!$E$5:$E$489, '📋 Detalle Diario'!$B$5:$B$489, B2525, '📋 Detalle Diario'!$C$5:$C$489, D2525) * 135 + SUMIFS('📋 Detalle Diario'!$I$5:$I$489, '📋 Detalle Diario'!$B$5:$B$489, B2525, '📋 Detalle Diario'!$C$5:$C$489, D2525) * 200), 0))</f>
        <v/>
      </c>
      <c r="P2525" s="32" t="str">
        <f t="shared" si="278"/>
        <v/>
      </c>
      <c r="Q2525" s="33" t="str">
        <f t="shared" si="279"/>
        <v/>
      </c>
    </row>
    <row r="2526" spans="2:17" ht="18" customHeight="1" x14ac:dyDescent="0.3">
      <c r="B2526" s="26"/>
      <c r="C2526" s="17"/>
      <c r="D2526" s="27"/>
      <c r="E2526" s="18"/>
      <c r="F2526" s="18"/>
      <c r="G2526" s="18"/>
      <c r="H2526" s="30" t="str">
        <f t="shared" si="273"/>
        <v/>
      </c>
      <c r="I2526" s="31" t="str">
        <f>IF(OR(B2526="",C2526=""),"",IFERROR(E2526*IF(E2526="",0,VLOOKUP(C2526,'📦 Precios Proforma'!$B$5:$D$104,IF(D2526="DIA",2,3),FALSE)),0))</f>
        <v/>
      </c>
      <c r="J2526" s="31" t="str">
        <f t="shared" si="274"/>
        <v/>
      </c>
      <c r="K2526" s="31" t="str">
        <f t="shared" si="275"/>
        <v/>
      </c>
      <c r="L2526" s="31" t="str">
        <f>IF(OR(B2526="",C2526=""),"",IFERROR(E2526 / SUMIFS('📅 Resumen Diario'!$D$5:$D$504, '📅 Resumen Diario'!$B$5:$B$504, B2526, '📅 Resumen Diario'!$C$5:$C$504, D2526) * SUMIFS('📅 Resumen Diario'!$K$5:$K$504, '📅 Resumen Diario'!$B$5:$B$504, B2526, '📅 Resumen Diario'!$C$5:$C$504, D2526), 0))</f>
        <v/>
      </c>
      <c r="M2526" s="31" t="str">
        <f t="shared" si="276"/>
        <v/>
      </c>
      <c r="N2526" s="31" t="str">
        <f t="shared" si="277"/>
        <v/>
      </c>
      <c r="O2526" s="31" t="str">
        <f>IF(OR(B2526="",C2526=""),"",K2526-N2526 + IFERROR(E2526 / SUMIFS('📅 Resumen Diario'!$D$5:$D$504, '📅 Resumen Diario'!$B$5:$B$504, B2526, '📅 Resumen Diario'!$C$5:$C$504, D2526) * (SUMIFS('📋 Detalle Diario'!$E$5:$E$489, '📋 Detalle Diario'!$B$5:$B$489, B2526, '📋 Detalle Diario'!$C$5:$C$489, D2526) * 135 + SUMIFS('📋 Detalle Diario'!$I$5:$I$489, '📋 Detalle Diario'!$B$5:$B$489, B2526, '📋 Detalle Diario'!$C$5:$C$489, D2526) * 200), 0))</f>
        <v/>
      </c>
      <c r="P2526" s="32" t="str">
        <f t="shared" si="278"/>
        <v/>
      </c>
      <c r="Q2526" s="33" t="str">
        <f t="shared" si="279"/>
        <v/>
      </c>
    </row>
    <row r="2527" spans="2:17" ht="18" customHeight="1" x14ac:dyDescent="0.3">
      <c r="B2527" s="26"/>
      <c r="C2527" s="28"/>
      <c r="D2527" s="27"/>
      <c r="E2527" s="29"/>
      <c r="F2527" s="29"/>
      <c r="G2527" s="29"/>
      <c r="H2527" s="30" t="str">
        <f t="shared" si="273"/>
        <v/>
      </c>
      <c r="I2527" s="31" t="str">
        <f>IF(OR(B2527="",C2527=""),"",IFERROR(E2527*IF(E2527="",0,VLOOKUP(C2527,'📦 Precios Proforma'!$B$5:$D$104,IF(D2527="DIA",2,3),FALSE)),0))</f>
        <v/>
      </c>
      <c r="J2527" s="31" t="str">
        <f t="shared" si="274"/>
        <v/>
      </c>
      <c r="K2527" s="31" t="str">
        <f t="shared" si="275"/>
        <v/>
      </c>
      <c r="L2527" s="31" t="str">
        <f>IF(OR(B2527="",C2527=""),"",IFERROR(E2527 / SUMIFS('📅 Resumen Diario'!$D$5:$D$504, '📅 Resumen Diario'!$B$5:$B$504, B2527, '📅 Resumen Diario'!$C$5:$C$504, D2527) * SUMIFS('📅 Resumen Diario'!$K$5:$K$504, '📅 Resumen Diario'!$B$5:$B$504, B2527, '📅 Resumen Diario'!$C$5:$C$504, D2527), 0))</f>
        <v/>
      </c>
      <c r="M2527" s="31" t="str">
        <f t="shared" si="276"/>
        <v/>
      </c>
      <c r="N2527" s="31" t="str">
        <f t="shared" si="277"/>
        <v/>
      </c>
      <c r="O2527" s="31" t="str">
        <f>IF(OR(B2527="",C2527=""),"",K2527-N2527 + IFERROR(E2527 / SUMIFS('📅 Resumen Diario'!$D$5:$D$504, '📅 Resumen Diario'!$B$5:$B$504, B2527, '📅 Resumen Diario'!$C$5:$C$504, D2527) * (SUMIFS('📋 Detalle Diario'!$E$5:$E$489, '📋 Detalle Diario'!$B$5:$B$489, B2527, '📋 Detalle Diario'!$C$5:$C$489, D2527) * 135 + SUMIFS('📋 Detalle Diario'!$I$5:$I$489, '📋 Detalle Diario'!$B$5:$B$489, B2527, '📋 Detalle Diario'!$C$5:$C$489, D2527) * 200), 0))</f>
        <v/>
      </c>
      <c r="P2527" s="32" t="str">
        <f t="shared" si="278"/>
        <v/>
      </c>
      <c r="Q2527" s="33" t="str">
        <f t="shared" si="279"/>
        <v/>
      </c>
    </row>
    <row r="2528" spans="2:17" ht="18" customHeight="1" x14ac:dyDescent="0.3">
      <c r="B2528" s="26"/>
      <c r="C2528" s="17"/>
      <c r="D2528" s="27"/>
      <c r="E2528" s="18"/>
      <c r="F2528" s="18"/>
      <c r="G2528" s="18"/>
      <c r="H2528" s="30" t="str">
        <f t="shared" si="273"/>
        <v/>
      </c>
      <c r="I2528" s="31" t="str">
        <f>IF(OR(B2528="",C2528=""),"",IFERROR(E2528*IF(E2528="",0,VLOOKUP(C2528,'📦 Precios Proforma'!$B$5:$D$104,IF(D2528="DIA",2,3),FALSE)),0))</f>
        <v/>
      </c>
      <c r="J2528" s="31" t="str">
        <f t="shared" si="274"/>
        <v/>
      </c>
      <c r="K2528" s="31" t="str">
        <f t="shared" si="275"/>
        <v/>
      </c>
      <c r="L2528" s="31" t="str">
        <f>IF(OR(B2528="",C2528=""),"",IFERROR(E2528 / SUMIFS('📅 Resumen Diario'!$D$5:$D$504, '📅 Resumen Diario'!$B$5:$B$504, B2528, '📅 Resumen Diario'!$C$5:$C$504, D2528) * SUMIFS('📅 Resumen Diario'!$K$5:$K$504, '📅 Resumen Diario'!$B$5:$B$504, B2528, '📅 Resumen Diario'!$C$5:$C$504, D2528), 0))</f>
        <v/>
      </c>
      <c r="M2528" s="31" t="str">
        <f t="shared" si="276"/>
        <v/>
      </c>
      <c r="N2528" s="31" t="str">
        <f t="shared" si="277"/>
        <v/>
      </c>
      <c r="O2528" s="31" t="str">
        <f>IF(OR(B2528="",C2528=""),"",K2528-N2528 + IFERROR(E2528 / SUMIFS('📅 Resumen Diario'!$D$5:$D$504, '📅 Resumen Diario'!$B$5:$B$504, B2528, '📅 Resumen Diario'!$C$5:$C$504, D2528) * (SUMIFS('📋 Detalle Diario'!$E$5:$E$489, '📋 Detalle Diario'!$B$5:$B$489, B2528, '📋 Detalle Diario'!$C$5:$C$489, D2528) * 135 + SUMIFS('📋 Detalle Diario'!$I$5:$I$489, '📋 Detalle Diario'!$B$5:$B$489, B2528, '📋 Detalle Diario'!$C$5:$C$489, D2528) * 200), 0))</f>
        <v/>
      </c>
      <c r="P2528" s="32" t="str">
        <f t="shared" si="278"/>
        <v/>
      </c>
      <c r="Q2528" s="33" t="str">
        <f t="shared" si="279"/>
        <v/>
      </c>
    </row>
    <row r="2529" spans="2:17" ht="18" customHeight="1" x14ac:dyDescent="0.3">
      <c r="B2529" s="26"/>
      <c r="C2529" s="28"/>
      <c r="D2529" s="27"/>
      <c r="E2529" s="29"/>
      <c r="F2529" s="29"/>
      <c r="G2529" s="29"/>
      <c r="H2529" s="30" t="str">
        <f t="shared" si="273"/>
        <v/>
      </c>
      <c r="I2529" s="31" t="str">
        <f>IF(OR(B2529="",C2529=""),"",IFERROR(E2529*IF(E2529="",0,VLOOKUP(C2529,'📦 Precios Proforma'!$B$5:$D$104,IF(D2529="DIA",2,3),FALSE)),0))</f>
        <v/>
      </c>
      <c r="J2529" s="31" t="str">
        <f t="shared" si="274"/>
        <v/>
      </c>
      <c r="K2529" s="31" t="str">
        <f t="shared" si="275"/>
        <v/>
      </c>
      <c r="L2529" s="31" t="str">
        <f>IF(OR(B2529="",C2529=""),"",IFERROR(E2529 / SUMIFS('📅 Resumen Diario'!$D$5:$D$504, '📅 Resumen Diario'!$B$5:$B$504, B2529, '📅 Resumen Diario'!$C$5:$C$504, D2529) * SUMIFS('📅 Resumen Diario'!$K$5:$K$504, '📅 Resumen Diario'!$B$5:$B$504, B2529, '📅 Resumen Diario'!$C$5:$C$504, D2529), 0))</f>
        <v/>
      </c>
      <c r="M2529" s="31" t="str">
        <f t="shared" si="276"/>
        <v/>
      </c>
      <c r="N2529" s="31" t="str">
        <f t="shared" si="277"/>
        <v/>
      </c>
      <c r="O2529" s="31" t="str">
        <f>IF(OR(B2529="",C2529=""),"",K2529-N2529 + IFERROR(E2529 / SUMIFS('📅 Resumen Diario'!$D$5:$D$504, '📅 Resumen Diario'!$B$5:$B$504, B2529, '📅 Resumen Diario'!$C$5:$C$504, D2529) * (SUMIFS('📋 Detalle Diario'!$E$5:$E$489, '📋 Detalle Diario'!$B$5:$B$489, B2529, '📋 Detalle Diario'!$C$5:$C$489, D2529) * 135 + SUMIFS('📋 Detalle Diario'!$I$5:$I$489, '📋 Detalle Diario'!$B$5:$B$489, B2529, '📋 Detalle Diario'!$C$5:$C$489, D2529) * 200), 0))</f>
        <v/>
      </c>
      <c r="P2529" s="32" t="str">
        <f t="shared" si="278"/>
        <v/>
      </c>
      <c r="Q2529" s="33" t="str">
        <f t="shared" si="279"/>
        <v/>
      </c>
    </row>
    <row r="2530" spans="2:17" ht="18" customHeight="1" x14ac:dyDescent="0.3">
      <c r="B2530" s="26"/>
      <c r="C2530" s="17"/>
      <c r="D2530" s="27"/>
      <c r="E2530" s="18"/>
      <c r="F2530" s="18"/>
      <c r="G2530" s="18"/>
      <c r="H2530" s="30" t="str">
        <f t="shared" si="273"/>
        <v/>
      </c>
      <c r="I2530" s="31" t="str">
        <f>IF(OR(B2530="",C2530=""),"",IFERROR(E2530*IF(E2530="",0,VLOOKUP(C2530,'📦 Precios Proforma'!$B$5:$D$104,IF(D2530="DIA",2,3),FALSE)),0))</f>
        <v/>
      </c>
      <c r="J2530" s="31" t="str">
        <f t="shared" si="274"/>
        <v/>
      </c>
      <c r="K2530" s="31" t="str">
        <f t="shared" si="275"/>
        <v/>
      </c>
      <c r="L2530" s="31" t="str">
        <f>IF(OR(B2530="",C2530=""),"",IFERROR(E2530 / SUMIFS('📅 Resumen Diario'!$D$5:$D$504, '📅 Resumen Diario'!$B$5:$B$504, B2530, '📅 Resumen Diario'!$C$5:$C$504, D2530) * SUMIFS('📅 Resumen Diario'!$K$5:$K$504, '📅 Resumen Diario'!$B$5:$B$504, B2530, '📅 Resumen Diario'!$C$5:$C$504, D2530), 0))</f>
        <v/>
      </c>
      <c r="M2530" s="31" t="str">
        <f t="shared" si="276"/>
        <v/>
      </c>
      <c r="N2530" s="31" t="str">
        <f t="shared" si="277"/>
        <v/>
      </c>
      <c r="O2530" s="31" t="str">
        <f>IF(OR(B2530="",C2530=""),"",K2530-N2530 + IFERROR(E2530 / SUMIFS('📅 Resumen Diario'!$D$5:$D$504, '📅 Resumen Diario'!$B$5:$B$504, B2530, '📅 Resumen Diario'!$C$5:$C$504, D2530) * (SUMIFS('📋 Detalle Diario'!$E$5:$E$489, '📋 Detalle Diario'!$B$5:$B$489, B2530, '📋 Detalle Diario'!$C$5:$C$489, D2530) * 135 + SUMIFS('📋 Detalle Diario'!$I$5:$I$489, '📋 Detalle Diario'!$B$5:$B$489, B2530, '📋 Detalle Diario'!$C$5:$C$489, D2530) * 200), 0))</f>
        <v/>
      </c>
      <c r="P2530" s="32" t="str">
        <f t="shared" si="278"/>
        <v/>
      </c>
      <c r="Q2530" s="33" t="str">
        <f t="shared" si="279"/>
        <v/>
      </c>
    </row>
    <row r="2531" spans="2:17" ht="18" customHeight="1" x14ac:dyDescent="0.3">
      <c r="B2531" s="26"/>
      <c r="C2531" s="28"/>
      <c r="D2531" s="27"/>
      <c r="E2531" s="29"/>
      <c r="F2531" s="29"/>
      <c r="G2531" s="29"/>
      <c r="H2531" s="30" t="str">
        <f t="shared" si="273"/>
        <v/>
      </c>
      <c r="I2531" s="31" t="str">
        <f>IF(OR(B2531="",C2531=""),"",IFERROR(E2531*IF(E2531="",0,VLOOKUP(C2531,'📦 Precios Proforma'!$B$5:$D$104,IF(D2531="DIA",2,3),FALSE)),0))</f>
        <v/>
      </c>
      <c r="J2531" s="31" t="str">
        <f t="shared" si="274"/>
        <v/>
      </c>
      <c r="K2531" s="31" t="str">
        <f t="shared" si="275"/>
        <v/>
      </c>
      <c r="L2531" s="31" t="str">
        <f>IF(OR(B2531="",C2531=""),"",IFERROR(E2531 / SUMIFS('📅 Resumen Diario'!$D$5:$D$504, '📅 Resumen Diario'!$B$5:$B$504, B2531, '📅 Resumen Diario'!$C$5:$C$504, D2531) * SUMIFS('📅 Resumen Diario'!$K$5:$K$504, '📅 Resumen Diario'!$B$5:$B$504, B2531, '📅 Resumen Diario'!$C$5:$C$504, D2531), 0))</f>
        <v/>
      </c>
      <c r="M2531" s="31" t="str">
        <f t="shared" si="276"/>
        <v/>
      </c>
      <c r="N2531" s="31" t="str">
        <f t="shared" si="277"/>
        <v/>
      </c>
      <c r="O2531" s="31" t="str">
        <f>IF(OR(B2531="",C2531=""),"",K2531-N2531 + IFERROR(E2531 / SUMIFS('📅 Resumen Diario'!$D$5:$D$504, '📅 Resumen Diario'!$B$5:$B$504, B2531, '📅 Resumen Diario'!$C$5:$C$504, D2531) * (SUMIFS('📋 Detalle Diario'!$E$5:$E$489, '📋 Detalle Diario'!$B$5:$B$489, B2531, '📋 Detalle Diario'!$C$5:$C$489, D2531) * 135 + SUMIFS('📋 Detalle Diario'!$I$5:$I$489, '📋 Detalle Diario'!$B$5:$B$489, B2531, '📋 Detalle Diario'!$C$5:$C$489, D2531) * 200), 0))</f>
        <v/>
      </c>
      <c r="P2531" s="32" t="str">
        <f t="shared" si="278"/>
        <v/>
      </c>
      <c r="Q2531" s="33" t="str">
        <f t="shared" si="279"/>
        <v/>
      </c>
    </row>
    <row r="2532" spans="2:17" ht="18" customHeight="1" x14ac:dyDescent="0.3">
      <c r="B2532" s="26"/>
      <c r="C2532" s="17"/>
      <c r="D2532" s="27"/>
      <c r="E2532" s="18"/>
      <c r="F2532" s="18"/>
      <c r="G2532" s="18"/>
      <c r="H2532" s="30" t="str">
        <f t="shared" si="273"/>
        <v/>
      </c>
      <c r="I2532" s="31" t="str">
        <f>IF(OR(B2532="",C2532=""),"",IFERROR(E2532*IF(E2532="",0,VLOOKUP(C2532,'📦 Precios Proforma'!$B$5:$D$104,IF(D2532="DIA",2,3),FALSE)),0))</f>
        <v/>
      </c>
      <c r="J2532" s="31" t="str">
        <f t="shared" si="274"/>
        <v/>
      </c>
      <c r="K2532" s="31" t="str">
        <f t="shared" si="275"/>
        <v/>
      </c>
      <c r="L2532" s="31" t="str">
        <f>IF(OR(B2532="",C2532=""),"",IFERROR(E2532 / SUMIFS('📅 Resumen Diario'!$D$5:$D$504, '📅 Resumen Diario'!$B$5:$B$504, B2532, '📅 Resumen Diario'!$C$5:$C$504, D2532) * SUMIFS('📅 Resumen Diario'!$K$5:$K$504, '📅 Resumen Diario'!$B$5:$B$504, B2532, '📅 Resumen Diario'!$C$5:$C$504, D2532), 0))</f>
        <v/>
      </c>
      <c r="M2532" s="31" t="str">
        <f t="shared" si="276"/>
        <v/>
      </c>
      <c r="N2532" s="31" t="str">
        <f t="shared" si="277"/>
        <v/>
      </c>
      <c r="O2532" s="31" t="str">
        <f>IF(OR(B2532="",C2532=""),"",K2532-N2532 + IFERROR(E2532 / SUMIFS('📅 Resumen Diario'!$D$5:$D$504, '📅 Resumen Diario'!$B$5:$B$504, B2532, '📅 Resumen Diario'!$C$5:$C$504, D2532) * (SUMIFS('📋 Detalle Diario'!$E$5:$E$489, '📋 Detalle Diario'!$B$5:$B$489, B2532, '📋 Detalle Diario'!$C$5:$C$489, D2532) * 135 + SUMIFS('📋 Detalle Diario'!$I$5:$I$489, '📋 Detalle Diario'!$B$5:$B$489, B2532, '📋 Detalle Diario'!$C$5:$C$489, D2532) * 200), 0))</f>
        <v/>
      </c>
      <c r="P2532" s="32" t="str">
        <f t="shared" si="278"/>
        <v/>
      </c>
      <c r="Q2532" s="33" t="str">
        <f t="shared" si="279"/>
        <v/>
      </c>
    </row>
    <row r="2533" spans="2:17" ht="18" customHeight="1" x14ac:dyDescent="0.3">
      <c r="B2533" s="26"/>
      <c r="C2533" s="28"/>
      <c r="D2533" s="27"/>
      <c r="E2533" s="29"/>
      <c r="F2533" s="29"/>
      <c r="G2533" s="29"/>
      <c r="H2533" s="30" t="str">
        <f t="shared" si="273"/>
        <v/>
      </c>
      <c r="I2533" s="31" t="str">
        <f>IF(OR(B2533="",C2533=""),"",IFERROR(E2533*IF(E2533="",0,VLOOKUP(C2533,'📦 Precios Proforma'!$B$5:$D$104,IF(D2533="DIA",2,3),FALSE)),0))</f>
        <v/>
      </c>
      <c r="J2533" s="31" t="str">
        <f t="shared" si="274"/>
        <v/>
      </c>
      <c r="K2533" s="31" t="str">
        <f t="shared" si="275"/>
        <v/>
      </c>
      <c r="L2533" s="31" t="str">
        <f>IF(OR(B2533="",C2533=""),"",IFERROR(E2533 / SUMIFS('📅 Resumen Diario'!$D$5:$D$504, '📅 Resumen Diario'!$B$5:$B$504, B2533, '📅 Resumen Diario'!$C$5:$C$504, D2533) * SUMIFS('📅 Resumen Diario'!$K$5:$K$504, '📅 Resumen Diario'!$B$5:$B$504, B2533, '📅 Resumen Diario'!$C$5:$C$504, D2533), 0))</f>
        <v/>
      </c>
      <c r="M2533" s="31" t="str">
        <f t="shared" si="276"/>
        <v/>
      </c>
      <c r="N2533" s="31" t="str">
        <f t="shared" si="277"/>
        <v/>
      </c>
      <c r="O2533" s="31" t="str">
        <f>IF(OR(B2533="",C2533=""),"",K2533-N2533 + IFERROR(E2533 / SUMIFS('📅 Resumen Diario'!$D$5:$D$504, '📅 Resumen Diario'!$B$5:$B$504, B2533, '📅 Resumen Diario'!$C$5:$C$504, D2533) * (SUMIFS('📋 Detalle Diario'!$E$5:$E$489, '📋 Detalle Diario'!$B$5:$B$489, B2533, '📋 Detalle Diario'!$C$5:$C$489, D2533) * 135 + SUMIFS('📋 Detalle Diario'!$I$5:$I$489, '📋 Detalle Diario'!$B$5:$B$489, B2533, '📋 Detalle Diario'!$C$5:$C$489, D2533) * 200), 0))</f>
        <v/>
      </c>
      <c r="P2533" s="32" t="str">
        <f t="shared" si="278"/>
        <v/>
      </c>
      <c r="Q2533" s="33" t="str">
        <f t="shared" si="279"/>
        <v/>
      </c>
    </row>
    <row r="2534" spans="2:17" ht="18" customHeight="1" x14ac:dyDescent="0.3">
      <c r="B2534" s="26"/>
      <c r="C2534" s="17"/>
      <c r="D2534" s="27"/>
      <c r="E2534" s="18"/>
      <c r="F2534" s="18"/>
      <c r="G2534" s="18"/>
      <c r="H2534" s="30" t="str">
        <f t="shared" si="273"/>
        <v/>
      </c>
      <c r="I2534" s="31" t="str">
        <f>IF(OR(B2534="",C2534=""),"",IFERROR(E2534*IF(E2534="",0,VLOOKUP(C2534,'📦 Precios Proforma'!$B$5:$D$104,IF(D2534="DIA",2,3),FALSE)),0))</f>
        <v/>
      </c>
      <c r="J2534" s="31" t="str">
        <f t="shared" si="274"/>
        <v/>
      </c>
      <c r="K2534" s="31" t="str">
        <f t="shared" si="275"/>
        <v/>
      </c>
      <c r="L2534" s="31" t="str">
        <f>IF(OR(B2534="",C2534=""),"",IFERROR(E2534 / SUMIFS('📅 Resumen Diario'!$D$5:$D$504, '📅 Resumen Diario'!$B$5:$B$504, B2534, '📅 Resumen Diario'!$C$5:$C$504, D2534) * SUMIFS('📅 Resumen Diario'!$K$5:$K$504, '📅 Resumen Diario'!$B$5:$B$504, B2534, '📅 Resumen Diario'!$C$5:$C$504, D2534), 0))</f>
        <v/>
      </c>
      <c r="M2534" s="31" t="str">
        <f t="shared" si="276"/>
        <v/>
      </c>
      <c r="N2534" s="31" t="str">
        <f t="shared" si="277"/>
        <v/>
      </c>
      <c r="O2534" s="31" t="str">
        <f>IF(OR(B2534="",C2534=""),"",K2534-N2534 + IFERROR(E2534 / SUMIFS('📅 Resumen Diario'!$D$5:$D$504, '📅 Resumen Diario'!$B$5:$B$504, B2534, '📅 Resumen Diario'!$C$5:$C$504, D2534) * (SUMIFS('📋 Detalle Diario'!$E$5:$E$489, '📋 Detalle Diario'!$B$5:$B$489, B2534, '📋 Detalle Diario'!$C$5:$C$489, D2534) * 135 + SUMIFS('📋 Detalle Diario'!$I$5:$I$489, '📋 Detalle Diario'!$B$5:$B$489, B2534, '📋 Detalle Diario'!$C$5:$C$489, D2534) * 200), 0))</f>
        <v/>
      </c>
      <c r="P2534" s="32" t="str">
        <f t="shared" si="278"/>
        <v/>
      </c>
      <c r="Q2534" s="33" t="str">
        <f t="shared" si="279"/>
        <v/>
      </c>
    </row>
    <row r="2535" spans="2:17" ht="18" customHeight="1" x14ac:dyDescent="0.3">
      <c r="B2535" s="26"/>
      <c r="C2535" s="28"/>
      <c r="D2535" s="27"/>
      <c r="E2535" s="29"/>
      <c r="F2535" s="29"/>
      <c r="G2535" s="29"/>
      <c r="H2535" s="30" t="str">
        <f t="shared" si="273"/>
        <v/>
      </c>
      <c r="I2535" s="31" t="str">
        <f>IF(OR(B2535="",C2535=""),"",IFERROR(E2535*IF(E2535="",0,VLOOKUP(C2535,'📦 Precios Proforma'!$B$5:$D$104,IF(D2535="DIA",2,3),FALSE)),0))</f>
        <v/>
      </c>
      <c r="J2535" s="31" t="str">
        <f t="shared" si="274"/>
        <v/>
      </c>
      <c r="K2535" s="31" t="str">
        <f t="shared" si="275"/>
        <v/>
      </c>
      <c r="L2535" s="31" t="str">
        <f>IF(OR(B2535="",C2535=""),"",IFERROR(E2535 / SUMIFS('📅 Resumen Diario'!$D$5:$D$504, '📅 Resumen Diario'!$B$5:$B$504, B2535, '📅 Resumen Diario'!$C$5:$C$504, D2535) * SUMIFS('📅 Resumen Diario'!$K$5:$K$504, '📅 Resumen Diario'!$B$5:$B$504, B2535, '📅 Resumen Diario'!$C$5:$C$504, D2535), 0))</f>
        <v/>
      </c>
      <c r="M2535" s="31" t="str">
        <f t="shared" si="276"/>
        <v/>
      </c>
      <c r="N2535" s="31" t="str">
        <f t="shared" si="277"/>
        <v/>
      </c>
      <c r="O2535" s="31" t="str">
        <f>IF(OR(B2535="",C2535=""),"",K2535-N2535 + IFERROR(E2535 / SUMIFS('📅 Resumen Diario'!$D$5:$D$504, '📅 Resumen Diario'!$B$5:$B$504, B2535, '📅 Resumen Diario'!$C$5:$C$504, D2535) * (SUMIFS('📋 Detalle Diario'!$E$5:$E$489, '📋 Detalle Diario'!$B$5:$B$489, B2535, '📋 Detalle Diario'!$C$5:$C$489, D2535) * 135 + SUMIFS('📋 Detalle Diario'!$I$5:$I$489, '📋 Detalle Diario'!$B$5:$B$489, B2535, '📋 Detalle Diario'!$C$5:$C$489, D2535) * 200), 0))</f>
        <v/>
      </c>
      <c r="P2535" s="32" t="str">
        <f t="shared" si="278"/>
        <v/>
      </c>
      <c r="Q2535" s="33" t="str">
        <f t="shared" si="279"/>
        <v/>
      </c>
    </row>
    <row r="2536" spans="2:17" ht="18" customHeight="1" x14ac:dyDescent="0.3">
      <c r="B2536" s="26"/>
      <c r="C2536" s="17"/>
      <c r="D2536" s="27"/>
      <c r="E2536" s="18"/>
      <c r="F2536" s="18"/>
      <c r="G2536" s="18"/>
      <c r="H2536" s="30" t="str">
        <f t="shared" si="273"/>
        <v/>
      </c>
      <c r="I2536" s="31" t="str">
        <f>IF(OR(B2536="",C2536=""),"",IFERROR(E2536*IF(E2536="",0,VLOOKUP(C2536,'📦 Precios Proforma'!$B$5:$D$104,IF(D2536="DIA",2,3),FALSE)),0))</f>
        <v/>
      </c>
      <c r="J2536" s="31" t="str">
        <f t="shared" si="274"/>
        <v/>
      </c>
      <c r="K2536" s="31" t="str">
        <f t="shared" si="275"/>
        <v/>
      </c>
      <c r="L2536" s="31" t="str">
        <f>IF(OR(B2536="",C2536=""),"",IFERROR(E2536 / SUMIFS('📅 Resumen Diario'!$D$5:$D$504, '📅 Resumen Diario'!$B$5:$B$504, B2536, '📅 Resumen Diario'!$C$5:$C$504, D2536) * SUMIFS('📅 Resumen Diario'!$K$5:$K$504, '📅 Resumen Diario'!$B$5:$B$504, B2536, '📅 Resumen Diario'!$C$5:$C$504, D2536), 0))</f>
        <v/>
      </c>
      <c r="M2536" s="31" t="str">
        <f t="shared" si="276"/>
        <v/>
      </c>
      <c r="N2536" s="31" t="str">
        <f t="shared" si="277"/>
        <v/>
      </c>
      <c r="O2536" s="31" t="str">
        <f>IF(OR(B2536="",C2536=""),"",K2536-N2536 + IFERROR(E2536 / SUMIFS('📅 Resumen Diario'!$D$5:$D$504, '📅 Resumen Diario'!$B$5:$B$504, B2536, '📅 Resumen Diario'!$C$5:$C$504, D2536) * (SUMIFS('📋 Detalle Diario'!$E$5:$E$489, '📋 Detalle Diario'!$B$5:$B$489, B2536, '📋 Detalle Diario'!$C$5:$C$489, D2536) * 135 + SUMIFS('📋 Detalle Diario'!$I$5:$I$489, '📋 Detalle Diario'!$B$5:$B$489, B2536, '📋 Detalle Diario'!$C$5:$C$489, D2536) * 200), 0))</f>
        <v/>
      </c>
      <c r="P2536" s="32" t="str">
        <f t="shared" si="278"/>
        <v/>
      </c>
      <c r="Q2536" s="33" t="str">
        <f t="shared" si="279"/>
        <v/>
      </c>
    </row>
    <row r="2537" spans="2:17" ht="18" customHeight="1" x14ac:dyDescent="0.3">
      <c r="B2537" s="26"/>
      <c r="C2537" s="28"/>
      <c r="D2537" s="27"/>
      <c r="E2537" s="29"/>
      <c r="F2537" s="29"/>
      <c r="G2537" s="29"/>
      <c r="H2537" s="30" t="str">
        <f t="shared" si="273"/>
        <v/>
      </c>
      <c r="I2537" s="31" t="str">
        <f>IF(OR(B2537="",C2537=""),"",IFERROR(E2537*IF(E2537="",0,VLOOKUP(C2537,'📦 Precios Proforma'!$B$5:$D$104,IF(D2537="DIA",2,3),FALSE)),0))</f>
        <v/>
      </c>
      <c r="J2537" s="31" t="str">
        <f t="shared" si="274"/>
        <v/>
      </c>
      <c r="K2537" s="31" t="str">
        <f t="shared" si="275"/>
        <v/>
      </c>
      <c r="L2537" s="31" t="str">
        <f>IF(OR(B2537="",C2537=""),"",IFERROR(E2537 / SUMIFS('📅 Resumen Diario'!$D$5:$D$504, '📅 Resumen Diario'!$B$5:$B$504, B2537, '📅 Resumen Diario'!$C$5:$C$504, D2537) * SUMIFS('📅 Resumen Diario'!$K$5:$K$504, '📅 Resumen Diario'!$B$5:$B$504, B2537, '📅 Resumen Diario'!$C$5:$C$504, D2537), 0))</f>
        <v/>
      </c>
      <c r="M2537" s="31" t="str">
        <f t="shared" si="276"/>
        <v/>
      </c>
      <c r="N2537" s="31" t="str">
        <f t="shared" si="277"/>
        <v/>
      </c>
      <c r="O2537" s="31" t="str">
        <f>IF(OR(B2537="",C2537=""),"",K2537-N2537 + IFERROR(E2537 / SUMIFS('📅 Resumen Diario'!$D$5:$D$504, '📅 Resumen Diario'!$B$5:$B$504, B2537, '📅 Resumen Diario'!$C$5:$C$504, D2537) * (SUMIFS('📋 Detalle Diario'!$E$5:$E$489, '📋 Detalle Diario'!$B$5:$B$489, B2537, '📋 Detalle Diario'!$C$5:$C$489, D2537) * 135 + SUMIFS('📋 Detalle Diario'!$I$5:$I$489, '📋 Detalle Diario'!$B$5:$B$489, B2537, '📋 Detalle Diario'!$C$5:$C$489, D2537) * 200), 0))</f>
        <v/>
      </c>
      <c r="P2537" s="32" t="str">
        <f t="shared" si="278"/>
        <v/>
      </c>
      <c r="Q2537" s="33" t="str">
        <f t="shared" si="279"/>
        <v/>
      </c>
    </row>
    <row r="2538" spans="2:17" ht="18" customHeight="1" x14ac:dyDescent="0.3">
      <c r="B2538" s="26"/>
      <c r="C2538" s="17"/>
      <c r="D2538" s="27"/>
      <c r="E2538" s="18"/>
      <c r="F2538" s="18"/>
      <c r="G2538" s="18"/>
      <c r="H2538" s="30" t="str">
        <f t="shared" si="273"/>
        <v/>
      </c>
      <c r="I2538" s="31" t="str">
        <f>IF(OR(B2538="",C2538=""),"",IFERROR(E2538*IF(E2538="",0,VLOOKUP(C2538,'📦 Precios Proforma'!$B$5:$D$104,IF(D2538="DIA",2,3),FALSE)),0))</f>
        <v/>
      </c>
      <c r="J2538" s="31" t="str">
        <f t="shared" si="274"/>
        <v/>
      </c>
      <c r="K2538" s="31" t="str">
        <f t="shared" si="275"/>
        <v/>
      </c>
      <c r="L2538" s="31" t="str">
        <f>IF(OR(B2538="",C2538=""),"",IFERROR(E2538 / SUMIFS('📅 Resumen Diario'!$D$5:$D$504, '📅 Resumen Diario'!$B$5:$B$504, B2538, '📅 Resumen Diario'!$C$5:$C$504, D2538) * SUMIFS('📅 Resumen Diario'!$K$5:$K$504, '📅 Resumen Diario'!$B$5:$B$504, B2538, '📅 Resumen Diario'!$C$5:$C$504, D2538), 0))</f>
        <v/>
      </c>
      <c r="M2538" s="31" t="str">
        <f t="shared" si="276"/>
        <v/>
      </c>
      <c r="N2538" s="31" t="str">
        <f t="shared" si="277"/>
        <v/>
      </c>
      <c r="O2538" s="31" t="str">
        <f>IF(OR(B2538="",C2538=""),"",K2538-N2538 + IFERROR(E2538 / SUMIFS('📅 Resumen Diario'!$D$5:$D$504, '📅 Resumen Diario'!$B$5:$B$504, B2538, '📅 Resumen Diario'!$C$5:$C$504, D2538) * (SUMIFS('📋 Detalle Diario'!$E$5:$E$489, '📋 Detalle Diario'!$B$5:$B$489, B2538, '📋 Detalle Diario'!$C$5:$C$489, D2538) * 135 + SUMIFS('📋 Detalle Diario'!$I$5:$I$489, '📋 Detalle Diario'!$B$5:$B$489, B2538, '📋 Detalle Diario'!$C$5:$C$489, D2538) * 200), 0))</f>
        <v/>
      </c>
      <c r="P2538" s="32" t="str">
        <f t="shared" si="278"/>
        <v/>
      </c>
      <c r="Q2538" s="33" t="str">
        <f t="shared" si="279"/>
        <v/>
      </c>
    </row>
    <row r="2539" spans="2:17" ht="18" customHeight="1" x14ac:dyDescent="0.3">
      <c r="B2539" s="26"/>
      <c r="C2539" s="28"/>
      <c r="D2539" s="27"/>
      <c r="E2539" s="29"/>
      <c r="F2539" s="29"/>
      <c r="G2539" s="29"/>
      <c r="H2539" s="30" t="str">
        <f t="shared" si="273"/>
        <v/>
      </c>
      <c r="I2539" s="31" t="str">
        <f>IF(OR(B2539="",C2539=""),"",IFERROR(E2539*IF(E2539="",0,VLOOKUP(C2539,'📦 Precios Proforma'!$B$5:$D$104,IF(D2539="DIA",2,3),FALSE)),0))</f>
        <v/>
      </c>
      <c r="J2539" s="31" t="str">
        <f t="shared" si="274"/>
        <v/>
      </c>
      <c r="K2539" s="31" t="str">
        <f t="shared" si="275"/>
        <v/>
      </c>
      <c r="L2539" s="31" t="str">
        <f>IF(OR(B2539="",C2539=""),"",IFERROR(E2539 / SUMIFS('📅 Resumen Diario'!$D$5:$D$504, '📅 Resumen Diario'!$B$5:$B$504, B2539, '📅 Resumen Diario'!$C$5:$C$504, D2539) * SUMIFS('📅 Resumen Diario'!$K$5:$K$504, '📅 Resumen Diario'!$B$5:$B$504, B2539, '📅 Resumen Diario'!$C$5:$C$504, D2539), 0))</f>
        <v/>
      </c>
      <c r="M2539" s="31" t="str">
        <f t="shared" si="276"/>
        <v/>
      </c>
      <c r="N2539" s="31" t="str">
        <f t="shared" si="277"/>
        <v/>
      </c>
      <c r="O2539" s="31" t="str">
        <f>IF(OR(B2539="",C2539=""),"",K2539-N2539 + IFERROR(E2539 / SUMIFS('📅 Resumen Diario'!$D$5:$D$504, '📅 Resumen Diario'!$B$5:$B$504, B2539, '📅 Resumen Diario'!$C$5:$C$504, D2539) * (SUMIFS('📋 Detalle Diario'!$E$5:$E$489, '📋 Detalle Diario'!$B$5:$B$489, B2539, '📋 Detalle Diario'!$C$5:$C$489, D2539) * 135 + SUMIFS('📋 Detalle Diario'!$I$5:$I$489, '📋 Detalle Diario'!$B$5:$B$489, B2539, '📋 Detalle Diario'!$C$5:$C$489, D2539) * 200), 0))</f>
        <v/>
      </c>
      <c r="P2539" s="32" t="str">
        <f t="shared" si="278"/>
        <v/>
      </c>
      <c r="Q2539" s="33" t="str">
        <f t="shared" si="279"/>
        <v/>
      </c>
    </row>
    <row r="2540" spans="2:17" ht="18" customHeight="1" x14ac:dyDescent="0.3">
      <c r="B2540" s="26"/>
      <c r="C2540" s="17"/>
      <c r="D2540" s="27"/>
      <c r="E2540" s="18"/>
      <c r="F2540" s="18"/>
      <c r="G2540" s="18"/>
      <c r="H2540" s="30" t="str">
        <f t="shared" si="273"/>
        <v/>
      </c>
      <c r="I2540" s="31" t="str">
        <f>IF(OR(B2540="",C2540=""),"",IFERROR(E2540*IF(E2540="",0,VLOOKUP(C2540,'📦 Precios Proforma'!$B$5:$D$104,IF(D2540="DIA",2,3),FALSE)),0))</f>
        <v/>
      </c>
      <c r="J2540" s="31" t="str">
        <f t="shared" si="274"/>
        <v/>
      </c>
      <c r="K2540" s="31" t="str">
        <f t="shared" si="275"/>
        <v/>
      </c>
      <c r="L2540" s="31" t="str">
        <f>IF(OR(B2540="",C2540=""),"",IFERROR(E2540 / SUMIFS('📅 Resumen Diario'!$D$5:$D$504, '📅 Resumen Diario'!$B$5:$B$504, B2540, '📅 Resumen Diario'!$C$5:$C$504, D2540) * SUMIFS('📅 Resumen Diario'!$K$5:$K$504, '📅 Resumen Diario'!$B$5:$B$504, B2540, '📅 Resumen Diario'!$C$5:$C$504, D2540), 0))</f>
        <v/>
      </c>
      <c r="M2540" s="31" t="str">
        <f t="shared" si="276"/>
        <v/>
      </c>
      <c r="N2540" s="31" t="str">
        <f t="shared" si="277"/>
        <v/>
      </c>
      <c r="O2540" s="31" t="str">
        <f>IF(OR(B2540="",C2540=""),"",K2540-N2540 + IFERROR(E2540 / SUMIFS('📅 Resumen Diario'!$D$5:$D$504, '📅 Resumen Diario'!$B$5:$B$504, B2540, '📅 Resumen Diario'!$C$5:$C$504, D2540) * (SUMIFS('📋 Detalle Diario'!$E$5:$E$489, '📋 Detalle Diario'!$B$5:$B$489, B2540, '📋 Detalle Diario'!$C$5:$C$489, D2540) * 135 + SUMIFS('📋 Detalle Diario'!$I$5:$I$489, '📋 Detalle Diario'!$B$5:$B$489, B2540, '📋 Detalle Diario'!$C$5:$C$489, D2540) * 200), 0))</f>
        <v/>
      </c>
      <c r="P2540" s="32" t="str">
        <f t="shared" si="278"/>
        <v/>
      </c>
      <c r="Q2540" s="33" t="str">
        <f t="shared" si="279"/>
        <v/>
      </c>
    </row>
    <row r="2541" spans="2:17" ht="18" customHeight="1" x14ac:dyDescent="0.3">
      <c r="B2541" s="26"/>
      <c r="C2541" s="28"/>
      <c r="D2541" s="27"/>
      <c r="E2541" s="29"/>
      <c r="F2541" s="29"/>
      <c r="G2541" s="29"/>
      <c r="H2541" s="30" t="str">
        <f t="shared" si="273"/>
        <v/>
      </c>
      <c r="I2541" s="31" t="str">
        <f>IF(OR(B2541="",C2541=""),"",IFERROR(E2541*IF(E2541="",0,VLOOKUP(C2541,'📦 Precios Proforma'!$B$5:$D$104,IF(D2541="DIA",2,3),FALSE)),0))</f>
        <v/>
      </c>
      <c r="J2541" s="31" t="str">
        <f t="shared" si="274"/>
        <v/>
      </c>
      <c r="K2541" s="31" t="str">
        <f t="shared" si="275"/>
        <v/>
      </c>
      <c r="L2541" s="31" t="str">
        <f>IF(OR(B2541="",C2541=""),"",IFERROR(E2541 / SUMIFS('📅 Resumen Diario'!$D$5:$D$504, '📅 Resumen Diario'!$B$5:$B$504, B2541, '📅 Resumen Diario'!$C$5:$C$504, D2541) * SUMIFS('📅 Resumen Diario'!$K$5:$K$504, '📅 Resumen Diario'!$B$5:$B$504, B2541, '📅 Resumen Diario'!$C$5:$C$504, D2541), 0))</f>
        <v/>
      </c>
      <c r="M2541" s="31" t="str">
        <f t="shared" si="276"/>
        <v/>
      </c>
      <c r="N2541" s="31" t="str">
        <f t="shared" si="277"/>
        <v/>
      </c>
      <c r="O2541" s="31" t="str">
        <f>IF(OR(B2541="",C2541=""),"",K2541-N2541 + IFERROR(E2541 / SUMIFS('📅 Resumen Diario'!$D$5:$D$504, '📅 Resumen Diario'!$B$5:$B$504, B2541, '📅 Resumen Diario'!$C$5:$C$504, D2541) * (SUMIFS('📋 Detalle Diario'!$E$5:$E$489, '📋 Detalle Diario'!$B$5:$B$489, B2541, '📋 Detalle Diario'!$C$5:$C$489, D2541) * 135 + SUMIFS('📋 Detalle Diario'!$I$5:$I$489, '📋 Detalle Diario'!$B$5:$B$489, B2541, '📋 Detalle Diario'!$C$5:$C$489, D2541) * 200), 0))</f>
        <v/>
      </c>
      <c r="P2541" s="32" t="str">
        <f t="shared" si="278"/>
        <v/>
      </c>
      <c r="Q2541" s="33" t="str">
        <f t="shared" si="279"/>
        <v/>
      </c>
    </row>
    <row r="2542" spans="2:17" ht="18" customHeight="1" x14ac:dyDescent="0.3">
      <c r="B2542" s="26"/>
      <c r="C2542" s="17"/>
      <c r="D2542" s="27"/>
      <c r="E2542" s="18"/>
      <c r="F2542" s="18"/>
      <c r="G2542" s="18"/>
      <c r="H2542" s="30" t="str">
        <f t="shared" si="273"/>
        <v/>
      </c>
      <c r="I2542" s="31" t="str">
        <f>IF(OR(B2542="",C2542=""),"",IFERROR(E2542*IF(E2542="",0,VLOOKUP(C2542,'📦 Precios Proforma'!$B$5:$D$104,IF(D2542="DIA",2,3),FALSE)),0))</f>
        <v/>
      </c>
      <c r="J2542" s="31" t="str">
        <f t="shared" si="274"/>
        <v/>
      </c>
      <c r="K2542" s="31" t="str">
        <f t="shared" si="275"/>
        <v/>
      </c>
      <c r="L2542" s="31" t="str">
        <f>IF(OR(B2542="",C2542=""),"",IFERROR(E2542 / SUMIFS('📅 Resumen Diario'!$D$5:$D$504, '📅 Resumen Diario'!$B$5:$B$504, B2542, '📅 Resumen Diario'!$C$5:$C$504, D2542) * SUMIFS('📅 Resumen Diario'!$K$5:$K$504, '📅 Resumen Diario'!$B$5:$B$504, B2542, '📅 Resumen Diario'!$C$5:$C$504, D2542), 0))</f>
        <v/>
      </c>
      <c r="M2542" s="31" t="str">
        <f t="shared" si="276"/>
        <v/>
      </c>
      <c r="N2542" s="31" t="str">
        <f t="shared" si="277"/>
        <v/>
      </c>
      <c r="O2542" s="31" t="str">
        <f>IF(OR(B2542="",C2542=""),"",K2542-N2542 + IFERROR(E2542 / SUMIFS('📅 Resumen Diario'!$D$5:$D$504, '📅 Resumen Diario'!$B$5:$B$504, B2542, '📅 Resumen Diario'!$C$5:$C$504, D2542) * (SUMIFS('📋 Detalle Diario'!$E$5:$E$489, '📋 Detalle Diario'!$B$5:$B$489, B2542, '📋 Detalle Diario'!$C$5:$C$489, D2542) * 135 + SUMIFS('📋 Detalle Diario'!$I$5:$I$489, '📋 Detalle Diario'!$B$5:$B$489, B2542, '📋 Detalle Diario'!$C$5:$C$489, D2542) * 200), 0))</f>
        <v/>
      </c>
      <c r="P2542" s="32" t="str">
        <f t="shared" si="278"/>
        <v/>
      </c>
      <c r="Q2542" s="33" t="str">
        <f t="shared" si="279"/>
        <v/>
      </c>
    </row>
    <row r="2543" spans="2:17" ht="18" customHeight="1" x14ac:dyDescent="0.3">
      <c r="B2543" s="26"/>
      <c r="C2543" s="28"/>
      <c r="D2543" s="27"/>
      <c r="E2543" s="29"/>
      <c r="F2543" s="29"/>
      <c r="G2543" s="29"/>
      <c r="H2543" s="30" t="str">
        <f t="shared" si="273"/>
        <v/>
      </c>
      <c r="I2543" s="31" t="str">
        <f>IF(OR(B2543="",C2543=""),"",IFERROR(E2543*IF(E2543="",0,VLOOKUP(C2543,'📦 Precios Proforma'!$B$5:$D$104,IF(D2543="DIA",2,3),FALSE)),0))</f>
        <v/>
      </c>
      <c r="J2543" s="31" t="str">
        <f t="shared" si="274"/>
        <v/>
      </c>
      <c r="K2543" s="31" t="str">
        <f t="shared" si="275"/>
        <v/>
      </c>
      <c r="L2543" s="31" t="str">
        <f>IF(OR(B2543="",C2543=""),"",IFERROR(E2543 / SUMIFS('📅 Resumen Diario'!$D$5:$D$504, '📅 Resumen Diario'!$B$5:$B$504, B2543, '📅 Resumen Diario'!$C$5:$C$504, D2543) * SUMIFS('📅 Resumen Diario'!$K$5:$K$504, '📅 Resumen Diario'!$B$5:$B$504, B2543, '📅 Resumen Diario'!$C$5:$C$504, D2543), 0))</f>
        <v/>
      </c>
      <c r="M2543" s="31" t="str">
        <f t="shared" si="276"/>
        <v/>
      </c>
      <c r="N2543" s="31" t="str">
        <f t="shared" si="277"/>
        <v/>
      </c>
      <c r="O2543" s="31" t="str">
        <f>IF(OR(B2543="",C2543=""),"",K2543-N2543 + IFERROR(E2543 / SUMIFS('📅 Resumen Diario'!$D$5:$D$504, '📅 Resumen Diario'!$B$5:$B$504, B2543, '📅 Resumen Diario'!$C$5:$C$504, D2543) * (SUMIFS('📋 Detalle Diario'!$E$5:$E$489, '📋 Detalle Diario'!$B$5:$B$489, B2543, '📋 Detalle Diario'!$C$5:$C$489, D2543) * 135 + SUMIFS('📋 Detalle Diario'!$I$5:$I$489, '📋 Detalle Diario'!$B$5:$B$489, B2543, '📋 Detalle Diario'!$C$5:$C$489, D2543) * 200), 0))</f>
        <v/>
      </c>
      <c r="P2543" s="32" t="str">
        <f t="shared" si="278"/>
        <v/>
      </c>
      <c r="Q2543" s="33" t="str">
        <f t="shared" si="279"/>
        <v/>
      </c>
    </row>
    <row r="2544" spans="2:17" ht="18" customHeight="1" x14ac:dyDescent="0.3">
      <c r="B2544" s="26"/>
      <c r="C2544" s="17"/>
      <c r="D2544" s="27"/>
      <c r="E2544" s="18"/>
      <c r="F2544" s="18"/>
      <c r="G2544" s="18"/>
      <c r="H2544" s="30" t="str">
        <f t="shared" si="273"/>
        <v/>
      </c>
      <c r="I2544" s="31" t="str">
        <f>IF(OR(B2544="",C2544=""),"",IFERROR(E2544*IF(E2544="",0,VLOOKUP(C2544,'📦 Precios Proforma'!$B$5:$D$104,IF(D2544="DIA",2,3),FALSE)),0))</f>
        <v/>
      </c>
      <c r="J2544" s="31" t="str">
        <f t="shared" si="274"/>
        <v/>
      </c>
      <c r="K2544" s="31" t="str">
        <f t="shared" si="275"/>
        <v/>
      </c>
      <c r="L2544" s="31" t="str">
        <f>IF(OR(B2544="",C2544=""),"",IFERROR(E2544 / SUMIFS('📅 Resumen Diario'!$D$5:$D$504, '📅 Resumen Diario'!$B$5:$B$504, B2544, '📅 Resumen Diario'!$C$5:$C$504, D2544) * SUMIFS('📅 Resumen Diario'!$K$5:$K$504, '📅 Resumen Diario'!$B$5:$B$504, B2544, '📅 Resumen Diario'!$C$5:$C$504, D2544), 0))</f>
        <v/>
      </c>
      <c r="M2544" s="31" t="str">
        <f t="shared" si="276"/>
        <v/>
      </c>
      <c r="N2544" s="31" t="str">
        <f t="shared" si="277"/>
        <v/>
      </c>
      <c r="O2544" s="31" t="str">
        <f>IF(OR(B2544="",C2544=""),"",K2544-N2544 + IFERROR(E2544 / SUMIFS('📅 Resumen Diario'!$D$5:$D$504, '📅 Resumen Diario'!$B$5:$B$504, B2544, '📅 Resumen Diario'!$C$5:$C$504, D2544) * (SUMIFS('📋 Detalle Diario'!$E$5:$E$489, '📋 Detalle Diario'!$B$5:$B$489, B2544, '📋 Detalle Diario'!$C$5:$C$489, D2544) * 135 + SUMIFS('📋 Detalle Diario'!$I$5:$I$489, '📋 Detalle Diario'!$B$5:$B$489, B2544, '📋 Detalle Diario'!$C$5:$C$489, D2544) * 200), 0))</f>
        <v/>
      </c>
      <c r="P2544" s="32" t="str">
        <f t="shared" si="278"/>
        <v/>
      </c>
      <c r="Q2544" s="33" t="str">
        <f t="shared" si="279"/>
        <v/>
      </c>
    </row>
    <row r="2545" spans="2:17" ht="18" customHeight="1" x14ac:dyDescent="0.3">
      <c r="B2545" s="26"/>
      <c r="C2545" s="28"/>
      <c r="D2545" s="27"/>
      <c r="E2545" s="29"/>
      <c r="F2545" s="29"/>
      <c r="G2545" s="29"/>
      <c r="H2545" s="30" t="str">
        <f t="shared" si="273"/>
        <v/>
      </c>
      <c r="I2545" s="31" t="str">
        <f>IF(OR(B2545="",C2545=""),"",IFERROR(E2545*IF(E2545="",0,VLOOKUP(C2545,'📦 Precios Proforma'!$B$5:$D$104,IF(D2545="DIA",2,3),FALSE)),0))</f>
        <v/>
      </c>
      <c r="J2545" s="31" t="str">
        <f t="shared" si="274"/>
        <v/>
      </c>
      <c r="K2545" s="31" t="str">
        <f t="shared" si="275"/>
        <v/>
      </c>
      <c r="L2545" s="31" t="str">
        <f>IF(OR(B2545="",C2545=""),"",IFERROR(E2545 / SUMIFS('📅 Resumen Diario'!$D$5:$D$504, '📅 Resumen Diario'!$B$5:$B$504, B2545, '📅 Resumen Diario'!$C$5:$C$504, D2545) * SUMIFS('📅 Resumen Diario'!$K$5:$K$504, '📅 Resumen Diario'!$B$5:$B$504, B2545, '📅 Resumen Diario'!$C$5:$C$504, D2545), 0))</f>
        <v/>
      </c>
      <c r="M2545" s="31" t="str">
        <f t="shared" si="276"/>
        <v/>
      </c>
      <c r="N2545" s="31" t="str">
        <f t="shared" si="277"/>
        <v/>
      </c>
      <c r="O2545" s="31" t="str">
        <f>IF(OR(B2545="",C2545=""),"",K2545-N2545 + IFERROR(E2545 / SUMIFS('📅 Resumen Diario'!$D$5:$D$504, '📅 Resumen Diario'!$B$5:$B$504, B2545, '📅 Resumen Diario'!$C$5:$C$504, D2545) * (SUMIFS('📋 Detalle Diario'!$E$5:$E$489, '📋 Detalle Diario'!$B$5:$B$489, B2545, '📋 Detalle Diario'!$C$5:$C$489, D2545) * 135 + SUMIFS('📋 Detalle Diario'!$I$5:$I$489, '📋 Detalle Diario'!$B$5:$B$489, B2545, '📋 Detalle Diario'!$C$5:$C$489, D2545) * 200), 0))</f>
        <v/>
      </c>
      <c r="P2545" s="32" t="str">
        <f t="shared" si="278"/>
        <v/>
      </c>
      <c r="Q2545" s="33" t="str">
        <f t="shared" si="279"/>
        <v/>
      </c>
    </row>
    <row r="2546" spans="2:17" ht="18" customHeight="1" x14ac:dyDescent="0.3">
      <c r="B2546" s="26"/>
      <c r="C2546" s="17"/>
      <c r="D2546" s="27"/>
      <c r="E2546" s="18"/>
      <c r="F2546" s="18"/>
      <c r="G2546" s="18"/>
      <c r="H2546" s="30" t="str">
        <f t="shared" si="273"/>
        <v/>
      </c>
      <c r="I2546" s="31" t="str">
        <f>IF(OR(B2546="",C2546=""),"",IFERROR(E2546*IF(E2546="",0,VLOOKUP(C2546,'📦 Precios Proforma'!$B$5:$D$104,IF(D2546="DIA",2,3),FALSE)),0))</f>
        <v/>
      </c>
      <c r="J2546" s="31" t="str">
        <f t="shared" si="274"/>
        <v/>
      </c>
      <c r="K2546" s="31" t="str">
        <f t="shared" si="275"/>
        <v/>
      </c>
      <c r="L2546" s="31" t="str">
        <f>IF(OR(B2546="",C2546=""),"",IFERROR(E2546 / SUMIFS('📅 Resumen Diario'!$D$5:$D$504, '📅 Resumen Diario'!$B$5:$B$504, B2546, '📅 Resumen Diario'!$C$5:$C$504, D2546) * SUMIFS('📅 Resumen Diario'!$K$5:$K$504, '📅 Resumen Diario'!$B$5:$B$504, B2546, '📅 Resumen Diario'!$C$5:$C$504, D2546), 0))</f>
        <v/>
      </c>
      <c r="M2546" s="31" t="str">
        <f t="shared" si="276"/>
        <v/>
      </c>
      <c r="N2546" s="31" t="str">
        <f t="shared" si="277"/>
        <v/>
      </c>
      <c r="O2546" s="31" t="str">
        <f>IF(OR(B2546="",C2546=""),"",K2546-N2546 + IFERROR(E2546 / SUMIFS('📅 Resumen Diario'!$D$5:$D$504, '📅 Resumen Diario'!$B$5:$B$504, B2546, '📅 Resumen Diario'!$C$5:$C$504, D2546) * (SUMIFS('📋 Detalle Diario'!$E$5:$E$489, '📋 Detalle Diario'!$B$5:$B$489, B2546, '📋 Detalle Diario'!$C$5:$C$489, D2546) * 135 + SUMIFS('📋 Detalle Diario'!$I$5:$I$489, '📋 Detalle Diario'!$B$5:$B$489, B2546, '📋 Detalle Diario'!$C$5:$C$489, D2546) * 200), 0))</f>
        <v/>
      </c>
      <c r="P2546" s="32" t="str">
        <f t="shared" si="278"/>
        <v/>
      </c>
      <c r="Q2546" s="33" t="str">
        <f t="shared" si="279"/>
        <v/>
      </c>
    </row>
    <row r="2547" spans="2:17" ht="18" customHeight="1" x14ac:dyDescent="0.3">
      <c r="B2547" s="26"/>
      <c r="C2547" s="28"/>
      <c r="D2547" s="27"/>
      <c r="E2547" s="29"/>
      <c r="F2547" s="29"/>
      <c r="G2547" s="29"/>
      <c r="H2547" s="30" t="str">
        <f t="shared" si="273"/>
        <v/>
      </c>
      <c r="I2547" s="31" t="str">
        <f>IF(OR(B2547="",C2547=""),"",IFERROR(E2547*IF(E2547="",0,VLOOKUP(C2547,'📦 Precios Proforma'!$B$5:$D$104,IF(D2547="DIA",2,3),FALSE)),0))</f>
        <v/>
      </c>
      <c r="J2547" s="31" t="str">
        <f t="shared" si="274"/>
        <v/>
      </c>
      <c r="K2547" s="31" t="str">
        <f t="shared" si="275"/>
        <v/>
      </c>
      <c r="L2547" s="31" t="str">
        <f>IF(OR(B2547="",C2547=""),"",IFERROR(E2547 / SUMIFS('📅 Resumen Diario'!$D$5:$D$504, '📅 Resumen Diario'!$B$5:$B$504, B2547, '📅 Resumen Diario'!$C$5:$C$504, D2547) * SUMIFS('📅 Resumen Diario'!$K$5:$K$504, '📅 Resumen Diario'!$B$5:$B$504, B2547, '📅 Resumen Diario'!$C$5:$C$504, D2547), 0))</f>
        <v/>
      </c>
      <c r="M2547" s="31" t="str">
        <f t="shared" si="276"/>
        <v/>
      </c>
      <c r="N2547" s="31" t="str">
        <f t="shared" si="277"/>
        <v/>
      </c>
      <c r="O2547" s="31" t="str">
        <f>IF(OR(B2547="",C2547=""),"",K2547-N2547 + IFERROR(E2547 / SUMIFS('📅 Resumen Diario'!$D$5:$D$504, '📅 Resumen Diario'!$B$5:$B$504, B2547, '📅 Resumen Diario'!$C$5:$C$504, D2547) * (SUMIFS('📋 Detalle Diario'!$E$5:$E$489, '📋 Detalle Diario'!$B$5:$B$489, B2547, '📋 Detalle Diario'!$C$5:$C$489, D2547) * 135 + SUMIFS('📋 Detalle Diario'!$I$5:$I$489, '📋 Detalle Diario'!$B$5:$B$489, B2547, '📋 Detalle Diario'!$C$5:$C$489, D2547) * 200), 0))</f>
        <v/>
      </c>
      <c r="P2547" s="32" t="str">
        <f t="shared" si="278"/>
        <v/>
      </c>
      <c r="Q2547" s="33" t="str">
        <f t="shared" si="279"/>
        <v/>
      </c>
    </row>
    <row r="2548" spans="2:17" ht="18" customHeight="1" x14ac:dyDescent="0.3">
      <c r="B2548" s="26"/>
      <c r="C2548" s="17"/>
      <c r="D2548" s="27"/>
      <c r="E2548" s="18"/>
      <c r="F2548" s="18"/>
      <c r="G2548" s="18"/>
      <c r="H2548" s="30" t="str">
        <f t="shared" si="273"/>
        <v/>
      </c>
      <c r="I2548" s="31" t="str">
        <f>IF(OR(B2548="",C2548=""),"",IFERROR(E2548*IF(E2548="",0,VLOOKUP(C2548,'📦 Precios Proforma'!$B$5:$D$104,IF(D2548="DIA",2,3),FALSE)),0))</f>
        <v/>
      </c>
      <c r="J2548" s="31" t="str">
        <f t="shared" si="274"/>
        <v/>
      </c>
      <c r="K2548" s="31" t="str">
        <f t="shared" si="275"/>
        <v/>
      </c>
      <c r="L2548" s="31" t="str">
        <f>IF(OR(B2548="",C2548=""),"",IFERROR(E2548 / SUMIFS('📅 Resumen Diario'!$D$5:$D$504, '📅 Resumen Diario'!$B$5:$B$504, B2548, '📅 Resumen Diario'!$C$5:$C$504, D2548) * SUMIFS('📅 Resumen Diario'!$K$5:$K$504, '📅 Resumen Diario'!$B$5:$B$504, B2548, '📅 Resumen Diario'!$C$5:$C$504, D2548), 0))</f>
        <v/>
      </c>
      <c r="M2548" s="31" t="str">
        <f t="shared" si="276"/>
        <v/>
      </c>
      <c r="N2548" s="31" t="str">
        <f t="shared" si="277"/>
        <v/>
      </c>
      <c r="O2548" s="31" t="str">
        <f>IF(OR(B2548="",C2548=""),"",K2548-N2548 + IFERROR(E2548 / SUMIFS('📅 Resumen Diario'!$D$5:$D$504, '📅 Resumen Diario'!$B$5:$B$504, B2548, '📅 Resumen Diario'!$C$5:$C$504, D2548) * (SUMIFS('📋 Detalle Diario'!$E$5:$E$489, '📋 Detalle Diario'!$B$5:$B$489, B2548, '📋 Detalle Diario'!$C$5:$C$489, D2548) * 135 + SUMIFS('📋 Detalle Diario'!$I$5:$I$489, '📋 Detalle Diario'!$B$5:$B$489, B2548, '📋 Detalle Diario'!$C$5:$C$489, D2548) * 200), 0))</f>
        <v/>
      </c>
      <c r="P2548" s="32" t="str">
        <f t="shared" si="278"/>
        <v/>
      </c>
      <c r="Q2548" s="33" t="str">
        <f t="shared" si="279"/>
        <v/>
      </c>
    </row>
    <row r="2549" spans="2:17" ht="18" customHeight="1" x14ac:dyDescent="0.3">
      <c r="B2549" s="26"/>
      <c r="C2549" s="28"/>
      <c r="D2549" s="27"/>
      <c r="E2549" s="29"/>
      <c r="F2549" s="29"/>
      <c r="G2549" s="29"/>
      <c r="H2549" s="30" t="str">
        <f t="shared" si="273"/>
        <v/>
      </c>
      <c r="I2549" s="31" t="str">
        <f>IF(OR(B2549="",C2549=""),"",IFERROR(E2549*IF(E2549="",0,VLOOKUP(C2549,'📦 Precios Proforma'!$B$5:$D$104,IF(D2549="DIA",2,3),FALSE)),0))</f>
        <v/>
      </c>
      <c r="J2549" s="31" t="str">
        <f t="shared" si="274"/>
        <v/>
      </c>
      <c r="K2549" s="31" t="str">
        <f t="shared" si="275"/>
        <v/>
      </c>
      <c r="L2549" s="31" t="str">
        <f>IF(OR(B2549="",C2549=""),"",IFERROR(E2549 / SUMIFS('📅 Resumen Diario'!$D$5:$D$504, '📅 Resumen Diario'!$B$5:$B$504, B2549, '📅 Resumen Diario'!$C$5:$C$504, D2549) * SUMIFS('📅 Resumen Diario'!$K$5:$K$504, '📅 Resumen Diario'!$B$5:$B$504, B2549, '📅 Resumen Diario'!$C$5:$C$504, D2549), 0))</f>
        <v/>
      </c>
      <c r="M2549" s="31" t="str">
        <f t="shared" si="276"/>
        <v/>
      </c>
      <c r="N2549" s="31" t="str">
        <f t="shared" si="277"/>
        <v/>
      </c>
      <c r="O2549" s="31" t="str">
        <f>IF(OR(B2549="",C2549=""),"",K2549-N2549 + IFERROR(E2549 / SUMIFS('📅 Resumen Diario'!$D$5:$D$504, '📅 Resumen Diario'!$B$5:$B$504, B2549, '📅 Resumen Diario'!$C$5:$C$504, D2549) * (SUMIFS('📋 Detalle Diario'!$E$5:$E$489, '📋 Detalle Diario'!$B$5:$B$489, B2549, '📋 Detalle Diario'!$C$5:$C$489, D2549) * 135 + SUMIFS('📋 Detalle Diario'!$I$5:$I$489, '📋 Detalle Diario'!$B$5:$B$489, B2549, '📋 Detalle Diario'!$C$5:$C$489, D2549) * 200), 0))</f>
        <v/>
      </c>
      <c r="P2549" s="32" t="str">
        <f t="shared" si="278"/>
        <v/>
      </c>
      <c r="Q2549" s="33" t="str">
        <f t="shared" si="279"/>
        <v/>
      </c>
    </row>
    <row r="2550" spans="2:17" ht="18" customHeight="1" x14ac:dyDescent="0.3">
      <c r="B2550" s="26"/>
      <c r="C2550" s="17"/>
      <c r="D2550" s="27"/>
      <c r="E2550" s="18"/>
      <c r="F2550" s="18"/>
      <c r="G2550" s="18"/>
      <c r="H2550" s="30" t="str">
        <f t="shared" si="273"/>
        <v/>
      </c>
      <c r="I2550" s="31" t="str">
        <f>IF(OR(B2550="",C2550=""),"",IFERROR(E2550*IF(E2550="",0,VLOOKUP(C2550,'📦 Precios Proforma'!$B$5:$D$104,IF(D2550="DIA",2,3),FALSE)),0))</f>
        <v/>
      </c>
      <c r="J2550" s="31" t="str">
        <f t="shared" si="274"/>
        <v/>
      </c>
      <c r="K2550" s="31" t="str">
        <f t="shared" si="275"/>
        <v/>
      </c>
      <c r="L2550" s="31" t="str">
        <f>IF(OR(B2550="",C2550=""),"",IFERROR(E2550 / SUMIFS('📅 Resumen Diario'!$D$5:$D$504, '📅 Resumen Diario'!$B$5:$B$504, B2550, '📅 Resumen Diario'!$C$5:$C$504, D2550) * SUMIFS('📅 Resumen Diario'!$K$5:$K$504, '📅 Resumen Diario'!$B$5:$B$504, B2550, '📅 Resumen Diario'!$C$5:$C$504, D2550), 0))</f>
        <v/>
      </c>
      <c r="M2550" s="31" t="str">
        <f t="shared" si="276"/>
        <v/>
      </c>
      <c r="N2550" s="31" t="str">
        <f t="shared" si="277"/>
        <v/>
      </c>
      <c r="O2550" s="31" t="str">
        <f>IF(OR(B2550="",C2550=""),"",K2550-N2550 + IFERROR(E2550 / SUMIFS('📅 Resumen Diario'!$D$5:$D$504, '📅 Resumen Diario'!$B$5:$B$504, B2550, '📅 Resumen Diario'!$C$5:$C$504, D2550) * (SUMIFS('📋 Detalle Diario'!$E$5:$E$489, '📋 Detalle Diario'!$B$5:$B$489, B2550, '📋 Detalle Diario'!$C$5:$C$489, D2550) * 135 + SUMIFS('📋 Detalle Diario'!$I$5:$I$489, '📋 Detalle Diario'!$B$5:$B$489, B2550, '📋 Detalle Diario'!$C$5:$C$489, D2550) * 200), 0))</f>
        <v/>
      </c>
      <c r="P2550" s="32" t="str">
        <f t="shared" si="278"/>
        <v/>
      </c>
      <c r="Q2550" s="33" t="str">
        <f t="shared" si="279"/>
        <v/>
      </c>
    </row>
    <row r="2551" spans="2:17" ht="18" customHeight="1" x14ac:dyDescent="0.3">
      <c r="B2551" s="26"/>
      <c r="C2551" s="28"/>
      <c r="D2551" s="27"/>
      <c r="E2551" s="29"/>
      <c r="F2551" s="29"/>
      <c r="G2551" s="29"/>
      <c r="H2551" s="30" t="str">
        <f t="shared" si="273"/>
        <v/>
      </c>
      <c r="I2551" s="31" t="str">
        <f>IF(OR(B2551="",C2551=""),"",IFERROR(E2551*IF(E2551="",0,VLOOKUP(C2551,'📦 Precios Proforma'!$B$5:$D$104,IF(D2551="DIA",2,3),FALSE)),0))</f>
        <v/>
      </c>
      <c r="J2551" s="31" t="str">
        <f t="shared" si="274"/>
        <v/>
      </c>
      <c r="K2551" s="31" t="str">
        <f t="shared" si="275"/>
        <v/>
      </c>
      <c r="L2551" s="31" t="str">
        <f>IF(OR(B2551="",C2551=""),"",IFERROR(E2551 / SUMIFS('📅 Resumen Diario'!$D$5:$D$504, '📅 Resumen Diario'!$B$5:$B$504, B2551, '📅 Resumen Diario'!$C$5:$C$504, D2551) * SUMIFS('📅 Resumen Diario'!$K$5:$K$504, '📅 Resumen Diario'!$B$5:$B$504, B2551, '📅 Resumen Diario'!$C$5:$C$504, D2551), 0))</f>
        <v/>
      </c>
      <c r="M2551" s="31" t="str">
        <f t="shared" si="276"/>
        <v/>
      </c>
      <c r="N2551" s="31" t="str">
        <f t="shared" si="277"/>
        <v/>
      </c>
      <c r="O2551" s="31" t="str">
        <f>IF(OR(B2551="",C2551=""),"",K2551-N2551 + IFERROR(E2551 / SUMIFS('📅 Resumen Diario'!$D$5:$D$504, '📅 Resumen Diario'!$B$5:$B$504, B2551, '📅 Resumen Diario'!$C$5:$C$504, D2551) * (SUMIFS('📋 Detalle Diario'!$E$5:$E$489, '📋 Detalle Diario'!$B$5:$B$489, B2551, '📋 Detalle Diario'!$C$5:$C$489, D2551) * 135 + SUMIFS('📋 Detalle Diario'!$I$5:$I$489, '📋 Detalle Diario'!$B$5:$B$489, B2551, '📋 Detalle Diario'!$C$5:$C$489, D2551) * 200), 0))</f>
        <v/>
      </c>
      <c r="P2551" s="32" t="str">
        <f t="shared" si="278"/>
        <v/>
      </c>
      <c r="Q2551" s="33" t="str">
        <f t="shared" si="279"/>
        <v/>
      </c>
    </row>
    <row r="2552" spans="2:17" ht="18" customHeight="1" x14ac:dyDescent="0.3">
      <c r="B2552" s="26"/>
      <c r="C2552" s="17"/>
      <c r="D2552" s="27"/>
      <c r="E2552" s="18"/>
      <c r="F2552" s="18"/>
      <c r="G2552" s="18"/>
      <c r="H2552" s="30" t="str">
        <f t="shared" si="273"/>
        <v/>
      </c>
      <c r="I2552" s="31" t="str">
        <f>IF(OR(B2552="",C2552=""),"",IFERROR(E2552*IF(E2552="",0,VLOOKUP(C2552,'📦 Precios Proforma'!$B$5:$D$104,IF(D2552="DIA",2,3),FALSE)),0))</f>
        <v/>
      </c>
      <c r="J2552" s="31" t="str">
        <f t="shared" si="274"/>
        <v/>
      </c>
      <c r="K2552" s="31" t="str">
        <f t="shared" si="275"/>
        <v/>
      </c>
      <c r="L2552" s="31" t="str">
        <f>IF(OR(B2552="",C2552=""),"",IFERROR(E2552 / SUMIFS('📅 Resumen Diario'!$D$5:$D$504, '📅 Resumen Diario'!$B$5:$B$504, B2552, '📅 Resumen Diario'!$C$5:$C$504, D2552) * SUMIFS('📅 Resumen Diario'!$K$5:$K$504, '📅 Resumen Diario'!$B$5:$B$504, B2552, '📅 Resumen Diario'!$C$5:$C$504, D2552), 0))</f>
        <v/>
      </c>
      <c r="M2552" s="31" t="str">
        <f t="shared" si="276"/>
        <v/>
      </c>
      <c r="N2552" s="31" t="str">
        <f t="shared" si="277"/>
        <v/>
      </c>
      <c r="O2552" s="31" t="str">
        <f>IF(OR(B2552="",C2552=""),"",K2552-N2552 + IFERROR(E2552 / SUMIFS('📅 Resumen Diario'!$D$5:$D$504, '📅 Resumen Diario'!$B$5:$B$504, B2552, '📅 Resumen Diario'!$C$5:$C$504, D2552) * (SUMIFS('📋 Detalle Diario'!$E$5:$E$489, '📋 Detalle Diario'!$B$5:$B$489, B2552, '📋 Detalle Diario'!$C$5:$C$489, D2552) * 135 + SUMIFS('📋 Detalle Diario'!$I$5:$I$489, '📋 Detalle Diario'!$B$5:$B$489, B2552, '📋 Detalle Diario'!$C$5:$C$489, D2552) * 200), 0))</f>
        <v/>
      </c>
      <c r="P2552" s="32" t="str">
        <f t="shared" si="278"/>
        <v/>
      </c>
      <c r="Q2552" s="33" t="str">
        <f t="shared" si="279"/>
        <v/>
      </c>
    </row>
    <row r="2553" spans="2:17" ht="18" customHeight="1" x14ac:dyDescent="0.3">
      <c r="B2553" s="26"/>
      <c r="C2553" s="28"/>
      <c r="D2553" s="27"/>
      <c r="E2553" s="29"/>
      <c r="F2553" s="29"/>
      <c r="G2553" s="29"/>
      <c r="H2553" s="30" t="str">
        <f t="shared" si="273"/>
        <v/>
      </c>
      <c r="I2553" s="31" t="str">
        <f>IF(OR(B2553="",C2553=""),"",IFERROR(E2553*IF(E2553="",0,VLOOKUP(C2553,'📦 Precios Proforma'!$B$5:$D$104,IF(D2553="DIA",2,3),FALSE)),0))</f>
        <v/>
      </c>
      <c r="J2553" s="31" t="str">
        <f t="shared" si="274"/>
        <v/>
      </c>
      <c r="K2553" s="31" t="str">
        <f t="shared" si="275"/>
        <v/>
      </c>
      <c r="L2553" s="31" t="str">
        <f>IF(OR(B2553="",C2553=""),"",IFERROR(E2553 / SUMIFS('📅 Resumen Diario'!$D$5:$D$504, '📅 Resumen Diario'!$B$5:$B$504, B2553, '📅 Resumen Diario'!$C$5:$C$504, D2553) * SUMIFS('📅 Resumen Diario'!$K$5:$K$504, '📅 Resumen Diario'!$B$5:$B$504, B2553, '📅 Resumen Diario'!$C$5:$C$504, D2553), 0))</f>
        <v/>
      </c>
      <c r="M2553" s="31" t="str">
        <f t="shared" si="276"/>
        <v/>
      </c>
      <c r="N2553" s="31" t="str">
        <f t="shared" si="277"/>
        <v/>
      </c>
      <c r="O2553" s="31" t="str">
        <f>IF(OR(B2553="",C2553=""),"",K2553-N2553 + IFERROR(E2553 / SUMIFS('📅 Resumen Diario'!$D$5:$D$504, '📅 Resumen Diario'!$B$5:$B$504, B2553, '📅 Resumen Diario'!$C$5:$C$504, D2553) * (SUMIFS('📋 Detalle Diario'!$E$5:$E$489, '📋 Detalle Diario'!$B$5:$B$489, B2553, '📋 Detalle Diario'!$C$5:$C$489, D2553) * 135 + SUMIFS('📋 Detalle Diario'!$I$5:$I$489, '📋 Detalle Diario'!$B$5:$B$489, B2553, '📋 Detalle Diario'!$C$5:$C$489, D2553) * 200), 0))</f>
        <v/>
      </c>
      <c r="P2553" s="32" t="str">
        <f t="shared" si="278"/>
        <v/>
      </c>
      <c r="Q2553" s="33" t="str">
        <f t="shared" si="279"/>
        <v/>
      </c>
    </row>
    <row r="2554" spans="2:17" ht="18" customHeight="1" x14ac:dyDescent="0.3">
      <c r="B2554" s="26"/>
      <c r="C2554" s="17"/>
      <c r="D2554" s="27"/>
      <c r="E2554" s="18"/>
      <c r="F2554" s="18"/>
      <c r="G2554" s="18"/>
      <c r="H2554" s="30" t="str">
        <f t="shared" si="273"/>
        <v/>
      </c>
      <c r="I2554" s="31" t="str">
        <f>IF(OR(B2554="",C2554=""),"",IFERROR(E2554*IF(E2554="",0,VLOOKUP(C2554,'📦 Precios Proforma'!$B$5:$D$104,IF(D2554="DIA",2,3),FALSE)),0))</f>
        <v/>
      </c>
      <c r="J2554" s="31" t="str">
        <f t="shared" si="274"/>
        <v/>
      </c>
      <c r="K2554" s="31" t="str">
        <f t="shared" si="275"/>
        <v/>
      </c>
      <c r="L2554" s="31" t="str">
        <f>IF(OR(B2554="",C2554=""),"",IFERROR(E2554 / SUMIFS('📅 Resumen Diario'!$D$5:$D$504, '📅 Resumen Diario'!$B$5:$B$504, B2554, '📅 Resumen Diario'!$C$5:$C$504, D2554) * SUMIFS('📅 Resumen Diario'!$K$5:$K$504, '📅 Resumen Diario'!$B$5:$B$504, B2554, '📅 Resumen Diario'!$C$5:$C$504, D2554), 0))</f>
        <v/>
      </c>
      <c r="M2554" s="31" t="str">
        <f t="shared" si="276"/>
        <v/>
      </c>
      <c r="N2554" s="31" t="str">
        <f t="shared" si="277"/>
        <v/>
      </c>
      <c r="O2554" s="31" t="str">
        <f>IF(OR(B2554="",C2554=""),"",K2554-N2554 + IFERROR(E2554 / SUMIFS('📅 Resumen Diario'!$D$5:$D$504, '📅 Resumen Diario'!$B$5:$B$504, B2554, '📅 Resumen Diario'!$C$5:$C$504, D2554) * (SUMIFS('📋 Detalle Diario'!$E$5:$E$489, '📋 Detalle Diario'!$B$5:$B$489, B2554, '📋 Detalle Diario'!$C$5:$C$489, D2554) * 135 + SUMIFS('📋 Detalle Diario'!$I$5:$I$489, '📋 Detalle Diario'!$B$5:$B$489, B2554, '📋 Detalle Diario'!$C$5:$C$489, D2554) * 200), 0))</f>
        <v/>
      </c>
      <c r="P2554" s="32" t="str">
        <f t="shared" si="278"/>
        <v/>
      </c>
      <c r="Q2554" s="33" t="str">
        <f t="shared" si="279"/>
        <v/>
      </c>
    </row>
    <row r="2555" spans="2:17" ht="18" customHeight="1" x14ac:dyDescent="0.3">
      <c r="B2555" s="26"/>
      <c r="C2555" s="28"/>
      <c r="D2555" s="27"/>
      <c r="E2555" s="29"/>
      <c r="F2555" s="29"/>
      <c r="G2555" s="29"/>
      <c r="H2555" s="30" t="str">
        <f t="shared" si="273"/>
        <v/>
      </c>
      <c r="I2555" s="31" t="str">
        <f>IF(OR(B2555="",C2555=""),"",IFERROR(E2555*IF(E2555="",0,VLOOKUP(C2555,'📦 Precios Proforma'!$B$5:$D$104,IF(D2555="DIA",2,3),FALSE)),0))</f>
        <v/>
      </c>
      <c r="J2555" s="31" t="str">
        <f t="shared" si="274"/>
        <v/>
      </c>
      <c r="K2555" s="31" t="str">
        <f t="shared" si="275"/>
        <v/>
      </c>
      <c r="L2555" s="31" t="str">
        <f>IF(OR(B2555="",C2555=""),"",IFERROR(E2555 / SUMIFS('📅 Resumen Diario'!$D$5:$D$504, '📅 Resumen Diario'!$B$5:$B$504, B2555, '📅 Resumen Diario'!$C$5:$C$504, D2555) * SUMIFS('📅 Resumen Diario'!$K$5:$K$504, '📅 Resumen Diario'!$B$5:$B$504, B2555, '📅 Resumen Diario'!$C$5:$C$504, D2555), 0))</f>
        <v/>
      </c>
      <c r="M2555" s="31" t="str">
        <f t="shared" si="276"/>
        <v/>
      </c>
      <c r="N2555" s="31" t="str">
        <f t="shared" si="277"/>
        <v/>
      </c>
      <c r="O2555" s="31" t="str">
        <f>IF(OR(B2555="",C2555=""),"",K2555-N2555 + IFERROR(E2555 / SUMIFS('📅 Resumen Diario'!$D$5:$D$504, '📅 Resumen Diario'!$B$5:$B$504, B2555, '📅 Resumen Diario'!$C$5:$C$504, D2555) * (SUMIFS('📋 Detalle Diario'!$E$5:$E$489, '📋 Detalle Diario'!$B$5:$B$489, B2555, '📋 Detalle Diario'!$C$5:$C$489, D2555) * 135 + SUMIFS('📋 Detalle Diario'!$I$5:$I$489, '📋 Detalle Diario'!$B$5:$B$489, B2555, '📋 Detalle Diario'!$C$5:$C$489, D2555) * 200), 0))</f>
        <v/>
      </c>
      <c r="P2555" s="32" t="str">
        <f t="shared" si="278"/>
        <v/>
      </c>
      <c r="Q2555" s="33" t="str">
        <f t="shared" si="279"/>
        <v/>
      </c>
    </row>
    <row r="2556" spans="2:17" ht="18" customHeight="1" x14ac:dyDescent="0.3">
      <c r="B2556" s="26"/>
      <c r="C2556" s="17"/>
      <c r="D2556" s="27"/>
      <c r="E2556" s="18"/>
      <c r="F2556" s="18"/>
      <c r="G2556" s="18"/>
      <c r="H2556" s="30" t="str">
        <f t="shared" si="273"/>
        <v/>
      </c>
      <c r="I2556" s="31" t="str">
        <f>IF(OR(B2556="",C2556=""),"",IFERROR(E2556*IF(E2556="",0,VLOOKUP(C2556,'📦 Precios Proforma'!$B$5:$D$104,IF(D2556="DIA",2,3),FALSE)),0))</f>
        <v/>
      </c>
      <c r="J2556" s="31" t="str">
        <f t="shared" si="274"/>
        <v/>
      </c>
      <c r="K2556" s="31" t="str">
        <f t="shared" si="275"/>
        <v/>
      </c>
      <c r="L2556" s="31" t="str">
        <f>IF(OR(B2556="",C2556=""),"",IFERROR(E2556 / SUMIFS('📅 Resumen Diario'!$D$5:$D$504, '📅 Resumen Diario'!$B$5:$B$504, B2556, '📅 Resumen Diario'!$C$5:$C$504, D2556) * SUMIFS('📅 Resumen Diario'!$K$5:$K$504, '📅 Resumen Diario'!$B$5:$B$504, B2556, '📅 Resumen Diario'!$C$5:$C$504, D2556), 0))</f>
        <v/>
      </c>
      <c r="M2556" s="31" t="str">
        <f t="shared" si="276"/>
        <v/>
      </c>
      <c r="N2556" s="31" t="str">
        <f t="shared" si="277"/>
        <v/>
      </c>
      <c r="O2556" s="31" t="str">
        <f>IF(OR(B2556="",C2556=""),"",K2556-N2556 + IFERROR(E2556 / SUMIFS('📅 Resumen Diario'!$D$5:$D$504, '📅 Resumen Diario'!$B$5:$B$504, B2556, '📅 Resumen Diario'!$C$5:$C$504, D2556) * (SUMIFS('📋 Detalle Diario'!$E$5:$E$489, '📋 Detalle Diario'!$B$5:$B$489, B2556, '📋 Detalle Diario'!$C$5:$C$489, D2556) * 135 + SUMIFS('📋 Detalle Diario'!$I$5:$I$489, '📋 Detalle Diario'!$B$5:$B$489, B2556, '📋 Detalle Diario'!$C$5:$C$489, D2556) * 200), 0))</f>
        <v/>
      </c>
      <c r="P2556" s="32" t="str">
        <f t="shared" si="278"/>
        <v/>
      </c>
      <c r="Q2556" s="33" t="str">
        <f t="shared" si="279"/>
        <v/>
      </c>
    </row>
    <row r="2557" spans="2:17" ht="18" customHeight="1" x14ac:dyDescent="0.3">
      <c r="B2557" s="26"/>
      <c r="C2557" s="28"/>
      <c r="D2557" s="27"/>
      <c r="E2557" s="29"/>
      <c r="F2557" s="29"/>
      <c r="G2557" s="29"/>
      <c r="H2557" s="30" t="str">
        <f t="shared" si="273"/>
        <v/>
      </c>
      <c r="I2557" s="31" t="str">
        <f>IF(OR(B2557="",C2557=""),"",IFERROR(E2557*IF(E2557="",0,VLOOKUP(C2557,'📦 Precios Proforma'!$B$5:$D$104,IF(D2557="DIA",2,3),FALSE)),0))</f>
        <v/>
      </c>
      <c r="J2557" s="31" t="str">
        <f t="shared" si="274"/>
        <v/>
      </c>
      <c r="K2557" s="31" t="str">
        <f t="shared" si="275"/>
        <v/>
      </c>
      <c r="L2557" s="31" t="str">
        <f>IF(OR(B2557="",C2557=""),"",IFERROR(E2557 / SUMIFS('📅 Resumen Diario'!$D$5:$D$504, '📅 Resumen Diario'!$B$5:$B$504, B2557, '📅 Resumen Diario'!$C$5:$C$504, D2557) * SUMIFS('📅 Resumen Diario'!$K$5:$K$504, '📅 Resumen Diario'!$B$5:$B$504, B2557, '📅 Resumen Diario'!$C$5:$C$504, D2557), 0))</f>
        <v/>
      </c>
      <c r="M2557" s="31" t="str">
        <f t="shared" si="276"/>
        <v/>
      </c>
      <c r="N2557" s="31" t="str">
        <f t="shared" si="277"/>
        <v/>
      </c>
      <c r="O2557" s="31" t="str">
        <f>IF(OR(B2557="",C2557=""),"",K2557-N2557 + IFERROR(E2557 / SUMIFS('📅 Resumen Diario'!$D$5:$D$504, '📅 Resumen Diario'!$B$5:$B$504, B2557, '📅 Resumen Diario'!$C$5:$C$504, D2557) * (SUMIFS('📋 Detalle Diario'!$E$5:$E$489, '📋 Detalle Diario'!$B$5:$B$489, B2557, '📋 Detalle Diario'!$C$5:$C$489, D2557) * 135 + SUMIFS('📋 Detalle Diario'!$I$5:$I$489, '📋 Detalle Diario'!$B$5:$B$489, B2557, '📋 Detalle Diario'!$C$5:$C$489, D2557) * 200), 0))</f>
        <v/>
      </c>
      <c r="P2557" s="32" t="str">
        <f t="shared" si="278"/>
        <v/>
      </c>
      <c r="Q2557" s="33" t="str">
        <f t="shared" si="279"/>
        <v/>
      </c>
    </row>
    <row r="2558" spans="2:17" ht="18" customHeight="1" x14ac:dyDescent="0.3">
      <c r="B2558" s="26"/>
      <c r="C2558" s="17"/>
      <c r="D2558" s="27"/>
      <c r="E2558" s="18"/>
      <c r="F2558" s="18"/>
      <c r="G2558" s="18"/>
      <c r="H2558" s="30" t="str">
        <f t="shared" si="273"/>
        <v/>
      </c>
      <c r="I2558" s="31" t="str">
        <f>IF(OR(B2558="",C2558=""),"",IFERROR(E2558*IF(E2558="",0,VLOOKUP(C2558,'📦 Precios Proforma'!$B$5:$D$104,IF(D2558="DIA",2,3),FALSE)),0))</f>
        <v/>
      </c>
      <c r="J2558" s="31" t="str">
        <f t="shared" si="274"/>
        <v/>
      </c>
      <c r="K2558" s="31" t="str">
        <f t="shared" si="275"/>
        <v/>
      </c>
      <c r="L2558" s="31" t="str">
        <f>IF(OR(B2558="",C2558=""),"",IFERROR(E2558 / SUMIFS('📅 Resumen Diario'!$D$5:$D$504, '📅 Resumen Diario'!$B$5:$B$504, B2558, '📅 Resumen Diario'!$C$5:$C$504, D2558) * SUMIFS('📅 Resumen Diario'!$K$5:$K$504, '📅 Resumen Diario'!$B$5:$B$504, B2558, '📅 Resumen Diario'!$C$5:$C$504, D2558), 0))</f>
        <v/>
      </c>
      <c r="M2558" s="31" t="str">
        <f t="shared" si="276"/>
        <v/>
      </c>
      <c r="N2558" s="31" t="str">
        <f t="shared" si="277"/>
        <v/>
      </c>
      <c r="O2558" s="31" t="str">
        <f>IF(OR(B2558="",C2558=""),"",K2558-N2558 + IFERROR(E2558 / SUMIFS('📅 Resumen Diario'!$D$5:$D$504, '📅 Resumen Diario'!$B$5:$B$504, B2558, '📅 Resumen Diario'!$C$5:$C$504, D2558) * (SUMIFS('📋 Detalle Diario'!$E$5:$E$489, '📋 Detalle Diario'!$B$5:$B$489, B2558, '📋 Detalle Diario'!$C$5:$C$489, D2558) * 135 + SUMIFS('📋 Detalle Diario'!$I$5:$I$489, '📋 Detalle Diario'!$B$5:$B$489, B2558, '📋 Detalle Diario'!$C$5:$C$489, D2558) * 200), 0))</f>
        <v/>
      </c>
      <c r="P2558" s="32" t="str">
        <f t="shared" si="278"/>
        <v/>
      </c>
      <c r="Q2558" s="33" t="str">
        <f t="shared" si="279"/>
        <v/>
      </c>
    </row>
    <row r="2559" spans="2:17" ht="18" customHeight="1" x14ac:dyDescent="0.3">
      <c r="B2559" s="26"/>
      <c r="C2559" s="28"/>
      <c r="D2559" s="27"/>
      <c r="E2559" s="29"/>
      <c r="F2559" s="29"/>
      <c r="G2559" s="29"/>
      <c r="H2559" s="30" t="str">
        <f t="shared" si="273"/>
        <v/>
      </c>
      <c r="I2559" s="31" t="str">
        <f>IF(OR(B2559="",C2559=""),"",IFERROR(E2559*IF(E2559="",0,VLOOKUP(C2559,'📦 Precios Proforma'!$B$5:$D$104,IF(D2559="DIA",2,3),FALSE)),0))</f>
        <v/>
      </c>
      <c r="J2559" s="31" t="str">
        <f t="shared" si="274"/>
        <v/>
      </c>
      <c r="K2559" s="31" t="str">
        <f t="shared" si="275"/>
        <v/>
      </c>
      <c r="L2559" s="31" t="str">
        <f>IF(OR(B2559="",C2559=""),"",IFERROR(E2559 / SUMIFS('📅 Resumen Diario'!$D$5:$D$504, '📅 Resumen Diario'!$B$5:$B$504, B2559, '📅 Resumen Diario'!$C$5:$C$504, D2559) * SUMIFS('📅 Resumen Diario'!$K$5:$K$504, '📅 Resumen Diario'!$B$5:$B$504, B2559, '📅 Resumen Diario'!$C$5:$C$504, D2559), 0))</f>
        <v/>
      </c>
      <c r="M2559" s="31" t="str">
        <f t="shared" si="276"/>
        <v/>
      </c>
      <c r="N2559" s="31" t="str">
        <f t="shared" si="277"/>
        <v/>
      </c>
      <c r="O2559" s="31" t="str">
        <f>IF(OR(B2559="",C2559=""),"",K2559-N2559 + IFERROR(E2559 / SUMIFS('📅 Resumen Diario'!$D$5:$D$504, '📅 Resumen Diario'!$B$5:$B$504, B2559, '📅 Resumen Diario'!$C$5:$C$504, D2559) * (SUMIFS('📋 Detalle Diario'!$E$5:$E$489, '📋 Detalle Diario'!$B$5:$B$489, B2559, '📋 Detalle Diario'!$C$5:$C$489, D2559) * 135 + SUMIFS('📋 Detalle Diario'!$I$5:$I$489, '📋 Detalle Diario'!$B$5:$B$489, B2559, '📋 Detalle Diario'!$C$5:$C$489, D2559) * 200), 0))</f>
        <v/>
      </c>
      <c r="P2559" s="32" t="str">
        <f t="shared" si="278"/>
        <v/>
      </c>
      <c r="Q2559" s="33" t="str">
        <f t="shared" si="279"/>
        <v/>
      </c>
    </row>
    <row r="2560" spans="2:17" ht="18" customHeight="1" x14ac:dyDescent="0.3">
      <c r="B2560" s="26"/>
      <c r="C2560" s="17"/>
      <c r="D2560" s="27"/>
      <c r="E2560" s="18"/>
      <c r="F2560" s="18"/>
      <c r="G2560" s="18"/>
      <c r="H2560" s="30" t="str">
        <f t="shared" si="273"/>
        <v/>
      </c>
      <c r="I2560" s="31" t="str">
        <f>IF(OR(B2560="",C2560=""),"",IFERROR(E2560*IF(E2560="",0,VLOOKUP(C2560,'📦 Precios Proforma'!$B$5:$D$104,IF(D2560="DIA",2,3),FALSE)),0))</f>
        <v/>
      </c>
      <c r="J2560" s="31" t="str">
        <f t="shared" si="274"/>
        <v/>
      </c>
      <c r="K2560" s="31" t="str">
        <f t="shared" si="275"/>
        <v/>
      </c>
      <c r="L2560" s="31" t="str">
        <f>IF(OR(B2560="",C2560=""),"",IFERROR(E2560 / SUMIFS('📅 Resumen Diario'!$D$5:$D$504, '📅 Resumen Diario'!$B$5:$B$504, B2560, '📅 Resumen Diario'!$C$5:$C$504, D2560) * SUMIFS('📅 Resumen Diario'!$K$5:$K$504, '📅 Resumen Diario'!$B$5:$B$504, B2560, '📅 Resumen Diario'!$C$5:$C$504, D2560), 0))</f>
        <v/>
      </c>
      <c r="M2560" s="31" t="str">
        <f t="shared" si="276"/>
        <v/>
      </c>
      <c r="N2560" s="31" t="str">
        <f t="shared" si="277"/>
        <v/>
      </c>
      <c r="O2560" s="31" t="str">
        <f>IF(OR(B2560="",C2560=""),"",K2560-N2560 + IFERROR(E2560 / SUMIFS('📅 Resumen Diario'!$D$5:$D$504, '📅 Resumen Diario'!$B$5:$B$504, B2560, '📅 Resumen Diario'!$C$5:$C$504, D2560) * (SUMIFS('📋 Detalle Diario'!$E$5:$E$489, '📋 Detalle Diario'!$B$5:$B$489, B2560, '📋 Detalle Diario'!$C$5:$C$489, D2560) * 135 + SUMIFS('📋 Detalle Diario'!$I$5:$I$489, '📋 Detalle Diario'!$B$5:$B$489, B2560, '📋 Detalle Diario'!$C$5:$C$489, D2560) * 200), 0))</f>
        <v/>
      </c>
      <c r="P2560" s="32" t="str">
        <f t="shared" si="278"/>
        <v/>
      </c>
      <c r="Q2560" s="33" t="str">
        <f t="shared" si="279"/>
        <v/>
      </c>
    </row>
    <row r="2561" spans="2:17" ht="18" customHeight="1" x14ac:dyDescent="0.3">
      <c r="B2561" s="26"/>
      <c r="C2561" s="28"/>
      <c r="D2561" s="27"/>
      <c r="E2561" s="29"/>
      <c r="F2561" s="29"/>
      <c r="G2561" s="29"/>
      <c r="H2561" s="30" t="str">
        <f t="shared" si="273"/>
        <v/>
      </c>
      <c r="I2561" s="31" t="str">
        <f>IF(OR(B2561="",C2561=""),"",IFERROR(E2561*IF(E2561="",0,VLOOKUP(C2561,'📦 Precios Proforma'!$B$5:$D$104,IF(D2561="DIA",2,3),FALSE)),0))</f>
        <v/>
      </c>
      <c r="J2561" s="31" t="str">
        <f t="shared" si="274"/>
        <v/>
      </c>
      <c r="K2561" s="31" t="str">
        <f t="shared" si="275"/>
        <v/>
      </c>
      <c r="L2561" s="31" t="str">
        <f>IF(OR(B2561="",C2561=""),"",IFERROR(E2561 / SUMIFS('📅 Resumen Diario'!$D$5:$D$504, '📅 Resumen Diario'!$B$5:$B$504, B2561, '📅 Resumen Diario'!$C$5:$C$504, D2561) * SUMIFS('📅 Resumen Diario'!$K$5:$K$504, '📅 Resumen Diario'!$B$5:$B$504, B2561, '📅 Resumen Diario'!$C$5:$C$504, D2561), 0))</f>
        <v/>
      </c>
      <c r="M2561" s="31" t="str">
        <f t="shared" si="276"/>
        <v/>
      </c>
      <c r="N2561" s="31" t="str">
        <f t="shared" si="277"/>
        <v/>
      </c>
      <c r="O2561" s="31" t="str">
        <f>IF(OR(B2561="",C2561=""),"",K2561-N2561 + IFERROR(E2561 / SUMIFS('📅 Resumen Diario'!$D$5:$D$504, '📅 Resumen Diario'!$B$5:$B$504, B2561, '📅 Resumen Diario'!$C$5:$C$504, D2561) * (SUMIFS('📋 Detalle Diario'!$E$5:$E$489, '📋 Detalle Diario'!$B$5:$B$489, B2561, '📋 Detalle Diario'!$C$5:$C$489, D2561) * 135 + SUMIFS('📋 Detalle Diario'!$I$5:$I$489, '📋 Detalle Diario'!$B$5:$B$489, B2561, '📋 Detalle Diario'!$C$5:$C$489, D2561) * 200), 0))</f>
        <v/>
      </c>
      <c r="P2561" s="32" t="str">
        <f t="shared" si="278"/>
        <v/>
      </c>
      <c r="Q2561" s="33" t="str">
        <f t="shared" si="279"/>
        <v/>
      </c>
    </row>
    <row r="2562" spans="2:17" ht="18" customHeight="1" x14ac:dyDescent="0.3">
      <c r="B2562" s="26"/>
      <c r="C2562" s="17"/>
      <c r="D2562" s="27"/>
      <c r="E2562" s="18"/>
      <c r="F2562" s="18"/>
      <c r="G2562" s="18"/>
      <c r="H2562" s="30" t="str">
        <f t="shared" si="273"/>
        <v/>
      </c>
      <c r="I2562" s="31" t="str">
        <f>IF(OR(B2562="",C2562=""),"",IFERROR(E2562*IF(E2562="",0,VLOOKUP(C2562,'📦 Precios Proforma'!$B$5:$D$104,IF(D2562="DIA",2,3),FALSE)),0))</f>
        <v/>
      </c>
      <c r="J2562" s="31" t="str">
        <f t="shared" si="274"/>
        <v/>
      </c>
      <c r="K2562" s="31" t="str">
        <f t="shared" si="275"/>
        <v/>
      </c>
      <c r="L2562" s="31" t="str">
        <f>IF(OR(B2562="",C2562=""),"",IFERROR(E2562 / SUMIFS('📅 Resumen Diario'!$D$5:$D$504, '📅 Resumen Diario'!$B$5:$B$504, B2562, '📅 Resumen Diario'!$C$5:$C$504, D2562) * SUMIFS('📅 Resumen Diario'!$K$5:$K$504, '📅 Resumen Diario'!$B$5:$B$504, B2562, '📅 Resumen Diario'!$C$5:$C$504, D2562), 0))</f>
        <v/>
      </c>
      <c r="M2562" s="31" t="str">
        <f t="shared" si="276"/>
        <v/>
      </c>
      <c r="N2562" s="31" t="str">
        <f t="shared" si="277"/>
        <v/>
      </c>
      <c r="O2562" s="31" t="str">
        <f>IF(OR(B2562="",C2562=""),"",K2562-N2562 + IFERROR(E2562 / SUMIFS('📅 Resumen Diario'!$D$5:$D$504, '📅 Resumen Diario'!$B$5:$B$504, B2562, '📅 Resumen Diario'!$C$5:$C$504, D2562) * (SUMIFS('📋 Detalle Diario'!$E$5:$E$489, '📋 Detalle Diario'!$B$5:$B$489, B2562, '📋 Detalle Diario'!$C$5:$C$489, D2562) * 135 + SUMIFS('📋 Detalle Diario'!$I$5:$I$489, '📋 Detalle Diario'!$B$5:$B$489, B2562, '📋 Detalle Diario'!$C$5:$C$489, D2562) * 200), 0))</f>
        <v/>
      </c>
      <c r="P2562" s="32" t="str">
        <f t="shared" si="278"/>
        <v/>
      </c>
      <c r="Q2562" s="33" t="str">
        <f t="shared" si="279"/>
        <v/>
      </c>
    </row>
    <row r="2563" spans="2:17" ht="18" customHeight="1" x14ac:dyDescent="0.3">
      <c r="B2563" s="26"/>
      <c r="C2563" s="28"/>
      <c r="D2563" s="27"/>
      <c r="E2563" s="29"/>
      <c r="F2563" s="29"/>
      <c r="G2563" s="29"/>
      <c r="H2563" s="30" t="str">
        <f t="shared" si="273"/>
        <v/>
      </c>
      <c r="I2563" s="31" t="str">
        <f>IF(OR(B2563="",C2563=""),"",IFERROR(E2563*IF(E2563="",0,VLOOKUP(C2563,'📦 Precios Proforma'!$B$5:$D$104,IF(D2563="DIA",2,3),FALSE)),0))</f>
        <v/>
      </c>
      <c r="J2563" s="31" t="str">
        <f t="shared" si="274"/>
        <v/>
      </c>
      <c r="K2563" s="31" t="str">
        <f t="shared" si="275"/>
        <v/>
      </c>
      <c r="L2563" s="31" t="str">
        <f>IF(OR(B2563="",C2563=""),"",IFERROR(E2563 / SUMIFS('📅 Resumen Diario'!$D$5:$D$504, '📅 Resumen Diario'!$B$5:$B$504, B2563, '📅 Resumen Diario'!$C$5:$C$504, D2563) * SUMIFS('📅 Resumen Diario'!$K$5:$K$504, '📅 Resumen Diario'!$B$5:$B$504, B2563, '📅 Resumen Diario'!$C$5:$C$504, D2563), 0))</f>
        <v/>
      </c>
      <c r="M2563" s="31" t="str">
        <f t="shared" si="276"/>
        <v/>
      </c>
      <c r="N2563" s="31" t="str">
        <f t="shared" si="277"/>
        <v/>
      </c>
      <c r="O2563" s="31" t="str">
        <f>IF(OR(B2563="",C2563=""),"",K2563-N2563 + IFERROR(E2563 / SUMIFS('📅 Resumen Diario'!$D$5:$D$504, '📅 Resumen Diario'!$B$5:$B$504, B2563, '📅 Resumen Diario'!$C$5:$C$504, D2563) * (SUMIFS('📋 Detalle Diario'!$E$5:$E$489, '📋 Detalle Diario'!$B$5:$B$489, B2563, '📋 Detalle Diario'!$C$5:$C$489, D2563) * 135 + SUMIFS('📋 Detalle Diario'!$I$5:$I$489, '📋 Detalle Diario'!$B$5:$B$489, B2563, '📋 Detalle Diario'!$C$5:$C$489, D2563) * 200), 0))</f>
        <v/>
      </c>
      <c r="P2563" s="32" t="str">
        <f t="shared" si="278"/>
        <v/>
      </c>
      <c r="Q2563" s="33" t="str">
        <f t="shared" si="279"/>
        <v/>
      </c>
    </row>
    <row r="2564" spans="2:17" ht="18" customHeight="1" x14ac:dyDescent="0.3">
      <c r="B2564" s="26"/>
      <c r="C2564" s="17"/>
      <c r="D2564" s="27"/>
      <c r="E2564" s="18"/>
      <c r="F2564" s="18"/>
      <c r="G2564" s="18"/>
      <c r="H2564" s="30" t="str">
        <f t="shared" si="273"/>
        <v/>
      </c>
      <c r="I2564" s="31" t="str">
        <f>IF(OR(B2564="",C2564=""),"",IFERROR(E2564*IF(E2564="",0,VLOOKUP(C2564,'📦 Precios Proforma'!$B$5:$D$104,IF(D2564="DIA",2,3),FALSE)),0))</f>
        <v/>
      </c>
      <c r="J2564" s="31" t="str">
        <f t="shared" si="274"/>
        <v/>
      </c>
      <c r="K2564" s="31" t="str">
        <f t="shared" si="275"/>
        <v/>
      </c>
      <c r="L2564" s="31" t="str">
        <f>IF(OR(B2564="",C2564=""),"",IFERROR(E2564 / SUMIFS('📅 Resumen Diario'!$D$5:$D$504, '📅 Resumen Diario'!$B$5:$B$504, B2564, '📅 Resumen Diario'!$C$5:$C$504, D2564) * SUMIFS('📅 Resumen Diario'!$K$5:$K$504, '📅 Resumen Diario'!$B$5:$B$504, B2564, '📅 Resumen Diario'!$C$5:$C$504, D2564), 0))</f>
        <v/>
      </c>
      <c r="M2564" s="31" t="str">
        <f t="shared" si="276"/>
        <v/>
      </c>
      <c r="N2564" s="31" t="str">
        <f t="shared" si="277"/>
        <v/>
      </c>
      <c r="O2564" s="31" t="str">
        <f>IF(OR(B2564="",C2564=""),"",K2564-N2564 + IFERROR(E2564 / SUMIFS('📅 Resumen Diario'!$D$5:$D$504, '📅 Resumen Diario'!$B$5:$B$504, B2564, '📅 Resumen Diario'!$C$5:$C$504, D2564) * (SUMIFS('📋 Detalle Diario'!$E$5:$E$489, '📋 Detalle Diario'!$B$5:$B$489, B2564, '📋 Detalle Diario'!$C$5:$C$489, D2564) * 135 + SUMIFS('📋 Detalle Diario'!$I$5:$I$489, '📋 Detalle Diario'!$B$5:$B$489, B2564, '📋 Detalle Diario'!$C$5:$C$489, D2564) * 200), 0))</f>
        <v/>
      </c>
      <c r="P2564" s="32" t="str">
        <f t="shared" si="278"/>
        <v/>
      </c>
      <c r="Q2564" s="33" t="str">
        <f t="shared" si="279"/>
        <v/>
      </c>
    </row>
    <row r="2565" spans="2:17" ht="18" customHeight="1" x14ac:dyDescent="0.3">
      <c r="B2565" s="26"/>
      <c r="C2565" s="28"/>
      <c r="D2565" s="27"/>
      <c r="E2565" s="29"/>
      <c r="F2565" s="29"/>
      <c r="G2565" s="29"/>
      <c r="H2565" s="30" t="str">
        <f t="shared" si="273"/>
        <v/>
      </c>
      <c r="I2565" s="31" t="str">
        <f>IF(OR(B2565="",C2565=""),"",IFERROR(E2565*IF(E2565="",0,VLOOKUP(C2565,'📦 Precios Proforma'!$B$5:$D$104,IF(D2565="DIA",2,3),FALSE)),0))</f>
        <v/>
      </c>
      <c r="J2565" s="31" t="str">
        <f t="shared" si="274"/>
        <v/>
      </c>
      <c r="K2565" s="31" t="str">
        <f t="shared" si="275"/>
        <v/>
      </c>
      <c r="L2565" s="31" t="str">
        <f>IF(OR(B2565="",C2565=""),"",IFERROR(E2565 / SUMIFS('📅 Resumen Diario'!$D$5:$D$504, '📅 Resumen Diario'!$B$5:$B$504, B2565, '📅 Resumen Diario'!$C$5:$C$504, D2565) * SUMIFS('📅 Resumen Diario'!$K$5:$K$504, '📅 Resumen Diario'!$B$5:$B$504, B2565, '📅 Resumen Diario'!$C$5:$C$504, D2565), 0))</f>
        <v/>
      </c>
      <c r="M2565" s="31" t="str">
        <f t="shared" si="276"/>
        <v/>
      </c>
      <c r="N2565" s="31" t="str">
        <f t="shared" si="277"/>
        <v/>
      </c>
      <c r="O2565" s="31" t="str">
        <f>IF(OR(B2565="",C2565=""),"",K2565-N2565 + IFERROR(E2565 / SUMIFS('📅 Resumen Diario'!$D$5:$D$504, '📅 Resumen Diario'!$B$5:$B$504, B2565, '📅 Resumen Diario'!$C$5:$C$504, D2565) * (SUMIFS('📋 Detalle Diario'!$E$5:$E$489, '📋 Detalle Diario'!$B$5:$B$489, B2565, '📋 Detalle Diario'!$C$5:$C$489, D2565) * 135 + SUMIFS('📋 Detalle Diario'!$I$5:$I$489, '📋 Detalle Diario'!$B$5:$B$489, B2565, '📋 Detalle Diario'!$C$5:$C$489, D2565) * 200), 0))</f>
        <v/>
      </c>
      <c r="P2565" s="32" t="str">
        <f t="shared" si="278"/>
        <v/>
      </c>
      <c r="Q2565" s="33" t="str">
        <f t="shared" si="279"/>
        <v/>
      </c>
    </row>
    <row r="2566" spans="2:17" ht="18" customHeight="1" x14ac:dyDescent="0.3">
      <c r="B2566" s="26"/>
      <c r="C2566" s="17"/>
      <c r="D2566" s="27"/>
      <c r="E2566" s="18"/>
      <c r="F2566" s="18"/>
      <c r="G2566" s="18"/>
      <c r="H2566" s="30" t="str">
        <f t="shared" si="273"/>
        <v/>
      </c>
      <c r="I2566" s="31" t="str">
        <f>IF(OR(B2566="",C2566=""),"",IFERROR(E2566*IF(E2566="",0,VLOOKUP(C2566,'📦 Precios Proforma'!$B$5:$D$104,IF(D2566="DIA",2,3),FALSE)),0))</f>
        <v/>
      </c>
      <c r="J2566" s="31" t="str">
        <f t="shared" si="274"/>
        <v/>
      </c>
      <c r="K2566" s="31" t="str">
        <f t="shared" si="275"/>
        <v/>
      </c>
      <c r="L2566" s="31" t="str">
        <f>IF(OR(B2566="",C2566=""),"",IFERROR(E2566 / SUMIFS('📅 Resumen Diario'!$D$5:$D$504, '📅 Resumen Diario'!$B$5:$B$504, B2566, '📅 Resumen Diario'!$C$5:$C$504, D2566) * SUMIFS('📅 Resumen Diario'!$K$5:$K$504, '📅 Resumen Diario'!$B$5:$B$504, B2566, '📅 Resumen Diario'!$C$5:$C$504, D2566), 0))</f>
        <v/>
      </c>
      <c r="M2566" s="31" t="str">
        <f t="shared" si="276"/>
        <v/>
      </c>
      <c r="N2566" s="31" t="str">
        <f t="shared" si="277"/>
        <v/>
      </c>
      <c r="O2566" s="31" t="str">
        <f>IF(OR(B2566="",C2566=""),"",K2566-N2566 + IFERROR(E2566 / SUMIFS('📅 Resumen Diario'!$D$5:$D$504, '📅 Resumen Diario'!$B$5:$B$504, B2566, '📅 Resumen Diario'!$C$5:$C$504, D2566) * (SUMIFS('📋 Detalle Diario'!$E$5:$E$489, '📋 Detalle Diario'!$B$5:$B$489, B2566, '📋 Detalle Diario'!$C$5:$C$489, D2566) * 135 + SUMIFS('📋 Detalle Diario'!$I$5:$I$489, '📋 Detalle Diario'!$B$5:$B$489, B2566, '📋 Detalle Diario'!$C$5:$C$489, D2566) * 200), 0))</f>
        <v/>
      </c>
      <c r="P2566" s="32" t="str">
        <f t="shared" si="278"/>
        <v/>
      </c>
      <c r="Q2566" s="33" t="str">
        <f t="shared" si="279"/>
        <v/>
      </c>
    </row>
    <row r="2567" spans="2:17" ht="18" customHeight="1" x14ac:dyDescent="0.3">
      <c r="B2567" s="26"/>
      <c r="C2567" s="28"/>
      <c r="D2567" s="27"/>
      <c r="E2567" s="29"/>
      <c r="F2567" s="29"/>
      <c r="G2567" s="29"/>
      <c r="H2567" s="30" t="str">
        <f t="shared" ref="H2567:H2630" si="280">IF(OR(B2567="",C2567=""),"",F2567+G2567)</f>
        <v/>
      </c>
      <c r="I2567" s="31" t="str">
        <f>IF(OR(B2567="",C2567=""),"",IFERROR(E2567*IF(E2567="",0,VLOOKUP(C2567,'📦 Precios Proforma'!$B$5:$D$104,IF(D2567="DIA",2,3),FALSE)),0))</f>
        <v/>
      </c>
      <c r="J2567" s="31" t="str">
        <f t="shared" ref="J2567:J2630" si="281">IF(OR(B2567="",C2567=""),"",IF(D2567="DIA",H2567*1.01,H2567*1.35))</f>
        <v/>
      </c>
      <c r="K2567" s="31" t="str">
        <f t="shared" ref="K2567:K2630" si="282">IF(OR(B2567="",C2567=""),"",I2567+J2567)</f>
        <v/>
      </c>
      <c r="L2567" s="31" t="str">
        <f>IF(OR(B2567="",C2567=""),"",IFERROR(E2567 / SUMIFS('📅 Resumen Diario'!$D$5:$D$504, '📅 Resumen Diario'!$B$5:$B$504, B2567, '📅 Resumen Diario'!$C$5:$C$504, D2567) * SUMIFS('📅 Resumen Diario'!$K$5:$K$504, '📅 Resumen Diario'!$B$5:$B$504, B2567, '📅 Resumen Diario'!$C$5:$C$504, D2567), 0))</f>
        <v/>
      </c>
      <c r="M2567" s="31" t="str">
        <f t="shared" ref="M2567:M2630" si="283">IF(OR(B2567="",C2567=""),"",H2567*0.09)</f>
        <v/>
      </c>
      <c r="N2567" s="31" t="str">
        <f t="shared" ref="N2567:N2630" si="284">IF(OR(B2567="",C2567=""),"",L2567+M2567)</f>
        <v/>
      </c>
      <c r="O2567" s="31" t="str">
        <f>IF(OR(B2567="",C2567=""),"",K2567-N2567 + IFERROR(E2567 / SUMIFS('📅 Resumen Diario'!$D$5:$D$504, '📅 Resumen Diario'!$B$5:$B$504, B2567, '📅 Resumen Diario'!$C$5:$C$504, D2567) * (SUMIFS('📋 Detalle Diario'!$E$5:$E$489, '📋 Detalle Diario'!$B$5:$B$489, B2567, '📋 Detalle Diario'!$C$5:$C$489, D2567) * 135 + SUMIFS('📋 Detalle Diario'!$I$5:$I$489, '📋 Detalle Diario'!$B$5:$B$489, B2567, '📋 Detalle Diario'!$C$5:$C$489, D2567) * 200), 0))</f>
        <v/>
      </c>
      <c r="P2567" s="32" t="str">
        <f t="shared" ref="P2567:P2630" si="285">IF(OR(B2567="",C2567=""),"",IF(K2567=0, 0, O2567/K2567))</f>
        <v/>
      </c>
      <c r="Q2567" s="33" t="str">
        <f t="shared" ref="Q2567:Q2630" si="286">IF(B2567="","",IF(ISNUMBER(B2567),YEAR(B2567)&amp;"-"&amp;IF(MONTH(B2567)&lt;10,"0","")&amp;MONTH(B2567),LEFT(B2567,7)))</f>
        <v/>
      </c>
    </row>
    <row r="2568" spans="2:17" ht="18" customHeight="1" x14ac:dyDescent="0.3">
      <c r="B2568" s="26"/>
      <c r="C2568" s="17"/>
      <c r="D2568" s="27"/>
      <c r="E2568" s="18"/>
      <c r="F2568" s="18"/>
      <c r="G2568" s="18"/>
      <c r="H2568" s="30" t="str">
        <f t="shared" si="280"/>
        <v/>
      </c>
      <c r="I2568" s="31" t="str">
        <f>IF(OR(B2568="",C2568=""),"",IFERROR(E2568*IF(E2568="",0,VLOOKUP(C2568,'📦 Precios Proforma'!$B$5:$D$104,IF(D2568="DIA",2,3),FALSE)),0))</f>
        <v/>
      </c>
      <c r="J2568" s="31" t="str">
        <f t="shared" si="281"/>
        <v/>
      </c>
      <c r="K2568" s="31" t="str">
        <f t="shared" si="282"/>
        <v/>
      </c>
      <c r="L2568" s="31" t="str">
        <f>IF(OR(B2568="",C2568=""),"",IFERROR(E2568 / SUMIFS('📅 Resumen Diario'!$D$5:$D$504, '📅 Resumen Diario'!$B$5:$B$504, B2568, '📅 Resumen Diario'!$C$5:$C$504, D2568) * SUMIFS('📅 Resumen Diario'!$K$5:$K$504, '📅 Resumen Diario'!$B$5:$B$504, B2568, '📅 Resumen Diario'!$C$5:$C$504, D2568), 0))</f>
        <v/>
      </c>
      <c r="M2568" s="31" t="str">
        <f t="shared" si="283"/>
        <v/>
      </c>
      <c r="N2568" s="31" t="str">
        <f t="shared" si="284"/>
        <v/>
      </c>
      <c r="O2568" s="31" t="str">
        <f>IF(OR(B2568="",C2568=""),"",K2568-N2568 + IFERROR(E2568 / SUMIFS('📅 Resumen Diario'!$D$5:$D$504, '📅 Resumen Diario'!$B$5:$B$504, B2568, '📅 Resumen Diario'!$C$5:$C$504, D2568) * (SUMIFS('📋 Detalle Diario'!$E$5:$E$489, '📋 Detalle Diario'!$B$5:$B$489, B2568, '📋 Detalle Diario'!$C$5:$C$489, D2568) * 135 + SUMIFS('📋 Detalle Diario'!$I$5:$I$489, '📋 Detalle Diario'!$B$5:$B$489, B2568, '📋 Detalle Diario'!$C$5:$C$489, D2568) * 200), 0))</f>
        <v/>
      </c>
      <c r="P2568" s="32" t="str">
        <f t="shared" si="285"/>
        <v/>
      </c>
      <c r="Q2568" s="33" t="str">
        <f t="shared" si="286"/>
        <v/>
      </c>
    </row>
    <row r="2569" spans="2:17" ht="18" customHeight="1" x14ac:dyDescent="0.3">
      <c r="B2569" s="26"/>
      <c r="C2569" s="28"/>
      <c r="D2569" s="27"/>
      <c r="E2569" s="29"/>
      <c r="F2569" s="29"/>
      <c r="G2569" s="29"/>
      <c r="H2569" s="30" t="str">
        <f t="shared" si="280"/>
        <v/>
      </c>
      <c r="I2569" s="31" t="str">
        <f>IF(OR(B2569="",C2569=""),"",IFERROR(E2569*IF(E2569="",0,VLOOKUP(C2569,'📦 Precios Proforma'!$B$5:$D$104,IF(D2569="DIA",2,3),FALSE)),0))</f>
        <v/>
      </c>
      <c r="J2569" s="31" t="str">
        <f t="shared" si="281"/>
        <v/>
      </c>
      <c r="K2569" s="31" t="str">
        <f t="shared" si="282"/>
        <v/>
      </c>
      <c r="L2569" s="31" t="str">
        <f>IF(OR(B2569="",C2569=""),"",IFERROR(E2569 / SUMIFS('📅 Resumen Diario'!$D$5:$D$504, '📅 Resumen Diario'!$B$5:$B$504, B2569, '📅 Resumen Diario'!$C$5:$C$504, D2569) * SUMIFS('📅 Resumen Diario'!$K$5:$K$504, '📅 Resumen Diario'!$B$5:$B$504, B2569, '📅 Resumen Diario'!$C$5:$C$504, D2569), 0))</f>
        <v/>
      </c>
      <c r="M2569" s="31" t="str">
        <f t="shared" si="283"/>
        <v/>
      </c>
      <c r="N2569" s="31" t="str">
        <f t="shared" si="284"/>
        <v/>
      </c>
      <c r="O2569" s="31" t="str">
        <f>IF(OR(B2569="",C2569=""),"",K2569-N2569 + IFERROR(E2569 / SUMIFS('📅 Resumen Diario'!$D$5:$D$504, '📅 Resumen Diario'!$B$5:$B$504, B2569, '📅 Resumen Diario'!$C$5:$C$504, D2569) * (SUMIFS('📋 Detalle Diario'!$E$5:$E$489, '📋 Detalle Diario'!$B$5:$B$489, B2569, '📋 Detalle Diario'!$C$5:$C$489, D2569) * 135 + SUMIFS('📋 Detalle Diario'!$I$5:$I$489, '📋 Detalle Diario'!$B$5:$B$489, B2569, '📋 Detalle Diario'!$C$5:$C$489, D2569) * 200), 0))</f>
        <v/>
      </c>
      <c r="P2569" s="32" t="str">
        <f t="shared" si="285"/>
        <v/>
      </c>
      <c r="Q2569" s="33" t="str">
        <f t="shared" si="286"/>
        <v/>
      </c>
    </row>
    <row r="2570" spans="2:17" ht="18" customHeight="1" x14ac:dyDescent="0.3">
      <c r="B2570" s="26"/>
      <c r="C2570" s="17"/>
      <c r="D2570" s="27"/>
      <c r="E2570" s="18"/>
      <c r="F2570" s="18"/>
      <c r="G2570" s="18"/>
      <c r="H2570" s="30" t="str">
        <f t="shared" si="280"/>
        <v/>
      </c>
      <c r="I2570" s="31" t="str">
        <f>IF(OR(B2570="",C2570=""),"",IFERROR(E2570*IF(E2570="",0,VLOOKUP(C2570,'📦 Precios Proforma'!$B$5:$D$104,IF(D2570="DIA",2,3),FALSE)),0))</f>
        <v/>
      </c>
      <c r="J2570" s="31" t="str">
        <f t="shared" si="281"/>
        <v/>
      </c>
      <c r="K2570" s="31" t="str">
        <f t="shared" si="282"/>
        <v/>
      </c>
      <c r="L2570" s="31" t="str">
        <f>IF(OR(B2570="",C2570=""),"",IFERROR(E2570 / SUMIFS('📅 Resumen Diario'!$D$5:$D$504, '📅 Resumen Diario'!$B$5:$B$504, B2570, '📅 Resumen Diario'!$C$5:$C$504, D2570) * SUMIFS('📅 Resumen Diario'!$K$5:$K$504, '📅 Resumen Diario'!$B$5:$B$504, B2570, '📅 Resumen Diario'!$C$5:$C$504, D2570), 0))</f>
        <v/>
      </c>
      <c r="M2570" s="31" t="str">
        <f t="shared" si="283"/>
        <v/>
      </c>
      <c r="N2570" s="31" t="str">
        <f t="shared" si="284"/>
        <v/>
      </c>
      <c r="O2570" s="31" t="str">
        <f>IF(OR(B2570="",C2570=""),"",K2570-N2570 + IFERROR(E2570 / SUMIFS('📅 Resumen Diario'!$D$5:$D$504, '📅 Resumen Diario'!$B$5:$B$504, B2570, '📅 Resumen Diario'!$C$5:$C$504, D2570) * (SUMIFS('📋 Detalle Diario'!$E$5:$E$489, '📋 Detalle Diario'!$B$5:$B$489, B2570, '📋 Detalle Diario'!$C$5:$C$489, D2570) * 135 + SUMIFS('📋 Detalle Diario'!$I$5:$I$489, '📋 Detalle Diario'!$B$5:$B$489, B2570, '📋 Detalle Diario'!$C$5:$C$489, D2570) * 200), 0))</f>
        <v/>
      </c>
      <c r="P2570" s="32" t="str">
        <f t="shared" si="285"/>
        <v/>
      </c>
      <c r="Q2570" s="33" t="str">
        <f t="shared" si="286"/>
        <v/>
      </c>
    </row>
    <row r="2571" spans="2:17" ht="18" customHeight="1" x14ac:dyDescent="0.3">
      <c r="B2571" s="26"/>
      <c r="C2571" s="28"/>
      <c r="D2571" s="27"/>
      <c r="E2571" s="29"/>
      <c r="F2571" s="29"/>
      <c r="G2571" s="29"/>
      <c r="H2571" s="30" t="str">
        <f t="shared" si="280"/>
        <v/>
      </c>
      <c r="I2571" s="31" t="str">
        <f>IF(OR(B2571="",C2571=""),"",IFERROR(E2571*IF(E2571="",0,VLOOKUP(C2571,'📦 Precios Proforma'!$B$5:$D$104,IF(D2571="DIA",2,3),FALSE)),0))</f>
        <v/>
      </c>
      <c r="J2571" s="31" t="str">
        <f t="shared" si="281"/>
        <v/>
      </c>
      <c r="K2571" s="31" t="str">
        <f t="shared" si="282"/>
        <v/>
      </c>
      <c r="L2571" s="31" t="str">
        <f>IF(OR(B2571="",C2571=""),"",IFERROR(E2571 / SUMIFS('📅 Resumen Diario'!$D$5:$D$504, '📅 Resumen Diario'!$B$5:$B$504, B2571, '📅 Resumen Diario'!$C$5:$C$504, D2571) * SUMIFS('📅 Resumen Diario'!$K$5:$K$504, '📅 Resumen Diario'!$B$5:$B$504, B2571, '📅 Resumen Diario'!$C$5:$C$504, D2571), 0))</f>
        <v/>
      </c>
      <c r="M2571" s="31" t="str">
        <f t="shared" si="283"/>
        <v/>
      </c>
      <c r="N2571" s="31" t="str">
        <f t="shared" si="284"/>
        <v/>
      </c>
      <c r="O2571" s="31" t="str">
        <f>IF(OR(B2571="",C2571=""),"",K2571-N2571 + IFERROR(E2571 / SUMIFS('📅 Resumen Diario'!$D$5:$D$504, '📅 Resumen Diario'!$B$5:$B$504, B2571, '📅 Resumen Diario'!$C$5:$C$504, D2571) * (SUMIFS('📋 Detalle Diario'!$E$5:$E$489, '📋 Detalle Diario'!$B$5:$B$489, B2571, '📋 Detalle Diario'!$C$5:$C$489, D2571) * 135 + SUMIFS('📋 Detalle Diario'!$I$5:$I$489, '📋 Detalle Diario'!$B$5:$B$489, B2571, '📋 Detalle Diario'!$C$5:$C$489, D2571) * 200), 0))</f>
        <v/>
      </c>
      <c r="P2571" s="32" t="str">
        <f t="shared" si="285"/>
        <v/>
      </c>
      <c r="Q2571" s="33" t="str">
        <f t="shared" si="286"/>
        <v/>
      </c>
    </row>
    <row r="2572" spans="2:17" ht="18" customHeight="1" x14ac:dyDescent="0.3">
      <c r="B2572" s="26"/>
      <c r="C2572" s="17"/>
      <c r="D2572" s="27"/>
      <c r="E2572" s="18"/>
      <c r="F2572" s="18"/>
      <c r="G2572" s="18"/>
      <c r="H2572" s="30" t="str">
        <f t="shared" si="280"/>
        <v/>
      </c>
      <c r="I2572" s="31" t="str">
        <f>IF(OR(B2572="",C2572=""),"",IFERROR(E2572*IF(E2572="",0,VLOOKUP(C2572,'📦 Precios Proforma'!$B$5:$D$104,IF(D2572="DIA",2,3),FALSE)),0))</f>
        <v/>
      </c>
      <c r="J2572" s="31" t="str">
        <f t="shared" si="281"/>
        <v/>
      </c>
      <c r="K2572" s="31" t="str">
        <f t="shared" si="282"/>
        <v/>
      </c>
      <c r="L2572" s="31" t="str">
        <f>IF(OR(B2572="",C2572=""),"",IFERROR(E2572 / SUMIFS('📅 Resumen Diario'!$D$5:$D$504, '📅 Resumen Diario'!$B$5:$B$504, B2572, '📅 Resumen Diario'!$C$5:$C$504, D2572) * SUMIFS('📅 Resumen Diario'!$K$5:$K$504, '📅 Resumen Diario'!$B$5:$B$504, B2572, '📅 Resumen Diario'!$C$5:$C$504, D2572), 0))</f>
        <v/>
      </c>
      <c r="M2572" s="31" t="str">
        <f t="shared" si="283"/>
        <v/>
      </c>
      <c r="N2572" s="31" t="str">
        <f t="shared" si="284"/>
        <v/>
      </c>
      <c r="O2572" s="31" t="str">
        <f>IF(OR(B2572="",C2572=""),"",K2572-N2572 + IFERROR(E2572 / SUMIFS('📅 Resumen Diario'!$D$5:$D$504, '📅 Resumen Diario'!$B$5:$B$504, B2572, '📅 Resumen Diario'!$C$5:$C$504, D2572) * (SUMIFS('📋 Detalle Diario'!$E$5:$E$489, '📋 Detalle Diario'!$B$5:$B$489, B2572, '📋 Detalle Diario'!$C$5:$C$489, D2572) * 135 + SUMIFS('📋 Detalle Diario'!$I$5:$I$489, '📋 Detalle Diario'!$B$5:$B$489, B2572, '📋 Detalle Diario'!$C$5:$C$489, D2572) * 200), 0))</f>
        <v/>
      </c>
      <c r="P2572" s="32" t="str">
        <f t="shared" si="285"/>
        <v/>
      </c>
      <c r="Q2572" s="33" t="str">
        <f t="shared" si="286"/>
        <v/>
      </c>
    </row>
    <row r="2573" spans="2:17" ht="18" customHeight="1" x14ac:dyDescent="0.3">
      <c r="B2573" s="26"/>
      <c r="C2573" s="28"/>
      <c r="D2573" s="27"/>
      <c r="E2573" s="29"/>
      <c r="F2573" s="29"/>
      <c r="G2573" s="29"/>
      <c r="H2573" s="30" t="str">
        <f t="shared" si="280"/>
        <v/>
      </c>
      <c r="I2573" s="31" t="str">
        <f>IF(OR(B2573="",C2573=""),"",IFERROR(E2573*IF(E2573="",0,VLOOKUP(C2573,'📦 Precios Proforma'!$B$5:$D$104,IF(D2573="DIA",2,3),FALSE)),0))</f>
        <v/>
      </c>
      <c r="J2573" s="31" t="str">
        <f t="shared" si="281"/>
        <v/>
      </c>
      <c r="K2573" s="31" t="str">
        <f t="shared" si="282"/>
        <v/>
      </c>
      <c r="L2573" s="31" t="str">
        <f>IF(OR(B2573="",C2573=""),"",IFERROR(E2573 / SUMIFS('📅 Resumen Diario'!$D$5:$D$504, '📅 Resumen Diario'!$B$5:$B$504, B2573, '📅 Resumen Diario'!$C$5:$C$504, D2573) * SUMIFS('📅 Resumen Diario'!$K$5:$K$504, '📅 Resumen Diario'!$B$5:$B$504, B2573, '📅 Resumen Diario'!$C$5:$C$504, D2573), 0))</f>
        <v/>
      </c>
      <c r="M2573" s="31" t="str">
        <f t="shared" si="283"/>
        <v/>
      </c>
      <c r="N2573" s="31" t="str">
        <f t="shared" si="284"/>
        <v/>
      </c>
      <c r="O2573" s="31" t="str">
        <f>IF(OR(B2573="",C2573=""),"",K2573-N2573 + IFERROR(E2573 / SUMIFS('📅 Resumen Diario'!$D$5:$D$504, '📅 Resumen Diario'!$B$5:$B$504, B2573, '📅 Resumen Diario'!$C$5:$C$504, D2573) * (SUMIFS('📋 Detalle Diario'!$E$5:$E$489, '📋 Detalle Diario'!$B$5:$B$489, B2573, '📋 Detalle Diario'!$C$5:$C$489, D2573) * 135 + SUMIFS('📋 Detalle Diario'!$I$5:$I$489, '📋 Detalle Diario'!$B$5:$B$489, B2573, '📋 Detalle Diario'!$C$5:$C$489, D2573) * 200), 0))</f>
        <v/>
      </c>
      <c r="P2573" s="32" t="str">
        <f t="shared" si="285"/>
        <v/>
      </c>
      <c r="Q2573" s="33" t="str">
        <f t="shared" si="286"/>
        <v/>
      </c>
    </row>
    <row r="2574" spans="2:17" ht="18" customHeight="1" x14ac:dyDescent="0.3">
      <c r="B2574" s="26"/>
      <c r="C2574" s="17"/>
      <c r="D2574" s="27"/>
      <c r="E2574" s="18"/>
      <c r="F2574" s="18"/>
      <c r="G2574" s="18"/>
      <c r="H2574" s="30" t="str">
        <f t="shared" si="280"/>
        <v/>
      </c>
      <c r="I2574" s="31" t="str">
        <f>IF(OR(B2574="",C2574=""),"",IFERROR(E2574*IF(E2574="",0,VLOOKUP(C2574,'📦 Precios Proforma'!$B$5:$D$104,IF(D2574="DIA",2,3),FALSE)),0))</f>
        <v/>
      </c>
      <c r="J2574" s="31" t="str">
        <f t="shared" si="281"/>
        <v/>
      </c>
      <c r="K2574" s="31" t="str">
        <f t="shared" si="282"/>
        <v/>
      </c>
      <c r="L2574" s="31" t="str">
        <f>IF(OR(B2574="",C2574=""),"",IFERROR(E2574 / SUMIFS('📅 Resumen Diario'!$D$5:$D$504, '📅 Resumen Diario'!$B$5:$B$504, B2574, '📅 Resumen Diario'!$C$5:$C$504, D2574) * SUMIFS('📅 Resumen Diario'!$K$5:$K$504, '📅 Resumen Diario'!$B$5:$B$504, B2574, '📅 Resumen Diario'!$C$5:$C$504, D2574), 0))</f>
        <v/>
      </c>
      <c r="M2574" s="31" t="str">
        <f t="shared" si="283"/>
        <v/>
      </c>
      <c r="N2574" s="31" t="str">
        <f t="shared" si="284"/>
        <v/>
      </c>
      <c r="O2574" s="31" t="str">
        <f>IF(OR(B2574="",C2574=""),"",K2574-N2574 + IFERROR(E2574 / SUMIFS('📅 Resumen Diario'!$D$5:$D$504, '📅 Resumen Diario'!$B$5:$B$504, B2574, '📅 Resumen Diario'!$C$5:$C$504, D2574) * (SUMIFS('📋 Detalle Diario'!$E$5:$E$489, '📋 Detalle Diario'!$B$5:$B$489, B2574, '📋 Detalle Diario'!$C$5:$C$489, D2574) * 135 + SUMIFS('📋 Detalle Diario'!$I$5:$I$489, '📋 Detalle Diario'!$B$5:$B$489, B2574, '📋 Detalle Diario'!$C$5:$C$489, D2574) * 200), 0))</f>
        <v/>
      </c>
      <c r="P2574" s="32" t="str">
        <f t="shared" si="285"/>
        <v/>
      </c>
      <c r="Q2574" s="33" t="str">
        <f t="shared" si="286"/>
        <v/>
      </c>
    </row>
    <row r="2575" spans="2:17" ht="18" customHeight="1" x14ac:dyDescent="0.3">
      <c r="B2575" s="26"/>
      <c r="C2575" s="28"/>
      <c r="D2575" s="27"/>
      <c r="E2575" s="29"/>
      <c r="F2575" s="29"/>
      <c r="G2575" s="29"/>
      <c r="H2575" s="30" t="str">
        <f t="shared" si="280"/>
        <v/>
      </c>
      <c r="I2575" s="31" t="str">
        <f>IF(OR(B2575="",C2575=""),"",IFERROR(E2575*IF(E2575="",0,VLOOKUP(C2575,'📦 Precios Proforma'!$B$5:$D$104,IF(D2575="DIA",2,3),FALSE)),0))</f>
        <v/>
      </c>
      <c r="J2575" s="31" t="str">
        <f t="shared" si="281"/>
        <v/>
      </c>
      <c r="K2575" s="31" t="str">
        <f t="shared" si="282"/>
        <v/>
      </c>
      <c r="L2575" s="31" t="str">
        <f>IF(OR(B2575="",C2575=""),"",IFERROR(E2575 / SUMIFS('📅 Resumen Diario'!$D$5:$D$504, '📅 Resumen Diario'!$B$5:$B$504, B2575, '📅 Resumen Diario'!$C$5:$C$504, D2575) * SUMIFS('📅 Resumen Diario'!$K$5:$K$504, '📅 Resumen Diario'!$B$5:$B$504, B2575, '📅 Resumen Diario'!$C$5:$C$504, D2575), 0))</f>
        <v/>
      </c>
      <c r="M2575" s="31" t="str">
        <f t="shared" si="283"/>
        <v/>
      </c>
      <c r="N2575" s="31" t="str">
        <f t="shared" si="284"/>
        <v/>
      </c>
      <c r="O2575" s="31" t="str">
        <f>IF(OR(B2575="",C2575=""),"",K2575-N2575 + IFERROR(E2575 / SUMIFS('📅 Resumen Diario'!$D$5:$D$504, '📅 Resumen Diario'!$B$5:$B$504, B2575, '📅 Resumen Diario'!$C$5:$C$504, D2575) * (SUMIFS('📋 Detalle Diario'!$E$5:$E$489, '📋 Detalle Diario'!$B$5:$B$489, B2575, '📋 Detalle Diario'!$C$5:$C$489, D2575) * 135 + SUMIFS('📋 Detalle Diario'!$I$5:$I$489, '📋 Detalle Diario'!$B$5:$B$489, B2575, '📋 Detalle Diario'!$C$5:$C$489, D2575) * 200), 0))</f>
        <v/>
      </c>
      <c r="P2575" s="32" t="str">
        <f t="shared" si="285"/>
        <v/>
      </c>
      <c r="Q2575" s="33" t="str">
        <f t="shared" si="286"/>
        <v/>
      </c>
    </row>
    <row r="2576" spans="2:17" ht="18" customHeight="1" x14ac:dyDescent="0.3">
      <c r="B2576" s="26"/>
      <c r="C2576" s="17"/>
      <c r="D2576" s="27"/>
      <c r="E2576" s="18"/>
      <c r="F2576" s="18"/>
      <c r="G2576" s="18"/>
      <c r="H2576" s="30" t="str">
        <f t="shared" si="280"/>
        <v/>
      </c>
      <c r="I2576" s="31" t="str">
        <f>IF(OR(B2576="",C2576=""),"",IFERROR(E2576*IF(E2576="",0,VLOOKUP(C2576,'📦 Precios Proforma'!$B$5:$D$104,IF(D2576="DIA",2,3),FALSE)),0))</f>
        <v/>
      </c>
      <c r="J2576" s="31" t="str">
        <f t="shared" si="281"/>
        <v/>
      </c>
      <c r="K2576" s="31" t="str">
        <f t="shared" si="282"/>
        <v/>
      </c>
      <c r="L2576" s="31" t="str">
        <f>IF(OR(B2576="",C2576=""),"",IFERROR(E2576 / SUMIFS('📅 Resumen Diario'!$D$5:$D$504, '📅 Resumen Diario'!$B$5:$B$504, B2576, '📅 Resumen Diario'!$C$5:$C$504, D2576) * SUMIFS('📅 Resumen Diario'!$K$5:$K$504, '📅 Resumen Diario'!$B$5:$B$504, B2576, '📅 Resumen Diario'!$C$5:$C$504, D2576), 0))</f>
        <v/>
      </c>
      <c r="M2576" s="31" t="str">
        <f t="shared" si="283"/>
        <v/>
      </c>
      <c r="N2576" s="31" t="str">
        <f t="shared" si="284"/>
        <v/>
      </c>
      <c r="O2576" s="31" t="str">
        <f>IF(OR(B2576="",C2576=""),"",K2576-N2576 + IFERROR(E2576 / SUMIFS('📅 Resumen Diario'!$D$5:$D$504, '📅 Resumen Diario'!$B$5:$B$504, B2576, '📅 Resumen Diario'!$C$5:$C$504, D2576) * (SUMIFS('📋 Detalle Diario'!$E$5:$E$489, '📋 Detalle Diario'!$B$5:$B$489, B2576, '📋 Detalle Diario'!$C$5:$C$489, D2576) * 135 + SUMIFS('📋 Detalle Diario'!$I$5:$I$489, '📋 Detalle Diario'!$B$5:$B$489, B2576, '📋 Detalle Diario'!$C$5:$C$489, D2576) * 200), 0))</f>
        <v/>
      </c>
      <c r="P2576" s="32" t="str">
        <f t="shared" si="285"/>
        <v/>
      </c>
      <c r="Q2576" s="33" t="str">
        <f t="shared" si="286"/>
        <v/>
      </c>
    </row>
    <row r="2577" spans="2:17" ht="18" customHeight="1" x14ac:dyDescent="0.3">
      <c r="B2577" s="26"/>
      <c r="C2577" s="28"/>
      <c r="D2577" s="27"/>
      <c r="E2577" s="29"/>
      <c r="F2577" s="29"/>
      <c r="G2577" s="29"/>
      <c r="H2577" s="30" t="str">
        <f t="shared" si="280"/>
        <v/>
      </c>
      <c r="I2577" s="31" t="str">
        <f>IF(OR(B2577="",C2577=""),"",IFERROR(E2577*IF(E2577="",0,VLOOKUP(C2577,'📦 Precios Proforma'!$B$5:$D$104,IF(D2577="DIA",2,3),FALSE)),0))</f>
        <v/>
      </c>
      <c r="J2577" s="31" t="str">
        <f t="shared" si="281"/>
        <v/>
      </c>
      <c r="K2577" s="31" t="str">
        <f t="shared" si="282"/>
        <v/>
      </c>
      <c r="L2577" s="31" t="str">
        <f>IF(OR(B2577="",C2577=""),"",IFERROR(E2577 / SUMIFS('📅 Resumen Diario'!$D$5:$D$504, '📅 Resumen Diario'!$B$5:$B$504, B2577, '📅 Resumen Diario'!$C$5:$C$504, D2577) * SUMIFS('📅 Resumen Diario'!$K$5:$K$504, '📅 Resumen Diario'!$B$5:$B$504, B2577, '📅 Resumen Diario'!$C$5:$C$504, D2577), 0))</f>
        <v/>
      </c>
      <c r="M2577" s="31" t="str">
        <f t="shared" si="283"/>
        <v/>
      </c>
      <c r="N2577" s="31" t="str">
        <f t="shared" si="284"/>
        <v/>
      </c>
      <c r="O2577" s="31" t="str">
        <f>IF(OR(B2577="",C2577=""),"",K2577-N2577 + IFERROR(E2577 / SUMIFS('📅 Resumen Diario'!$D$5:$D$504, '📅 Resumen Diario'!$B$5:$B$504, B2577, '📅 Resumen Diario'!$C$5:$C$504, D2577) * (SUMIFS('📋 Detalle Diario'!$E$5:$E$489, '📋 Detalle Diario'!$B$5:$B$489, B2577, '📋 Detalle Diario'!$C$5:$C$489, D2577) * 135 + SUMIFS('📋 Detalle Diario'!$I$5:$I$489, '📋 Detalle Diario'!$B$5:$B$489, B2577, '📋 Detalle Diario'!$C$5:$C$489, D2577) * 200), 0))</f>
        <v/>
      </c>
      <c r="P2577" s="32" t="str">
        <f t="shared" si="285"/>
        <v/>
      </c>
      <c r="Q2577" s="33" t="str">
        <f t="shared" si="286"/>
        <v/>
      </c>
    </row>
    <row r="2578" spans="2:17" ht="18" customHeight="1" x14ac:dyDescent="0.3">
      <c r="B2578" s="26"/>
      <c r="C2578" s="17"/>
      <c r="D2578" s="27"/>
      <c r="E2578" s="18"/>
      <c r="F2578" s="18"/>
      <c r="G2578" s="18"/>
      <c r="H2578" s="30" t="str">
        <f t="shared" si="280"/>
        <v/>
      </c>
      <c r="I2578" s="31" t="str">
        <f>IF(OR(B2578="",C2578=""),"",IFERROR(E2578*IF(E2578="",0,VLOOKUP(C2578,'📦 Precios Proforma'!$B$5:$D$104,IF(D2578="DIA",2,3),FALSE)),0))</f>
        <v/>
      </c>
      <c r="J2578" s="31" t="str">
        <f t="shared" si="281"/>
        <v/>
      </c>
      <c r="K2578" s="31" t="str">
        <f t="shared" si="282"/>
        <v/>
      </c>
      <c r="L2578" s="31" t="str">
        <f>IF(OR(B2578="",C2578=""),"",IFERROR(E2578 / SUMIFS('📅 Resumen Diario'!$D$5:$D$504, '📅 Resumen Diario'!$B$5:$B$504, B2578, '📅 Resumen Diario'!$C$5:$C$504, D2578) * SUMIFS('📅 Resumen Diario'!$K$5:$K$504, '📅 Resumen Diario'!$B$5:$B$504, B2578, '📅 Resumen Diario'!$C$5:$C$504, D2578), 0))</f>
        <v/>
      </c>
      <c r="M2578" s="31" t="str">
        <f t="shared" si="283"/>
        <v/>
      </c>
      <c r="N2578" s="31" t="str">
        <f t="shared" si="284"/>
        <v/>
      </c>
      <c r="O2578" s="31" t="str">
        <f>IF(OR(B2578="",C2578=""),"",K2578-N2578 + IFERROR(E2578 / SUMIFS('📅 Resumen Diario'!$D$5:$D$504, '📅 Resumen Diario'!$B$5:$B$504, B2578, '📅 Resumen Diario'!$C$5:$C$504, D2578) * (SUMIFS('📋 Detalle Diario'!$E$5:$E$489, '📋 Detalle Diario'!$B$5:$B$489, B2578, '📋 Detalle Diario'!$C$5:$C$489, D2578) * 135 + SUMIFS('📋 Detalle Diario'!$I$5:$I$489, '📋 Detalle Diario'!$B$5:$B$489, B2578, '📋 Detalle Diario'!$C$5:$C$489, D2578) * 200), 0))</f>
        <v/>
      </c>
      <c r="P2578" s="32" t="str">
        <f t="shared" si="285"/>
        <v/>
      </c>
      <c r="Q2578" s="33" t="str">
        <f t="shared" si="286"/>
        <v/>
      </c>
    </row>
    <row r="2579" spans="2:17" ht="18" customHeight="1" x14ac:dyDescent="0.3">
      <c r="B2579" s="26"/>
      <c r="C2579" s="28"/>
      <c r="D2579" s="27"/>
      <c r="E2579" s="29"/>
      <c r="F2579" s="29"/>
      <c r="G2579" s="29"/>
      <c r="H2579" s="30" t="str">
        <f t="shared" si="280"/>
        <v/>
      </c>
      <c r="I2579" s="31" t="str">
        <f>IF(OR(B2579="",C2579=""),"",IFERROR(E2579*IF(E2579="",0,VLOOKUP(C2579,'📦 Precios Proforma'!$B$5:$D$104,IF(D2579="DIA",2,3),FALSE)),0))</f>
        <v/>
      </c>
      <c r="J2579" s="31" t="str">
        <f t="shared" si="281"/>
        <v/>
      </c>
      <c r="K2579" s="31" t="str">
        <f t="shared" si="282"/>
        <v/>
      </c>
      <c r="L2579" s="31" t="str">
        <f>IF(OR(B2579="",C2579=""),"",IFERROR(E2579 / SUMIFS('📅 Resumen Diario'!$D$5:$D$504, '📅 Resumen Diario'!$B$5:$B$504, B2579, '📅 Resumen Diario'!$C$5:$C$504, D2579) * SUMIFS('📅 Resumen Diario'!$K$5:$K$504, '📅 Resumen Diario'!$B$5:$B$504, B2579, '📅 Resumen Diario'!$C$5:$C$504, D2579), 0))</f>
        <v/>
      </c>
      <c r="M2579" s="31" t="str">
        <f t="shared" si="283"/>
        <v/>
      </c>
      <c r="N2579" s="31" t="str">
        <f t="shared" si="284"/>
        <v/>
      </c>
      <c r="O2579" s="31" t="str">
        <f>IF(OR(B2579="",C2579=""),"",K2579-N2579 + IFERROR(E2579 / SUMIFS('📅 Resumen Diario'!$D$5:$D$504, '📅 Resumen Diario'!$B$5:$B$504, B2579, '📅 Resumen Diario'!$C$5:$C$504, D2579) * (SUMIFS('📋 Detalle Diario'!$E$5:$E$489, '📋 Detalle Diario'!$B$5:$B$489, B2579, '📋 Detalle Diario'!$C$5:$C$489, D2579) * 135 + SUMIFS('📋 Detalle Diario'!$I$5:$I$489, '📋 Detalle Diario'!$B$5:$B$489, B2579, '📋 Detalle Diario'!$C$5:$C$489, D2579) * 200), 0))</f>
        <v/>
      </c>
      <c r="P2579" s="32" t="str">
        <f t="shared" si="285"/>
        <v/>
      </c>
      <c r="Q2579" s="33" t="str">
        <f t="shared" si="286"/>
        <v/>
      </c>
    </row>
    <row r="2580" spans="2:17" ht="18" customHeight="1" x14ac:dyDescent="0.3">
      <c r="B2580" s="26"/>
      <c r="C2580" s="17"/>
      <c r="D2580" s="27"/>
      <c r="E2580" s="18"/>
      <c r="F2580" s="18"/>
      <c r="G2580" s="18"/>
      <c r="H2580" s="30" t="str">
        <f t="shared" si="280"/>
        <v/>
      </c>
      <c r="I2580" s="31" t="str">
        <f>IF(OR(B2580="",C2580=""),"",IFERROR(E2580*IF(E2580="",0,VLOOKUP(C2580,'📦 Precios Proforma'!$B$5:$D$104,IF(D2580="DIA",2,3),FALSE)),0))</f>
        <v/>
      </c>
      <c r="J2580" s="31" t="str">
        <f t="shared" si="281"/>
        <v/>
      </c>
      <c r="K2580" s="31" t="str">
        <f t="shared" si="282"/>
        <v/>
      </c>
      <c r="L2580" s="31" t="str">
        <f>IF(OR(B2580="",C2580=""),"",IFERROR(E2580 / SUMIFS('📅 Resumen Diario'!$D$5:$D$504, '📅 Resumen Diario'!$B$5:$B$504, B2580, '📅 Resumen Diario'!$C$5:$C$504, D2580) * SUMIFS('📅 Resumen Diario'!$K$5:$K$504, '📅 Resumen Diario'!$B$5:$B$504, B2580, '📅 Resumen Diario'!$C$5:$C$504, D2580), 0))</f>
        <v/>
      </c>
      <c r="M2580" s="31" t="str">
        <f t="shared" si="283"/>
        <v/>
      </c>
      <c r="N2580" s="31" t="str">
        <f t="shared" si="284"/>
        <v/>
      </c>
      <c r="O2580" s="31" t="str">
        <f>IF(OR(B2580="",C2580=""),"",K2580-N2580 + IFERROR(E2580 / SUMIFS('📅 Resumen Diario'!$D$5:$D$504, '📅 Resumen Diario'!$B$5:$B$504, B2580, '📅 Resumen Diario'!$C$5:$C$504, D2580) * (SUMIFS('📋 Detalle Diario'!$E$5:$E$489, '📋 Detalle Diario'!$B$5:$B$489, B2580, '📋 Detalle Diario'!$C$5:$C$489, D2580) * 135 + SUMIFS('📋 Detalle Diario'!$I$5:$I$489, '📋 Detalle Diario'!$B$5:$B$489, B2580, '📋 Detalle Diario'!$C$5:$C$489, D2580) * 200), 0))</f>
        <v/>
      </c>
      <c r="P2580" s="32" t="str">
        <f t="shared" si="285"/>
        <v/>
      </c>
      <c r="Q2580" s="33" t="str">
        <f t="shared" si="286"/>
        <v/>
      </c>
    </row>
    <row r="2581" spans="2:17" ht="18" customHeight="1" x14ac:dyDescent="0.3">
      <c r="B2581" s="26"/>
      <c r="C2581" s="28"/>
      <c r="D2581" s="27"/>
      <c r="E2581" s="29"/>
      <c r="F2581" s="29"/>
      <c r="G2581" s="29"/>
      <c r="H2581" s="30" t="str">
        <f t="shared" si="280"/>
        <v/>
      </c>
      <c r="I2581" s="31" t="str">
        <f>IF(OR(B2581="",C2581=""),"",IFERROR(E2581*IF(E2581="",0,VLOOKUP(C2581,'📦 Precios Proforma'!$B$5:$D$104,IF(D2581="DIA",2,3),FALSE)),0))</f>
        <v/>
      </c>
      <c r="J2581" s="31" t="str">
        <f t="shared" si="281"/>
        <v/>
      </c>
      <c r="K2581" s="31" t="str">
        <f t="shared" si="282"/>
        <v/>
      </c>
      <c r="L2581" s="31" t="str">
        <f>IF(OR(B2581="",C2581=""),"",IFERROR(E2581 / SUMIFS('📅 Resumen Diario'!$D$5:$D$504, '📅 Resumen Diario'!$B$5:$B$504, B2581, '📅 Resumen Diario'!$C$5:$C$504, D2581) * SUMIFS('📅 Resumen Diario'!$K$5:$K$504, '📅 Resumen Diario'!$B$5:$B$504, B2581, '📅 Resumen Diario'!$C$5:$C$504, D2581), 0))</f>
        <v/>
      </c>
      <c r="M2581" s="31" t="str">
        <f t="shared" si="283"/>
        <v/>
      </c>
      <c r="N2581" s="31" t="str">
        <f t="shared" si="284"/>
        <v/>
      </c>
      <c r="O2581" s="31" t="str">
        <f>IF(OR(B2581="",C2581=""),"",K2581-N2581 + IFERROR(E2581 / SUMIFS('📅 Resumen Diario'!$D$5:$D$504, '📅 Resumen Diario'!$B$5:$B$504, B2581, '📅 Resumen Diario'!$C$5:$C$504, D2581) * (SUMIFS('📋 Detalle Diario'!$E$5:$E$489, '📋 Detalle Diario'!$B$5:$B$489, B2581, '📋 Detalle Diario'!$C$5:$C$489, D2581) * 135 + SUMIFS('📋 Detalle Diario'!$I$5:$I$489, '📋 Detalle Diario'!$B$5:$B$489, B2581, '📋 Detalle Diario'!$C$5:$C$489, D2581) * 200), 0))</f>
        <v/>
      </c>
      <c r="P2581" s="32" t="str">
        <f t="shared" si="285"/>
        <v/>
      </c>
      <c r="Q2581" s="33" t="str">
        <f t="shared" si="286"/>
        <v/>
      </c>
    </row>
    <row r="2582" spans="2:17" ht="18" customHeight="1" x14ac:dyDescent="0.3">
      <c r="B2582" s="26"/>
      <c r="C2582" s="17"/>
      <c r="D2582" s="27"/>
      <c r="E2582" s="18"/>
      <c r="F2582" s="18"/>
      <c r="G2582" s="18"/>
      <c r="H2582" s="30" t="str">
        <f t="shared" si="280"/>
        <v/>
      </c>
      <c r="I2582" s="31" t="str">
        <f>IF(OR(B2582="",C2582=""),"",IFERROR(E2582*IF(E2582="",0,VLOOKUP(C2582,'📦 Precios Proforma'!$B$5:$D$104,IF(D2582="DIA",2,3),FALSE)),0))</f>
        <v/>
      </c>
      <c r="J2582" s="31" t="str">
        <f t="shared" si="281"/>
        <v/>
      </c>
      <c r="K2582" s="31" t="str">
        <f t="shared" si="282"/>
        <v/>
      </c>
      <c r="L2582" s="31" t="str">
        <f>IF(OR(B2582="",C2582=""),"",IFERROR(E2582 / SUMIFS('📅 Resumen Diario'!$D$5:$D$504, '📅 Resumen Diario'!$B$5:$B$504, B2582, '📅 Resumen Diario'!$C$5:$C$504, D2582) * SUMIFS('📅 Resumen Diario'!$K$5:$K$504, '📅 Resumen Diario'!$B$5:$B$504, B2582, '📅 Resumen Diario'!$C$5:$C$504, D2582), 0))</f>
        <v/>
      </c>
      <c r="M2582" s="31" t="str">
        <f t="shared" si="283"/>
        <v/>
      </c>
      <c r="N2582" s="31" t="str">
        <f t="shared" si="284"/>
        <v/>
      </c>
      <c r="O2582" s="31" t="str">
        <f>IF(OR(B2582="",C2582=""),"",K2582-N2582 + IFERROR(E2582 / SUMIFS('📅 Resumen Diario'!$D$5:$D$504, '📅 Resumen Diario'!$B$5:$B$504, B2582, '📅 Resumen Diario'!$C$5:$C$504, D2582) * (SUMIFS('📋 Detalle Diario'!$E$5:$E$489, '📋 Detalle Diario'!$B$5:$B$489, B2582, '📋 Detalle Diario'!$C$5:$C$489, D2582) * 135 + SUMIFS('📋 Detalle Diario'!$I$5:$I$489, '📋 Detalle Diario'!$B$5:$B$489, B2582, '📋 Detalle Diario'!$C$5:$C$489, D2582) * 200), 0))</f>
        <v/>
      </c>
      <c r="P2582" s="32" t="str">
        <f t="shared" si="285"/>
        <v/>
      </c>
      <c r="Q2582" s="33" t="str">
        <f t="shared" si="286"/>
        <v/>
      </c>
    </row>
    <row r="2583" spans="2:17" ht="18" customHeight="1" x14ac:dyDescent="0.3">
      <c r="B2583" s="26"/>
      <c r="C2583" s="28"/>
      <c r="D2583" s="27"/>
      <c r="E2583" s="29"/>
      <c r="F2583" s="29"/>
      <c r="G2583" s="29"/>
      <c r="H2583" s="30" t="str">
        <f t="shared" si="280"/>
        <v/>
      </c>
      <c r="I2583" s="31" t="str">
        <f>IF(OR(B2583="",C2583=""),"",IFERROR(E2583*IF(E2583="",0,VLOOKUP(C2583,'📦 Precios Proforma'!$B$5:$D$104,IF(D2583="DIA",2,3),FALSE)),0))</f>
        <v/>
      </c>
      <c r="J2583" s="31" t="str">
        <f t="shared" si="281"/>
        <v/>
      </c>
      <c r="K2583" s="31" t="str">
        <f t="shared" si="282"/>
        <v/>
      </c>
      <c r="L2583" s="31" t="str">
        <f>IF(OR(B2583="",C2583=""),"",IFERROR(E2583 / SUMIFS('📅 Resumen Diario'!$D$5:$D$504, '📅 Resumen Diario'!$B$5:$B$504, B2583, '📅 Resumen Diario'!$C$5:$C$504, D2583) * SUMIFS('📅 Resumen Diario'!$K$5:$K$504, '📅 Resumen Diario'!$B$5:$B$504, B2583, '📅 Resumen Diario'!$C$5:$C$504, D2583), 0))</f>
        <v/>
      </c>
      <c r="M2583" s="31" t="str">
        <f t="shared" si="283"/>
        <v/>
      </c>
      <c r="N2583" s="31" t="str">
        <f t="shared" si="284"/>
        <v/>
      </c>
      <c r="O2583" s="31" t="str">
        <f>IF(OR(B2583="",C2583=""),"",K2583-N2583 + IFERROR(E2583 / SUMIFS('📅 Resumen Diario'!$D$5:$D$504, '📅 Resumen Diario'!$B$5:$B$504, B2583, '📅 Resumen Diario'!$C$5:$C$504, D2583) * (SUMIFS('📋 Detalle Diario'!$E$5:$E$489, '📋 Detalle Diario'!$B$5:$B$489, B2583, '📋 Detalle Diario'!$C$5:$C$489, D2583) * 135 + SUMIFS('📋 Detalle Diario'!$I$5:$I$489, '📋 Detalle Diario'!$B$5:$B$489, B2583, '📋 Detalle Diario'!$C$5:$C$489, D2583) * 200), 0))</f>
        <v/>
      </c>
      <c r="P2583" s="32" t="str">
        <f t="shared" si="285"/>
        <v/>
      </c>
      <c r="Q2583" s="33" t="str">
        <f t="shared" si="286"/>
        <v/>
      </c>
    </row>
    <row r="2584" spans="2:17" ht="18" customHeight="1" x14ac:dyDescent="0.3">
      <c r="B2584" s="26"/>
      <c r="C2584" s="17"/>
      <c r="D2584" s="27"/>
      <c r="E2584" s="18"/>
      <c r="F2584" s="18"/>
      <c r="G2584" s="18"/>
      <c r="H2584" s="30" t="str">
        <f t="shared" si="280"/>
        <v/>
      </c>
      <c r="I2584" s="31" t="str">
        <f>IF(OR(B2584="",C2584=""),"",IFERROR(E2584*IF(E2584="",0,VLOOKUP(C2584,'📦 Precios Proforma'!$B$5:$D$104,IF(D2584="DIA",2,3),FALSE)),0))</f>
        <v/>
      </c>
      <c r="J2584" s="31" t="str">
        <f t="shared" si="281"/>
        <v/>
      </c>
      <c r="K2584" s="31" t="str">
        <f t="shared" si="282"/>
        <v/>
      </c>
      <c r="L2584" s="31" t="str">
        <f>IF(OR(B2584="",C2584=""),"",IFERROR(E2584 / SUMIFS('📅 Resumen Diario'!$D$5:$D$504, '📅 Resumen Diario'!$B$5:$B$504, B2584, '📅 Resumen Diario'!$C$5:$C$504, D2584) * SUMIFS('📅 Resumen Diario'!$K$5:$K$504, '📅 Resumen Diario'!$B$5:$B$504, B2584, '📅 Resumen Diario'!$C$5:$C$504, D2584), 0))</f>
        <v/>
      </c>
      <c r="M2584" s="31" t="str">
        <f t="shared" si="283"/>
        <v/>
      </c>
      <c r="N2584" s="31" t="str">
        <f t="shared" si="284"/>
        <v/>
      </c>
      <c r="O2584" s="31" t="str">
        <f>IF(OR(B2584="",C2584=""),"",K2584-N2584 + IFERROR(E2584 / SUMIFS('📅 Resumen Diario'!$D$5:$D$504, '📅 Resumen Diario'!$B$5:$B$504, B2584, '📅 Resumen Diario'!$C$5:$C$504, D2584) * (SUMIFS('📋 Detalle Diario'!$E$5:$E$489, '📋 Detalle Diario'!$B$5:$B$489, B2584, '📋 Detalle Diario'!$C$5:$C$489, D2584) * 135 + SUMIFS('📋 Detalle Diario'!$I$5:$I$489, '📋 Detalle Diario'!$B$5:$B$489, B2584, '📋 Detalle Diario'!$C$5:$C$489, D2584) * 200), 0))</f>
        <v/>
      </c>
      <c r="P2584" s="32" t="str">
        <f t="shared" si="285"/>
        <v/>
      </c>
      <c r="Q2584" s="33" t="str">
        <f t="shared" si="286"/>
        <v/>
      </c>
    </row>
    <row r="2585" spans="2:17" ht="18" customHeight="1" x14ac:dyDescent="0.3">
      <c r="B2585" s="26"/>
      <c r="C2585" s="28"/>
      <c r="D2585" s="27"/>
      <c r="E2585" s="29"/>
      <c r="F2585" s="29"/>
      <c r="G2585" s="29"/>
      <c r="H2585" s="30" t="str">
        <f t="shared" si="280"/>
        <v/>
      </c>
      <c r="I2585" s="31" t="str">
        <f>IF(OR(B2585="",C2585=""),"",IFERROR(E2585*IF(E2585="",0,VLOOKUP(C2585,'📦 Precios Proforma'!$B$5:$D$104,IF(D2585="DIA",2,3),FALSE)),0))</f>
        <v/>
      </c>
      <c r="J2585" s="31" t="str">
        <f t="shared" si="281"/>
        <v/>
      </c>
      <c r="K2585" s="31" t="str">
        <f t="shared" si="282"/>
        <v/>
      </c>
      <c r="L2585" s="31" t="str">
        <f>IF(OR(B2585="",C2585=""),"",IFERROR(E2585 / SUMIFS('📅 Resumen Diario'!$D$5:$D$504, '📅 Resumen Diario'!$B$5:$B$504, B2585, '📅 Resumen Diario'!$C$5:$C$504, D2585) * SUMIFS('📅 Resumen Diario'!$K$5:$K$504, '📅 Resumen Diario'!$B$5:$B$504, B2585, '📅 Resumen Diario'!$C$5:$C$504, D2585), 0))</f>
        <v/>
      </c>
      <c r="M2585" s="31" t="str">
        <f t="shared" si="283"/>
        <v/>
      </c>
      <c r="N2585" s="31" t="str">
        <f t="shared" si="284"/>
        <v/>
      </c>
      <c r="O2585" s="31" t="str">
        <f>IF(OR(B2585="",C2585=""),"",K2585-N2585 + IFERROR(E2585 / SUMIFS('📅 Resumen Diario'!$D$5:$D$504, '📅 Resumen Diario'!$B$5:$B$504, B2585, '📅 Resumen Diario'!$C$5:$C$504, D2585) * (SUMIFS('📋 Detalle Diario'!$E$5:$E$489, '📋 Detalle Diario'!$B$5:$B$489, B2585, '📋 Detalle Diario'!$C$5:$C$489, D2585) * 135 + SUMIFS('📋 Detalle Diario'!$I$5:$I$489, '📋 Detalle Diario'!$B$5:$B$489, B2585, '📋 Detalle Diario'!$C$5:$C$489, D2585) * 200), 0))</f>
        <v/>
      </c>
      <c r="P2585" s="32" t="str">
        <f t="shared" si="285"/>
        <v/>
      </c>
      <c r="Q2585" s="33" t="str">
        <f t="shared" si="286"/>
        <v/>
      </c>
    </row>
    <row r="2586" spans="2:17" ht="18" customHeight="1" x14ac:dyDescent="0.3">
      <c r="B2586" s="26"/>
      <c r="C2586" s="17"/>
      <c r="D2586" s="27"/>
      <c r="E2586" s="18"/>
      <c r="F2586" s="18"/>
      <c r="G2586" s="18"/>
      <c r="H2586" s="30" t="str">
        <f t="shared" si="280"/>
        <v/>
      </c>
      <c r="I2586" s="31" t="str">
        <f>IF(OR(B2586="",C2586=""),"",IFERROR(E2586*IF(E2586="",0,VLOOKUP(C2586,'📦 Precios Proforma'!$B$5:$D$104,IF(D2586="DIA",2,3),FALSE)),0))</f>
        <v/>
      </c>
      <c r="J2586" s="31" t="str">
        <f t="shared" si="281"/>
        <v/>
      </c>
      <c r="K2586" s="31" t="str">
        <f t="shared" si="282"/>
        <v/>
      </c>
      <c r="L2586" s="31" t="str">
        <f>IF(OR(B2586="",C2586=""),"",IFERROR(E2586 / SUMIFS('📅 Resumen Diario'!$D$5:$D$504, '📅 Resumen Diario'!$B$5:$B$504, B2586, '📅 Resumen Diario'!$C$5:$C$504, D2586) * SUMIFS('📅 Resumen Diario'!$K$5:$K$504, '📅 Resumen Diario'!$B$5:$B$504, B2586, '📅 Resumen Diario'!$C$5:$C$504, D2586), 0))</f>
        <v/>
      </c>
      <c r="M2586" s="31" t="str">
        <f t="shared" si="283"/>
        <v/>
      </c>
      <c r="N2586" s="31" t="str">
        <f t="shared" si="284"/>
        <v/>
      </c>
      <c r="O2586" s="31" t="str">
        <f>IF(OR(B2586="",C2586=""),"",K2586-N2586 + IFERROR(E2586 / SUMIFS('📅 Resumen Diario'!$D$5:$D$504, '📅 Resumen Diario'!$B$5:$B$504, B2586, '📅 Resumen Diario'!$C$5:$C$504, D2586) * (SUMIFS('📋 Detalle Diario'!$E$5:$E$489, '📋 Detalle Diario'!$B$5:$B$489, B2586, '📋 Detalle Diario'!$C$5:$C$489, D2586) * 135 + SUMIFS('📋 Detalle Diario'!$I$5:$I$489, '📋 Detalle Diario'!$B$5:$B$489, B2586, '📋 Detalle Diario'!$C$5:$C$489, D2586) * 200), 0))</f>
        <v/>
      </c>
      <c r="P2586" s="32" t="str">
        <f t="shared" si="285"/>
        <v/>
      </c>
      <c r="Q2586" s="33" t="str">
        <f t="shared" si="286"/>
        <v/>
      </c>
    </row>
    <row r="2587" spans="2:17" ht="18" customHeight="1" x14ac:dyDescent="0.3">
      <c r="B2587" s="26"/>
      <c r="C2587" s="28"/>
      <c r="D2587" s="27"/>
      <c r="E2587" s="29"/>
      <c r="F2587" s="29"/>
      <c r="G2587" s="29"/>
      <c r="H2587" s="30" t="str">
        <f t="shared" si="280"/>
        <v/>
      </c>
      <c r="I2587" s="31" t="str">
        <f>IF(OR(B2587="",C2587=""),"",IFERROR(E2587*IF(E2587="",0,VLOOKUP(C2587,'📦 Precios Proforma'!$B$5:$D$104,IF(D2587="DIA",2,3),FALSE)),0))</f>
        <v/>
      </c>
      <c r="J2587" s="31" t="str">
        <f t="shared" si="281"/>
        <v/>
      </c>
      <c r="K2587" s="31" t="str">
        <f t="shared" si="282"/>
        <v/>
      </c>
      <c r="L2587" s="31" t="str">
        <f>IF(OR(B2587="",C2587=""),"",IFERROR(E2587 / SUMIFS('📅 Resumen Diario'!$D$5:$D$504, '📅 Resumen Diario'!$B$5:$B$504, B2587, '📅 Resumen Diario'!$C$5:$C$504, D2587) * SUMIFS('📅 Resumen Diario'!$K$5:$K$504, '📅 Resumen Diario'!$B$5:$B$504, B2587, '📅 Resumen Diario'!$C$5:$C$504, D2587), 0))</f>
        <v/>
      </c>
      <c r="M2587" s="31" t="str">
        <f t="shared" si="283"/>
        <v/>
      </c>
      <c r="N2587" s="31" t="str">
        <f t="shared" si="284"/>
        <v/>
      </c>
      <c r="O2587" s="31" t="str">
        <f>IF(OR(B2587="",C2587=""),"",K2587-N2587 + IFERROR(E2587 / SUMIFS('📅 Resumen Diario'!$D$5:$D$504, '📅 Resumen Diario'!$B$5:$B$504, B2587, '📅 Resumen Diario'!$C$5:$C$504, D2587) * (SUMIFS('📋 Detalle Diario'!$E$5:$E$489, '📋 Detalle Diario'!$B$5:$B$489, B2587, '📋 Detalle Diario'!$C$5:$C$489, D2587) * 135 + SUMIFS('📋 Detalle Diario'!$I$5:$I$489, '📋 Detalle Diario'!$B$5:$B$489, B2587, '📋 Detalle Diario'!$C$5:$C$489, D2587) * 200), 0))</f>
        <v/>
      </c>
      <c r="P2587" s="32" t="str">
        <f t="shared" si="285"/>
        <v/>
      </c>
      <c r="Q2587" s="33" t="str">
        <f t="shared" si="286"/>
        <v/>
      </c>
    </row>
    <row r="2588" spans="2:17" ht="18" customHeight="1" x14ac:dyDescent="0.3">
      <c r="B2588" s="26"/>
      <c r="C2588" s="17"/>
      <c r="D2588" s="27"/>
      <c r="E2588" s="18"/>
      <c r="F2588" s="18"/>
      <c r="G2588" s="18"/>
      <c r="H2588" s="30" t="str">
        <f t="shared" si="280"/>
        <v/>
      </c>
      <c r="I2588" s="31" t="str">
        <f>IF(OR(B2588="",C2588=""),"",IFERROR(E2588*IF(E2588="",0,VLOOKUP(C2588,'📦 Precios Proforma'!$B$5:$D$104,IF(D2588="DIA",2,3),FALSE)),0))</f>
        <v/>
      </c>
      <c r="J2588" s="31" t="str">
        <f t="shared" si="281"/>
        <v/>
      </c>
      <c r="K2588" s="31" t="str">
        <f t="shared" si="282"/>
        <v/>
      </c>
      <c r="L2588" s="31" t="str">
        <f>IF(OR(B2588="",C2588=""),"",IFERROR(E2588 / SUMIFS('📅 Resumen Diario'!$D$5:$D$504, '📅 Resumen Diario'!$B$5:$B$504, B2588, '📅 Resumen Diario'!$C$5:$C$504, D2588) * SUMIFS('📅 Resumen Diario'!$K$5:$K$504, '📅 Resumen Diario'!$B$5:$B$504, B2588, '📅 Resumen Diario'!$C$5:$C$504, D2588), 0))</f>
        <v/>
      </c>
      <c r="M2588" s="31" t="str">
        <f t="shared" si="283"/>
        <v/>
      </c>
      <c r="N2588" s="31" t="str">
        <f t="shared" si="284"/>
        <v/>
      </c>
      <c r="O2588" s="31" t="str">
        <f>IF(OR(B2588="",C2588=""),"",K2588-N2588 + IFERROR(E2588 / SUMIFS('📅 Resumen Diario'!$D$5:$D$504, '📅 Resumen Diario'!$B$5:$B$504, B2588, '📅 Resumen Diario'!$C$5:$C$504, D2588) * (SUMIFS('📋 Detalle Diario'!$E$5:$E$489, '📋 Detalle Diario'!$B$5:$B$489, B2588, '📋 Detalle Diario'!$C$5:$C$489, D2588) * 135 + SUMIFS('📋 Detalle Diario'!$I$5:$I$489, '📋 Detalle Diario'!$B$5:$B$489, B2588, '📋 Detalle Diario'!$C$5:$C$489, D2588) * 200), 0))</f>
        <v/>
      </c>
      <c r="P2588" s="32" t="str">
        <f t="shared" si="285"/>
        <v/>
      </c>
      <c r="Q2588" s="33" t="str">
        <f t="shared" si="286"/>
        <v/>
      </c>
    </row>
    <row r="2589" spans="2:17" ht="18" customHeight="1" x14ac:dyDescent="0.3">
      <c r="B2589" s="26"/>
      <c r="C2589" s="28"/>
      <c r="D2589" s="27"/>
      <c r="E2589" s="29"/>
      <c r="F2589" s="29"/>
      <c r="G2589" s="29"/>
      <c r="H2589" s="30" t="str">
        <f t="shared" si="280"/>
        <v/>
      </c>
      <c r="I2589" s="31" t="str">
        <f>IF(OR(B2589="",C2589=""),"",IFERROR(E2589*IF(E2589="",0,VLOOKUP(C2589,'📦 Precios Proforma'!$B$5:$D$104,IF(D2589="DIA",2,3),FALSE)),0))</f>
        <v/>
      </c>
      <c r="J2589" s="31" t="str">
        <f t="shared" si="281"/>
        <v/>
      </c>
      <c r="K2589" s="31" t="str">
        <f t="shared" si="282"/>
        <v/>
      </c>
      <c r="L2589" s="31" t="str">
        <f>IF(OR(B2589="",C2589=""),"",IFERROR(E2589 / SUMIFS('📅 Resumen Diario'!$D$5:$D$504, '📅 Resumen Diario'!$B$5:$B$504, B2589, '📅 Resumen Diario'!$C$5:$C$504, D2589) * SUMIFS('📅 Resumen Diario'!$K$5:$K$504, '📅 Resumen Diario'!$B$5:$B$504, B2589, '📅 Resumen Diario'!$C$5:$C$504, D2589), 0))</f>
        <v/>
      </c>
      <c r="M2589" s="31" t="str">
        <f t="shared" si="283"/>
        <v/>
      </c>
      <c r="N2589" s="31" t="str">
        <f t="shared" si="284"/>
        <v/>
      </c>
      <c r="O2589" s="31" t="str">
        <f>IF(OR(B2589="",C2589=""),"",K2589-N2589 + IFERROR(E2589 / SUMIFS('📅 Resumen Diario'!$D$5:$D$504, '📅 Resumen Diario'!$B$5:$B$504, B2589, '📅 Resumen Diario'!$C$5:$C$504, D2589) * (SUMIFS('📋 Detalle Diario'!$E$5:$E$489, '📋 Detalle Diario'!$B$5:$B$489, B2589, '📋 Detalle Diario'!$C$5:$C$489, D2589) * 135 + SUMIFS('📋 Detalle Diario'!$I$5:$I$489, '📋 Detalle Diario'!$B$5:$B$489, B2589, '📋 Detalle Diario'!$C$5:$C$489, D2589) * 200), 0))</f>
        <v/>
      </c>
      <c r="P2589" s="32" t="str">
        <f t="shared" si="285"/>
        <v/>
      </c>
      <c r="Q2589" s="33" t="str">
        <f t="shared" si="286"/>
        <v/>
      </c>
    </row>
    <row r="2590" spans="2:17" ht="18" customHeight="1" x14ac:dyDescent="0.3">
      <c r="B2590" s="26"/>
      <c r="C2590" s="17"/>
      <c r="D2590" s="27"/>
      <c r="E2590" s="18"/>
      <c r="F2590" s="18"/>
      <c r="G2590" s="18"/>
      <c r="H2590" s="30" t="str">
        <f t="shared" si="280"/>
        <v/>
      </c>
      <c r="I2590" s="31" t="str">
        <f>IF(OR(B2590="",C2590=""),"",IFERROR(E2590*IF(E2590="",0,VLOOKUP(C2590,'📦 Precios Proforma'!$B$5:$D$104,IF(D2590="DIA",2,3),FALSE)),0))</f>
        <v/>
      </c>
      <c r="J2590" s="31" t="str">
        <f t="shared" si="281"/>
        <v/>
      </c>
      <c r="K2590" s="31" t="str">
        <f t="shared" si="282"/>
        <v/>
      </c>
      <c r="L2590" s="31" t="str">
        <f>IF(OR(B2590="",C2590=""),"",IFERROR(E2590 / SUMIFS('📅 Resumen Diario'!$D$5:$D$504, '📅 Resumen Diario'!$B$5:$B$504, B2590, '📅 Resumen Diario'!$C$5:$C$504, D2590) * SUMIFS('📅 Resumen Diario'!$K$5:$K$504, '📅 Resumen Diario'!$B$5:$B$504, B2590, '📅 Resumen Diario'!$C$5:$C$504, D2590), 0))</f>
        <v/>
      </c>
      <c r="M2590" s="31" t="str">
        <f t="shared" si="283"/>
        <v/>
      </c>
      <c r="N2590" s="31" t="str">
        <f t="shared" si="284"/>
        <v/>
      </c>
      <c r="O2590" s="31" t="str">
        <f>IF(OR(B2590="",C2590=""),"",K2590-N2590 + IFERROR(E2590 / SUMIFS('📅 Resumen Diario'!$D$5:$D$504, '📅 Resumen Diario'!$B$5:$B$504, B2590, '📅 Resumen Diario'!$C$5:$C$504, D2590) * (SUMIFS('📋 Detalle Diario'!$E$5:$E$489, '📋 Detalle Diario'!$B$5:$B$489, B2590, '📋 Detalle Diario'!$C$5:$C$489, D2590) * 135 + SUMIFS('📋 Detalle Diario'!$I$5:$I$489, '📋 Detalle Diario'!$B$5:$B$489, B2590, '📋 Detalle Diario'!$C$5:$C$489, D2590) * 200), 0))</f>
        <v/>
      </c>
      <c r="P2590" s="32" t="str">
        <f t="shared" si="285"/>
        <v/>
      </c>
      <c r="Q2590" s="33" t="str">
        <f t="shared" si="286"/>
        <v/>
      </c>
    </row>
    <row r="2591" spans="2:17" ht="18" customHeight="1" x14ac:dyDescent="0.3">
      <c r="B2591" s="26"/>
      <c r="C2591" s="28"/>
      <c r="D2591" s="27"/>
      <c r="E2591" s="29"/>
      <c r="F2591" s="29"/>
      <c r="G2591" s="29"/>
      <c r="H2591" s="30" t="str">
        <f t="shared" si="280"/>
        <v/>
      </c>
      <c r="I2591" s="31" t="str">
        <f>IF(OR(B2591="",C2591=""),"",IFERROR(E2591*IF(E2591="",0,VLOOKUP(C2591,'📦 Precios Proforma'!$B$5:$D$104,IF(D2591="DIA",2,3),FALSE)),0))</f>
        <v/>
      </c>
      <c r="J2591" s="31" t="str">
        <f t="shared" si="281"/>
        <v/>
      </c>
      <c r="K2591" s="31" t="str">
        <f t="shared" si="282"/>
        <v/>
      </c>
      <c r="L2591" s="31" t="str">
        <f>IF(OR(B2591="",C2591=""),"",IFERROR(E2591 / SUMIFS('📅 Resumen Diario'!$D$5:$D$504, '📅 Resumen Diario'!$B$5:$B$504, B2591, '📅 Resumen Diario'!$C$5:$C$504, D2591) * SUMIFS('📅 Resumen Diario'!$K$5:$K$504, '📅 Resumen Diario'!$B$5:$B$504, B2591, '📅 Resumen Diario'!$C$5:$C$504, D2591), 0))</f>
        <v/>
      </c>
      <c r="M2591" s="31" t="str">
        <f t="shared" si="283"/>
        <v/>
      </c>
      <c r="N2591" s="31" t="str">
        <f t="shared" si="284"/>
        <v/>
      </c>
      <c r="O2591" s="31" t="str">
        <f>IF(OR(B2591="",C2591=""),"",K2591-N2591 + IFERROR(E2591 / SUMIFS('📅 Resumen Diario'!$D$5:$D$504, '📅 Resumen Diario'!$B$5:$B$504, B2591, '📅 Resumen Diario'!$C$5:$C$504, D2591) * (SUMIFS('📋 Detalle Diario'!$E$5:$E$489, '📋 Detalle Diario'!$B$5:$B$489, B2591, '📋 Detalle Diario'!$C$5:$C$489, D2591) * 135 + SUMIFS('📋 Detalle Diario'!$I$5:$I$489, '📋 Detalle Diario'!$B$5:$B$489, B2591, '📋 Detalle Diario'!$C$5:$C$489, D2591) * 200), 0))</f>
        <v/>
      </c>
      <c r="P2591" s="32" t="str">
        <f t="shared" si="285"/>
        <v/>
      </c>
      <c r="Q2591" s="33" t="str">
        <f t="shared" si="286"/>
        <v/>
      </c>
    </row>
    <row r="2592" spans="2:17" ht="18" customHeight="1" x14ac:dyDescent="0.3">
      <c r="B2592" s="26"/>
      <c r="C2592" s="17"/>
      <c r="D2592" s="27"/>
      <c r="E2592" s="18"/>
      <c r="F2592" s="18"/>
      <c r="G2592" s="18"/>
      <c r="H2592" s="30" t="str">
        <f t="shared" si="280"/>
        <v/>
      </c>
      <c r="I2592" s="31" t="str">
        <f>IF(OR(B2592="",C2592=""),"",IFERROR(E2592*IF(E2592="",0,VLOOKUP(C2592,'📦 Precios Proforma'!$B$5:$D$104,IF(D2592="DIA",2,3),FALSE)),0))</f>
        <v/>
      </c>
      <c r="J2592" s="31" t="str">
        <f t="shared" si="281"/>
        <v/>
      </c>
      <c r="K2592" s="31" t="str">
        <f t="shared" si="282"/>
        <v/>
      </c>
      <c r="L2592" s="31" t="str">
        <f>IF(OR(B2592="",C2592=""),"",IFERROR(E2592 / SUMIFS('📅 Resumen Diario'!$D$5:$D$504, '📅 Resumen Diario'!$B$5:$B$504, B2592, '📅 Resumen Diario'!$C$5:$C$504, D2592) * SUMIFS('📅 Resumen Diario'!$K$5:$K$504, '📅 Resumen Diario'!$B$5:$B$504, B2592, '📅 Resumen Diario'!$C$5:$C$504, D2592), 0))</f>
        <v/>
      </c>
      <c r="M2592" s="31" t="str">
        <f t="shared" si="283"/>
        <v/>
      </c>
      <c r="N2592" s="31" t="str">
        <f t="shared" si="284"/>
        <v/>
      </c>
      <c r="O2592" s="31" t="str">
        <f>IF(OR(B2592="",C2592=""),"",K2592-N2592 + IFERROR(E2592 / SUMIFS('📅 Resumen Diario'!$D$5:$D$504, '📅 Resumen Diario'!$B$5:$B$504, B2592, '📅 Resumen Diario'!$C$5:$C$504, D2592) * (SUMIFS('📋 Detalle Diario'!$E$5:$E$489, '📋 Detalle Diario'!$B$5:$B$489, B2592, '📋 Detalle Diario'!$C$5:$C$489, D2592) * 135 + SUMIFS('📋 Detalle Diario'!$I$5:$I$489, '📋 Detalle Diario'!$B$5:$B$489, B2592, '📋 Detalle Diario'!$C$5:$C$489, D2592) * 200), 0))</f>
        <v/>
      </c>
      <c r="P2592" s="32" t="str">
        <f t="shared" si="285"/>
        <v/>
      </c>
      <c r="Q2592" s="33" t="str">
        <f t="shared" si="286"/>
        <v/>
      </c>
    </row>
    <row r="2593" spans="2:17" ht="18" customHeight="1" x14ac:dyDescent="0.3">
      <c r="B2593" s="26"/>
      <c r="C2593" s="28"/>
      <c r="D2593" s="27"/>
      <c r="E2593" s="29"/>
      <c r="F2593" s="29"/>
      <c r="G2593" s="29"/>
      <c r="H2593" s="30" t="str">
        <f t="shared" si="280"/>
        <v/>
      </c>
      <c r="I2593" s="31" t="str">
        <f>IF(OR(B2593="",C2593=""),"",IFERROR(E2593*IF(E2593="",0,VLOOKUP(C2593,'📦 Precios Proforma'!$B$5:$D$104,IF(D2593="DIA",2,3),FALSE)),0))</f>
        <v/>
      </c>
      <c r="J2593" s="31" t="str">
        <f t="shared" si="281"/>
        <v/>
      </c>
      <c r="K2593" s="31" t="str">
        <f t="shared" si="282"/>
        <v/>
      </c>
      <c r="L2593" s="31" t="str">
        <f>IF(OR(B2593="",C2593=""),"",IFERROR(E2593 / SUMIFS('📅 Resumen Diario'!$D$5:$D$504, '📅 Resumen Diario'!$B$5:$B$504, B2593, '📅 Resumen Diario'!$C$5:$C$504, D2593) * SUMIFS('📅 Resumen Diario'!$K$5:$K$504, '📅 Resumen Diario'!$B$5:$B$504, B2593, '📅 Resumen Diario'!$C$5:$C$504, D2593), 0))</f>
        <v/>
      </c>
      <c r="M2593" s="31" t="str">
        <f t="shared" si="283"/>
        <v/>
      </c>
      <c r="N2593" s="31" t="str">
        <f t="shared" si="284"/>
        <v/>
      </c>
      <c r="O2593" s="31" t="str">
        <f>IF(OR(B2593="",C2593=""),"",K2593-N2593 + IFERROR(E2593 / SUMIFS('📅 Resumen Diario'!$D$5:$D$504, '📅 Resumen Diario'!$B$5:$B$504, B2593, '📅 Resumen Diario'!$C$5:$C$504, D2593) * (SUMIFS('📋 Detalle Diario'!$E$5:$E$489, '📋 Detalle Diario'!$B$5:$B$489, B2593, '📋 Detalle Diario'!$C$5:$C$489, D2593) * 135 + SUMIFS('📋 Detalle Diario'!$I$5:$I$489, '📋 Detalle Diario'!$B$5:$B$489, B2593, '📋 Detalle Diario'!$C$5:$C$489, D2593) * 200), 0))</f>
        <v/>
      </c>
      <c r="P2593" s="32" t="str">
        <f t="shared" si="285"/>
        <v/>
      </c>
      <c r="Q2593" s="33" t="str">
        <f t="shared" si="286"/>
        <v/>
      </c>
    </row>
    <row r="2594" spans="2:17" ht="18" customHeight="1" x14ac:dyDescent="0.3">
      <c r="B2594" s="26"/>
      <c r="C2594" s="17"/>
      <c r="D2594" s="27"/>
      <c r="E2594" s="18"/>
      <c r="F2594" s="18"/>
      <c r="G2594" s="18"/>
      <c r="H2594" s="30" t="str">
        <f t="shared" si="280"/>
        <v/>
      </c>
      <c r="I2594" s="31" t="str">
        <f>IF(OR(B2594="",C2594=""),"",IFERROR(E2594*IF(E2594="",0,VLOOKUP(C2594,'📦 Precios Proforma'!$B$5:$D$104,IF(D2594="DIA",2,3),FALSE)),0))</f>
        <v/>
      </c>
      <c r="J2594" s="31" t="str">
        <f t="shared" si="281"/>
        <v/>
      </c>
      <c r="K2594" s="31" t="str">
        <f t="shared" si="282"/>
        <v/>
      </c>
      <c r="L2594" s="31" t="str">
        <f>IF(OR(B2594="",C2594=""),"",IFERROR(E2594 / SUMIFS('📅 Resumen Diario'!$D$5:$D$504, '📅 Resumen Diario'!$B$5:$B$504, B2594, '📅 Resumen Diario'!$C$5:$C$504, D2594) * SUMIFS('📅 Resumen Diario'!$K$5:$K$504, '📅 Resumen Diario'!$B$5:$B$504, B2594, '📅 Resumen Diario'!$C$5:$C$504, D2594), 0))</f>
        <v/>
      </c>
      <c r="M2594" s="31" t="str">
        <f t="shared" si="283"/>
        <v/>
      </c>
      <c r="N2594" s="31" t="str">
        <f t="shared" si="284"/>
        <v/>
      </c>
      <c r="O2594" s="31" t="str">
        <f>IF(OR(B2594="",C2594=""),"",K2594-N2594 + IFERROR(E2594 / SUMIFS('📅 Resumen Diario'!$D$5:$D$504, '📅 Resumen Diario'!$B$5:$B$504, B2594, '📅 Resumen Diario'!$C$5:$C$504, D2594) * (SUMIFS('📋 Detalle Diario'!$E$5:$E$489, '📋 Detalle Diario'!$B$5:$B$489, B2594, '📋 Detalle Diario'!$C$5:$C$489, D2594) * 135 + SUMIFS('📋 Detalle Diario'!$I$5:$I$489, '📋 Detalle Diario'!$B$5:$B$489, B2594, '📋 Detalle Diario'!$C$5:$C$489, D2594) * 200), 0))</f>
        <v/>
      </c>
      <c r="P2594" s="32" t="str">
        <f t="shared" si="285"/>
        <v/>
      </c>
      <c r="Q2594" s="33" t="str">
        <f t="shared" si="286"/>
        <v/>
      </c>
    </row>
    <row r="2595" spans="2:17" ht="18" customHeight="1" x14ac:dyDescent="0.3">
      <c r="B2595" s="26"/>
      <c r="C2595" s="28"/>
      <c r="D2595" s="27"/>
      <c r="E2595" s="29"/>
      <c r="F2595" s="29"/>
      <c r="G2595" s="29"/>
      <c r="H2595" s="30" t="str">
        <f t="shared" si="280"/>
        <v/>
      </c>
      <c r="I2595" s="31" t="str">
        <f>IF(OR(B2595="",C2595=""),"",IFERROR(E2595*IF(E2595="",0,VLOOKUP(C2595,'📦 Precios Proforma'!$B$5:$D$104,IF(D2595="DIA",2,3),FALSE)),0))</f>
        <v/>
      </c>
      <c r="J2595" s="31" t="str">
        <f t="shared" si="281"/>
        <v/>
      </c>
      <c r="K2595" s="31" t="str">
        <f t="shared" si="282"/>
        <v/>
      </c>
      <c r="L2595" s="31" t="str">
        <f>IF(OR(B2595="",C2595=""),"",IFERROR(E2595 / SUMIFS('📅 Resumen Diario'!$D$5:$D$504, '📅 Resumen Diario'!$B$5:$B$504, B2595, '📅 Resumen Diario'!$C$5:$C$504, D2595) * SUMIFS('📅 Resumen Diario'!$K$5:$K$504, '📅 Resumen Diario'!$B$5:$B$504, B2595, '📅 Resumen Diario'!$C$5:$C$504, D2595), 0))</f>
        <v/>
      </c>
      <c r="M2595" s="31" t="str">
        <f t="shared" si="283"/>
        <v/>
      </c>
      <c r="N2595" s="31" t="str">
        <f t="shared" si="284"/>
        <v/>
      </c>
      <c r="O2595" s="31" t="str">
        <f>IF(OR(B2595="",C2595=""),"",K2595-N2595 + IFERROR(E2595 / SUMIFS('📅 Resumen Diario'!$D$5:$D$504, '📅 Resumen Diario'!$B$5:$B$504, B2595, '📅 Resumen Diario'!$C$5:$C$504, D2595) * (SUMIFS('📋 Detalle Diario'!$E$5:$E$489, '📋 Detalle Diario'!$B$5:$B$489, B2595, '📋 Detalle Diario'!$C$5:$C$489, D2595) * 135 + SUMIFS('📋 Detalle Diario'!$I$5:$I$489, '📋 Detalle Diario'!$B$5:$B$489, B2595, '📋 Detalle Diario'!$C$5:$C$489, D2595) * 200), 0))</f>
        <v/>
      </c>
      <c r="P2595" s="32" t="str">
        <f t="shared" si="285"/>
        <v/>
      </c>
      <c r="Q2595" s="33" t="str">
        <f t="shared" si="286"/>
        <v/>
      </c>
    </row>
    <row r="2596" spans="2:17" ht="18" customHeight="1" x14ac:dyDescent="0.3">
      <c r="B2596" s="26"/>
      <c r="C2596" s="17"/>
      <c r="D2596" s="27"/>
      <c r="E2596" s="18"/>
      <c r="F2596" s="18"/>
      <c r="G2596" s="18"/>
      <c r="H2596" s="30" t="str">
        <f t="shared" si="280"/>
        <v/>
      </c>
      <c r="I2596" s="31" t="str">
        <f>IF(OR(B2596="",C2596=""),"",IFERROR(E2596*IF(E2596="",0,VLOOKUP(C2596,'📦 Precios Proforma'!$B$5:$D$104,IF(D2596="DIA",2,3),FALSE)),0))</f>
        <v/>
      </c>
      <c r="J2596" s="31" t="str">
        <f t="shared" si="281"/>
        <v/>
      </c>
      <c r="K2596" s="31" t="str">
        <f t="shared" si="282"/>
        <v/>
      </c>
      <c r="L2596" s="31" t="str">
        <f>IF(OR(B2596="",C2596=""),"",IFERROR(E2596 / SUMIFS('📅 Resumen Diario'!$D$5:$D$504, '📅 Resumen Diario'!$B$5:$B$504, B2596, '📅 Resumen Diario'!$C$5:$C$504, D2596) * SUMIFS('📅 Resumen Diario'!$K$5:$K$504, '📅 Resumen Diario'!$B$5:$B$504, B2596, '📅 Resumen Diario'!$C$5:$C$504, D2596), 0))</f>
        <v/>
      </c>
      <c r="M2596" s="31" t="str">
        <f t="shared" si="283"/>
        <v/>
      </c>
      <c r="N2596" s="31" t="str">
        <f t="shared" si="284"/>
        <v/>
      </c>
      <c r="O2596" s="31" t="str">
        <f>IF(OR(B2596="",C2596=""),"",K2596-N2596 + IFERROR(E2596 / SUMIFS('📅 Resumen Diario'!$D$5:$D$504, '📅 Resumen Diario'!$B$5:$B$504, B2596, '📅 Resumen Diario'!$C$5:$C$504, D2596) * (SUMIFS('📋 Detalle Diario'!$E$5:$E$489, '📋 Detalle Diario'!$B$5:$B$489, B2596, '📋 Detalle Diario'!$C$5:$C$489, D2596) * 135 + SUMIFS('📋 Detalle Diario'!$I$5:$I$489, '📋 Detalle Diario'!$B$5:$B$489, B2596, '📋 Detalle Diario'!$C$5:$C$489, D2596) * 200), 0))</f>
        <v/>
      </c>
      <c r="P2596" s="32" t="str">
        <f t="shared" si="285"/>
        <v/>
      </c>
      <c r="Q2596" s="33" t="str">
        <f t="shared" si="286"/>
        <v/>
      </c>
    </row>
    <row r="2597" spans="2:17" ht="18" customHeight="1" x14ac:dyDescent="0.3">
      <c r="B2597" s="26"/>
      <c r="C2597" s="28"/>
      <c r="D2597" s="27"/>
      <c r="E2597" s="29"/>
      <c r="F2597" s="29"/>
      <c r="G2597" s="29"/>
      <c r="H2597" s="30" t="str">
        <f t="shared" si="280"/>
        <v/>
      </c>
      <c r="I2597" s="31" t="str">
        <f>IF(OR(B2597="",C2597=""),"",IFERROR(E2597*IF(E2597="",0,VLOOKUP(C2597,'📦 Precios Proforma'!$B$5:$D$104,IF(D2597="DIA",2,3),FALSE)),0))</f>
        <v/>
      </c>
      <c r="J2597" s="31" t="str">
        <f t="shared" si="281"/>
        <v/>
      </c>
      <c r="K2597" s="31" t="str">
        <f t="shared" si="282"/>
        <v/>
      </c>
      <c r="L2597" s="31" t="str">
        <f>IF(OR(B2597="",C2597=""),"",IFERROR(E2597 / SUMIFS('📅 Resumen Diario'!$D$5:$D$504, '📅 Resumen Diario'!$B$5:$B$504, B2597, '📅 Resumen Diario'!$C$5:$C$504, D2597) * SUMIFS('📅 Resumen Diario'!$K$5:$K$504, '📅 Resumen Diario'!$B$5:$B$504, B2597, '📅 Resumen Diario'!$C$5:$C$504, D2597), 0))</f>
        <v/>
      </c>
      <c r="M2597" s="31" t="str">
        <f t="shared" si="283"/>
        <v/>
      </c>
      <c r="N2597" s="31" t="str">
        <f t="shared" si="284"/>
        <v/>
      </c>
      <c r="O2597" s="31" t="str">
        <f>IF(OR(B2597="",C2597=""),"",K2597-N2597 + IFERROR(E2597 / SUMIFS('📅 Resumen Diario'!$D$5:$D$504, '📅 Resumen Diario'!$B$5:$B$504, B2597, '📅 Resumen Diario'!$C$5:$C$504, D2597) * (SUMIFS('📋 Detalle Diario'!$E$5:$E$489, '📋 Detalle Diario'!$B$5:$B$489, B2597, '📋 Detalle Diario'!$C$5:$C$489, D2597) * 135 + SUMIFS('📋 Detalle Diario'!$I$5:$I$489, '📋 Detalle Diario'!$B$5:$B$489, B2597, '📋 Detalle Diario'!$C$5:$C$489, D2597) * 200), 0))</f>
        <v/>
      </c>
      <c r="P2597" s="32" t="str">
        <f t="shared" si="285"/>
        <v/>
      </c>
      <c r="Q2597" s="33" t="str">
        <f t="shared" si="286"/>
        <v/>
      </c>
    </row>
    <row r="2598" spans="2:17" ht="18" customHeight="1" x14ac:dyDescent="0.3">
      <c r="B2598" s="26"/>
      <c r="C2598" s="17"/>
      <c r="D2598" s="27"/>
      <c r="E2598" s="18"/>
      <c r="F2598" s="18"/>
      <c r="G2598" s="18"/>
      <c r="H2598" s="30" t="str">
        <f t="shared" si="280"/>
        <v/>
      </c>
      <c r="I2598" s="31" t="str">
        <f>IF(OR(B2598="",C2598=""),"",IFERROR(E2598*IF(E2598="",0,VLOOKUP(C2598,'📦 Precios Proforma'!$B$5:$D$104,IF(D2598="DIA",2,3),FALSE)),0))</f>
        <v/>
      </c>
      <c r="J2598" s="31" t="str">
        <f t="shared" si="281"/>
        <v/>
      </c>
      <c r="K2598" s="31" t="str">
        <f t="shared" si="282"/>
        <v/>
      </c>
      <c r="L2598" s="31" t="str">
        <f>IF(OR(B2598="",C2598=""),"",IFERROR(E2598 / SUMIFS('📅 Resumen Diario'!$D$5:$D$504, '📅 Resumen Diario'!$B$5:$B$504, B2598, '📅 Resumen Diario'!$C$5:$C$504, D2598) * SUMIFS('📅 Resumen Diario'!$K$5:$K$504, '📅 Resumen Diario'!$B$5:$B$504, B2598, '📅 Resumen Diario'!$C$5:$C$504, D2598), 0))</f>
        <v/>
      </c>
      <c r="M2598" s="31" t="str">
        <f t="shared" si="283"/>
        <v/>
      </c>
      <c r="N2598" s="31" t="str">
        <f t="shared" si="284"/>
        <v/>
      </c>
      <c r="O2598" s="31" t="str">
        <f>IF(OR(B2598="",C2598=""),"",K2598-N2598 + IFERROR(E2598 / SUMIFS('📅 Resumen Diario'!$D$5:$D$504, '📅 Resumen Diario'!$B$5:$B$504, B2598, '📅 Resumen Diario'!$C$5:$C$504, D2598) * (SUMIFS('📋 Detalle Diario'!$E$5:$E$489, '📋 Detalle Diario'!$B$5:$B$489, B2598, '📋 Detalle Diario'!$C$5:$C$489, D2598) * 135 + SUMIFS('📋 Detalle Diario'!$I$5:$I$489, '📋 Detalle Diario'!$B$5:$B$489, B2598, '📋 Detalle Diario'!$C$5:$C$489, D2598) * 200), 0))</f>
        <v/>
      </c>
      <c r="P2598" s="32" t="str">
        <f t="shared" si="285"/>
        <v/>
      </c>
      <c r="Q2598" s="33" t="str">
        <f t="shared" si="286"/>
        <v/>
      </c>
    </row>
    <row r="2599" spans="2:17" ht="18" customHeight="1" x14ac:dyDescent="0.3">
      <c r="B2599" s="26"/>
      <c r="C2599" s="28"/>
      <c r="D2599" s="27"/>
      <c r="E2599" s="29"/>
      <c r="F2599" s="29"/>
      <c r="G2599" s="29"/>
      <c r="H2599" s="30" t="str">
        <f t="shared" si="280"/>
        <v/>
      </c>
      <c r="I2599" s="31" t="str">
        <f>IF(OR(B2599="",C2599=""),"",IFERROR(E2599*IF(E2599="",0,VLOOKUP(C2599,'📦 Precios Proforma'!$B$5:$D$104,IF(D2599="DIA",2,3),FALSE)),0))</f>
        <v/>
      </c>
      <c r="J2599" s="31" t="str">
        <f t="shared" si="281"/>
        <v/>
      </c>
      <c r="K2599" s="31" t="str">
        <f t="shared" si="282"/>
        <v/>
      </c>
      <c r="L2599" s="31" t="str">
        <f>IF(OR(B2599="",C2599=""),"",IFERROR(E2599 / SUMIFS('📅 Resumen Diario'!$D$5:$D$504, '📅 Resumen Diario'!$B$5:$B$504, B2599, '📅 Resumen Diario'!$C$5:$C$504, D2599) * SUMIFS('📅 Resumen Diario'!$K$5:$K$504, '📅 Resumen Diario'!$B$5:$B$504, B2599, '📅 Resumen Diario'!$C$5:$C$504, D2599), 0))</f>
        <v/>
      </c>
      <c r="M2599" s="31" t="str">
        <f t="shared" si="283"/>
        <v/>
      </c>
      <c r="N2599" s="31" t="str">
        <f t="shared" si="284"/>
        <v/>
      </c>
      <c r="O2599" s="31" t="str">
        <f>IF(OR(B2599="",C2599=""),"",K2599-N2599 + IFERROR(E2599 / SUMIFS('📅 Resumen Diario'!$D$5:$D$504, '📅 Resumen Diario'!$B$5:$B$504, B2599, '📅 Resumen Diario'!$C$5:$C$504, D2599) * (SUMIFS('📋 Detalle Diario'!$E$5:$E$489, '📋 Detalle Diario'!$B$5:$B$489, B2599, '📋 Detalle Diario'!$C$5:$C$489, D2599) * 135 + SUMIFS('📋 Detalle Diario'!$I$5:$I$489, '📋 Detalle Diario'!$B$5:$B$489, B2599, '📋 Detalle Diario'!$C$5:$C$489, D2599) * 200), 0))</f>
        <v/>
      </c>
      <c r="P2599" s="32" t="str">
        <f t="shared" si="285"/>
        <v/>
      </c>
      <c r="Q2599" s="33" t="str">
        <f t="shared" si="286"/>
        <v/>
      </c>
    </row>
    <row r="2600" spans="2:17" ht="18" customHeight="1" x14ac:dyDescent="0.3">
      <c r="B2600" s="26"/>
      <c r="C2600" s="17"/>
      <c r="D2600" s="27"/>
      <c r="E2600" s="18"/>
      <c r="F2600" s="18"/>
      <c r="G2600" s="18"/>
      <c r="H2600" s="30" t="str">
        <f t="shared" si="280"/>
        <v/>
      </c>
      <c r="I2600" s="31" t="str">
        <f>IF(OR(B2600="",C2600=""),"",IFERROR(E2600*IF(E2600="",0,VLOOKUP(C2600,'📦 Precios Proforma'!$B$5:$D$104,IF(D2600="DIA",2,3),FALSE)),0))</f>
        <v/>
      </c>
      <c r="J2600" s="31" t="str">
        <f t="shared" si="281"/>
        <v/>
      </c>
      <c r="K2600" s="31" t="str">
        <f t="shared" si="282"/>
        <v/>
      </c>
      <c r="L2600" s="31" t="str">
        <f>IF(OR(B2600="",C2600=""),"",IFERROR(E2600 / SUMIFS('📅 Resumen Diario'!$D$5:$D$504, '📅 Resumen Diario'!$B$5:$B$504, B2600, '📅 Resumen Diario'!$C$5:$C$504, D2600) * SUMIFS('📅 Resumen Diario'!$K$5:$K$504, '📅 Resumen Diario'!$B$5:$B$504, B2600, '📅 Resumen Diario'!$C$5:$C$504, D2600), 0))</f>
        <v/>
      </c>
      <c r="M2600" s="31" t="str">
        <f t="shared" si="283"/>
        <v/>
      </c>
      <c r="N2600" s="31" t="str">
        <f t="shared" si="284"/>
        <v/>
      </c>
      <c r="O2600" s="31" t="str">
        <f>IF(OR(B2600="",C2600=""),"",K2600-N2600 + IFERROR(E2600 / SUMIFS('📅 Resumen Diario'!$D$5:$D$504, '📅 Resumen Diario'!$B$5:$B$504, B2600, '📅 Resumen Diario'!$C$5:$C$504, D2600) * (SUMIFS('📋 Detalle Diario'!$E$5:$E$489, '📋 Detalle Diario'!$B$5:$B$489, B2600, '📋 Detalle Diario'!$C$5:$C$489, D2600) * 135 + SUMIFS('📋 Detalle Diario'!$I$5:$I$489, '📋 Detalle Diario'!$B$5:$B$489, B2600, '📋 Detalle Diario'!$C$5:$C$489, D2600) * 200), 0))</f>
        <v/>
      </c>
      <c r="P2600" s="32" t="str">
        <f t="shared" si="285"/>
        <v/>
      </c>
      <c r="Q2600" s="33" t="str">
        <f t="shared" si="286"/>
        <v/>
      </c>
    </row>
    <row r="2601" spans="2:17" ht="18" customHeight="1" x14ac:dyDescent="0.3">
      <c r="B2601" s="26"/>
      <c r="C2601" s="28"/>
      <c r="D2601" s="27"/>
      <c r="E2601" s="29"/>
      <c r="F2601" s="29"/>
      <c r="G2601" s="29"/>
      <c r="H2601" s="30" t="str">
        <f t="shared" si="280"/>
        <v/>
      </c>
      <c r="I2601" s="31" t="str">
        <f>IF(OR(B2601="",C2601=""),"",IFERROR(E2601*IF(E2601="",0,VLOOKUP(C2601,'📦 Precios Proforma'!$B$5:$D$104,IF(D2601="DIA",2,3),FALSE)),0))</f>
        <v/>
      </c>
      <c r="J2601" s="31" t="str">
        <f t="shared" si="281"/>
        <v/>
      </c>
      <c r="K2601" s="31" t="str">
        <f t="shared" si="282"/>
        <v/>
      </c>
      <c r="L2601" s="31" t="str">
        <f>IF(OR(B2601="",C2601=""),"",IFERROR(E2601 / SUMIFS('📅 Resumen Diario'!$D$5:$D$504, '📅 Resumen Diario'!$B$5:$B$504, B2601, '📅 Resumen Diario'!$C$5:$C$504, D2601) * SUMIFS('📅 Resumen Diario'!$K$5:$K$504, '📅 Resumen Diario'!$B$5:$B$504, B2601, '📅 Resumen Diario'!$C$5:$C$504, D2601), 0))</f>
        <v/>
      </c>
      <c r="M2601" s="31" t="str">
        <f t="shared" si="283"/>
        <v/>
      </c>
      <c r="N2601" s="31" t="str">
        <f t="shared" si="284"/>
        <v/>
      </c>
      <c r="O2601" s="31" t="str">
        <f>IF(OR(B2601="",C2601=""),"",K2601-N2601 + IFERROR(E2601 / SUMIFS('📅 Resumen Diario'!$D$5:$D$504, '📅 Resumen Diario'!$B$5:$B$504, B2601, '📅 Resumen Diario'!$C$5:$C$504, D2601) * (SUMIFS('📋 Detalle Diario'!$E$5:$E$489, '📋 Detalle Diario'!$B$5:$B$489, B2601, '📋 Detalle Diario'!$C$5:$C$489, D2601) * 135 + SUMIFS('📋 Detalle Diario'!$I$5:$I$489, '📋 Detalle Diario'!$B$5:$B$489, B2601, '📋 Detalle Diario'!$C$5:$C$489, D2601) * 200), 0))</f>
        <v/>
      </c>
      <c r="P2601" s="32" t="str">
        <f t="shared" si="285"/>
        <v/>
      </c>
      <c r="Q2601" s="33" t="str">
        <f t="shared" si="286"/>
        <v/>
      </c>
    </row>
    <row r="2602" spans="2:17" ht="18" customHeight="1" x14ac:dyDescent="0.3">
      <c r="B2602" s="26"/>
      <c r="C2602" s="17"/>
      <c r="D2602" s="27"/>
      <c r="E2602" s="18"/>
      <c r="F2602" s="18"/>
      <c r="G2602" s="18"/>
      <c r="H2602" s="30" t="str">
        <f t="shared" si="280"/>
        <v/>
      </c>
      <c r="I2602" s="31" t="str">
        <f>IF(OR(B2602="",C2602=""),"",IFERROR(E2602*IF(E2602="",0,VLOOKUP(C2602,'📦 Precios Proforma'!$B$5:$D$104,IF(D2602="DIA",2,3),FALSE)),0))</f>
        <v/>
      </c>
      <c r="J2602" s="31" t="str">
        <f t="shared" si="281"/>
        <v/>
      </c>
      <c r="K2602" s="31" t="str">
        <f t="shared" si="282"/>
        <v/>
      </c>
      <c r="L2602" s="31" t="str">
        <f>IF(OR(B2602="",C2602=""),"",IFERROR(E2602 / SUMIFS('📅 Resumen Diario'!$D$5:$D$504, '📅 Resumen Diario'!$B$5:$B$504, B2602, '📅 Resumen Diario'!$C$5:$C$504, D2602) * SUMIFS('📅 Resumen Diario'!$K$5:$K$504, '📅 Resumen Diario'!$B$5:$B$504, B2602, '📅 Resumen Diario'!$C$5:$C$504, D2602), 0))</f>
        <v/>
      </c>
      <c r="M2602" s="31" t="str">
        <f t="shared" si="283"/>
        <v/>
      </c>
      <c r="N2602" s="31" t="str">
        <f t="shared" si="284"/>
        <v/>
      </c>
      <c r="O2602" s="31" t="str">
        <f>IF(OR(B2602="",C2602=""),"",K2602-N2602 + IFERROR(E2602 / SUMIFS('📅 Resumen Diario'!$D$5:$D$504, '📅 Resumen Diario'!$B$5:$B$504, B2602, '📅 Resumen Diario'!$C$5:$C$504, D2602) * (SUMIFS('📋 Detalle Diario'!$E$5:$E$489, '📋 Detalle Diario'!$B$5:$B$489, B2602, '📋 Detalle Diario'!$C$5:$C$489, D2602) * 135 + SUMIFS('📋 Detalle Diario'!$I$5:$I$489, '📋 Detalle Diario'!$B$5:$B$489, B2602, '📋 Detalle Diario'!$C$5:$C$489, D2602) * 200), 0))</f>
        <v/>
      </c>
      <c r="P2602" s="32" t="str">
        <f t="shared" si="285"/>
        <v/>
      </c>
      <c r="Q2602" s="33" t="str">
        <f t="shared" si="286"/>
        <v/>
      </c>
    </row>
    <row r="2603" spans="2:17" ht="18" customHeight="1" x14ac:dyDescent="0.3">
      <c r="B2603" s="26"/>
      <c r="C2603" s="28"/>
      <c r="D2603" s="27"/>
      <c r="E2603" s="29"/>
      <c r="F2603" s="29"/>
      <c r="G2603" s="29"/>
      <c r="H2603" s="30" t="str">
        <f t="shared" si="280"/>
        <v/>
      </c>
      <c r="I2603" s="31" t="str">
        <f>IF(OR(B2603="",C2603=""),"",IFERROR(E2603*IF(E2603="",0,VLOOKUP(C2603,'📦 Precios Proforma'!$B$5:$D$104,IF(D2603="DIA",2,3),FALSE)),0))</f>
        <v/>
      </c>
      <c r="J2603" s="31" t="str">
        <f t="shared" si="281"/>
        <v/>
      </c>
      <c r="K2603" s="31" t="str">
        <f t="shared" si="282"/>
        <v/>
      </c>
      <c r="L2603" s="31" t="str">
        <f>IF(OR(B2603="",C2603=""),"",IFERROR(E2603 / SUMIFS('📅 Resumen Diario'!$D$5:$D$504, '📅 Resumen Diario'!$B$5:$B$504, B2603, '📅 Resumen Diario'!$C$5:$C$504, D2603) * SUMIFS('📅 Resumen Diario'!$K$5:$K$504, '📅 Resumen Diario'!$B$5:$B$504, B2603, '📅 Resumen Diario'!$C$5:$C$504, D2603), 0))</f>
        <v/>
      </c>
      <c r="M2603" s="31" t="str">
        <f t="shared" si="283"/>
        <v/>
      </c>
      <c r="N2603" s="31" t="str">
        <f t="shared" si="284"/>
        <v/>
      </c>
      <c r="O2603" s="31" t="str">
        <f>IF(OR(B2603="",C2603=""),"",K2603-N2603 + IFERROR(E2603 / SUMIFS('📅 Resumen Diario'!$D$5:$D$504, '📅 Resumen Diario'!$B$5:$B$504, B2603, '📅 Resumen Diario'!$C$5:$C$504, D2603) * (SUMIFS('📋 Detalle Diario'!$E$5:$E$489, '📋 Detalle Diario'!$B$5:$B$489, B2603, '📋 Detalle Diario'!$C$5:$C$489, D2603) * 135 + SUMIFS('📋 Detalle Diario'!$I$5:$I$489, '📋 Detalle Diario'!$B$5:$B$489, B2603, '📋 Detalle Diario'!$C$5:$C$489, D2603) * 200), 0))</f>
        <v/>
      </c>
      <c r="P2603" s="32" t="str">
        <f t="shared" si="285"/>
        <v/>
      </c>
      <c r="Q2603" s="33" t="str">
        <f t="shared" si="286"/>
        <v/>
      </c>
    </row>
    <row r="2604" spans="2:17" ht="18" customHeight="1" x14ac:dyDescent="0.3">
      <c r="B2604" s="26"/>
      <c r="C2604" s="17"/>
      <c r="D2604" s="27"/>
      <c r="E2604" s="18"/>
      <c r="F2604" s="18"/>
      <c r="G2604" s="18"/>
      <c r="H2604" s="30" t="str">
        <f t="shared" si="280"/>
        <v/>
      </c>
      <c r="I2604" s="31" t="str">
        <f>IF(OR(B2604="",C2604=""),"",IFERROR(E2604*IF(E2604="",0,VLOOKUP(C2604,'📦 Precios Proforma'!$B$5:$D$104,IF(D2604="DIA",2,3),FALSE)),0))</f>
        <v/>
      </c>
      <c r="J2604" s="31" t="str">
        <f t="shared" si="281"/>
        <v/>
      </c>
      <c r="K2604" s="31" t="str">
        <f t="shared" si="282"/>
        <v/>
      </c>
      <c r="L2604" s="31" t="str">
        <f>IF(OR(B2604="",C2604=""),"",IFERROR(E2604 / SUMIFS('📅 Resumen Diario'!$D$5:$D$504, '📅 Resumen Diario'!$B$5:$B$504, B2604, '📅 Resumen Diario'!$C$5:$C$504, D2604) * SUMIFS('📅 Resumen Diario'!$K$5:$K$504, '📅 Resumen Diario'!$B$5:$B$504, B2604, '📅 Resumen Diario'!$C$5:$C$504, D2604), 0))</f>
        <v/>
      </c>
      <c r="M2604" s="31" t="str">
        <f t="shared" si="283"/>
        <v/>
      </c>
      <c r="N2604" s="31" t="str">
        <f t="shared" si="284"/>
        <v/>
      </c>
      <c r="O2604" s="31" t="str">
        <f>IF(OR(B2604="",C2604=""),"",K2604-N2604 + IFERROR(E2604 / SUMIFS('📅 Resumen Diario'!$D$5:$D$504, '📅 Resumen Diario'!$B$5:$B$504, B2604, '📅 Resumen Diario'!$C$5:$C$504, D2604) * (SUMIFS('📋 Detalle Diario'!$E$5:$E$489, '📋 Detalle Diario'!$B$5:$B$489, B2604, '📋 Detalle Diario'!$C$5:$C$489, D2604) * 135 + SUMIFS('📋 Detalle Diario'!$I$5:$I$489, '📋 Detalle Diario'!$B$5:$B$489, B2604, '📋 Detalle Diario'!$C$5:$C$489, D2604) * 200), 0))</f>
        <v/>
      </c>
      <c r="P2604" s="32" t="str">
        <f t="shared" si="285"/>
        <v/>
      </c>
      <c r="Q2604" s="33" t="str">
        <f t="shared" si="286"/>
        <v/>
      </c>
    </row>
    <row r="2605" spans="2:17" ht="18" customHeight="1" x14ac:dyDescent="0.3">
      <c r="B2605" s="26"/>
      <c r="C2605" s="28"/>
      <c r="D2605" s="27"/>
      <c r="E2605" s="29"/>
      <c r="F2605" s="29"/>
      <c r="G2605" s="29"/>
      <c r="H2605" s="30" t="str">
        <f t="shared" si="280"/>
        <v/>
      </c>
      <c r="I2605" s="31" t="str">
        <f>IF(OR(B2605="",C2605=""),"",IFERROR(E2605*IF(E2605="",0,VLOOKUP(C2605,'📦 Precios Proforma'!$B$5:$D$104,IF(D2605="DIA",2,3),FALSE)),0))</f>
        <v/>
      </c>
      <c r="J2605" s="31" t="str">
        <f t="shared" si="281"/>
        <v/>
      </c>
      <c r="K2605" s="31" t="str">
        <f t="shared" si="282"/>
        <v/>
      </c>
      <c r="L2605" s="31" t="str">
        <f>IF(OR(B2605="",C2605=""),"",IFERROR(E2605 / SUMIFS('📅 Resumen Diario'!$D$5:$D$504, '📅 Resumen Diario'!$B$5:$B$504, B2605, '📅 Resumen Diario'!$C$5:$C$504, D2605) * SUMIFS('📅 Resumen Diario'!$K$5:$K$504, '📅 Resumen Diario'!$B$5:$B$504, B2605, '📅 Resumen Diario'!$C$5:$C$504, D2605), 0))</f>
        <v/>
      </c>
      <c r="M2605" s="31" t="str">
        <f t="shared" si="283"/>
        <v/>
      </c>
      <c r="N2605" s="31" t="str">
        <f t="shared" si="284"/>
        <v/>
      </c>
      <c r="O2605" s="31" t="str">
        <f>IF(OR(B2605="",C2605=""),"",K2605-N2605 + IFERROR(E2605 / SUMIFS('📅 Resumen Diario'!$D$5:$D$504, '📅 Resumen Diario'!$B$5:$B$504, B2605, '📅 Resumen Diario'!$C$5:$C$504, D2605) * (SUMIFS('📋 Detalle Diario'!$E$5:$E$489, '📋 Detalle Diario'!$B$5:$B$489, B2605, '📋 Detalle Diario'!$C$5:$C$489, D2605) * 135 + SUMIFS('📋 Detalle Diario'!$I$5:$I$489, '📋 Detalle Diario'!$B$5:$B$489, B2605, '📋 Detalle Diario'!$C$5:$C$489, D2605) * 200), 0))</f>
        <v/>
      </c>
      <c r="P2605" s="32" t="str">
        <f t="shared" si="285"/>
        <v/>
      </c>
      <c r="Q2605" s="33" t="str">
        <f t="shared" si="286"/>
        <v/>
      </c>
    </row>
    <row r="2606" spans="2:17" ht="18" customHeight="1" x14ac:dyDescent="0.3">
      <c r="B2606" s="26"/>
      <c r="C2606" s="17"/>
      <c r="D2606" s="27"/>
      <c r="E2606" s="18"/>
      <c r="F2606" s="18"/>
      <c r="G2606" s="18"/>
      <c r="H2606" s="30" t="str">
        <f t="shared" si="280"/>
        <v/>
      </c>
      <c r="I2606" s="31" t="str">
        <f>IF(OR(B2606="",C2606=""),"",IFERROR(E2606*IF(E2606="",0,VLOOKUP(C2606,'📦 Precios Proforma'!$B$5:$D$104,IF(D2606="DIA",2,3),FALSE)),0))</f>
        <v/>
      </c>
      <c r="J2606" s="31" t="str">
        <f t="shared" si="281"/>
        <v/>
      </c>
      <c r="K2606" s="31" t="str">
        <f t="shared" si="282"/>
        <v/>
      </c>
      <c r="L2606" s="31" t="str">
        <f>IF(OR(B2606="",C2606=""),"",IFERROR(E2606 / SUMIFS('📅 Resumen Diario'!$D$5:$D$504, '📅 Resumen Diario'!$B$5:$B$504, B2606, '📅 Resumen Diario'!$C$5:$C$504, D2606) * SUMIFS('📅 Resumen Diario'!$K$5:$K$504, '📅 Resumen Diario'!$B$5:$B$504, B2606, '📅 Resumen Diario'!$C$5:$C$504, D2606), 0))</f>
        <v/>
      </c>
      <c r="M2606" s="31" t="str">
        <f t="shared" si="283"/>
        <v/>
      </c>
      <c r="N2606" s="31" t="str">
        <f t="shared" si="284"/>
        <v/>
      </c>
      <c r="O2606" s="31" t="str">
        <f>IF(OR(B2606="",C2606=""),"",K2606-N2606 + IFERROR(E2606 / SUMIFS('📅 Resumen Diario'!$D$5:$D$504, '📅 Resumen Diario'!$B$5:$B$504, B2606, '📅 Resumen Diario'!$C$5:$C$504, D2606) * (SUMIFS('📋 Detalle Diario'!$E$5:$E$489, '📋 Detalle Diario'!$B$5:$B$489, B2606, '📋 Detalle Diario'!$C$5:$C$489, D2606) * 135 + SUMIFS('📋 Detalle Diario'!$I$5:$I$489, '📋 Detalle Diario'!$B$5:$B$489, B2606, '📋 Detalle Diario'!$C$5:$C$489, D2606) * 200), 0))</f>
        <v/>
      </c>
      <c r="P2606" s="32" t="str">
        <f t="shared" si="285"/>
        <v/>
      </c>
      <c r="Q2606" s="33" t="str">
        <f t="shared" si="286"/>
        <v/>
      </c>
    </row>
    <row r="2607" spans="2:17" ht="18" customHeight="1" x14ac:dyDescent="0.3">
      <c r="B2607" s="26"/>
      <c r="C2607" s="28"/>
      <c r="D2607" s="27"/>
      <c r="E2607" s="29"/>
      <c r="F2607" s="29"/>
      <c r="G2607" s="29"/>
      <c r="H2607" s="30" t="str">
        <f t="shared" si="280"/>
        <v/>
      </c>
      <c r="I2607" s="31" t="str">
        <f>IF(OR(B2607="",C2607=""),"",IFERROR(E2607*IF(E2607="",0,VLOOKUP(C2607,'📦 Precios Proforma'!$B$5:$D$104,IF(D2607="DIA",2,3),FALSE)),0))</f>
        <v/>
      </c>
      <c r="J2607" s="31" t="str">
        <f t="shared" si="281"/>
        <v/>
      </c>
      <c r="K2607" s="31" t="str">
        <f t="shared" si="282"/>
        <v/>
      </c>
      <c r="L2607" s="31" t="str">
        <f>IF(OR(B2607="",C2607=""),"",IFERROR(E2607 / SUMIFS('📅 Resumen Diario'!$D$5:$D$504, '📅 Resumen Diario'!$B$5:$B$504, B2607, '📅 Resumen Diario'!$C$5:$C$504, D2607) * SUMIFS('📅 Resumen Diario'!$K$5:$K$504, '📅 Resumen Diario'!$B$5:$B$504, B2607, '📅 Resumen Diario'!$C$5:$C$504, D2607), 0))</f>
        <v/>
      </c>
      <c r="M2607" s="31" t="str">
        <f t="shared" si="283"/>
        <v/>
      </c>
      <c r="N2607" s="31" t="str">
        <f t="shared" si="284"/>
        <v/>
      </c>
      <c r="O2607" s="31" t="str">
        <f>IF(OR(B2607="",C2607=""),"",K2607-N2607 + IFERROR(E2607 / SUMIFS('📅 Resumen Diario'!$D$5:$D$504, '📅 Resumen Diario'!$B$5:$B$504, B2607, '📅 Resumen Diario'!$C$5:$C$504, D2607) * (SUMIFS('📋 Detalle Diario'!$E$5:$E$489, '📋 Detalle Diario'!$B$5:$B$489, B2607, '📋 Detalle Diario'!$C$5:$C$489, D2607) * 135 + SUMIFS('📋 Detalle Diario'!$I$5:$I$489, '📋 Detalle Diario'!$B$5:$B$489, B2607, '📋 Detalle Diario'!$C$5:$C$489, D2607) * 200), 0))</f>
        <v/>
      </c>
      <c r="P2607" s="32" t="str">
        <f t="shared" si="285"/>
        <v/>
      </c>
      <c r="Q2607" s="33" t="str">
        <f t="shared" si="286"/>
        <v/>
      </c>
    </row>
    <row r="2608" spans="2:17" ht="18" customHeight="1" x14ac:dyDescent="0.3">
      <c r="B2608" s="26"/>
      <c r="C2608" s="17"/>
      <c r="D2608" s="27"/>
      <c r="E2608" s="18"/>
      <c r="F2608" s="18"/>
      <c r="G2608" s="18"/>
      <c r="H2608" s="30" t="str">
        <f t="shared" si="280"/>
        <v/>
      </c>
      <c r="I2608" s="31" t="str">
        <f>IF(OR(B2608="",C2608=""),"",IFERROR(E2608*IF(E2608="",0,VLOOKUP(C2608,'📦 Precios Proforma'!$B$5:$D$104,IF(D2608="DIA",2,3),FALSE)),0))</f>
        <v/>
      </c>
      <c r="J2608" s="31" t="str">
        <f t="shared" si="281"/>
        <v/>
      </c>
      <c r="K2608" s="31" t="str">
        <f t="shared" si="282"/>
        <v/>
      </c>
      <c r="L2608" s="31" t="str">
        <f>IF(OR(B2608="",C2608=""),"",IFERROR(E2608 / SUMIFS('📅 Resumen Diario'!$D$5:$D$504, '📅 Resumen Diario'!$B$5:$B$504, B2608, '📅 Resumen Diario'!$C$5:$C$504, D2608) * SUMIFS('📅 Resumen Diario'!$K$5:$K$504, '📅 Resumen Diario'!$B$5:$B$504, B2608, '📅 Resumen Diario'!$C$5:$C$504, D2608), 0))</f>
        <v/>
      </c>
      <c r="M2608" s="31" t="str">
        <f t="shared" si="283"/>
        <v/>
      </c>
      <c r="N2608" s="31" t="str">
        <f t="shared" si="284"/>
        <v/>
      </c>
      <c r="O2608" s="31" t="str">
        <f>IF(OR(B2608="",C2608=""),"",K2608-N2608 + IFERROR(E2608 / SUMIFS('📅 Resumen Diario'!$D$5:$D$504, '📅 Resumen Diario'!$B$5:$B$504, B2608, '📅 Resumen Diario'!$C$5:$C$504, D2608) * (SUMIFS('📋 Detalle Diario'!$E$5:$E$489, '📋 Detalle Diario'!$B$5:$B$489, B2608, '📋 Detalle Diario'!$C$5:$C$489, D2608) * 135 + SUMIFS('📋 Detalle Diario'!$I$5:$I$489, '📋 Detalle Diario'!$B$5:$B$489, B2608, '📋 Detalle Diario'!$C$5:$C$489, D2608) * 200), 0))</f>
        <v/>
      </c>
      <c r="P2608" s="32" t="str">
        <f t="shared" si="285"/>
        <v/>
      </c>
      <c r="Q2608" s="33" t="str">
        <f t="shared" si="286"/>
        <v/>
      </c>
    </row>
    <row r="2609" spans="2:17" ht="18" customHeight="1" x14ac:dyDescent="0.3">
      <c r="B2609" s="26"/>
      <c r="C2609" s="28"/>
      <c r="D2609" s="27"/>
      <c r="E2609" s="29"/>
      <c r="F2609" s="29"/>
      <c r="G2609" s="29"/>
      <c r="H2609" s="30" t="str">
        <f t="shared" si="280"/>
        <v/>
      </c>
      <c r="I2609" s="31" t="str">
        <f>IF(OR(B2609="",C2609=""),"",IFERROR(E2609*IF(E2609="",0,VLOOKUP(C2609,'📦 Precios Proforma'!$B$5:$D$104,IF(D2609="DIA",2,3),FALSE)),0))</f>
        <v/>
      </c>
      <c r="J2609" s="31" t="str">
        <f t="shared" si="281"/>
        <v/>
      </c>
      <c r="K2609" s="31" t="str">
        <f t="shared" si="282"/>
        <v/>
      </c>
      <c r="L2609" s="31" t="str">
        <f>IF(OR(B2609="",C2609=""),"",IFERROR(E2609 / SUMIFS('📅 Resumen Diario'!$D$5:$D$504, '📅 Resumen Diario'!$B$5:$B$504, B2609, '📅 Resumen Diario'!$C$5:$C$504, D2609) * SUMIFS('📅 Resumen Diario'!$K$5:$K$504, '📅 Resumen Diario'!$B$5:$B$504, B2609, '📅 Resumen Diario'!$C$5:$C$504, D2609), 0))</f>
        <v/>
      </c>
      <c r="M2609" s="31" t="str">
        <f t="shared" si="283"/>
        <v/>
      </c>
      <c r="N2609" s="31" t="str">
        <f t="shared" si="284"/>
        <v/>
      </c>
      <c r="O2609" s="31" t="str">
        <f>IF(OR(B2609="",C2609=""),"",K2609-N2609 + IFERROR(E2609 / SUMIFS('📅 Resumen Diario'!$D$5:$D$504, '📅 Resumen Diario'!$B$5:$B$504, B2609, '📅 Resumen Diario'!$C$5:$C$504, D2609) * (SUMIFS('📋 Detalle Diario'!$E$5:$E$489, '📋 Detalle Diario'!$B$5:$B$489, B2609, '📋 Detalle Diario'!$C$5:$C$489, D2609) * 135 + SUMIFS('📋 Detalle Diario'!$I$5:$I$489, '📋 Detalle Diario'!$B$5:$B$489, B2609, '📋 Detalle Diario'!$C$5:$C$489, D2609) * 200), 0))</f>
        <v/>
      </c>
      <c r="P2609" s="32" t="str">
        <f t="shared" si="285"/>
        <v/>
      </c>
      <c r="Q2609" s="33" t="str">
        <f t="shared" si="286"/>
        <v/>
      </c>
    </row>
    <row r="2610" spans="2:17" ht="18" customHeight="1" x14ac:dyDescent="0.3">
      <c r="B2610" s="26"/>
      <c r="C2610" s="17"/>
      <c r="D2610" s="27"/>
      <c r="E2610" s="18"/>
      <c r="F2610" s="18"/>
      <c r="G2610" s="18"/>
      <c r="H2610" s="30" t="str">
        <f t="shared" si="280"/>
        <v/>
      </c>
      <c r="I2610" s="31" t="str">
        <f>IF(OR(B2610="",C2610=""),"",IFERROR(E2610*IF(E2610="",0,VLOOKUP(C2610,'📦 Precios Proforma'!$B$5:$D$104,IF(D2610="DIA",2,3),FALSE)),0))</f>
        <v/>
      </c>
      <c r="J2610" s="31" t="str">
        <f t="shared" si="281"/>
        <v/>
      </c>
      <c r="K2610" s="31" t="str">
        <f t="shared" si="282"/>
        <v/>
      </c>
      <c r="L2610" s="31" t="str">
        <f>IF(OR(B2610="",C2610=""),"",IFERROR(E2610 / SUMIFS('📅 Resumen Diario'!$D$5:$D$504, '📅 Resumen Diario'!$B$5:$B$504, B2610, '📅 Resumen Diario'!$C$5:$C$504, D2610) * SUMIFS('📅 Resumen Diario'!$K$5:$K$504, '📅 Resumen Diario'!$B$5:$B$504, B2610, '📅 Resumen Diario'!$C$5:$C$504, D2610), 0))</f>
        <v/>
      </c>
      <c r="M2610" s="31" t="str">
        <f t="shared" si="283"/>
        <v/>
      </c>
      <c r="N2610" s="31" t="str">
        <f t="shared" si="284"/>
        <v/>
      </c>
      <c r="O2610" s="31" t="str">
        <f>IF(OR(B2610="",C2610=""),"",K2610-N2610 + IFERROR(E2610 / SUMIFS('📅 Resumen Diario'!$D$5:$D$504, '📅 Resumen Diario'!$B$5:$B$504, B2610, '📅 Resumen Diario'!$C$5:$C$504, D2610) * (SUMIFS('📋 Detalle Diario'!$E$5:$E$489, '📋 Detalle Diario'!$B$5:$B$489, B2610, '📋 Detalle Diario'!$C$5:$C$489, D2610) * 135 + SUMIFS('📋 Detalle Diario'!$I$5:$I$489, '📋 Detalle Diario'!$B$5:$B$489, B2610, '📋 Detalle Diario'!$C$5:$C$489, D2610) * 200), 0))</f>
        <v/>
      </c>
      <c r="P2610" s="32" t="str">
        <f t="shared" si="285"/>
        <v/>
      </c>
      <c r="Q2610" s="33" t="str">
        <f t="shared" si="286"/>
        <v/>
      </c>
    </row>
    <row r="2611" spans="2:17" ht="18" customHeight="1" x14ac:dyDescent="0.3">
      <c r="B2611" s="26"/>
      <c r="C2611" s="28"/>
      <c r="D2611" s="27"/>
      <c r="E2611" s="29"/>
      <c r="F2611" s="29"/>
      <c r="G2611" s="29"/>
      <c r="H2611" s="30" t="str">
        <f t="shared" si="280"/>
        <v/>
      </c>
      <c r="I2611" s="31" t="str">
        <f>IF(OR(B2611="",C2611=""),"",IFERROR(E2611*IF(E2611="",0,VLOOKUP(C2611,'📦 Precios Proforma'!$B$5:$D$104,IF(D2611="DIA",2,3),FALSE)),0))</f>
        <v/>
      </c>
      <c r="J2611" s="31" t="str">
        <f t="shared" si="281"/>
        <v/>
      </c>
      <c r="K2611" s="31" t="str">
        <f t="shared" si="282"/>
        <v/>
      </c>
      <c r="L2611" s="31" t="str">
        <f>IF(OR(B2611="",C2611=""),"",IFERROR(E2611 / SUMIFS('📅 Resumen Diario'!$D$5:$D$504, '📅 Resumen Diario'!$B$5:$B$504, B2611, '📅 Resumen Diario'!$C$5:$C$504, D2611) * SUMIFS('📅 Resumen Diario'!$K$5:$K$504, '📅 Resumen Diario'!$B$5:$B$504, B2611, '📅 Resumen Diario'!$C$5:$C$504, D2611), 0))</f>
        <v/>
      </c>
      <c r="M2611" s="31" t="str">
        <f t="shared" si="283"/>
        <v/>
      </c>
      <c r="N2611" s="31" t="str">
        <f t="shared" si="284"/>
        <v/>
      </c>
      <c r="O2611" s="31" t="str">
        <f>IF(OR(B2611="",C2611=""),"",K2611-N2611 + IFERROR(E2611 / SUMIFS('📅 Resumen Diario'!$D$5:$D$504, '📅 Resumen Diario'!$B$5:$B$504, B2611, '📅 Resumen Diario'!$C$5:$C$504, D2611) * (SUMIFS('📋 Detalle Diario'!$E$5:$E$489, '📋 Detalle Diario'!$B$5:$B$489, B2611, '📋 Detalle Diario'!$C$5:$C$489, D2611) * 135 + SUMIFS('📋 Detalle Diario'!$I$5:$I$489, '📋 Detalle Diario'!$B$5:$B$489, B2611, '📋 Detalle Diario'!$C$5:$C$489, D2611) * 200), 0))</f>
        <v/>
      </c>
      <c r="P2611" s="32" t="str">
        <f t="shared" si="285"/>
        <v/>
      </c>
      <c r="Q2611" s="33" t="str">
        <f t="shared" si="286"/>
        <v/>
      </c>
    </row>
    <row r="2612" spans="2:17" ht="18" customHeight="1" x14ac:dyDescent="0.3">
      <c r="B2612" s="26"/>
      <c r="C2612" s="17"/>
      <c r="D2612" s="27"/>
      <c r="E2612" s="18"/>
      <c r="F2612" s="18"/>
      <c r="G2612" s="18"/>
      <c r="H2612" s="30" t="str">
        <f t="shared" si="280"/>
        <v/>
      </c>
      <c r="I2612" s="31" t="str">
        <f>IF(OR(B2612="",C2612=""),"",IFERROR(E2612*IF(E2612="",0,VLOOKUP(C2612,'📦 Precios Proforma'!$B$5:$D$104,IF(D2612="DIA",2,3),FALSE)),0))</f>
        <v/>
      </c>
      <c r="J2612" s="31" t="str">
        <f t="shared" si="281"/>
        <v/>
      </c>
      <c r="K2612" s="31" t="str">
        <f t="shared" si="282"/>
        <v/>
      </c>
      <c r="L2612" s="31" t="str">
        <f>IF(OR(B2612="",C2612=""),"",IFERROR(E2612 / SUMIFS('📅 Resumen Diario'!$D$5:$D$504, '📅 Resumen Diario'!$B$5:$B$504, B2612, '📅 Resumen Diario'!$C$5:$C$504, D2612) * SUMIFS('📅 Resumen Diario'!$K$5:$K$504, '📅 Resumen Diario'!$B$5:$B$504, B2612, '📅 Resumen Diario'!$C$5:$C$504, D2612), 0))</f>
        <v/>
      </c>
      <c r="M2612" s="31" t="str">
        <f t="shared" si="283"/>
        <v/>
      </c>
      <c r="N2612" s="31" t="str">
        <f t="shared" si="284"/>
        <v/>
      </c>
      <c r="O2612" s="31" t="str">
        <f>IF(OR(B2612="",C2612=""),"",K2612-N2612 + IFERROR(E2612 / SUMIFS('📅 Resumen Diario'!$D$5:$D$504, '📅 Resumen Diario'!$B$5:$B$504, B2612, '📅 Resumen Diario'!$C$5:$C$504, D2612) * (SUMIFS('📋 Detalle Diario'!$E$5:$E$489, '📋 Detalle Diario'!$B$5:$B$489, B2612, '📋 Detalle Diario'!$C$5:$C$489, D2612) * 135 + SUMIFS('📋 Detalle Diario'!$I$5:$I$489, '📋 Detalle Diario'!$B$5:$B$489, B2612, '📋 Detalle Diario'!$C$5:$C$489, D2612) * 200), 0))</f>
        <v/>
      </c>
      <c r="P2612" s="32" t="str">
        <f t="shared" si="285"/>
        <v/>
      </c>
      <c r="Q2612" s="33" t="str">
        <f t="shared" si="286"/>
        <v/>
      </c>
    </row>
    <row r="2613" spans="2:17" ht="18" customHeight="1" x14ac:dyDescent="0.3">
      <c r="B2613" s="26"/>
      <c r="C2613" s="28"/>
      <c r="D2613" s="27"/>
      <c r="E2613" s="29"/>
      <c r="F2613" s="29"/>
      <c r="G2613" s="29"/>
      <c r="H2613" s="30" t="str">
        <f t="shared" si="280"/>
        <v/>
      </c>
      <c r="I2613" s="31" t="str">
        <f>IF(OR(B2613="",C2613=""),"",IFERROR(E2613*IF(E2613="",0,VLOOKUP(C2613,'📦 Precios Proforma'!$B$5:$D$104,IF(D2613="DIA",2,3),FALSE)),0))</f>
        <v/>
      </c>
      <c r="J2613" s="31" t="str">
        <f t="shared" si="281"/>
        <v/>
      </c>
      <c r="K2613" s="31" t="str">
        <f t="shared" si="282"/>
        <v/>
      </c>
      <c r="L2613" s="31" t="str">
        <f>IF(OR(B2613="",C2613=""),"",IFERROR(E2613 / SUMIFS('📅 Resumen Diario'!$D$5:$D$504, '📅 Resumen Diario'!$B$5:$B$504, B2613, '📅 Resumen Diario'!$C$5:$C$504, D2613) * SUMIFS('📅 Resumen Diario'!$K$5:$K$504, '📅 Resumen Diario'!$B$5:$B$504, B2613, '📅 Resumen Diario'!$C$5:$C$504, D2613), 0))</f>
        <v/>
      </c>
      <c r="M2613" s="31" t="str">
        <f t="shared" si="283"/>
        <v/>
      </c>
      <c r="N2613" s="31" t="str">
        <f t="shared" si="284"/>
        <v/>
      </c>
      <c r="O2613" s="31" t="str">
        <f>IF(OR(B2613="",C2613=""),"",K2613-N2613 + IFERROR(E2613 / SUMIFS('📅 Resumen Diario'!$D$5:$D$504, '📅 Resumen Diario'!$B$5:$B$504, B2613, '📅 Resumen Diario'!$C$5:$C$504, D2613) * (SUMIFS('📋 Detalle Diario'!$E$5:$E$489, '📋 Detalle Diario'!$B$5:$B$489, B2613, '📋 Detalle Diario'!$C$5:$C$489, D2613) * 135 + SUMIFS('📋 Detalle Diario'!$I$5:$I$489, '📋 Detalle Diario'!$B$5:$B$489, B2613, '📋 Detalle Diario'!$C$5:$C$489, D2613) * 200), 0))</f>
        <v/>
      </c>
      <c r="P2613" s="32" t="str">
        <f t="shared" si="285"/>
        <v/>
      </c>
      <c r="Q2613" s="33" t="str">
        <f t="shared" si="286"/>
        <v/>
      </c>
    </row>
    <row r="2614" spans="2:17" ht="18" customHeight="1" x14ac:dyDescent="0.3">
      <c r="B2614" s="26"/>
      <c r="C2614" s="17"/>
      <c r="D2614" s="27"/>
      <c r="E2614" s="18"/>
      <c r="F2614" s="18"/>
      <c r="G2614" s="18"/>
      <c r="H2614" s="30" t="str">
        <f t="shared" si="280"/>
        <v/>
      </c>
      <c r="I2614" s="31" t="str">
        <f>IF(OR(B2614="",C2614=""),"",IFERROR(E2614*IF(E2614="",0,VLOOKUP(C2614,'📦 Precios Proforma'!$B$5:$D$104,IF(D2614="DIA",2,3),FALSE)),0))</f>
        <v/>
      </c>
      <c r="J2614" s="31" t="str">
        <f t="shared" si="281"/>
        <v/>
      </c>
      <c r="K2614" s="31" t="str">
        <f t="shared" si="282"/>
        <v/>
      </c>
      <c r="L2614" s="31" t="str">
        <f>IF(OR(B2614="",C2614=""),"",IFERROR(E2614 / SUMIFS('📅 Resumen Diario'!$D$5:$D$504, '📅 Resumen Diario'!$B$5:$B$504, B2614, '📅 Resumen Diario'!$C$5:$C$504, D2614) * SUMIFS('📅 Resumen Diario'!$K$5:$K$504, '📅 Resumen Diario'!$B$5:$B$504, B2614, '📅 Resumen Diario'!$C$5:$C$504, D2614), 0))</f>
        <v/>
      </c>
      <c r="M2614" s="31" t="str">
        <f t="shared" si="283"/>
        <v/>
      </c>
      <c r="N2614" s="31" t="str">
        <f t="shared" si="284"/>
        <v/>
      </c>
      <c r="O2614" s="31" t="str">
        <f>IF(OR(B2614="",C2614=""),"",K2614-N2614 + IFERROR(E2614 / SUMIFS('📅 Resumen Diario'!$D$5:$D$504, '📅 Resumen Diario'!$B$5:$B$504, B2614, '📅 Resumen Diario'!$C$5:$C$504, D2614) * (SUMIFS('📋 Detalle Diario'!$E$5:$E$489, '📋 Detalle Diario'!$B$5:$B$489, B2614, '📋 Detalle Diario'!$C$5:$C$489, D2614) * 135 + SUMIFS('📋 Detalle Diario'!$I$5:$I$489, '📋 Detalle Diario'!$B$5:$B$489, B2614, '📋 Detalle Diario'!$C$5:$C$489, D2614) * 200), 0))</f>
        <v/>
      </c>
      <c r="P2614" s="32" t="str">
        <f t="shared" si="285"/>
        <v/>
      </c>
      <c r="Q2614" s="33" t="str">
        <f t="shared" si="286"/>
        <v/>
      </c>
    </row>
    <row r="2615" spans="2:17" ht="18" customHeight="1" x14ac:dyDescent="0.3">
      <c r="B2615" s="26"/>
      <c r="C2615" s="28"/>
      <c r="D2615" s="27"/>
      <c r="E2615" s="29"/>
      <c r="F2615" s="29"/>
      <c r="G2615" s="29"/>
      <c r="H2615" s="30" t="str">
        <f t="shared" si="280"/>
        <v/>
      </c>
      <c r="I2615" s="31" t="str">
        <f>IF(OR(B2615="",C2615=""),"",IFERROR(E2615*IF(E2615="",0,VLOOKUP(C2615,'📦 Precios Proforma'!$B$5:$D$104,IF(D2615="DIA",2,3),FALSE)),0))</f>
        <v/>
      </c>
      <c r="J2615" s="31" t="str">
        <f t="shared" si="281"/>
        <v/>
      </c>
      <c r="K2615" s="31" t="str">
        <f t="shared" si="282"/>
        <v/>
      </c>
      <c r="L2615" s="31" t="str">
        <f>IF(OR(B2615="",C2615=""),"",IFERROR(E2615 / SUMIFS('📅 Resumen Diario'!$D$5:$D$504, '📅 Resumen Diario'!$B$5:$B$504, B2615, '📅 Resumen Diario'!$C$5:$C$504, D2615) * SUMIFS('📅 Resumen Diario'!$K$5:$K$504, '📅 Resumen Diario'!$B$5:$B$504, B2615, '📅 Resumen Diario'!$C$5:$C$504, D2615), 0))</f>
        <v/>
      </c>
      <c r="M2615" s="31" t="str">
        <f t="shared" si="283"/>
        <v/>
      </c>
      <c r="N2615" s="31" t="str">
        <f t="shared" si="284"/>
        <v/>
      </c>
      <c r="O2615" s="31" t="str">
        <f>IF(OR(B2615="",C2615=""),"",K2615-N2615 + IFERROR(E2615 / SUMIFS('📅 Resumen Diario'!$D$5:$D$504, '📅 Resumen Diario'!$B$5:$B$504, B2615, '📅 Resumen Diario'!$C$5:$C$504, D2615) * (SUMIFS('📋 Detalle Diario'!$E$5:$E$489, '📋 Detalle Diario'!$B$5:$B$489, B2615, '📋 Detalle Diario'!$C$5:$C$489, D2615) * 135 + SUMIFS('📋 Detalle Diario'!$I$5:$I$489, '📋 Detalle Diario'!$B$5:$B$489, B2615, '📋 Detalle Diario'!$C$5:$C$489, D2615) * 200), 0))</f>
        <v/>
      </c>
      <c r="P2615" s="32" t="str">
        <f t="shared" si="285"/>
        <v/>
      </c>
      <c r="Q2615" s="33" t="str">
        <f t="shared" si="286"/>
        <v/>
      </c>
    </row>
    <row r="2616" spans="2:17" ht="18" customHeight="1" x14ac:dyDescent="0.3">
      <c r="B2616" s="26"/>
      <c r="C2616" s="17"/>
      <c r="D2616" s="27"/>
      <c r="E2616" s="18"/>
      <c r="F2616" s="18"/>
      <c r="G2616" s="18"/>
      <c r="H2616" s="30" t="str">
        <f t="shared" si="280"/>
        <v/>
      </c>
      <c r="I2616" s="31" t="str">
        <f>IF(OR(B2616="",C2616=""),"",IFERROR(E2616*IF(E2616="",0,VLOOKUP(C2616,'📦 Precios Proforma'!$B$5:$D$104,IF(D2616="DIA",2,3),FALSE)),0))</f>
        <v/>
      </c>
      <c r="J2616" s="31" t="str">
        <f t="shared" si="281"/>
        <v/>
      </c>
      <c r="K2616" s="31" t="str">
        <f t="shared" si="282"/>
        <v/>
      </c>
      <c r="L2616" s="31" t="str">
        <f>IF(OR(B2616="",C2616=""),"",IFERROR(E2616 / SUMIFS('📅 Resumen Diario'!$D$5:$D$504, '📅 Resumen Diario'!$B$5:$B$504, B2616, '📅 Resumen Diario'!$C$5:$C$504, D2616) * SUMIFS('📅 Resumen Diario'!$K$5:$K$504, '📅 Resumen Diario'!$B$5:$B$504, B2616, '📅 Resumen Diario'!$C$5:$C$504, D2616), 0))</f>
        <v/>
      </c>
      <c r="M2616" s="31" t="str">
        <f t="shared" si="283"/>
        <v/>
      </c>
      <c r="N2616" s="31" t="str">
        <f t="shared" si="284"/>
        <v/>
      </c>
      <c r="O2616" s="31" t="str">
        <f>IF(OR(B2616="",C2616=""),"",K2616-N2616 + IFERROR(E2616 / SUMIFS('📅 Resumen Diario'!$D$5:$D$504, '📅 Resumen Diario'!$B$5:$B$504, B2616, '📅 Resumen Diario'!$C$5:$C$504, D2616) * (SUMIFS('📋 Detalle Diario'!$E$5:$E$489, '📋 Detalle Diario'!$B$5:$B$489, B2616, '📋 Detalle Diario'!$C$5:$C$489, D2616) * 135 + SUMIFS('📋 Detalle Diario'!$I$5:$I$489, '📋 Detalle Diario'!$B$5:$B$489, B2616, '📋 Detalle Diario'!$C$5:$C$489, D2616) * 200), 0))</f>
        <v/>
      </c>
      <c r="P2616" s="32" t="str">
        <f t="shared" si="285"/>
        <v/>
      </c>
      <c r="Q2616" s="33" t="str">
        <f t="shared" si="286"/>
        <v/>
      </c>
    </row>
    <row r="2617" spans="2:17" ht="18" customHeight="1" x14ac:dyDescent="0.3">
      <c r="B2617" s="26"/>
      <c r="C2617" s="28"/>
      <c r="D2617" s="27"/>
      <c r="E2617" s="29"/>
      <c r="F2617" s="29"/>
      <c r="G2617" s="29"/>
      <c r="H2617" s="30" t="str">
        <f t="shared" si="280"/>
        <v/>
      </c>
      <c r="I2617" s="31" t="str">
        <f>IF(OR(B2617="",C2617=""),"",IFERROR(E2617*IF(E2617="",0,VLOOKUP(C2617,'📦 Precios Proforma'!$B$5:$D$104,IF(D2617="DIA",2,3),FALSE)),0))</f>
        <v/>
      </c>
      <c r="J2617" s="31" t="str">
        <f t="shared" si="281"/>
        <v/>
      </c>
      <c r="K2617" s="31" t="str">
        <f t="shared" si="282"/>
        <v/>
      </c>
      <c r="L2617" s="31" t="str">
        <f>IF(OR(B2617="",C2617=""),"",IFERROR(E2617 / SUMIFS('📅 Resumen Diario'!$D$5:$D$504, '📅 Resumen Diario'!$B$5:$B$504, B2617, '📅 Resumen Diario'!$C$5:$C$504, D2617) * SUMIFS('📅 Resumen Diario'!$K$5:$K$504, '📅 Resumen Diario'!$B$5:$B$504, B2617, '📅 Resumen Diario'!$C$5:$C$504, D2617), 0))</f>
        <v/>
      </c>
      <c r="M2617" s="31" t="str">
        <f t="shared" si="283"/>
        <v/>
      </c>
      <c r="N2617" s="31" t="str">
        <f t="shared" si="284"/>
        <v/>
      </c>
      <c r="O2617" s="31" t="str">
        <f>IF(OR(B2617="",C2617=""),"",K2617-N2617 + IFERROR(E2617 / SUMIFS('📅 Resumen Diario'!$D$5:$D$504, '📅 Resumen Diario'!$B$5:$B$504, B2617, '📅 Resumen Diario'!$C$5:$C$504, D2617) * (SUMIFS('📋 Detalle Diario'!$E$5:$E$489, '📋 Detalle Diario'!$B$5:$B$489, B2617, '📋 Detalle Diario'!$C$5:$C$489, D2617) * 135 + SUMIFS('📋 Detalle Diario'!$I$5:$I$489, '📋 Detalle Diario'!$B$5:$B$489, B2617, '📋 Detalle Diario'!$C$5:$C$489, D2617) * 200), 0))</f>
        <v/>
      </c>
      <c r="P2617" s="32" t="str">
        <f t="shared" si="285"/>
        <v/>
      </c>
      <c r="Q2617" s="33" t="str">
        <f t="shared" si="286"/>
        <v/>
      </c>
    </row>
    <row r="2618" spans="2:17" ht="18" customHeight="1" x14ac:dyDescent="0.3">
      <c r="B2618" s="26"/>
      <c r="C2618" s="17"/>
      <c r="D2618" s="27"/>
      <c r="E2618" s="18"/>
      <c r="F2618" s="18"/>
      <c r="G2618" s="18"/>
      <c r="H2618" s="30" t="str">
        <f t="shared" si="280"/>
        <v/>
      </c>
      <c r="I2618" s="31" t="str">
        <f>IF(OR(B2618="",C2618=""),"",IFERROR(E2618*IF(E2618="",0,VLOOKUP(C2618,'📦 Precios Proforma'!$B$5:$D$104,IF(D2618="DIA",2,3),FALSE)),0))</f>
        <v/>
      </c>
      <c r="J2618" s="31" t="str">
        <f t="shared" si="281"/>
        <v/>
      </c>
      <c r="K2618" s="31" t="str">
        <f t="shared" si="282"/>
        <v/>
      </c>
      <c r="L2618" s="31" t="str">
        <f>IF(OR(B2618="",C2618=""),"",IFERROR(E2618 / SUMIFS('📅 Resumen Diario'!$D$5:$D$504, '📅 Resumen Diario'!$B$5:$B$504, B2618, '📅 Resumen Diario'!$C$5:$C$504, D2618) * SUMIFS('📅 Resumen Diario'!$K$5:$K$504, '📅 Resumen Diario'!$B$5:$B$504, B2618, '📅 Resumen Diario'!$C$5:$C$504, D2618), 0))</f>
        <v/>
      </c>
      <c r="M2618" s="31" t="str">
        <f t="shared" si="283"/>
        <v/>
      </c>
      <c r="N2618" s="31" t="str">
        <f t="shared" si="284"/>
        <v/>
      </c>
      <c r="O2618" s="31" t="str">
        <f>IF(OR(B2618="",C2618=""),"",K2618-N2618 + IFERROR(E2618 / SUMIFS('📅 Resumen Diario'!$D$5:$D$504, '📅 Resumen Diario'!$B$5:$B$504, B2618, '📅 Resumen Diario'!$C$5:$C$504, D2618) * (SUMIFS('📋 Detalle Diario'!$E$5:$E$489, '📋 Detalle Diario'!$B$5:$B$489, B2618, '📋 Detalle Diario'!$C$5:$C$489, D2618) * 135 + SUMIFS('📋 Detalle Diario'!$I$5:$I$489, '📋 Detalle Diario'!$B$5:$B$489, B2618, '📋 Detalle Diario'!$C$5:$C$489, D2618) * 200), 0))</f>
        <v/>
      </c>
      <c r="P2618" s="32" t="str">
        <f t="shared" si="285"/>
        <v/>
      </c>
      <c r="Q2618" s="33" t="str">
        <f t="shared" si="286"/>
        <v/>
      </c>
    </row>
    <row r="2619" spans="2:17" ht="18" customHeight="1" x14ac:dyDescent="0.3">
      <c r="B2619" s="26"/>
      <c r="C2619" s="28"/>
      <c r="D2619" s="27"/>
      <c r="E2619" s="29"/>
      <c r="F2619" s="29"/>
      <c r="G2619" s="29"/>
      <c r="H2619" s="30" t="str">
        <f t="shared" si="280"/>
        <v/>
      </c>
      <c r="I2619" s="31" t="str">
        <f>IF(OR(B2619="",C2619=""),"",IFERROR(E2619*IF(E2619="",0,VLOOKUP(C2619,'📦 Precios Proforma'!$B$5:$D$104,IF(D2619="DIA",2,3),FALSE)),0))</f>
        <v/>
      </c>
      <c r="J2619" s="31" t="str">
        <f t="shared" si="281"/>
        <v/>
      </c>
      <c r="K2619" s="31" t="str">
        <f t="shared" si="282"/>
        <v/>
      </c>
      <c r="L2619" s="31" t="str">
        <f>IF(OR(B2619="",C2619=""),"",IFERROR(E2619 / SUMIFS('📅 Resumen Diario'!$D$5:$D$504, '📅 Resumen Diario'!$B$5:$B$504, B2619, '📅 Resumen Diario'!$C$5:$C$504, D2619) * SUMIFS('📅 Resumen Diario'!$K$5:$K$504, '📅 Resumen Diario'!$B$5:$B$504, B2619, '📅 Resumen Diario'!$C$5:$C$504, D2619), 0))</f>
        <v/>
      </c>
      <c r="M2619" s="31" t="str">
        <f t="shared" si="283"/>
        <v/>
      </c>
      <c r="N2619" s="31" t="str">
        <f t="shared" si="284"/>
        <v/>
      </c>
      <c r="O2619" s="31" t="str">
        <f>IF(OR(B2619="",C2619=""),"",K2619-N2619 + IFERROR(E2619 / SUMIFS('📅 Resumen Diario'!$D$5:$D$504, '📅 Resumen Diario'!$B$5:$B$504, B2619, '📅 Resumen Diario'!$C$5:$C$504, D2619) * (SUMIFS('📋 Detalle Diario'!$E$5:$E$489, '📋 Detalle Diario'!$B$5:$B$489, B2619, '📋 Detalle Diario'!$C$5:$C$489, D2619) * 135 + SUMIFS('📋 Detalle Diario'!$I$5:$I$489, '📋 Detalle Diario'!$B$5:$B$489, B2619, '📋 Detalle Diario'!$C$5:$C$489, D2619) * 200), 0))</f>
        <v/>
      </c>
      <c r="P2619" s="32" t="str">
        <f t="shared" si="285"/>
        <v/>
      </c>
      <c r="Q2619" s="33" t="str">
        <f t="shared" si="286"/>
        <v/>
      </c>
    </row>
    <row r="2620" spans="2:17" ht="18" customHeight="1" x14ac:dyDescent="0.3">
      <c r="B2620" s="26"/>
      <c r="C2620" s="17"/>
      <c r="D2620" s="27"/>
      <c r="E2620" s="18"/>
      <c r="F2620" s="18"/>
      <c r="G2620" s="18"/>
      <c r="H2620" s="30" t="str">
        <f t="shared" si="280"/>
        <v/>
      </c>
      <c r="I2620" s="31" t="str">
        <f>IF(OR(B2620="",C2620=""),"",IFERROR(E2620*IF(E2620="",0,VLOOKUP(C2620,'📦 Precios Proforma'!$B$5:$D$104,IF(D2620="DIA",2,3),FALSE)),0))</f>
        <v/>
      </c>
      <c r="J2620" s="31" t="str">
        <f t="shared" si="281"/>
        <v/>
      </c>
      <c r="K2620" s="31" t="str">
        <f t="shared" si="282"/>
        <v/>
      </c>
      <c r="L2620" s="31" t="str">
        <f>IF(OR(B2620="",C2620=""),"",IFERROR(E2620 / SUMIFS('📅 Resumen Diario'!$D$5:$D$504, '📅 Resumen Diario'!$B$5:$B$504, B2620, '📅 Resumen Diario'!$C$5:$C$504, D2620) * SUMIFS('📅 Resumen Diario'!$K$5:$K$504, '📅 Resumen Diario'!$B$5:$B$504, B2620, '📅 Resumen Diario'!$C$5:$C$504, D2620), 0))</f>
        <v/>
      </c>
      <c r="M2620" s="31" t="str">
        <f t="shared" si="283"/>
        <v/>
      </c>
      <c r="N2620" s="31" t="str">
        <f t="shared" si="284"/>
        <v/>
      </c>
      <c r="O2620" s="31" t="str">
        <f>IF(OR(B2620="",C2620=""),"",K2620-N2620 + IFERROR(E2620 / SUMIFS('📅 Resumen Diario'!$D$5:$D$504, '📅 Resumen Diario'!$B$5:$B$504, B2620, '📅 Resumen Diario'!$C$5:$C$504, D2620) * (SUMIFS('📋 Detalle Diario'!$E$5:$E$489, '📋 Detalle Diario'!$B$5:$B$489, B2620, '📋 Detalle Diario'!$C$5:$C$489, D2620) * 135 + SUMIFS('📋 Detalle Diario'!$I$5:$I$489, '📋 Detalle Diario'!$B$5:$B$489, B2620, '📋 Detalle Diario'!$C$5:$C$489, D2620) * 200), 0))</f>
        <v/>
      </c>
      <c r="P2620" s="32" t="str">
        <f t="shared" si="285"/>
        <v/>
      </c>
      <c r="Q2620" s="33" t="str">
        <f t="shared" si="286"/>
        <v/>
      </c>
    </row>
    <row r="2621" spans="2:17" ht="18" customHeight="1" x14ac:dyDescent="0.3">
      <c r="B2621" s="26"/>
      <c r="C2621" s="28"/>
      <c r="D2621" s="27"/>
      <c r="E2621" s="29"/>
      <c r="F2621" s="29"/>
      <c r="G2621" s="29"/>
      <c r="H2621" s="30" t="str">
        <f t="shared" si="280"/>
        <v/>
      </c>
      <c r="I2621" s="31" t="str">
        <f>IF(OR(B2621="",C2621=""),"",IFERROR(E2621*IF(E2621="",0,VLOOKUP(C2621,'📦 Precios Proforma'!$B$5:$D$104,IF(D2621="DIA",2,3),FALSE)),0))</f>
        <v/>
      </c>
      <c r="J2621" s="31" t="str">
        <f t="shared" si="281"/>
        <v/>
      </c>
      <c r="K2621" s="31" t="str">
        <f t="shared" si="282"/>
        <v/>
      </c>
      <c r="L2621" s="31" t="str">
        <f>IF(OR(B2621="",C2621=""),"",IFERROR(E2621 / SUMIFS('📅 Resumen Diario'!$D$5:$D$504, '📅 Resumen Diario'!$B$5:$B$504, B2621, '📅 Resumen Diario'!$C$5:$C$504, D2621) * SUMIFS('📅 Resumen Diario'!$K$5:$K$504, '📅 Resumen Diario'!$B$5:$B$504, B2621, '📅 Resumen Diario'!$C$5:$C$504, D2621), 0))</f>
        <v/>
      </c>
      <c r="M2621" s="31" t="str">
        <f t="shared" si="283"/>
        <v/>
      </c>
      <c r="N2621" s="31" t="str">
        <f t="shared" si="284"/>
        <v/>
      </c>
      <c r="O2621" s="31" t="str">
        <f>IF(OR(B2621="",C2621=""),"",K2621-N2621 + IFERROR(E2621 / SUMIFS('📅 Resumen Diario'!$D$5:$D$504, '📅 Resumen Diario'!$B$5:$B$504, B2621, '📅 Resumen Diario'!$C$5:$C$504, D2621) * (SUMIFS('📋 Detalle Diario'!$E$5:$E$489, '📋 Detalle Diario'!$B$5:$B$489, B2621, '📋 Detalle Diario'!$C$5:$C$489, D2621) * 135 + SUMIFS('📋 Detalle Diario'!$I$5:$I$489, '📋 Detalle Diario'!$B$5:$B$489, B2621, '📋 Detalle Diario'!$C$5:$C$489, D2621) * 200), 0))</f>
        <v/>
      </c>
      <c r="P2621" s="32" t="str">
        <f t="shared" si="285"/>
        <v/>
      </c>
      <c r="Q2621" s="33" t="str">
        <f t="shared" si="286"/>
        <v/>
      </c>
    </row>
    <row r="2622" spans="2:17" ht="18" customHeight="1" x14ac:dyDescent="0.3">
      <c r="B2622" s="26"/>
      <c r="C2622" s="17"/>
      <c r="D2622" s="27"/>
      <c r="E2622" s="18"/>
      <c r="F2622" s="18"/>
      <c r="G2622" s="18"/>
      <c r="H2622" s="30" t="str">
        <f t="shared" si="280"/>
        <v/>
      </c>
      <c r="I2622" s="31" t="str">
        <f>IF(OR(B2622="",C2622=""),"",IFERROR(E2622*IF(E2622="",0,VLOOKUP(C2622,'📦 Precios Proforma'!$B$5:$D$104,IF(D2622="DIA",2,3),FALSE)),0))</f>
        <v/>
      </c>
      <c r="J2622" s="31" t="str">
        <f t="shared" si="281"/>
        <v/>
      </c>
      <c r="K2622" s="31" t="str">
        <f t="shared" si="282"/>
        <v/>
      </c>
      <c r="L2622" s="31" t="str">
        <f>IF(OR(B2622="",C2622=""),"",IFERROR(E2622 / SUMIFS('📅 Resumen Diario'!$D$5:$D$504, '📅 Resumen Diario'!$B$5:$B$504, B2622, '📅 Resumen Diario'!$C$5:$C$504, D2622) * SUMIFS('📅 Resumen Diario'!$K$5:$K$504, '📅 Resumen Diario'!$B$5:$B$504, B2622, '📅 Resumen Diario'!$C$5:$C$504, D2622), 0))</f>
        <v/>
      </c>
      <c r="M2622" s="31" t="str">
        <f t="shared" si="283"/>
        <v/>
      </c>
      <c r="N2622" s="31" t="str">
        <f t="shared" si="284"/>
        <v/>
      </c>
      <c r="O2622" s="31" t="str">
        <f>IF(OR(B2622="",C2622=""),"",K2622-N2622 + IFERROR(E2622 / SUMIFS('📅 Resumen Diario'!$D$5:$D$504, '📅 Resumen Diario'!$B$5:$B$504, B2622, '📅 Resumen Diario'!$C$5:$C$504, D2622) * (SUMIFS('📋 Detalle Diario'!$E$5:$E$489, '📋 Detalle Diario'!$B$5:$B$489, B2622, '📋 Detalle Diario'!$C$5:$C$489, D2622) * 135 + SUMIFS('📋 Detalle Diario'!$I$5:$I$489, '📋 Detalle Diario'!$B$5:$B$489, B2622, '📋 Detalle Diario'!$C$5:$C$489, D2622) * 200), 0))</f>
        <v/>
      </c>
      <c r="P2622" s="32" t="str">
        <f t="shared" si="285"/>
        <v/>
      </c>
      <c r="Q2622" s="33" t="str">
        <f t="shared" si="286"/>
        <v/>
      </c>
    </row>
    <row r="2623" spans="2:17" ht="18" customHeight="1" x14ac:dyDescent="0.3">
      <c r="B2623" s="26"/>
      <c r="C2623" s="28"/>
      <c r="D2623" s="27"/>
      <c r="E2623" s="29"/>
      <c r="F2623" s="29"/>
      <c r="G2623" s="29"/>
      <c r="H2623" s="30" t="str">
        <f t="shared" si="280"/>
        <v/>
      </c>
      <c r="I2623" s="31" t="str">
        <f>IF(OR(B2623="",C2623=""),"",IFERROR(E2623*IF(E2623="",0,VLOOKUP(C2623,'📦 Precios Proforma'!$B$5:$D$104,IF(D2623="DIA",2,3),FALSE)),0))</f>
        <v/>
      </c>
      <c r="J2623" s="31" t="str">
        <f t="shared" si="281"/>
        <v/>
      </c>
      <c r="K2623" s="31" t="str">
        <f t="shared" si="282"/>
        <v/>
      </c>
      <c r="L2623" s="31" t="str">
        <f>IF(OR(B2623="",C2623=""),"",IFERROR(E2623 / SUMIFS('📅 Resumen Diario'!$D$5:$D$504, '📅 Resumen Diario'!$B$5:$B$504, B2623, '📅 Resumen Diario'!$C$5:$C$504, D2623) * SUMIFS('📅 Resumen Diario'!$K$5:$K$504, '📅 Resumen Diario'!$B$5:$B$504, B2623, '📅 Resumen Diario'!$C$5:$C$504, D2623), 0))</f>
        <v/>
      </c>
      <c r="M2623" s="31" t="str">
        <f t="shared" si="283"/>
        <v/>
      </c>
      <c r="N2623" s="31" t="str">
        <f t="shared" si="284"/>
        <v/>
      </c>
      <c r="O2623" s="31" t="str">
        <f>IF(OR(B2623="",C2623=""),"",K2623-N2623 + IFERROR(E2623 / SUMIFS('📅 Resumen Diario'!$D$5:$D$504, '📅 Resumen Diario'!$B$5:$B$504, B2623, '📅 Resumen Diario'!$C$5:$C$504, D2623) * (SUMIFS('📋 Detalle Diario'!$E$5:$E$489, '📋 Detalle Diario'!$B$5:$B$489, B2623, '📋 Detalle Diario'!$C$5:$C$489, D2623) * 135 + SUMIFS('📋 Detalle Diario'!$I$5:$I$489, '📋 Detalle Diario'!$B$5:$B$489, B2623, '📋 Detalle Diario'!$C$5:$C$489, D2623) * 200), 0))</f>
        <v/>
      </c>
      <c r="P2623" s="32" t="str">
        <f t="shared" si="285"/>
        <v/>
      </c>
      <c r="Q2623" s="33" t="str">
        <f t="shared" si="286"/>
        <v/>
      </c>
    </row>
    <row r="2624" spans="2:17" ht="18" customHeight="1" x14ac:dyDescent="0.3">
      <c r="B2624" s="26"/>
      <c r="C2624" s="17"/>
      <c r="D2624" s="27"/>
      <c r="E2624" s="18"/>
      <c r="F2624" s="18"/>
      <c r="G2624" s="18"/>
      <c r="H2624" s="30" t="str">
        <f t="shared" si="280"/>
        <v/>
      </c>
      <c r="I2624" s="31" t="str">
        <f>IF(OR(B2624="",C2624=""),"",IFERROR(E2624*IF(E2624="",0,VLOOKUP(C2624,'📦 Precios Proforma'!$B$5:$D$104,IF(D2624="DIA",2,3),FALSE)),0))</f>
        <v/>
      </c>
      <c r="J2624" s="31" t="str">
        <f t="shared" si="281"/>
        <v/>
      </c>
      <c r="K2624" s="31" t="str">
        <f t="shared" si="282"/>
        <v/>
      </c>
      <c r="L2624" s="31" t="str">
        <f>IF(OR(B2624="",C2624=""),"",IFERROR(E2624 / SUMIFS('📅 Resumen Diario'!$D$5:$D$504, '📅 Resumen Diario'!$B$5:$B$504, B2624, '📅 Resumen Diario'!$C$5:$C$504, D2624) * SUMIFS('📅 Resumen Diario'!$K$5:$K$504, '📅 Resumen Diario'!$B$5:$B$504, B2624, '📅 Resumen Diario'!$C$5:$C$504, D2624), 0))</f>
        <v/>
      </c>
      <c r="M2624" s="31" t="str">
        <f t="shared" si="283"/>
        <v/>
      </c>
      <c r="N2624" s="31" t="str">
        <f t="shared" si="284"/>
        <v/>
      </c>
      <c r="O2624" s="31" t="str">
        <f>IF(OR(B2624="",C2624=""),"",K2624-N2624 + IFERROR(E2624 / SUMIFS('📅 Resumen Diario'!$D$5:$D$504, '📅 Resumen Diario'!$B$5:$B$504, B2624, '📅 Resumen Diario'!$C$5:$C$504, D2624) * (SUMIFS('📋 Detalle Diario'!$E$5:$E$489, '📋 Detalle Diario'!$B$5:$B$489, B2624, '📋 Detalle Diario'!$C$5:$C$489, D2624) * 135 + SUMIFS('📋 Detalle Diario'!$I$5:$I$489, '📋 Detalle Diario'!$B$5:$B$489, B2624, '📋 Detalle Diario'!$C$5:$C$489, D2624) * 200), 0))</f>
        <v/>
      </c>
      <c r="P2624" s="32" t="str">
        <f t="shared" si="285"/>
        <v/>
      </c>
      <c r="Q2624" s="33" t="str">
        <f t="shared" si="286"/>
        <v/>
      </c>
    </row>
    <row r="2625" spans="2:17" ht="18" customHeight="1" x14ac:dyDescent="0.3">
      <c r="B2625" s="26"/>
      <c r="C2625" s="28"/>
      <c r="D2625" s="27"/>
      <c r="E2625" s="29"/>
      <c r="F2625" s="29"/>
      <c r="G2625" s="29"/>
      <c r="H2625" s="30" t="str">
        <f t="shared" si="280"/>
        <v/>
      </c>
      <c r="I2625" s="31" t="str">
        <f>IF(OR(B2625="",C2625=""),"",IFERROR(E2625*IF(E2625="",0,VLOOKUP(C2625,'📦 Precios Proforma'!$B$5:$D$104,IF(D2625="DIA",2,3),FALSE)),0))</f>
        <v/>
      </c>
      <c r="J2625" s="31" t="str">
        <f t="shared" si="281"/>
        <v/>
      </c>
      <c r="K2625" s="31" t="str">
        <f t="shared" si="282"/>
        <v/>
      </c>
      <c r="L2625" s="31" t="str">
        <f>IF(OR(B2625="",C2625=""),"",IFERROR(E2625 / SUMIFS('📅 Resumen Diario'!$D$5:$D$504, '📅 Resumen Diario'!$B$5:$B$504, B2625, '📅 Resumen Diario'!$C$5:$C$504, D2625) * SUMIFS('📅 Resumen Diario'!$K$5:$K$504, '📅 Resumen Diario'!$B$5:$B$504, B2625, '📅 Resumen Diario'!$C$5:$C$504, D2625), 0))</f>
        <v/>
      </c>
      <c r="M2625" s="31" t="str">
        <f t="shared" si="283"/>
        <v/>
      </c>
      <c r="N2625" s="31" t="str">
        <f t="shared" si="284"/>
        <v/>
      </c>
      <c r="O2625" s="31" t="str">
        <f>IF(OR(B2625="",C2625=""),"",K2625-N2625 + IFERROR(E2625 / SUMIFS('📅 Resumen Diario'!$D$5:$D$504, '📅 Resumen Diario'!$B$5:$B$504, B2625, '📅 Resumen Diario'!$C$5:$C$504, D2625) * (SUMIFS('📋 Detalle Diario'!$E$5:$E$489, '📋 Detalle Diario'!$B$5:$B$489, B2625, '📋 Detalle Diario'!$C$5:$C$489, D2625) * 135 + SUMIFS('📋 Detalle Diario'!$I$5:$I$489, '📋 Detalle Diario'!$B$5:$B$489, B2625, '📋 Detalle Diario'!$C$5:$C$489, D2625) * 200), 0))</f>
        <v/>
      </c>
      <c r="P2625" s="32" t="str">
        <f t="shared" si="285"/>
        <v/>
      </c>
      <c r="Q2625" s="33" t="str">
        <f t="shared" si="286"/>
        <v/>
      </c>
    </row>
    <row r="2626" spans="2:17" ht="18" customHeight="1" x14ac:dyDescent="0.3">
      <c r="B2626" s="26"/>
      <c r="C2626" s="17"/>
      <c r="D2626" s="27"/>
      <c r="E2626" s="18"/>
      <c r="F2626" s="18"/>
      <c r="G2626" s="18"/>
      <c r="H2626" s="30" t="str">
        <f t="shared" si="280"/>
        <v/>
      </c>
      <c r="I2626" s="31" t="str">
        <f>IF(OR(B2626="",C2626=""),"",IFERROR(E2626*IF(E2626="",0,VLOOKUP(C2626,'📦 Precios Proforma'!$B$5:$D$104,IF(D2626="DIA",2,3),FALSE)),0))</f>
        <v/>
      </c>
      <c r="J2626" s="31" t="str">
        <f t="shared" si="281"/>
        <v/>
      </c>
      <c r="K2626" s="31" t="str">
        <f t="shared" si="282"/>
        <v/>
      </c>
      <c r="L2626" s="31" t="str">
        <f>IF(OR(B2626="",C2626=""),"",IFERROR(E2626 / SUMIFS('📅 Resumen Diario'!$D$5:$D$504, '📅 Resumen Diario'!$B$5:$B$504, B2626, '📅 Resumen Diario'!$C$5:$C$504, D2626) * SUMIFS('📅 Resumen Diario'!$K$5:$K$504, '📅 Resumen Diario'!$B$5:$B$504, B2626, '📅 Resumen Diario'!$C$5:$C$504, D2626), 0))</f>
        <v/>
      </c>
      <c r="M2626" s="31" t="str">
        <f t="shared" si="283"/>
        <v/>
      </c>
      <c r="N2626" s="31" t="str">
        <f t="shared" si="284"/>
        <v/>
      </c>
      <c r="O2626" s="31" t="str">
        <f>IF(OR(B2626="",C2626=""),"",K2626-N2626 + IFERROR(E2626 / SUMIFS('📅 Resumen Diario'!$D$5:$D$504, '📅 Resumen Diario'!$B$5:$B$504, B2626, '📅 Resumen Diario'!$C$5:$C$504, D2626) * (SUMIFS('📋 Detalle Diario'!$E$5:$E$489, '📋 Detalle Diario'!$B$5:$B$489, B2626, '📋 Detalle Diario'!$C$5:$C$489, D2626) * 135 + SUMIFS('📋 Detalle Diario'!$I$5:$I$489, '📋 Detalle Diario'!$B$5:$B$489, B2626, '📋 Detalle Diario'!$C$5:$C$489, D2626) * 200), 0))</f>
        <v/>
      </c>
      <c r="P2626" s="32" t="str">
        <f t="shared" si="285"/>
        <v/>
      </c>
      <c r="Q2626" s="33" t="str">
        <f t="shared" si="286"/>
        <v/>
      </c>
    </row>
    <row r="2627" spans="2:17" ht="18" customHeight="1" x14ac:dyDescent="0.3">
      <c r="B2627" s="26"/>
      <c r="C2627" s="28"/>
      <c r="D2627" s="27"/>
      <c r="E2627" s="29"/>
      <c r="F2627" s="29"/>
      <c r="G2627" s="29"/>
      <c r="H2627" s="30" t="str">
        <f t="shared" si="280"/>
        <v/>
      </c>
      <c r="I2627" s="31" t="str">
        <f>IF(OR(B2627="",C2627=""),"",IFERROR(E2627*IF(E2627="",0,VLOOKUP(C2627,'📦 Precios Proforma'!$B$5:$D$104,IF(D2627="DIA",2,3),FALSE)),0))</f>
        <v/>
      </c>
      <c r="J2627" s="31" t="str">
        <f t="shared" si="281"/>
        <v/>
      </c>
      <c r="K2627" s="31" t="str">
        <f t="shared" si="282"/>
        <v/>
      </c>
      <c r="L2627" s="31" t="str">
        <f>IF(OR(B2627="",C2627=""),"",IFERROR(E2627 / SUMIFS('📅 Resumen Diario'!$D$5:$D$504, '📅 Resumen Diario'!$B$5:$B$504, B2627, '📅 Resumen Diario'!$C$5:$C$504, D2627) * SUMIFS('📅 Resumen Diario'!$K$5:$K$504, '📅 Resumen Diario'!$B$5:$B$504, B2627, '📅 Resumen Diario'!$C$5:$C$504, D2627), 0))</f>
        <v/>
      </c>
      <c r="M2627" s="31" t="str">
        <f t="shared" si="283"/>
        <v/>
      </c>
      <c r="N2627" s="31" t="str">
        <f t="shared" si="284"/>
        <v/>
      </c>
      <c r="O2627" s="31" t="str">
        <f>IF(OR(B2627="",C2627=""),"",K2627-N2627 + IFERROR(E2627 / SUMIFS('📅 Resumen Diario'!$D$5:$D$504, '📅 Resumen Diario'!$B$5:$B$504, B2627, '📅 Resumen Diario'!$C$5:$C$504, D2627) * (SUMIFS('📋 Detalle Diario'!$E$5:$E$489, '📋 Detalle Diario'!$B$5:$B$489, B2627, '📋 Detalle Diario'!$C$5:$C$489, D2627) * 135 + SUMIFS('📋 Detalle Diario'!$I$5:$I$489, '📋 Detalle Diario'!$B$5:$B$489, B2627, '📋 Detalle Diario'!$C$5:$C$489, D2627) * 200), 0))</f>
        <v/>
      </c>
      <c r="P2627" s="32" t="str">
        <f t="shared" si="285"/>
        <v/>
      </c>
      <c r="Q2627" s="33" t="str">
        <f t="shared" si="286"/>
        <v/>
      </c>
    </row>
    <row r="2628" spans="2:17" ht="18" customHeight="1" x14ac:dyDescent="0.3">
      <c r="B2628" s="26"/>
      <c r="C2628" s="17"/>
      <c r="D2628" s="27"/>
      <c r="E2628" s="18"/>
      <c r="F2628" s="18"/>
      <c r="G2628" s="18"/>
      <c r="H2628" s="30" t="str">
        <f t="shared" si="280"/>
        <v/>
      </c>
      <c r="I2628" s="31" t="str">
        <f>IF(OR(B2628="",C2628=""),"",IFERROR(E2628*IF(E2628="",0,VLOOKUP(C2628,'📦 Precios Proforma'!$B$5:$D$104,IF(D2628="DIA",2,3),FALSE)),0))</f>
        <v/>
      </c>
      <c r="J2628" s="31" t="str">
        <f t="shared" si="281"/>
        <v/>
      </c>
      <c r="K2628" s="31" t="str">
        <f t="shared" si="282"/>
        <v/>
      </c>
      <c r="L2628" s="31" t="str">
        <f>IF(OR(B2628="",C2628=""),"",IFERROR(E2628 / SUMIFS('📅 Resumen Diario'!$D$5:$D$504, '📅 Resumen Diario'!$B$5:$B$504, B2628, '📅 Resumen Diario'!$C$5:$C$504, D2628) * SUMIFS('📅 Resumen Diario'!$K$5:$K$504, '📅 Resumen Diario'!$B$5:$B$504, B2628, '📅 Resumen Diario'!$C$5:$C$504, D2628), 0))</f>
        <v/>
      </c>
      <c r="M2628" s="31" t="str">
        <f t="shared" si="283"/>
        <v/>
      </c>
      <c r="N2628" s="31" t="str">
        <f t="shared" si="284"/>
        <v/>
      </c>
      <c r="O2628" s="31" t="str">
        <f>IF(OR(B2628="",C2628=""),"",K2628-N2628 + IFERROR(E2628 / SUMIFS('📅 Resumen Diario'!$D$5:$D$504, '📅 Resumen Diario'!$B$5:$B$504, B2628, '📅 Resumen Diario'!$C$5:$C$504, D2628) * (SUMIFS('📋 Detalle Diario'!$E$5:$E$489, '📋 Detalle Diario'!$B$5:$B$489, B2628, '📋 Detalle Diario'!$C$5:$C$489, D2628) * 135 + SUMIFS('📋 Detalle Diario'!$I$5:$I$489, '📋 Detalle Diario'!$B$5:$B$489, B2628, '📋 Detalle Diario'!$C$5:$C$489, D2628) * 200), 0))</f>
        <v/>
      </c>
      <c r="P2628" s="32" t="str">
        <f t="shared" si="285"/>
        <v/>
      </c>
      <c r="Q2628" s="33" t="str">
        <f t="shared" si="286"/>
        <v/>
      </c>
    </row>
    <row r="2629" spans="2:17" ht="18" customHeight="1" x14ac:dyDescent="0.3">
      <c r="B2629" s="26"/>
      <c r="C2629" s="28"/>
      <c r="D2629" s="27"/>
      <c r="E2629" s="29"/>
      <c r="F2629" s="29"/>
      <c r="G2629" s="29"/>
      <c r="H2629" s="30" t="str">
        <f t="shared" si="280"/>
        <v/>
      </c>
      <c r="I2629" s="31" t="str">
        <f>IF(OR(B2629="",C2629=""),"",IFERROR(E2629*IF(E2629="",0,VLOOKUP(C2629,'📦 Precios Proforma'!$B$5:$D$104,IF(D2629="DIA",2,3),FALSE)),0))</f>
        <v/>
      </c>
      <c r="J2629" s="31" t="str">
        <f t="shared" si="281"/>
        <v/>
      </c>
      <c r="K2629" s="31" t="str">
        <f t="shared" si="282"/>
        <v/>
      </c>
      <c r="L2629" s="31" t="str">
        <f>IF(OR(B2629="",C2629=""),"",IFERROR(E2629 / SUMIFS('📅 Resumen Diario'!$D$5:$D$504, '📅 Resumen Diario'!$B$5:$B$504, B2629, '📅 Resumen Diario'!$C$5:$C$504, D2629) * SUMIFS('📅 Resumen Diario'!$K$5:$K$504, '📅 Resumen Diario'!$B$5:$B$504, B2629, '📅 Resumen Diario'!$C$5:$C$504, D2629), 0))</f>
        <v/>
      </c>
      <c r="M2629" s="31" t="str">
        <f t="shared" si="283"/>
        <v/>
      </c>
      <c r="N2629" s="31" t="str">
        <f t="shared" si="284"/>
        <v/>
      </c>
      <c r="O2629" s="31" t="str">
        <f>IF(OR(B2629="",C2629=""),"",K2629-N2629 + IFERROR(E2629 / SUMIFS('📅 Resumen Diario'!$D$5:$D$504, '📅 Resumen Diario'!$B$5:$B$504, B2629, '📅 Resumen Diario'!$C$5:$C$504, D2629) * (SUMIFS('📋 Detalle Diario'!$E$5:$E$489, '📋 Detalle Diario'!$B$5:$B$489, B2629, '📋 Detalle Diario'!$C$5:$C$489, D2629) * 135 + SUMIFS('📋 Detalle Diario'!$I$5:$I$489, '📋 Detalle Diario'!$B$5:$B$489, B2629, '📋 Detalle Diario'!$C$5:$C$489, D2629) * 200), 0))</f>
        <v/>
      </c>
      <c r="P2629" s="32" t="str">
        <f t="shared" si="285"/>
        <v/>
      </c>
      <c r="Q2629" s="33" t="str">
        <f t="shared" si="286"/>
        <v/>
      </c>
    </row>
    <row r="2630" spans="2:17" ht="18" customHeight="1" x14ac:dyDescent="0.3">
      <c r="B2630" s="26"/>
      <c r="C2630" s="17"/>
      <c r="D2630" s="27"/>
      <c r="E2630" s="18"/>
      <c r="F2630" s="18"/>
      <c r="G2630" s="18"/>
      <c r="H2630" s="30" t="str">
        <f t="shared" si="280"/>
        <v/>
      </c>
      <c r="I2630" s="31" t="str">
        <f>IF(OR(B2630="",C2630=""),"",IFERROR(E2630*IF(E2630="",0,VLOOKUP(C2630,'📦 Precios Proforma'!$B$5:$D$104,IF(D2630="DIA",2,3),FALSE)),0))</f>
        <v/>
      </c>
      <c r="J2630" s="31" t="str">
        <f t="shared" si="281"/>
        <v/>
      </c>
      <c r="K2630" s="31" t="str">
        <f t="shared" si="282"/>
        <v/>
      </c>
      <c r="L2630" s="31" t="str">
        <f>IF(OR(B2630="",C2630=""),"",IFERROR(E2630 / SUMIFS('📅 Resumen Diario'!$D$5:$D$504, '📅 Resumen Diario'!$B$5:$B$504, B2630, '📅 Resumen Diario'!$C$5:$C$504, D2630) * SUMIFS('📅 Resumen Diario'!$K$5:$K$504, '📅 Resumen Diario'!$B$5:$B$504, B2630, '📅 Resumen Diario'!$C$5:$C$504, D2630), 0))</f>
        <v/>
      </c>
      <c r="M2630" s="31" t="str">
        <f t="shared" si="283"/>
        <v/>
      </c>
      <c r="N2630" s="31" t="str">
        <f t="shared" si="284"/>
        <v/>
      </c>
      <c r="O2630" s="31" t="str">
        <f>IF(OR(B2630="",C2630=""),"",K2630-N2630 + IFERROR(E2630 / SUMIFS('📅 Resumen Diario'!$D$5:$D$504, '📅 Resumen Diario'!$B$5:$B$504, B2630, '📅 Resumen Diario'!$C$5:$C$504, D2630) * (SUMIFS('📋 Detalle Diario'!$E$5:$E$489, '📋 Detalle Diario'!$B$5:$B$489, B2630, '📋 Detalle Diario'!$C$5:$C$489, D2630) * 135 + SUMIFS('📋 Detalle Diario'!$I$5:$I$489, '📋 Detalle Diario'!$B$5:$B$489, B2630, '📋 Detalle Diario'!$C$5:$C$489, D2630) * 200), 0))</f>
        <v/>
      </c>
      <c r="P2630" s="32" t="str">
        <f t="shared" si="285"/>
        <v/>
      </c>
      <c r="Q2630" s="33" t="str">
        <f t="shared" si="286"/>
        <v/>
      </c>
    </row>
    <row r="2631" spans="2:17" ht="18" customHeight="1" x14ac:dyDescent="0.3">
      <c r="B2631" s="26"/>
      <c r="C2631" s="28"/>
      <c r="D2631" s="27"/>
      <c r="E2631" s="29"/>
      <c r="F2631" s="29"/>
      <c r="G2631" s="29"/>
      <c r="H2631" s="30" t="str">
        <f t="shared" ref="H2631:H2694" si="287">IF(OR(B2631="",C2631=""),"",F2631+G2631)</f>
        <v/>
      </c>
      <c r="I2631" s="31" t="str">
        <f>IF(OR(B2631="",C2631=""),"",IFERROR(E2631*IF(E2631="",0,VLOOKUP(C2631,'📦 Precios Proforma'!$B$5:$D$104,IF(D2631="DIA",2,3),FALSE)),0))</f>
        <v/>
      </c>
      <c r="J2631" s="31" t="str">
        <f t="shared" ref="J2631:J2694" si="288">IF(OR(B2631="",C2631=""),"",IF(D2631="DIA",H2631*1.01,H2631*1.35))</f>
        <v/>
      </c>
      <c r="K2631" s="31" t="str">
        <f t="shared" ref="K2631:K2694" si="289">IF(OR(B2631="",C2631=""),"",I2631+J2631)</f>
        <v/>
      </c>
      <c r="L2631" s="31" t="str">
        <f>IF(OR(B2631="",C2631=""),"",IFERROR(E2631 / SUMIFS('📅 Resumen Diario'!$D$5:$D$504, '📅 Resumen Diario'!$B$5:$B$504, B2631, '📅 Resumen Diario'!$C$5:$C$504, D2631) * SUMIFS('📅 Resumen Diario'!$K$5:$K$504, '📅 Resumen Diario'!$B$5:$B$504, B2631, '📅 Resumen Diario'!$C$5:$C$504, D2631), 0))</f>
        <v/>
      </c>
      <c r="M2631" s="31" t="str">
        <f t="shared" ref="M2631:M2694" si="290">IF(OR(B2631="",C2631=""),"",H2631*0.09)</f>
        <v/>
      </c>
      <c r="N2631" s="31" t="str">
        <f t="shared" ref="N2631:N2694" si="291">IF(OR(B2631="",C2631=""),"",L2631+M2631)</f>
        <v/>
      </c>
      <c r="O2631" s="31" t="str">
        <f>IF(OR(B2631="",C2631=""),"",K2631-N2631 + IFERROR(E2631 / SUMIFS('📅 Resumen Diario'!$D$5:$D$504, '📅 Resumen Diario'!$B$5:$B$504, B2631, '📅 Resumen Diario'!$C$5:$C$504, D2631) * (SUMIFS('📋 Detalle Diario'!$E$5:$E$489, '📋 Detalle Diario'!$B$5:$B$489, B2631, '📋 Detalle Diario'!$C$5:$C$489, D2631) * 135 + SUMIFS('📋 Detalle Diario'!$I$5:$I$489, '📋 Detalle Diario'!$B$5:$B$489, B2631, '📋 Detalle Diario'!$C$5:$C$489, D2631) * 200), 0))</f>
        <v/>
      </c>
      <c r="P2631" s="32" t="str">
        <f t="shared" ref="P2631:P2694" si="292">IF(OR(B2631="",C2631=""),"",IF(K2631=0, 0, O2631/K2631))</f>
        <v/>
      </c>
      <c r="Q2631" s="33" t="str">
        <f t="shared" ref="Q2631:Q2694" si="293">IF(B2631="","",IF(ISNUMBER(B2631),YEAR(B2631)&amp;"-"&amp;IF(MONTH(B2631)&lt;10,"0","")&amp;MONTH(B2631),LEFT(B2631,7)))</f>
        <v/>
      </c>
    </row>
    <row r="2632" spans="2:17" ht="18" customHeight="1" x14ac:dyDescent="0.3">
      <c r="B2632" s="26"/>
      <c r="C2632" s="17"/>
      <c r="D2632" s="27"/>
      <c r="E2632" s="18"/>
      <c r="F2632" s="18"/>
      <c r="G2632" s="18"/>
      <c r="H2632" s="30" t="str">
        <f t="shared" si="287"/>
        <v/>
      </c>
      <c r="I2632" s="31" t="str">
        <f>IF(OR(B2632="",C2632=""),"",IFERROR(E2632*IF(E2632="",0,VLOOKUP(C2632,'📦 Precios Proforma'!$B$5:$D$104,IF(D2632="DIA",2,3),FALSE)),0))</f>
        <v/>
      </c>
      <c r="J2632" s="31" t="str">
        <f t="shared" si="288"/>
        <v/>
      </c>
      <c r="K2632" s="31" t="str">
        <f t="shared" si="289"/>
        <v/>
      </c>
      <c r="L2632" s="31" t="str">
        <f>IF(OR(B2632="",C2632=""),"",IFERROR(E2632 / SUMIFS('📅 Resumen Diario'!$D$5:$D$504, '📅 Resumen Diario'!$B$5:$B$504, B2632, '📅 Resumen Diario'!$C$5:$C$504, D2632) * SUMIFS('📅 Resumen Diario'!$K$5:$K$504, '📅 Resumen Diario'!$B$5:$B$504, B2632, '📅 Resumen Diario'!$C$5:$C$504, D2632), 0))</f>
        <v/>
      </c>
      <c r="M2632" s="31" t="str">
        <f t="shared" si="290"/>
        <v/>
      </c>
      <c r="N2632" s="31" t="str">
        <f t="shared" si="291"/>
        <v/>
      </c>
      <c r="O2632" s="31" t="str">
        <f>IF(OR(B2632="",C2632=""),"",K2632-N2632 + IFERROR(E2632 / SUMIFS('📅 Resumen Diario'!$D$5:$D$504, '📅 Resumen Diario'!$B$5:$B$504, B2632, '📅 Resumen Diario'!$C$5:$C$504, D2632) * (SUMIFS('📋 Detalle Diario'!$E$5:$E$489, '📋 Detalle Diario'!$B$5:$B$489, B2632, '📋 Detalle Diario'!$C$5:$C$489, D2632) * 135 + SUMIFS('📋 Detalle Diario'!$I$5:$I$489, '📋 Detalle Diario'!$B$5:$B$489, B2632, '📋 Detalle Diario'!$C$5:$C$489, D2632) * 200), 0))</f>
        <v/>
      </c>
      <c r="P2632" s="32" t="str">
        <f t="shared" si="292"/>
        <v/>
      </c>
      <c r="Q2632" s="33" t="str">
        <f t="shared" si="293"/>
        <v/>
      </c>
    </row>
    <row r="2633" spans="2:17" ht="18" customHeight="1" x14ac:dyDescent="0.3">
      <c r="B2633" s="26"/>
      <c r="C2633" s="28"/>
      <c r="D2633" s="27"/>
      <c r="E2633" s="29"/>
      <c r="F2633" s="29"/>
      <c r="G2633" s="29"/>
      <c r="H2633" s="30" t="str">
        <f t="shared" si="287"/>
        <v/>
      </c>
      <c r="I2633" s="31" t="str">
        <f>IF(OR(B2633="",C2633=""),"",IFERROR(E2633*IF(E2633="",0,VLOOKUP(C2633,'📦 Precios Proforma'!$B$5:$D$104,IF(D2633="DIA",2,3),FALSE)),0))</f>
        <v/>
      </c>
      <c r="J2633" s="31" t="str">
        <f t="shared" si="288"/>
        <v/>
      </c>
      <c r="K2633" s="31" t="str">
        <f t="shared" si="289"/>
        <v/>
      </c>
      <c r="L2633" s="31" t="str">
        <f>IF(OR(B2633="",C2633=""),"",IFERROR(E2633 / SUMIFS('📅 Resumen Diario'!$D$5:$D$504, '📅 Resumen Diario'!$B$5:$B$504, B2633, '📅 Resumen Diario'!$C$5:$C$504, D2633) * SUMIFS('📅 Resumen Diario'!$K$5:$K$504, '📅 Resumen Diario'!$B$5:$B$504, B2633, '📅 Resumen Diario'!$C$5:$C$504, D2633), 0))</f>
        <v/>
      </c>
      <c r="M2633" s="31" t="str">
        <f t="shared" si="290"/>
        <v/>
      </c>
      <c r="N2633" s="31" t="str">
        <f t="shared" si="291"/>
        <v/>
      </c>
      <c r="O2633" s="31" t="str">
        <f>IF(OR(B2633="",C2633=""),"",K2633-N2633 + IFERROR(E2633 / SUMIFS('📅 Resumen Diario'!$D$5:$D$504, '📅 Resumen Diario'!$B$5:$B$504, B2633, '📅 Resumen Diario'!$C$5:$C$504, D2633) * (SUMIFS('📋 Detalle Diario'!$E$5:$E$489, '📋 Detalle Diario'!$B$5:$B$489, B2633, '📋 Detalle Diario'!$C$5:$C$489, D2633) * 135 + SUMIFS('📋 Detalle Diario'!$I$5:$I$489, '📋 Detalle Diario'!$B$5:$B$489, B2633, '📋 Detalle Diario'!$C$5:$C$489, D2633) * 200), 0))</f>
        <v/>
      </c>
      <c r="P2633" s="32" t="str">
        <f t="shared" si="292"/>
        <v/>
      </c>
      <c r="Q2633" s="33" t="str">
        <f t="shared" si="293"/>
        <v/>
      </c>
    </row>
    <row r="2634" spans="2:17" ht="18" customHeight="1" x14ac:dyDescent="0.3">
      <c r="B2634" s="26"/>
      <c r="C2634" s="17"/>
      <c r="D2634" s="27"/>
      <c r="E2634" s="18"/>
      <c r="F2634" s="18"/>
      <c r="G2634" s="18"/>
      <c r="H2634" s="30" t="str">
        <f t="shared" si="287"/>
        <v/>
      </c>
      <c r="I2634" s="31" t="str">
        <f>IF(OR(B2634="",C2634=""),"",IFERROR(E2634*IF(E2634="",0,VLOOKUP(C2634,'📦 Precios Proforma'!$B$5:$D$104,IF(D2634="DIA",2,3),FALSE)),0))</f>
        <v/>
      </c>
      <c r="J2634" s="31" t="str">
        <f t="shared" si="288"/>
        <v/>
      </c>
      <c r="K2634" s="31" t="str">
        <f t="shared" si="289"/>
        <v/>
      </c>
      <c r="L2634" s="31" t="str">
        <f>IF(OR(B2634="",C2634=""),"",IFERROR(E2634 / SUMIFS('📅 Resumen Diario'!$D$5:$D$504, '📅 Resumen Diario'!$B$5:$B$504, B2634, '📅 Resumen Diario'!$C$5:$C$504, D2634) * SUMIFS('📅 Resumen Diario'!$K$5:$K$504, '📅 Resumen Diario'!$B$5:$B$504, B2634, '📅 Resumen Diario'!$C$5:$C$504, D2634), 0))</f>
        <v/>
      </c>
      <c r="M2634" s="31" t="str">
        <f t="shared" si="290"/>
        <v/>
      </c>
      <c r="N2634" s="31" t="str">
        <f t="shared" si="291"/>
        <v/>
      </c>
      <c r="O2634" s="31" t="str">
        <f>IF(OR(B2634="",C2634=""),"",K2634-N2634 + IFERROR(E2634 / SUMIFS('📅 Resumen Diario'!$D$5:$D$504, '📅 Resumen Diario'!$B$5:$B$504, B2634, '📅 Resumen Diario'!$C$5:$C$504, D2634) * (SUMIFS('📋 Detalle Diario'!$E$5:$E$489, '📋 Detalle Diario'!$B$5:$B$489, B2634, '📋 Detalle Diario'!$C$5:$C$489, D2634) * 135 + SUMIFS('📋 Detalle Diario'!$I$5:$I$489, '📋 Detalle Diario'!$B$5:$B$489, B2634, '📋 Detalle Diario'!$C$5:$C$489, D2634) * 200), 0))</f>
        <v/>
      </c>
      <c r="P2634" s="32" t="str">
        <f t="shared" si="292"/>
        <v/>
      </c>
      <c r="Q2634" s="33" t="str">
        <f t="shared" si="293"/>
        <v/>
      </c>
    </row>
    <row r="2635" spans="2:17" ht="18" customHeight="1" x14ac:dyDescent="0.3">
      <c r="B2635" s="26"/>
      <c r="C2635" s="28"/>
      <c r="D2635" s="27"/>
      <c r="E2635" s="29"/>
      <c r="F2635" s="29"/>
      <c r="G2635" s="29"/>
      <c r="H2635" s="30" t="str">
        <f t="shared" si="287"/>
        <v/>
      </c>
      <c r="I2635" s="31" t="str">
        <f>IF(OR(B2635="",C2635=""),"",IFERROR(E2635*IF(E2635="",0,VLOOKUP(C2635,'📦 Precios Proforma'!$B$5:$D$104,IF(D2635="DIA",2,3),FALSE)),0))</f>
        <v/>
      </c>
      <c r="J2635" s="31" t="str">
        <f t="shared" si="288"/>
        <v/>
      </c>
      <c r="K2635" s="31" t="str">
        <f t="shared" si="289"/>
        <v/>
      </c>
      <c r="L2635" s="31" t="str">
        <f>IF(OR(B2635="",C2635=""),"",IFERROR(E2635 / SUMIFS('📅 Resumen Diario'!$D$5:$D$504, '📅 Resumen Diario'!$B$5:$B$504, B2635, '📅 Resumen Diario'!$C$5:$C$504, D2635) * SUMIFS('📅 Resumen Diario'!$K$5:$K$504, '📅 Resumen Diario'!$B$5:$B$504, B2635, '📅 Resumen Diario'!$C$5:$C$504, D2635), 0))</f>
        <v/>
      </c>
      <c r="M2635" s="31" t="str">
        <f t="shared" si="290"/>
        <v/>
      </c>
      <c r="N2635" s="31" t="str">
        <f t="shared" si="291"/>
        <v/>
      </c>
      <c r="O2635" s="31" t="str">
        <f>IF(OR(B2635="",C2635=""),"",K2635-N2635 + IFERROR(E2635 / SUMIFS('📅 Resumen Diario'!$D$5:$D$504, '📅 Resumen Diario'!$B$5:$B$504, B2635, '📅 Resumen Diario'!$C$5:$C$504, D2635) * (SUMIFS('📋 Detalle Diario'!$E$5:$E$489, '📋 Detalle Diario'!$B$5:$B$489, B2635, '📋 Detalle Diario'!$C$5:$C$489, D2635) * 135 + SUMIFS('📋 Detalle Diario'!$I$5:$I$489, '📋 Detalle Diario'!$B$5:$B$489, B2635, '📋 Detalle Diario'!$C$5:$C$489, D2635) * 200), 0))</f>
        <v/>
      </c>
      <c r="P2635" s="32" t="str">
        <f t="shared" si="292"/>
        <v/>
      </c>
      <c r="Q2635" s="33" t="str">
        <f t="shared" si="293"/>
        <v/>
      </c>
    </row>
    <row r="2636" spans="2:17" ht="18" customHeight="1" x14ac:dyDescent="0.3">
      <c r="B2636" s="26"/>
      <c r="C2636" s="17"/>
      <c r="D2636" s="27"/>
      <c r="E2636" s="18"/>
      <c r="F2636" s="18"/>
      <c r="G2636" s="18"/>
      <c r="H2636" s="30" t="str">
        <f t="shared" si="287"/>
        <v/>
      </c>
      <c r="I2636" s="31" t="str">
        <f>IF(OR(B2636="",C2636=""),"",IFERROR(E2636*IF(E2636="",0,VLOOKUP(C2636,'📦 Precios Proforma'!$B$5:$D$104,IF(D2636="DIA",2,3),FALSE)),0))</f>
        <v/>
      </c>
      <c r="J2636" s="31" t="str">
        <f t="shared" si="288"/>
        <v/>
      </c>
      <c r="K2636" s="31" t="str">
        <f t="shared" si="289"/>
        <v/>
      </c>
      <c r="L2636" s="31" t="str">
        <f>IF(OR(B2636="",C2636=""),"",IFERROR(E2636 / SUMIFS('📅 Resumen Diario'!$D$5:$D$504, '📅 Resumen Diario'!$B$5:$B$504, B2636, '📅 Resumen Diario'!$C$5:$C$504, D2636) * SUMIFS('📅 Resumen Diario'!$K$5:$K$504, '📅 Resumen Diario'!$B$5:$B$504, B2636, '📅 Resumen Diario'!$C$5:$C$504, D2636), 0))</f>
        <v/>
      </c>
      <c r="M2636" s="31" t="str">
        <f t="shared" si="290"/>
        <v/>
      </c>
      <c r="N2636" s="31" t="str">
        <f t="shared" si="291"/>
        <v/>
      </c>
      <c r="O2636" s="31" t="str">
        <f>IF(OR(B2636="",C2636=""),"",K2636-N2636 + IFERROR(E2636 / SUMIFS('📅 Resumen Diario'!$D$5:$D$504, '📅 Resumen Diario'!$B$5:$B$504, B2636, '📅 Resumen Diario'!$C$5:$C$504, D2636) * (SUMIFS('📋 Detalle Diario'!$E$5:$E$489, '📋 Detalle Diario'!$B$5:$B$489, B2636, '📋 Detalle Diario'!$C$5:$C$489, D2636) * 135 + SUMIFS('📋 Detalle Diario'!$I$5:$I$489, '📋 Detalle Diario'!$B$5:$B$489, B2636, '📋 Detalle Diario'!$C$5:$C$489, D2636) * 200), 0))</f>
        <v/>
      </c>
      <c r="P2636" s="32" t="str">
        <f t="shared" si="292"/>
        <v/>
      </c>
      <c r="Q2636" s="33" t="str">
        <f t="shared" si="293"/>
        <v/>
      </c>
    </row>
    <row r="2637" spans="2:17" ht="18" customHeight="1" x14ac:dyDescent="0.3">
      <c r="B2637" s="26"/>
      <c r="C2637" s="28"/>
      <c r="D2637" s="27"/>
      <c r="E2637" s="29"/>
      <c r="F2637" s="29"/>
      <c r="G2637" s="29"/>
      <c r="H2637" s="30" t="str">
        <f t="shared" si="287"/>
        <v/>
      </c>
      <c r="I2637" s="31" t="str">
        <f>IF(OR(B2637="",C2637=""),"",IFERROR(E2637*IF(E2637="",0,VLOOKUP(C2637,'📦 Precios Proforma'!$B$5:$D$104,IF(D2637="DIA",2,3),FALSE)),0))</f>
        <v/>
      </c>
      <c r="J2637" s="31" t="str">
        <f t="shared" si="288"/>
        <v/>
      </c>
      <c r="K2637" s="31" t="str">
        <f t="shared" si="289"/>
        <v/>
      </c>
      <c r="L2637" s="31" t="str">
        <f>IF(OR(B2637="",C2637=""),"",IFERROR(E2637 / SUMIFS('📅 Resumen Diario'!$D$5:$D$504, '📅 Resumen Diario'!$B$5:$B$504, B2637, '📅 Resumen Diario'!$C$5:$C$504, D2637) * SUMIFS('📅 Resumen Diario'!$K$5:$K$504, '📅 Resumen Diario'!$B$5:$B$504, B2637, '📅 Resumen Diario'!$C$5:$C$504, D2637), 0))</f>
        <v/>
      </c>
      <c r="M2637" s="31" t="str">
        <f t="shared" si="290"/>
        <v/>
      </c>
      <c r="N2637" s="31" t="str">
        <f t="shared" si="291"/>
        <v/>
      </c>
      <c r="O2637" s="31" t="str">
        <f>IF(OR(B2637="",C2637=""),"",K2637-N2637 + IFERROR(E2637 / SUMIFS('📅 Resumen Diario'!$D$5:$D$504, '📅 Resumen Diario'!$B$5:$B$504, B2637, '📅 Resumen Diario'!$C$5:$C$504, D2637) * (SUMIFS('📋 Detalle Diario'!$E$5:$E$489, '📋 Detalle Diario'!$B$5:$B$489, B2637, '📋 Detalle Diario'!$C$5:$C$489, D2637) * 135 + SUMIFS('📋 Detalle Diario'!$I$5:$I$489, '📋 Detalle Diario'!$B$5:$B$489, B2637, '📋 Detalle Diario'!$C$5:$C$489, D2637) * 200), 0))</f>
        <v/>
      </c>
      <c r="P2637" s="32" t="str">
        <f t="shared" si="292"/>
        <v/>
      </c>
      <c r="Q2637" s="33" t="str">
        <f t="shared" si="293"/>
        <v/>
      </c>
    </row>
    <row r="2638" spans="2:17" ht="18" customHeight="1" x14ac:dyDescent="0.3">
      <c r="B2638" s="26"/>
      <c r="C2638" s="17"/>
      <c r="D2638" s="27"/>
      <c r="E2638" s="18"/>
      <c r="F2638" s="18"/>
      <c r="G2638" s="18"/>
      <c r="H2638" s="30" t="str">
        <f t="shared" si="287"/>
        <v/>
      </c>
      <c r="I2638" s="31" t="str">
        <f>IF(OR(B2638="",C2638=""),"",IFERROR(E2638*IF(E2638="",0,VLOOKUP(C2638,'📦 Precios Proforma'!$B$5:$D$104,IF(D2638="DIA",2,3),FALSE)),0))</f>
        <v/>
      </c>
      <c r="J2638" s="31" t="str">
        <f t="shared" si="288"/>
        <v/>
      </c>
      <c r="K2638" s="31" t="str">
        <f t="shared" si="289"/>
        <v/>
      </c>
      <c r="L2638" s="31" t="str">
        <f>IF(OR(B2638="",C2638=""),"",IFERROR(E2638 / SUMIFS('📅 Resumen Diario'!$D$5:$D$504, '📅 Resumen Diario'!$B$5:$B$504, B2638, '📅 Resumen Diario'!$C$5:$C$504, D2638) * SUMIFS('📅 Resumen Diario'!$K$5:$K$504, '📅 Resumen Diario'!$B$5:$B$504, B2638, '📅 Resumen Diario'!$C$5:$C$504, D2638), 0))</f>
        <v/>
      </c>
      <c r="M2638" s="31" t="str">
        <f t="shared" si="290"/>
        <v/>
      </c>
      <c r="N2638" s="31" t="str">
        <f t="shared" si="291"/>
        <v/>
      </c>
      <c r="O2638" s="31" t="str">
        <f>IF(OR(B2638="",C2638=""),"",K2638-N2638 + IFERROR(E2638 / SUMIFS('📅 Resumen Diario'!$D$5:$D$504, '📅 Resumen Diario'!$B$5:$B$504, B2638, '📅 Resumen Diario'!$C$5:$C$504, D2638) * (SUMIFS('📋 Detalle Diario'!$E$5:$E$489, '📋 Detalle Diario'!$B$5:$B$489, B2638, '📋 Detalle Diario'!$C$5:$C$489, D2638) * 135 + SUMIFS('📋 Detalle Diario'!$I$5:$I$489, '📋 Detalle Diario'!$B$5:$B$489, B2638, '📋 Detalle Diario'!$C$5:$C$489, D2638) * 200), 0))</f>
        <v/>
      </c>
      <c r="P2638" s="32" t="str">
        <f t="shared" si="292"/>
        <v/>
      </c>
      <c r="Q2638" s="33" t="str">
        <f t="shared" si="293"/>
        <v/>
      </c>
    </row>
    <row r="2639" spans="2:17" ht="18" customHeight="1" x14ac:dyDescent="0.3">
      <c r="B2639" s="26"/>
      <c r="C2639" s="28"/>
      <c r="D2639" s="27"/>
      <c r="E2639" s="29"/>
      <c r="F2639" s="29"/>
      <c r="G2639" s="29"/>
      <c r="H2639" s="30" t="str">
        <f t="shared" si="287"/>
        <v/>
      </c>
      <c r="I2639" s="31" t="str">
        <f>IF(OR(B2639="",C2639=""),"",IFERROR(E2639*IF(E2639="",0,VLOOKUP(C2639,'📦 Precios Proforma'!$B$5:$D$104,IF(D2639="DIA",2,3),FALSE)),0))</f>
        <v/>
      </c>
      <c r="J2639" s="31" t="str">
        <f t="shared" si="288"/>
        <v/>
      </c>
      <c r="K2639" s="31" t="str">
        <f t="shared" si="289"/>
        <v/>
      </c>
      <c r="L2639" s="31" t="str">
        <f>IF(OR(B2639="",C2639=""),"",IFERROR(E2639 / SUMIFS('📅 Resumen Diario'!$D$5:$D$504, '📅 Resumen Diario'!$B$5:$B$504, B2639, '📅 Resumen Diario'!$C$5:$C$504, D2639) * SUMIFS('📅 Resumen Diario'!$K$5:$K$504, '📅 Resumen Diario'!$B$5:$B$504, B2639, '📅 Resumen Diario'!$C$5:$C$504, D2639), 0))</f>
        <v/>
      </c>
      <c r="M2639" s="31" t="str">
        <f t="shared" si="290"/>
        <v/>
      </c>
      <c r="N2639" s="31" t="str">
        <f t="shared" si="291"/>
        <v/>
      </c>
      <c r="O2639" s="31" t="str">
        <f>IF(OR(B2639="",C2639=""),"",K2639-N2639 + IFERROR(E2639 / SUMIFS('📅 Resumen Diario'!$D$5:$D$504, '📅 Resumen Diario'!$B$5:$B$504, B2639, '📅 Resumen Diario'!$C$5:$C$504, D2639) * (SUMIFS('📋 Detalle Diario'!$E$5:$E$489, '📋 Detalle Diario'!$B$5:$B$489, B2639, '📋 Detalle Diario'!$C$5:$C$489, D2639) * 135 + SUMIFS('📋 Detalle Diario'!$I$5:$I$489, '📋 Detalle Diario'!$B$5:$B$489, B2639, '📋 Detalle Diario'!$C$5:$C$489, D2639) * 200), 0))</f>
        <v/>
      </c>
      <c r="P2639" s="32" t="str">
        <f t="shared" si="292"/>
        <v/>
      </c>
      <c r="Q2639" s="33" t="str">
        <f t="shared" si="293"/>
        <v/>
      </c>
    </row>
    <row r="2640" spans="2:17" ht="18" customHeight="1" x14ac:dyDescent="0.3">
      <c r="B2640" s="26"/>
      <c r="C2640" s="17"/>
      <c r="D2640" s="27"/>
      <c r="E2640" s="18"/>
      <c r="F2640" s="18"/>
      <c r="G2640" s="18"/>
      <c r="H2640" s="30" t="str">
        <f t="shared" si="287"/>
        <v/>
      </c>
      <c r="I2640" s="31" t="str">
        <f>IF(OR(B2640="",C2640=""),"",IFERROR(E2640*IF(E2640="",0,VLOOKUP(C2640,'📦 Precios Proforma'!$B$5:$D$104,IF(D2640="DIA",2,3),FALSE)),0))</f>
        <v/>
      </c>
      <c r="J2640" s="31" t="str">
        <f t="shared" si="288"/>
        <v/>
      </c>
      <c r="K2640" s="31" t="str">
        <f t="shared" si="289"/>
        <v/>
      </c>
      <c r="L2640" s="31" t="str">
        <f>IF(OR(B2640="",C2640=""),"",IFERROR(E2640 / SUMIFS('📅 Resumen Diario'!$D$5:$D$504, '📅 Resumen Diario'!$B$5:$B$504, B2640, '📅 Resumen Diario'!$C$5:$C$504, D2640) * SUMIFS('📅 Resumen Diario'!$K$5:$K$504, '📅 Resumen Diario'!$B$5:$B$504, B2640, '📅 Resumen Diario'!$C$5:$C$504, D2640), 0))</f>
        <v/>
      </c>
      <c r="M2640" s="31" t="str">
        <f t="shared" si="290"/>
        <v/>
      </c>
      <c r="N2640" s="31" t="str">
        <f t="shared" si="291"/>
        <v/>
      </c>
      <c r="O2640" s="31" t="str">
        <f>IF(OR(B2640="",C2640=""),"",K2640-N2640 + IFERROR(E2640 / SUMIFS('📅 Resumen Diario'!$D$5:$D$504, '📅 Resumen Diario'!$B$5:$B$504, B2640, '📅 Resumen Diario'!$C$5:$C$504, D2640) * (SUMIFS('📋 Detalle Diario'!$E$5:$E$489, '📋 Detalle Diario'!$B$5:$B$489, B2640, '📋 Detalle Diario'!$C$5:$C$489, D2640) * 135 + SUMIFS('📋 Detalle Diario'!$I$5:$I$489, '📋 Detalle Diario'!$B$5:$B$489, B2640, '📋 Detalle Diario'!$C$5:$C$489, D2640) * 200), 0))</f>
        <v/>
      </c>
      <c r="P2640" s="32" t="str">
        <f t="shared" si="292"/>
        <v/>
      </c>
      <c r="Q2640" s="33" t="str">
        <f t="shared" si="293"/>
        <v/>
      </c>
    </row>
    <row r="2641" spans="2:17" ht="18" customHeight="1" x14ac:dyDescent="0.3">
      <c r="B2641" s="26"/>
      <c r="C2641" s="28"/>
      <c r="D2641" s="27"/>
      <c r="E2641" s="29"/>
      <c r="F2641" s="29"/>
      <c r="G2641" s="29"/>
      <c r="H2641" s="30" t="str">
        <f t="shared" si="287"/>
        <v/>
      </c>
      <c r="I2641" s="31" t="str">
        <f>IF(OR(B2641="",C2641=""),"",IFERROR(E2641*IF(E2641="",0,VLOOKUP(C2641,'📦 Precios Proforma'!$B$5:$D$104,IF(D2641="DIA",2,3),FALSE)),0))</f>
        <v/>
      </c>
      <c r="J2641" s="31" t="str">
        <f t="shared" si="288"/>
        <v/>
      </c>
      <c r="K2641" s="31" t="str">
        <f t="shared" si="289"/>
        <v/>
      </c>
      <c r="L2641" s="31" t="str">
        <f>IF(OR(B2641="",C2641=""),"",IFERROR(E2641 / SUMIFS('📅 Resumen Diario'!$D$5:$D$504, '📅 Resumen Diario'!$B$5:$B$504, B2641, '📅 Resumen Diario'!$C$5:$C$504, D2641) * SUMIFS('📅 Resumen Diario'!$K$5:$K$504, '📅 Resumen Diario'!$B$5:$B$504, B2641, '📅 Resumen Diario'!$C$5:$C$504, D2641), 0))</f>
        <v/>
      </c>
      <c r="M2641" s="31" t="str">
        <f t="shared" si="290"/>
        <v/>
      </c>
      <c r="N2641" s="31" t="str">
        <f t="shared" si="291"/>
        <v/>
      </c>
      <c r="O2641" s="31" t="str">
        <f>IF(OR(B2641="",C2641=""),"",K2641-N2641 + IFERROR(E2641 / SUMIFS('📅 Resumen Diario'!$D$5:$D$504, '📅 Resumen Diario'!$B$5:$B$504, B2641, '📅 Resumen Diario'!$C$5:$C$504, D2641) * (SUMIFS('📋 Detalle Diario'!$E$5:$E$489, '📋 Detalle Diario'!$B$5:$B$489, B2641, '📋 Detalle Diario'!$C$5:$C$489, D2641) * 135 + SUMIFS('📋 Detalle Diario'!$I$5:$I$489, '📋 Detalle Diario'!$B$5:$B$489, B2641, '📋 Detalle Diario'!$C$5:$C$489, D2641) * 200), 0))</f>
        <v/>
      </c>
      <c r="P2641" s="32" t="str">
        <f t="shared" si="292"/>
        <v/>
      </c>
      <c r="Q2641" s="33" t="str">
        <f t="shared" si="293"/>
        <v/>
      </c>
    </row>
    <row r="2642" spans="2:17" ht="18" customHeight="1" x14ac:dyDescent="0.3">
      <c r="B2642" s="26"/>
      <c r="C2642" s="17"/>
      <c r="D2642" s="27"/>
      <c r="E2642" s="18"/>
      <c r="F2642" s="18"/>
      <c r="G2642" s="18"/>
      <c r="H2642" s="30" t="str">
        <f t="shared" si="287"/>
        <v/>
      </c>
      <c r="I2642" s="31" t="str">
        <f>IF(OR(B2642="",C2642=""),"",IFERROR(E2642*IF(E2642="",0,VLOOKUP(C2642,'📦 Precios Proforma'!$B$5:$D$104,IF(D2642="DIA",2,3),FALSE)),0))</f>
        <v/>
      </c>
      <c r="J2642" s="31" t="str">
        <f t="shared" si="288"/>
        <v/>
      </c>
      <c r="K2642" s="31" t="str">
        <f t="shared" si="289"/>
        <v/>
      </c>
      <c r="L2642" s="31" t="str">
        <f>IF(OR(B2642="",C2642=""),"",IFERROR(E2642 / SUMIFS('📅 Resumen Diario'!$D$5:$D$504, '📅 Resumen Diario'!$B$5:$B$504, B2642, '📅 Resumen Diario'!$C$5:$C$504, D2642) * SUMIFS('📅 Resumen Diario'!$K$5:$K$504, '📅 Resumen Diario'!$B$5:$B$504, B2642, '📅 Resumen Diario'!$C$5:$C$504, D2642), 0))</f>
        <v/>
      </c>
      <c r="M2642" s="31" t="str">
        <f t="shared" si="290"/>
        <v/>
      </c>
      <c r="N2642" s="31" t="str">
        <f t="shared" si="291"/>
        <v/>
      </c>
      <c r="O2642" s="31" t="str">
        <f>IF(OR(B2642="",C2642=""),"",K2642-N2642 + IFERROR(E2642 / SUMIFS('📅 Resumen Diario'!$D$5:$D$504, '📅 Resumen Diario'!$B$5:$B$504, B2642, '📅 Resumen Diario'!$C$5:$C$504, D2642) * (SUMIFS('📋 Detalle Diario'!$E$5:$E$489, '📋 Detalle Diario'!$B$5:$B$489, B2642, '📋 Detalle Diario'!$C$5:$C$489, D2642) * 135 + SUMIFS('📋 Detalle Diario'!$I$5:$I$489, '📋 Detalle Diario'!$B$5:$B$489, B2642, '📋 Detalle Diario'!$C$5:$C$489, D2642) * 200), 0))</f>
        <v/>
      </c>
      <c r="P2642" s="32" t="str">
        <f t="shared" si="292"/>
        <v/>
      </c>
      <c r="Q2642" s="33" t="str">
        <f t="shared" si="293"/>
        <v/>
      </c>
    </row>
    <row r="2643" spans="2:17" ht="18" customHeight="1" x14ac:dyDescent="0.3">
      <c r="B2643" s="26"/>
      <c r="C2643" s="28"/>
      <c r="D2643" s="27"/>
      <c r="E2643" s="29"/>
      <c r="F2643" s="29"/>
      <c r="G2643" s="29"/>
      <c r="H2643" s="30" t="str">
        <f t="shared" si="287"/>
        <v/>
      </c>
      <c r="I2643" s="31" t="str">
        <f>IF(OR(B2643="",C2643=""),"",IFERROR(E2643*IF(E2643="",0,VLOOKUP(C2643,'📦 Precios Proforma'!$B$5:$D$104,IF(D2643="DIA",2,3),FALSE)),0))</f>
        <v/>
      </c>
      <c r="J2643" s="31" t="str">
        <f t="shared" si="288"/>
        <v/>
      </c>
      <c r="K2643" s="31" t="str">
        <f t="shared" si="289"/>
        <v/>
      </c>
      <c r="L2643" s="31" t="str">
        <f>IF(OR(B2643="",C2643=""),"",IFERROR(E2643 / SUMIFS('📅 Resumen Diario'!$D$5:$D$504, '📅 Resumen Diario'!$B$5:$B$504, B2643, '📅 Resumen Diario'!$C$5:$C$504, D2643) * SUMIFS('📅 Resumen Diario'!$K$5:$K$504, '📅 Resumen Diario'!$B$5:$B$504, B2643, '📅 Resumen Diario'!$C$5:$C$504, D2643), 0))</f>
        <v/>
      </c>
      <c r="M2643" s="31" t="str">
        <f t="shared" si="290"/>
        <v/>
      </c>
      <c r="N2643" s="31" t="str">
        <f t="shared" si="291"/>
        <v/>
      </c>
      <c r="O2643" s="31" t="str">
        <f>IF(OR(B2643="",C2643=""),"",K2643-N2643 + IFERROR(E2643 / SUMIFS('📅 Resumen Diario'!$D$5:$D$504, '📅 Resumen Diario'!$B$5:$B$504, B2643, '📅 Resumen Diario'!$C$5:$C$504, D2643) * (SUMIFS('📋 Detalle Diario'!$E$5:$E$489, '📋 Detalle Diario'!$B$5:$B$489, B2643, '📋 Detalle Diario'!$C$5:$C$489, D2643) * 135 + SUMIFS('📋 Detalle Diario'!$I$5:$I$489, '📋 Detalle Diario'!$B$5:$B$489, B2643, '📋 Detalle Diario'!$C$5:$C$489, D2643) * 200), 0))</f>
        <v/>
      </c>
      <c r="P2643" s="32" t="str">
        <f t="shared" si="292"/>
        <v/>
      </c>
      <c r="Q2643" s="33" t="str">
        <f t="shared" si="293"/>
        <v/>
      </c>
    </row>
    <row r="2644" spans="2:17" ht="18" customHeight="1" x14ac:dyDescent="0.3">
      <c r="B2644" s="26"/>
      <c r="C2644" s="17"/>
      <c r="D2644" s="27"/>
      <c r="E2644" s="18"/>
      <c r="F2644" s="18"/>
      <c r="G2644" s="18"/>
      <c r="H2644" s="30" t="str">
        <f t="shared" si="287"/>
        <v/>
      </c>
      <c r="I2644" s="31" t="str">
        <f>IF(OR(B2644="",C2644=""),"",IFERROR(E2644*IF(E2644="",0,VLOOKUP(C2644,'📦 Precios Proforma'!$B$5:$D$104,IF(D2644="DIA",2,3),FALSE)),0))</f>
        <v/>
      </c>
      <c r="J2644" s="31" t="str">
        <f t="shared" si="288"/>
        <v/>
      </c>
      <c r="K2644" s="31" t="str">
        <f t="shared" si="289"/>
        <v/>
      </c>
      <c r="L2644" s="31" t="str">
        <f>IF(OR(B2644="",C2644=""),"",IFERROR(E2644 / SUMIFS('📅 Resumen Diario'!$D$5:$D$504, '📅 Resumen Diario'!$B$5:$B$504, B2644, '📅 Resumen Diario'!$C$5:$C$504, D2644) * SUMIFS('📅 Resumen Diario'!$K$5:$K$504, '📅 Resumen Diario'!$B$5:$B$504, B2644, '📅 Resumen Diario'!$C$5:$C$504, D2644), 0))</f>
        <v/>
      </c>
      <c r="M2644" s="31" t="str">
        <f t="shared" si="290"/>
        <v/>
      </c>
      <c r="N2644" s="31" t="str">
        <f t="shared" si="291"/>
        <v/>
      </c>
      <c r="O2644" s="31" t="str">
        <f>IF(OR(B2644="",C2644=""),"",K2644-N2644 + IFERROR(E2644 / SUMIFS('📅 Resumen Diario'!$D$5:$D$504, '📅 Resumen Diario'!$B$5:$B$504, B2644, '📅 Resumen Diario'!$C$5:$C$504, D2644) * (SUMIFS('📋 Detalle Diario'!$E$5:$E$489, '📋 Detalle Diario'!$B$5:$B$489, B2644, '📋 Detalle Diario'!$C$5:$C$489, D2644) * 135 + SUMIFS('📋 Detalle Diario'!$I$5:$I$489, '📋 Detalle Diario'!$B$5:$B$489, B2644, '📋 Detalle Diario'!$C$5:$C$489, D2644) * 200), 0))</f>
        <v/>
      </c>
      <c r="P2644" s="32" t="str">
        <f t="shared" si="292"/>
        <v/>
      </c>
      <c r="Q2644" s="33" t="str">
        <f t="shared" si="293"/>
        <v/>
      </c>
    </row>
    <row r="2645" spans="2:17" ht="18" customHeight="1" x14ac:dyDescent="0.3">
      <c r="B2645" s="26"/>
      <c r="C2645" s="28"/>
      <c r="D2645" s="27"/>
      <c r="E2645" s="29"/>
      <c r="F2645" s="29"/>
      <c r="G2645" s="29"/>
      <c r="H2645" s="30" t="str">
        <f t="shared" si="287"/>
        <v/>
      </c>
      <c r="I2645" s="31" t="str">
        <f>IF(OR(B2645="",C2645=""),"",IFERROR(E2645*IF(E2645="",0,VLOOKUP(C2645,'📦 Precios Proforma'!$B$5:$D$104,IF(D2645="DIA",2,3),FALSE)),0))</f>
        <v/>
      </c>
      <c r="J2645" s="31" t="str">
        <f t="shared" si="288"/>
        <v/>
      </c>
      <c r="K2645" s="31" t="str">
        <f t="shared" si="289"/>
        <v/>
      </c>
      <c r="L2645" s="31" t="str">
        <f>IF(OR(B2645="",C2645=""),"",IFERROR(E2645 / SUMIFS('📅 Resumen Diario'!$D$5:$D$504, '📅 Resumen Diario'!$B$5:$B$504, B2645, '📅 Resumen Diario'!$C$5:$C$504, D2645) * SUMIFS('📅 Resumen Diario'!$K$5:$K$504, '📅 Resumen Diario'!$B$5:$B$504, B2645, '📅 Resumen Diario'!$C$5:$C$504, D2645), 0))</f>
        <v/>
      </c>
      <c r="M2645" s="31" t="str">
        <f t="shared" si="290"/>
        <v/>
      </c>
      <c r="N2645" s="31" t="str">
        <f t="shared" si="291"/>
        <v/>
      </c>
      <c r="O2645" s="31" t="str">
        <f>IF(OR(B2645="",C2645=""),"",K2645-N2645 + IFERROR(E2645 / SUMIFS('📅 Resumen Diario'!$D$5:$D$504, '📅 Resumen Diario'!$B$5:$B$504, B2645, '📅 Resumen Diario'!$C$5:$C$504, D2645) * (SUMIFS('📋 Detalle Diario'!$E$5:$E$489, '📋 Detalle Diario'!$B$5:$B$489, B2645, '📋 Detalle Diario'!$C$5:$C$489, D2645) * 135 + SUMIFS('📋 Detalle Diario'!$I$5:$I$489, '📋 Detalle Diario'!$B$5:$B$489, B2645, '📋 Detalle Diario'!$C$5:$C$489, D2645) * 200), 0))</f>
        <v/>
      </c>
      <c r="P2645" s="32" t="str">
        <f t="shared" si="292"/>
        <v/>
      </c>
      <c r="Q2645" s="33" t="str">
        <f t="shared" si="293"/>
        <v/>
      </c>
    </row>
    <row r="2646" spans="2:17" ht="18" customHeight="1" x14ac:dyDescent="0.3">
      <c r="B2646" s="26"/>
      <c r="C2646" s="17"/>
      <c r="D2646" s="27"/>
      <c r="E2646" s="18"/>
      <c r="F2646" s="18"/>
      <c r="G2646" s="18"/>
      <c r="H2646" s="30" t="str">
        <f t="shared" si="287"/>
        <v/>
      </c>
      <c r="I2646" s="31" t="str">
        <f>IF(OR(B2646="",C2646=""),"",IFERROR(E2646*IF(E2646="",0,VLOOKUP(C2646,'📦 Precios Proforma'!$B$5:$D$104,IF(D2646="DIA",2,3),FALSE)),0))</f>
        <v/>
      </c>
      <c r="J2646" s="31" t="str">
        <f t="shared" si="288"/>
        <v/>
      </c>
      <c r="K2646" s="31" t="str">
        <f t="shared" si="289"/>
        <v/>
      </c>
      <c r="L2646" s="31" t="str">
        <f>IF(OR(B2646="",C2646=""),"",IFERROR(E2646 / SUMIFS('📅 Resumen Diario'!$D$5:$D$504, '📅 Resumen Diario'!$B$5:$B$504, B2646, '📅 Resumen Diario'!$C$5:$C$504, D2646) * SUMIFS('📅 Resumen Diario'!$K$5:$K$504, '📅 Resumen Diario'!$B$5:$B$504, B2646, '📅 Resumen Diario'!$C$5:$C$504, D2646), 0))</f>
        <v/>
      </c>
      <c r="M2646" s="31" t="str">
        <f t="shared" si="290"/>
        <v/>
      </c>
      <c r="N2646" s="31" t="str">
        <f t="shared" si="291"/>
        <v/>
      </c>
      <c r="O2646" s="31" t="str">
        <f>IF(OR(B2646="",C2646=""),"",K2646-N2646 + IFERROR(E2646 / SUMIFS('📅 Resumen Diario'!$D$5:$D$504, '📅 Resumen Diario'!$B$5:$B$504, B2646, '📅 Resumen Diario'!$C$5:$C$504, D2646) * (SUMIFS('📋 Detalle Diario'!$E$5:$E$489, '📋 Detalle Diario'!$B$5:$B$489, B2646, '📋 Detalle Diario'!$C$5:$C$489, D2646) * 135 + SUMIFS('📋 Detalle Diario'!$I$5:$I$489, '📋 Detalle Diario'!$B$5:$B$489, B2646, '📋 Detalle Diario'!$C$5:$C$489, D2646) * 200), 0))</f>
        <v/>
      </c>
      <c r="P2646" s="32" t="str">
        <f t="shared" si="292"/>
        <v/>
      </c>
      <c r="Q2646" s="33" t="str">
        <f t="shared" si="293"/>
        <v/>
      </c>
    </row>
    <row r="2647" spans="2:17" ht="18" customHeight="1" x14ac:dyDescent="0.3">
      <c r="B2647" s="26"/>
      <c r="C2647" s="28"/>
      <c r="D2647" s="27"/>
      <c r="E2647" s="29"/>
      <c r="F2647" s="29"/>
      <c r="G2647" s="29"/>
      <c r="H2647" s="30" t="str">
        <f t="shared" si="287"/>
        <v/>
      </c>
      <c r="I2647" s="31" t="str">
        <f>IF(OR(B2647="",C2647=""),"",IFERROR(E2647*IF(E2647="",0,VLOOKUP(C2647,'📦 Precios Proforma'!$B$5:$D$104,IF(D2647="DIA",2,3),FALSE)),0))</f>
        <v/>
      </c>
      <c r="J2647" s="31" t="str">
        <f t="shared" si="288"/>
        <v/>
      </c>
      <c r="K2647" s="31" t="str">
        <f t="shared" si="289"/>
        <v/>
      </c>
      <c r="L2647" s="31" t="str">
        <f>IF(OR(B2647="",C2647=""),"",IFERROR(E2647 / SUMIFS('📅 Resumen Diario'!$D$5:$D$504, '📅 Resumen Diario'!$B$5:$B$504, B2647, '📅 Resumen Diario'!$C$5:$C$504, D2647) * SUMIFS('📅 Resumen Diario'!$K$5:$K$504, '📅 Resumen Diario'!$B$5:$B$504, B2647, '📅 Resumen Diario'!$C$5:$C$504, D2647), 0))</f>
        <v/>
      </c>
      <c r="M2647" s="31" t="str">
        <f t="shared" si="290"/>
        <v/>
      </c>
      <c r="N2647" s="31" t="str">
        <f t="shared" si="291"/>
        <v/>
      </c>
      <c r="O2647" s="31" t="str">
        <f>IF(OR(B2647="",C2647=""),"",K2647-N2647 + IFERROR(E2647 / SUMIFS('📅 Resumen Diario'!$D$5:$D$504, '📅 Resumen Diario'!$B$5:$B$504, B2647, '📅 Resumen Diario'!$C$5:$C$504, D2647) * (SUMIFS('📋 Detalle Diario'!$E$5:$E$489, '📋 Detalle Diario'!$B$5:$B$489, B2647, '📋 Detalle Diario'!$C$5:$C$489, D2647) * 135 + SUMIFS('📋 Detalle Diario'!$I$5:$I$489, '📋 Detalle Diario'!$B$5:$B$489, B2647, '📋 Detalle Diario'!$C$5:$C$489, D2647) * 200), 0))</f>
        <v/>
      </c>
      <c r="P2647" s="32" t="str">
        <f t="shared" si="292"/>
        <v/>
      </c>
      <c r="Q2647" s="33" t="str">
        <f t="shared" si="293"/>
        <v/>
      </c>
    </row>
    <row r="2648" spans="2:17" ht="18" customHeight="1" x14ac:dyDescent="0.3">
      <c r="B2648" s="26"/>
      <c r="C2648" s="17"/>
      <c r="D2648" s="27"/>
      <c r="E2648" s="18"/>
      <c r="F2648" s="18"/>
      <c r="G2648" s="18"/>
      <c r="H2648" s="30" t="str">
        <f t="shared" si="287"/>
        <v/>
      </c>
      <c r="I2648" s="31" t="str">
        <f>IF(OR(B2648="",C2648=""),"",IFERROR(E2648*IF(E2648="",0,VLOOKUP(C2648,'📦 Precios Proforma'!$B$5:$D$104,IF(D2648="DIA",2,3),FALSE)),0))</f>
        <v/>
      </c>
      <c r="J2648" s="31" t="str">
        <f t="shared" si="288"/>
        <v/>
      </c>
      <c r="K2648" s="31" t="str">
        <f t="shared" si="289"/>
        <v/>
      </c>
      <c r="L2648" s="31" t="str">
        <f>IF(OR(B2648="",C2648=""),"",IFERROR(E2648 / SUMIFS('📅 Resumen Diario'!$D$5:$D$504, '📅 Resumen Diario'!$B$5:$B$504, B2648, '📅 Resumen Diario'!$C$5:$C$504, D2648) * SUMIFS('📅 Resumen Diario'!$K$5:$K$504, '📅 Resumen Diario'!$B$5:$B$504, B2648, '📅 Resumen Diario'!$C$5:$C$504, D2648), 0))</f>
        <v/>
      </c>
      <c r="M2648" s="31" t="str">
        <f t="shared" si="290"/>
        <v/>
      </c>
      <c r="N2648" s="31" t="str">
        <f t="shared" si="291"/>
        <v/>
      </c>
      <c r="O2648" s="31" t="str">
        <f>IF(OR(B2648="",C2648=""),"",K2648-N2648 + IFERROR(E2648 / SUMIFS('📅 Resumen Diario'!$D$5:$D$504, '📅 Resumen Diario'!$B$5:$B$504, B2648, '📅 Resumen Diario'!$C$5:$C$504, D2648) * (SUMIFS('📋 Detalle Diario'!$E$5:$E$489, '📋 Detalle Diario'!$B$5:$B$489, B2648, '📋 Detalle Diario'!$C$5:$C$489, D2648) * 135 + SUMIFS('📋 Detalle Diario'!$I$5:$I$489, '📋 Detalle Diario'!$B$5:$B$489, B2648, '📋 Detalle Diario'!$C$5:$C$489, D2648) * 200), 0))</f>
        <v/>
      </c>
      <c r="P2648" s="32" t="str">
        <f t="shared" si="292"/>
        <v/>
      </c>
      <c r="Q2648" s="33" t="str">
        <f t="shared" si="293"/>
        <v/>
      </c>
    </row>
    <row r="2649" spans="2:17" ht="18" customHeight="1" x14ac:dyDescent="0.3">
      <c r="B2649" s="26"/>
      <c r="C2649" s="28"/>
      <c r="D2649" s="27"/>
      <c r="E2649" s="29"/>
      <c r="F2649" s="29"/>
      <c r="G2649" s="29"/>
      <c r="H2649" s="30" t="str">
        <f t="shared" si="287"/>
        <v/>
      </c>
      <c r="I2649" s="31" t="str">
        <f>IF(OR(B2649="",C2649=""),"",IFERROR(E2649*IF(E2649="",0,VLOOKUP(C2649,'📦 Precios Proforma'!$B$5:$D$104,IF(D2649="DIA",2,3),FALSE)),0))</f>
        <v/>
      </c>
      <c r="J2649" s="31" t="str">
        <f t="shared" si="288"/>
        <v/>
      </c>
      <c r="K2649" s="31" t="str">
        <f t="shared" si="289"/>
        <v/>
      </c>
      <c r="L2649" s="31" t="str">
        <f>IF(OR(B2649="",C2649=""),"",IFERROR(E2649 / SUMIFS('📅 Resumen Diario'!$D$5:$D$504, '📅 Resumen Diario'!$B$5:$B$504, B2649, '📅 Resumen Diario'!$C$5:$C$504, D2649) * SUMIFS('📅 Resumen Diario'!$K$5:$K$504, '📅 Resumen Diario'!$B$5:$B$504, B2649, '📅 Resumen Diario'!$C$5:$C$504, D2649), 0))</f>
        <v/>
      </c>
      <c r="M2649" s="31" t="str">
        <f t="shared" si="290"/>
        <v/>
      </c>
      <c r="N2649" s="31" t="str">
        <f t="shared" si="291"/>
        <v/>
      </c>
      <c r="O2649" s="31" t="str">
        <f>IF(OR(B2649="",C2649=""),"",K2649-N2649 + IFERROR(E2649 / SUMIFS('📅 Resumen Diario'!$D$5:$D$504, '📅 Resumen Diario'!$B$5:$B$504, B2649, '📅 Resumen Diario'!$C$5:$C$504, D2649) * (SUMIFS('📋 Detalle Diario'!$E$5:$E$489, '📋 Detalle Diario'!$B$5:$B$489, B2649, '📋 Detalle Diario'!$C$5:$C$489, D2649) * 135 + SUMIFS('📋 Detalle Diario'!$I$5:$I$489, '📋 Detalle Diario'!$B$5:$B$489, B2649, '📋 Detalle Diario'!$C$5:$C$489, D2649) * 200), 0))</f>
        <v/>
      </c>
      <c r="P2649" s="32" t="str">
        <f t="shared" si="292"/>
        <v/>
      </c>
      <c r="Q2649" s="33" t="str">
        <f t="shared" si="293"/>
        <v/>
      </c>
    </row>
    <row r="2650" spans="2:17" ht="18" customHeight="1" x14ac:dyDescent="0.3">
      <c r="B2650" s="26"/>
      <c r="C2650" s="17"/>
      <c r="D2650" s="27"/>
      <c r="E2650" s="18"/>
      <c r="F2650" s="18"/>
      <c r="G2650" s="18"/>
      <c r="H2650" s="30" t="str">
        <f t="shared" si="287"/>
        <v/>
      </c>
      <c r="I2650" s="31" t="str">
        <f>IF(OR(B2650="",C2650=""),"",IFERROR(E2650*IF(E2650="",0,VLOOKUP(C2650,'📦 Precios Proforma'!$B$5:$D$104,IF(D2650="DIA",2,3),FALSE)),0))</f>
        <v/>
      </c>
      <c r="J2650" s="31" t="str">
        <f t="shared" si="288"/>
        <v/>
      </c>
      <c r="K2650" s="31" t="str">
        <f t="shared" si="289"/>
        <v/>
      </c>
      <c r="L2650" s="31" t="str">
        <f>IF(OR(B2650="",C2650=""),"",IFERROR(E2650 / SUMIFS('📅 Resumen Diario'!$D$5:$D$504, '📅 Resumen Diario'!$B$5:$B$504, B2650, '📅 Resumen Diario'!$C$5:$C$504, D2650) * SUMIFS('📅 Resumen Diario'!$K$5:$K$504, '📅 Resumen Diario'!$B$5:$B$504, B2650, '📅 Resumen Diario'!$C$5:$C$504, D2650), 0))</f>
        <v/>
      </c>
      <c r="M2650" s="31" t="str">
        <f t="shared" si="290"/>
        <v/>
      </c>
      <c r="N2650" s="31" t="str">
        <f t="shared" si="291"/>
        <v/>
      </c>
      <c r="O2650" s="31" t="str">
        <f>IF(OR(B2650="",C2650=""),"",K2650-N2650 + IFERROR(E2650 / SUMIFS('📅 Resumen Diario'!$D$5:$D$504, '📅 Resumen Diario'!$B$5:$B$504, B2650, '📅 Resumen Diario'!$C$5:$C$504, D2650) * (SUMIFS('📋 Detalle Diario'!$E$5:$E$489, '📋 Detalle Diario'!$B$5:$B$489, B2650, '📋 Detalle Diario'!$C$5:$C$489, D2650) * 135 + SUMIFS('📋 Detalle Diario'!$I$5:$I$489, '📋 Detalle Diario'!$B$5:$B$489, B2650, '📋 Detalle Diario'!$C$5:$C$489, D2650) * 200), 0))</f>
        <v/>
      </c>
      <c r="P2650" s="32" t="str">
        <f t="shared" si="292"/>
        <v/>
      </c>
      <c r="Q2650" s="33" t="str">
        <f t="shared" si="293"/>
        <v/>
      </c>
    </row>
    <row r="2651" spans="2:17" ht="18" customHeight="1" x14ac:dyDescent="0.3">
      <c r="B2651" s="26"/>
      <c r="C2651" s="28"/>
      <c r="D2651" s="27"/>
      <c r="E2651" s="29"/>
      <c r="F2651" s="29"/>
      <c r="G2651" s="29"/>
      <c r="H2651" s="30" t="str">
        <f t="shared" si="287"/>
        <v/>
      </c>
      <c r="I2651" s="31" t="str">
        <f>IF(OR(B2651="",C2651=""),"",IFERROR(E2651*IF(E2651="",0,VLOOKUP(C2651,'📦 Precios Proforma'!$B$5:$D$104,IF(D2651="DIA",2,3),FALSE)),0))</f>
        <v/>
      </c>
      <c r="J2651" s="31" t="str">
        <f t="shared" si="288"/>
        <v/>
      </c>
      <c r="K2651" s="31" t="str">
        <f t="shared" si="289"/>
        <v/>
      </c>
      <c r="L2651" s="31" t="str">
        <f>IF(OR(B2651="",C2651=""),"",IFERROR(E2651 / SUMIFS('📅 Resumen Diario'!$D$5:$D$504, '📅 Resumen Diario'!$B$5:$B$504, B2651, '📅 Resumen Diario'!$C$5:$C$504, D2651) * SUMIFS('📅 Resumen Diario'!$K$5:$K$504, '📅 Resumen Diario'!$B$5:$B$504, B2651, '📅 Resumen Diario'!$C$5:$C$504, D2651), 0))</f>
        <v/>
      </c>
      <c r="M2651" s="31" t="str">
        <f t="shared" si="290"/>
        <v/>
      </c>
      <c r="N2651" s="31" t="str">
        <f t="shared" si="291"/>
        <v/>
      </c>
      <c r="O2651" s="31" t="str">
        <f>IF(OR(B2651="",C2651=""),"",K2651-N2651 + IFERROR(E2651 / SUMIFS('📅 Resumen Diario'!$D$5:$D$504, '📅 Resumen Diario'!$B$5:$B$504, B2651, '📅 Resumen Diario'!$C$5:$C$504, D2651) * (SUMIFS('📋 Detalle Diario'!$E$5:$E$489, '📋 Detalle Diario'!$B$5:$B$489, B2651, '📋 Detalle Diario'!$C$5:$C$489, D2651) * 135 + SUMIFS('📋 Detalle Diario'!$I$5:$I$489, '📋 Detalle Diario'!$B$5:$B$489, B2651, '📋 Detalle Diario'!$C$5:$C$489, D2651) * 200), 0))</f>
        <v/>
      </c>
      <c r="P2651" s="32" t="str">
        <f t="shared" si="292"/>
        <v/>
      </c>
      <c r="Q2651" s="33" t="str">
        <f t="shared" si="293"/>
        <v/>
      </c>
    </row>
    <row r="2652" spans="2:17" ht="18" customHeight="1" x14ac:dyDescent="0.3">
      <c r="B2652" s="26"/>
      <c r="C2652" s="17"/>
      <c r="D2652" s="27"/>
      <c r="E2652" s="18"/>
      <c r="F2652" s="18"/>
      <c r="G2652" s="18"/>
      <c r="H2652" s="30" t="str">
        <f t="shared" si="287"/>
        <v/>
      </c>
      <c r="I2652" s="31" t="str">
        <f>IF(OR(B2652="",C2652=""),"",IFERROR(E2652*IF(E2652="",0,VLOOKUP(C2652,'📦 Precios Proforma'!$B$5:$D$104,IF(D2652="DIA",2,3),FALSE)),0))</f>
        <v/>
      </c>
      <c r="J2652" s="31" t="str">
        <f t="shared" si="288"/>
        <v/>
      </c>
      <c r="K2652" s="31" t="str">
        <f t="shared" si="289"/>
        <v/>
      </c>
      <c r="L2652" s="31" t="str">
        <f>IF(OR(B2652="",C2652=""),"",IFERROR(E2652 / SUMIFS('📅 Resumen Diario'!$D$5:$D$504, '📅 Resumen Diario'!$B$5:$B$504, B2652, '📅 Resumen Diario'!$C$5:$C$504, D2652) * SUMIFS('📅 Resumen Diario'!$K$5:$K$504, '📅 Resumen Diario'!$B$5:$B$504, B2652, '📅 Resumen Diario'!$C$5:$C$504, D2652), 0))</f>
        <v/>
      </c>
      <c r="M2652" s="31" t="str">
        <f t="shared" si="290"/>
        <v/>
      </c>
      <c r="N2652" s="31" t="str">
        <f t="shared" si="291"/>
        <v/>
      </c>
      <c r="O2652" s="31" t="str">
        <f>IF(OR(B2652="",C2652=""),"",K2652-N2652 + IFERROR(E2652 / SUMIFS('📅 Resumen Diario'!$D$5:$D$504, '📅 Resumen Diario'!$B$5:$B$504, B2652, '📅 Resumen Diario'!$C$5:$C$504, D2652) * (SUMIFS('📋 Detalle Diario'!$E$5:$E$489, '📋 Detalle Diario'!$B$5:$B$489, B2652, '📋 Detalle Diario'!$C$5:$C$489, D2652) * 135 + SUMIFS('📋 Detalle Diario'!$I$5:$I$489, '📋 Detalle Diario'!$B$5:$B$489, B2652, '📋 Detalle Diario'!$C$5:$C$489, D2652) * 200), 0))</f>
        <v/>
      </c>
      <c r="P2652" s="32" t="str">
        <f t="shared" si="292"/>
        <v/>
      </c>
      <c r="Q2652" s="33" t="str">
        <f t="shared" si="293"/>
        <v/>
      </c>
    </row>
    <row r="2653" spans="2:17" ht="18" customHeight="1" x14ac:dyDescent="0.3">
      <c r="B2653" s="26"/>
      <c r="C2653" s="28"/>
      <c r="D2653" s="27"/>
      <c r="E2653" s="29"/>
      <c r="F2653" s="29"/>
      <c r="G2653" s="29"/>
      <c r="H2653" s="30" t="str">
        <f t="shared" si="287"/>
        <v/>
      </c>
      <c r="I2653" s="31" t="str">
        <f>IF(OR(B2653="",C2653=""),"",IFERROR(E2653*IF(E2653="",0,VLOOKUP(C2653,'📦 Precios Proforma'!$B$5:$D$104,IF(D2653="DIA",2,3),FALSE)),0))</f>
        <v/>
      </c>
      <c r="J2653" s="31" t="str">
        <f t="shared" si="288"/>
        <v/>
      </c>
      <c r="K2653" s="31" t="str">
        <f t="shared" si="289"/>
        <v/>
      </c>
      <c r="L2653" s="31" t="str">
        <f>IF(OR(B2653="",C2653=""),"",IFERROR(E2653 / SUMIFS('📅 Resumen Diario'!$D$5:$D$504, '📅 Resumen Diario'!$B$5:$B$504, B2653, '📅 Resumen Diario'!$C$5:$C$504, D2653) * SUMIFS('📅 Resumen Diario'!$K$5:$K$504, '📅 Resumen Diario'!$B$5:$B$504, B2653, '📅 Resumen Diario'!$C$5:$C$504, D2653), 0))</f>
        <v/>
      </c>
      <c r="M2653" s="31" t="str">
        <f t="shared" si="290"/>
        <v/>
      </c>
      <c r="N2653" s="31" t="str">
        <f t="shared" si="291"/>
        <v/>
      </c>
      <c r="O2653" s="31" t="str">
        <f>IF(OR(B2653="",C2653=""),"",K2653-N2653 + IFERROR(E2653 / SUMIFS('📅 Resumen Diario'!$D$5:$D$504, '📅 Resumen Diario'!$B$5:$B$504, B2653, '📅 Resumen Diario'!$C$5:$C$504, D2653) * (SUMIFS('📋 Detalle Diario'!$E$5:$E$489, '📋 Detalle Diario'!$B$5:$B$489, B2653, '📋 Detalle Diario'!$C$5:$C$489, D2653) * 135 + SUMIFS('📋 Detalle Diario'!$I$5:$I$489, '📋 Detalle Diario'!$B$5:$B$489, B2653, '📋 Detalle Diario'!$C$5:$C$489, D2653) * 200), 0))</f>
        <v/>
      </c>
      <c r="P2653" s="32" t="str">
        <f t="shared" si="292"/>
        <v/>
      </c>
      <c r="Q2653" s="33" t="str">
        <f t="shared" si="293"/>
        <v/>
      </c>
    </row>
    <row r="2654" spans="2:17" ht="18" customHeight="1" x14ac:dyDescent="0.3">
      <c r="B2654" s="26"/>
      <c r="C2654" s="17"/>
      <c r="D2654" s="27"/>
      <c r="E2654" s="18"/>
      <c r="F2654" s="18"/>
      <c r="G2654" s="18"/>
      <c r="H2654" s="30" t="str">
        <f t="shared" si="287"/>
        <v/>
      </c>
      <c r="I2654" s="31" t="str">
        <f>IF(OR(B2654="",C2654=""),"",IFERROR(E2654*IF(E2654="",0,VLOOKUP(C2654,'📦 Precios Proforma'!$B$5:$D$104,IF(D2654="DIA",2,3),FALSE)),0))</f>
        <v/>
      </c>
      <c r="J2654" s="31" t="str">
        <f t="shared" si="288"/>
        <v/>
      </c>
      <c r="K2654" s="31" t="str">
        <f t="shared" si="289"/>
        <v/>
      </c>
      <c r="L2654" s="31" t="str">
        <f>IF(OR(B2654="",C2654=""),"",IFERROR(E2654 / SUMIFS('📅 Resumen Diario'!$D$5:$D$504, '📅 Resumen Diario'!$B$5:$B$504, B2654, '📅 Resumen Diario'!$C$5:$C$504, D2654) * SUMIFS('📅 Resumen Diario'!$K$5:$K$504, '📅 Resumen Diario'!$B$5:$B$504, B2654, '📅 Resumen Diario'!$C$5:$C$504, D2654), 0))</f>
        <v/>
      </c>
      <c r="M2654" s="31" t="str">
        <f t="shared" si="290"/>
        <v/>
      </c>
      <c r="N2654" s="31" t="str">
        <f t="shared" si="291"/>
        <v/>
      </c>
      <c r="O2654" s="31" t="str">
        <f>IF(OR(B2654="",C2654=""),"",K2654-N2654 + IFERROR(E2654 / SUMIFS('📅 Resumen Diario'!$D$5:$D$504, '📅 Resumen Diario'!$B$5:$B$504, B2654, '📅 Resumen Diario'!$C$5:$C$504, D2654) * (SUMIFS('📋 Detalle Diario'!$E$5:$E$489, '📋 Detalle Diario'!$B$5:$B$489, B2654, '📋 Detalle Diario'!$C$5:$C$489, D2654) * 135 + SUMIFS('📋 Detalle Diario'!$I$5:$I$489, '📋 Detalle Diario'!$B$5:$B$489, B2654, '📋 Detalle Diario'!$C$5:$C$489, D2654) * 200), 0))</f>
        <v/>
      </c>
      <c r="P2654" s="32" t="str">
        <f t="shared" si="292"/>
        <v/>
      </c>
      <c r="Q2654" s="33" t="str">
        <f t="shared" si="293"/>
        <v/>
      </c>
    </row>
    <row r="2655" spans="2:17" ht="18" customHeight="1" x14ac:dyDescent="0.3">
      <c r="B2655" s="26"/>
      <c r="C2655" s="28"/>
      <c r="D2655" s="27"/>
      <c r="E2655" s="29"/>
      <c r="F2655" s="29"/>
      <c r="G2655" s="29"/>
      <c r="H2655" s="30" t="str">
        <f t="shared" si="287"/>
        <v/>
      </c>
      <c r="I2655" s="31" t="str">
        <f>IF(OR(B2655="",C2655=""),"",IFERROR(E2655*IF(E2655="",0,VLOOKUP(C2655,'📦 Precios Proforma'!$B$5:$D$104,IF(D2655="DIA",2,3),FALSE)),0))</f>
        <v/>
      </c>
      <c r="J2655" s="31" t="str">
        <f t="shared" si="288"/>
        <v/>
      </c>
      <c r="K2655" s="31" t="str">
        <f t="shared" si="289"/>
        <v/>
      </c>
      <c r="L2655" s="31" t="str">
        <f>IF(OR(B2655="",C2655=""),"",IFERROR(E2655 / SUMIFS('📅 Resumen Diario'!$D$5:$D$504, '📅 Resumen Diario'!$B$5:$B$504, B2655, '📅 Resumen Diario'!$C$5:$C$504, D2655) * SUMIFS('📅 Resumen Diario'!$K$5:$K$504, '📅 Resumen Diario'!$B$5:$B$504, B2655, '📅 Resumen Diario'!$C$5:$C$504, D2655), 0))</f>
        <v/>
      </c>
      <c r="M2655" s="31" t="str">
        <f t="shared" si="290"/>
        <v/>
      </c>
      <c r="N2655" s="31" t="str">
        <f t="shared" si="291"/>
        <v/>
      </c>
      <c r="O2655" s="31" t="str">
        <f>IF(OR(B2655="",C2655=""),"",K2655-N2655 + IFERROR(E2655 / SUMIFS('📅 Resumen Diario'!$D$5:$D$504, '📅 Resumen Diario'!$B$5:$B$504, B2655, '📅 Resumen Diario'!$C$5:$C$504, D2655) * (SUMIFS('📋 Detalle Diario'!$E$5:$E$489, '📋 Detalle Diario'!$B$5:$B$489, B2655, '📋 Detalle Diario'!$C$5:$C$489, D2655) * 135 + SUMIFS('📋 Detalle Diario'!$I$5:$I$489, '📋 Detalle Diario'!$B$5:$B$489, B2655, '📋 Detalle Diario'!$C$5:$C$489, D2655) * 200), 0))</f>
        <v/>
      </c>
      <c r="P2655" s="32" t="str">
        <f t="shared" si="292"/>
        <v/>
      </c>
      <c r="Q2655" s="33" t="str">
        <f t="shared" si="293"/>
        <v/>
      </c>
    </row>
    <row r="2656" spans="2:17" ht="18" customHeight="1" x14ac:dyDescent="0.3">
      <c r="B2656" s="26"/>
      <c r="C2656" s="17"/>
      <c r="D2656" s="27"/>
      <c r="E2656" s="18"/>
      <c r="F2656" s="18"/>
      <c r="G2656" s="18"/>
      <c r="H2656" s="30" t="str">
        <f t="shared" si="287"/>
        <v/>
      </c>
      <c r="I2656" s="31" t="str">
        <f>IF(OR(B2656="",C2656=""),"",IFERROR(E2656*IF(E2656="",0,VLOOKUP(C2656,'📦 Precios Proforma'!$B$5:$D$104,IF(D2656="DIA",2,3),FALSE)),0))</f>
        <v/>
      </c>
      <c r="J2656" s="31" t="str">
        <f t="shared" si="288"/>
        <v/>
      </c>
      <c r="K2656" s="31" t="str">
        <f t="shared" si="289"/>
        <v/>
      </c>
      <c r="L2656" s="31" t="str">
        <f>IF(OR(B2656="",C2656=""),"",IFERROR(E2656 / SUMIFS('📅 Resumen Diario'!$D$5:$D$504, '📅 Resumen Diario'!$B$5:$B$504, B2656, '📅 Resumen Diario'!$C$5:$C$504, D2656) * SUMIFS('📅 Resumen Diario'!$K$5:$K$504, '📅 Resumen Diario'!$B$5:$B$504, B2656, '📅 Resumen Diario'!$C$5:$C$504, D2656), 0))</f>
        <v/>
      </c>
      <c r="M2656" s="31" t="str">
        <f t="shared" si="290"/>
        <v/>
      </c>
      <c r="N2656" s="31" t="str">
        <f t="shared" si="291"/>
        <v/>
      </c>
      <c r="O2656" s="31" t="str">
        <f>IF(OR(B2656="",C2656=""),"",K2656-N2656 + IFERROR(E2656 / SUMIFS('📅 Resumen Diario'!$D$5:$D$504, '📅 Resumen Diario'!$B$5:$B$504, B2656, '📅 Resumen Diario'!$C$5:$C$504, D2656) * (SUMIFS('📋 Detalle Diario'!$E$5:$E$489, '📋 Detalle Diario'!$B$5:$B$489, B2656, '📋 Detalle Diario'!$C$5:$C$489, D2656) * 135 + SUMIFS('📋 Detalle Diario'!$I$5:$I$489, '📋 Detalle Diario'!$B$5:$B$489, B2656, '📋 Detalle Diario'!$C$5:$C$489, D2656) * 200), 0))</f>
        <v/>
      </c>
      <c r="P2656" s="32" t="str">
        <f t="shared" si="292"/>
        <v/>
      </c>
      <c r="Q2656" s="33" t="str">
        <f t="shared" si="293"/>
        <v/>
      </c>
    </row>
    <row r="2657" spans="2:17" ht="18" customHeight="1" x14ac:dyDescent="0.3">
      <c r="B2657" s="26"/>
      <c r="C2657" s="28"/>
      <c r="D2657" s="27"/>
      <c r="E2657" s="29"/>
      <c r="F2657" s="29"/>
      <c r="G2657" s="29"/>
      <c r="H2657" s="30" t="str">
        <f t="shared" si="287"/>
        <v/>
      </c>
      <c r="I2657" s="31" t="str">
        <f>IF(OR(B2657="",C2657=""),"",IFERROR(E2657*IF(E2657="",0,VLOOKUP(C2657,'📦 Precios Proforma'!$B$5:$D$104,IF(D2657="DIA",2,3),FALSE)),0))</f>
        <v/>
      </c>
      <c r="J2657" s="31" t="str">
        <f t="shared" si="288"/>
        <v/>
      </c>
      <c r="K2657" s="31" t="str">
        <f t="shared" si="289"/>
        <v/>
      </c>
      <c r="L2657" s="31" t="str">
        <f>IF(OR(B2657="",C2657=""),"",IFERROR(E2657 / SUMIFS('📅 Resumen Diario'!$D$5:$D$504, '📅 Resumen Diario'!$B$5:$B$504, B2657, '📅 Resumen Diario'!$C$5:$C$504, D2657) * SUMIFS('📅 Resumen Diario'!$K$5:$K$504, '📅 Resumen Diario'!$B$5:$B$504, B2657, '📅 Resumen Diario'!$C$5:$C$504, D2657), 0))</f>
        <v/>
      </c>
      <c r="M2657" s="31" t="str">
        <f t="shared" si="290"/>
        <v/>
      </c>
      <c r="N2657" s="31" t="str">
        <f t="shared" si="291"/>
        <v/>
      </c>
      <c r="O2657" s="31" t="str">
        <f>IF(OR(B2657="",C2657=""),"",K2657-N2657 + IFERROR(E2657 / SUMIFS('📅 Resumen Diario'!$D$5:$D$504, '📅 Resumen Diario'!$B$5:$B$504, B2657, '📅 Resumen Diario'!$C$5:$C$504, D2657) * (SUMIFS('📋 Detalle Diario'!$E$5:$E$489, '📋 Detalle Diario'!$B$5:$B$489, B2657, '📋 Detalle Diario'!$C$5:$C$489, D2657) * 135 + SUMIFS('📋 Detalle Diario'!$I$5:$I$489, '📋 Detalle Diario'!$B$5:$B$489, B2657, '📋 Detalle Diario'!$C$5:$C$489, D2657) * 200), 0))</f>
        <v/>
      </c>
      <c r="P2657" s="32" t="str">
        <f t="shared" si="292"/>
        <v/>
      </c>
      <c r="Q2657" s="33" t="str">
        <f t="shared" si="293"/>
        <v/>
      </c>
    </row>
    <row r="2658" spans="2:17" ht="18" customHeight="1" x14ac:dyDescent="0.3">
      <c r="B2658" s="26"/>
      <c r="C2658" s="17"/>
      <c r="D2658" s="27"/>
      <c r="E2658" s="18"/>
      <c r="F2658" s="18"/>
      <c r="G2658" s="18"/>
      <c r="H2658" s="30" t="str">
        <f t="shared" si="287"/>
        <v/>
      </c>
      <c r="I2658" s="31" t="str">
        <f>IF(OR(B2658="",C2658=""),"",IFERROR(E2658*IF(E2658="",0,VLOOKUP(C2658,'📦 Precios Proforma'!$B$5:$D$104,IF(D2658="DIA",2,3),FALSE)),0))</f>
        <v/>
      </c>
      <c r="J2658" s="31" t="str">
        <f t="shared" si="288"/>
        <v/>
      </c>
      <c r="K2658" s="31" t="str">
        <f t="shared" si="289"/>
        <v/>
      </c>
      <c r="L2658" s="31" t="str">
        <f>IF(OR(B2658="",C2658=""),"",IFERROR(E2658 / SUMIFS('📅 Resumen Diario'!$D$5:$D$504, '📅 Resumen Diario'!$B$5:$B$504, B2658, '📅 Resumen Diario'!$C$5:$C$504, D2658) * SUMIFS('📅 Resumen Diario'!$K$5:$K$504, '📅 Resumen Diario'!$B$5:$B$504, B2658, '📅 Resumen Diario'!$C$5:$C$504, D2658), 0))</f>
        <v/>
      </c>
      <c r="M2658" s="31" t="str">
        <f t="shared" si="290"/>
        <v/>
      </c>
      <c r="N2658" s="31" t="str">
        <f t="shared" si="291"/>
        <v/>
      </c>
      <c r="O2658" s="31" t="str">
        <f>IF(OR(B2658="",C2658=""),"",K2658-N2658 + IFERROR(E2658 / SUMIFS('📅 Resumen Diario'!$D$5:$D$504, '📅 Resumen Diario'!$B$5:$B$504, B2658, '📅 Resumen Diario'!$C$5:$C$504, D2658) * (SUMIFS('📋 Detalle Diario'!$E$5:$E$489, '📋 Detalle Diario'!$B$5:$B$489, B2658, '📋 Detalle Diario'!$C$5:$C$489, D2658) * 135 + SUMIFS('📋 Detalle Diario'!$I$5:$I$489, '📋 Detalle Diario'!$B$5:$B$489, B2658, '📋 Detalle Diario'!$C$5:$C$489, D2658) * 200), 0))</f>
        <v/>
      </c>
      <c r="P2658" s="32" t="str">
        <f t="shared" si="292"/>
        <v/>
      </c>
      <c r="Q2658" s="33" t="str">
        <f t="shared" si="293"/>
        <v/>
      </c>
    </row>
    <row r="2659" spans="2:17" ht="18" customHeight="1" x14ac:dyDescent="0.3">
      <c r="B2659" s="26"/>
      <c r="C2659" s="28"/>
      <c r="D2659" s="27"/>
      <c r="E2659" s="29"/>
      <c r="F2659" s="29"/>
      <c r="G2659" s="29"/>
      <c r="H2659" s="30" t="str">
        <f t="shared" si="287"/>
        <v/>
      </c>
      <c r="I2659" s="31" t="str">
        <f>IF(OR(B2659="",C2659=""),"",IFERROR(E2659*IF(E2659="",0,VLOOKUP(C2659,'📦 Precios Proforma'!$B$5:$D$104,IF(D2659="DIA",2,3),FALSE)),0))</f>
        <v/>
      </c>
      <c r="J2659" s="31" t="str">
        <f t="shared" si="288"/>
        <v/>
      </c>
      <c r="K2659" s="31" t="str">
        <f t="shared" si="289"/>
        <v/>
      </c>
      <c r="L2659" s="31" t="str">
        <f>IF(OR(B2659="",C2659=""),"",IFERROR(E2659 / SUMIFS('📅 Resumen Diario'!$D$5:$D$504, '📅 Resumen Diario'!$B$5:$B$504, B2659, '📅 Resumen Diario'!$C$5:$C$504, D2659) * SUMIFS('📅 Resumen Diario'!$K$5:$K$504, '📅 Resumen Diario'!$B$5:$B$504, B2659, '📅 Resumen Diario'!$C$5:$C$504, D2659), 0))</f>
        <v/>
      </c>
      <c r="M2659" s="31" t="str">
        <f t="shared" si="290"/>
        <v/>
      </c>
      <c r="N2659" s="31" t="str">
        <f t="shared" si="291"/>
        <v/>
      </c>
      <c r="O2659" s="31" t="str">
        <f>IF(OR(B2659="",C2659=""),"",K2659-N2659 + IFERROR(E2659 / SUMIFS('📅 Resumen Diario'!$D$5:$D$504, '📅 Resumen Diario'!$B$5:$B$504, B2659, '📅 Resumen Diario'!$C$5:$C$504, D2659) * (SUMIFS('📋 Detalle Diario'!$E$5:$E$489, '📋 Detalle Diario'!$B$5:$B$489, B2659, '📋 Detalle Diario'!$C$5:$C$489, D2659) * 135 + SUMIFS('📋 Detalle Diario'!$I$5:$I$489, '📋 Detalle Diario'!$B$5:$B$489, B2659, '📋 Detalle Diario'!$C$5:$C$489, D2659) * 200), 0))</f>
        <v/>
      </c>
      <c r="P2659" s="32" t="str">
        <f t="shared" si="292"/>
        <v/>
      </c>
      <c r="Q2659" s="33" t="str">
        <f t="shared" si="293"/>
        <v/>
      </c>
    </row>
    <row r="2660" spans="2:17" ht="18" customHeight="1" x14ac:dyDescent="0.3">
      <c r="B2660" s="26"/>
      <c r="C2660" s="17"/>
      <c r="D2660" s="27"/>
      <c r="E2660" s="18"/>
      <c r="F2660" s="18"/>
      <c r="G2660" s="18"/>
      <c r="H2660" s="30" t="str">
        <f t="shared" si="287"/>
        <v/>
      </c>
      <c r="I2660" s="31" t="str">
        <f>IF(OR(B2660="",C2660=""),"",IFERROR(E2660*IF(E2660="",0,VLOOKUP(C2660,'📦 Precios Proforma'!$B$5:$D$104,IF(D2660="DIA",2,3),FALSE)),0))</f>
        <v/>
      </c>
      <c r="J2660" s="31" t="str">
        <f t="shared" si="288"/>
        <v/>
      </c>
      <c r="K2660" s="31" t="str">
        <f t="shared" si="289"/>
        <v/>
      </c>
      <c r="L2660" s="31" t="str">
        <f>IF(OR(B2660="",C2660=""),"",IFERROR(E2660 / SUMIFS('📅 Resumen Diario'!$D$5:$D$504, '📅 Resumen Diario'!$B$5:$B$504, B2660, '📅 Resumen Diario'!$C$5:$C$504, D2660) * SUMIFS('📅 Resumen Diario'!$K$5:$K$504, '📅 Resumen Diario'!$B$5:$B$504, B2660, '📅 Resumen Diario'!$C$5:$C$504, D2660), 0))</f>
        <v/>
      </c>
      <c r="M2660" s="31" t="str">
        <f t="shared" si="290"/>
        <v/>
      </c>
      <c r="N2660" s="31" t="str">
        <f t="shared" si="291"/>
        <v/>
      </c>
      <c r="O2660" s="31" t="str">
        <f>IF(OR(B2660="",C2660=""),"",K2660-N2660 + IFERROR(E2660 / SUMIFS('📅 Resumen Diario'!$D$5:$D$504, '📅 Resumen Diario'!$B$5:$B$504, B2660, '📅 Resumen Diario'!$C$5:$C$504, D2660) * (SUMIFS('📋 Detalle Diario'!$E$5:$E$489, '📋 Detalle Diario'!$B$5:$B$489, B2660, '📋 Detalle Diario'!$C$5:$C$489, D2660) * 135 + SUMIFS('📋 Detalle Diario'!$I$5:$I$489, '📋 Detalle Diario'!$B$5:$B$489, B2660, '📋 Detalle Diario'!$C$5:$C$489, D2660) * 200), 0))</f>
        <v/>
      </c>
      <c r="P2660" s="32" t="str">
        <f t="shared" si="292"/>
        <v/>
      </c>
      <c r="Q2660" s="33" t="str">
        <f t="shared" si="293"/>
        <v/>
      </c>
    </row>
    <row r="2661" spans="2:17" ht="18" customHeight="1" x14ac:dyDescent="0.3">
      <c r="B2661" s="26"/>
      <c r="C2661" s="28"/>
      <c r="D2661" s="27"/>
      <c r="E2661" s="29"/>
      <c r="F2661" s="29"/>
      <c r="G2661" s="29"/>
      <c r="H2661" s="30" t="str">
        <f t="shared" si="287"/>
        <v/>
      </c>
      <c r="I2661" s="31" t="str">
        <f>IF(OR(B2661="",C2661=""),"",IFERROR(E2661*IF(E2661="",0,VLOOKUP(C2661,'📦 Precios Proforma'!$B$5:$D$104,IF(D2661="DIA",2,3),FALSE)),0))</f>
        <v/>
      </c>
      <c r="J2661" s="31" t="str">
        <f t="shared" si="288"/>
        <v/>
      </c>
      <c r="K2661" s="31" t="str">
        <f t="shared" si="289"/>
        <v/>
      </c>
      <c r="L2661" s="31" t="str">
        <f>IF(OR(B2661="",C2661=""),"",IFERROR(E2661 / SUMIFS('📅 Resumen Diario'!$D$5:$D$504, '📅 Resumen Diario'!$B$5:$B$504, B2661, '📅 Resumen Diario'!$C$5:$C$504, D2661) * SUMIFS('📅 Resumen Diario'!$K$5:$K$504, '📅 Resumen Diario'!$B$5:$B$504, B2661, '📅 Resumen Diario'!$C$5:$C$504, D2661), 0))</f>
        <v/>
      </c>
      <c r="M2661" s="31" t="str">
        <f t="shared" si="290"/>
        <v/>
      </c>
      <c r="N2661" s="31" t="str">
        <f t="shared" si="291"/>
        <v/>
      </c>
      <c r="O2661" s="31" t="str">
        <f>IF(OR(B2661="",C2661=""),"",K2661-N2661 + IFERROR(E2661 / SUMIFS('📅 Resumen Diario'!$D$5:$D$504, '📅 Resumen Diario'!$B$5:$B$504, B2661, '📅 Resumen Diario'!$C$5:$C$504, D2661) * (SUMIFS('📋 Detalle Diario'!$E$5:$E$489, '📋 Detalle Diario'!$B$5:$B$489, B2661, '📋 Detalle Diario'!$C$5:$C$489, D2661) * 135 + SUMIFS('📋 Detalle Diario'!$I$5:$I$489, '📋 Detalle Diario'!$B$5:$B$489, B2661, '📋 Detalle Diario'!$C$5:$C$489, D2661) * 200), 0))</f>
        <v/>
      </c>
      <c r="P2661" s="32" t="str">
        <f t="shared" si="292"/>
        <v/>
      </c>
      <c r="Q2661" s="33" t="str">
        <f t="shared" si="293"/>
        <v/>
      </c>
    </row>
    <row r="2662" spans="2:17" ht="18" customHeight="1" x14ac:dyDescent="0.3">
      <c r="B2662" s="26"/>
      <c r="C2662" s="17"/>
      <c r="D2662" s="27"/>
      <c r="E2662" s="18"/>
      <c r="F2662" s="18"/>
      <c r="G2662" s="18"/>
      <c r="H2662" s="30" t="str">
        <f t="shared" si="287"/>
        <v/>
      </c>
      <c r="I2662" s="31" t="str">
        <f>IF(OR(B2662="",C2662=""),"",IFERROR(E2662*IF(E2662="",0,VLOOKUP(C2662,'📦 Precios Proforma'!$B$5:$D$104,IF(D2662="DIA",2,3),FALSE)),0))</f>
        <v/>
      </c>
      <c r="J2662" s="31" t="str">
        <f t="shared" si="288"/>
        <v/>
      </c>
      <c r="K2662" s="31" t="str">
        <f t="shared" si="289"/>
        <v/>
      </c>
      <c r="L2662" s="31" t="str">
        <f>IF(OR(B2662="",C2662=""),"",IFERROR(E2662 / SUMIFS('📅 Resumen Diario'!$D$5:$D$504, '📅 Resumen Diario'!$B$5:$B$504, B2662, '📅 Resumen Diario'!$C$5:$C$504, D2662) * SUMIFS('📅 Resumen Diario'!$K$5:$K$504, '📅 Resumen Diario'!$B$5:$B$504, B2662, '📅 Resumen Diario'!$C$5:$C$504, D2662), 0))</f>
        <v/>
      </c>
      <c r="M2662" s="31" t="str">
        <f t="shared" si="290"/>
        <v/>
      </c>
      <c r="N2662" s="31" t="str">
        <f t="shared" si="291"/>
        <v/>
      </c>
      <c r="O2662" s="31" t="str">
        <f>IF(OR(B2662="",C2662=""),"",K2662-N2662 + IFERROR(E2662 / SUMIFS('📅 Resumen Diario'!$D$5:$D$504, '📅 Resumen Diario'!$B$5:$B$504, B2662, '📅 Resumen Diario'!$C$5:$C$504, D2662) * (SUMIFS('📋 Detalle Diario'!$E$5:$E$489, '📋 Detalle Diario'!$B$5:$B$489, B2662, '📋 Detalle Diario'!$C$5:$C$489, D2662) * 135 + SUMIFS('📋 Detalle Diario'!$I$5:$I$489, '📋 Detalle Diario'!$B$5:$B$489, B2662, '📋 Detalle Diario'!$C$5:$C$489, D2662) * 200), 0))</f>
        <v/>
      </c>
      <c r="P2662" s="32" t="str">
        <f t="shared" si="292"/>
        <v/>
      </c>
      <c r="Q2662" s="33" t="str">
        <f t="shared" si="293"/>
        <v/>
      </c>
    </row>
    <row r="2663" spans="2:17" ht="18" customHeight="1" x14ac:dyDescent="0.3">
      <c r="B2663" s="26"/>
      <c r="C2663" s="28"/>
      <c r="D2663" s="27"/>
      <c r="E2663" s="29"/>
      <c r="F2663" s="29"/>
      <c r="G2663" s="29"/>
      <c r="H2663" s="30" t="str">
        <f t="shared" si="287"/>
        <v/>
      </c>
      <c r="I2663" s="31" t="str">
        <f>IF(OR(B2663="",C2663=""),"",IFERROR(E2663*IF(E2663="",0,VLOOKUP(C2663,'📦 Precios Proforma'!$B$5:$D$104,IF(D2663="DIA",2,3),FALSE)),0))</f>
        <v/>
      </c>
      <c r="J2663" s="31" t="str">
        <f t="shared" si="288"/>
        <v/>
      </c>
      <c r="K2663" s="31" t="str">
        <f t="shared" si="289"/>
        <v/>
      </c>
      <c r="L2663" s="31" t="str">
        <f>IF(OR(B2663="",C2663=""),"",IFERROR(E2663 / SUMIFS('📅 Resumen Diario'!$D$5:$D$504, '📅 Resumen Diario'!$B$5:$B$504, B2663, '📅 Resumen Diario'!$C$5:$C$504, D2663) * SUMIFS('📅 Resumen Diario'!$K$5:$K$504, '📅 Resumen Diario'!$B$5:$B$504, B2663, '📅 Resumen Diario'!$C$5:$C$504, D2663), 0))</f>
        <v/>
      </c>
      <c r="M2663" s="31" t="str">
        <f t="shared" si="290"/>
        <v/>
      </c>
      <c r="N2663" s="31" t="str">
        <f t="shared" si="291"/>
        <v/>
      </c>
      <c r="O2663" s="31" t="str">
        <f>IF(OR(B2663="",C2663=""),"",K2663-N2663 + IFERROR(E2663 / SUMIFS('📅 Resumen Diario'!$D$5:$D$504, '📅 Resumen Diario'!$B$5:$B$504, B2663, '📅 Resumen Diario'!$C$5:$C$504, D2663) * (SUMIFS('📋 Detalle Diario'!$E$5:$E$489, '📋 Detalle Diario'!$B$5:$B$489, B2663, '📋 Detalle Diario'!$C$5:$C$489, D2663) * 135 + SUMIFS('📋 Detalle Diario'!$I$5:$I$489, '📋 Detalle Diario'!$B$5:$B$489, B2663, '📋 Detalle Diario'!$C$5:$C$489, D2663) * 200), 0))</f>
        <v/>
      </c>
      <c r="P2663" s="32" t="str">
        <f t="shared" si="292"/>
        <v/>
      </c>
      <c r="Q2663" s="33" t="str">
        <f t="shared" si="293"/>
        <v/>
      </c>
    </row>
    <row r="2664" spans="2:17" ht="18" customHeight="1" x14ac:dyDescent="0.3">
      <c r="B2664" s="26"/>
      <c r="C2664" s="17"/>
      <c r="D2664" s="27"/>
      <c r="E2664" s="18"/>
      <c r="F2664" s="18"/>
      <c r="G2664" s="18"/>
      <c r="H2664" s="30" t="str">
        <f t="shared" si="287"/>
        <v/>
      </c>
      <c r="I2664" s="31" t="str">
        <f>IF(OR(B2664="",C2664=""),"",IFERROR(E2664*IF(E2664="",0,VLOOKUP(C2664,'📦 Precios Proforma'!$B$5:$D$104,IF(D2664="DIA",2,3),FALSE)),0))</f>
        <v/>
      </c>
      <c r="J2664" s="31" t="str">
        <f t="shared" si="288"/>
        <v/>
      </c>
      <c r="K2664" s="31" t="str">
        <f t="shared" si="289"/>
        <v/>
      </c>
      <c r="L2664" s="31" t="str">
        <f>IF(OR(B2664="",C2664=""),"",IFERROR(E2664 / SUMIFS('📅 Resumen Diario'!$D$5:$D$504, '📅 Resumen Diario'!$B$5:$B$504, B2664, '📅 Resumen Diario'!$C$5:$C$504, D2664) * SUMIFS('📅 Resumen Diario'!$K$5:$K$504, '📅 Resumen Diario'!$B$5:$B$504, B2664, '📅 Resumen Diario'!$C$5:$C$504, D2664), 0))</f>
        <v/>
      </c>
      <c r="M2664" s="31" t="str">
        <f t="shared" si="290"/>
        <v/>
      </c>
      <c r="N2664" s="31" t="str">
        <f t="shared" si="291"/>
        <v/>
      </c>
      <c r="O2664" s="31" t="str">
        <f>IF(OR(B2664="",C2664=""),"",K2664-N2664 + IFERROR(E2664 / SUMIFS('📅 Resumen Diario'!$D$5:$D$504, '📅 Resumen Diario'!$B$5:$B$504, B2664, '📅 Resumen Diario'!$C$5:$C$504, D2664) * (SUMIFS('📋 Detalle Diario'!$E$5:$E$489, '📋 Detalle Diario'!$B$5:$B$489, B2664, '📋 Detalle Diario'!$C$5:$C$489, D2664) * 135 + SUMIFS('📋 Detalle Diario'!$I$5:$I$489, '📋 Detalle Diario'!$B$5:$B$489, B2664, '📋 Detalle Diario'!$C$5:$C$489, D2664) * 200), 0))</f>
        <v/>
      </c>
      <c r="P2664" s="32" t="str">
        <f t="shared" si="292"/>
        <v/>
      </c>
      <c r="Q2664" s="33" t="str">
        <f t="shared" si="293"/>
        <v/>
      </c>
    </row>
    <row r="2665" spans="2:17" ht="18" customHeight="1" x14ac:dyDescent="0.3">
      <c r="B2665" s="26"/>
      <c r="C2665" s="28"/>
      <c r="D2665" s="27"/>
      <c r="E2665" s="29"/>
      <c r="F2665" s="29"/>
      <c r="G2665" s="29"/>
      <c r="H2665" s="30" t="str">
        <f t="shared" si="287"/>
        <v/>
      </c>
      <c r="I2665" s="31" t="str">
        <f>IF(OR(B2665="",C2665=""),"",IFERROR(E2665*IF(E2665="",0,VLOOKUP(C2665,'📦 Precios Proforma'!$B$5:$D$104,IF(D2665="DIA",2,3),FALSE)),0))</f>
        <v/>
      </c>
      <c r="J2665" s="31" t="str">
        <f t="shared" si="288"/>
        <v/>
      </c>
      <c r="K2665" s="31" t="str">
        <f t="shared" si="289"/>
        <v/>
      </c>
      <c r="L2665" s="31" t="str">
        <f>IF(OR(B2665="",C2665=""),"",IFERROR(E2665 / SUMIFS('📅 Resumen Diario'!$D$5:$D$504, '📅 Resumen Diario'!$B$5:$B$504, B2665, '📅 Resumen Diario'!$C$5:$C$504, D2665) * SUMIFS('📅 Resumen Diario'!$K$5:$K$504, '📅 Resumen Diario'!$B$5:$B$504, B2665, '📅 Resumen Diario'!$C$5:$C$504, D2665), 0))</f>
        <v/>
      </c>
      <c r="M2665" s="31" t="str">
        <f t="shared" si="290"/>
        <v/>
      </c>
      <c r="N2665" s="31" t="str">
        <f t="shared" si="291"/>
        <v/>
      </c>
      <c r="O2665" s="31" t="str">
        <f>IF(OR(B2665="",C2665=""),"",K2665-N2665 + IFERROR(E2665 / SUMIFS('📅 Resumen Diario'!$D$5:$D$504, '📅 Resumen Diario'!$B$5:$B$504, B2665, '📅 Resumen Diario'!$C$5:$C$504, D2665) * (SUMIFS('📋 Detalle Diario'!$E$5:$E$489, '📋 Detalle Diario'!$B$5:$B$489, B2665, '📋 Detalle Diario'!$C$5:$C$489, D2665) * 135 + SUMIFS('📋 Detalle Diario'!$I$5:$I$489, '📋 Detalle Diario'!$B$5:$B$489, B2665, '📋 Detalle Diario'!$C$5:$C$489, D2665) * 200), 0))</f>
        <v/>
      </c>
      <c r="P2665" s="32" t="str">
        <f t="shared" si="292"/>
        <v/>
      </c>
      <c r="Q2665" s="33" t="str">
        <f t="shared" si="293"/>
        <v/>
      </c>
    </row>
    <row r="2666" spans="2:17" ht="18" customHeight="1" x14ac:dyDescent="0.3">
      <c r="B2666" s="26"/>
      <c r="C2666" s="17"/>
      <c r="D2666" s="27"/>
      <c r="E2666" s="18"/>
      <c r="F2666" s="18"/>
      <c r="G2666" s="18"/>
      <c r="H2666" s="30" t="str">
        <f t="shared" si="287"/>
        <v/>
      </c>
      <c r="I2666" s="31" t="str">
        <f>IF(OR(B2666="",C2666=""),"",IFERROR(E2666*IF(E2666="",0,VLOOKUP(C2666,'📦 Precios Proforma'!$B$5:$D$104,IF(D2666="DIA",2,3),FALSE)),0))</f>
        <v/>
      </c>
      <c r="J2666" s="31" t="str">
        <f t="shared" si="288"/>
        <v/>
      </c>
      <c r="K2666" s="31" t="str">
        <f t="shared" si="289"/>
        <v/>
      </c>
      <c r="L2666" s="31" t="str">
        <f>IF(OR(B2666="",C2666=""),"",IFERROR(E2666 / SUMIFS('📅 Resumen Diario'!$D$5:$D$504, '📅 Resumen Diario'!$B$5:$B$504, B2666, '📅 Resumen Diario'!$C$5:$C$504, D2666) * SUMIFS('📅 Resumen Diario'!$K$5:$K$504, '📅 Resumen Diario'!$B$5:$B$504, B2666, '📅 Resumen Diario'!$C$5:$C$504, D2666), 0))</f>
        <v/>
      </c>
      <c r="M2666" s="31" t="str">
        <f t="shared" si="290"/>
        <v/>
      </c>
      <c r="N2666" s="31" t="str">
        <f t="shared" si="291"/>
        <v/>
      </c>
      <c r="O2666" s="31" t="str">
        <f>IF(OR(B2666="",C2666=""),"",K2666-N2666 + IFERROR(E2666 / SUMIFS('📅 Resumen Diario'!$D$5:$D$504, '📅 Resumen Diario'!$B$5:$B$504, B2666, '📅 Resumen Diario'!$C$5:$C$504, D2666) * (SUMIFS('📋 Detalle Diario'!$E$5:$E$489, '📋 Detalle Diario'!$B$5:$B$489, B2666, '📋 Detalle Diario'!$C$5:$C$489, D2666) * 135 + SUMIFS('📋 Detalle Diario'!$I$5:$I$489, '📋 Detalle Diario'!$B$5:$B$489, B2666, '📋 Detalle Diario'!$C$5:$C$489, D2666) * 200), 0))</f>
        <v/>
      </c>
      <c r="P2666" s="32" t="str">
        <f t="shared" si="292"/>
        <v/>
      </c>
      <c r="Q2666" s="33" t="str">
        <f t="shared" si="293"/>
        <v/>
      </c>
    </row>
    <row r="2667" spans="2:17" ht="18" customHeight="1" x14ac:dyDescent="0.3">
      <c r="B2667" s="26"/>
      <c r="C2667" s="28"/>
      <c r="D2667" s="27"/>
      <c r="E2667" s="29"/>
      <c r="F2667" s="29"/>
      <c r="G2667" s="29"/>
      <c r="H2667" s="30" t="str">
        <f t="shared" si="287"/>
        <v/>
      </c>
      <c r="I2667" s="31" t="str">
        <f>IF(OR(B2667="",C2667=""),"",IFERROR(E2667*IF(E2667="",0,VLOOKUP(C2667,'📦 Precios Proforma'!$B$5:$D$104,IF(D2667="DIA",2,3),FALSE)),0))</f>
        <v/>
      </c>
      <c r="J2667" s="31" t="str">
        <f t="shared" si="288"/>
        <v/>
      </c>
      <c r="K2667" s="31" t="str">
        <f t="shared" si="289"/>
        <v/>
      </c>
      <c r="L2667" s="31" t="str">
        <f>IF(OR(B2667="",C2667=""),"",IFERROR(E2667 / SUMIFS('📅 Resumen Diario'!$D$5:$D$504, '📅 Resumen Diario'!$B$5:$B$504, B2667, '📅 Resumen Diario'!$C$5:$C$504, D2667) * SUMIFS('📅 Resumen Diario'!$K$5:$K$504, '📅 Resumen Diario'!$B$5:$B$504, B2667, '📅 Resumen Diario'!$C$5:$C$504, D2667), 0))</f>
        <v/>
      </c>
      <c r="M2667" s="31" t="str">
        <f t="shared" si="290"/>
        <v/>
      </c>
      <c r="N2667" s="31" t="str">
        <f t="shared" si="291"/>
        <v/>
      </c>
      <c r="O2667" s="31" t="str">
        <f>IF(OR(B2667="",C2667=""),"",K2667-N2667 + IFERROR(E2667 / SUMIFS('📅 Resumen Diario'!$D$5:$D$504, '📅 Resumen Diario'!$B$5:$B$504, B2667, '📅 Resumen Diario'!$C$5:$C$504, D2667) * (SUMIFS('📋 Detalle Diario'!$E$5:$E$489, '📋 Detalle Diario'!$B$5:$B$489, B2667, '📋 Detalle Diario'!$C$5:$C$489, D2667) * 135 + SUMIFS('📋 Detalle Diario'!$I$5:$I$489, '📋 Detalle Diario'!$B$5:$B$489, B2667, '📋 Detalle Diario'!$C$5:$C$489, D2667) * 200), 0))</f>
        <v/>
      </c>
      <c r="P2667" s="32" t="str">
        <f t="shared" si="292"/>
        <v/>
      </c>
      <c r="Q2667" s="33" t="str">
        <f t="shared" si="293"/>
        <v/>
      </c>
    </row>
    <row r="2668" spans="2:17" ht="18" customHeight="1" x14ac:dyDescent="0.3">
      <c r="B2668" s="26"/>
      <c r="C2668" s="17"/>
      <c r="D2668" s="27"/>
      <c r="E2668" s="18"/>
      <c r="F2668" s="18"/>
      <c r="G2668" s="18"/>
      <c r="H2668" s="30" t="str">
        <f t="shared" si="287"/>
        <v/>
      </c>
      <c r="I2668" s="31" t="str">
        <f>IF(OR(B2668="",C2668=""),"",IFERROR(E2668*IF(E2668="",0,VLOOKUP(C2668,'📦 Precios Proforma'!$B$5:$D$104,IF(D2668="DIA",2,3),FALSE)),0))</f>
        <v/>
      </c>
      <c r="J2668" s="31" t="str">
        <f t="shared" si="288"/>
        <v/>
      </c>
      <c r="K2668" s="31" t="str">
        <f t="shared" si="289"/>
        <v/>
      </c>
      <c r="L2668" s="31" t="str">
        <f>IF(OR(B2668="",C2668=""),"",IFERROR(E2668 / SUMIFS('📅 Resumen Diario'!$D$5:$D$504, '📅 Resumen Diario'!$B$5:$B$504, B2668, '📅 Resumen Diario'!$C$5:$C$504, D2668) * SUMIFS('📅 Resumen Diario'!$K$5:$K$504, '📅 Resumen Diario'!$B$5:$B$504, B2668, '📅 Resumen Diario'!$C$5:$C$504, D2668), 0))</f>
        <v/>
      </c>
      <c r="M2668" s="31" t="str">
        <f t="shared" si="290"/>
        <v/>
      </c>
      <c r="N2668" s="31" t="str">
        <f t="shared" si="291"/>
        <v/>
      </c>
      <c r="O2668" s="31" t="str">
        <f>IF(OR(B2668="",C2668=""),"",K2668-N2668 + IFERROR(E2668 / SUMIFS('📅 Resumen Diario'!$D$5:$D$504, '📅 Resumen Diario'!$B$5:$B$504, B2668, '📅 Resumen Diario'!$C$5:$C$504, D2668) * (SUMIFS('📋 Detalle Diario'!$E$5:$E$489, '📋 Detalle Diario'!$B$5:$B$489, B2668, '📋 Detalle Diario'!$C$5:$C$489, D2668) * 135 + SUMIFS('📋 Detalle Diario'!$I$5:$I$489, '📋 Detalle Diario'!$B$5:$B$489, B2668, '📋 Detalle Diario'!$C$5:$C$489, D2668) * 200), 0))</f>
        <v/>
      </c>
      <c r="P2668" s="32" t="str">
        <f t="shared" si="292"/>
        <v/>
      </c>
      <c r="Q2668" s="33" t="str">
        <f t="shared" si="293"/>
        <v/>
      </c>
    </row>
    <row r="2669" spans="2:17" ht="18" customHeight="1" x14ac:dyDescent="0.3">
      <c r="B2669" s="26"/>
      <c r="C2669" s="28"/>
      <c r="D2669" s="27"/>
      <c r="E2669" s="29"/>
      <c r="F2669" s="29"/>
      <c r="G2669" s="29"/>
      <c r="H2669" s="30" t="str">
        <f t="shared" si="287"/>
        <v/>
      </c>
      <c r="I2669" s="31" t="str">
        <f>IF(OR(B2669="",C2669=""),"",IFERROR(E2669*IF(E2669="",0,VLOOKUP(C2669,'📦 Precios Proforma'!$B$5:$D$104,IF(D2669="DIA",2,3),FALSE)),0))</f>
        <v/>
      </c>
      <c r="J2669" s="31" t="str">
        <f t="shared" si="288"/>
        <v/>
      </c>
      <c r="K2669" s="31" t="str">
        <f t="shared" si="289"/>
        <v/>
      </c>
      <c r="L2669" s="31" t="str">
        <f>IF(OR(B2669="",C2669=""),"",IFERROR(E2669 / SUMIFS('📅 Resumen Diario'!$D$5:$D$504, '📅 Resumen Diario'!$B$5:$B$504, B2669, '📅 Resumen Diario'!$C$5:$C$504, D2669) * SUMIFS('📅 Resumen Diario'!$K$5:$K$504, '📅 Resumen Diario'!$B$5:$B$504, B2669, '📅 Resumen Diario'!$C$5:$C$504, D2669), 0))</f>
        <v/>
      </c>
      <c r="M2669" s="31" t="str">
        <f t="shared" si="290"/>
        <v/>
      </c>
      <c r="N2669" s="31" t="str">
        <f t="shared" si="291"/>
        <v/>
      </c>
      <c r="O2669" s="31" t="str">
        <f>IF(OR(B2669="",C2669=""),"",K2669-N2669 + IFERROR(E2669 / SUMIFS('📅 Resumen Diario'!$D$5:$D$504, '📅 Resumen Diario'!$B$5:$B$504, B2669, '📅 Resumen Diario'!$C$5:$C$504, D2669) * (SUMIFS('📋 Detalle Diario'!$E$5:$E$489, '📋 Detalle Diario'!$B$5:$B$489, B2669, '📋 Detalle Diario'!$C$5:$C$489, D2669) * 135 + SUMIFS('📋 Detalle Diario'!$I$5:$I$489, '📋 Detalle Diario'!$B$5:$B$489, B2669, '📋 Detalle Diario'!$C$5:$C$489, D2669) * 200), 0))</f>
        <v/>
      </c>
      <c r="P2669" s="32" t="str">
        <f t="shared" si="292"/>
        <v/>
      </c>
      <c r="Q2669" s="33" t="str">
        <f t="shared" si="293"/>
        <v/>
      </c>
    </row>
    <row r="2670" spans="2:17" ht="18" customHeight="1" x14ac:dyDescent="0.3">
      <c r="B2670" s="26"/>
      <c r="C2670" s="17"/>
      <c r="D2670" s="27"/>
      <c r="E2670" s="18"/>
      <c r="F2670" s="18"/>
      <c r="G2670" s="18"/>
      <c r="H2670" s="30" t="str">
        <f t="shared" si="287"/>
        <v/>
      </c>
      <c r="I2670" s="31" t="str">
        <f>IF(OR(B2670="",C2670=""),"",IFERROR(E2670*IF(E2670="",0,VLOOKUP(C2670,'📦 Precios Proforma'!$B$5:$D$104,IF(D2670="DIA",2,3),FALSE)),0))</f>
        <v/>
      </c>
      <c r="J2670" s="31" t="str">
        <f t="shared" si="288"/>
        <v/>
      </c>
      <c r="K2670" s="31" t="str">
        <f t="shared" si="289"/>
        <v/>
      </c>
      <c r="L2670" s="31" t="str">
        <f>IF(OR(B2670="",C2670=""),"",IFERROR(E2670 / SUMIFS('📅 Resumen Diario'!$D$5:$D$504, '📅 Resumen Diario'!$B$5:$B$504, B2670, '📅 Resumen Diario'!$C$5:$C$504, D2670) * SUMIFS('📅 Resumen Diario'!$K$5:$K$504, '📅 Resumen Diario'!$B$5:$B$504, B2670, '📅 Resumen Diario'!$C$5:$C$504, D2670), 0))</f>
        <v/>
      </c>
      <c r="M2670" s="31" t="str">
        <f t="shared" si="290"/>
        <v/>
      </c>
      <c r="N2670" s="31" t="str">
        <f t="shared" si="291"/>
        <v/>
      </c>
      <c r="O2670" s="31" t="str">
        <f>IF(OR(B2670="",C2670=""),"",K2670-N2670 + IFERROR(E2670 / SUMIFS('📅 Resumen Diario'!$D$5:$D$504, '📅 Resumen Diario'!$B$5:$B$504, B2670, '📅 Resumen Diario'!$C$5:$C$504, D2670) * (SUMIFS('📋 Detalle Diario'!$E$5:$E$489, '📋 Detalle Diario'!$B$5:$B$489, B2670, '📋 Detalle Diario'!$C$5:$C$489, D2670) * 135 + SUMIFS('📋 Detalle Diario'!$I$5:$I$489, '📋 Detalle Diario'!$B$5:$B$489, B2670, '📋 Detalle Diario'!$C$5:$C$489, D2670) * 200), 0))</f>
        <v/>
      </c>
      <c r="P2670" s="32" t="str">
        <f t="shared" si="292"/>
        <v/>
      </c>
      <c r="Q2670" s="33" t="str">
        <f t="shared" si="293"/>
        <v/>
      </c>
    </row>
    <row r="2671" spans="2:17" ht="18" customHeight="1" x14ac:dyDescent="0.3">
      <c r="B2671" s="26"/>
      <c r="C2671" s="28"/>
      <c r="D2671" s="27"/>
      <c r="E2671" s="29"/>
      <c r="F2671" s="29"/>
      <c r="G2671" s="29"/>
      <c r="H2671" s="30" t="str">
        <f t="shared" si="287"/>
        <v/>
      </c>
      <c r="I2671" s="31" t="str">
        <f>IF(OR(B2671="",C2671=""),"",IFERROR(E2671*IF(E2671="",0,VLOOKUP(C2671,'📦 Precios Proforma'!$B$5:$D$104,IF(D2671="DIA",2,3),FALSE)),0))</f>
        <v/>
      </c>
      <c r="J2671" s="31" t="str">
        <f t="shared" si="288"/>
        <v/>
      </c>
      <c r="K2671" s="31" t="str">
        <f t="shared" si="289"/>
        <v/>
      </c>
      <c r="L2671" s="31" t="str">
        <f>IF(OR(B2671="",C2671=""),"",IFERROR(E2671 / SUMIFS('📅 Resumen Diario'!$D$5:$D$504, '📅 Resumen Diario'!$B$5:$B$504, B2671, '📅 Resumen Diario'!$C$5:$C$504, D2671) * SUMIFS('📅 Resumen Diario'!$K$5:$K$504, '📅 Resumen Diario'!$B$5:$B$504, B2671, '📅 Resumen Diario'!$C$5:$C$504, D2671), 0))</f>
        <v/>
      </c>
      <c r="M2671" s="31" t="str">
        <f t="shared" si="290"/>
        <v/>
      </c>
      <c r="N2671" s="31" t="str">
        <f t="shared" si="291"/>
        <v/>
      </c>
      <c r="O2671" s="31" t="str">
        <f>IF(OR(B2671="",C2671=""),"",K2671-N2671 + IFERROR(E2671 / SUMIFS('📅 Resumen Diario'!$D$5:$D$504, '📅 Resumen Diario'!$B$5:$B$504, B2671, '📅 Resumen Diario'!$C$5:$C$504, D2671) * (SUMIFS('📋 Detalle Diario'!$E$5:$E$489, '📋 Detalle Diario'!$B$5:$B$489, B2671, '📋 Detalle Diario'!$C$5:$C$489, D2671) * 135 + SUMIFS('📋 Detalle Diario'!$I$5:$I$489, '📋 Detalle Diario'!$B$5:$B$489, B2671, '📋 Detalle Diario'!$C$5:$C$489, D2671) * 200), 0))</f>
        <v/>
      </c>
      <c r="P2671" s="32" t="str">
        <f t="shared" si="292"/>
        <v/>
      </c>
      <c r="Q2671" s="33" t="str">
        <f t="shared" si="293"/>
        <v/>
      </c>
    </row>
    <row r="2672" spans="2:17" ht="18" customHeight="1" x14ac:dyDescent="0.3">
      <c r="B2672" s="26"/>
      <c r="C2672" s="17"/>
      <c r="D2672" s="27"/>
      <c r="E2672" s="18"/>
      <c r="F2672" s="18"/>
      <c r="G2672" s="18"/>
      <c r="H2672" s="30" t="str">
        <f t="shared" si="287"/>
        <v/>
      </c>
      <c r="I2672" s="31" t="str">
        <f>IF(OR(B2672="",C2672=""),"",IFERROR(E2672*IF(E2672="",0,VLOOKUP(C2672,'📦 Precios Proforma'!$B$5:$D$104,IF(D2672="DIA",2,3),FALSE)),0))</f>
        <v/>
      </c>
      <c r="J2672" s="31" t="str">
        <f t="shared" si="288"/>
        <v/>
      </c>
      <c r="K2672" s="31" t="str">
        <f t="shared" si="289"/>
        <v/>
      </c>
      <c r="L2672" s="31" t="str">
        <f>IF(OR(B2672="",C2672=""),"",IFERROR(E2672 / SUMIFS('📅 Resumen Diario'!$D$5:$D$504, '📅 Resumen Diario'!$B$5:$B$504, B2672, '📅 Resumen Diario'!$C$5:$C$504, D2672) * SUMIFS('📅 Resumen Diario'!$K$5:$K$504, '📅 Resumen Diario'!$B$5:$B$504, B2672, '📅 Resumen Diario'!$C$5:$C$504, D2672), 0))</f>
        <v/>
      </c>
      <c r="M2672" s="31" t="str">
        <f t="shared" si="290"/>
        <v/>
      </c>
      <c r="N2672" s="31" t="str">
        <f t="shared" si="291"/>
        <v/>
      </c>
      <c r="O2672" s="31" t="str">
        <f>IF(OR(B2672="",C2672=""),"",K2672-N2672 + IFERROR(E2672 / SUMIFS('📅 Resumen Diario'!$D$5:$D$504, '📅 Resumen Diario'!$B$5:$B$504, B2672, '📅 Resumen Diario'!$C$5:$C$504, D2672) * (SUMIFS('📋 Detalle Diario'!$E$5:$E$489, '📋 Detalle Diario'!$B$5:$B$489, B2672, '📋 Detalle Diario'!$C$5:$C$489, D2672) * 135 + SUMIFS('📋 Detalle Diario'!$I$5:$I$489, '📋 Detalle Diario'!$B$5:$B$489, B2672, '📋 Detalle Diario'!$C$5:$C$489, D2672) * 200), 0))</f>
        <v/>
      </c>
      <c r="P2672" s="32" t="str">
        <f t="shared" si="292"/>
        <v/>
      </c>
      <c r="Q2672" s="33" t="str">
        <f t="shared" si="293"/>
        <v/>
      </c>
    </row>
    <row r="2673" spans="2:17" ht="18" customHeight="1" x14ac:dyDescent="0.3">
      <c r="B2673" s="26"/>
      <c r="C2673" s="28"/>
      <c r="D2673" s="27"/>
      <c r="E2673" s="29"/>
      <c r="F2673" s="29"/>
      <c r="G2673" s="29"/>
      <c r="H2673" s="30" t="str">
        <f t="shared" si="287"/>
        <v/>
      </c>
      <c r="I2673" s="31" t="str">
        <f>IF(OR(B2673="",C2673=""),"",IFERROR(E2673*IF(E2673="",0,VLOOKUP(C2673,'📦 Precios Proforma'!$B$5:$D$104,IF(D2673="DIA",2,3),FALSE)),0))</f>
        <v/>
      </c>
      <c r="J2673" s="31" t="str">
        <f t="shared" si="288"/>
        <v/>
      </c>
      <c r="K2673" s="31" t="str">
        <f t="shared" si="289"/>
        <v/>
      </c>
      <c r="L2673" s="31" t="str">
        <f>IF(OR(B2673="",C2673=""),"",IFERROR(E2673 / SUMIFS('📅 Resumen Diario'!$D$5:$D$504, '📅 Resumen Diario'!$B$5:$B$504, B2673, '📅 Resumen Diario'!$C$5:$C$504, D2673) * SUMIFS('📅 Resumen Diario'!$K$5:$K$504, '📅 Resumen Diario'!$B$5:$B$504, B2673, '📅 Resumen Diario'!$C$5:$C$504, D2673), 0))</f>
        <v/>
      </c>
      <c r="M2673" s="31" t="str">
        <f t="shared" si="290"/>
        <v/>
      </c>
      <c r="N2673" s="31" t="str">
        <f t="shared" si="291"/>
        <v/>
      </c>
      <c r="O2673" s="31" t="str">
        <f>IF(OR(B2673="",C2673=""),"",K2673-N2673 + IFERROR(E2673 / SUMIFS('📅 Resumen Diario'!$D$5:$D$504, '📅 Resumen Diario'!$B$5:$B$504, B2673, '📅 Resumen Diario'!$C$5:$C$504, D2673) * (SUMIFS('📋 Detalle Diario'!$E$5:$E$489, '📋 Detalle Diario'!$B$5:$B$489, B2673, '📋 Detalle Diario'!$C$5:$C$489, D2673) * 135 + SUMIFS('📋 Detalle Diario'!$I$5:$I$489, '📋 Detalle Diario'!$B$5:$B$489, B2673, '📋 Detalle Diario'!$C$5:$C$489, D2673) * 200), 0))</f>
        <v/>
      </c>
      <c r="P2673" s="32" t="str">
        <f t="shared" si="292"/>
        <v/>
      </c>
      <c r="Q2673" s="33" t="str">
        <f t="shared" si="293"/>
        <v/>
      </c>
    </row>
    <row r="2674" spans="2:17" ht="18" customHeight="1" x14ac:dyDescent="0.3">
      <c r="B2674" s="26"/>
      <c r="C2674" s="17"/>
      <c r="D2674" s="27"/>
      <c r="E2674" s="18"/>
      <c r="F2674" s="18"/>
      <c r="G2674" s="18"/>
      <c r="H2674" s="30" t="str">
        <f t="shared" si="287"/>
        <v/>
      </c>
      <c r="I2674" s="31" t="str">
        <f>IF(OR(B2674="",C2674=""),"",IFERROR(E2674*IF(E2674="",0,VLOOKUP(C2674,'📦 Precios Proforma'!$B$5:$D$104,IF(D2674="DIA",2,3),FALSE)),0))</f>
        <v/>
      </c>
      <c r="J2674" s="31" t="str">
        <f t="shared" si="288"/>
        <v/>
      </c>
      <c r="K2674" s="31" t="str">
        <f t="shared" si="289"/>
        <v/>
      </c>
      <c r="L2674" s="31" t="str">
        <f>IF(OR(B2674="",C2674=""),"",IFERROR(E2674 / SUMIFS('📅 Resumen Diario'!$D$5:$D$504, '📅 Resumen Diario'!$B$5:$B$504, B2674, '📅 Resumen Diario'!$C$5:$C$504, D2674) * SUMIFS('📅 Resumen Diario'!$K$5:$K$504, '📅 Resumen Diario'!$B$5:$B$504, B2674, '📅 Resumen Diario'!$C$5:$C$504, D2674), 0))</f>
        <v/>
      </c>
      <c r="M2674" s="31" t="str">
        <f t="shared" si="290"/>
        <v/>
      </c>
      <c r="N2674" s="31" t="str">
        <f t="shared" si="291"/>
        <v/>
      </c>
      <c r="O2674" s="31" t="str">
        <f>IF(OR(B2674="",C2674=""),"",K2674-N2674 + IFERROR(E2674 / SUMIFS('📅 Resumen Diario'!$D$5:$D$504, '📅 Resumen Diario'!$B$5:$B$504, B2674, '📅 Resumen Diario'!$C$5:$C$504, D2674) * (SUMIFS('📋 Detalle Diario'!$E$5:$E$489, '📋 Detalle Diario'!$B$5:$B$489, B2674, '📋 Detalle Diario'!$C$5:$C$489, D2674) * 135 + SUMIFS('📋 Detalle Diario'!$I$5:$I$489, '📋 Detalle Diario'!$B$5:$B$489, B2674, '📋 Detalle Diario'!$C$5:$C$489, D2674) * 200), 0))</f>
        <v/>
      </c>
      <c r="P2674" s="32" t="str">
        <f t="shared" si="292"/>
        <v/>
      </c>
      <c r="Q2674" s="33" t="str">
        <f t="shared" si="293"/>
        <v/>
      </c>
    </row>
    <row r="2675" spans="2:17" ht="18" customHeight="1" x14ac:dyDescent="0.3">
      <c r="B2675" s="26"/>
      <c r="C2675" s="28"/>
      <c r="D2675" s="27"/>
      <c r="E2675" s="29"/>
      <c r="F2675" s="29"/>
      <c r="G2675" s="29"/>
      <c r="H2675" s="30" t="str">
        <f t="shared" si="287"/>
        <v/>
      </c>
      <c r="I2675" s="31" t="str">
        <f>IF(OR(B2675="",C2675=""),"",IFERROR(E2675*IF(E2675="",0,VLOOKUP(C2675,'📦 Precios Proforma'!$B$5:$D$104,IF(D2675="DIA",2,3),FALSE)),0))</f>
        <v/>
      </c>
      <c r="J2675" s="31" t="str">
        <f t="shared" si="288"/>
        <v/>
      </c>
      <c r="K2675" s="31" t="str">
        <f t="shared" si="289"/>
        <v/>
      </c>
      <c r="L2675" s="31" t="str">
        <f>IF(OR(B2675="",C2675=""),"",IFERROR(E2675 / SUMIFS('📅 Resumen Diario'!$D$5:$D$504, '📅 Resumen Diario'!$B$5:$B$504, B2675, '📅 Resumen Diario'!$C$5:$C$504, D2675) * SUMIFS('📅 Resumen Diario'!$K$5:$K$504, '📅 Resumen Diario'!$B$5:$B$504, B2675, '📅 Resumen Diario'!$C$5:$C$504, D2675), 0))</f>
        <v/>
      </c>
      <c r="M2675" s="31" t="str">
        <f t="shared" si="290"/>
        <v/>
      </c>
      <c r="N2675" s="31" t="str">
        <f t="shared" si="291"/>
        <v/>
      </c>
      <c r="O2675" s="31" t="str">
        <f>IF(OR(B2675="",C2675=""),"",K2675-N2675 + IFERROR(E2675 / SUMIFS('📅 Resumen Diario'!$D$5:$D$504, '📅 Resumen Diario'!$B$5:$B$504, B2675, '📅 Resumen Diario'!$C$5:$C$504, D2675) * (SUMIFS('📋 Detalle Diario'!$E$5:$E$489, '📋 Detalle Diario'!$B$5:$B$489, B2675, '📋 Detalle Diario'!$C$5:$C$489, D2675) * 135 + SUMIFS('📋 Detalle Diario'!$I$5:$I$489, '📋 Detalle Diario'!$B$5:$B$489, B2675, '📋 Detalle Diario'!$C$5:$C$489, D2675) * 200), 0))</f>
        <v/>
      </c>
      <c r="P2675" s="32" t="str">
        <f t="shared" si="292"/>
        <v/>
      </c>
      <c r="Q2675" s="33" t="str">
        <f t="shared" si="293"/>
        <v/>
      </c>
    </row>
    <row r="2676" spans="2:17" ht="18" customHeight="1" x14ac:dyDescent="0.3">
      <c r="B2676" s="26"/>
      <c r="C2676" s="17"/>
      <c r="D2676" s="27"/>
      <c r="E2676" s="18"/>
      <c r="F2676" s="18"/>
      <c r="G2676" s="18"/>
      <c r="H2676" s="30" t="str">
        <f t="shared" si="287"/>
        <v/>
      </c>
      <c r="I2676" s="31" t="str">
        <f>IF(OR(B2676="",C2676=""),"",IFERROR(E2676*IF(E2676="",0,VLOOKUP(C2676,'📦 Precios Proforma'!$B$5:$D$104,IF(D2676="DIA",2,3),FALSE)),0))</f>
        <v/>
      </c>
      <c r="J2676" s="31" t="str">
        <f t="shared" si="288"/>
        <v/>
      </c>
      <c r="K2676" s="31" t="str">
        <f t="shared" si="289"/>
        <v/>
      </c>
      <c r="L2676" s="31" t="str">
        <f>IF(OR(B2676="",C2676=""),"",IFERROR(E2676 / SUMIFS('📅 Resumen Diario'!$D$5:$D$504, '📅 Resumen Diario'!$B$5:$B$504, B2676, '📅 Resumen Diario'!$C$5:$C$504, D2676) * SUMIFS('📅 Resumen Diario'!$K$5:$K$504, '📅 Resumen Diario'!$B$5:$B$504, B2676, '📅 Resumen Diario'!$C$5:$C$504, D2676), 0))</f>
        <v/>
      </c>
      <c r="M2676" s="31" t="str">
        <f t="shared" si="290"/>
        <v/>
      </c>
      <c r="N2676" s="31" t="str">
        <f t="shared" si="291"/>
        <v/>
      </c>
      <c r="O2676" s="31" t="str">
        <f>IF(OR(B2676="",C2676=""),"",K2676-N2676 + IFERROR(E2676 / SUMIFS('📅 Resumen Diario'!$D$5:$D$504, '📅 Resumen Diario'!$B$5:$B$504, B2676, '📅 Resumen Diario'!$C$5:$C$504, D2676) * (SUMIFS('📋 Detalle Diario'!$E$5:$E$489, '📋 Detalle Diario'!$B$5:$B$489, B2676, '📋 Detalle Diario'!$C$5:$C$489, D2676) * 135 + SUMIFS('📋 Detalle Diario'!$I$5:$I$489, '📋 Detalle Diario'!$B$5:$B$489, B2676, '📋 Detalle Diario'!$C$5:$C$489, D2676) * 200), 0))</f>
        <v/>
      </c>
      <c r="P2676" s="32" t="str">
        <f t="shared" si="292"/>
        <v/>
      </c>
      <c r="Q2676" s="33" t="str">
        <f t="shared" si="293"/>
        <v/>
      </c>
    </row>
    <row r="2677" spans="2:17" ht="18" customHeight="1" x14ac:dyDescent="0.3">
      <c r="B2677" s="26"/>
      <c r="C2677" s="28"/>
      <c r="D2677" s="27"/>
      <c r="E2677" s="29"/>
      <c r="F2677" s="29"/>
      <c r="G2677" s="29"/>
      <c r="H2677" s="30" t="str">
        <f t="shared" si="287"/>
        <v/>
      </c>
      <c r="I2677" s="31" t="str">
        <f>IF(OR(B2677="",C2677=""),"",IFERROR(E2677*IF(E2677="",0,VLOOKUP(C2677,'📦 Precios Proforma'!$B$5:$D$104,IF(D2677="DIA",2,3),FALSE)),0))</f>
        <v/>
      </c>
      <c r="J2677" s="31" t="str">
        <f t="shared" si="288"/>
        <v/>
      </c>
      <c r="K2677" s="31" t="str">
        <f t="shared" si="289"/>
        <v/>
      </c>
      <c r="L2677" s="31" t="str">
        <f>IF(OR(B2677="",C2677=""),"",IFERROR(E2677 / SUMIFS('📅 Resumen Diario'!$D$5:$D$504, '📅 Resumen Diario'!$B$5:$B$504, B2677, '📅 Resumen Diario'!$C$5:$C$504, D2677) * SUMIFS('📅 Resumen Diario'!$K$5:$K$504, '📅 Resumen Diario'!$B$5:$B$504, B2677, '📅 Resumen Diario'!$C$5:$C$504, D2677), 0))</f>
        <v/>
      </c>
      <c r="M2677" s="31" t="str">
        <f t="shared" si="290"/>
        <v/>
      </c>
      <c r="N2677" s="31" t="str">
        <f t="shared" si="291"/>
        <v/>
      </c>
      <c r="O2677" s="31" t="str">
        <f>IF(OR(B2677="",C2677=""),"",K2677-N2677 + IFERROR(E2677 / SUMIFS('📅 Resumen Diario'!$D$5:$D$504, '📅 Resumen Diario'!$B$5:$B$504, B2677, '📅 Resumen Diario'!$C$5:$C$504, D2677) * (SUMIFS('📋 Detalle Diario'!$E$5:$E$489, '📋 Detalle Diario'!$B$5:$B$489, B2677, '📋 Detalle Diario'!$C$5:$C$489, D2677) * 135 + SUMIFS('📋 Detalle Diario'!$I$5:$I$489, '📋 Detalle Diario'!$B$5:$B$489, B2677, '📋 Detalle Diario'!$C$5:$C$489, D2677) * 200), 0))</f>
        <v/>
      </c>
      <c r="P2677" s="32" t="str">
        <f t="shared" si="292"/>
        <v/>
      </c>
      <c r="Q2677" s="33" t="str">
        <f t="shared" si="293"/>
        <v/>
      </c>
    </row>
    <row r="2678" spans="2:17" ht="18" customHeight="1" x14ac:dyDescent="0.3">
      <c r="B2678" s="26"/>
      <c r="C2678" s="17"/>
      <c r="D2678" s="27"/>
      <c r="E2678" s="18"/>
      <c r="F2678" s="18"/>
      <c r="G2678" s="18"/>
      <c r="H2678" s="30" t="str">
        <f t="shared" si="287"/>
        <v/>
      </c>
      <c r="I2678" s="31" t="str">
        <f>IF(OR(B2678="",C2678=""),"",IFERROR(E2678*IF(E2678="",0,VLOOKUP(C2678,'📦 Precios Proforma'!$B$5:$D$104,IF(D2678="DIA",2,3),FALSE)),0))</f>
        <v/>
      </c>
      <c r="J2678" s="31" t="str">
        <f t="shared" si="288"/>
        <v/>
      </c>
      <c r="K2678" s="31" t="str">
        <f t="shared" si="289"/>
        <v/>
      </c>
      <c r="L2678" s="31" t="str">
        <f>IF(OR(B2678="",C2678=""),"",IFERROR(E2678 / SUMIFS('📅 Resumen Diario'!$D$5:$D$504, '📅 Resumen Diario'!$B$5:$B$504, B2678, '📅 Resumen Diario'!$C$5:$C$504, D2678) * SUMIFS('📅 Resumen Diario'!$K$5:$K$504, '📅 Resumen Diario'!$B$5:$B$504, B2678, '📅 Resumen Diario'!$C$5:$C$504, D2678), 0))</f>
        <v/>
      </c>
      <c r="M2678" s="31" t="str">
        <f t="shared" si="290"/>
        <v/>
      </c>
      <c r="N2678" s="31" t="str">
        <f t="shared" si="291"/>
        <v/>
      </c>
      <c r="O2678" s="31" t="str">
        <f>IF(OR(B2678="",C2678=""),"",K2678-N2678 + IFERROR(E2678 / SUMIFS('📅 Resumen Diario'!$D$5:$D$504, '📅 Resumen Diario'!$B$5:$B$504, B2678, '📅 Resumen Diario'!$C$5:$C$504, D2678) * (SUMIFS('📋 Detalle Diario'!$E$5:$E$489, '📋 Detalle Diario'!$B$5:$B$489, B2678, '📋 Detalle Diario'!$C$5:$C$489, D2678) * 135 + SUMIFS('📋 Detalle Diario'!$I$5:$I$489, '📋 Detalle Diario'!$B$5:$B$489, B2678, '📋 Detalle Diario'!$C$5:$C$489, D2678) * 200), 0))</f>
        <v/>
      </c>
      <c r="P2678" s="32" t="str">
        <f t="shared" si="292"/>
        <v/>
      </c>
      <c r="Q2678" s="33" t="str">
        <f t="shared" si="293"/>
        <v/>
      </c>
    </row>
    <row r="2679" spans="2:17" ht="18" customHeight="1" x14ac:dyDescent="0.3">
      <c r="B2679" s="26"/>
      <c r="C2679" s="28"/>
      <c r="D2679" s="27"/>
      <c r="E2679" s="29"/>
      <c r="F2679" s="29"/>
      <c r="G2679" s="29"/>
      <c r="H2679" s="30" t="str">
        <f t="shared" si="287"/>
        <v/>
      </c>
      <c r="I2679" s="31" t="str">
        <f>IF(OR(B2679="",C2679=""),"",IFERROR(E2679*IF(E2679="",0,VLOOKUP(C2679,'📦 Precios Proforma'!$B$5:$D$104,IF(D2679="DIA",2,3),FALSE)),0))</f>
        <v/>
      </c>
      <c r="J2679" s="31" t="str">
        <f t="shared" si="288"/>
        <v/>
      </c>
      <c r="K2679" s="31" t="str">
        <f t="shared" si="289"/>
        <v/>
      </c>
      <c r="L2679" s="31" t="str">
        <f>IF(OR(B2679="",C2679=""),"",IFERROR(E2679 / SUMIFS('📅 Resumen Diario'!$D$5:$D$504, '📅 Resumen Diario'!$B$5:$B$504, B2679, '📅 Resumen Diario'!$C$5:$C$504, D2679) * SUMIFS('📅 Resumen Diario'!$K$5:$K$504, '📅 Resumen Diario'!$B$5:$B$504, B2679, '📅 Resumen Diario'!$C$5:$C$504, D2679), 0))</f>
        <v/>
      </c>
      <c r="M2679" s="31" t="str">
        <f t="shared" si="290"/>
        <v/>
      </c>
      <c r="N2679" s="31" t="str">
        <f t="shared" si="291"/>
        <v/>
      </c>
      <c r="O2679" s="31" t="str">
        <f>IF(OR(B2679="",C2679=""),"",K2679-N2679 + IFERROR(E2679 / SUMIFS('📅 Resumen Diario'!$D$5:$D$504, '📅 Resumen Diario'!$B$5:$B$504, B2679, '📅 Resumen Diario'!$C$5:$C$504, D2679) * (SUMIFS('📋 Detalle Diario'!$E$5:$E$489, '📋 Detalle Diario'!$B$5:$B$489, B2679, '📋 Detalle Diario'!$C$5:$C$489, D2679) * 135 + SUMIFS('📋 Detalle Diario'!$I$5:$I$489, '📋 Detalle Diario'!$B$5:$B$489, B2679, '📋 Detalle Diario'!$C$5:$C$489, D2679) * 200), 0))</f>
        <v/>
      </c>
      <c r="P2679" s="32" t="str">
        <f t="shared" si="292"/>
        <v/>
      </c>
      <c r="Q2679" s="33" t="str">
        <f t="shared" si="293"/>
        <v/>
      </c>
    </row>
    <row r="2680" spans="2:17" ht="18" customHeight="1" x14ac:dyDescent="0.3">
      <c r="B2680" s="26"/>
      <c r="C2680" s="17"/>
      <c r="D2680" s="27"/>
      <c r="E2680" s="18"/>
      <c r="F2680" s="18"/>
      <c r="G2680" s="18"/>
      <c r="H2680" s="30" t="str">
        <f t="shared" si="287"/>
        <v/>
      </c>
      <c r="I2680" s="31" t="str">
        <f>IF(OR(B2680="",C2680=""),"",IFERROR(E2680*IF(E2680="",0,VLOOKUP(C2680,'📦 Precios Proforma'!$B$5:$D$104,IF(D2680="DIA",2,3),FALSE)),0))</f>
        <v/>
      </c>
      <c r="J2680" s="31" t="str">
        <f t="shared" si="288"/>
        <v/>
      </c>
      <c r="K2680" s="31" t="str">
        <f t="shared" si="289"/>
        <v/>
      </c>
      <c r="L2680" s="31" t="str">
        <f>IF(OR(B2680="",C2680=""),"",IFERROR(E2680 / SUMIFS('📅 Resumen Diario'!$D$5:$D$504, '📅 Resumen Diario'!$B$5:$B$504, B2680, '📅 Resumen Diario'!$C$5:$C$504, D2680) * SUMIFS('📅 Resumen Diario'!$K$5:$K$504, '📅 Resumen Diario'!$B$5:$B$504, B2680, '📅 Resumen Diario'!$C$5:$C$504, D2680), 0))</f>
        <v/>
      </c>
      <c r="M2680" s="31" t="str">
        <f t="shared" si="290"/>
        <v/>
      </c>
      <c r="N2680" s="31" t="str">
        <f t="shared" si="291"/>
        <v/>
      </c>
      <c r="O2680" s="31" t="str">
        <f>IF(OR(B2680="",C2680=""),"",K2680-N2680 + IFERROR(E2680 / SUMIFS('📅 Resumen Diario'!$D$5:$D$504, '📅 Resumen Diario'!$B$5:$B$504, B2680, '📅 Resumen Diario'!$C$5:$C$504, D2680) * (SUMIFS('📋 Detalle Diario'!$E$5:$E$489, '📋 Detalle Diario'!$B$5:$B$489, B2680, '📋 Detalle Diario'!$C$5:$C$489, D2680) * 135 + SUMIFS('📋 Detalle Diario'!$I$5:$I$489, '📋 Detalle Diario'!$B$5:$B$489, B2680, '📋 Detalle Diario'!$C$5:$C$489, D2680) * 200), 0))</f>
        <v/>
      </c>
      <c r="P2680" s="32" t="str">
        <f t="shared" si="292"/>
        <v/>
      </c>
      <c r="Q2680" s="33" t="str">
        <f t="shared" si="293"/>
        <v/>
      </c>
    </row>
    <row r="2681" spans="2:17" ht="18" customHeight="1" x14ac:dyDescent="0.3">
      <c r="B2681" s="26"/>
      <c r="C2681" s="28"/>
      <c r="D2681" s="27"/>
      <c r="E2681" s="29"/>
      <c r="F2681" s="29"/>
      <c r="G2681" s="29"/>
      <c r="H2681" s="30" t="str">
        <f t="shared" si="287"/>
        <v/>
      </c>
      <c r="I2681" s="31" t="str">
        <f>IF(OR(B2681="",C2681=""),"",IFERROR(E2681*IF(E2681="",0,VLOOKUP(C2681,'📦 Precios Proforma'!$B$5:$D$104,IF(D2681="DIA",2,3),FALSE)),0))</f>
        <v/>
      </c>
      <c r="J2681" s="31" t="str">
        <f t="shared" si="288"/>
        <v/>
      </c>
      <c r="K2681" s="31" t="str">
        <f t="shared" si="289"/>
        <v/>
      </c>
      <c r="L2681" s="31" t="str">
        <f>IF(OR(B2681="",C2681=""),"",IFERROR(E2681 / SUMIFS('📅 Resumen Diario'!$D$5:$D$504, '📅 Resumen Diario'!$B$5:$B$504, B2681, '📅 Resumen Diario'!$C$5:$C$504, D2681) * SUMIFS('📅 Resumen Diario'!$K$5:$K$504, '📅 Resumen Diario'!$B$5:$B$504, B2681, '📅 Resumen Diario'!$C$5:$C$504, D2681), 0))</f>
        <v/>
      </c>
      <c r="M2681" s="31" t="str">
        <f t="shared" si="290"/>
        <v/>
      </c>
      <c r="N2681" s="31" t="str">
        <f t="shared" si="291"/>
        <v/>
      </c>
      <c r="O2681" s="31" t="str">
        <f>IF(OR(B2681="",C2681=""),"",K2681-N2681 + IFERROR(E2681 / SUMIFS('📅 Resumen Diario'!$D$5:$D$504, '📅 Resumen Diario'!$B$5:$B$504, B2681, '📅 Resumen Diario'!$C$5:$C$504, D2681) * (SUMIFS('📋 Detalle Diario'!$E$5:$E$489, '📋 Detalle Diario'!$B$5:$B$489, B2681, '📋 Detalle Diario'!$C$5:$C$489, D2681) * 135 + SUMIFS('📋 Detalle Diario'!$I$5:$I$489, '📋 Detalle Diario'!$B$5:$B$489, B2681, '📋 Detalle Diario'!$C$5:$C$489, D2681) * 200), 0))</f>
        <v/>
      </c>
      <c r="P2681" s="32" t="str">
        <f t="shared" si="292"/>
        <v/>
      </c>
      <c r="Q2681" s="33" t="str">
        <f t="shared" si="293"/>
        <v/>
      </c>
    </row>
    <row r="2682" spans="2:17" ht="18" customHeight="1" x14ac:dyDescent="0.3">
      <c r="B2682" s="26"/>
      <c r="C2682" s="17"/>
      <c r="D2682" s="27"/>
      <c r="E2682" s="18"/>
      <c r="F2682" s="18"/>
      <c r="G2682" s="18"/>
      <c r="H2682" s="30" t="str">
        <f t="shared" si="287"/>
        <v/>
      </c>
      <c r="I2682" s="31" t="str">
        <f>IF(OR(B2682="",C2682=""),"",IFERROR(E2682*IF(E2682="",0,VLOOKUP(C2682,'📦 Precios Proforma'!$B$5:$D$104,IF(D2682="DIA",2,3),FALSE)),0))</f>
        <v/>
      </c>
      <c r="J2682" s="31" t="str">
        <f t="shared" si="288"/>
        <v/>
      </c>
      <c r="K2682" s="31" t="str">
        <f t="shared" si="289"/>
        <v/>
      </c>
      <c r="L2682" s="31" t="str">
        <f>IF(OR(B2682="",C2682=""),"",IFERROR(E2682 / SUMIFS('📅 Resumen Diario'!$D$5:$D$504, '📅 Resumen Diario'!$B$5:$B$504, B2682, '📅 Resumen Diario'!$C$5:$C$504, D2682) * SUMIFS('📅 Resumen Diario'!$K$5:$K$504, '📅 Resumen Diario'!$B$5:$B$504, B2682, '📅 Resumen Diario'!$C$5:$C$504, D2682), 0))</f>
        <v/>
      </c>
      <c r="M2682" s="31" t="str">
        <f t="shared" si="290"/>
        <v/>
      </c>
      <c r="N2682" s="31" t="str">
        <f t="shared" si="291"/>
        <v/>
      </c>
      <c r="O2682" s="31" t="str">
        <f>IF(OR(B2682="",C2682=""),"",K2682-N2682 + IFERROR(E2682 / SUMIFS('📅 Resumen Diario'!$D$5:$D$504, '📅 Resumen Diario'!$B$5:$B$504, B2682, '📅 Resumen Diario'!$C$5:$C$504, D2682) * (SUMIFS('📋 Detalle Diario'!$E$5:$E$489, '📋 Detalle Diario'!$B$5:$B$489, B2682, '📋 Detalle Diario'!$C$5:$C$489, D2682) * 135 + SUMIFS('📋 Detalle Diario'!$I$5:$I$489, '📋 Detalle Diario'!$B$5:$B$489, B2682, '📋 Detalle Diario'!$C$5:$C$489, D2682) * 200), 0))</f>
        <v/>
      </c>
      <c r="P2682" s="32" t="str">
        <f t="shared" si="292"/>
        <v/>
      </c>
      <c r="Q2682" s="33" t="str">
        <f t="shared" si="293"/>
        <v/>
      </c>
    </row>
    <row r="2683" spans="2:17" ht="18" customHeight="1" x14ac:dyDescent="0.3">
      <c r="B2683" s="26"/>
      <c r="C2683" s="28"/>
      <c r="D2683" s="27"/>
      <c r="E2683" s="29"/>
      <c r="F2683" s="29"/>
      <c r="G2683" s="29"/>
      <c r="H2683" s="30" t="str">
        <f t="shared" si="287"/>
        <v/>
      </c>
      <c r="I2683" s="31" t="str">
        <f>IF(OR(B2683="",C2683=""),"",IFERROR(E2683*IF(E2683="",0,VLOOKUP(C2683,'📦 Precios Proforma'!$B$5:$D$104,IF(D2683="DIA",2,3),FALSE)),0))</f>
        <v/>
      </c>
      <c r="J2683" s="31" t="str">
        <f t="shared" si="288"/>
        <v/>
      </c>
      <c r="K2683" s="31" t="str">
        <f t="shared" si="289"/>
        <v/>
      </c>
      <c r="L2683" s="31" t="str">
        <f>IF(OR(B2683="",C2683=""),"",IFERROR(E2683 / SUMIFS('📅 Resumen Diario'!$D$5:$D$504, '📅 Resumen Diario'!$B$5:$B$504, B2683, '📅 Resumen Diario'!$C$5:$C$504, D2683) * SUMIFS('📅 Resumen Diario'!$K$5:$K$504, '📅 Resumen Diario'!$B$5:$B$504, B2683, '📅 Resumen Diario'!$C$5:$C$504, D2683), 0))</f>
        <v/>
      </c>
      <c r="M2683" s="31" t="str">
        <f t="shared" si="290"/>
        <v/>
      </c>
      <c r="N2683" s="31" t="str">
        <f t="shared" si="291"/>
        <v/>
      </c>
      <c r="O2683" s="31" t="str">
        <f>IF(OR(B2683="",C2683=""),"",K2683-N2683 + IFERROR(E2683 / SUMIFS('📅 Resumen Diario'!$D$5:$D$504, '📅 Resumen Diario'!$B$5:$B$504, B2683, '📅 Resumen Diario'!$C$5:$C$504, D2683) * (SUMIFS('📋 Detalle Diario'!$E$5:$E$489, '📋 Detalle Diario'!$B$5:$B$489, B2683, '📋 Detalle Diario'!$C$5:$C$489, D2683) * 135 + SUMIFS('📋 Detalle Diario'!$I$5:$I$489, '📋 Detalle Diario'!$B$5:$B$489, B2683, '📋 Detalle Diario'!$C$5:$C$489, D2683) * 200), 0))</f>
        <v/>
      </c>
      <c r="P2683" s="32" t="str">
        <f t="shared" si="292"/>
        <v/>
      </c>
      <c r="Q2683" s="33" t="str">
        <f t="shared" si="293"/>
        <v/>
      </c>
    </row>
    <row r="2684" spans="2:17" ht="18" customHeight="1" x14ac:dyDescent="0.3">
      <c r="B2684" s="26"/>
      <c r="C2684" s="17"/>
      <c r="D2684" s="27"/>
      <c r="E2684" s="18"/>
      <c r="F2684" s="18"/>
      <c r="G2684" s="18"/>
      <c r="H2684" s="30" t="str">
        <f t="shared" si="287"/>
        <v/>
      </c>
      <c r="I2684" s="31" t="str">
        <f>IF(OR(B2684="",C2684=""),"",IFERROR(E2684*IF(E2684="",0,VLOOKUP(C2684,'📦 Precios Proforma'!$B$5:$D$104,IF(D2684="DIA",2,3),FALSE)),0))</f>
        <v/>
      </c>
      <c r="J2684" s="31" t="str">
        <f t="shared" si="288"/>
        <v/>
      </c>
      <c r="K2684" s="31" t="str">
        <f t="shared" si="289"/>
        <v/>
      </c>
      <c r="L2684" s="31" t="str">
        <f>IF(OR(B2684="",C2684=""),"",IFERROR(E2684 / SUMIFS('📅 Resumen Diario'!$D$5:$D$504, '📅 Resumen Diario'!$B$5:$B$504, B2684, '📅 Resumen Diario'!$C$5:$C$504, D2684) * SUMIFS('📅 Resumen Diario'!$K$5:$K$504, '📅 Resumen Diario'!$B$5:$B$504, B2684, '📅 Resumen Diario'!$C$5:$C$504, D2684), 0))</f>
        <v/>
      </c>
      <c r="M2684" s="31" t="str">
        <f t="shared" si="290"/>
        <v/>
      </c>
      <c r="N2684" s="31" t="str">
        <f t="shared" si="291"/>
        <v/>
      </c>
      <c r="O2684" s="31" t="str">
        <f>IF(OR(B2684="",C2684=""),"",K2684-N2684 + IFERROR(E2684 / SUMIFS('📅 Resumen Diario'!$D$5:$D$504, '📅 Resumen Diario'!$B$5:$B$504, B2684, '📅 Resumen Diario'!$C$5:$C$504, D2684) * (SUMIFS('📋 Detalle Diario'!$E$5:$E$489, '📋 Detalle Diario'!$B$5:$B$489, B2684, '📋 Detalle Diario'!$C$5:$C$489, D2684) * 135 + SUMIFS('📋 Detalle Diario'!$I$5:$I$489, '📋 Detalle Diario'!$B$5:$B$489, B2684, '📋 Detalle Diario'!$C$5:$C$489, D2684) * 200), 0))</f>
        <v/>
      </c>
      <c r="P2684" s="32" t="str">
        <f t="shared" si="292"/>
        <v/>
      </c>
      <c r="Q2684" s="33" t="str">
        <f t="shared" si="293"/>
        <v/>
      </c>
    </row>
    <row r="2685" spans="2:17" ht="18" customHeight="1" x14ac:dyDescent="0.3">
      <c r="B2685" s="26"/>
      <c r="C2685" s="28"/>
      <c r="D2685" s="27"/>
      <c r="E2685" s="29"/>
      <c r="F2685" s="29"/>
      <c r="G2685" s="29"/>
      <c r="H2685" s="30" t="str">
        <f t="shared" si="287"/>
        <v/>
      </c>
      <c r="I2685" s="31" t="str">
        <f>IF(OR(B2685="",C2685=""),"",IFERROR(E2685*IF(E2685="",0,VLOOKUP(C2685,'📦 Precios Proforma'!$B$5:$D$104,IF(D2685="DIA",2,3),FALSE)),0))</f>
        <v/>
      </c>
      <c r="J2685" s="31" t="str">
        <f t="shared" si="288"/>
        <v/>
      </c>
      <c r="K2685" s="31" t="str">
        <f t="shared" si="289"/>
        <v/>
      </c>
      <c r="L2685" s="31" t="str">
        <f>IF(OR(B2685="",C2685=""),"",IFERROR(E2685 / SUMIFS('📅 Resumen Diario'!$D$5:$D$504, '📅 Resumen Diario'!$B$5:$B$504, B2685, '📅 Resumen Diario'!$C$5:$C$504, D2685) * SUMIFS('📅 Resumen Diario'!$K$5:$K$504, '📅 Resumen Diario'!$B$5:$B$504, B2685, '📅 Resumen Diario'!$C$5:$C$504, D2685), 0))</f>
        <v/>
      </c>
      <c r="M2685" s="31" t="str">
        <f t="shared" si="290"/>
        <v/>
      </c>
      <c r="N2685" s="31" t="str">
        <f t="shared" si="291"/>
        <v/>
      </c>
      <c r="O2685" s="31" t="str">
        <f>IF(OR(B2685="",C2685=""),"",K2685-N2685 + IFERROR(E2685 / SUMIFS('📅 Resumen Diario'!$D$5:$D$504, '📅 Resumen Diario'!$B$5:$B$504, B2685, '📅 Resumen Diario'!$C$5:$C$504, D2685) * (SUMIFS('📋 Detalle Diario'!$E$5:$E$489, '📋 Detalle Diario'!$B$5:$B$489, B2685, '📋 Detalle Diario'!$C$5:$C$489, D2685) * 135 + SUMIFS('📋 Detalle Diario'!$I$5:$I$489, '📋 Detalle Diario'!$B$5:$B$489, B2685, '📋 Detalle Diario'!$C$5:$C$489, D2685) * 200), 0))</f>
        <v/>
      </c>
      <c r="P2685" s="32" t="str">
        <f t="shared" si="292"/>
        <v/>
      </c>
      <c r="Q2685" s="33" t="str">
        <f t="shared" si="293"/>
        <v/>
      </c>
    </row>
    <row r="2686" spans="2:17" ht="18" customHeight="1" x14ac:dyDescent="0.3">
      <c r="B2686" s="26"/>
      <c r="C2686" s="17"/>
      <c r="D2686" s="27"/>
      <c r="E2686" s="18"/>
      <c r="F2686" s="18"/>
      <c r="G2686" s="18"/>
      <c r="H2686" s="30" t="str">
        <f t="shared" si="287"/>
        <v/>
      </c>
      <c r="I2686" s="31" t="str">
        <f>IF(OR(B2686="",C2686=""),"",IFERROR(E2686*IF(E2686="",0,VLOOKUP(C2686,'📦 Precios Proforma'!$B$5:$D$104,IF(D2686="DIA",2,3),FALSE)),0))</f>
        <v/>
      </c>
      <c r="J2686" s="31" t="str">
        <f t="shared" si="288"/>
        <v/>
      </c>
      <c r="K2686" s="31" t="str">
        <f t="shared" si="289"/>
        <v/>
      </c>
      <c r="L2686" s="31" t="str">
        <f>IF(OR(B2686="",C2686=""),"",IFERROR(E2686 / SUMIFS('📅 Resumen Diario'!$D$5:$D$504, '📅 Resumen Diario'!$B$5:$B$504, B2686, '📅 Resumen Diario'!$C$5:$C$504, D2686) * SUMIFS('📅 Resumen Diario'!$K$5:$K$504, '📅 Resumen Diario'!$B$5:$B$504, B2686, '📅 Resumen Diario'!$C$5:$C$504, D2686), 0))</f>
        <v/>
      </c>
      <c r="M2686" s="31" t="str">
        <f t="shared" si="290"/>
        <v/>
      </c>
      <c r="N2686" s="31" t="str">
        <f t="shared" si="291"/>
        <v/>
      </c>
      <c r="O2686" s="31" t="str">
        <f>IF(OR(B2686="",C2686=""),"",K2686-N2686 + IFERROR(E2686 / SUMIFS('📅 Resumen Diario'!$D$5:$D$504, '📅 Resumen Diario'!$B$5:$B$504, B2686, '📅 Resumen Diario'!$C$5:$C$504, D2686) * (SUMIFS('📋 Detalle Diario'!$E$5:$E$489, '📋 Detalle Diario'!$B$5:$B$489, B2686, '📋 Detalle Diario'!$C$5:$C$489, D2686) * 135 + SUMIFS('📋 Detalle Diario'!$I$5:$I$489, '📋 Detalle Diario'!$B$5:$B$489, B2686, '📋 Detalle Diario'!$C$5:$C$489, D2686) * 200), 0))</f>
        <v/>
      </c>
      <c r="P2686" s="32" t="str">
        <f t="shared" si="292"/>
        <v/>
      </c>
      <c r="Q2686" s="33" t="str">
        <f t="shared" si="293"/>
        <v/>
      </c>
    </row>
    <row r="2687" spans="2:17" ht="18" customHeight="1" x14ac:dyDescent="0.3">
      <c r="B2687" s="26"/>
      <c r="C2687" s="28"/>
      <c r="D2687" s="27"/>
      <c r="E2687" s="29"/>
      <c r="F2687" s="29"/>
      <c r="G2687" s="29"/>
      <c r="H2687" s="30" t="str">
        <f t="shared" si="287"/>
        <v/>
      </c>
      <c r="I2687" s="31" t="str">
        <f>IF(OR(B2687="",C2687=""),"",IFERROR(E2687*IF(E2687="",0,VLOOKUP(C2687,'📦 Precios Proforma'!$B$5:$D$104,IF(D2687="DIA",2,3),FALSE)),0))</f>
        <v/>
      </c>
      <c r="J2687" s="31" t="str">
        <f t="shared" si="288"/>
        <v/>
      </c>
      <c r="K2687" s="31" t="str">
        <f t="shared" si="289"/>
        <v/>
      </c>
      <c r="L2687" s="31" t="str">
        <f>IF(OR(B2687="",C2687=""),"",IFERROR(E2687 / SUMIFS('📅 Resumen Diario'!$D$5:$D$504, '📅 Resumen Diario'!$B$5:$B$504, B2687, '📅 Resumen Diario'!$C$5:$C$504, D2687) * SUMIFS('📅 Resumen Diario'!$K$5:$K$504, '📅 Resumen Diario'!$B$5:$B$504, B2687, '📅 Resumen Diario'!$C$5:$C$504, D2687), 0))</f>
        <v/>
      </c>
      <c r="M2687" s="31" t="str">
        <f t="shared" si="290"/>
        <v/>
      </c>
      <c r="N2687" s="31" t="str">
        <f t="shared" si="291"/>
        <v/>
      </c>
      <c r="O2687" s="31" t="str">
        <f>IF(OR(B2687="",C2687=""),"",K2687-N2687 + IFERROR(E2687 / SUMIFS('📅 Resumen Diario'!$D$5:$D$504, '📅 Resumen Diario'!$B$5:$B$504, B2687, '📅 Resumen Diario'!$C$5:$C$504, D2687) * (SUMIFS('📋 Detalle Diario'!$E$5:$E$489, '📋 Detalle Diario'!$B$5:$B$489, B2687, '📋 Detalle Diario'!$C$5:$C$489, D2687) * 135 + SUMIFS('📋 Detalle Diario'!$I$5:$I$489, '📋 Detalle Diario'!$B$5:$B$489, B2687, '📋 Detalle Diario'!$C$5:$C$489, D2687) * 200), 0))</f>
        <v/>
      </c>
      <c r="P2687" s="32" t="str">
        <f t="shared" si="292"/>
        <v/>
      </c>
      <c r="Q2687" s="33" t="str">
        <f t="shared" si="293"/>
        <v/>
      </c>
    </row>
    <row r="2688" spans="2:17" ht="18" customHeight="1" x14ac:dyDescent="0.3">
      <c r="B2688" s="26"/>
      <c r="C2688" s="17"/>
      <c r="D2688" s="27"/>
      <c r="E2688" s="18"/>
      <c r="F2688" s="18"/>
      <c r="G2688" s="18"/>
      <c r="H2688" s="30" t="str">
        <f t="shared" si="287"/>
        <v/>
      </c>
      <c r="I2688" s="31" t="str">
        <f>IF(OR(B2688="",C2688=""),"",IFERROR(E2688*IF(E2688="",0,VLOOKUP(C2688,'📦 Precios Proforma'!$B$5:$D$104,IF(D2688="DIA",2,3),FALSE)),0))</f>
        <v/>
      </c>
      <c r="J2688" s="31" t="str">
        <f t="shared" si="288"/>
        <v/>
      </c>
      <c r="K2688" s="31" t="str">
        <f t="shared" si="289"/>
        <v/>
      </c>
      <c r="L2688" s="31" t="str">
        <f>IF(OR(B2688="",C2688=""),"",IFERROR(E2688 / SUMIFS('📅 Resumen Diario'!$D$5:$D$504, '📅 Resumen Diario'!$B$5:$B$504, B2688, '📅 Resumen Diario'!$C$5:$C$504, D2688) * SUMIFS('📅 Resumen Diario'!$K$5:$K$504, '📅 Resumen Diario'!$B$5:$B$504, B2688, '📅 Resumen Diario'!$C$5:$C$504, D2688), 0))</f>
        <v/>
      </c>
      <c r="M2688" s="31" t="str">
        <f t="shared" si="290"/>
        <v/>
      </c>
      <c r="N2688" s="31" t="str">
        <f t="shared" si="291"/>
        <v/>
      </c>
      <c r="O2688" s="31" t="str">
        <f>IF(OR(B2688="",C2688=""),"",K2688-N2688 + IFERROR(E2688 / SUMIFS('📅 Resumen Diario'!$D$5:$D$504, '📅 Resumen Diario'!$B$5:$B$504, B2688, '📅 Resumen Diario'!$C$5:$C$504, D2688) * (SUMIFS('📋 Detalle Diario'!$E$5:$E$489, '📋 Detalle Diario'!$B$5:$B$489, B2688, '📋 Detalle Diario'!$C$5:$C$489, D2688) * 135 + SUMIFS('📋 Detalle Diario'!$I$5:$I$489, '📋 Detalle Diario'!$B$5:$B$489, B2688, '📋 Detalle Diario'!$C$5:$C$489, D2688) * 200), 0))</f>
        <v/>
      </c>
      <c r="P2688" s="32" t="str">
        <f t="shared" si="292"/>
        <v/>
      </c>
      <c r="Q2688" s="33" t="str">
        <f t="shared" si="293"/>
        <v/>
      </c>
    </row>
    <row r="2689" spans="2:17" ht="18" customHeight="1" x14ac:dyDescent="0.3">
      <c r="B2689" s="26"/>
      <c r="C2689" s="28"/>
      <c r="D2689" s="27"/>
      <c r="E2689" s="29"/>
      <c r="F2689" s="29"/>
      <c r="G2689" s="29"/>
      <c r="H2689" s="30" t="str">
        <f t="shared" si="287"/>
        <v/>
      </c>
      <c r="I2689" s="31" t="str">
        <f>IF(OR(B2689="",C2689=""),"",IFERROR(E2689*IF(E2689="",0,VLOOKUP(C2689,'📦 Precios Proforma'!$B$5:$D$104,IF(D2689="DIA",2,3),FALSE)),0))</f>
        <v/>
      </c>
      <c r="J2689" s="31" t="str">
        <f t="shared" si="288"/>
        <v/>
      </c>
      <c r="K2689" s="31" t="str">
        <f t="shared" si="289"/>
        <v/>
      </c>
      <c r="L2689" s="31" t="str">
        <f>IF(OR(B2689="",C2689=""),"",IFERROR(E2689 / SUMIFS('📅 Resumen Diario'!$D$5:$D$504, '📅 Resumen Diario'!$B$5:$B$504, B2689, '📅 Resumen Diario'!$C$5:$C$504, D2689) * SUMIFS('📅 Resumen Diario'!$K$5:$K$504, '📅 Resumen Diario'!$B$5:$B$504, B2689, '📅 Resumen Diario'!$C$5:$C$504, D2689), 0))</f>
        <v/>
      </c>
      <c r="M2689" s="31" t="str">
        <f t="shared" si="290"/>
        <v/>
      </c>
      <c r="N2689" s="31" t="str">
        <f t="shared" si="291"/>
        <v/>
      </c>
      <c r="O2689" s="31" t="str">
        <f>IF(OR(B2689="",C2689=""),"",K2689-N2689 + IFERROR(E2689 / SUMIFS('📅 Resumen Diario'!$D$5:$D$504, '📅 Resumen Diario'!$B$5:$B$504, B2689, '📅 Resumen Diario'!$C$5:$C$504, D2689) * (SUMIFS('📋 Detalle Diario'!$E$5:$E$489, '📋 Detalle Diario'!$B$5:$B$489, B2689, '📋 Detalle Diario'!$C$5:$C$489, D2689) * 135 + SUMIFS('📋 Detalle Diario'!$I$5:$I$489, '📋 Detalle Diario'!$B$5:$B$489, B2689, '📋 Detalle Diario'!$C$5:$C$489, D2689) * 200), 0))</f>
        <v/>
      </c>
      <c r="P2689" s="32" t="str">
        <f t="shared" si="292"/>
        <v/>
      </c>
      <c r="Q2689" s="33" t="str">
        <f t="shared" si="293"/>
        <v/>
      </c>
    </row>
    <row r="2690" spans="2:17" ht="18" customHeight="1" x14ac:dyDescent="0.3">
      <c r="B2690" s="26"/>
      <c r="C2690" s="17"/>
      <c r="D2690" s="27"/>
      <c r="E2690" s="18"/>
      <c r="F2690" s="18"/>
      <c r="G2690" s="18"/>
      <c r="H2690" s="30" t="str">
        <f t="shared" si="287"/>
        <v/>
      </c>
      <c r="I2690" s="31" t="str">
        <f>IF(OR(B2690="",C2690=""),"",IFERROR(E2690*IF(E2690="",0,VLOOKUP(C2690,'📦 Precios Proforma'!$B$5:$D$104,IF(D2690="DIA",2,3),FALSE)),0))</f>
        <v/>
      </c>
      <c r="J2690" s="31" t="str">
        <f t="shared" si="288"/>
        <v/>
      </c>
      <c r="K2690" s="31" t="str">
        <f t="shared" si="289"/>
        <v/>
      </c>
      <c r="L2690" s="31" t="str">
        <f>IF(OR(B2690="",C2690=""),"",IFERROR(E2690 / SUMIFS('📅 Resumen Diario'!$D$5:$D$504, '📅 Resumen Diario'!$B$5:$B$504, B2690, '📅 Resumen Diario'!$C$5:$C$504, D2690) * SUMIFS('📅 Resumen Diario'!$K$5:$K$504, '📅 Resumen Diario'!$B$5:$B$504, B2690, '📅 Resumen Diario'!$C$5:$C$504, D2690), 0))</f>
        <v/>
      </c>
      <c r="M2690" s="31" t="str">
        <f t="shared" si="290"/>
        <v/>
      </c>
      <c r="N2690" s="31" t="str">
        <f t="shared" si="291"/>
        <v/>
      </c>
      <c r="O2690" s="31" t="str">
        <f>IF(OR(B2690="",C2690=""),"",K2690-N2690 + IFERROR(E2690 / SUMIFS('📅 Resumen Diario'!$D$5:$D$504, '📅 Resumen Diario'!$B$5:$B$504, B2690, '📅 Resumen Diario'!$C$5:$C$504, D2690) * (SUMIFS('📋 Detalle Diario'!$E$5:$E$489, '📋 Detalle Diario'!$B$5:$B$489, B2690, '📋 Detalle Diario'!$C$5:$C$489, D2690) * 135 + SUMIFS('📋 Detalle Diario'!$I$5:$I$489, '📋 Detalle Diario'!$B$5:$B$489, B2690, '📋 Detalle Diario'!$C$5:$C$489, D2690) * 200), 0))</f>
        <v/>
      </c>
      <c r="P2690" s="32" t="str">
        <f t="shared" si="292"/>
        <v/>
      </c>
      <c r="Q2690" s="33" t="str">
        <f t="shared" si="293"/>
        <v/>
      </c>
    </row>
    <row r="2691" spans="2:17" ht="18" customHeight="1" x14ac:dyDescent="0.3">
      <c r="B2691" s="26"/>
      <c r="C2691" s="28"/>
      <c r="D2691" s="27"/>
      <c r="E2691" s="29"/>
      <c r="F2691" s="29"/>
      <c r="G2691" s="29"/>
      <c r="H2691" s="30" t="str">
        <f t="shared" si="287"/>
        <v/>
      </c>
      <c r="I2691" s="31" t="str">
        <f>IF(OR(B2691="",C2691=""),"",IFERROR(E2691*IF(E2691="",0,VLOOKUP(C2691,'📦 Precios Proforma'!$B$5:$D$104,IF(D2691="DIA",2,3),FALSE)),0))</f>
        <v/>
      </c>
      <c r="J2691" s="31" t="str">
        <f t="shared" si="288"/>
        <v/>
      </c>
      <c r="K2691" s="31" t="str">
        <f t="shared" si="289"/>
        <v/>
      </c>
      <c r="L2691" s="31" t="str">
        <f>IF(OR(B2691="",C2691=""),"",IFERROR(E2691 / SUMIFS('📅 Resumen Diario'!$D$5:$D$504, '📅 Resumen Diario'!$B$5:$B$504, B2691, '📅 Resumen Diario'!$C$5:$C$504, D2691) * SUMIFS('📅 Resumen Diario'!$K$5:$K$504, '📅 Resumen Diario'!$B$5:$B$504, B2691, '📅 Resumen Diario'!$C$5:$C$504, D2691), 0))</f>
        <v/>
      </c>
      <c r="M2691" s="31" t="str">
        <f t="shared" si="290"/>
        <v/>
      </c>
      <c r="N2691" s="31" t="str">
        <f t="shared" si="291"/>
        <v/>
      </c>
      <c r="O2691" s="31" t="str">
        <f>IF(OR(B2691="",C2691=""),"",K2691-N2691 + IFERROR(E2691 / SUMIFS('📅 Resumen Diario'!$D$5:$D$504, '📅 Resumen Diario'!$B$5:$B$504, B2691, '📅 Resumen Diario'!$C$5:$C$504, D2691) * (SUMIFS('📋 Detalle Diario'!$E$5:$E$489, '📋 Detalle Diario'!$B$5:$B$489, B2691, '📋 Detalle Diario'!$C$5:$C$489, D2691) * 135 + SUMIFS('📋 Detalle Diario'!$I$5:$I$489, '📋 Detalle Diario'!$B$5:$B$489, B2691, '📋 Detalle Diario'!$C$5:$C$489, D2691) * 200), 0))</f>
        <v/>
      </c>
      <c r="P2691" s="32" t="str">
        <f t="shared" si="292"/>
        <v/>
      </c>
      <c r="Q2691" s="33" t="str">
        <f t="shared" si="293"/>
        <v/>
      </c>
    </row>
    <row r="2692" spans="2:17" ht="18" customHeight="1" x14ac:dyDescent="0.3">
      <c r="B2692" s="26"/>
      <c r="C2692" s="17"/>
      <c r="D2692" s="27"/>
      <c r="E2692" s="18"/>
      <c r="F2692" s="18"/>
      <c r="G2692" s="18"/>
      <c r="H2692" s="30" t="str">
        <f t="shared" si="287"/>
        <v/>
      </c>
      <c r="I2692" s="31" t="str">
        <f>IF(OR(B2692="",C2692=""),"",IFERROR(E2692*IF(E2692="",0,VLOOKUP(C2692,'📦 Precios Proforma'!$B$5:$D$104,IF(D2692="DIA",2,3),FALSE)),0))</f>
        <v/>
      </c>
      <c r="J2692" s="31" t="str">
        <f t="shared" si="288"/>
        <v/>
      </c>
      <c r="K2692" s="31" t="str">
        <f t="shared" si="289"/>
        <v/>
      </c>
      <c r="L2692" s="31" t="str">
        <f>IF(OR(B2692="",C2692=""),"",IFERROR(E2692 / SUMIFS('📅 Resumen Diario'!$D$5:$D$504, '📅 Resumen Diario'!$B$5:$B$504, B2692, '📅 Resumen Diario'!$C$5:$C$504, D2692) * SUMIFS('📅 Resumen Diario'!$K$5:$K$504, '📅 Resumen Diario'!$B$5:$B$504, B2692, '📅 Resumen Diario'!$C$5:$C$504, D2692), 0))</f>
        <v/>
      </c>
      <c r="M2692" s="31" t="str">
        <f t="shared" si="290"/>
        <v/>
      </c>
      <c r="N2692" s="31" t="str">
        <f t="shared" si="291"/>
        <v/>
      </c>
      <c r="O2692" s="31" t="str">
        <f>IF(OR(B2692="",C2692=""),"",K2692-N2692 + IFERROR(E2692 / SUMIFS('📅 Resumen Diario'!$D$5:$D$504, '📅 Resumen Diario'!$B$5:$B$504, B2692, '📅 Resumen Diario'!$C$5:$C$504, D2692) * (SUMIFS('📋 Detalle Diario'!$E$5:$E$489, '📋 Detalle Diario'!$B$5:$B$489, B2692, '📋 Detalle Diario'!$C$5:$C$489, D2692) * 135 + SUMIFS('📋 Detalle Diario'!$I$5:$I$489, '📋 Detalle Diario'!$B$5:$B$489, B2692, '📋 Detalle Diario'!$C$5:$C$489, D2692) * 200), 0))</f>
        <v/>
      </c>
      <c r="P2692" s="32" t="str">
        <f t="shared" si="292"/>
        <v/>
      </c>
      <c r="Q2692" s="33" t="str">
        <f t="shared" si="293"/>
        <v/>
      </c>
    </row>
    <row r="2693" spans="2:17" ht="18" customHeight="1" x14ac:dyDescent="0.3">
      <c r="B2693" s="26"/>
      <c r="C2693" s="28"/>
      <c r="D2693" s="27"/>
      <c r="E2693" s="29"/>
      <c r="F2693" s="29"/>
      <c r="G2693" s="29"/>
      <c r="H2693" s="30" t="str">
        <f t="shared" si="287"/>
        <v/>
      </c>
      <c r="I2693" s="31" t="str">
        <f>IF(OR(B2693="",C2693=""),"",IFERROR(E2693*IF(E2693="",0,VLOOKUP(C2693,'📦 Precios Proforma'!$B$5:$D$104,IF(D2693="DIA",2,3),FALSE)),0))</f>
        <v/>
      </c>
      <c r="J2693" s="31" t="str">
        <f t="shared" si="288"/>
        <v/>
      </c>
      <c r="K2693" s="31" t="str">
        <f t="shared" si="289"/>
        <v/>
      </c>
      <c r="L2693" s="31" t="str">
        <f>IF(OR(B2693="",C2693=""),"",IFERROR(E2693 / SUMIFS('📅 Resumen Diario'!$D$5:$D$504, '📅 Resumen Diario'!$B$5:$B$504, B2693, '📅 Resumen Diario'!$C$5:$C$504, D2693) * SUMIFS('📅 Resumen Diario'!$K$5:$K$504, '📅 Resumen Diario'!$B$5:$B$504, B2693, '📅 Resumen Diario'!$C$5:$C$504, D2693), 0))</f>
        <v/>
      </c>
      <c r="M2693" s="31" t="str">
        <f t="shared" si="290"/>
        <v/>
      </c>
      <c r="N2693" s="31" t="str">
        <f t="shared" si="291"/>
        <v/>
      </c>
      <c r="O2693" s="31" t="str">
        <f>IF(OR(B2693="",C2693=""),"",K2693-N2693 + IFERROR(E2693 / SUMIFS('📅 Resumen Diario'!$D$5:$D$504, '📅 Resumen Diario'!$B$5:$B$504, B2693, '📅 Resumen Diario'!$C$5:$C$504, D2693) * (SUMIFS('📋 Detalle Diario'!$E$5:$E$489, '📋 Detalle Diario'!$B$5:$B$489, B2693, '📋 Detalle Diario'!$C$5:$C$489, D2693) * 135 + SUMIFS('📋 Detalle Diario'!$I$5:$I$489, '📋 Detalle Diario'!$B$5:$B$489, B2693, '📋 Detalle Diario'!$C$5:$C$489, D2693) * 200), 0))</f>
        <v/>
      </c>
      <c r="P2693" s="32" t="str">
        <f t="shared" si="292"/>
        <v/>
      </c>
      <c r="Q2693" s="33" t="str">
        <f t="shared" si="293"/>
        <v/>
      </c>
    </row>
    <row r="2694" spans="2:17" ht="18" customHeight="1" x14ac:dyDescent="0.3">
      <c r="B2694" s="26"/>
      <c r="C2694" s="17"/>
      <c r="D2694" s="27"/>
      <c r="E2694" s="18"/>
      <c r="F2694" s="18"/>
      <c r="G2694" s="18"/>
      <c r="H2694" s="30" t="str">
        <f t="shared" si="287"/>
        <v/>
      </c>
      <c r="I2694" s="31" t="str">
        <f>IF(OR(B2694="",C2694=""),"",IFERROR(E2694*IF(E2694="",0,VLOOKUP(C2694,'📦 Precios Proforma'!$B$5:$D$104,IF(D2694="DIA",2,3),FALSE)),0))</f>
        <v/>
      </c>
      <c r="J2694" s="31" t="str">
        <f t="shared" si="288"/>
        <v/>
      </c>
      <c r="K2694" s="31" t="str">
        <f t="shared" si="289"/>
        <v/>
      </c>
      <c r="L2694" s="31" t="str">
        <f>IF(OR(B2694="",C2694=""),"",IFERROR(E2694 / SUMIFS('📅 Resumen Diario'!$D$5:$D$504, '📅 Resumen Diario'!$B$5:$B$504, B2694, '📅 Resumen Diario'!$C$5:$C$504, D2694) * SUMIFS('📅 Resumen Diario'!$K$5:$K$504, '📅 Resumen Diario'!$B$5:$B$504, B2694, '📅 Resumen Diario'!$C$5:$C$504, D2694), 0))</f>
        <v/>
      </c>
      <c r="M2694" s="31" t="str">
        <f t="shared" si="290"/>
        <v/>
      </c>
      <c r="N2694" s="31" t="str">
        <f t="shared" si="291"/>
        <v/>
      </c>
      <c r="O2694" s="31" t="str">
        <f>IF(OR(B2694="",C2694=""),"",K2694-N2694 + IFERROR(E2694 / SUMIFS('📅 Resumen Diario'!$D$5:$D$504, '📅 Resumen Diario'!$B$5:$B$504, B2694, '📅 Resumen Diario'!$C$5:$C$504, D2694) * (SUMIFS('📋 Detalle Diario'!$E$5:$E$489, '📋 Detalle Diario'!$B$5:$B$489, B2694, '📋 Detalle Diario'!$C$5:$C$489, D2694) * 135 + SUMIFS('📋 Detalle Diario'!$I$5:$I$489, '📋 Detalle Diario'!$B$5:$B$489, B2694, '📋 Detalle Diario'!$C$5:$C$489, D2694) * 200), 0))</f>
        <v/>
      </c>
      <c r="P2694" s="32" t="str">
        <f t="shared" si="292"/>
        <v/>
      </c>
      <c r="Q2694" s="33" t="str">
        <f t="shared" si="293"/>
        <v/>
      </c>
    </row>
    <row r="2695" spans="2:17" ht="18" customHeight="1" x14ac:dyDescent="0.3">
      <c r="B2695" s="26"/>
      <c r="C2695" s="28"/>
      <c r="D2695" s="27"/>
      <c r="E2695" s="29"/>
      <c r="F2695" s="29"/>
      <c r="G2695" s="29"/>
      <c r="H2695" s="30" t="str">
        <f t="shared" ref="H2695:H2758" si="294">IF(OR(B2695="",C2695=""),"",F2695+G2695)</f>
        <v/>
      </c>
      <c r="I2695" s="31" t="str">
        <f>IF(OR(B2695="",C2695=""),"",IFERROR(E2695*IF(E2695="",0,VLOOKUP(C2695,'📦 Precios Proforma'!$B$5:$D$104,IF(D2695="DIA",2,3),FALSE)),0))</f>
        <v/>
      </c>
      <c r="J2695" s="31" t="str">
        <f t="shared" ref="J2695:J2758" si="295">IF(OR(B2695="",C2695=""),"",IF(D2695="DIA",H2695*1.01,H2695*1.35))</f>
        <v/>
      </c>
      <c r="K2695" s="31" t="str">
        <f t="shared" ref="K2695:K2758" si="296">IF(OR(B2695="",C2695=""),"",I2695+J2695)</f>
        <v/>
      </c>
      <c r="L2695" s="31" t="str">
        <f>IF(OR(B2695="",C2695=""),"",IFERROR(E2695 / SUMIFS('📅 Resumen Diario'!$D$5:$D$504, '📅 Resumen Diario'!$B$5:$B$504, B2695, '📅 Resumen Diario'!$C$5:$C$504, D2695) * SUMIFS('📅 Resumen Diario'!$K$5:$K$504, '📅 Resumen Diario'!$B$5:$B$504, B2695, '📅 Resumen Diario'!$C$5:$C$504, D2695), 0))</f>
        <v/>
      </c>
      <c r="M2695" s="31" t="str">
        <f t="shared" ref="M2695:M2758" si="297">IF(OR(B2695="",C2695=""),"",H2695*0.09)</f>
        <v/>
      </c>
      <c r="N2695" s="31" t="str">
        <f t="shared" ref="N2695:N2758" si="298">IF(OR(B2695="",C2695=""),"",L2695+M2695)</f>
        <v/>
      </c>
      <c r="O2695" s="31" t="str">
        <f>IF(OR(B2695="",C2695=""),"",K2695-N2695 + IFERROR(E2695 / SUMIFS('📅 Resumen Diario'!$D$5:$D$504, '📅 Resumen Diario'!$B$5:$B$504, B2695, '📅 Resumen Diario'!$C$5:$C$504, D2695) * (SUMIFS('📋 Detalle Diario'!$E$5:$E$489, '📋 Detalle Diario'!$B$5:$B$489, B2695, '📋 Detalle Diario'!$C$5:$C$489, D2695) * 135 + SUMIFS('📋 Detalle Diario'!$I$5:$I$489, '📋 Detalle Diario'!$B$5:$B$489, B2695, '📋 Detalle Diario'!$C$5:$C$489, D2695) * 200), 0))</f>
        <v/>
      </c>
      <c r="P2695" s="32" t="str">
        <f t="shared" ref="P2695:P2758" si="299">IF(OR(B2695="",C2695=""),"",IF(K2695=0, 0, O2695/K2695))</f>
        <v/>
      </c>
      <c r="Q2695" s="33" t="str">
        <f t="shared" ref="Q2695:Q2758" si="300">IF(B2695="","",IF(ISNUMBER(B2695),YEAR(B2695)&amp;"-"&amp;IF(MONTH(B2695)&lt;10,"0","")&amp;MONTH(B2695),LEFT(B2695,7)))</f>
        <v/>
      </c>
    </row>
    <row r="2696" spans="2:17" ht="18" customHeight="1" x14ac:dyDescent="0.3">
      <c r="B2696" s="26"/>
      <c r="C2696" s="17"/>
      <c r="D2696" s="27"/>
      <c r="E2696" s="18"/>
      <c r="F2696" s="18"/>
      <c r="G2696" s="18"/>
      <c r="H2696" s="30" t="str">
        <f t="shared" si="294"/>
        <v/>
      </c>
      <c r="I2696" s="31" t="str">
        <f>IF(OR(B2696="",C2696=""),"",IFERROR(E2696*IF(E2696="",0,VLOOKUP(C2696,'📦 Precios Proforma'!$B$5:$D$104,IF(D2696="DIA",2,3),FALSE)),0))</f>
        <v/>
      </c>
      <c r="J2696" s="31" t="str">
        <f t="shared" si="295"/>
        <v/>
      </c>
      <c r="K2696" s="31" t="str">
        <f t="shared" si="296"/>
        <v/>
      </c>
      <c r="L2696" s="31" t="str">
        <f>IF(OR(B2696="",C2696=""),"",IFERROR(E2696 / SUMIFS('📅 Resumen Diario'!$D$5:$D$504, '📅 Resumen Diario'!$B$5:$B$504, B2696, '📅 Resumen Diario'!$C$5:$C$504, D2696) * SUMIFS('📅 Resumen Diario'!$K$5:$K$504, '📅 Resumen Diario'!$B$5:$B$504, B2696, '📅 Resumen Diario'!$C$5:$C$504, D2696), 0))</f>
        <v/>
      </c>
      <c r="M2696" s="31" t="str">
        <f t="shared" si="297"/>
        <v/>
      </c>
      <c r="N2696" s="31" t="str">
        <f t="shared" si="298"/>
        <v/>
      </c>
      <c r="O2696" s="31" t="str">
        <f>IF(OR(B2696="",C2696=""),"",K2696-N2696 + IFERROR(E2696 / SUMIFS('📅 Resumen Diario'!$D$5:$D$504, '📅 Resumen Diario'!$B$5:$B$504, B2696, '📅 Resumen Diario'!$C$5:$C$504, D2696) * (SUMIFS('📋 Detalle Diario'!$E$5:$E$489, '📋 Detalle Diario'!$B$5:$B$489, B2696, '📋 Detalle Diario'!$C$5:$C$489, D2696) * 135 + SUMIFS('📋 Detalle Diario'!$I$5:$I$489, '📋 Detalle Diario'!$B$5:$B$489, B2696, '📋 Detalle Diario'!$C$5:$C$489, D2696) * 200), 0))</f>
        <v/>
      </c>
      <c r="P2696" s="32" t="str">
        <f t="shared" si="299"/>
        <v/>
      </c>
      <c r="Q2696" s="33" t="str">
        <f t="shared" si="300"/>
        <v/>
      </c>
    </row>
    <row r="2697" spans="2:17" ht="18" customHeight="1" x14ac:dyDescent="0.3">
      <c r="B2697" s="26"/>
      <c r="C2697" s="28"/>
      <c r="D2697" s="27"/>
      <c r="E2697" s="29"/>
      <c r="F2697" s="29"/>
      <c r="G2697" s="29"/>
      <c r="H2697" s="30" t="str">
        <f t="shared" si="294"/>
        <v/>
      </c>
      <c r="I2697" s="31" t="str">
        <f>IF(OR(B2697="",C2697=""),"",IFERROR(E2697*IF(E2697="",0,VLOOKUP(C2697,'📦 Precios Proforma'!$B$5:$D$104,IF(D2697="DIA",2,3),FALSE)),0))</f>
        <v/>
      </c>
      <c r="J2697" s="31" t="str">
        <f t="shared" si="295"/>
        <v/>
      </c>
      <c r="K2697" s="31" t="str">
        <f t="shared" si="296"/>
        <v/>
      </c>
      <c r="L2697" s="31" t="str">
        <f>IF(OR(B2697="",C2697=""),"",IFERROR(E2697 / SUMIFS('📅 Resumen Diario'!$D$5:$D$504, '📅 Resumen Diario'!$B$5:$B$504, B2697, '📅 Resumen Diario'!$C$5:$C$504, D2697) * SUMIFS('📅 Resumen Diario'!$K$5:$K$504, '📅 Resumen Diario'!$B$5:$B$504, B2697, '📅 Resumen Diario'!$C$5:$C$504, D2697), 0))</f>
        <v/>
      </c>
      <c r="M2697" s="31" t="str">
        <f t="shared" si="297"/>
        <v/>
      </c>
      <c r="N2697" s="31" t="str">
        <f t="shared" si="298"/>
        <v/>
      </c>
      <c r="O2697" s="31" t="str">
        <f>IF(OR(B2697="",C2697=""),"",K2697-N2697 + IFERROR(E2697 / SUMIFS('📅 Resumen Diario'!$D$5:$D$504, '📅 Resumen Diario'!$B$5:$B$504, B2697, '📅 Resumen Diario'!$C$5:$C$504, D2697) * (SUMIFS('📋 Detalle Diario'!$E$5:$E$489, '📋 Detalle Diario'!$B$5:$B$489, B2697, '📋 Detalle Diario'!$C$5:$C$489, D2697) * 135 + SUMIFS('📋 Detalle Diario'!$I$5:$I$489, '📋 Detalle Diario'!$B$5:$B$489, B2697, '📋 Detalle Diario'!$C$5:$C$489, D2697) * 200), 0))</f>
        <v/>
      </c>
      <c r="P2697" s="32" t="str">
        <f t="shared" si="299"/>
        <v/>
      </c>
      <c r="Q2697" s="33" t="str">
        <f t="shared" si="300"/>
        <v/>
      </c>
    </row>
    <row r="2698" spans="2:17" ht="18" customHeight="1" x14ac:dyDescent="0.3">
      <c r="B2698" s="26"/>
      <c r="C2698" s="17"/>
      <c r="D2698" s="27"/>
      <c r="E2698" s="18"/>
      <c r="F2698" s="18"/>
      <c r="G2698" s="18"/>
      <c r="H2698" s="30" t="str">
        <f t="shared" si="294"/>
        <v/>
      </c>
      <c r="I2698" s="31" t="str">
        <f>IF(OR(B2698="",C2698=""),"",IFERROR(E2698*IF(E2698="",0,VLOOKUP(C2698,'📦 Precios Proforma'!$B$5:$D$104,IF(D2698="DIA",2,3),FALSE)),0))</f>
        <v/>
      </c>
      <c r="J2698" s="31" t="str">
        <f t="shared" si="295"/>
        <v/>
      </c>
      <c r="K2698" s="31" t="str">
        <f t="shared" si="296"/>
        <v/>
      </c>
      <c r="L2698" s="31" t="str">
        <f>IF(OR(B2698="",C2698=""),"",IFERROR(E2698 / SUMIFS('📅 Resumen Diario'!$D$5:$D$504, '📅 Resumen Diario'!$B$5:$B$504, B2698, '📅 Resumen Diario'!$C$5:$C$504, D2698) * SUMIFS('📅 Resumen Diario'!$K$5:$K$504, '📅 Resumen Diario'!$B$5:$B$504, B2698, '📅 Resumen Diario'!$C$5:$C$504, D2698), 0))</f>
        <v/>
      </c>
      <c r="M2698" s="31" t="str">
        <f t="shared" si="297"/>
        <v/>
      </c>
      <c r="N2698" s="31" t="str">
        <f t="shared" si="298"/>
        <v/>
      </c>
      <c r="O2698" s="31" t="str">
        <f>IF(OR(B2698="",C2698=""),"",K2698-N2698 + IFERROR(E2698 / SUMIFS('📅 Resumen Diario'!$D$5:$D$504, '📅 Resumen Diario'!$B$5:$B$504, B2698, '📅 Resumen Diario'!$C$5:$C$504, D2698) * (SUMIFS('📋 Detalle Diario'!$E$5:$E$489, '📋 Detalle Diario'!$B$5:$B$489, B2698, '📋 Detalle Diario'!$C$5:$C$489, D2698) * 135 + SUMIFS('📋 Detalle Diario'!$I$5:$I$489, '📋 Detalle Diario'!$B$5:$B$489, B2698, '📋 Detalle Diario'!$C$5:$C$489, D2698) * 200), 0))</f>
        <v/>
      </c>
      <c r="P2698" s="32" t="str">
        <f t="shared" si="299"/>
        <v/>
      </c>
      <c r="Q2698" s="33" t="str">
        <f t="shared" si="300"/>
        <v/>
      </c>
    </row>
    <row r="2699" spans="2:17" ht="18" customHeight="1" x14ac:dyDescent="0.3">
      <c r="B2699" s="26"/>
      <c r="C2699" s="28"/>
      <c r="D2699" s="27"/>
      <c r="E2699" s="29"/>
      <c r="F2699" s="29"/>
      <c r="G2699" s="29"/>
      <c r="H2699" s="30" t="str">
        <f t="shared" si="294"/>
        <v/>
      </c>
      <c r="I2699" s="31" t="str">
        <f>IF(OR(B2699="",C2699=""),"",IFERROR(E2699*IF(E2699="",0,VLOOKUP(C2699,'📦 Precios Proforma'!$B$5:$D$104,IF(D2699="DIA",2,3),FALSE)),0))</f>
        <v/>
      </c>
      <c r="J2699" s="31" t="str">
        <f t="shared" si="295"/>
        <v/>
      </c>
      <c r="K2699" s="31" t="str">
        <f t="shared" si="296"/>
        <v/>
      </c>
      <c r="L2699" s="31" t="str">
        <f>IF(OR(B2699="",C2699=""),"",IFERROR(E2699 / SUMIFS('📅 Resumen Diario'!$D$5:$D$504, '📅 Resumen Diario'!$B$5:$B$504, B2699, '📅 Resumen Diario'!$C$5:$C$504, D2699) * SUMIFS('📅 Resumen Diario'!$K$5:$K$504, '📅 Resumen Diario'!$B$5:$B$504, B2699, '📅 Resumen Diario'!$C$5:$C$504, D2699), 0))</f>
        <v/>
      </c>
      <c r="M2699" s="31" t="str">
        <f t="shared" si="297"/>
        <v/>
      </c>
      <c r="N2699" s="31" t="str">
        <f t="shared" si="298"/>
        <v/>
      </c>
      <c r="O2699" s="31" t="str">
        <f>IF(OR(B2699="",C2699=""),"",K2699-N2699 + IFERROR(E2699 / SUMIFS('📅 Resumen Diario'!$D$5:$D$504, '📅 Resumen Diario'!$B$5:$B$504, B2699, '📅 Resumen Diario'!$C$5:$C$504, D2699) * (SUMIFS('📋 Detalle Diario'!$E$5:$E$489, '📋 Detalle Diario'!$B$5:$B$489, B2699, '📋 Detalle Diario'!$C$5:$C$489, D2699) * 135 + SUMIFS('📋 Detalle Diario'!$I$5:$I$489, '📋 Detalle Diario'!$B$5:$B$489, B2699, '📋 Detalle Diario'!$C$5:$C$489, D2699) * 200), 0))</f>
        <v/>
      </c>
      <c r="P2699" s="32" t="str">
        <f t="shared" si="299"/>
        <v/>
      </c>
      <c r="Q2699" s="33" t="str">
        <f t="shared" si="300"/>
        <v/>
      </c>
    </row>
    <row r="2700" spans="2:17" ht="18" customHeight="1" x14ac:dyDescent="0.3">
      <c r="B2700" s="26"/>
      <c r="C2700" s="17"/>
      <c r="D2700" s="27"/>
      <c r="E2700" s="18"/>
      <c r="F2700" s="18"/>
      <c r="G2700" s="18"/>
      <c r="H2700" s="30" t="str">
        <f t="shared" si="294"/>
        <v/>
      </c>
      <c r="I2700" s="31" t="str">
        <f>IF(OR(B2700="",C2700=""),"",IFERROR(E2700*IF(E2700="",0,VLOOKUP(C2700,'📦 Precios Proforma'!$B$5:$D$104,IF(D2700="DIA",2,3),FALSE)),0))</f>
        <v/>
      </c>
      <c r="J2700" s="31" t="str">
        <f t="shared" si="295"/>
        <v/>
      </c>
      <c r="K2700" s="31" t="str">
        <f t="shared" si="296"/>
        <v/>
      </c>
      <c r="L2700" s="31" t="str">
        <f>IF(OR(B2700="",C2700=""),"",IFERROR(E2700 / SUMIFS('📅 Resumen Diario'!$D$5:$D$504, '📅 Resumen Diario'!$B$5:$B$504, B2700, '📅 Resumen Diario'!$C$5:$C$504, D2700) * SUMIFS('📅 Resumen Diario'!$K$5:$K$504, '📅 Resumen Diario'!$B$5:$B$504, B2700, '📅 Resumen Diario'!$C$5:$C$504, D2700), 0))</f>
        <v/>
      </c>
      <c r="M2700" s="31" t="str">
        <f t="shared" si="297"/>
        <v/>
      </c>
      <c r="N2700" s="31" t="str">
        <f t="shared" si="298"/>
        <v/>
      </c>
      <c r="O2700" s="31" t="str">
        <f>IF(OR(B2700="",C2700=""),"",K2700-N2700 + IFERROR(E2700 / SUMIFS('📅 Resumen Diario'!$D$5:$D$504, '📅 Resumen Diario'!$B$5:$B$504, B2700, '📅 Resumen Diario'!$C$5:$C$504, D2700) * (SUMIFS('📋 Detalle Diario'!$E$5:$E$489, '📋 Detalle Diario'!$B$5:$B$489, B2700, '📋 Detalle Diario'!$C$5:$C$489, D2700) * 135 + SUMIFS('📋 Detalle Diario'!$I$5:$I$489, '📋 Detalle Diario'!$B$5:$B$489, B2700, '📋 Detalle Diario'!$C$5:$C$489, D2700) * 200), 0))</f>
        <v/>
      </c>
      <c r="P2700" s="32" t="str">
        <f t="shared" si="299"/>
        <v/>
      </c>
      <c r="Q2700" s="33" t="str">
        <f t="shared" si="300"/>
        <v/>
      </c>
    </row>
    <row r="2701" spans="2:17" ht="18" customHeight="1" x14ac:dyDescent="0.3">
      <c r="B2701" s="26"/>
      <c r="C2701" s="28"/>
      <c r="D2701" s="27"/>
      <c r="E2701" s="29"/>
      <c r="F2701" s="29"/>
      <c r="G2701" s="29"/>
      <c r="H2701" s="30" t="str">
        <f t="shared" si="294"/>
        <v/>
      </c>
      <c r="I2701" s="31" t="str">
        <f>IF(OR(B2701="",C2701=""),"",IFERROR(E2701*IF(E2701="",0,VLOOKUP(C2701,'📦 Precios Proforma'!$B$5:$D$104,IF(D2701="DIA",2,3),FALSE)),0))</f>
        <v/>
      </c>
      <c r="J2701" s="31" t="str">
        <f t="shared" si="295"/>
        <v/>
      </c>
      <c r="K2701" s="31" t="str">
        <f t="shared" si="296"/>
        <v/>
      </c>
      <c r="L2701" s="31" t="str">
        <f>IF(OR(B2701="",C2701=""),"",IFERROR(E2701 / SUMIFS('📅 Resumen Diario'!$D$5:$D$504, '📅 Resumen Diario'!$B$5:$B$504, B2701, '📅 Resumen Diario'!$C$5:$C$504, D2701) * SUMIFS('📅 Resumen Diario'!$K$5:$K$504, '📅 Resumen Diario'!$B$5:$B$504, B2701, '📅 Resumen Diario'!$C$5:$C$504, D2701), 0))</f>
        <v/>
      </c>
      <c r="M2701" s="31" t="str">
        <f t="shared" si="297"/>
        <v/>
      </c>
      <c r="N2701" s="31" t="str">
        <f t="shared" si="298"/>
        <v/>
      </c>
      <c r="O2701" s="31" t="str">
        <f>IF(OR(B2701="",C2701=""),"",K2701-N2701 + IFERROR(E2701 / SUMIFS('📅 Resumen Diario'!$D$5:$D$504, '📅 Resumen Diario'!$B$5:$B$504, B2701, '📅 Resumen Diario'!$C$5:$C$504, D2701) * (SUMIFS('📋 Detalle Diario'!$E$5:$E$489, '📋 Detalle Diario'!$B$5:$B$489, B2701, '📋 Detalle Diario'!$C$5:$C$489, D2701) * 135 + SUMIFS('📋 Detalle Diario'!$I$5:$I$489, '📋 Detalle Diario'!$B$5:$B$489, B2701, '📋 Detalle Diario'!$C$5:$C$489, D2701) * 200), 0))</f>
        <v/>
      </c>
      <c r="P2701" s="32" t="str">
        <f t="shared" si="299"/>
        <v/>
      </c>
      <c r="Q2701" s="33" t="str">
        <f t="shared" si="300"/>
        <v/>
      </c>
    </row>
    <row r="2702" spans="2:17" ht="18" customHeight="1" x14ac:dyDescent="0.3">
      <c r="B2702" s="26"/>
      <c r="C2702" s="17"/>
      <c r="D2702" s="27"/>
      <c r="E2702" s="18"/>
      <c r="F2702" s="18"/>
      <c r="G2702" s="18"/>
      <c r="H2702" s="30" t="str">
        <f t="shared" si="294"/>
        <v/>
      </c>
      <c r="I2702" s="31" t="str">
        <f>IF(OR(B2702="",C2702=""),"",IFERROR(E2702*IF(E2702="",0,VLOOKUP(C2702,'📦 Precios Proforma'!$B$5:$D$104,IF(D2702="DIA",2,3),FALSE)),0))</f>
        <v/>
      </c>
      <c r="J2702" s="31" t="str">
        <f t="shared" si="295"/>
        <v/>
      </c>
      <c r="K2702" s="31" t="str">
        <f t="shared" si="296"/>
        <v/>
      </c>
      <c r="L2702" s="31" t="str">
        <f>IF(OR(B2702="",C2702=""),"",IFERROR(E2702 / SUMIFS('📅 Resumen Diario'!$D$5:$D$504, '📅 Resumen Diario'!$B$5:$B$504, B2702, '📅 Resumen Diario'!$C$5:$C$504, D2702) * SUMIFS('📅 Resumen Diario'!$K$5:$K$504, '📅 Resumen Diario'!$B$5:$B$504, B2702, '📅 Resumen Diario'!$C$5:$C$504, D2702), 0))</f>
        <v/>
      </c>
      <c r="M2702" s="31" t="str">
        <f t="shared" si="297"/>
        <v/>
      </c>
      <c r="N2702" s="31" t="str">
        <f t="shared" si="298"/>
        <v/>
      </c>
      <c r="O2702" s="31" t="str">
        <f>IF(OR(B2702="",C2702=""),"",K2702-N2702 + IFERROR(E2702 / SUMIFS('📅 Resumen Diario'!$D$5:$D$504, '📅 Resumen Diario'!$B$5:$B$504, B2702, '📅 Resumen Diario'!$C$5:$C$504, D2702) * (SUMIFS('📋 Detalle Diario'!$E$5:$E$489, '📋 Detalle Diario'!$B$5:$B$489, B2702, '📋 Detalle Diario'!$C$5:$C$489, D2702) * 135 + SUMIFS('📋 Detalle Diario'!$I$5:$I$489, '📋 Detalle Diario'!$B$5:$B$489, B2702, '📋 Detalle Diario'!$C$5:$C$489, D2702) * 200), 0))</f>
        <v/>
      </c>
      <c r="P2702" s="32" t="str">
        <f t="shared" si="299"/>
        <v/>
      </c>
      <c r="Q2702" s="33" t="str">
        <f t="shared" si="300"/>
        <v/>
      </c>
    </row>
    <row r="2703" spans="2:17" ht="18" customHeight="1" x14ac:dyDescent="0.3">
      <c r="B2703" s="26"/>
      <c r="C2703" s="28"/>
      <c r="D2703" s="27"/>
      <c r="E2703" s="29"/>
      <c r="F2703" s="29"/>
      <c r="G2703" s="29"/>
      <c r="H2703" s="30" t="str">
        <f t="shared" si="294"/>
        <v/>
      </c>
      <c r="I2703" s="31" t="str">
        <f>IF(OR(B2703="",C2703=""),"",IFERROR(E2703*IF(E2703="",0,VLOOKUP(C2703,'📦 Precios Proforma'!$B$5:$D$104,IF(D2703="DIA",2,3),FALSE)),0))</f>
        <v/>
      </c>
      <c r="J2703" s="31" t="str">
        <f t="shared" si="295"/>
        <v/>
      </c>
      <c r="K2703" s="31" t="str">
        <f t="shared" si="296"/>
        <v/>
      </c>
      <c r="L2703" s="31" t="str">
        <f>IF(OR(B2703="",C2703=""),"",IFERROR(E2703 / SUMIFS('📅 Resumen Diario'!$D$5:$D$504, '📅 Resumen Diario'!$B$5:$B$504, B2703, '📅 Resumen Diario'!$C$5:$C$504, D2703) * SUMIFS('📅 Resumen Diario'!$K$5:$K$504, '📅 Resumen Diario'!$B$5:$B$504, B2703, '📅 Resumen Diario'!$C$5:$C$504, D2703), 0))</f>
        <v/>
      </c>
      <c r="M2703" s="31" t="str">
        <f t="shared" si="297"/>
        <v/>
      </c>
      <c r="N2703" s="31" t="str">
        <f t="shared" si="298"/>
        <v/>
      </c>
      <c r="O2703" s="31" t="str">
        <f>IF(OR(B2703="",C2703=""),"",K2703-N2703 + IFERROR(E2703 / SUMIFS('📅 Resumen Diario'!$D$5:$D$504, '📅 Resumen Diario'!$B$5:$B$504, B2703, '📅 Resumen Diario'!$C$5:$C$504, D2703) * (SUMIFS('📋 Detalle Diario'!$E$5:$E$489, '📋 Detalle Diario'!$B$5:$B$489, B2703, '📋 Detalle Diario'!$C$5:$C$489, D2703) * 135 + SUMIFS('📋 Detalle Diario'!$I$5:$I$489, '📋 Detalle Diario'!$B$5:$B$489, B2703, '📋 Detalle Diario'!$C$5:$C$489, D2703) * 200), 0))</f>
        <v/>
      </c>
      <c r="P2703" s="32" t="str">
        <f t="shared" si="299"/>
        <v/>
      </c>
      <c r="Q2703" s="33" t="str">
        <f t="shared" si="300"/>
        <v/>
      </c>
    </row>
    <row r="2704" spans="2:17" ht="18" customHeight="1" x14ac:dyDescent="0.3">
      <c r="B2704" s="26"/>
      <c r="C2704" s="17"/>
      <c r="D2704" s="27"/>
      <c r="E2704" s="18"/>
      <c r="F2704" s="18"/>
      <c r="G2704" s="18"/>
      <c r="H2704" s="30" t="str">
        <f t="shared" si="294"/>
        <v/>
      </c>
      <c r="I2704" s="31" t="str">
        <f>IF(OR(B2704="",C2704=""),"",IFERROR(E2704*IF(E2704="",0,VLOOKUP(C2704,'📦 Precios Proforma'!$B$5:$D$104,IF(D2704="DIA",2,3),FALSE)),0))</f>
        <v/>
      </c>
      <c r="J2704" s="31" t="str">
        <f t="shared" si="295"/>
        <v/>
      </c>
      <c r="K2704" s="31" t="str">
        <f t="shared" si="296"/>
        <v/>
      </c>
      <c r="L2704" s="31" t="str">
        <f>IF(OR(B2704="",C2704=""),"",IFERROR(E2704 / SUMIFS('📅 Resumen Diario'!$D$5:$D$504, '📅 Resumen Diario'!$B$5:$B$504, B2704, '📅 Resumen Diario'!$C$5:$C$504, D2704) * SUMIFS('📅 Resumen Diario'!$K$5:$K$504, '📅 Resumen Diario'!$B$5:$B$504, B2704, '📅 Resumen Diario'!$C$5:$C$504, D2704), 0))</f>
        <v/>
      </c>
      <c r="M2704" s="31" t="str">
        <f t="shared" si="297"/>
        <v/>
      </c>
      <c r="N2704" s="31" t="str">
        <f t="shared" si="298"/>
        <v/>
      </c>
      <c r="O2704" s="31" t="str">
        <f>IF(OR(B2704="",C2704=""),"",K2704-N2704 + IFERROR(E2704 / SUMIFS('📅 Resumen Diario'!$D$5:$D$504, '📅 Resumen Diario'!$B$5:$B$504, B2704, '📅 Resumen Diario'!$C$5:$C$504, D2704) * (SUMIFS('📋 Detalle Diario'!$E$5:$E$489, '📋 Detalle Diario'!$B$5:$B$489, B2704, '📋 Detalle Diario'!$C$5:$C$489, D2704) * 135 + SUMIFS('📋 Detalle Diario'!$I$5:$I$489, '📋 Detalle Diario'!$B$5:$B$489, B2704, '📋 Detalle Diario'!$C$5:$C$489, D2704) * 200), 0))</f>
        <v/>
      </c>
      <c r="P2704" s="32" t="str">
        <f t="shared" si="299"/>
        <v/>
      </c>
      <c r="Q2704" s="33" t="str">
        <f t="shared" si="300"/>
        <v/>
      </c>
    </row>
    <row r="2705" spans="2:17" ht="18" customHeight="1" x14ac:dyDescent="0.3">
      <c r="B2705" s="26"/>
      <c r="C2705" s="28"/>
      <c r="D2705" s="27"/>
      <c r="E2705" s="29"/>
      <c r="F2705" s="29"/>
      <c r="G2705" s="29"/>
      <c r="H2705" s="30" t="str">
        <f t="shared" si="294"/>
        <v/>
      </c>
      <c r="I2705" s="31" t="str">
        <f>IF(OR(B2705="",C2705=""),"",IFERROR(E2705*IF(E2705="",0,VLOOKUP(C2705,'📦 Precios Proforma'!$B$5:$D$104,IF(D2705="DIA",2,3),FALSE)),0))</f>
        <v/>
      </c>
      <c r="J2705" s="31" t="str">
        <f t="shared" si="295"/>
        <v/>
      </c>
      <c r="K2705" s="31" t="str">
        <f t="shared" si="296"/>
        <v/>
      </c>
      <c r="L2705" s="31" t="str">
        <f>IF(OR(B2705="",C2705=""),"",IFERROR(E2705 / SUMIFS('📅 Resumen Diario'!$D$5:$D$504, '📅 Resumen Diario'!$B$5:$B$504, B2705, '📅 Resumen Diario'!$C$5:$C$504, D2705) * SUMIFS('📅 Resumen Diario'!$K$5:$K$504, '📅 Resumen Diario'!$B$5:$B$504, B2705, '📅 Resumen Diario'!$C$5:$C$504, D2705), 0))</f>
        <v/>
      </c>
      <c r="M2705" s="31" t="str">
        <f t="shared" si="297"/>
        <v/>
      </c>
      <c r="N2705" s="31" t="str">
        <f t="shared" si="298"/>
        <v/>
      </c>
      <c r="O2705" s="31" t="str">
        <f>IF(OR(B2705="",C2705=""),"",K2705-N2705 + IFERROR(E2705 / SUMIFS('📅 Resumen Diario'!$D$5:$D$504, '📅 Resumen Diario'!$B$5:$B$504, B2705, '📅 Resumen Diario'!$C$5:$C$504, D2705) * (SUMIFS('📋 Detalle Diario'!$E$5:$E$489, '📋 Detalle Diario'!$B$5:$B$489, B2705, '📋 Detalle Diario'!$C$5:$C$489, D2705) * 135 + SUMIFS('📋 Detalle Diario'!$I$5:$I$489, '📋 Detalle Diario'!$B$5:$B$489, B2705, '📋 Detalle Diario'!$C$5:$C$489, D2705) * 200), 0))</f>
        <v/>
      </c>
      <c r="P2705" s="32" t="str">
        <f t="shared" si="299"/>
        <v/>
      </c>
      <c r="Q2705" s="33" t="str">
        <f t="shared" si="300"/>
        <v/>
      </c>
    </row>
    <row r="2706" spans="2:17" ht="18" customHeight="1" x14ac:dyDescent="0.3">
      <c r="B2706" s="26"/>
      <c r="C2706" s="17"/>
      <c r="D2706" s="27"/>
      <c r="E2706" s="18"/>
      <c r="F2706" s="18"/>
      <c r="G2706" s="18"/>
      <c r="H2706" s="30" t="str">
        <f t="shared" si="294"/>
        <v/>
      </c>
      <c r="I2706" s="31" t="str">
        <f>IF(OR(B2706="",C2706=""),"",IFERROR(E2706*IF(E2706="",0,VLOOKUP(C2706,'📦 Precios Proforma'!$B$5:$D$104,IF(D2706="DIA",2,3),FALSE)),0))</f>
        <v/>
      </c>
      <c r="J2706" s="31" t="str">
        <f t="shared" si="295"/>
        <v/>
      </c>
      <c r="K2706" s="31" t="str">
        <f t="shared" si="296"/>
        <v/>
      </c>
      <c r="L2706" s="31" t="str">
        <f>IF(OR(B2706="",C2706=""),"",IFERROR(E2706 / SUMIFS('📅 Resumen Diario'!$D$5:$D$504, '📅 Resumen Diario'!$B$5:$B$504, B2706, '📅 Resumen Diario'!$C$5:$C$504, D2706) * SUMIFS('📅 Resumen Diario'!$K$5:$K$504, '📅 Resumen Diario'!$B$5:$B$504, B2706, '📅 Resumen Diario'!$C$5:$C$504, D2706), 0))</f>
        <v/>
      </c>
      <c r="M2706" s="31" t="str">
        <f t="shared" si="297"/>
        <v/>
      </c>
      <c r="N2706" s="31" t="str">
        <f t="shared" si="298"/>
        <v/>
      </c>
      <c r="O2706" s="31" t="str">
        <f>IF(OR(B2706="",C2706=""),"",K2706-N2706 + IFERROR(E2706 / SUMIFS('📅 Resumen Diario'!$D$5:$D$504, '📅 Resumen Diario'!$B$5:$B$504, B2706, '📅 Resumen Diario'!$C$5:$C$504, D2706) * (SUMIFS('📋 Detalle Diario'!$E$5:$E$489, '📋 Detalle Diario'!$B$5:$B$489, B2706, '📋 Detalle Diario'!$C$5:$C$489, D2706) * 135 + SUMIFS('📋 Detalle Diario'!$I$5:$I$489, '📋 Detalle Diario'!$B$5:$B$489, B2706, '📋 Detalle Diario'!$C$5:$C$489, D2706) * 200), 0))</f>
        <v/>
      </c>
      <c r="P2706" s="32" t="str">
        <f t="shared" si="299"/>
        <v/>
      </c>
      <c r="Q2706" s="33" t="str">
        <f t="shared" si="300"/>
        <v/>
      </c>
    </row>
    <row r="2707" spans="2:17" ht="18" customHeight="1" x14ac:dyDescent="0.3">
      <c r="B2707" s="26"/>
      <c r="C2707" s="28"/>
      <c r="D2707" s="27"/>
      <c r="E2707" s="29"/>
      <c r="F2707" s="29"/>
      <c r="G2707" s="29"/>
      <c r="H2707" s="30" t="str">
        <f t="shared" si="294"/>
        <v/>
      </c>
      <c r="I2707" s="31" t="str">
        <f>IF(OR(B2707="",C2707=""),"",IFERROR(E2707*IF(E2707="",0,VLOOKUP(C2707,'📦 Precios Proforma'!$B$5:$D$104,IF(D2707="DIA",2,3),FALSE)),0))</f>
        <v/>
      </c>
      <c r="J2707" s="31" t="str">
        <f t="shared" si="295"/>
        <v/>
      </c>
      <c r="K2707" s="31" t="str">
        <f t="shared" si="296"/>
        <v/>
      </c>
      <c r="L2707" s="31" t="str">
        <f>IF(OR(B2707="",C2707=""),"",IFERROR(E2707 / SUMIFS('📅 Resumen Diario'!$D$5:$D$504, '📅 Resumen Diario'!$B$5:$B$504, B2707, '📅 Resumen Diario'!$C$5:$C$504, D2707) * SUMIFS('📅 Resumen Diario'!$K$5:$K$504, '📅 Resumen Diario'!$B$5:$B$504, B2707, '📅 Resumen Diario'!$C$5:$C$504, D2707), 0))</f>
        <v/>
      </c>
      <c r="M2707" s="31" t="str">
        <f t="shared" si="297"/>
        <v/>
      </c>
      <c r="N2707" s="31" t="str">
        <f t="shared" si="298"/>
        <v/>
      </c>
      <c r="O2707" s="31" t="str">
        <f>IF(OR(B2707="",C2707=""),"",K2707-N2707 + IFERROR(E2707 / SUMIFS('📅 Resumen Diario'!$D$5:$D$504, '📅 Resumen Diario'!$B$5:$B$504, B2707, '📅 Resumen Diario'!$C$5:$C$504, D2707) * (SUMIFS('📋 Detalle Diario'!$E$5:$E$489, '📋 Detalle Diario'!$B$5:$B$489, B2707, '📋 Detalle Diario'!$C$5:$C$489, D2707) * 135 + SUMIFS('📋 Detalle Diario'!$I$5:$I$489, '📋 Detalle Diario'!$B$5:$B$489, B2707, '📋 Detalle Diario'!$C$5:$C$489, D2707) * 200), 0))</f>
        <v/>
      </c>
      <c r="P2707" s="32" t="str">
        <f t="shared" si="299"/>
        <v/>
      </c>
      <c r="Q2707" s="33" t="str">
        <f t="shared" si="300"/>
        <v/>
      </c>
    </row>
    <row r="2708" spans="2:17" ht="18" customHeight="1" x14ac:dyDescent="0.3">
      <c r="B2708" s="26"/>
      <c r="C2708" s="17"/>
      <c r="D2708" s="27"/>
      <c r="E2708" s="18"/>
      <c r="F2708" s="18"/>
      <c r="G2708" s="18"/>
      <c r="H2708" s="30" t="str">
        <f t="shared" si="294"/>
        <v/>
      </c>
      <c r="I2708" s="31" t="str">
        <f>IF(OR(B2708="",C2708=""),"",IFERROR(E2708*IF(E2708="",0,VLOOKUP(C2708,'📦 Precios Proforma'!$B$5:$D$104,IF(D2708="DIA",2,3),FALSE)),0))</f>
        <v/>
      </c>
      <c r="J2708" s="31" t="str">
        <f t="shared" si="295"/>
        <v/>
      </c>
      <c r="K2708" s="31" t="str">
        <f t="shared" si="296"/>
        <v/>
      </c>
      <c r="L2708" s="31" t="str">
        <f>IF(OR(B2708="",C2708=""),"",IFERROR(E2708 / SUMIFS('📅 Resumen Diario'!$D$5:$D$504, '📅 Resumen Diario'!$B$5:$B$504, B2708, '📅 Resumen Diario'!$C$5:$C$504, D2708) * SUMIFS('📅 Resumen Diario'!$K$5:$K$504, '📅 Resumen Diario'!$B$5:$B$504, B2708, '📅 Resumen Diario'!$C$5:$C$504, D2708), 0))</f>
        <v/>
      </c>
      <c r="M2708" s="31" t="str">
        <f t="shared" si="297"/>
        <v/>
      </c>
      <c r="N2708" s="31" t="str">
        <f t="shared" si="298"/>
        <v/>
      </c>
      <c r="O2708" s="31" t="str">
        <f>IF(OR(B2708="",C2708=""),"",K2708-N2708 + IFERROR(E2708 / SUMIFS('📅 Resumen Diario'!$D$5:$D$504, '📅 Resumen Diario'!$B$5:$B$504, B2708, '📅 Resumen Diario'!$C$5:$C$504, D2708) * (SUMIFS('📋 Detalle Diario'!$E$5:$E$489, '📋 Detalle Diario'!$B$5:$B$489, B2708, '📋 Detalle Diario'!$C$5:$C$489, D2708) * 135 + SUMIFS('📋 Detalle Diario'!$I$5:$I$489, '📋 Detalle Diario'!$B$5:$B$489, B2708, '📋 Detalle Diario'!$C$5:$C$489, D2708) * 200), 0))</f>
        <v/>
      </c>
      <c r="P2708" s="32" t="str">
        <f t="shared" si="299"/>
        <v/>
      </c>
      <c r="Q2708" s="33" t="str">
        <f t="shared" si="300"/>
        <v/>
      </c>
    </row>
    <row r="2709" spans="2:17" ht="18" customHeight="1" x14ac:dyDescent="0.3">
      <c r="B2709" s="26"/>
      <c r="C2709" s="28"/>
      <c r="D2709" s="27"/>
      <c r="E2709" s="29"/>
      <c r="F2709" s="29"/>
      <c r="G2709" s="29"/>
      <c r="H2709" s="30" t="str">
        <f t="shared" si="294"/>
        <v/>
      </c>
      <c r="I2709" s="31" t="str">
        <f>IF(OR(B2709="",C2709=""),"",IFERROR(E2709*IF(E2709="",0,VLOOKUP(C2709,'📦 Precios Proforma'!$B$5:$D$104,IF(D2709="DIA",2,3),FALSE)),0))</f>
        <v/>
      </c>
      <c r="J2709" s="31" t="str">
        <f t="shared" si="295"/>
        <v/>
      </c>
      <c r="K2709" s="31" t="str">
        <f t="shared" si="296"/>
        <v/>
      </c>
      <c r="L2709" s="31" t="str">
        <f>IF(OR(B2709="",C2709=""),"",IFERROR(E2709 / SUMIFS('📅 Resumen Diario'!$D$5:$D$504, '📅 Resumen Diario'!$B$5:$B$504, B2709, '📅 Resumen Diario'!$C$5:$C$504, D2709) * SUMIFS('📅 Resumen Diario'!$K$5:$K$504, '📅 Resumen Diario'!$B$5:$B$504, B2709, '📅 Resumen Diario'!$C$5:$C$504, D2709), 0))</f>
        <v/>
      </c>
      <c r="M2709" s="31" t="str">
        <f t="shared" si="297"/>
        <v/>
      </c>
      <c r="N2709" s="31" t="str">
        <f t="shared" si="298"/>
        <v/>
      </c>
      <c r="O2709" s="31" t="str">
        <f>IF(OR(B2709="",C2709=""),"",K2709-N2709 + IFERROR(E2709 / SUMIFS('📅 Resumen Diario'!$D$5:$D$504, '📅 Resumen Diario'!$B$5:$B$504, B2709, '📅 Resumen Diario'!$C$5:$C$504, D2709) * (SUMIFS('📋 Detalle Diario'!$E$5:$E$489, '📋 Detalle Diario'!$B$5:$B$489, B2709, '📋 Detalle Diario'!$C$5:$C$489, D2709) * 135 + SUMIFS('📋 Detalle Diario'!$I$5:$I$489, '📋 Detalle Diario'!$B$5:$B$489, B2709, '📋 Detalle Diario'!$C$5:$C$489, D2709) * 200), 0))</f>
        <v/>
      </c>
      <c r="P2709" s="32" t="str">
        <f t="shared" si="299"/>
        <v/>
      </c>
      <c r="Q2709" s="33" t="str">
        <f t="shared" si="300"/>
        <v/>
      </c>
    </row>
    <row r="2710" spans="2:17" ht="18" customHeight="1" x14ac:dyDescent="0.3">
      <c r="B2710" s="26"/>
      <c r="C2710" s="17"/>
      <c r="D2710" s="27"/>
      <c r="E2710" s="18"/>
      <c r="F2710" s="18"/>
      <c r="G2710" s="18"/>
      <c r="H2710" s="30" t="str">
        <f t="shared" si="294"/>
        <v/>
      </c>
      <c r="I2710" s="31" t="str">
        <f>IF(OR(B2710="",C2710=""),"",IFERROR(E2710*IF(E2710="",0,VLOOKUP(C2710,'📦 Precios Proforma'!$B$5:$D$104,IF(D2710="DIA",2,3),FALSE)),0))</f>
        <v/>
      </c>
      <c r="J2710" s="31" t="str">
        <f t="shared" si="295"/>
        <v/>
      </c>
      <c r="K2710" s="31" t="str">
        <f t="shared" si="296"/>
        <v/>
      </c>
      <c r="L2710" s="31" t="str">
        <f>IF(OR(B2710="",C2710=""),"",IFERROR(E2710 / SUMIFS('📅 Resumen Diario'!$D$5:$D$504, '📅 Resumen Diario'!$B$5:$B$504, B2710, '📅 Resumen Diario'!$C$5:$C$504, D2710) * SUMIFS('📅 Resumen Diario'!$K$5:$K$504, '📅 Resumen Diario'!$B$5:$B$504, B2710, '📅 Resumen Diario'!$C$5:$C$504, D2710), 0))</f>
        <v/>
      </c>
      <c r="M2710" s="31" t="str">
        <f t="shared" si="297"/>
        <v/>
      </c>
      <c r="N2710" s="31" t="str">
        <f t="shared" si="298"/>
        <v/>
      </c>
      <c r="O2710" s="31" t="str">
        <f>IF(OR(B2710="",C2710=""),"",K2710-N2710 + IFERROR(E2710 / SUMIFS('📅 Resumen Diario'!$D$5:$D$504, '📅 Resumen Diario'!$B$5:$B$504, B2710, '📅 Resumen Diario'!$C$5:$C$504, D2710) * (SUMIFS('📋 Detalle Diario'!$E$5:$E$489, '📋 Detalle Diario'!$B$5:$B$489, B2710, '📋 Detalle Diario'!$C$5:$C$489, D2710) * 135 + SUMIFS('📋 Detalle Diario'!$I$5:$I$489, '📋 Detalle Diario'!$B$5:$B$489, B2710, '📋 Detalle Diario'!$C$5:$C$489, D2710) * 200), 0))</f>
        <v/>
      </c>
      <c r="P2710" s="32" t="str">
        <f t="shared" si="299"/>
        <v/>
      </c>
      <c r="Q2710" s="33" t="str">
        <f t="shared" si="300"/>
        <v/>
      </c>
    </row>
    <row r="2711" spans="2:17" ht="18" customHeight="1" x14ac:dyDescent="0.3">
      <c r="B2711" s="26"/>
      <c r="C2711" s="28"/>
      <c r="D2711" s="27"/>
      <c r="E2711" s="29"/>
      <c r="F2711" s="29"/>
      <c r="G2711" s="29"/>
      <c r="H2711" s="30" t="str">
        <f t="shared" si="294"/>
        <v/>
      </c>
      <c r="I2711" s="31" t="str">
        <f>IF(OR(B2711="",C2711=""),"",IFERROR(E2711*IF(E2711="",0,VLOOKUP(C2711,'📦 Precios Proforma'!$B$5:$D$104,IF(D2711="DIA",2,3),FALSE)),0))</f>
        <v/>
      </c>
      <c r="J2711" s="31" t="str">
        <f t="shared" si="295"/>
        <v/>
      </c>
      <c r="K2711" s="31" t="str">
        <f t="shared" si="296"/>
        <v/>
      </c>
      <c r="L2711" s="31" t="str">
        <f>IF(OR(B2711="",C2711=""),"",IFERROR(E2711 / SUMIFS('📅 Resumen Diario'!$D$5:$D$504, '📅 Resumen Diario'!$B$5:$B$504, B2711, '📅 Resumen Diario'!$C$5:$C$504, D2711) * SUMIFS('📅 Resumen Diario'!$K$5:$K$504, '📅 Resumen Diario'!$B$5:$B$504, B2711, '📅 Resumen Diario'!$C$5:$C$504, D2711), 0))</f>
        <v/>
      </c>
      <c r="M2711" s="31" t="str">
        <f t="shared" si="297"/>
        <v/>
      </c>
      <c r="N2711" s="31" t="str">
        <f t="shared" si="298"/>
        <v/>
      </c>
      <c r="O2711" s="31" t="str">
        <f>IF(OR(B2711="",C2711=""),"",K2711-N2711 + IFERROR(E2711 / SUMIFS('📅 Resumen Diario'!$D$5:$D$504, '📅 Resumen Diario'!$B$5:$B$504, B2711, '📅 Resumen Diario'!$C$5:$C$504, D2711) * (SUMIFS('📋 Detalle Diario'!$E$5:$E$489, '📋 Detalle Diario'!$B$5:$B$489, B2711, '📋 Detalle Diario'!$C$5:$C$489, D2711) * 135 + SUMIFS('📋 Detalle Diario'!$I$5:$I$489, '📋 Detalle Diario'!$B$5:$B$489, B2711, '📋 Detalle Diario'!$C$5:$C$489, D2711) * 200), 0))</f>
        <v/>
      </c>
      <c r="P2711" s="32" t="str">
        <f t="shared" si="299"/>
        <v/>
      </c>
      <c r="Q2711" s="33" t="str">
        <f t="shared" si="300"/>
        <v/>
      </c>
    </row>
    <row r="2712" spans="2:17" ht="18" customHeight="1" x14ac:dyDescent="0.3">
      <c r="B2712" s="26"/>
      <c r="C2712" s="17"/>
      <c r="D2712" s="27"/>
      <c r="E2712" s="18"/>
      <c r="F2712" s="18"/>
      <c r="G2712" s="18"/>
      <c r="H2712" s="30" t="str">
        <f t="shared" si="294"/>
        <v/>
      </c>
      <c r="I2712" s="31" t="str">
        <f>IF(OR(B2712="",C2712=""),"",IFERROR(E2712*IF(E2712="",0,VLOOKUP(C2712,'📦 Precios Proforma'!$B$5:$D$104,IF(D2712="DIA",2,3),FALSE)),0))</f>
        <v/>
      </c>
      <c r="J2712" s="31" t="str">
        <f t="shared" si="295"/>
        <v/>
      </c>
      <c r="K2712" s="31" t="str">
        <f t="shared" si="296"/>
        <v/>
      </c>
      <c r="L2712" s="31" t="str">
        <f>IF(OR(B2712="",C2712=""),"",IFERROR(E2712 / SUMIFS('📅 Resumen Diario'!$D$5:$D$504, '📅 Resumen Diario'!$B$5:$B$504, B2712, '📅 Resumen Diario'!$C$5:$C$504, D2712) * SUMIFS('📅 Resumen Diario'!$K$5:$K$504, '📅 Resumen Diario'!$B$5:$B$504, B2712, '📅 Resumen Diario'!$C$5:$C$504, D2712), 0))</f>
        <v/>
      </c>
      <c r="M2712" s="31" t="str">
        <f t="shared" si="297"/>
        <v/>
      </c>
      <c r="N2712" s="31" t="str">
        <f t="shared" si="298"/>
        <v/>
      </c>
      <c r="O2712" s="31" t="str">
        <f>IF(OR(B2712="",C2712=""),"",K2712-N2712 + IFERROR(E2712 / SUMIFS('📅 Resumen Diario'!$D$5:$D$504, '📅 Resumen Diario'!$B$5:$B$504, B2712, '📅 Resumen Diario'!$C$5:$C$504, D2712) * (SUMIFS('📋 Detalle Diario'!$E$5:$E$489, '📋 Detalle Diario'!$B$5:$B$489, B2712, '📋 Detalle Diario'!$C$5:$C$489, D2712) * 135 + SUMIFS('📋 Detalle Diario'!$I$5:$I$489, '📋 Detalle Diario'!$B$5:$B$489, B2712, '📋 Detalle Diario'!$C$5:$C$489, D2712) * 200), 0))</f>
        <v/>
      </c>
      <c r="P2712" s="32" t="str">
        <f t="shared" si="299"/>
        <v/>
      </c>
      <c r="Q2712" s="33" t="str">
        <f t="shared" si="300"/>
        <v/>
      </c>
    </row>
    <row r="2713" spans="2:17" ht="18" customHeight="1" x14ac:dyDescent="0.3">
      <c r="B2713" s="26"/>
      <c r="C2713" s="28"/>
      <c r="D2713" s="27"/>
      <c r="E2713" s="29"/>
      <c r="F2713" s="29"/>
      <c r="G2713" s="29"/>
      <c r="H2713" s="30" t="str">
        <f t="shared" si="294"/>
        <v/>
      </c>
      <c r="I2713" s="31" t="str">
        <f>IF(OR(B2713="",C2713=""),"",IFERROR(E2713*IF(E2713="",0,VLOOKUP(C2713,'📦 Precios Proforma'!$B$5:$D$104,IF(D2713="DIA",2,3),FALSE)),0))</f>
        <v/>
      </c>
      <c r="J2713" s="31" t="str">
        <f t="shared" si="295"/>
        <v/>
      </c>
      <c r="K2713" s="31" t="str">
        <f t="shared" si="296"/>
        <v/>
      </c>
      <c r="L2713" s="31" t="str">
        <f>IF(OR(B2713="",C2713=""),"",IFERROR(E2713 / SUMIFS('📅 Resumen Diario'!$D$5:$D$504, '📅 Resumen Diario'!$B$5:$B$504, B2713, '📅 Resumen Diario'!$C$5:$C$504, D2713) * SUMIFS('📅 Resumen Diario'!$K$5:$K$504, '📅 Resumen Diario'!$B$5:$B$504, B2713, '📅 Resumen Diario'!$C$5:$C$504, D2713), 0))</f>
        <v/>
      </c>
      <c r="M2713" s="31" t="str">
        <f t="shared" si="297"/>
        <v/>
      </c>
      <c r="N2713" s="31" t="str">
        <f t="shared" si="298"/>
        <v/>
      </c>
      <c r="O2713" s="31" t="str">
        <f>IF(OR(B2713="",C2713=""),"",K2713-N2713 + IFERROR(E2713 / SUMIFS('📅 Resumen Diario'!$D$5:$D$504, '📅 Resumen Diario'!$B$5:$B$504, B2713, '📅 Resumen Diario'!$C$5:$C$504, D2713) * (SUMIFS('📋 Detalle Diario'!$E$5:$E$489, '📋 Detalle Diario'!$B$5:$B$489, B2713, '📋 Detalle Diario'!$C$5:$C$489, D2713) * 135 + SUMIFS('📋 Detalle Diario'!$I$5:$I$489, '📋 Detalle Diario'!$B$5:$B$489, B2713, '📋 Detalle Diario'!$C$5:$C$489, D2713) * 200), 0))</f>
        <v/>
      </c>
      <c r="P2713" s="32" t="str">
        <f t="shared" si="299"/>
        <v/>
      </c>
      <c r="Q2713" s="33" t="str">
        <f t="shared" si="300"/>
        <v/>
      </c>
    </row>
    <row r="2714" spans="2:17" ht="18" customHeight="1" x14ac:dyDescent="0.3">
      <c r="B2714" s="26"/>
      <c r="C2714" s="17"/>
      <c r="D2714" s="27"/>
      <c r="E2714" s="18"/>
      <c r="F2714" s="18"/>
      <c r="G2714" s="18"/>
      <c r="H2714" s="30" t="str">
        <f t="shared" si="294"/>
        <v/>
      </c>
      <c r="I2714" s="31" t="str">
        <f>IF(OR(B2714="",C2714=""),"",IFERROR(E2714*IF(E2714="",0,VLOOKUP(C2714,'📦 Precios Proforma'!$B$5:$D$104,IF(D2714="DIA",2,3),FALSE)),0))</f>
        <v/>
      </c>
      <c r="J2714" s="31" t="str">
        <f t="shared" si="295"/>
        <v/>
      </c>
      <c r="K2714" s="31" t="str">
        <f t="shared" si="296"/>
        <v/>
      </c>
      <c r="L2714" s="31" t="str">
        <f>IF(OR(B2714="",C2714=""),"",IFERROR(E2714 / SUMIFS('📅 Resumen Diario'!$D$5:$D$504, '📅 Resumen Diario'!$B$5:$B$504, B2714, '📅 Resumen Diario'!$C$5:$C$504, D2714) * SUMIFS('📅 Resumen Diario'!$K$5:$K$504, '📅 Resumen Diario'!$B$5:$B$504, B2714, '📅 Resumen Diario'!$C$5:$C$504, D2714), 0))</f>
        <v/>
      </c>
      <c r="M2714" s="31" t="str">
        <f t="shared" si="297"/>
        <v/>
      </c>
      <c r="N2714" s="31" t="str">
        <f t="shared" si="298"/>
        <v/>
      </c>
      <c r="O2714" s="31" t="str">
        <f>IF(OR(B2714="",C2714=""),"",K2714-N2714 + IFERROR(E2714 / SUMIFS('📅 Resumen Diario'!$D$5:$D$504, '📅 Resumen Diario'!$B$5:$B$504, B2714, '📅 Resumen Diario'!$C$5:$C$504, D2714) * (SUMIFS('📋 Detalle Diario'!$E$5:$E$489, '📋 Detalle Diario'!$B$5:$B$489, B2714, '📋 Detalle Diario'!$C$5:$C$489, D2714) * 135 + SUMIFS('📋 Detalle Diario'!$I$5:$I$489, '📋 Detalle Diario'!$B$5:$B$489, B2714, '📋 Detalle Diario'!$C$5:$C$489, D2714) * 200), 0))</f>
        <v/>
      </c>
      <c r="P2714" s="32" t="str">
        <f t="shared" si="299"/>
        <v/>
      </c>
      <c r="Q2714" s="33" t="str">
        <f t="shared" si="300"/>
        <v/>
      </c>
    </row>
    <row r="2715" spans="2:17" ht="18" customHeight="1" x14ac:dyDescent="0.3">
      <c r="B2715" s="26"/>
      <c r="C2715" s="28"/>
      <c r="D2715" s="27"/>
      <c r="E2715" s="29"/>
      <c r="F2715" s="29"/>
      <c r="G2715" s="29"/>
      <c r="H2715" s="30" t="str">
        <f t="shared" si="294"/>
        <v/>
      </c>
      <c r="I2715" s="31" t="str">
        <f>IF(OR(B2715="",C2715=""),"",IFERROR(E2715*IF(E2715="",0,VLOOKUP(C2715,'📦 Precios Proforma'!$B$5:$D$104,IF(D2715="DIA",2,3),FALSE)),0))</f>
        <v/>
      </c>
      <c r="J2715" s="31" t="str">
        <f t="shared" si="295"/>
        <v/>
      </c>
      <c r="K2715" s="31" t="str">
        <f t="shared" si="296"/>
        <v/>
      </c>
      <c r="L2715" s="31" t="str">
        <f>IF(OR(B2715="",C2715=""),"",IFERROR(E2715 / SUMIFS('📅 Resumen Diario'!$D$5:$D$504, '📅 Resumen Diario'!$B$5:$B$504, B2715, '📅 Resumen Diario'!$C$5:$C$504, D2715) * SUMIFS('📅 Resumen Diario'!$K$5:$K$504, '📅 Resumen Diario'!$B$5:$B$504, B2715, '📅 Resumen Diario'!$C$5:$C$504, D2715), 0))</f>
        <v/>
      </c>
      <c r="M2715" s="31" t="str">
        <f t="shared" si="297"/>
        <v/>
      </c>
      <c r="N2715" s="31" t="str">
        <f t="shared" si="298"/>
        <v/>
      </c>
      <c r="O2715" s="31" t="str">
        <f>IF(OR(B2715="",C2715=""),"",K2715-N2715 + IFERROR(E2715 / SUMIFS('📅 Resumen Diario'!$D$5:$D$504, '📅 Resumen Diario'!$B$5:$B$504, B2715, '📅 Resumen Diario'!$C$5:$C$504, D2715) * (SUMIFS('📋 Detalle Diario'!$E$5:$E$489, '📋 Detalle Diario'!$B$5:$B$489, B2715, '📋 Detalle Diario'!$C$5:$C$489, D2715) * 135 + SUMIFS('📋 Detalle Diario'!$I$5:$I$489, '📋 Detalle Diario'!$B$5:$B$489, B2715, '📋 Detalle Diario'!$C$5:$C$489, D2715) * 200), 0))</f>
        <v/>
      </c>
      <c r="P2715" s="32" t="str">
        <f t="shared" si="299"/>
        <v/>
      </c>
      <c r="Q2715" s="33" t="str">
        <f t="shared" si="300"/>
        <v/>
      </c>
    </row>
    <row r="2716" spans="2:17" ht="18" customHeight="1" x14ac:dyDescent="0.3">
      <c r="B2716" s="26"/>
      <c r="C2716" s="17"/>
      <c r="D2716" s="27"/>
      <c r="E2716" s="18"/>
      <c r="F2716" s="18"/>
      <c r="G2716" s="18"/>
      <c r="H2716" s="30" t="str">
        <f t="shared" si="294"/>
        <v/>
      </c>
      <c r="I2716" s="31" t="str">
        <f>IF(OR(B2716="",C2716=""),"",IFERROR(E2716*IF(E2716="",0,VLOOKUP(C2716,'📦 Precios Proforma'!$B$5:$D$104,IF(D2716="DIA",2,3),FALSE)),0))</f>
        <v/>
      </c>
      <c r="J2716" s="31" t="str">
        <f t="shared" si="295"/>
        <v/>
      </c>
      <c r="K2716" s="31" t="str">
        <f t="shared" si="296"/>
        <v/>
      </c>
      <c r="L2716" s="31" t="str">
        <f>IF(OR(B2716="",C2716=""),"",IFERROR(E2716 / SUMIFS('📅 Resumen Diario'!$D$5:$D$504, '📅 Resumen Diario'!$B$5:$B$504, B2716, '📅 Resumen Diario'!$C$5:$C$504, D2716) * SUMIFS('📅 Resumen Diario'!$K$5:$K$504, '📅 Resumen Diario'!$B$5:$B$504, B2716, '📅 Resumen Diario'!$C$5:$C$504, D2716), 0))</f>
        <v/>
      </c>
      <c r="M2716" s="31" t="str">
        <f t="shared" si="297"/>
        <v/>
      </c>
      <c r="N2716" s="31" t="str">
        <f t="shared" si="298"/>
        <v/>
      </c>
      <c r="O2716" s="31" t="str">
        <f>IF(OR(B2716="",C2716=""),"",K2716-N2716 + IFERROR(E2716 / SUMIFS('📅 Resumen Diario'!$D$5:$D$504, '📅 Resumen Diario'!$B$5:$B$504, B2716, '📅 Resumen Diario'!$C$5:$C$504, D2716) * (SUMIFS('📋 Detalle Diario'!$E$5:$E$489, '📋 Detalle Diario'!$B$5:$B$489, B2716, '📋 Detalle Diario'!$C$5:$C$489, D2716) * 135 + SUMIFS('📋 Detalle Diario'!$I$5:$I$489, '📋 Detalle Diario'!$B$5:$B$489, B2716, '📋 Detalle Diario'!$C$5:$C$489, D2716) * 200), 0))</f>
        <v/>
      </c>
      <c r="P2716" s="32" t="str">
        <f t="shared" si="299"/>
        <v/>
      </c>
      <c r="Q2716" s="33" t="str">
        <f t="shared" si="300"/>
        <v/>
      </c>
    </row>
    <row r="2717" spans="2:17" ht="18" customHeight="1" x14ac:dyDescent="0.3">
      <c r="B2717" s="26"/>
      <c r="C2717" s="28"/>
      <c r="D2717" s="27"/>
      <c r="E2717" s="29"/>
      <c r="F2717" s="29"/>
      <c r="G2717" s="29"/>
      <c r="H2717" s="30" t="str">
        <f t="shared" si="294"/>
        <v/>
      </c>
      <c r="I2717" s="31" t="str">
        <f>IF(OR(B2717="",C2717=""),"",IFERROR(E2717*IF(E2717="",0,VLOOKUP(C2717,'📦 Precios Proforma'!$B$5:$D$104,IF(D2717="DIA",2,3),FALSE)),0))</f>
        <v/>
      </c>
      <c r="J2717" s="31" t="str">
        <f t="shared" si="295"/>
        <v/>
      </c>
      <c r="K2717" s="31" t="str">
        <f t="shared" si="296"/>
        <v/>
      </c>
      <c r="L2717" s="31" t="str">
        <f>IF(OR(B2717="",C2717=""),"",IFERROR(E2717 / SUMIFS('📅 Resumen Diario'!$D$5:$D$504, '📅 Resumen Diario'!$B$5:$B$504, B2717, '📅 Resumen Diario'!$C$5:$C$504, D2717) * SUMIFS('📅 Resumen Diario'!$K$5:$K$504, '📅 Resumen Diario'!$B$5:$B$504, B2717, '📅 Resumen Diario'!$C$5:$C$504, D2717), 0))</f>
        <v/>
      </c>
      <c r="M2717" s="31" t="str">
        <f t="shared" si="297"/>
        <v/>
      </c>
      <c r="N2717" s="31" t="str">
        <f t="shared" si="298"/>
        <v/>
      </c>
      <c r="O2717" s="31" t="str">
        <f>IF(OR(B2717="",C2717=""),"",K2717-N2717 + IFERROR(E2717 / SUMIFS('📅 Resumen Diario'!$D$5:$D$504, '📅 Resumen Diario'!$B$5:$B$504, B2717, '📅 Resumen Diario'!$C$5:$C$504, D2717) * (SUMIFS('📋 Detalle Diario'!$E$5:$E$489, '📋 Detalle Diario'!$B$5:$B$489, B2717, '📋 Detalle Diario'!$C$5:$C$489, D2717) * 135 + SUMIFS('📋 Detalle Diario'!$I$5:$I$489, '📋 Detalle Diario'!$B$5:$B$489, B2717, '📋 Detalle Diario'!$C$5:$C$489, D2717) * 200), 0))</f>
        <v/>
      </c>
      <c r="P2717" s="32" t="str">
        <f t="shared" si="299"/>
        <v/>
      </c>
      <c r="Q2717" s="33" t="str">
        <f t="shared" si="300"/>
        <v/>
      </c>
    </row>
    <row r="2718" spans="2:17" ht="18" customHeight="1" x14ac:dyDescent="0.3">
      <c r="B2718" s="26"/>
      <c r="C2718" s="17"/>
      <c r="D2718" s="27"/>
      <c r="E2718" s="18"/>
      <c r="F2718" s="18"/>
      <c r="G2718" s="18"/>
      <c r="H2718" s="30" t="str">
        <f t="shared" si="294"/>
        <v/>
      </c>
      <c r="I2718" s="31" t="str">
        <f>IF(OR(B2718="",C2718=""),"",IFERROR(E2718*IF(E2718="",0,VLOOKUP(C2718,'📦 Precios Proforma'!$B$5:$D$104,IF(D2718="DIA",2,3),FALSE)),0))</f>
        <v/>
      </c>
      <c r="J2718" s="31" t="str">
        <f t="shared" si="295"/>
        <v/>
      </c>
      <c r="K2718" s="31" t="str">
        <f t="shared" si="296"/>
        <v/>
      </c>
      <c r="L2718" s="31" t="str">
        <f>IF(OR(B2718="",C2718=""),"",IFERROR(E2718 / SUMIFS('📅 Resumen Diario'!$D$5:$D$504, '📅 Resumen Diario'!$B$5:$B$504, B2718, '📅 Resumen Diario'!$C$5:$C$504, D2718) * SUMIFS('📅 Resumen Diario'!$K$5:$K$504, '📅 Resumen Diario'!$B$5:$B$504, B2718, '📅 Resumen Diario'!$C$5:$C$504, D2718), 0))</f>
        <v/>
      </c>
      <c r="M2718" s="31" t="str">
        <f t="shared" si="297"/>
        <v/>
      </c>
      <c r="N2718" s="31" t="str">
        <f t="shared" si="298"/>
        <v/>
      </c>
      <c r="O2718" s="31" t="str">
        <f>IF(OR(B2718="",C2718=""),"",K2718-N2718 + IFERROR(E2718 / SUMIFS('📅 Resumen Diario'!$D$5:$D$504, '📅 Resumen Diario'!$B$5:$B$504, B2718, '📅 Resumen Diario'!$C$5:$C$504, D2718) * (SUMIFS('📋 Detalle Diario'!$E$5:$E$489, '📋 Detalle Diario'!$B$5:$B$489, B2718, '📋 Detalle Diario'!$C$5:$C$489, D2718) * 135 + SUMIFS('📋 Detalle Diario'!$I$5:$I$489, '📋 Detalle Diario'!$B$5:$B$489, B2718, '📋 Detalle Diario'!$C$5:$C$489, D2718) * 200), 0))</f>
        <v/>
      </c>
      <c r="P2718" s="32" t="str">
        <f t="shared" si="299"/>
        <v/>
      </c>
      <c r="Q2718" s="33" t="str">
        <f t="shared" si="300"/>
        <v/>
      </c>
    </row>
    <row r="2719" spans="2:17" ht="18" customHeight="1" x14ac:dyDescent="0.3">
      <c r="B2719" s="26"/>
      <c r="C2719" s="28"/>
      <c r="D2719" s="27"/>
      <c r="E2719" s="29"/>
      <c r="F2719" s="29"/>
      <c r="G2719" s="29"/>
      <c r="H2719" s="30" t="str">
        <f t="shared" si="294"/>
        <v/>
      </c>
      <c r="I2719" s="31" t="str">
        <f>IF(OR(B2719="",C2719=""),"",IFERROR(E2719*IF(E2719="",0,VLOOKUP(C2719,'📦 Precios Proforma'!$B$5:$D$104,IF(D2719="DIA",2,3),FALSE)),0))</f>
        <v/>
      </c>
      <c r="J2719" s="31" t="str">
        <f t="shared" si="295"/>
        <v/>
      </c>
      <c r="K2719" s="31" t="str">
        <f t="shared" si="296"/>
        <v/>
      </c>
      <c r="L2719" s="31" t="str">
        <f>IF(OR(B2719="",C2719=""),"",IFERROR(E2719 / SUMIFS('📅 Resumen Diario'!$D$5:$D$504, '📅 Resumen Diario'!$B$5:$B$504, B2719, '📅 Resumen Diario'!$C$5:$C$504, D2719) * SUMIFS('📅 Resumen Diario'!$K$5:$K$504, '📅 Resumen Diario'!$B$5:$B$504, B2719, '📅 Resumen Diario'!$C$5:$C$504, D2719), 0))</f>
        <v/>
      </c>
      <c r="M2719" s="31" t="str">
        <f t="shared" si="297"/>
        <v/>
      </c>
      <c r="N2719" s="31" t="str">
        <f t="shared" si="298"/>
        <v/>
      </c>
      <c r="O2719" s="31" t="str">
        <f>IF(OR(B2719="",C2719=""),"",K2719-N2719 + IFERROR(E2719 / SUMIFS('📅 Resumen Diario'!$D$5:$D$504, '📅 Resumen Diario'!$B$5:$B$504, B2719, '📅 Resumen Diario'!$C$5:$C$504, D2719) * (SUMIFS('📋 Detalle Diario'!$E$5:$E$489, '📋 Detalle Diario'!$B$5:$B$489, B2719, '📋 Detalle Diario'!$C$5:$C$489, D2719) * 135 + SUMIFS('📋 Detalle Diario'!$I$5:$I$489, '📋 Detalle Diario'!$B$5:$B$489, B2719, '📋 Detalle Diario'!$C$5:$C$489, D2719) * 200), 0))</f>
        <v/>
      </c>
      <c r="P2719" s="32" t="str">
        <f t="shared" si="299"/>
        <v/>
      </c>
      <c r="Q2719" s="33" t="str">
        <f t="shared" si="300"/>
        <v/>
      </c>
    </row>
    <row r="2720" spans="2:17" ht="18" customHeight="1" x14ac:dyDescent="0.3">
      <c r="B2720" s="26"/>
      <c r="C2720" s="17"/>
      <c r="D2720" s="27"/>
      <c r="E2720" s="18"/>
      <c r="F2720" s="18"/>
      <c r="G2720" s="18"/>
      <c r="H2720" s="30" t="str">
        <f t="shared" si="294"/>
        <v/>
      </c>
      <c r="I2720" s="31" t="str">
        <f>IF(OR(B2720="",C2720=""),"",IFERROR(E2720*IF(E2720="",0,VLOOKUP(C2720,'📦 Precios Proforma'!$B$5:$D$104,IF(D2720="DIA",2,3),FALSE)),0))</f>
        <v/>
      </c>
      <c r="J2720" s="31" t="str">
        <f t="shared" si="295"/>
        <v/>
      </c>
      <c r="K2720" s="31" t="str">
        <f t="shared" si="296"/>
        <v/>
      </c>
      <c r="L2720" s="31" t="str">
        <f>IF(OR(B2720="",C2720=""),"",IFERROR(E2720 / SUMIFS('📅 Resumen Diario'!$D$5:$D$504, '📅 Resumen Diario'!$B$5:$B$504, B2720, '📅 Resumen Diario'!$C$5:$C$504, D2720) * SUMIFS('📅 Resumen Diario'!$K$5:$K$504, '📅 Resumen Diario'!$B$5:$B$504, B2720, '📅 Resumen Diario'!$C$5:$C$504, D2720), 0))</f>
        <v/>
      </c>
      <c r="M2720" s="31" t="str">
        <f t="shared" si="297"/>
        <v/>
      </c>
      <c r="N2720" s="31" t="str">
        <f t="shared" si="298"/>
        <v/>
      </c>
      <c r="O2720" s="31" t="str">
        <f>IF(OR(B2720="",C2720=""),"",K2720-N2720 + IFERROR(E2720 / SUMIFS('📅 Resumen Diario'!$D$5:$D$504, '📅 Resumen Diario'!$B$5:$B$504, B2720, '📅 Resumen Diario'!$C$5:$C$504, D2720) * (SUMIFS('📋 Detalle Diario'!$E$5:$E$489, '📋 Detalle Diario'!$B$5:$B$489, B2720, '📋 Detalle Diario'!$C$5:$C$489, D2720) * 135 + SUMIFS('📋 Detalle Diario'!$I$5:$I$489, '📋 Detalle Diario'!$B$5:$B$489, B2720, '📋 Detalle Diario'!$C$5:$C$489, D2720) * 200), 0))</f>
        <v/>
      </c>
      <c r="P2720" s="32" t="str">
        <f t="shared" si="299"/>
        <v/>
      </c>
      <c r="Q2720" s="33" t="str">
        <f t="shared" si="300"/>
        <v/>
      </c>
    </row>
    <row r="2721" spans="2:17" ht="18" customHeight="1" x14ac:dyDescent="0.3">
      <c r="B2721" s="26"/>
      <c r="C2721" s="28"/>
      <c r="D2721" s="27"/>
      <c r="E2721" s="29"/>
      <c r="F2721" s="29"/>
      <c r="G2721" s="29"/>
      <c r="H2721" s="30" t="str">
        <f t="shared" si="294"/>
        <v/>
      </c>
      <c r="I2721" s="31" t="str">
        <f>IF(OR(B2721="",C2721=""),"",IFERROR(E2721*IF(E2721="",0,VLOOKUP(C2721,'📦 Precios Proforma'!$B$5:$D$104,IF(D2721="DIA",2,3),FALSE)),0))</f>
        <v/>
      </c>
      <c r="J2721" s="31" t="str">
        <f t="shared" si="295"/>
        <v/>
      </c>
      <c r="K2721" s="31" t="str">
        <f t="shared" si="296"/>
        <v/>
      </c>
      <c r="L2721" s="31" t="str">
        <f>IF(OR(B2721="",C2721=""),"",IFERROR(E2721 / SUMIFS('📅 Resumen Diario'!$D$5:$D$504, '📅 Resumen Diario'!$B$5:$B$504, B2721, '📅 Resumen Diario'!$C$5:$C$504, D2721) * SUMIFS('📅 Resumen Diario'!$K$5:$K$504, '📅 Resumen Diario'!$B$5:$B$504, B2721, '📅 Resumen Diario'!$C$5:$C$504, D2721), 0))</f>
        <v/>
      </c>
      <c r="M2721" s="31" t="str">
        <f t="shared" si="297"/>
        <v/>
      </c>
      <c r="N2721" s="31" t="str">
        <f t="shared" si="298"/>
        <v/>
      </c>
      <c r="O2721" s="31" t="str">
        <f>IF(OR(B2721="",C2721=""),"",K2721-N2721 + IFERROR(E2721 / SUMIFS('📅 Resumen Diario'!$D$5:$D$504, '📅 Resumen Diario'!$B$5:$B$504, B2721, '📅 Resumen Diario'!$C$5:$C$504, D2721) * (SUMIFS('📋 Detalle Diario'!$E$5:$E$489, '📋 Detalle Diario'!$B$5:$B$489, B2721, '📋 Detalle Diario'!$C$5:$C$489, D2721) * 135 + SUMIFS('📋 Detalle Diario'!$I$5:$I$489, '📋 Detalle Diario'!$B$5:$B$489, B2721, '📋 Detalle Diario'!$C$5:$C$489, D2721) * 200), 0))</f>
        <v/>
      </c>
      <c r="P2721" s="32" t="str">
        <f t="shared" si="299"/>
        <v/>
      </c>
      <c r="Q2721" s="33" t="str">
        <f t="shared" si="300"/>
        <v/>
      </c>
    </row>
    <row r="2722" spans="2:17" ht="18" customHeight="1" x14ac:dyDescent="0.3">
      <c r="B2722" s="26"/>
      <c r="C2722" s="17"/>
      <c r="D2722" s="27"/>
      <c r="E2722" s="18"/>
      <c r="F2722" s="18"/>
      <c r="G2722" s="18"/>
      <c r="H2722" s="30" t="str">
        <f t="shared" si="294"/>
        <v/>
      </c>
      <c r="I2722" s="31" t="str">
        <f>IF(OR(B2722="",C2722=""),"",IFERROR(E2722*IF(E2722="",0,VLOOKUP(C2722,'📦 Precios Proforma'!$B$5:$D$104,IF(D2722="DIA",2,3),FALSE)),0))</f>
        <v/>
      </c>
      <c r="J2722" s="31" t="str">
        <f t="shared" si="295"/>
        <v/>
      </c>
      <c r="K2722" s="31" t="str">
        <f t="shared" si="296"/>
        <v/>
      </c>
      <c r="L2722" s="31" t="str">
        <f>IF(OR(B2722="",C2722=""),"",IFERROR(E2722 / SUMIFS('📅 Resumen Diario'!$D$5:$D$504, '📅 Resumen Diario'!$B$5:$B$504, B2722, '📅 Resumen Diario'!$C$5:$C$504, D2722) * SUMIFS('📅 Resumen Diario'!$K$5:$K$504, '📅 Resumen Diario'!$B$5:$B$504, B2722, '📅 Resumen Diario'!$C$5:$C$504, D2722), 0))</f>
        <v/>
      </c>
      <c r="M2722" s="31" t="str">
        <f t="shared" si="297"/>
        <v/>
      </c>
      <c r="N2722" s="31" t="str">
        <f t="shared" si="298"/>
        <v/>
      </c>
      <c r="O2722" s="31" t="str">
        <f>IF(OR(B2722="",C2722=""),"",K2722-N2722 + IFERROR(E2722 / SUMIFS('📅 Resumen Diario'!$D$5:$D$504, '📅 Resumen Diario'!$B$5:$B$504, B2722, '📅 Resumen Diario'!$C$5:$C$504, D2722) * (SUMIFS('📋 Detalle Diario'!$E$5:$E$489, '📋 Detalle Diario'!$B$5:$B$489, B2722, '📋 Detalle Diario'!$C$5:$C$489, D2722) * 135 + SUMIFS('📋 Detalle Diario'!$I$5:$I$489, '📋 Detalle Diario'!$B$5:$B$489, B2722, '📋 Detalle Diario'!$C$5:$C$489, D2722) * 200), 0))</f>
        <v/>
      </c>
      <c r="P2722" s="32" t="str">
        <f t="shared" si="299"/>
        <v/>
      </c>
      <c r="Q2722" s="33" t="str">
        <f t="shared" si="300"/>
        <v/>
      </c>
    </row>
    <row r="2723" spans="2:17" ht="18" customHeight="1" x14ac:dyDescent="0.3">
      <c r="B2723" s="26"/>
      <c r="C2723" s="28"/>
      <c r="D2723" s="27"/>
      <c r="E2723" s="29"/>
      <c r="F2723" s="29"/>
      <c r="G2723" s="29"/>
      <c r="H2723" s="30" t="str">
        <f t="shared" si="294"/>
        <v/>
      </c>
      <c r="I2723" s="31" t="str">
        <f>IF(OR(B2723="",C2723=""),"",IFERROR(E2723*IF(E2723="",0,VLOOKUP(C2723,'📦 Precios Proforma'!$B$5:$D$104,IF(D2723="DIA",2,3),FALSE)),0))</f>
        <v/>
      </c>
      <c r="J2723" s="31" t="str">
        <f t="shared" si="295"/>
        <v/>
      </c>
      <c r="K2723" s="31" t="str">
        <f t="shared" si="296"/>
        <v/>
      </c>
      <c r="L2723" s="31" t="str">
        <f>IF(OR(B2723="",C2723=""),"",IFERROR(E2723 / SUMIFS('📅 Resumen Diario'!$D$5:$D$504, '📅 Resumen Diario'!$B$5:$B$504, B2723, '📅 Resumen Diario'!$C$5:$C$504, D2723) * SUMIFS('📅 Resumen Diario'!$K$5:$K$504, '📅 Resumen Diario'!$B$5:$B$504, B2723, '📅 Resumen Diario'!$C$5:$C$504, D2723), 0))</f>
        <v/>
      </c>
      <c r="M2723" s="31" t="str">
        <f t="shared" si="297"/>
        <v/>
      </c>
      <c r="N2723" s="31" t="str">
        <f t="shared" si="298"/>
        <v/>
      </c>
      <c r="O2723" s="31" t="str">
        <f>IF(OR(B2723="",C2723=""),"",K2723-N2723 + IFERROR(E2723 / SUMIFS('📅 Resumen Diario'!$D$5:$D$504, '📅 Resumen Diario'!$B$5:$B$504, B2723, '📅 Resumen Diario'!$C$5:$C$504, D2723) * (SUMIFS('📋 Detalle Diario'!$E$5:$E$489, '📋 Detalle Diario'!$B$5:$B$489, B2723, '📋 Detalle Diario'!$C$5:$C$489, D2723) * 135 + SUMIFS('📋 Detalle Diario'!$I$5:$I$489, '📋 Detalle Diario'!$B$5:$B$489, B2723, '📋 Detalle Diario'!$C$5:$C$489, D2723) * 200), 0))</f>
        <v/>
      </c>
      <c r="P2723" s="32" t="str">
        <f t="shared" si="299"/>
        <v/>
      </c>
      <c r="Q2723" s="33" t="str">
        <f t="shared" si="300"/>
        <v/>
      </c>
    </row>
    <row r="2724" spans="2:17" ht="18" customHeight="1" x14ac:dyDescent="0.3">
      <c r="B2724" s="26"/>
      <c r="C2724" s="17"/>
      <c r="D2724" s="27"/>
      <c r="E2724" s="18"/>
      <c r="F2724" s="18"/>
      <c r="G2724" s="18"/>
      <c r="H2724" s="30" t="str">
        <f t="shared" si="294"/>
        <v/>
      </c>
      <c r="I2724" s="31" t="str">
        <f>IF(OR(B2724="",C2724=""),"",IFERROR(E2724*IF(E2724="",0,VLOOKUP(C2724,'📦 Precios Proforma'!$B$5:$D$104,IF(D2724="DIA",2,3),FALSE)),0))</f>
        <v/>
      </c>
      <c r="J2724" s="31" t="str">
        <f t="shared" si="295"/>
        <v/>
      </c>
      <c r="K2724" s="31" t="str">
        <f t="shared" si="296"/>
        <v/>
      </c>
      <c r="L2724" s="31" t="str">
        <f>IF(OR(B2724="",C2724=""),"",IFERROR(E2724 / SUMIFS('📅 Resumen Diario'!$D$5:$D$504, '📅 Resumen Diario'!$B$5:$B$504, B2724, '📅 Resumen Diario'!$C$5:$C$504, D2724) * SUMIFS('📅 Resumen Diario'!$K$5:$K$504, '📅 Resumen Diario'!$B$5:$B$504, B2724, '📅 Resumen Diario'!$C$5:$C$504, D2724), 0))</f>
        <v/>
      </c>
      <c r="M2724" s="31" t="str">
        <f t="shared" si="297"/>
        <v/>
      </c>
      <c r="N2724" s="31" t="str">
        <f t="shared" si="298"/>
        <v/>
      </c>
      <c r="O2724" s="31" t="str">
        <f>IF(OR(B2724="",C2724=""),"",K2724-N2724 + IFERROR(E2724 / SUMIFS('📅 Resumen Diario'!$D$5:$D$504, '📅 Resumen Diario'!$B$5:$B$504, B2724, '📅 Resumen Diario'!$C$5:$C$504, D2724) * (SUMIFS('📋 Detalle Diario'!$E$5:$E$489, '📋 Detalle Diario'!$B$5:$B$489, B2724, '📋 Detalle Diario'!$C$5:$C$489, D2724) * 135 + SUMIFS('📋 Detalle Diario'!$I$5:$I$489, '📋 Detalle Diario'!$B$5:$B$489, B2724, '📋 Detalle Diario'!$C$5:$C$489, D2724) * 200), 0))</f>
        <v/>
      </c>
      <c r="P2724" s="32" t="str">
        <f t="shared" si="299"/>
        <v/>
      </c>
      <c r="Q2724" s="33" t="str">
        <f t="shared" si="300"/>
        <v/>
      </c>
    </row>
    <row r="2725" spans="2:17" ht="18" customHeight="1" x14ac:dyDescent="0.3">
      <c r="B2725" s="26"/>
      <c r="C2725" s="28"/>
      <c r="D2725" s="27"/>
      <c r="E2725" s="29"/>
      <c r="F2725" s="29"/>
      <c r="G2725" s="29"/>
      <c r="H2725" s="30" t="str">
        <f t="shared" si="294"/>
        <v/>
      </c>
      <c r="I2725" s="31" t="str">
        <f>IF(OR(B2725="",C2725=""),"",IFERROR(E2725*IF(E2725="",0,VLOOKUP(C2725,'📦 Precios Proforma'!$B$5:$D$104,IF(D2725="DIA",2,3),FALSE)),0))</f>
        <v/>
      </c>
      <c r="J2725" s="31" t="str">
        <f t="shared" si="295"/>
        <v/>
      </c>
      <c r="K2725" s="31" t="str">
        <f t="shared" si="296"/>
        <v/>
      </c>
      <c r="L2725" s="31" t="str">
        <f>IF(OR(B2725="",C2725=""),"",IFERROR(E2725 / SUMIFS('📅 Resumen Diario'!$D$5:$D$504, '📅 Resumen Diario'!$B$5:$B$504, B2725, '📅 Resumen Diario'!$C$5:$C$504, D2725) * SUMIFS('📅 Resumen Diario'!$K$5:$K$504, '📅 Resumen Diario'!$B$5:$B$504, B2725, '📅 Resumen Diario'!$C$5:$C$504, D2725), 0))</f>
        <v/>
      </c>
      <c r="M2725" s="31" t="str">
        <f t="shared" si="297"/>
        <v/>
      </c>
      <c r="N2725" s="31" t="str">
        <f t="shared" si="298"/>
        <v/>
      </c>
      <c r="O2725" s="31" t="str">
        <f>IF(OR(B2725="",C2725=""),"",K2725-N2725 + IFERROR(E2725 / SUMIFS('📅 Resumen Diario'!$D$5:$D$504, '📅 Resumen Diario'!$B$5:$B$504, B2725, '📅 Resumen Diario'!$C$5:$C$504, D2725) * (SUMIFS('📋 Detalle Diario'!$E$5:$E$489, '📋 Detalle Diario'!$B$5:$B$489, B2725, '📋 Detalle Diario'!$C$5:$C$489, D2725) * 135 + SUMIFS('📋 Detalle Diario'!$I$5:$I$489, '📋 Detalle Diario'!$B$5:$B$489, B2725, '📋 Detalle Diario'!$C$5:$C$489, D2725) * 200), 0))</f>
        <v/>
      </c>
      <c r="P2725" s="32" t="str">
        <f t="shared" si="299"/>
        <v/>
      </c>
      <c r="Q2725" s="33" t="str">
        <f t="shared" si="300"/>
        <v/>
      </c>
    </row>
    <row r="2726" spans="2:17" ht="18" customHeight="1" x14ac:dyDescent="0.3">
      <c r="B2726" s="26"/>
      <c r="C2726" s="17"/>
      <c r="D2726" s="27"/>
      <c r="E2726" s="18"/>
      <c r="F2726" s="18"/>
      <c r="G2726" s="18"/>
      <c r="H2726" s="30" t="str">
        <f t="shared" si="294"/>
        <v/>
      </c>
      <c r="I2726" s="31" t="str">
        <f>IF(OR(B2726="",C2726=""),"",IFERROR(E2726*IF(E2726="",0,VLOOKUP(C2726,'📦 Precios Proforma'!$B$5:$D$104,IF(D2726="DIA",2,3),FALSE)),0))</f>
        <v/>
      </c>
      <c r="J2726" s="31" t="str">
        <f t="shared" si="295"/>
        <v/>
      </c>
      <c r="K2726" s="31" t="str">
        <f t="shared" si="296"/>
        <v/>
      </c>
      <c r="L2726" s="31" t="str">
        <f>IF(OR(B2726="",C2726=""),"",IFERROR(E2726 / SUMIFS('📅 Resumen Diario'!$D$5:$D$504, '📅 Resumen Diario'!$B$5:$B$504, B2726, '📅 Resumen Diario'!$C$5:$C$504, D2726) * SUMIFS('📅 Resumen Diario'!$K$5:$K$504, '📅 Resumen Diario'!$B$5:$B$504, B2726, '📅 Resumen Diario'!$C$5:$C$504, D2726), 0))</f>
        <v/>
      </c>
      <c r="M2726" s="31" t="str">
        <f t="shared" si="297"/>
        <v/>
      </c>
      <c r="N2726" s="31" t="str">
        <f t="shared" si="298"/>
        <v/>
      </c>
      <c r="O2726" s="31" t="str">
        <f>IF(OR(B2726="",C2726=""),"",K2726-N2726 + IFERROR(E2726 / SUMIFS('📅 Resumen Diario'!$D$5:$D$504, '📅 Resumen Diario'!$B$5:$B$504, B2726, '📅 Resumen Diario'!$C$5:$C$504, D2726) * (SUMIFS('📋 Detalle Diario'!$E$5:$E$489, '📋 Detalle Diario'!$B$5:$B$489, B2726, '📋 Detalle Diario'!$C$5:$C$489, D2726) * 135 + SUMIFS('📋 Detalle Diario'!$I$5:$I$489, '📋 Detalle Diario'!$B$5:$B$489, B2726, '📋 Detalle Diario'!$C$5:$C$489, D2726) * 200), 0))</f>
        <v/>
      </c>
      <c r="P2726" s="32" t="str">
        <f t="shared" si="299"/>
        <v/>
      </c>
      <c r="Q2726" s="33" t="str">
        <f t="shared" si="300"/>
        <v/>
      </c>
    </row>
    <row r="2727" spans="2:17" ht="18" customHeight="1" x14ac:dyDescent="0.3">
      <c r="B2727" s="26"/>
      <c r="C2727" s="28"/>
      <c r="D2727" s="27"/>
      <c r="E2727" s="29"/>
      <c r="F2727" s="29"/>
      <c r="G2727" s="29"/>
      <c r="H2727" s="30" t="str">
        <f t="shared" si="294"/>
        <v/>
      </c>
      <c r="I2727" s="31" t="str">
        <f>IF(OR(B2727="",C2727=""),"",IFERROR(E2727*IF(E2727="",0,VLOOKUP(C2727,'📦 Precios Proforma'!$B$5:$D$104,IF(D2727="DIA",2,3),FALSE)),0))</f>
        <v/>
      </c>
      <c r="J2727" s="31" t="str">
        <f t="shared" si="295"/>
        <v/>
      </c>
      <c r="K2727" s="31" t="str">
        <f t="shared" si="296"/>
        <v/>
      </c>
      <c r="L2727" s="31" t="str">
        <f>IF(OR(B2727="",C2727=""),"",IFERROR(E2727 / SUMIFS('📅 Resumen Diario'!$D$5:$D$504, '📅 Resumen Diario'!$B$5:$B$504, B2727, '📅 Resumen Diario'!$C$5:$C$504, D2727) * SUMIFS('📅 Resumen Diario'!$K$5:$K$504, '📅 Resumen Diario'!$B$5:$B$504, B2727, '📅 Resumen Diario'!$C$5:$C$504, D2727), 0))</f>
        <v/>
      </c>
      <c r="M2727" s="31" t="str">
        <f t="shared" si="297"/>
        <v/>
      </c>
      <c r="N2727" s="31" t="str">
        <f t="shared" si="298"/>
        <v/>
      </c>
      <c r="O2727" s="31" t="str">
        <f>IF(OR(B2727="",C2727=""),"",K2727-N2727 + IFERROR(E2727 / SUMIFS('📅 Resumen Diario'!$D$5:$D$504, '📅 Resumen Diario'!$B$5:$B$504, B2727, '📅 Resumen Diario'!$C$5:$C$504, D2727) * (SUMIFS('📋 Detalle Diario'!$E$5:$E$489, '📋 Detalle Diario'!$B$5:$B$489, B2727, '📋 Detalle Diario'!$C$5:$C$489, D2727) * 135 + SUMIFS('📋 Detalle Diario'!$I$5:$I$489, '📋 Detalle Diario'!$B$5:$B$489, B2727, '📋 Detalle Diario'!$C$5:$C$489, D2727) * 200), 0))</f>
        <v/>
      </c>
      <c r="P2727" s="32" t="str">
        <f t="shared" si="299"/>
        <v/>
      </c>
      <c r="Q2727" s="33" t="str">
        <f t="shared" si="300"/>
        <v/>
      </c>
    </row>
    <row r="2728" spans="2:17" ht="18" customHeight="1" x14ac:dyDescent="0.3">
      <c r="B2728" s="26"/>
      <c r="C2728" s="17"/>
      <c r="D2728" s="27"/>
      <c r="E2728" s="18"/>
      <c r="F2728" s="18"/>
      <c r="G2728" s="18"/>
      <c r="H2728" s="30" t="str">
        <f t="shared" si="294"/>
        <v/>
      </c>
      <c r="I2728" s="31" t="str">
        <f>IF(OR(B2728="",C2728=""),"",IFERROR(E2728*IF(E2728="",0,VLOOKUP(C2728,'📦 Precios Proforma'!$B$5:$D$104,IF(D2728="DIA",2,3),FALSE)),0))</f>
        <v/>
      </c>
      <c r="J2728" s="31" t="str">
        <f t="shared" si="295"/>
        <v/>
      </c>
      <c r="K2728" s="31" t="str">
        <f t="shared" si="296"/>
        <v/>
      </c>
      <c r="L2728" s="31" t="str">
        <f>IF(OR(B2728="",C2728=""),"",IFERROR(E2728 / SUMIFS('📅 Resumen Diario'!$D$5:$D$504, '📅 Resumen Diario'!$B$5:$B$504, B2728, '📅 Resumen Diario'!$C$5:$C$504, D2728) * SUMIFS('📅 Resumen Diario'!$K$5:$K$504, '📅 Resumen Diario'!$B$5:$B$504, B2728, '📅 Resumen Diario'!$C$5:$C$504, D2728), 0))</f>
        <v/>
      </c>
      <c r="M2728" s="31" t="str">
        <f t="shared" si="297"/>
        <v/>
      </c>
      <c r="N2728" s="31" t="str">
        <f t="shared" si="298"/>
        <v/>
      </c>
      <c r="O2728" s="31" t="str">
        <f>IF(OR(B2728="",C2728=""),"",K2728-N2728 + IFERROR(E2728 / SUMIFS('📅 Resumen Diario'!$D$5:$D$504, '📅 Resumen Diario'!$B$5:$B$504, B2728, '📅 Resumen Diario'!$C$5:$C$504, D2728) * (SUMIFS('📋 Detalle Diario'!$E$5:$E$489, '📋 Detalle Diario'!$B$5:$B$489, B2728, '📋 Detalle Diario'!$C$5:$C$489, D2728) * 135 + SUMIFS('📋 Detalle Diario'!$I$5:$I$489, '📋 Detalle Diario'!$B$5:$B$489, B2728, '📋 Detalle Diario'!$C$5:$C$489, D2728) * 200), 0))</f>
        <v/>
      </c>
      <c r="P2728" s="32" t="str">
        <f t="shared" si="299"/>
        <v/>
      </c>
      <c r="Q2728" s="33" t="str">
        <f t="shared" si="300"/>
        <v/>
      </c>
    </row>
    <row r="2729" spans="2:17" ht="18" customHeight="1" x14ac:dyDescent="0.3">
      <c r="B2729" s="26"/>
      <c r="C2729" s="28"/>
      <c r="D2729" s="27"/>
      <c r="E2729" s="29"/>
      <c r="F2729" s="29"/>
      <c r="G2729" s="29"/>
      <c r="H2729" s="30" t="str">
        <f t="shared" si="294"/>
        <v/>
      </c>
      <c r="I2729" s="31" t="str">
        <f>IF(OR(B2729="",C2729=""),"",IFERROR(E2729*IF(E2729="",0,VLOOKUP(C2729,'📦 Precios Proforma'!$B$5:$D$104,IF(D2729="DIA",2,3),FALSE)),0))</f>
        <v/>
      </c>
      <c r="J2729" s="31" t="str">
        <f t="shared" si="295"/>
        <v/>
      </c>
      <c r="K2729" s="31" t="str">
        <f t="shared" si="296"/>
        <v/>
      </c>
      <c r="L2729" s="31" t="str">
        <f>IF(OR(B2729="",C2729=""),"",IFERROR(E2729 / SUMIFS('📅 Resumen Diario'!$D$5:$D$504, '📅 Resumen Diario'!$B$5:$B$504, B2729, '📅 Resumen Diario'!$C$5:$C$504, D2729) * SUMIFS('📅 Resumen Diario'!$K$5:$K$504, '📅 Resumen Diario'!$B$5:$B$504, B2729, '📅 Resumen Diario'!$C$5:$C$504, D2729), 0))</f>
        <v/>
      </c>
      <c r="M2729" s="31" t="str">
        <f t="shared" si="297"/>
        <v/>
      </c>
      <c r="N2729" s="31" t="str">
        <f t="shared" si="298"/>
        <v/>
      </c>
      <c r="O2729" s="31" t="str">
        <f>IF(OR(B2729="",C2729=""),"",K2729-N2729 + IFERROR(E2729 / SUMIFS('📅 Resumen Diario'!$D$5:$D$504, '📅 Resumen Diario'!$B$5:$B$504, B2729, '📅 Resumen Diario'!$C$5:$C$504, D2729) * (SUMIFS('📋 Detalle Diario'!$E$5:$E$489, '📋 Detalle Diario'!$B$5:$B$489, B2729, '📋 Detalle Diario'!$C$5:$C$489, D2729) * 135 + SUMIFS('📋 Detalle Diario'!$I$5:$I$489, '📋 Detalle Diario'!$B$5:$B$489, B2729, '📋 Detalle Diario'!$C$5:$C$489, D2729) * 200), 0))</f>
        <v/>
      </c>
      <c r="P2729" s="32" t="str">
        <f t="shared" si="299"/>
        <v/>
      </c>
      <c r="Q2729" s="33" t="str">
        <f t="shared" si="300"/>
        <v/>
      </c>
    </row>
    <row r="2730" spans="2:17" ht="18" customHeight="1" x14ac:dyDescent="0.3">
      <c r="B2730" s="26"/>
      <c r="C2730" s="17"/>
      <c r="D2730" s="27"/>
      <c r="E2730" s="18"/>
      <c r="F2730" s="18"/>
      <c r="G2730" s="18"/>
      <c r="H2730" s="30" t="str">
        <f t="shared" si="294"/>
        <v/>
      </c>
      <c r="I2730" s="31" t="str">
        <f>IF(OR(B2730="",C2730=""),"",IFERROR(E2730*IF(E2730="",0,VLOOKUP(C2730,'📦 Precios Proforma'!$B$5:$D$104,IF(D2730="DIA",2,3),FALSE)),0))</f>
        <v/>
      </c>
      <c r="J2730" s="31" t="str">
        <f t="shared" si="295"/>
        <v/>
      </c>
      <c r="K2730" s="31" t="str">
        <f t="shared" si="296"/>
        <v/>
      </c>
      <c r="L2730" s="31" t="str">
        <f>IF(OR(B2730="",C2730=""),"",IFERROR(E2730 / SUMIFS('📅 Resumen Diario'!$D$5:$D$504, '📅 Resumen Diario'!$B$5:$B$504, B2730, '📅 Resumen Diario'!$C$5:$C$504, D2730) * SUMIFS('📅 Resumen Diario'!$K$5:$K$504, '📅 Resumen Diario'!$B$5:$B$504, B2730, '📅 Resumen Diario'!$C$5:$C$504, D2730), 0))</f>
        <v/>
      </c>
      <c r="M2730" s="31" t="str">
        <f t="shared" si="297"/>
        <v/>
      </c>
      <c r="N2730" s="31" t="str">
        <f t="shared" si="298"/>
        <v/>
      </c>
      <c r="O2730" s="31" t="str">
        <f>IF(OR(B2730="",C2730=""),"",K2730-N2730 + IFERROR(E2730 / SUMIFS('📅 Resumen Diario'!$D$5:$D$504, '📅 Resumen Diario'!$B$5:$B$504, B2730, '📅 Resumen Diario'!$C$5:$C$504, D2730) * (SUMIFS('📋 Detalle Diario'!$E$5:$E$489, '📋 Detalle Diario'!$B$5:$B$489, B2730, '📋 Detalle Diario'!$C$5:$C$489, D2730) * 135 + SUMIFS('📋 Detalle Diario'!$I$5:$I$489, '📋 Detalle Diario'!$B$5:$B$489, B2730, '📋 Detalle Diario'!$C$5:$C$489, D2730) * 200), 0))</f>
        <v/>
      </c>
      <c r="P2730" s="32" t="str">
        <f t="shared" si="299"/>
        <v/>
      </c>
      <c r="Q2730" s="33" t="str">
        <f t="shared" si="300"/>
        <v/>
      </c>
    </row>
    <row r="2731" spans="2:17" ht="18" customHeight="1" x14ac:dyDescent="0.3">
      <c r="B2731" s="26"/>
      <c r="C2731" s="28"/>
      <c r="D2731" s="27"/>
      <c r="E2731" s="29"/>
      <c r="F2731" s="29"/>
      <c r="G2731" s="29"/>
      <c r="H2731" s="30" t="str">
        <f t="shared" si="294"/>
        <v/>
      </c>
      <c r="I2731" s="31" t="str">
        <f>IF(OR(B2731="",C2731=""),"",IFERROR(E2731*IF(E2731="",0,VLOOKUP(C2731,'📦 Precios Proforma'!$B$5:$D$104,IF(D2731="DIA",2,3),FALSE)),0))</f>
        <v/>
      </c>
      <c r="J2731" s="31" t="str">
        <f t="shared" si="295"/>
        <v/>
      </c>
      <c r="K2731" s="31" t="str">
        <f t="shared" si="296"/>
        <v/>
      </c>
      <c r="L2731" s="31" t="str">
        <f>IF(OR(B2731="",C2731=""),"",IFERROR(E2731 / SUMIFS('📅 Resumen Diario'!$D$5:$D$504, '📅 Resumen Diario'!$B$5:$B$504, B2731, '📅 Resumen Diario'!$C$5:$C$504, D2731) * SUMIFS('📅 Resumen Diario'!$K$5:$K$504, '📅 Resumen Diario'!$B$5:$B$504, B2731, '📅 Resumen Diario'!$C$5:$C$504, D2731), 0))</f>
        <v/>
      </c>
      <c r="M2731" s="31" t="str">
        <f t="shared" si="297"/>
        <v/>
      </c>
      <c r="N2731" s="31" t="str">
        <f t="shared" si="298"/>
        <v/>
      </c>
      <c r="O2731" s="31" t="str">
        <f>IF(OR(B2731="",C2731=""),"",K2731-N2731 + IFERROR(E2731 / SUMIFS('📅 Resumen Diario'!$D$5:$D$504, '📅 Resumen Diario'!$B$5:$B$504, B2731, '📅 Resumen Diario'!$C$5:$C$504, D2731) * (SUMIFS('📋 Detalle Diario'!$E$5:$E$489, '📋 Detalle Diario'!$B$5:$B$489, B2731, '📋 Detalle Diario'!$C$5:$C$489, D2731) * 135 + SUMIFS('📋 Detalle Diario'!$I$5:$I$489, '📋 Detalle Diario'!$B$5:$B$489, B2731, '📋 Detalle Diario'!$C$5:$C$489, D2731) * 200), 0))</f>
        <v/>
      </c>
      <c r="P2731" s="32" t="str">
        <f t="shared" si="299"/>
        <v/>
      </c>
      <c r="Q2731" s="33" t="str">
        <f t="shared" si="300"/>
        <v/>
      </c>
    </row>
    <row r="2732" spans="2:17" ht="18" customHeight="1" x14ac:dyDescent="0.3">
      <c r="B2732" s="26"/>
      <c r="C2732" s="17"/>
      <c r="D2732" s="27"/>
      <c r="E2732" s="18"/>
      <c r="F2732" s="18"/>
      <c r="G2732" s="18"/>
      <c r="H2732" s="30" t="str">
        <f t="shared" si="294"/>
        <v/>
      </c>
      <c r="I2732" s="31" t="str">
        <f>IF(OR(B2732="",C2732=""),"",IFERROR(E2732*IF(E2732="",0,VLOOKUP(C2732,'📦 Precios Proforma'!$B$5:$D$104,IF(D2732="DIA",2,3),FALSE)),0))</f>
        <v/>
      </c>
      <c r="J2732" s="31" t="str">
        <f t="shared" si="295"/>
        <v/>
      </c>
      <c r="K2732" s="31" t="str">
        <f t="shared" si="296"/>
        <v/>
      </c>
      <c r="L2732" s="31" t="str">
        <f>IF(OR(B2732="",C2732=""),"",IFERROR(E2732 / SUMIFS('📅 Resumen Diario'!$D$5:$D$504, '📅 Resumen Diario'!$B$5:$B$504, B2732, '📅 Resumen Diario'!$C$5:$C$504, D2732) * SUMIFS('📅 Resumen Diario'!$K$5:$K$504, '📅 Resumen Diario'!$B$5:$B$504, B2732, '📅 Resumen Diario'!$C$5:$C$504, D2732), 0))</f>
        <v/>
      </c>
      <c r="M2732" s="31" t="str">
        <f t="shared" si="297"/>
        <v/>
      </c>
      <c r="N2732" s="31" t="str">
        <f t="shared" si="298"/>
        <v/>
      </c>
      <c r="O2732" s="31" t="str">
        <f>IF(OR(B2732="",C2732=""),"",K2732-N2732 + IFERROR(E2732 / SUMIFS('📅 Resumen Diario'!$D$5:$D$504, '📅 Resumen Diario'!$B$5:$B$504, B2732, '📅 Resumen Diario'!$C$5:$C$504, D2732) * (SUMIFS('📋 Detalle Diario'!$E$5:$E$489, '📋 Detalle Diario'!$B$5:$B$489, B2732, '📋 Detalle Diario'!$C$5:$C$489, D2732) * 135 + SUMIFS('📋 Detalle Diario'!$I$5:$I$489, '📋 Detalle Diario'!$B$5:$B$489, B2732, '📋 Detalle Diario'!$C$5:$C$489, D2732) * 200), 0))</f>
        <v/>
      </c>
      <c r="P2732" s="32" t="str">
        <f t="shared" si="299"/>
        <v/>
      </c>
      <c r="Q2732" s="33" t="str">
        <f t="shared" si="300"/>
        <v/>
      </c>
    </row>
    <row r="2733" spans="2:17" ht="18" customHeight="1" x14ac:dyDescent="0.3">
      <c r="B2733" s="26"/>
      <c r="C2733" s="28"/>
      <c r="D2733" s="27"/>
      <c r="E2733" s="29"/>
      <c r="F2733" s="29"/>
      <c r="G2733" s="29"/>
      <c r="H2733" s="30" t="str">
        <f t="shared" si="294"/>
        <v/>
      </c>
      <c r="I2733" s="31" t="str">
        <f>IF(OR(B2733="",C2733=""),"",IFERROR(E2733*IF(E2733="",0,VLOOKUP(C2733,'📦 Precios Proforma'!$B$5:$D$104,IF(D2733="DIA",2,3),FALSE)),0))</f>
        <v/>
      </c>
      <c r="J2733" s="31" t="str">
        <f t="shared" si="295"/>
        <v/>
      </c>
      <c r="K2733" s="31" t="str">
        <f t="shared" si="296"/>
        <v/>
      </c>
      <c r="L2733" s="31" t="str">
        <f>IF(OR(B2733="",C2733=""),"",IFERROR(E2733 / SUMIFS('📅 Resumen Diario'!$D$5:$D$504, '📅 Resumen Diario'!$B$5:$B$504, B2733, '📅 Resumen Diario'!$C$5:$C$504, D2733) * SUMIFS('📅 Resumen Diario'!$K$5:$K$504, '📅 Resumen Diario'!$B$5:$B$504, B2733, '📅 Resumen Diario'!$C$5:$C$504, D2733), 0))</f>
        <v/>
      </c>
      <c r="M2733" s="31" t="str">
        <f t="shared" si="297"/>
        <v/>
      </c>
      <c r="N2733" s="31" t="str">
        <f t="shared" si="298"/>
        <v/>
      </c>
      <c r="O2733" s="31" t="str">
        <f>IF(OR(B2733="",C2733=""),"",K2733-N2733 + IFERROR(E2733 / SUMIFS('📅 Resumen Diario'!$D$5:$D$504, '📅 Resumen Diario'!$B$5:$B$504, B2733, '📅 Resumen Diario'!$C$5:$C$504, D2733) * (SUMIFS('📋 Detalle Diario'!$E$5:$E$489, '📋 Detalle Diario'!$B$5:$B$489, B2733, '📋 Detalle Diario'!$C$5:$C$489, D2733) * 135 + SUMIFS('📋 Detalle Diario'!$I$5:$I$489, '📋 Detalle Diario'!$B$5:$B$489, B2733, '📋 Detalle Diario'!$C$5:$C$489, D2733) * 200), 0))</f>
        <v/>
      </c>
      <c r="P2733" s="32" t="str">
        <f t="shared" si="299"/>
        <v/>
      </c>
      <c r="Q2733" s="33" t="str">
        <f t="shared" si="300"/>
        <v/>
      </c>
    </row>
    <row r="2734" spans="2:17" ht="18" customHeight="1" x14ac:dyDescent="0.3">
      <c r="B2734" s="26"/>
      <c r="C2734" s="17"/>
      <c r="D2734" s="27"/>
      <c r="E2734" s="18"/>
      <c r="F2734" s="18"/>
      <c r="G2734" s="18"/>
      <c r="H2734" s="30" t="str">
        <f t="shared" si="294"/>
        <v/>
      </c>
      <c r="I2734" s="31" t="str">
        <f>IF(OR(B2734="",C2734=""),"",IFERROR(E2734*IF(E2734="",0,VLOOKUP(C2734,'📦 Precios Proforma'!$B$5:$D$104,IF(D2734="DIA",2,3),FALSE)),0))</f>
        <v/>
      </c>
      <c r="J2734" s="31" t="str">
        <f t="shared" si="295"/>
        <v/>
      </c>
      <c r="K2734" s="31" t="str">
        <f t="shared" si="296"/>
        <v/>
      </c>
      <c r="L2734" s="31" t="str">
        <f>IF(OR(B2734="",C2734=""),"",IFERROR(E2734 / SUMIFS('📅 Resumen Diario'!$D$5:$D$504, '📅 Resumen Diario'!$B$5:$B$504, B2734, '📅 Resumen Diario'!$C$5:$C$504, D2734) * SUMIFS('📅 Resumen Diario'!$K$5:$K$504, '📅 Resumen Diario'!$B$5:$B$504, B2734, '📅 Resumen Diario'!$C$5:$C$504, D2734), 0))</f>
        <v/>
      </c>
      <c r="M2734" s="31" t="str">
        <f t="shared" si="297"/>
        <v/>
      </c>
      <c r="N2734" s="31" t="str">
        <f t="shared" si="298"/>
        <v/>
      </c>
      <c r="O2734" s="31" t="str">
        <f>IF(OR(B2734="",C2734=""),"",K2734-N2734 + IFERROR(E2734 / SUMIFS('📅 Resumen Diario'!$D$5:$D$504, '📅 Resumen Diario'!$B$5:$B$504, B2734, '📅 Resumen Diario'!$C$5:$C$504, D2734) * (SUMIFS('📋 Detalle Diario'!$E$5:$E$489, '📋 Detalle Diario'!$B$5:$B$489, B2734, '📋 Detalle Diario'!$C$5:$C$489, D2734) * 135 + SUMIFS('📋 Detalle Diario'!$I$5:$I$489, '📋 Detalle Diario'!$B$5:$B$489, B2734, '📋 Detalle Diario'!$C$5:$C$489, D2734) * 200), 0))</f>
        <v/>
      </c>
      <c r="P2734" s="32" t="str">
        <f t="shared" si="299"/>
        <v/>
      </c>
      <c r="Q2734" s="33" t="str">
        <f t="shared" si="300"/>
        <v/>
      </c>
    </row>
    <row r="2735" spans="2:17" ht="18" customHeight="1" x14ac:dyDescent="0.3">
      <c r="B2735" s="26"/>
      <c r="C2735" s="28"/>
      <c r="D2735" s="27"/>
      <c r="E2735" s="29"/>
      <c r="F2735" s="29"/>
      <c r="G2735" s="29"/>
      <c r="H2735" s="30" t="str">
        <f t="shared" si="294"/>
        <v/>
      </c>
      <c r="I2735" s="31" t="str">
        <f>IF(OR(B2735="",C2735=""),"",IFERROR(E2735*IF(E2735="",0,VLOOKUP(C2735,'📦 Precios Proforma'!$B$5:$D$104,IF(D2735="DIA",2,3),FALSE)),0))</f>
        <v/>
      </c>
      <c r="J2735" s="31" t="str">
        <f t="shared" si="295"/>
        <v/>
      </c>
      <c r="K2735" s="31" t="str">
        <f t="shared" si="296"/>
        <v/>
      </c>
      <c r="L2735" s="31" t="str">
        <f>IF(OR(B2735="",C2735=""),"",IFERROR(E2735 / SUMIFS('📅 Resumen Diario'!$D$5:$D$504, '📅 Resumen Diario'!$B$5:$B$504, B2735, '📅 Resumen Diario'!$C$5:$C$504, D2735) * SUMIFS('📅 Resumen Diario'!$K$5:$K$504, '📅 Resumen Diario'!$B$5:$B$504, B2735, '📅 Resumen Diario'!$C$5:$C$504, D2735), 0))</f>
        <v/>
      </c>
      <c r="M2735" s="31" t="str">
        <f t="shared" si="297"/>
        <v/>
      </c>
      <c r="N2735" s="31" t="str">
        <f t="shared" si="298"/>
        <v/>
      </c>
      <c r="O2735" s="31" t="str">
        <f>IF(OR(B2735="",C2735=""),"",K2735-N2735 + IFERROR(E2735 / SUMIFS('📅 Resumen Diario'!$D$5:$D$504, '📅 Resumen Diario'!$B$5:$B$504, B2735, '📅 Resumen Diario'!$C$5:$C$504, D2735) * (SUMIFS('📋 Detalle Diario'!$E$5:$E$489, '📋 Detalle Diario'!$B$5:$B$489, B2735, '📋 Detalle Diario'!$C$5:$C$489, D2735) * 135 + SUMIFS('📋 Detalle Diario'!$I$5:$I$489, '📋 Detalle Diario'!$B$5:$B$489, B2735, '📋 Detalle Diario'!$C$5:$C$489, D2735) * 200), 0))</f>
        <v/>
      </c>
      <c r="P2735" s="32" t="str">
        <f t="shared" si="299"/>
        <v/>
      </c>
      <c r="Q2735" s="33" t="str">
        <f t="shared" si="300"/>
        <v/>
      </c>
    </row>
    <row r="2736" spans="2:17" ht="18" customHeight="1" x14ac:dyDescent="0.3">
      <c r="B2736" s="26"/>
      <c r="C2736" s="17"/>
      <c r="D2736" s="27"/>
      <c r="E2736" s="18"/>
      <c r="F2736" s="18"/>
      <c r="G2736" s="18"/>
      <c r="H2736" s="30" t="str">
        <f t="shared" si="294"/>
        <v/>
      </c>
      <c r="I2736" s="31" t="str">
        <f>IF(OR(B2736="",C2736=""),"",IFERROR(E2736*IF(E2736="",0,VLOOKUP(C2736,'📦 Precios Proforma'!$B$5:$D$104,IF(D2736="DIA",2,3),FALSE)),0))</f>
        <v/>
      </c>
      <c r="J2736" s="31" t="str">
        <f t="shared" si="295"/>
        <v/>
      </c>
      <c r="K2736" s="31" t="str">
        <f t="shared" si="296"/>
        <v/>
      </c>
      <c r="L2736" s="31" t="str">
        <f>IF(OR(B2736="",C2736=""),"",IFERROR(E2736 / SUMIFS('📅 Resumen Diario'!$D$5:$D$504, '📅 Resumen Diario'!$B$5:$B$504, B2736, '📅 Resumen Diario'!$C$5:$C$504, D2736) * SUMIFS('📅 Resumen Diario'!$K$5:$K$504, '📅 Resumen Diario'!$B$5:$B$504, B2736, '📅 Resumen Diario'!$C$5:$C$504, D2736), 0))</f>
        <v/>
      </c>
      <c r="M2736" s="31" t="str">
        <f t="shared" si="297"/>
        <v/>
      </c>
      <c r="N2736" s="31" t="str">
        <f t="shared" si="298"/>
        <v/>
      </c>
      <c r="O2736" s="31" t="str">
        <f>IF(OR(B2736="",C2736=""),"",K2736-N2736 + IFERROR(E2736 / SUMIFS('📅 Resumen Diario'!$D$5:$D$504, '📅 Resumen Diario'!$B$5:$B$504, B2736, '📅 Resumen Diario'!$C$5:$C$504, D2736) * (SUMIFS('📋 Detalle Diario'!$E$5:$E$489, '📋 Detalle Diario'!$B$5:$B$489, B2736, '📋 Detalle Diario'!$C$5:$C$489, D2736) * 135 + SUMIFS('📋 Detalle Diario'!$I$5:$I$489, '📋 Detalle Diario'!$B$5:$B$489, B2736, '📋 Detalle Diario'!$C$5:$C$489, D2736) * 200), 0))</f>
        <v/>
      </c>
      <c r="P2736" s="32" t="str">
        <f t="shared" si="299"/>
        <v/>
      </c>
      <c r="Q2736" s="33" t="str">
        <f t="shared" si="300"/>
        <v/>
      </c>
    </row>
    <row r="2737" spans="2:17" ht="18" customHeight="1" x14ac:dyDescent="0.3">
      <c r="B2737" s="26"/>
      <c r="C2737" s="28"/>
      <c r="D2737" s="27"/>
      <c r="E2737" s="29"/>
      <c r="F2737" s="29"/>
      <c r="G2737" s="29"/>
      <c r="H2737" s="30" t="str">
        <f t="shared" si="294"/>
        <v/>
      </c>
      <c r="I2737" s="31" t="str">
        <f>IF(OR(B2737="",C2737=""),"",IFERROR(E2737*IF(E2737="",0,VLOOKUP(C2737,'📦 Precios Proforma'!$B$5:$D$104,IF(D2737="DIA",2,3),FALSE)),0))</f>
        <v/>
      </c>
      <c r="J2737" s="31" t="str">
        <f t="shared" si="295"/>
        <v/>
      </c>
      <c r="K2737" s="31" t="str">
        <f t="shared" si="296"/>
        <v/>
      </c>
      <c r="L2737" s="31" t="str">
        <f>IF(OR(B2737="",C2737=""),"",IFERROR(E2737 / SUMIFS('📅 Resumen Diario'!$D$5:$D$504, '📅 Resumen Diario'!$B$5:$B$504, B2737, '📅 Resumen Diario'!$C$5:$C$504, D2737) * SUMIFS('📅 Resumen Diario'!$K$5:$K$504, '📅 Resumen Diario'!$B$5:$B$504, B2737, '📅 Resumen Diario'!$C$5:$C$504, D2737), 0))</f>
        <v/>
      </c>
      <c r="M2737" s="31" t="str">
        <f t="shared" si="297"/>
        <v/>
      </c>
      <c r="N2737" s="31" t="str">
        <f t="shared" si="298"/>
        <v/>
      </c>
      <c r="O2737" s="31" t="str">
        <f>IF(OR(B2737="",C2737=""),"",K2737-N2737 + IFERROR(E2737 / SUMIFS('📅 Resumen Diario'!$D$5:$D$504, '📅 Resumen Diario'!$B$5:$B$504, B2737, '📅 Resumen Diario'!$C$5:$C$504, D2737) * (SUMIFS('📋 Detalle Diario'!$E$5:$E$489, '📋 Detalle Diario'!$B$5:$B$489, B2737, '📋 Detalle Diario'!$C$5:$C$489, D2737) * 135 + SUMIFS('📋 Detalle Diario'!$I$5:$I$489, '📋 Detalle Diario'!$B$5:$B$489, B2737, '📋 Detalle Diario'!$C$5:$C$489, D2737) * 200), 0))</f>
        <v/>
      </c>
      <c r="P2737" s="32" t="str">
        <f t="shared" si="299"/>
        <v/>
      </c>
      <c r="Q2737" s="33" t="str">
        <f t="shared" si="300"/>
        <v/>
      </c>
    </row>
    <row r="2738" spans="2:17" ht="18" customHeight="1" x14ac:dyDescent="0.3">
      <c r="B2738" s="26"/>
      <c r="C2738" s="17"/>
      <c r="D2738" s="27"/>
      <c r="E2738" s="18"/>
      <c r="F2738" s="18"/>
      <c r="G2738" s="18"/>
      <c r="H2738" s="30" t="str">
        <f t="shared" si="294"/>
        <v/>
      </c>
      <c r="I2738" s="31" t="str">
        <f>IF(OR(B2738="",C2738=""),"",IFERROR(E2738*IF(E2738="",0,VLOOKUP(C2738,'📦 Precios Proforma'!$B$5:$D$104,IF(D2738="DIA",2,3),FALSE)),0))</f>
        <v/>
      </c>
      <c r="J2738" s="31" t="str">
        <f t="shared" si="295"/>
        <v/>
      </c>
      <c r="K2738" s="31" t="str">
        <f t="shared" si="296"/>
        <v/>
      </c>
      <c r="L2738" s="31" t="str">
        <f>IF(OR(B2738="",C2738=""),"",IFERROR(E2738 / SUMIFS('📅 Resumen Diario'!$D$5:$D$504, '📅 Resumen Diario'!$B$5:$B$504, B2738, '📅 Resumen Diario'!$C$5:$C$504, D2738) * SUMIFS('📅 Resumen Diario'!$K$5:$K$504, '📅 Resumen Diario'!$B$5:$B$504, B2738, '📅 Resumen Diario'!$C$5:$C$504, D2738), 0))</f>
        <v/>
      </c>
      <c r="M2738" s="31" t="str">
        <f t="shared" si="297"/>
        <v/>
      </c>
      <c r="N2738" s="31" t="str">
        <f t="shared" si="298"/>
        <v/>
      </c>
      <c r="O2738" s="31" t="str">
        <f>IF(OR(B2738="",C2738=""),"",K2738-N2738 + IFERROR(E2738 / SUMIFS('📅 Resumen Diario'!$D$5:$D$504, '📅 Resumen Diario'!$B$5:$B$504, B2738, '📅 Resumen Diario'!$C$5:$C$504, D2738) * (SUMIFS('📋 Detalle Diario'!$E$5:$E$489, '📋 Detalle Diario'!$B$5:$B$489, B2738, '📋 Detalle Diario'!$C$5:$C$489, D2738) * 135 + SUMIFS('📋 Detalle Diario'!$I$5:$I$489, '📋 Detalle Diario'!$B$5:$B$489, B2738, '📋 Detalle Diario'!$C$5:$C$489, D2738) * 200), 0))</f>
        <v/>
      </c>
      <c r="P2738" s="32" t="str">
        <f t="shared" si="299"/>
        <v/>
      </c>
      <c r="Q2738" s="33" t="str">
        <f t="shared" si="300"/>
        <v/>
      </c>
    </row>
    <row r="2739" spans="2:17" ht="18" customHeight="1" x14ac:dyDescent="0.3">
      <c r="B2739" s="26"/>
      <c r="C2739" s="28"/>
      <c r="D2739" s="27"/>
      <c r="E2739" s="29"/>
      <c r="F2739" s="29"/>
      <c r="G2739" s="29"/>
      <c r="H2739" s="30" t="str">
        <f t="shared" si="294"/>
        <v/>
      </c>
      <c r="I2739" s="31" t="str">
        <f>IF(OR(B2739="",C2739=""),"",IFERROR(E2739*IF(E2739="",0,VLOOKUP(C2739,'📦 Precios Proforma'!$B$5:$D$104,IF(D2739="DIA",2,3),FALSE)),0))</f>
        <v/>
      </c>
      <c r="J2739" s="31" t="str">
        <f t="shared" si="295"/>
        <v/>
      </c>
      <c r="K2739" s="31" t="str">
        <f t="shared" si="296"/>
        <v/>
      </c>
      <c r="L2739" s="31" t="str">
        <f>IF(OR(B2739="",C2739=""),"",IFERROR(E2739 / SUMIFS('📅 Resumen Diario'!$D$5:$D$504, '📅 Resumen Diario'!$B$5:$B$504, B2739, '📅 Resumen Diario'!$C$5:$C$504, D2739) * SUMIFS('📅 Resumen Diario'!$K$5:$K$504, '📅 Resumen Diario'!$B$5:$B$504, B2739, '📅 Resumen Diario'!$C$5:$C$504, D2739), 0))</f>
        <v/>
      </c>
      <c r="M2739" s="31" t="str">
        <f t="shared" si="297"/>
        <v/>
      </c>
      <c r="N2739" s="31" t="str">
        <f t="shared" si="298"/>
        <v/>
      </c>
      <c r="O2739" s="31" t="str">
        <f>IF(OR(B2739="",C2739=""),"",K2739-N2739 + IFERROR(E2739 / SUMIFS('📅 Resumen Diario'!$D$5:$D$504, '📅 Resumen Diario'!$B$5:$B$504, B2739, '📅 Resumen Diario'!$C$5:$C$504, D2739) * (SUMIFS('📋 Detalle Diario'!$E$5:$E$489, '📋 Detalle Diario'!$B$5:$B$489, B2739, '📋 Detalle Diario'!$C$5:$C$489, D2739) * 135 + SUMIFS('📋 Detalle Diario'!$I$5:$I$489, '📋 Detalle Diario'!$B$5:$B$489, B2739, '📋 Detalle Diario'!$C$5:$C$489, D2739) * 200), 0))</f>
        <v/>
      </c>
      <c r="P2739" s="32" t="str">
        <f t="shared" si="299"/>
        <v/>
      </c>
      <c r="Q2739" s="33" t="str">
        <f t="shared" si="300"/>
        <v/>
      </c>
    </row>
    <row r="2740" spans="2:17" ht="18" customHeight="1" x14ac:dyDescent="0.3">
      <c r="B2740" s="26"/>
      <c r="C2740" s="17"/>
      <c r="D2740" s="27"/>
      <c r="E2740" s="18"/>
      <c r="F2740" s="18"/>
      <c r="G2740" s="18"/>
      <c r="H2740" s="30" t="str">
        <f t="shared" si="294"/>
        <v/>
      </c>
      <c r="I2740" s="31" t="str">
        <f>IF(OR(B2740="",C2740=""),"",IFERROR(E2740*IF(E2740="",0,VLOOKUP(C2740,'📦 Precios Proforma'!$B$5:$D$104,IF(D2740="DIA",2,3),FALSE)),0))</f>
        <v/>
      </c>
      <c r="J2740" s="31" t="str">
        <f t="shared" si="295"/>
        <v/>
      </c>
      <c r="K2740" s="31" t="str">
        <f t="shared" si="296"/>
        <v/>
      </c>
      <c r="L2740" s="31" t="str">
        <f>IF(OR(B2740="",C2740=""),"",IFERROR(E2740 / SUMIFS('📅 Resumen Diario'!$D$5:$D$504, '📅 Resumen Diario'!$B$5:$B$504, B2740, '📅 Resumen Diario'!$C$5:$C$504, D2740) * SUMIFS('📅 Resumen Diario'!$K$5:$K$504, '📅 Resumen Diario'!$B$5:$B$504, B2740, '📅 Resumen Diario'!$C$5:$C$504, D2740), 0))</f>
        <v/>
      </c>
      <c r="M2740" s="31" t="str">
        <f t="shared" si="297"/>
        <v/>
      </c>
      <c r="N2740" s="31" t="str">
        <f t="shared" si="298"/>
        <v/>
      </c>
      <c r="O2740" s="31" t="str">
        <f>IF(OR(B2740="",C2740=""),"",K2740-N2740 + IFERROR(E2740 / SUMIFS('📅 Resumen Diario'!$D$5:$D$504, '📅 Resumen Diario'!$B$5:$B$504, B2740, '📅 Resumen Diario'!$C$5:$C$504, D2740) * (SUMIFS('📋 Detalle Diario'!$E$5:$E$489, '📋 Detalle Diario'!$B$5:$B$489, B2740, '📋 Detalle Diario'!$C$5:$C$489, D2740) * 135 + SUMIFS('📋 Detalle Diario'!$I$5:$I$489, '📋 Detalle Diario'!$B$5:$B$489, B2740, '📋 Detalle Diario'!$C$5:$C$489, D2740) * 200), 0))</f>
        <v/>
      </c>
      <c r="P2740" s="32" t="str">
        <f t="shared" si="299"/>
        <v/>
      </c>
      <c r="Q2740" s="33" t="str">
        <f t="shared" si="300"/>
        <v/>
      </c>
    </row>
    <row r="2741" spans="2:17" ht="18" customHeight="1" x14ac:dyDescent="0.3">
      <c r="B2741" s="26"/>
      <c r="C2741" s="28"/>
      <c r="D2741" s="27"/>
      <c r="E2741" s="29"/>
      <c r="F2741" s="29"/>
      <c r="G2741" s="29"/>
      <c r="H2741" s="30" t="str">
        <f t="shared" si="294"/>
        <v/>
      </c>
      <c r="I2741" s="31" t="str">
        <f>IF(OR(B2741="",C2741=""),"",IFERROR(E2741*IF(E2741="",0,VLOOKUP(C2741,'📦 Precios Proforma'!$B$5:$D$104,IF(D2741="DIA",2,3),FALSE)),0))</f>
        <v/>
      </c>
      <c r="J2741" s="31" t="str">
        <f t="shared" si="295"/>
        <v/>
      </c>
      <c r="K2741" s="31" t="str">
        <f t="shared" si="296"/>
        <v/>
      </c>
      <c r="L2741" s="31" t="str">
        <f>IF(OR(B2741="",C2741=""),"",IFERROR(E2741 / SUMIFS('📅 Resumen Diario'!$D$5:$D$504, '📅 Resumen Diario'!$B$5:$B$504, B2741, '📅 Resumen Diario'!$C$5:$C$504, D2741) * SUMIFS('📅 Resumen Diario'!$K$5:$K$504, '📅 Resumen Diario'!$B$5:$B$504, B2741, '📅 Resumen Diario'!$C$5:$C$504, D2741), 0))</f>
        <v/>
      </c>
      <c r="M2741" s="31" t="str">
        <f t="shared" si="297"/>
        <v/>
      </c>
      <c r="N2741" s="31" t="str">
        <f t="shared" si="298"/>
        <v/>
      </c>
      <c r="O2741" s="31" t="str">
        <f>IF(OR(B2741="",C2741=""),"",K2741-N2741 + IFERROR(E2741 / SUMIFS('📅 Resumen Diario'!$D$5:$D$504, '📅 Resumen Diario'!$B$5:$B$504, B2741, '📅 Resumen Diario'!$C$5:$C$504, D2741) * (SUMIFS('📋 Detalle Diario'!$E$5:$E$489, '📋 Detalle Diario'!$B$5:$B$489, B2741, '📋 Detalle Diario'!$C$5:$C$489, D2741) * 135 + SUMIFS('📋 Detalle Diario'!$I$5:$I$489, '📋 Detalle Diario'!$B$5:$B$489, B2741, '📋 Detalle Diario'!$C$5:$C$489, D2741) * 200), 0))</f>
        <v/>
      </c>
      <c r="P2741" s="32" t="str">
        <f t="shared" si="299"/>
        <v/>
      </c>
      <c r="Q2741" s="33" t="str">
        <f t="shared" si="300"/>
        <v/>
      </c>
    </row>
    <row r="2742" spans="2:17" ht="18" customHeight="1" x14ac:dyDescent="0.3">
      <c r="B2742" s="26"/>
      <c r="C2742" s="17"/>
      <c r="D2742" s="27"/>
      <c r="E2742" s="18"/>
      <c r="F2742" s="18"/>
      <c r="G2742" s="18"/>
      <c r="H2742" s="30" t="str">
        <f t="shared" si="294"/>
        <v/>
      </c>
      <c r="I2742" s="31" t="str">
        <f>IF(OR(B2742="",C2742=""),"",IFERROR(E2742*IF(E2742="",0,VLOOKUP(C2742,'📦 Precios Proforma'!$B$5:$D$104,IF(D2742="DIA",2,3),FALSE)),0))</f>
        <v/>
      </c>
      <c r="J2742" s="31" t="str">
        <f t="shared" si="295"/>
        <v/>
      </c>
      <c r="K2742" s="31" t="str">
        <f t="shared" si="296"/>
        <v/>
      </c>
      <c r="L2742" s="31" t="str">
        <f>IF(OR(B2742="",C2742=""),"",IFERROR(E2742 / SUMIFS('📅 Resumen Diario'!$D$5:$D$504, '📅 Resumen Diario'!$B$5:$B$504, B2742, '📅 Resumen Diario'!$C$5:$C$504, D2742) * SUMIFS('📅 Resumen Diario'!$K$5:$K$504, '📅 Resumen Diario'!$B$5:$B$504, B2742, '📅 Resumen Diario'!$C$5:$C$504, D2742), 0))</f>
        <v/>
      </c>
      <c r="M2742" s="31" t="str">
        <f t="shared" si="297"/>
        <v/>
      </c>
      <c r="N2742" s="31" t="str">
        <f t="shared" si="298"/>
        <v/>
      </c>
      <c r="O2742" s="31" t="str">
        <f>IF(OR(B2742="",C2742=""),"",K2742-N2742 + IFERROR(E2742 / SUMIFS('📅 Resumen Diario'!$D$5:$D$504, '📅 Resumen Diario'!$B$5:$B$504, B2742, '📅 Resumen Diario'!$C$5:$C$504, D2742) * (SUMIFS('📋 Detalle Diario'!$E$5:$E$489, '📋 Detalle Diario'!$B$5:$B$489, B2742, '📋 Detalle Diario'!$C$5:$C$489, D2742) * 135 + SUMIFS('📋 Detalle Diario'!$I$5:$I$489, '📋 Detalle Diario'!$B$5:$B$489, B2742, '📋 Detalle Diario'!$C$5:$C$489, D2742) * 200), 0))</f>
        <v/>
      </c>
      <c r="P2742" s="32" t="str">
        <f t="shared" si="299"/>
        <v/>
      </c>
      <c r="Q2742" s="33" t="str">
        <f t="shared" si="300"/>
        <v/>
      </c>
    </row>
    <row r="2743" spans="2:17" ht="18" customHeight="1" x14ac:dyDescent="0.3">
      <c r="B2743" s="26"/>
      <c r="C2743" s="28"/>
      <c r="D2743" s="27"/>
      <c r="E2743" s="29"/>
      <c r="F2743" s="29"/>
      <c r="G2743" s="29"/>
      <c r="H2743" s="30" t="str">
        <f t="shared" si="294"/>
        <v/>
      </c>
      <c r="I2743" s="31" t="str">
        <f>IF(OR(B2743="",C2743=""),"",IFERROR(E2743*IF(E2743="",0,VLOOKUP(C2743,'📦 Precios Proforma'!$B$5:$D$104,IF(D2743="DIA",2,3),FALSE)),0))</f>
        <v/>
      </c>
      <c r="J2743" s="31" t="str">
        <f t="shared" si="295"/>
        <v/>
      </c>
      <c r="K2743" s="31" t="str">
        <f t="shared" si="296"/>
        <v/>
      </c>
      <c r="L2743" s="31" t="str">
        <f>IF(OR(B2743="",C2743=""),"",IFERROR(E2743 / SUMIFS('📅 Resumen Diario'!$D$5:$D$504, '📅 Resumen Diario'!$B$5:$B$504, B2743, '📅 Resumen Diario'!$C$5:$C$504, D2743) * SUMIFS('📅 Resumen Diario'!$K$5:$K$504, '📅 Resumen Diario'!$B$5:$B$504, B2743, '📅 Resumen Diario'!$C$5:$C$504, D2743), 0))</f>
        <v/>
      </c>
      <c r="M2743" s="31" t="str">
        <f t="shared" si="297"/>
        <v/>
      </c>
      <c r="N2743" s="31" t="str">
        <f t="shared" si="298"/>
        <v/>
      </c>
      <c r="O2743" s="31" t="str">
        <f>IF(OR(B2743="",C2743=""),"",K2743-N2743 + IFERROR(E2743 / SUMIFS('📅 Resumen Diario'!$D$5:$D$504, '📅 Resumen Diario'!$B$5:$B$504, B2743, '📅 Resumen Diario'!$C$5:$C$504, D2743) * (SUMIFS('📋 Detalle Diario'!$E$5:$E$489, '📋 Detalle Diario'!$B$5:$B$489, B2743, '📋 Detalle Diario'!$C$5:$C$489, D2743) * 135 + SUMIFS('📋 Detalle Diario'!$I$5:$I$489, '📋 Detalle Diario'!$B$5:$B$489, B2743, '📋 Detalle Diario'!$C$5:$C$489, D2743) * 200), 0))</f>
        <v/>
      </c>
      <c r="P2743" s="32" t="str">
        <f t="shared" si="299"/>
        <v/>
      </c>
      <c r="Q2743" s="33" t="str">
        <f t="shared" si="300"/>
        <v/>
      </c>
    </row>
    <row r="2744" spans="2:17" ht="18" customHeight="1" x14ac:dyDescent="0.3">
      <c r="B2744" s="26"/>
      <c r="C2744" s="17"/>
      <c r="D2744" s="27"/>
      <c r="E2744" s="18"/>
      <c r="F2744" s="18"/>
      <c r="G2744" s="18"/>
      <c r="H2744" s="30" t="str">
        <f t="shared" si="294"/>
        <v/>
      </c>
      <c r="I2744" s="31" t="str">
        <f>IF(OR(B2744="",C2744=""),"",IFERROR(E2744*IF(E2744="",0,VLOOKUP(C2744,'📦 Precios Proforma'!$B$5:$D$104,IF(D2744="DIA",2,3),FALSE)),0))</f>
        <v/>
      </c>
      <c r="J2744" s="31" t="str">
        <f t="shared" si="295"/>
        <v/>
      </c>
      <c r="K2744" s="31" t="str">
        <f t="shared" si="296"/>
        <v/>
      </c>
      <c r="L2744" s="31" t="str">
        <f>IF(OR(B2744="",C2744=""),"",IFERROR(E2744 / SUMIFS('📅 Resumen Diario'!$D$5:$D$504, '📅 Resumen Diario'!$B$5:$B$504, B2744, '📅 Resumen Diario'!$C$5:$C$504, D2744) * SUMIFS('📅 Resumen Diario'!$K$5:$K$504, '📅 Resumen Diario'!$B$5:$B$504, B2744, '📅 Resumen Diario'!$C$5:$C$504, D2744), 0))</f>
        <v/>
      </c>
      <c r="M2744" s="31" t="str">
        <f t="shared" si="297"/>
        <v/>
      </c>
      <c r="N2744" s="31" t="str">
        <f t="shared" si="298"/>
        <v/>
      </c>
      <c r="O2744" s="31" t="str">
        <f>IF(OR(B2744="",C2744=""),"",K2744-N2744 + IFERROR(E2744 / SUMIFS('📅 Resumen Diario'!$D$5:$D$504, '📅 Resumen Diario'!$B$5:$B$504, B2744, '📅 Resumen Diario'!$C$5:$C$504, D2744) * (SUMIFS('📋 Detalle Diario'!$E$5:$E$489, '📋 Detalle Diario'!$B$5:$B$489, B2744, '📋 Detalle Diario'!$C$5:$C$489, D2744) * 135 + SUMIFS('📋 Detalle Diario'!$I$5:$I$489, '📋 Detalle Diario'!$B$5:$B$489, B2744, '📋 Detalle Diario'!$C$5:$C$489, D2744) * 200), 0))</f>
        <v/>
      </c>
      <c r="P2744" s="32" t="str">
        <f t="shared" si="299"/>
        <v/>
      </c>
      <c r="Q2744" s="33" t="str">
        <f t="shared" si="300"/>
        <v/>
      </c>
    </row>
    <row r="2745" spans="2:17" ht="18" customHeight="1" x14ac:dyDescent="0.3">
      <c r="B2745" s="26"/>
      <c r="C2745" s="28"/>
      <c r="D2745" s="27"/>
      <c r="E2745" s="29"/>
      <c r="F2745" s="29"/>
      <c r="G2745" s="29"/>
      <c r="H2745" s="30" t="str">
        <f t="shared" si="294"/>
        <v/>
      </c>
      <c r="I2745" s="31" t="str">
        <f>IF(OR(B2745="",C2745=""),"",IFERROR(E2745*IF(E2745="",0,VLOOKUP(C2745,'📦 Precios Proforma'!$B$5:$D$104,IF(D2745="DIA",2,3),FALSE)),0))</f>
        <v/>
      </c>
      <c r="J2745" s="31" t="str">
        <f t="shared" si="295"/>
        <v/>
      </c>
      <c r="K2745" s="31" t="str">
        <f t="shared" si="296"/>
        <v/>
      </c>
      <c r="L2745" s="31" t="str">
        <f>IF(OR(B2745="",C2745=""),"",IFERROR(E2745 / SUMIFS('📅 Resumen Diario'!$D$5:$D$504, '📅 Resumen Diario'!$B$5:$B$504, B2745, '📅 Resumen Diario'!$C$5:$C$504, D2745) * SUMIFS('📅 Resumen Diario'!$K$5:$K$504, '📅 Resumen Diario'!$B$5:$B$504, B2745, '📅 Resumen Diario'!$C$5:$C$504, D2745), 0))</f>
        <v/>
      </c>
      <c r="M2745" s="31" t="str">
        <f t="shared" si="297"/>
        <v/>
      </c>
      <c r="N2745" s="31" t="str">
        <f t="shared" si="298"/>
        <v/>
      </c>
      <c r="O2745" s="31" t="str">
        <f>IF(OR(B2745="",C2745=""),"",K2745-N2745 + IFERROR(E2745 / SUMIFS('📅 Resumen Diario'!$D$5:$D$504, '📅 Resumen Diario'!$B$5:$B$504, B2745, '📅 Resumen Diario'!$C$5:$C$504, D2745) * (SUMIFS('📋 Detalle Diario'!$E$5:$E$489, '📋 Detalle Diario'!$B$5:$B$489, B2745, '📋 Detalle Diario'!$C$5:$C$489, D2745) * 135 + SUMIFS('📋 Detalle Diario'!$I$5:$I$489, '📋 Detalle Diario'!$B$5:$B$489, B2745, '📋 Detalle Diario'!$C$5:$C$489, D2745) * 200), 0))</f>
        <v/>
      </c>
      <c r="P2745" s="32" t="str">
        <f t="shared" si="299"/>
        <v/>
      </c>
      <c r="Q2745" s="33" t="str">
        <f t="shared" si="300"/>
        <v/>
      </c>
    </row>
    <row r="2746" spans="2:17" ht="18" customHeight="1" x14ac:dyDescent="0.3">
      <c r="B2746" s="26"/>
      <c r="C2746" s="17"/>
      <c r="D2746" s="27"/>
      <c r="E2746" s="18"/>
      <c r="F2746" s="18"/>
      <c r="G2746" s="18"/>
      <c r="H2746" s="30" t="str">
        <f t="shared" si="294"/>
        <v/>
      </c>
      <c r="I2746" s="31" t="str">
        <f>IF(OR(B2746="",C2746=""),"",IFERROR(E2746*IF(E2746="",0,VLOOKUP(C2746,'📦 Precios Proforma'!$B$5:$D$104,IF(D2746="DIA",2,3),FALSE)),0))</f>
        <v/>
      </c>
      <c r="J2746" s="31" t="str">
        <f t="shared" si="295"/>
        <v/>
      </c>
      <c r="K2746" s="31" t="str">
        <f t="shared" si="296"/>
        <v/>
      </c>
      <c r="L2746" s="31" t="str">
        <f>IF(OR(B2746="",C2746=""),"",IFERROR(E2746 / SUMIFS('📅 Resumen Diario'!$D$5:$D$504, '📅 Resumen Diario'!$B$5:$B$504, B2746, '📅 Resumen Diario'!$C$5:$C$504, D2746) * SUMIFS('📅 Resumen Diario'!$K$5:$K$504, '📅 Resumen Diario'!$B$5:$B$504, B2746, '📅 Resumen Diario'!$C$5:$C$504, D2746), 0))</f>
        <v/>
      </c>
      <c r="M2746" s="31" t="str">
        <f t="shared" si="297"/>
        <v/>
      </c>
      <c r="N2746" s="31" t="str">
        <f t="shared" si="298"/>
        <v/>
      </c>
      <c r="O2746" s="31" t="str">
        <f>IF(OR(B2746="",C2746=""),"",K2746-N2746 + IFERROR(E2746 / SUMIFS('📅 Resumen Diario'!$D$5:$D$504, '📅 Resumen Diario'!$B$5:$B$504, B2746, '📅 Resumen Diario'!$C$5:$C$504, D2746) * (SUMIFS('📋 Detalle Diario'!$E$5:$E$489, '📋 Detalle Diario'!$B$5:$B$489, B2746, '📋 Detalle Diario'!$C$5:$C$489, D2746) * 135 + SUMIFS('📋 Detalle Diario'!$I$5:$I$489, '📋 Detalle Diario'!$B$5:$B$489, B2746, '📋 Detalle Diario'!$C$5:$C$489, D2746) * 200), 0))</f>
        <v/>
      </c>
      <c r="P2746" s="32" t="str">
        <f t="shared" si="299"/>
        <v/>
      </c>
      <c r="Q2746" s="33" t="str">
        <f t="shared" si="300"/>
        <v/>
      </c>
    </row>
    <row r="2747" spans="2:17" ht="18" customHeight="1" x14ac:dyDescent="0.3">
      <c r="B2747" s="26"/>
      <c r="C2747" s="28"/>
      <c r="D2747" s="27"/>
      <c r="E2747" s="29"/>
      <c r="F2747" s="29"/>
      <c r="G2747" s="29"/>
      <c r="H2747" s="30" t="str">
        <f t="shared" si="294"/>
        <v/>
      </c>
      <c r="I2747" s="31" t="str">
        <f>IF(OR(B2747="",C2747=""),"",IFERROR(E2747*IF(E2747="",0,VLOOKUP(C2747,'📦 Precios Proforma'!$B$5:$D$104,IF(D2747="DIA",2,3),FALSE)),0))</f>
        <v/>
      </c>
      <c r="J2747" s="31" t="str">
        <f t="shared" si="295"/>
        <v/>
      </c>
      <c r="K2747" s="31" t="str">
        <f t="shared" si="296"/>
        <v/>
      </c>
      <c r="L2747" s="31" t="str">
        <f>IF(OR(B2747="",C2747=""),"",IFERROR(E2747 / SUMIFS('📅 Resumen Diario'!$D$5:$D$504, '📅 Resumen Diario'!$B$5:$B$504, B2747, '📅 Resumen Diario'!$C$5:$C$504, D2747) * SUMIFS('📅 Resumen Diario'!$K$5:$K$504, '📅 Resumen Diario'!$B$5:$B$504, B2747, '📅 Resumen Diario'!$C$5:$C$504, D2747), 0))</f>
        <v/>
      </c>
      <c r="M2747" s="31" t="str">
        <f t="shared" si="297"/>
        <v/>
      </c>
      <c r="N2747" s="31" t="str">
        <f t="shared" si="298"/>
        <v/>
      </c>
      <c r="O2747" s="31" t="str">
        <f>IF(OR(B2747="",C2747=""),"",K2747-N2747 + IFERROR(E2747 / SUMIFS('📅 Resumen Diario'!$D$5:$D$504, '📅 Resumen Diario'!$B$5:$B$504, B2747, '📅 Resumen Diario'!$C$5:$C$504, D2747) * (SUMIFS('📋 Detalle Diario'!$E$5:$E$489, '📋 Detalle Diario'!$B$5:$B$489, B2747, '📋 Detalle Diario'!$C$5:$C$489, D2747) * 135 + SUMIFS('📋 Detalle Diario'!$I$5:$I$489, '📋 Detalle Diario'!$B$5:$B$489, B2747, '📋 Detalle Diario'!$C$5:$C$489, D2747) * 200), 0))</f>
        <v/>
      </c>
      <c r="P2747" s="32" t="str">
        <f t="shared" si="299"/>
        <v/>
      </c>
      <c r="Q2747" s="33" t="str">
        <f t="shared" si="300"/>
        <v/>
      </c>
    </row>
    <row r="2748" spans="2:17" ht="18" customHeight="1" x14ac:dyDescent="0.3">
      <c r="B2748" s="26"/>
      <c r="C2748" s="17"/>
      <c r="D2748" s="27"/>
      <c r="E2748" s="18"/>
      <c r="F2748" s="18"/>
      <c r="G2748" s="18"/>
      <c r="H2748" s="30" t="str">
        <f t="shared" si="294"/>
        <v/>
      </c>
      <c r="I2748" s="31" t="str">
        <f>IF(OR(B2748="",C2748=""),"",IFERROR(E2748*IF(E2748="",0,VLOOKUP(C2748,'📦 Precios Proforma'!$B$5:$D$104,IF(D2748="DIA",2,3),FALSE)),0))</f>
        <v/>
      </c>
      <c r="J2748" s="31" t="str">
        <f t="shared" si="295"/>
        <v/>
      </c>
      <c r="K2748" s="31" t="str">
        <f t="shared" si="296"/>
        <v/>
      </c>
      <c r="L2748" s="31" t="str">
        <f>IF(OR(B2748="",C2748=""),"",IFERROR(E2748 / SUMIFS('📅 Resumen Diario'!$D$5:$D$504, '📅 Resumen Diario'!$B$5:$B$504, B2748, '📅 Resumen Diario'!$C$5:$C$504, D2748) * SUMIFS('📅 Resumen Diario'!$K$5:$K$504, '📅 Resumen Diario'!$B$5:$B$504, B2748, '📅 Resumen Diario'!$C$5:$C$504, D2748), 0))</f>
        <v/>
      </c>
      <c r="M2748" s="31" t="str">
        <f t="shared" si="297"/>
        <v/>
      </c>
      <c r="N2748" s="31" t="str">
        <f t="shared" si="298"/>
        <v/>
      </c>
      <c r="O2748" s="31" t="str">
        <f>IF(OR(B2748="",C2748=""),"",K2748-N2748 + IFERROR(E2748 / SUMIFS('📅 Resumen Diario'!$D$5:$D$504, '📅 Resumen Diario'!$B$5:$B$504, B2748, '📅 Resumen Diario'!$C$5:$C$504, D2748) * (SUMIFS('📋 Detalle Diario'!$E$5:$E$489, '📋 Detalle Diario'!$B$5:$B$489, B2748, '📋 Detalle Diario'!$C$5:$C$489, D2748) * 135 + SUMIFS('📋 Detalle Diario'!$I$5:$I$489, '📋 Detalle Diario'!$B$5:$B$489, B2748, '📋 Detalle Diario'!$C$5:$C$489, D2748) * 200), 0))</f>
        <v/>
      </c>
      <c r="P2748" s="32" t="str">
        <f t="shared" si="299"/>
        <v/>
      </c>
      <c r="Q2748" s="33" t="str">
        <f t="shared" si="300"/>
        <v/>
      </c>
    </row>
    <row r="2749" spans="2:17" ht="18" customHeight="1" x14ac:dyDescent="0.3">
      <c r="B2749" s="26"/>
      <c r="C2749" s="28"/>
      <c r="D2749" s="27"/>
      <c r="E2749" s="29"/>
      <c r="F2749" s="29"/>
      <c r="G2749" s="29"/>
      <c r="H2749" s="30" t="str">
        <f t="shared" si="294"/>
        <v/>
      </c>
      <c r="I2749" s="31" t="str">
        <f>IF(OR(B2749="",C2749=""),"",IFERROR(E2749*IF(E2749="",0,VLOOKUP(C2749,'📦 Precios Proforma'!$B$5:$D$104,IF(D2749="DIA",2,3),FALSE)),0))</f>
        <v/>
      </c>
      <c r="J2749" s="31" t="str">
        <f t="shared" si="295"/>
        <v/>
      </c>
      <c r="K2749" s="31" t="str">
        <f t="shared" si="296"/>
        <v/>
      </c>
      <c r="L2749" s="31" t="str">
        <f>IF(OR(B2749="",C2749=""),"",IFERROR(E2749 / SUMIFS('📅 Resumen Diario'!$D$5:$D$504, '📅 Resumen Diario'!$B$5:$B$504, B2749, '📅 Resumen Diario'!$C$5:$C$504, D2749) * SUMIFS('📅 Resumen Diario'!$K$5:$K$504, '📅 Resumen Diario'!$B$5:$B$504, B2749, '📅 Resumen Diario'!$C$5:$C$504, D2749), 0))</f>
        <v/>
      </c>
      <c r="M2749" s="31" t="str">
        <f t="shared" si="297"/>
        <v/>
      </c>
      <c r="N2749" s="31" t="str">
        <f t="shared" si="298"/>
        <v/>
      </c>
      <c r="O2749" s="31" t="str">
        <f>IF(OR(B2749="",C2749=""),"",K2749-N2749 + IFERROR(E2749 / SUMIFS('📅 Resumen Diario'!$D$5:$D$504, '📅 Resumen Diario'!$B$5:$B$504, B2749, '📅 Resumen Diario'!$C$5:$C$504, D2749) * (SUMIFS('📋 Detalle Diario'!$E$5:$E$489, '📋 Detalle Diario'!$B$5:$B$489, B2749, '📋 Detalle Diario'!$C$5:$C$489, D2749) * 135 + SUMIFS('📋 Detalle Diario'!$I$5:$I$489, '📋 Detalle Diario'!$B$5:$B$489, B2749, '📋 Detalle Diario'!$C$5:$C$489, D2749) * 200), 0))</f>
        <v/>
      </c>
      <c r="P2749" s="32" t="str">
        <f t="shared" si="299"/>
        <v/>
      </c>
      <c r="Q2749" s="33" t="str">
        <f t="shared" si="300"/>
        <v/>
      </c>
    </row>
    <row r="2750" spans="2:17" ht="18" customHeight="1" x14ac:dyDescent="0.3">
      <c r="B2750" s="26"/>
      <c r="C2750" s="17"/>
      <c r="D2750" s="27"/>
      <c r="E2750" s="18"/>
      <c r="F2750" s="18"/>
      <c r="G2750" s="18"/>
      <c r="H2750" s="30" t="str">
        <f t="shared" si="294"/>
        <v/>
      </c>
      <c r="I2750" s="31" t="str">
        <f>IF(OR(B2750="",C2750=""),"",IFERROR(E2750*IF(E2750="",0,VLOOKUP(C2750,'📦 Precios Proforma'!$B$5:$D$104,IF(D2750="DIA",2,3),FALSE)),0))</f>
        <v/>
      </c>
      <c r="J2750" s="31" t="str">
        <f t="shared" si="295"/>
        <v/>
      </c>
      <c r="K2750" s="31" t="str">
        <f t="shared" si="296"/>
        <v/>
      </c>
      <c r="L2750" s="31" t="str">
        <f>IF(OR(B2750="",C2750=""),"",IFERROR(E2750 / SUMIFS('📅 Resumen Diario'!$D$5:$D$504, '📅 Resumen Diario'!$B$5:$B$504, B2750, '📅 Resumen Diario'!$C$5:$C$504, D2750) * SUMIFS('📅 Resumen Diario'!$K$5:$K$504, '📅 Resumen Diario'!$B$5:$B$504, B2750, '📅 Resumen Diario'!$C$5:$C$504, D2750), 0))</f>
        <v/>
      </c>
      <c r="M2750" s="31" t="str">
        <f t="shared" si="297"/>
        <v/>
      </c>
      <c r="N2750" s="31" t="str">
        <f t="shared" si="298"/>
        <v/>
      </c>
      <c r="O2750" s="31" t="str">
        <f>IF(OR(B2750="",C2750=""),"",K2750-N2750 + IFERROR(E2750 / SUMIFS('📅 Resumen Diario'!$D$5:$D$504, '📅 Resumen Diario'!$B$5:$B$504, B2750, '📅 Resumen Diario'!$C$5:$C$504, D2750) * (SUMIFS('📋 Detalle Diario'!$E$5:$E$489, '📋 Detalle Diario'!$B$5:$B$489, B2750, '📋 Detalle Diario'!$C$5:$C$489, D2750) * 135 + SUMIFS('📋 Detalle Diario'!$I$5:$I$489, '📋 Detalle Diario'!$B$5:$B$489, B2750, '📋 Detalle Diario'!$C$5:$C$489, D2750) * 200), 0))</f>
        <v/>
      </c>
      <c r="P2750" s="32" t="str">
        <f t="shared" si="299"/>
        <v/>
      </c>
      <c r="Q2750" s="33" t="str">
        <f t="shared" si="300"/>
        <v/>
      </c>
    </row>
    <row r="2751" spans="2:17" ht="18" customHeight="1" x14ac:dyDescent="0.3">
      <c r="B2751" s="26"/>
      <c r="C2751" s="28"/>
      <c r="D2751" s="27"/>
      <c r="E2751" s="29"/>
      <c r="F2751" s="29"/>
      <c r="G2751" s="29"/>
      <c r="H2751" s="30" t="str">
        <f t="shared" si="294"/>
        <v/>
      </c>
      <c r="I2751" s="31" t="str">
        <f>IF(OR(B2751="",C2751=""),"",IFERROR(E2751*IF(E2751="",0,VLOOKUP(C2751,'📦 Precios Proforma'!$B$5:$D$104,IF(D2751="DIA",2,3),FALSE)),0))</f>
        <v/>
      </c>
      <c r="J2751" s="31" t="str">
        <f t="shared" si="295"/>
        <v/>
      </c>
      <c r="K2751" s="31" t="str">
        <f t="shared" si="296"/>
        <v/>
      </c>
      <c r="L2751" s="31" t="str">
        <f>IF(OR(B2751="",C2751=""),"",IFERROR(E2751 / SUMIFS('📅 Resumen Diario'!$D$5:$D$504, '📅 Resumen Diario'!$B$5:$B$504, B2751, '📅 Resumen Diario'!$C$5:$C$504, D2751) * SUMIFS('📅 Resumen Diario'!$K$5:$K$504, '📅 Resumen Diario'!$B$5:$B$504, B2751, '📅 Resumen Diario'!$C$5:$C$504, D2751), 0))</f>
        <v/>
      </c>
      <c r="M2751" s="31" t="str">
        <f t="shared" si="297"/>
        <v/>
      </c>
      <c r="N2751" s="31" t="str">
        <f t="shared" si="298"/>
        <v/>
      </c>
      <c r="O2751" s="31" t="str">
        <f>IF(OR(B2751="",C2751=""),"",K2751-N2751 + IFERROR(E2751 / SUMIFS('📅 Resumen Diario'!$D$5:$D$504, '📅 Resumen Diario'!$B$5:$B$504, B2751, '📅 Resumen Diario'!$C$5:$C$504, D2751) * (SUMIFS('📋 Detalle Diario'!$E$5:$E$489, '📋 Detalle Diario'!$B$5:$B$489, B2751, '📋 Detalle Diario'!$C$5:$C$489, D2751) * 135 + SUMIFS('📋 Detalle Diario'!$I$5:$I$489, '📋 Detalle Diario'!$B$5:$B$489, B2751, '📋 Detalle Diario'!$C$5:$C$489, D2751) * 200), 0))</f>
        <v/>
      </c>
      <c r="P2751" s="32" t="str">
        <f t="shared" si="299"/>
        <v/>
      </c>
      <c r="Q2751" s="33" t="str">
        <f t="shared" si="300"/>
        <v/>
      </c>
    </row>
    <row r="2752" spans="2:17" ht="18" customHeight="1" x14ac:dyDescent="0.3">
      <c r="B2752" s="26"/>
      <c r="C2752" s="17"/>
      <c r="D2752" s="27"/>
      <c r="E2752" s="18"/>
      <c r="F2752" s="18"/>
      <c r="G2752" s="18"/>
      <c r="H2752" s="30" t="str">
        <f t="shared" si="294"/>
        <v/>
      </c>
      <c r="I2752" s="31" t="str">
        <f>IF(OR(B2752="",C2752=""),"",IFERROR(E2752*IF(E2752="",0,VLOOKUP(C2752,'📦 Precios Proforma'!$B$5:$D$104,IF(D2752="DIA",2,3),FALSE)),0))</f>
        <v/>
      </c>
      <c r="J2752" s="31" t="str">
        <f t="shared" si="295"/>
        <v/>
      </c>
      <c r="K2752" s="31" t="str">
        <f t="shared" si="296"/>
        <v/>
      </c>
      <c r="L2752" s="31" t="str">
        <f>IF(OR(B2752="",C2752=""),"",IFERROR(E2752 / SUMIFS('📅 Resumen Diario'!$D$5:$D$504, '📅 Resumen Diario'!$B$5:$B$504, B2752, '📅 Resumen Diario'!$C$5:$C$504, D2752) * SUMIFS('📅 Resumen Diario'!$K$5:$K$504, '📅 Resumen Diario'!$B$5:$B$504, B2752, '📅 Resumen Diario'!$C$5:$C$504, D2752), 0))</f>
        <v/>
      </c>
      <c r="M2752" s="31" t="str">
        <f t="shared" si="297"/>
        <v/>
      </c>
      <c r="N2752" s="31" t="str">
        <f t="shared" si="298"/>
        <v/>
      </c>
      <c r="O2752" s="31" t="str">
        <f>IF(OR(B2752="",C2752=""),"",K2752-N2752 + IFERROR(E2752 / SUMIFS('📅 Resumen Diario'!$D$5:$D$504, '📅 Resumen Diario'!$B$5:$B$504, B2752, '📅 Resumen Diario'!$C$5:$C$504, D2752) * (SUMIFS('📋 Detalle Diario'!$E$5:$E$489, '📋 Detalle Diario'!$B$5:$B$489, B2752, '📋 Detalle Diario'!$C$5:$C$489, D2752) * 135 + SUMIFS('📋 Detalle Diario'!$I$5:$I$489, '📋 Detalle Diario'!$B$5:$B$489, B2752, '📋 Detalle Diario'!$C$5:$C$489, D2752) * 200), 0))</f>
        <v/>
      </c>
      <c r="P2752" s="32" t="str">
        <f t="shared" si="299"/>
        <v/>
      </c>
      <c r="Q2752" s="33" t="str">
        <f t="shared" si="300"/>
        <v/>
      </c>
    </row>
    <row r="2753" spans="2:17" ht="18" customHeight="1" x14ac:dyDescent="0.3">
      <c r="B2753" s="26"/>
      <c r="C2753" s="28"/>
      <c r="D2753" s="27"/>
      <c r="E2753" s="29"/>
      <c r="F2753" s="29"/>
      <c r="G2753" s="29"/>
      <c r="H2753" s="30" t="str">
        <f t="shared" si="294"/>
        <v/>
      </c>
      <c r="I2753" s="31" t="str">
        <f>IF(OR(B2753="",C2753=""),"",IFERROR(E2753*IF(E2753="",0,VLOOKUP(C2753,'📦 Precios Proforma'!$B$5:$D$104,IF(D2753="DIA",2,3),FALSE)),0))</f>
        <v/>
      </c>
      <c r="J2753" s="31" t="str">
        <f t="shared" si="295"/>
        <v/>
      </c>
      <c r="K2753" s="31" t="str">
        <f t="shared" si="296"/>
        <v/>
      </c>
      <c r="L2753" s="31" t="str">
        <f>IF(OR(B2753="",C2753=""),"",IFERROR(E2753 / SUMIFS('📅 Resumen Diario'!$D$5:$D$504, '📅 Resumen Diario'!$B$5:$B$504, B2753, '📅 Resumen Diario'!$C$5:$C$504, D2753) * SUMIFS('📅 Resumen Diario'!$K$5:$K$504, '📅 Resumen Diario'!$B$5:$B$504, B2753, '📅 Resumen Diario'!$C$5:$C$504, D2753), 0))</f>
        <v/>
      </c>
      <c r="M2753" s="31" t="str">
        <f t="shared" si="297"/>
        <v/>
      </c>
      <c r="N2753" s="31" t="str">
        <f t="shared" si="298"/>
        <v/>
      </c>
      <c r="O2753" s="31" t="str">
        <f>IF(OR(B2753="",C2753=""),"",K2753-N2753 + IFERROR(E2753 / SUMIFS('📅 Resumen Diario'!$D$5:$D$504, '📅 Resumen Diario'!$B$5:$B$504, B2753, '📅 Resumen Diario'!$C$5:$C$504, D2753) * (SUMIFS('📋 Detalle Diario'!$E$5:$E$489, '📋 Detalle Diario'!$B$5:$B$489, B2753, '📋 Detalle Diario'!$C$5:$C$489, D2753) * 135 + SUMIFS('📋 Detalle Diario'!$I$5:$I$489, '📋 Detalle Diario'!$B$5:$B$489, B2753, '📋 Detalle Diario'!$C$5:$C$489, D2753) * 200), 0))</f>
        <v/>
      </c>
      <c r="P2753" s="32" t="str">
        <f t="shared" si="299"/>
        <v/>
      </c>
      <c r="Q2753" s="33" t="str">
        <f t="shared" si="300"/>
        <v/>
      </c>
    </row>
    <row r="2754" spans="2:17" ht="18" customHeight="1" x14ac:dyDescent="0.3">
      <c r="B2754" s="26"/>
      <c r="C2754" s="17"/>
      <c r="D2754" s="27"/>
      <c r="E2754" s="18"/>
      <c r="F2754" s="18"/>
      <c r="G2754" s="18"/>
      <c r="H2754" s="30" t="str">
        <f t="shared" si="294"/>
        <v/>
      </c>
      <c r="I2754" s="31" t="str">
        <f>IF(OR(B2754="",C2754=""),"",IFERROR(E2754*IF(E2754="",0,VLOOKUP(C2754,'📦 Precios Proforma'!$B$5:$D$104,IF(D2754="DIA",2,3),FALSE)),0))</f>
        <v/>
      </c>
      <c r="J2754" s="31" t="str">
        <f t="shared" si="295"/>
        <v/>
      </c>
      <c r="K2754" s="31" t="str">
        <f t="shared" si="296"/>
        <v/>
      </c>
      <c r="L2754" s="31" t="str">
        <f>IF(OR(B2754="",C2754=""),"",IFERROR(E2754 / SUMIFS('📅 Resumen Diario'!$D$5:$D$504, '📅 Resumen Diario'!$B$5:$B$504, B2754, '📅 Resumen Diario'!$C$5:$C$504, D2754) * SUMIFS('📅 Resumen Diario'!$K$5:$K$504, '📅 Resumen Diario'!$B$5:$B$504, B2754, '📅 Resumen Diario'!$C$5:$C$504, D2754), 0))</f>
        <v/>
      </c>
      <c r="M2754" s="31" t="str">
        <f t="shared" si="297"/>
        <v/>
      </c>
      <c r="N2754" s="31" t="str">
        <f t="shared" si="298"/>
        <v/>
      </c>
      <c r="O2754" s="31" t="str">
        <f>IF(OR(B2754="",C2754=""),"",K2754-N2754 + IFERROR(E2754 / SUMIFS('📅 Resumen Diario'!$D$5:$D$504, '📅 Resumen Diario'!$B$5:$B$504, B2754, '📅 Resumen Diario'!$C$5:$C$504, D2754) * (SUMIFS('📋 Detalle Diario'!$E$5:$E$489, '📋 Detalle Diario'!$B$5:$B$489, B2754, '📋 Detalle Diario'!$C$5:$C$489, D2754) * 135 + SUMIFS('📋 Detalle Diario'!$I$5:$I$489, '📋 Detalle Diario'!$B$5:$B$489, B2754, '📋 Detalle Diario'!$C$5:$C$489, D2754) * 200), 0))</f>
        <v/>
      </c>
      <c r="P2754" s="32" t="str">
        <f t="shared" si="299"/>
        <v/>
      </c>
      <c r="Q2754" s="33" t="str">
        <f t="shared" si="300"/>
        <v/>
      </c>
    </row>
    <row r="2755" spans="2:17" ht="18" customHeight="1" x14ac:dyDescent="0.3">
      <c r="B2755" s="26"/>
      <c r="C2755" s="28"/>
      <c r="D2755" s="27"/>
      <c r="E2755" s="29"/>
      <c r="F2755" s="29"/>
      <c r="G2755" s="29"/>
      <c r="H2755" s="30" t="str">
        <f t="shared" si="294"/>
        <v/>
      </c>
      <c r="I2755" s="31" t="str">
        <f>IF(OR(B2755="",C2755=""),"",IFERROR(E2755*IF(E2755="",0,VLOOKUP(C2755,'📦 Precios Proforma'!$B$5:$D$104,IF(D2755="DIA",2,3),FALSE)),0))</f>
        <v/>
      </c>
      <c r="J2755" s="31" t="str">
        <f t="shared" si="295"/>
        <v/>
      </c>
      <c r="K2755" s="31" t="str">
        <f t="shared" si="296"/>
        <v/>
      </c>
      <c r="L2755" s="31" t="str">
        <f>IF(OR(B2755="",C2755=""),"",IFERROR(E2755 / SUMIFS('📅 Resumen Diario'!$D$5:$D$504, '📅 Resumen Diario'!$B$5:$B$504, B2755, '📅 Resumen Diario'!$C$5:$C$504, D2755) * SUMIFS('📅 Resumen Diario'!$K$5:$K$504, '📅 Resumen Diario'!$B$5:$B$504, B2755, '📅 Resumen Diario'!$C$5:$C$504, D2755), 0))</f>
        <v/>
      </c>
      <c r="M2755" s="31" t="str">
        <f t="shared" si="297"/>
        <v/>
      </c>
      <c r="N2755" s="31" t="str">
        <f t="shared" si="298"/>
        <v/>
      </c>
      <c r="O2755" s="31" t="str">
        <f>IF(OR(B2755="",C2755=""),"",K2755-N2755 + IFERROR(E2755 / SUMIFS('📅 Resumen Diario'!$D$5:$D$504, '📅 Resumen Diario'!$B$5:$B$504, B2755, '📅 Resumen Diario'!$C$5:$C$504, D2755) * (SUMIFS('📋 Detalle Diario'!$E$5:$E$489, '📋 Detalle Diario'!$B$5:$B$489, B2755, '📋 Detalle Diario'!$C$5:$C$489, D2755) * 135 + SUMIFS('📋 Detalle Diario'!$I$5:$I$489, '📋 Detalle Diario'!$B$5:$B$489, B2755, '📋 Detalle Diario'!$C$5:$C$489, D2755) * 200), 0))</f>
        <v/>
      </c>
      <c r="P2755" s="32" t="str">
        <f t="shared" si="299"/>
        <v/>
      </c>
      <c r="Q2755" s="33" t="str">
        <f t="shared" si="300"/>
        <v/>
      </c>
    </row>
    <row r="2756" spans="2:17" ht="18" customHeight="1" x14ac:dyDescent="0.3">
      <c r="B2756" s="26"/>
      <c r="C2756" s="17"/>
      <c r="D2756" s="27"/>
      <c r="E2756" s="18"/>
      <c r="F2756" s="18"/>
      <c r="G2756" s="18"/>
      <c r="H2756" s="30" t="str">
        <f t="shared" si="294"/>
        <v/>
      </c>
      <c r="I2756" s="31" t="str">
        <f>IF(OR(B2756="",C2756=""),"",IFERROR(E2756*IF(E2756="",0,VLOOKUP(C2756,'📦 Precios Proforma'!$B$5:$D$104,IF(D2756="DIA",2,3),FALSE)),0))</f>
        <v/>
      </c>
      <c r="J2756" s="31" t="str">
        <f t="shared" si="295"/>
        <v/>
      </c>
      <c r="K2756" s="31" t="str">
        <f t="shared" si="296"/>
        <v/>
      </c>
      <c r="L2756" s="31" t="str">
        <f>IF(OR(B2756="",C2756=""),"",IFERROR(E2756 / SUMIFS('📅 Resumen Diario'!$D$5:$D$504, '📅 Resumen Diario'!$B$5:$B$504, B2756, '📅 Resumen Diario'!$C$5:$C$504, D2756) * SUMIFS('📅 Resumen Diario'!$K$5:$K$504, '📅 Resumen Diario'!$B$5:$B$504, B2756, '📅 Resumen Diario'!$C$5:$C$504, D2756), 0))</f>
        <v/>
      </c>
      <c r="M2756" s="31" t="str">
        <f t="shared" si="297"/>
        <v/>
      </c>
      <c r="N2756" s="31" t="str">
        <f t="shared" si="298"/>
        <v/>
      </c>
      <c r="O2756" s="31" t="str">
        <f>IF(OR(B2756="",C2756=""),"",K2756-N2756 + IFERROR(E2756 / SUMIFS('📅 Resumen Diario'!$D$5:$D$504, '📅 Resumen Diario'!$B$5:$B$504, B2756, '📅 Resumen Diario'!$C$5:$C$504, D2756) * (SUMIFS('📋 Detalle Diario'!$E$5:$E$489, '📋 Detalle Diario'!$B$5:$B$489, B2756, '📋 Detalle Diario'!$C$5:$C$489, D2756) * 135 + SUMIFS('📋 Detalle Diario'!$I$5:$I$489, '📋 Detalle Diario'!$B$5:$B$489, B2756, '📋 Detalle Diario'!$C$5:$C$489, D2756) * 200), 0))</f>
        <v/>
      </c>
      <c r="P2756" s="32" t="str">
        <f t="shared" si="299"/>
        <v/>
      </c>
      <c r="Q2756" s="33" t="str">
        <f t="shared" si="300"/>
        <v/>
      </c>
    </row>
    <row r="2757" spans="2:17" ht="18" customHeight="1" x14ac:dyDescent="0.3">
      <c r="B2757" s="26"/>
      <c r="C2757" s="28"/>
      <c r="D2757" s="27"/>
      <c r="E2757" s="29"/>
      <c r="F2757" s="29"/>
      <c r="G2757" s="29"/>
      <c r="H2757" s="30" t="str">
        <f t="shared" si="294"/>
        <v/>
      </c>
      <c r="I2757" s="31" t="str">
        <f>IF(OR(B2757="",C2757=""),"",IFERROR(E2757*IF(E2757="",0,VLOOKUP(C2757,'📦 Precios Proforma'!$B$5:$D$104,IF(D2757="DIA",2,3),FALSE)),0))</f>
        <v/>
      </c>
      <c r="J2757" s="31" t="str">
        <f t="shared" si="295"/>
        <v/>
      </c>
      <c r="K2757" s="31" t="str">
        <f t="shared" si="296"/>
        <v/>
      </c>
      <c r="L2757" s="31" t="str">
        <f>IF(OR(B2757="",C2757=""),"",IFERROR(E2757 / SUMIFS('📅 Resumen Diario'!$D$5:$D$504, '📅 Resumen Diario'!$B$5:$B$504, B2757, '📅 Resumen Diario'!$C$5:$C$504, D2757) * SUMIFS('📅 Resumen Diario'!$K$5:$K$504, '📅 Resumen Diario'!$B$5:$B$504, B2757, '📅 Resumen Diario'!$C$5:$C$504, D2757), 0))</f>
        <v/>
      </c>
      <c r="M2757" s="31" t="str">
        <f t="shared" si="297"/>
        <v/>
      </c>
      <c r="N2757" s="31" t="str">
        <f t="shared" si="298"/>
        <v/>
      </c>
      <c r="O2757" s="31" t="str">
        <f>IF(OR(B2757="",C2757=""),"",K2757-N2757 + IFERROR(E2757 / SUMIFS('📅 Resumen Diario'!$D$5:$D$504, '📅 Resumen Diario'!$B$5:$B$504, B2757, '📅 Resumen Diario'!$C$5:$C$504, D2757) * (SUMIFS('📋 Detalle Diario'!$E$5:$E$489, '📋 Detalle Diario'!$B$5:$B$489, B2757, '📋 Detalle Diario'!$C$5:$C$489, D2757) * 135 + SUMIFS('📋 Detalle Diario'!$I$5:$I$489, '📋 Detalle Diario'!$B$5:$B$489, B2757, '📋 Detalle Diario'!$C$5:$C$489, D2757) * 200), 0))</f>
        <v/>
      </c>
      <c r="P2757" s="32" t="str">
        <f t="shared" si="299"/>
        <v/>
      </c>
      <c r="Q2757" s="33" t="str">
        <f t="shared" si="300"/>
        <v/>
      </c>
    </row>
    <row r="2758" spans="2:17" ht="18" customHeight="1" x14ac:dyDescent="0.3">
      <c r="B2758" s="26"/>
      <c r="C2758" s="17"/>
      <c r="D2758" s="27"/>
      <c r="E2758" s="18"/>
      <c r="F2758" s="18"/>
      <c r="G2758" s="18"/>
      <c r="H2758" s="30" t="str">
        <f t="shared" si="294"/>
        <v/>
      </c>
      <c r="I2758" s="31" t="str">
        <f>IF(OR(B2758="",C2758=""),"",IFERROR(E2758*IF(E2758="",0,VLOOKUP(C2758,'📦 Precios Proforma'!$B$5:$D$104,IF(D2758="DIA",2,3),FALSE)),0))</f>
        <v/>
      </c>
      <c r="J2758" s="31" t="str">
        <f t="shared" si="295"/>
        <v/>
      </c>
      <c r="K2758" s="31" t="str">
        <f t="shared" si="296"/>
        <v/>
      </c>
      <c r="L2758" s="31" t="str">
        <f>IF(OR(B2758="",C2758=""),"",IFERROR(E2758 / SUMIFS('📅 Resumen Diario'!$D$5:$D$504, '📅 Resumen Diario'!$B$5:$B$504, B2758, '📅 Resumen Diario'!$C$5:$C$504, D2758) * SUMIFS('📅 Resumen Diario'!$K$5:$K$504, '📅 Resumen Diario'!$B$5:$B$504, B2758, '📅 Resumen Diario'!$C$5:$C$504, D2758), 0))</f>
        <v/>
      </c>
      <c r="M2758" s="31" t="str">
        <f t="shared" si="297"/>
        <v/>
      </c>
      <c r="N2758" s="31" t="str">
        <f t="shared" si="298"/>
        <v/>
      </c>
      <c r="O2758" s="31" t="str">
        <f>IF(OR(B2758="",C2758=""),"",K2758-N2758 + IFERROR(E2758 / SUMIFS('📅 Resumen Diario'!$D$5:$D$504, '📅 Resumen Diario'!$B$5:$B$504, B2758, '📅 Resumen Diario'!$C$5:$C$504, D2758) * (SUMIFS('📋 Detalle Diario'!$E$5:$E$489, '📋 Detalle Diario'!$B$5:$B$489, B2758, '📋 Detalle Diario'!$C$5:$C$489, D2758) * 135 + SUMIFS('📋 Detalle Diario'!$I$5:$I$489, '📋 Detalle Diario'!$B$5:$B$489, B2758, '📋 Detalle Diario'!$C$5:$C$489, D2758) * 200), 0))</f>
        <v/>
      </c>
      <c r="P2758" s="32" t="str">
        <f t="shared" si="299"/>
        <v/>
      </c>
      <c r="Q2758" s="33" t="str">
        <f t="shared" si="300"/>
        <v/>
      </c>
    </row>
    <row r="2759" spans="2:17" ht="18" customHeight="1" x14ac:dyDescent="0.3">
      <c r="B2759" s="26"/>
      <c r="C2759" s="28"/>
      <c r="D2759" s="27"/>
      <c r="E2759" s="29"/>
      <c r="F2759" s="29"/>
      <c r="G2759" s="29"/>
      <c r="H2759" s="30" t="str">
        <f t="shared" ref="H2759:H2822" si="301">IF(OR(B2759="",C2759=""),"",F2759+G2759)</f>
        <v/>
      </c>
      <c r="I2759" s="31" t="str">
        <f>IF(OR(B2759="",C2759=""),"",IFERROR(E2759*IF(E2759="",0,VLOOKUP(C2759,'📦 Precios Proforma'!$B$5:$D$104,IF(D2759="DIA",2,3),FALSE)),0))</f>
        <v/>
      </c>
      <c r="J2759" s="31" t="str">
        <f t="shared" ref="J2759:J2822" si="302">IF(OR(B2759="",C2759=""),"",IF(D2759="DIA",H2759*1.01,H2759*1.35))</f>
        <v/>
      </c>
      <c r="K2759" s="31" t="str">
        <f t="shared" ref="K2759:K2822" si="303">IF(OR(B2759="",C2759=""),"",I2759+J2759)</f>
        <v/>
      </c>
      <c r="L2759" s="31" t="str">
        <f>IF(OR(B2759="",C2759=""),"",IFERROR(E2759 / SUMIFS('📅 Resumen Diario'!$D$5:$D$504, '📅 Resumen Diario'!$B$5:$B$504, B2759, '📅 Resumen Diario'!$C$5:$C$504, D2759) * SUMIFS('📅 Resumen Diario'!$K$5:$K$504, '📅 Resumen Diario'!$B$5:$B$504, B2759, '📅 Resumen Diario'!$C$5:$C$504, D2759), 0))</f>
        <v/>
      </c>
      <c r="M2759" s="31" t="str">
        <f t="shared" ref="M2759:M2822" si="304">IF(OR(B2759="",C2759=""),"",H2759*0.09)</f>
        <v/>
      </c>
      <c r="N2759" s="31" t="str">
        <f t="shared" ref="N2759:N2822" si="305">IF(OR(B2759="",C2759=""),"",L2759+M2759)</f>
        <v/>
      </c>
      <c r="O2759" s="31" t="str">
        <f>IF(OR(B2759="",C2759=""),"",K2759-N2759 + IFERROR(E2759 / SUMIFS('📅 Resumen Diario'!$D$5:$D$504, '📅 Resumen Diario'!$B$5:$B$504, B2759, '📅 Resumen Diario'!$C$5:$C$504, D2759) * (SUMIFS('📋 Detalle Diario'!$E$5:$E$489, '📋 Detalle Diario'!$B$5:$B$489, B2759, '📋 Detalle Diario'!$C$5:$C$489, D2759) * 135 + SUMIFS('📋 Detalle Diario'!$I$5:$I$489, '📋 Detalle Diario'!$B$5:$B$489, B2759, '📋 Detalle Diario'!$C$5:$C$489, D2759) * 200), 0))</f>
        <v/>
      </c>
      <c r="P2759" s="32" t="str">
        <f t="shared" ref="P2759:P2822" si="306">IF(OR(B2759="",C2759=""),"",IF(K2759=0, 0, O2759/K2759))</f>
        <v/>
      </c>
      <c r="Q2759" s="33" t="str">
        <f t="shared" ref="Q2759:Q2822" si="307">IF(B2759="","",IF(ISNUMBER(B2759),YEAR(B2759)&amp;"-"&amp;IF(MONTH(B2759)&lt;10,"0","")&amp;MONTH(B2759),LEFT(B2759,7)))</f>
        <v/>
      </c>
    </row>
    <row r="2760" spans="2:17" ht="18" customHeight="1" x14ac:dyDescent="0.3">
      <c r="B2760" s="26"/>
      <c r="C2760" s="17"/>
      <c r="D2760" s="27"/>
      <c r="E2760" s="18"/>
      <c r="F2760" s="18"/>
      <c r="G2760" s="18"/>
      <c r="H2760" s="30" t="str">
        <f t="shared" si="301"/>
        <v/>
      </c>
      <c r="I2760" s="31" t="str">
        <f>IF(OR(B2760="",C2760=""),"",IFERROR(E2760*IF(E2760="",0,VLOOKUP(C2760,'📦 Precios Proforma'!$B$5:$D$104,IF(D2760="DIA",2,3),FALSE)),0))</f>
        <v/>
      </c>
      <c r="J2760" s="31" t="str">
        <f t="shared" si="302"/>
        <v/>
      </c>
      <c r="K2760" s="31" t="str">
        <f t="shared" si="303"/>
        <v/>
      </c>
      <c r="L2760" s="31" t="str">
        <f>IF(OR(B2760="",C2760=""),"",IFERROR(E2760 / SUMIFS('📅 Resumen Diario'!$D$5:$D$504, '📅 Resumen Diario'!$B$5:$B$504, B2760, '📅 Resumen Diario'!$C$5:$C$504, D2760) * SUMIFS('📅 Resumen Diario'!$K$5:$K$504, '📅 Resumen Diario'!$B$5:$B$504, B2760, '📅 Resumen Diario'!$C$5:$C$504, D2760), 0))</f>
        <v/>
      </c>
      <c r="M2760" s="31" t="str">
        <f t="shared" si="304"/>
        <v/>
      </c>
      <c r="N2760" s="31" t="str">
        <f t="shared" si="305"/>
        <v/>
      </c>
      <c r="O2760" s="31" t="str">
        <f>IF(OR(B2760="",C2760=""),"",K2760-N2760 + IFERROR(E2760 / SUMIFS('📅 Resumen Diario'!$D$5:$D$504, '📅 Resumen Diario'!$B$5:$B$504, B2760, '📅 Resumen Diario'!$C$5:$C$504, D2760) * (SUMIFS('📋 Detalle Diario'!$E$5:$E$489, '📋 Detalle Diario'!$B$5:$B$489, B2760, '📋 Detalle Diario'!$C$5:$C$489, D2760) * 135 + SUMIFS('📋 Detalle Diario'!$I$5:$I$489, '📋 Detalle Diario'!$B$5:$B$489, B2760, '📋 Detalle Diario'!$C$5:$C$489, D2760) * 200), 0))</f>
        <v/>
      </c>
      <c r="P2760" s="32" t="str">
        <f t="shared" si="306"/>
        <v/>
      </c>
      <c r="Q2760" s="33" t="str">
        <f t="shared" si="307"/>
        <v/>
      </c>
    </row>
    <row r="2761" spans="2:17" ht="18" customHeight="1" x14ac:dyDescent="0.3">
      <c r="B2761" s="26"/>
      <c r="C2761" s="28"/>
      <c r="D2761" s="27"/>
      <c r="E2761" s="29"/>
      <c r="F2761" s="29"/>
      <c r="G2761" s="29"/>
      <c r="H2761" s="30" t="str">
        <f t="shared" si="301"/>
        <v/>
      </c>
      <c r="I2761" s="31" t="str">
        <f>IF(OR(B2761="",C2761=""),"",IFERROR(E2761*IF(E2761="",0,VLOOKUP(C2761,'📦 Precios Proforma'!$B$5:$D$104,IF(D2761="DIA",2,3),FALSE)),0))</f>
        <v/>
      </c>
      <c r="J2761" s="31" t="str">
        <f t="shared" si="302"/>
        <v/>
      </c>
      <c r="K2761" s="31" t="str">
        <f t="shared" si="303"/>
        <v/>
      </c>
      <c r="L2761" s="31" t="str">
        <f>IF(OR(B2761="",C2761=""),"",IFERROR(E2761 / SUMIFS('📅 Resumen Diario'!$D$5:$D$504, '📅 Resumen Diario'!$B$5:$B$504, B2761, '📅 Resumen Diario'!$C$5:$C$504, D2761) * SUMIFS('📅 Resumen Diario'!$K$5:$K$504, '📅 Resumen Diario'!$B$5:$B$504, B2761, '📅 Resumen Diario'!$C$5:$C$504, D2761), 0))</f>
        <v/>
      </c>
      <c r="M2761" s="31" t="str">
        <f t="shared" si="304"/>
        <v/>
      </c>
      <c r="N2761" s="31" t="str">
        <f t="shared" si="305"/>
        <v/>
      </c>
      <c r="O2761" s="31" t="str">
        <f>IF(OR(B2761="",C2761=""),"",K2761-N2761 + IFERROR(E2761 / SUMIFS('📅 Resumen Diario'!$D$5:$D$504, '📅 Resumen Diario'!$B$5:$B$504, B2761, '📅 Resumen Diario'!$C$5:$C$504, D2761) * (SUMIFS('📋 Detalle Diario'!$E$5:$E$489, '📋 Detalle Diario'!$B$5:$B$489, B2761, '📋 Detalle Diario'!$C$5:$C$489, D2761) * 135 + SUMIFS('📋 Detalle Diario'!$I$5:$I$489, '📋 Detalle Diario'!$B$5:$B$489, B2761, '📋 Detalle Diario'!$C$5:$C$489, D2761) * 200), 0))</f>
        <v/>
      </c>
      <c r="P2761" s="32" t="str">
        <f t="shared" si="306"/>
        <v/>
      </c>
      <c r="Q2761" s="33" t="str">
        <f t="shared" si="307"/>
        <v/>
      </c>
    </row>
    <row r="2762" spans="2:17" ht="18" customHeight="1" x14ac:dyDescent="0.3">
      <c r="B2762" s="26"/>
      <c r="C2762" s="17"/>
      <c r="D2762" s="27"/>
      <c r="E2762" s="18"/>
      <c r="F2762" s="18"/>
      <c r="G2762" s="18"/>
      <c r="H2762" s="30" t="str">
        <f t="shared" si="301"/>
        <v/>
      </c>
      <c r="I2762" s="31" t="str">
        <f>IF(OR(B2762="",C2762=""),"",IFERROR(E2762*IF(E2762="",0,VLOOKUP(C2762,'📦 Precios Proforma'!$B$5:$D$104,IF(D2762="DIA",2,3),FALSE)),0))</f>
        <v/>
      </c>
      <c r="J2762" s="31" t="str">
        <f t="shared" si="302"/>
        <v/>
      </c>
      <c r="K2762" s="31" t="str">
        <f t="shared" si="303"/>
        <v/>
      </c>
      <c r="L2762" s="31" t="str">
        <f>IF(OR(B2762="",C2762=""),"",IFERROR(E2762 / SUMIFS('📅 Resumen Diario'!$D$5:$D$504, '📅 Resumen Diario'!$B$5:$B$504, B2762, '📅 Resumen Diario'!$C$5:$C$504, D2762) * SUMIFS('📅 Resumen Diario'!$K$5:$K$504, '📅 Resumen Diario'!$B$5:$B$504, B2762, '📅 Resumen Diario'!$C$5:$C$504, D2762), 0))</f>
        <v/>
      </c>
      <c r="M2762" s="31" t="str">
        <f t="shared" si="304"/>
        <v/>
      </c>
      <c r="N2762" s="31" t="str">
        <f t="shared" si="305"/>
        <v/>
      </c>
      <c r="O2762" s="31" t="str">
        <f>IF(OR(B2762="",C2762=""),"",K2762-N2762 + IFERROR(E2762 / SUMIFS('📅 Resumen Diario'!$D$5:$D$504, '📅 Resumen Diario'!$B$5:$B$504, B2762, '📅 Resumen Diario'!$C$5:$C$504, D2762) * (SUMIFS('📋 Detalle Diario'!$E$5:$E$489, '📋 Detalle Diario'!$B$5:$B$489, B2762, '📋 Detalle Diario'!$C$5:$C$489, D2762) * 135 + SUMIFS('📋 Detalle Diario'!$I$5:$I$489, '📋 Detalle Diario'!$B$5:$B$489, B2762, '📋 Detalle Diario'!$C$5:$C$489, D2762) * 200), 0))</f>
        <v/>
      </c>
      <c r="P2762" s="32" t="str">
        <f t="shared" si="306"/>
        <v/>
      </c>
      <c r="Q2762" s="33" t="str">
        <f t="shared" si="307"/>
        <v/>
      </c>
    </row>
    <row r="2763" spans="2:17" ht="18" customHeight="1" x14ac:dyDescent="0.3">
      <c r="B2763" s="26"/>
      <c r="C2763" s="28"/>
      <c r="D2763" s="27"/>
      <c r="E2763" s="29"/>
      <c r="F2763" s="29"/>
      <c r="G2763" s="29"/>
      <c r="H2763" s="30" t="str">
        <f t="shared" si="301"/>
        <v/>
      </c>
      <c r="I2763" s="31" t="str">
        <f>IF(OR(B2763="",C2763=""),"",IFERROR(E2763*IF(E2763="",0,VLOOKUP(C2763,'📦 Precios Proforma'!$B$5:$D$104,IF(D2763="DIA",2,3),FALSE)),0))</f>
        <v/>
      </c>
      <c r="J2763" s="31" t="str">
        <f t="shared" si="302"/>
        <v/>
      </c>
      <c r="K2763" s="31" t="str">
        <f t="shared" si="303"/>
        <v/>
      </c>
      <c r="L2763" s="31" t="str">
        <f>IF(OR(B2763="",C2763=""),"",IFERROR(E2763 / SUMIFS('📅 Resumen Diario'!$D$5:$D$504, '📅 Resumen Diario'!$B$5:$B$504, B2763, '📅 Resumen Diario'!$C$5:$C$504, D2763) * SUMIFS('📅 Resumen Diario'!$K$5:$K$504, '📅 Resumen Diario'!$B$5:$B$504, B2763, '📅 Resumen Diario'!$C$5:$C$504, D2763), 0))</f>
        <v/>
      </c>
      <c r="M2763" s="31" t="str">
        <f t="shared" si="304"/>
        <v/>
      </c>
      <c r="N2763" s="31" t="str">
        <f t="shared" si="305"/>
        <v/>
      </c>
      <c r="O2763" s="31" t="str">
        <f>IF(OR(B2763="",C2763=""),"",K2763-N2763 + IFERROR(E2763 / SUMIFS('📅 Resumen Diario'!$D$5:$D$504, '📅 Resumen Diario'!$B$5:$B$504, B2763, '📅 Resumen Diario'!$C$5:$C$504, D2763) * (SUMIFS('📋 Detalle Diario'!$E$5:$E$489, '📋 Detalle Diario'!$B$5:$B$489, B2763, '📋 Detalle Diario'!$C$5:$C$489, D2763) * 135 + SUMIFS('📋 Detalle Diario'!$I$5:$I$489, '📋 Detalle Diario'!$B$5:$B$489, B2763, '📋 Detalle Diario'!$C$5:$C$489, D2763) * 200), 0))</f>
        <v/>
      </c>
      <c r="P2763" s="32" t="str">
        <f t="shared" si="306"/>
        <v/>
      </c>
      <c r="Q2763" s="33" t="str">
        <f t="shared" si="307"/>
        <v/>
      </c>
    </row>
    <row r="2764" spans="2:17" ht="18" customHeight="1" x14ac:dyDescent="0.3">
      <c r="B2764" s="26"/>
      <c r="C2764" s="17"/>
      <c r="D2764" s="27"/>
      <c r="E2764" s="18"/>
      <c r="F2764" s="18"/>
      <c r="G2764" s="18"/>
      <c r="H2764" s="30" t="str">
        <f t="shared" si="301"/>
        <v/>
      </c>
      <c r="I2764" s="31" t="str">
        <f>IF(OR(B2764="",C2764=""),"",IFERROR(E2764*IF(E2764="",0,VLOOKUP(C2764,'📦 Precios Proforma'!$B$5:$D$104,IF(D2764="DIA",2,3),FALSE)),0))</f>
        <v/>
      </c>
      <c r="J2764" s="31" t="str">
        <f t="shared" si="302"/>
        <v/>
      </c>
      <c r="K2764" s="31" t="str">
        <f t="shared" si="303"/>
        <v/>
      </c>
      <c r="L2764" s="31" t="str">
        <f>IF(OR(B2764="",C2764=""),"",IFERROR(E2764 / SUMIFS('📅 Resumen Diario'!$D$5:$D$504, '📅 Resumen Diario'!$B$5:$B$504, B2764, '📅 Resumen Diario'!$C$5:$C$504, D2764) * SUMIFS('📅 Resumen Diario'!$K$5:$K$504, '📅 Resumen Diario'!$B$5:$B$504, B2764, '📅 Resumen Diario'!$C$5:$C$504, D2764), 0))</f>
        <v/>
      </c>
      <c r="M2764" s="31" t="str">
        <f t="shared" si="304"/>
        <v/>
      </c>
      <c r="N2764" s="31" t="str">
        <f t="shared" si="305"/>
        <v/>
      </c>
      <c r="O2764" s="31" t="str">
        <f>IF(OR(B2764="",C2764=""),"",K2764-N2764 + IFERROR(E2764 / SUMIFS('📅 Resumen Diario'!$D$5:$D$504, '📅 Resumen Diario'!$B$5:$B$504, B2764, '📅 Resumen Diario'!$C$5:$C$504, D2764) * (SUMIFS('📋 Detalle Diario'!$E$5:$E$489, '📋 Detalle Diario'!$B$5:$B$489, B2764, '📋 Detalle Diario'!$C$5:$C$489, D2764) * 135 + SUMIFS('📋 Detalle Diario'!$I$5:$I$489, '📋 Detalle Diario'!$B$5:$B$489, B2764, '📋 Detalle Diario'!$C$5:$C$489, D2764) * 200), 0))</f>
        <v/>
      </c>
      <c r="P2764" s="32" t="str">
        <f t="shared" si="306"/>
        <v/>
      </c>
      <c r="Q2764" s="33" t="str">
        <f t="shared" si="307"/>
        <v/>
      </c>
    </row>
    <row r="2765" spans="2:17" ht="18" customHeight="1" x14ac:dyDescent="0.3">
      <c r="B2765" s="26"/>
      <c r="C2765" s="28"/>
      <c r="D2765" s="27"/>
      <c r="E2765" s="29"/>
      <c r="F2765" s="29"/>
      <c r="G2765" s="29"/>
      <c r="H2765" s="30" t="str">
        <f t="shared" si="301"/>
        <v/>
      </c>
      <c r="I2765" s="31" t="str">
        <f>IF(OR(B2765="",C2765=""),"",IFERROR(E2765*IF(E2765="",0,VLOOKUP(C2765,'📦 Precios Proforma'!$B$5:$D$104,IF(D2765="DIA",2,3),FALSE)),0))</f>
        <v/>
      </c>
      <c r="J2765" s="31" t="str">
        <f t="shared" si="302"/>
        <v/>
      </c>
      <c r="K2765" s="31" t="str">
        <f t="shared" si="303"/>
        <v/>
      </c>
      <c r="L2765" s="31" t="str">
        <f>IF(OR(B2765="",C2765=""),"",IFERROR(E2765 / SUMIFS('📅 Resumen Diario'!$D$5:$D$504, '📅 Resumen Diario'!$B$5:$B$504, B2765, '📅 Resumen Diario'!$C$5:$C$504, D2765) * SUMIFS('📅 Resumen Diario'!$K$5:$K$504, '📅 Resumen Diario'!$B$5:$B$504, B2765, '📅 Resumen Diario'!$C$5:$C$504, D2765), 0))</f>
        <v/>
      </c>
      <c r="M2765" s="31" t="str">
        <f t="shared" si="304"/>
        <v/>
      </c>
      <c r="N2765" s="31" t="str">
        <f t="shared" si="305"/>
        <v/>
      </c>
      <c r="O2765" s="31" t="str">
        <f>IF(OR(B2765="",C2765=""),"",K2765-N2765 + IFERROR(E2765 / SUMIFS('📅 Resumen Diario'!$D$5:$D$504, '📅 Resumen Diario'!$B$5:$B$504, B2765, '📅 Resumen Diario'!$C$5:$C$504, D2765) * (SUMIFS('📋 Detalle Diario'!$E$5:$E$489, '📋 Detalle Diario'!$B$5:$B$489, B2765, '📋 Detalle Diario'!$C$5:$C$489, D2765) * 135 + SUMIFS('📋 Detalle Diario'!$I$5:$I$489, '📋 Detalle Diario'!$B$5:$B$489, B2765, '📋 Detalle Diario'!$C$5:$C$489, D2765) * 200), 0))</f>
        <v/>
      </c>
      <c r="P2765" s="32" t="str">
        <f t="shared" si="306"/>
        <v/>
      </c>
      <c r="Q2765" s="33" t="str">
        <f t="shared" si="307"/>
        <v/>
      </c>
    </row>
    <row r="2766" spans="2:17" ht="18" customHeight="1" x14ac:dyDescent="0.3">
      <c r="B2766" s="26"/>
      <c r="C2766" s="17"/>
      <c r="D2766" s="27"/>
      <c r="E2766" s="18"/>
      <c r="F2766" s="18"/>
      <c r="G2766" s="18"/>
      <c r="H2766" s="30" t="str">
        <f t="shared" si="301"/>
        <v/>
      </c>
      <c r="I2766" s="31" t="str">
        <f>IF(OR(B2766="",C2766=""),"",IFERROR(E2766*IF(E2766="",0,VLOOKUP(C2766,'📦 Precios Proforma'!$B$5:$D$104,IF(D2766="DIA",2,3),FALSE)),0))</f>
        <v/>
      </c>
      <c r="J2766" s="31" t="str">
        <f t="shared" si="302"/>
        <v/>
      </c>
      <c r="K2766" s="31" t="str">
        <f t="shared" si="303"/>
        <v/>
      </c>
      <c r="L2766" s="31" t="str">
        <f>IF(OR(B2766="",C2766=""),"",IFERROR(E2766 / SUMIFS('📅 Resumen Diario'!$D$5:$D$504, '📅 Resumen Diario'!$B$5:$B$504, B2766, '📅 Resumen Diario'!$C$5:$C$504, D2766) * SUMIFS('📅 Resumen Diario'!$K$5:$K$504, '📅 Resumen Diario'!$B$5:$B$504, B2766, '📅 Resumen Diario'!$C$5:$C$504, D2766), 0))</f>
        <v/>
      </c>
      <c r="M2766" s="31" t="str">
        <f t="shared" si="304"/>
        <v/>
      </c>
      <c r="N2766" s="31" t="str">
        <f t="shared" si="305"/>
        <v/>
      </c>
      <c r="O2766" s="31" t="str">
        <f>IF(OR(B2766="",C2766=""),"",K2766-N2766 + IFERROR(E2766 / SUMIFS('📅 Resumen Diario'!$D$5:$D$504, '📅 Resumen Diario'!$B$5:$B$504, B2766, '📅 Resumen Diario'!$C$5:$C$504, D2766) * (SUMIFS('📋 Detalle Diario'!$E$5:$E$489, '📋 Detalle Diario'!$B$5:$B$489, B2766, '📋 Detalle Diario'!$C$5:$C$489, D2766) * 135 + SUMIFS('📋 Detalle Diario'!$I$5:$I$489, '📋 Detalle Diario'!$B$5:$B$489, B2766, '📋 Detalle Diario'!$C$5:$C$489, D2766) * 200), 0))</f>
        <v/>
      </c>
      <c r="P2766" s="32" t="str">
        <f t="shared" si="306"/>
        <v/>
      </c>
      <c r="Q2766" s="33" t="str">
        <f t="shared" si="307"/>
        <v/>
      </c>
    </row>
    <row r="2767" spans="2:17" ht="18" customHeight="1" x14ac:dyDescent="0.3">
      <c r="B2767" s="26"/>
      <c r="C2767" s="28"/>
      <c r="D2767" s="27"/>
      <c r="E2767" s="29"/>
      <c r="F2767" s="29"/>
      <c r="G2767" s="29"/>
      <c r="H2767" s="30" t="str">
        <f t="shared" si="301"/>
        <v/>
      </c>
      <c r="I2767" s="31" t="str">
        <f>IF(OR(B2767="",C2767=""),"",IFERROR(E2767*IF(E2767="",0,VLOOKUP(C2767,'📦 Precios Proforma'!$B$5:$D$104,IF(D2767="DIA",2,3),FALSE)),0))</f>
        <v/>
      </c>
      <c r="J2767" s="31" t="str">
        <f t="shared" si="302"/>
        <v/>
      </c>
      <c r="K2767" s="31" t="str">
        <f t="shared" si="303"/>
        <v/>
      </c>
      <c r="L2767" s="31" t="str">
        <f>IF(OR(B2767="",C2767=""),"",IFERROR(E2767 / SUMIFS('📅 Resumen Diario'!$D$5:$D$504, '📅 Resumen Diario'!$B$5:$B$504, B2767, '📅 Resumen Diario'!$C$5:$C$504, D2767) * SUMIFS('📅 Resumen Diario'!$K$5:$K$504, '📅 Resumen Diario'!$B$5:$B$504, B2767, '📅 Resumen Diario'!$C$5:$C$504, D2767), 0))</f>
        <v/>
      </c>
      <c r="M2767" s="31" t="str">
        <f t="shared" si="304"/>
        <v/>
      </c>
      <c r="N2767" s="31" t="str">
        <f t="shared" si="305"/>
        <v/>
      </c>
      <c r="O2767" s="31" t="str">
        <f>IF(OR(B2767="",C2767=""),"",K2767-N2767 + IFERROR(E2767 / SUMIFS('📅 Resumen Diario'!$D$5:$D$504, '📅 Resumen Diario'!$B$5:$B$504, B2767, '📅 Resumen Diario'!$C$5:$C$504, D2767) * (SUMIFS('📋 Detalle Diario'!$E$5:$E$489, '📋 Detalle Diario'!$B$5:$B$489, B2767, '📋 Detalle Diario'!$C$5:$C$489, D2767) * 135 + SUMIFS('📋 Detalle Diario'!$I$5:$I$489, '📋 Detalle Diario'!$B$5:$B$489, B2767, '📋 Detalle Diario'!$C$5:$C$489, D2767) * 200), 0))</f>
        <v/>
      </c>
      <c r="P2767" s="32" t="str">
        <f t="shared" si="306"/>
        <v/>
      </c>
      <c r="Q2767" s="33" t="str">
        <f t="shared" si="307"/>
        <v/>
      </c>
    </row>
    <row r="2768" spans="2:17" ht="18" customHeight="1" x14ac:dyDescent="0.3">
      <c r="B2768" s="26"/>
      <c r="C2768" s="17"/>
      <c r="D2768" s="27"/>
      <c r="E2768" s="18"/>
      <c r="F2768" s="18"/>
      <c r="G2768" s="18"/>
      <c r="H2768" s="30" t="str">
        <f t="shared" si="301"/>
        <v/>
      </c>
      <c r="I2768" s="31" t="str">
        <f>IF(OR(B2768="",C2768=""),"",IFERROR(E2768*IF(E2768="",0,VLOOKUP(C2768,'📦 Precios Proforma'!$B$5:$D$104,IF(D2768="DIA",2,3),FALSE)),0))</f>
        <v/>
      </c>
      <c r="J2768" s="31" t="str">
        <f t="shared" si="302"/>
        <v/>
      </c>
      <c r="K2768" s="31" t="str">
        <f t="shared" si="303"/>
        <v/>
      </c>
      <c r="L2768" s="31" t="str">
        <f>IF(OR(B2768="",C2768=""),"",IFERROR(E2768 / SUMIFS('📅 Resumen Diario'!$D$5:$D$504, '📅 Resumen Diario'!$B$5:$B$504, B2768, '📅 Resumen Diario'!$C$5:$C$504, D2768) * SUMIFS('📅 Resumen Diario'!$K$5:$K$504, '📅 Resumen Diario'!$B$5:$B$504, B2768, '📅 Resumen Diario'!$C$5:$C$504, D2768), 0))</f>
        <v/>
      </c>
      <c r="M2768" s="31" t="str">
        <f t="shared" si="304"/>
        <v/>
      </c>
      <c r="N2768" s="31" t="str">
        <f t="shared" si="305"/>
        <v/>
      </c>
      <c r="O2768" s="31" t="str">
        <f>IF(OR(B2768="",C2768=""),"",K2768-N2768 + IFERROR(E2768 / SUMIFS('📅 Resumen Diario'!$D$5:$D$504, '📅 Resumen Diario'!$B$5:$B$504, B2768, '📅 Resumen Diario'!$C$5:$C$504, D2768) * (SUMIFS('📋 Detalle Diario'!$E$5:$E$489, '📋 Detalle Diario'!$B$5:$B$489, B2768, '📋 Detalle Diario'!$C$5:$C$489, D2768) * 135 + SUMIFS('📋 Detalle Diario'!$I$5:$I$489, '📋 Detalle Diario'!$B$5:$B$489, B2768, '📋 Detalle Diario'!$C$5:$C$489, D2768) * 200), 0))</f>
        <v/>
      </c>
      <c r="P2768" s="32" t="str">
        <f t="shared" si="306"/>
        <v/>
      </c>
      <c r="Q2768" s="33" t="str">
        <f t="shared" si="307"/>
        <v/>
      </c>
    </row>
    <row r="2769" spans="2:17" ht="18" customHeight="1" x14ac:dyDescent="0.3">
      <c r="B2769" s="26"/>
      <c r="C2769" s="28"/>
      <c r="D2769" s="27"/>
      <c r="E2769" s="29"/>
      <c r="F2769" s="29"/>
      <c r="G2769" s="29"/>
      <c r="H2769" s="30" t="str">
        <f t="shared" si="301"/>
        <v/>
      </c>
      <c r="I2769" s="31" t="str">
        <f>IF(OR(B2769="",C2769=""),"",IFERROR(E2769*IF(E2769="",0,VLOOKUP(C2769,'📦 Precios Proforma'!$B$5:$D$104,IF(D2769="DIA",2,3),FALSE)),0))</f>
        <v/>
      </c>
      <c r="J2769" s="31" t="str">
        <f t="shared" si="302"/>
        <v/>
      </c>
      <c r="K2769" s="31" t="str">
        <f t="shared" si="303"/>
        <v/>
      </c>
      <c r="L2769" s="31" t="str">
        <f>IF(OR(B2769="",C2769=""),"",IFERROR(E2769 / SUMIFS('📅 Resumen Diario'!$D$5:$D$504, '📅 Resumen Diario'!$B$5:$B$504, B2769, '📅 Resumen Diario'!$C$5:$C$504, D2769) * SUMIFS('📅 Resumen Diario'!$K$5:$K$504, '📅 Resumen Diario'!$B$5:$B$504, B2769, '📅 Resumen Diario'!$C$5:$C$504, D2769), 0))</f>
        <v/>
      </c>
      <c r="M2769" s="31" t="str">
        <f t="shared" si="304"/>
        <v/>
      </c>
      <c r="N2769" s="31" t="str">
        <f t="shared" si="305"/>
        <v/>
      </c>
      <c r="O2769" s="31" t="str">
        <f>IF(OR(B2769="",C2769=""),"",K2769-N2769 + IFERROR(E2769 / SUMIFS('📅 Resumen Diario'!$D$5:$D$504, '📅 Resumen Diario'!$B$5:$B$504, B2769, '📅 Resumen Diario'!$C$5:$C$504, D2769) * (SUMIFS('📋 Detalle Diario'!$E$5:$E$489, '📋 Detalle Diario'!$B$5:$B$489, B2769, '📋 Detalle Diario'!$C$5:$C$489, D2769) * 135 + SUMIFS('📋 Detalle Diario'!$I$5:$I$489, '📋 Detalle Diario'!$B$5:$B$489, B2769, '📋 Detalle Diario'!$C$5:$C$489, D2769) * 200), 0))</f>
        <v/>
      </c>
      <c r="P2769" s="32" t="str">
        <f t="shared" si="306"/>
        <v/>
      </c>
      <c r="Q2769" s="33" t="str">
        <f t="shared" si="307"/>
        <v/>
      </c>
    </row>
    <row r="2770" spans="2:17" ht="18" customHeight="1" x14ac:dyDescent="0.3">
      <c r="B2770" s="26"/>
      <c r="C2770" s="17"/>
      <c r="D2770" s="27"/>
      <c r="E2770" s="18"/>
      <c r="F2770" s="18"/>
      <c r="G2770" s="18"/>
      <c r="H2770" s="30" t="str">
        <f t="shared" si="301"/>
        <v/>
      </c>
      <c r="I2770" s="31" t="str">
        <f>IF(OR(B2770="",C2770=""),"",IFERROR(E2770*IF(E2770="",0,VLOOKUP(C2770,'📦 Precios Proforma'!$B$5:$D$104,IF(D2770="DIA",2,3),FALSE)),0))</f>
        <v/>
      </c>
      <c r="J2770" s="31" t="str">
        <f t="shared" si="302"/>
        <v/>
      </c>
      <c r="K2770" s="31" t="str">
        <f t="shared" si="303"/>
        <v/>
      </c>
      <c r="L2770" s="31" t="str">
        <f>IF(OR(B2770="",C2770=""),"",IFERROR(E2770 / SUMIFS('📅 Resumen Diario'!$D$5:$D$504, '📅 Resumen Diario'!$B$5:$B$504, B2770, '📅 Resumen Diario'!$C$5:$C$504, D2770) * SUMIFS('📅 Resumen Diario'!$K$5:$K$504, '📅 Resumen Diario'!$B$5:$B$504, B2770, '📅 Resumen Diario'!$C$5:$C$504, D2770), 0))</f>
        <v/>
      </c>
      <c r="M2770" s="31" t="str">
        <f t="shared" si="304"/>
        <v/>
      </c>
      <c r="N2770" s="31" t="str">
        <f t="shared" si="305"/>
        <v/>
      </c>
      <c r="O2770" s="31" t="str">
        <f>IF(OR(B2770="",C2770=""),"",K2770-N2770 + IFERROR(E2770 / SUMIFS('📅 Resumen Diario'!$D$5:$D$504, '📅 Resumen Diario'!$B$5:$B$504, B2770, '📅 Resumen Diario'!$C$5:$C$504, D2770) * (SUMIFS('📋 Detalle Diario'!$E$5:$E$489, '📋 Detalle Diario'!$B$5:$B$489, B2770, '📋 Detalle Diario'!$C$5:$C$489, D2770) * 135 + SUMIFS('📋 Detalle Diario'!$I$5:$I$489, '📋 Detalle Diario'!$B$5:$B$489, B2770, '📋 Detalle Diario'!$C$5:$C$489, D2770) * 200), 0))</f>
        <v/>
      </c>
      <c r="P2770" s="32" t="str">
        <f t="shared" si="306"/>
        <v/>
      </c>
      <c r="Q2770" s="33" t="str">
        <f t="shared" si="307"/>
        <v/>
      </c>
    </row>
    <row r="2771" spans="2:17" ht="18" customHeight="1" x14ac:dyDescent="0.3">
      <c r="B2771" s="26"/>
      <c r="C2771" s="28"/>
      <c r="D2771" s="27"/>
      <c r="E2771" s="29"/>
      <c r="F2771" s="29"/>
      <c r="G2771" s="29"/>
      <c r="H2771" s="30" t="str">
        <f t="shared" si="301"/>
        <v/>
      </c>
      <c r="I2771" s="31" t="str">
        <f>IF(OR(B2771="",C2771=""),"",IFERROR(E2771*IF(E2771="",0,VLOOKUP(C2771,'📦 Precios Proforma'!$B$5:$D$104,IF(D2771="DIA",2,3),FALSE)),0))</f>
        <v/>
      </c>
      <c r="J2771" s="31" t="str">
        <f t="shared" si="302"/>
        <v/>
      </c>
      <c r="K2771" s="31" t="str">
        <f t="shared" si="303"/>
        <v/>
      </c>
      <c r="L2771" s="31" t="str">
        <f>IF(OR(B2771="",C2771=""),"",IFERROR(E2771 / SUMIFS('📅 Resumen Diario'!$D$5:$D$504, '📅 Resumen Diario'!$B$5:$B$504, B2771, '📅 Resumen Diario'!$C$5:$C$504, D2771) * SUMIFS('📅 Resumen Diario'!$K$5:$K$504, '📅 Resumen Diario'!$B$5:$B$504, B2771, '📅 Resumen Diario'!$C$5:$C$504, D2771), 0))</f>
        <v/>
      </c>
      <c r="M2771" s="31" t="str">
        <f t="shared" si="304"/>
        <v/>
      </c>
      <c r="N2771" s="31" t="str">
        <f t="shared" si="305"/>
        <v/>
      </c>
      <c r="O2771" s="31" t="str">
        <f>IF(OR(B2771="",C2771=""),"",K2771-N2771 + IFERROR(E2771 / SUMIFS('📅 Resumen Diario'!$D$5:$D$504, '📅 Resumen Diario'!$B$5:$B$504, B2771, '📅 Resumen Diario'!$C$5:$C$504, D2771) * (SUMIFS('📋 Detalle Diario'!$E$5:$E$489, '📋 Detalle Diario'!$B$5:$B$489, B2771, '📋 Detalle Diario'!$C$5:$C$489, D2771) * 135 + SUMIFS('📋 Detalle Diario'!$I$5:$I$489, '📋 Detalle Diario'!$B$5:$B$489, B2771, '📋 Detalle Diario'!$C$5:$C$489, D2771) * 200), 0))</f>
        <v/>
      </c>
      <c r="P2771" s="32" t="str">
        <f t="shared" si="306"/>
        <v/>
      </c>
      <c r="Q2771" s="33" t="str">
        <f t="shared" si="307"/>
        <v/>
      </c>
    </row>
    <row r="2772" spans="2:17" ht="18" customHeight="1" x14ac:dyDescent="0.3">
      <c r="B2772" s="26"/>
      <c r="C2772" s="17"/>
      <c r="D2772" s="27"/>
      <c r="E2772" s="18"/>
      <c r="F2772" s="18"/>
      <c r="G2772" s="18"/>
      <c r="H2772" s="30" t="str">
        <f t="shared" si="301"/>
        <v/>
      </c>
      <c r="I2772" s="31" t="str">
        <f>IF(OR(B2772="",C2772=""),"",IFERROR(E2772*IF(E2772="",0,VLOOKUP(C2772,'📦 Precios Proforma'!$B$5:$D$104,IF(D2772="DIA",2,3),FALSE)),0))</f>
        <v/>
      </c>
      <c r="J2772" s="31" t="str">
        <f t="shared" si="302"/>
        <v/>
      </c>
      <c r="K2772" s="31" t="str">
        <f t="shared" si="303"/>
        <v/>
      </c>
      <c r="L2772" s="31" t="str">
        <f>IF(OR(B2772="",C2772=""),"",IFERROR(E2772 / SUMIFS('📅 Resumen Diario'!$D$5:$D$504, '📅 Resumen Diario'!$B$5:$B$504, B2772, '📅 Resumen Diario'!$C$5:$C$504, D2772) * SUMIFS('📅 Resumen Diario'!$K$5:$K$504, '📅 Resumen Diario'!$B$5:$B$504, B2772, '📅 Resumen Diario'!$C$5:$C$504, D2772), 0))</f>
        <v/>
      </c>
      <c r="M2772" s="31" t="str">
        <f t="shared" si="304"/>
        <v/>
      </c>
      <c r="N2772" s="31" t="str">
        <f t="shared" si="305"/>
        <v/>
      </c>
      <c r="O2772" s="31" t="str">
        <f>IF(OR(B2772="",C2772=""),"",K2772-N2772 + IFERROR(E2772 / SUMIFS('📅 Resumen Diario'!$D$5:$D$504, '📅 Resumen Diario'!$B$5:$B$504, B2772, '📅 Resumen Diario'!$C$5:$C$504, D2772) * (SUMIFS('📋 Detalle Diario'!$E$5:$E$489, '📋 Detalle Diario'!$B$5:$B$489, B2772, '📋 Detalle Diario'!$C$5:$C$489, D2772) * 135 + SUMIFS('📋 Detalle Diario'!$I$5:$I$489, '📋 Detalle Diario'!$B$5:$B$489, B2772, '📋 Detalle Diario'!$C$5:$C$489, D2772) * 200), 0))</f>
        <v/>
      </c>
      <c r="P2772" s="32" t="str">
        <f t="shared" si="306"/>
        <v/>
      </c>
      <c r="Q2772" s="33" t="str">
        <f t="shared" si="307"/>
        <v/>
      </c>
    </row>
    <row r="2773" spans="2:17" ht="18" customHeight="1" x14ac:dyDescent="0.3">
      <c r="B2773" s="26"/>
      <c r="C2773" s="28"/>
      <c r="D2773" s="27"/>
      <c r="E2773" s="29"/>
      <c r="F2773" s="29"/>
      <c r="G2773" s="29"/>
      <c r="H2773" s="30" t="str">
        <f t="shared" si="301"/>
        <v/>
      </c>
      <c r="I2773" s="31" t="str">
        <f>IF(OR(B2773="",C2773=""),"",IFERROR(E2773*IF(E2773="",0,VLOOKUP(C2773,'📦 Precios Proforma'!$B$5:$D$104,IF(D2773="DIA",2,3),FALSE)),0))</f>
        <v/>
      </c>
      <c r="J2773" s="31" t="str">
        <f t="shared" si="302"/>
        <v/>
      </c>
      <c r="K2773" s="31" t="str">
        <f t="shared" si="303"/>
        <v/>
      </c>
      <c r="L2773" s="31" t="str">
        <f>IF(OR(B2773="",C2773=""),"",IFERROR(E2773 / SUMIFS('📅 Resumen Diario'!$D$5:$D$504, '📅 Resumen Diario'!$B$5:$B$504, B2773, '📅 Resumen Diario'!$C$5:$C$504, D2773) * SUMIFS('📅 Resumen Diario'!$K$5:$K$504, '📅 Resumen Diario'!$B$5:$B$504, B2773, '📅 Resumen Diario'!$C$5:$C$504, D2773), 0))</f>
        <v/>
      </c>
      <c r="M2773" s="31" t="str">
        <f t="shared" si="304"/>
        <v/>
      </c>
      <c r="N2773" s="31" t="str">
        <f t="shared" si="305"/>
        <v/>
      </c>
      <c r="O2773" s="31" t="str">
        <f>IF(OR(B2773="",C2773=""),"",K2773-N2773 + IFERROR(E2773 / SUMIFS('📅 Resumen Diario'!$D$5:$D$504, '📅 Resumen Diario'!$B$5:$B$504, B2773, '📅 Resumen Diario'!$C$5:$C$504, D2773) * (SUMIFS('📋 Detalle Diario'!$E$5:$E$489, '📋 Detalle Diario'!$B$5:$B$489, B2773, '📋 Detalle Diario'!$C$5:$C$489, D2773) * 135 + SUMIFS('📋 Detalle Diario'!$I$5:$I$489, '📋 Detalle Diario'!$B$5:$B$489, B2773, '📋 Detalle Diario'!$C$5:$C$489, D2773) * 200), 0))</f>
        <v/>
      </c>
      <c r="P2773" s="32" t="str">
        <f t="shared" si="306"/>
        <v/>
      </c>
      <c r="Q2773" s="33" t="str">
        <f t="shared" si="307"/>
        <v/>
      </c>
    </row>
    <row r="2774" spans="2:17" ht="18" customHeight="1" x14ac:dyDescent="0.3">
      <c r="B2774" s="26"/>
      <c r="C2774" s="17"/>
      <c r="D2774" s="27"/>
      <c r="E2774" s="18"/>
      <c r="F2774" s="18"/>
      <c r="G2774" s="18"/>
      <c r="H2774" s="30" t="str">
        <f t="shared" si="301"/>
        <v/>
      </c>
      <c r="I2774" s="31" t="str">
        <f>IF(OR(B2774="",C2774=""),"",IFERROR(E2774*IF(E2774="",0,VLOOKUP(C2774,'📦 Precios Proforma'!$B$5:$D$104,IF(D2774="DIA",2,3),FALSE)),0))</f>
        <v/>
      </c>
      <c r="J2774" s="31" t="str">
        <f t="shared" si="302"/>
        <v/>
      </c>
      <c r="K2774" s="31" t="str">
        <f t="shared" si="303"/>
        <v/>
      </c>
      <c r="L2774" s="31" t="str">
        <f>IF(OR(B2774="",C2774=""),"",IFERROR(E2774 / SUMIFS('📅 Resumen Diario'!$D$5:$D$504, '📅 Resumen Diario'!$B$5:$B$504, B2774, '📅 Resumen Diario'!$C$5:$C$504, D2774) * SUMIFS('📅 Resumen Diario'!$K$5:$K$504, '📅 Resumen Diario'!$B$5:$B$504, B2774, '📅 Resumen Diario'!$C$5:$C$504, D2774), 0))</f>
        <v/>
      </c>
      <c r="M2774" s="31" t="str">
        <f t="shared" si="304"/>
        <v/>
      </c>
      <c r="N2774" s="31" t="str">
        <f t="shared" si="305"/>
        <v/>
      </c>
      <c r="O2774" s="31" t="str">
        <f>IF(OR(B2774="",C2774=""),"",K2774-N2774 + IFERROR(E2774 / SUMIFS('📅 Resumen Diario'!$D$5:$D$504, '📅 Resumen Diario'!$B$5:$B$504, B2774, '📅 Resumen Diario'!$C$5:$C$504, D2774) * (SUMIFS('📋 Detalle Diario'!$E$5:$E$489, '📋 Detalle Diario'!$B$5:$B$489, B2774, '📋 Detalle Diario'!$C$5:$C$489, D2774) * 135 + SUMIFS('📋 Detalle Diario'!$I$5:$I$489, '📋 Detalle Diario'!$B$5:$B$489, B2774, '📋 Detalle Diario'!$C$5:$C$489, D2774) * 200), 0))</f>
        <v/>
      </c>
      <c r="P2774" s="32" t="str">
        <f t="shared" si="306"/>
        <v/>
      </c>
      <c r="Q2774" s="33" t="str">
        <f t="shared" si="307"/>
        <v/>
      </c>
    </row>
    <row r="2775" spans="2:17" ht="18" customHeight="1" x14ac:dyDescent="0.3">
      <c r="B2775" s="26"/>
      <c r="C2775" s="28"/>
      <c r="D2775" s="27"/>
      <c r="E2775" s="29"/>
      <c r="F2775" s="29"/>
      <c r="G2775" s="29"/>
      <c r="H2775" s="30" t="str">
        <f t="shared" si="301"/>
        <v/>
      </c>
      <c r="I2775" s="31" t="str">
        <f>IF(OR(B2775="",C2775=""),"",IFERROR(E2775*IF(E2775="",0,VLOOKUP(C2775,'📦 Precios Proforma'!$B$5:$D$104,IF(D2775="DIA",2,3),FALSE)),0))</f>
        <v/>
      </c>
      <c r="J2775" s="31" t="str">
        <f t="shared" si="302"/>
        <v/>
      </c>
      <c r="K2775" s="31" t="str">
        <f t="shared" si="303"/>
        <v/>
      </c>
      <c r="L2775" s="31" t="str">
        <f>IF(OR(B2775="",C2775=""),"",IFERROR(E2775 / SUMIFS('📅 Resumen Diario'!$D$5:$D$504, '📅 Resumen Diario'!$B$5:$B$504, B2775, '📅 Resumen Diario'!$C$5:$C$504, D2775) * SUMIFS('📅 Resumen Diario'!$K$5:$K$504, '📅 Resumen Diario'!$B$5:$B$504, B2775, '📅 Resumen Diario'!$C$5:$C$504, D2775), 0))</f>
        <v/>
      </c>
      <c r="M2775" s="31" t="str">
        <f t="shared" si="304"/>
        <v/>
      </c>
      <c r="N2775" s="31" t="str">
        <f t="shared" si="305"/>
        <v/>
      </c>
      <c r="O2775" s="31" t="str">
        <f>IF(OR(B2775="",C2775=""),"",K2775-N2775 + IFERROR(E2775 / SUMIFS('📅 Resumen Diario'!$D$5:$D$504, '📅 Resumen Diario'!$B$5:$B$504, B2775, '📅 Resumen Diario'!$C$5:$C$504, D2775) * (SUMIFS('📋 Detalle Diario'!$E$5:$E$489, '📋 Detalle Diario'!$B$5:$B$489, B2775, '📋 Detalle Diario'!$C$5:$C$489, D2775) * 135 + SUMIFS('📋 Detalle Diario'!$I$5:$I$489, '📋 Detalle Diario'!$B$5:$B$489, B2775, '📋 Detalle Diario'!$C$5:$C$489, D2775) * 200), 0))</f>
        <v/>
      </c>
      <c r="P2775" s="32" t="str">
        <f t="shared" si="306"/>
        <v/>
      </c>
      <c r="Q2775" s="33" t="str">
        <f t="shared" si="307"/>
        <v/>
      </c>
    </row>
    <row r="2776" spans="2:17" ht="18" customHeight="1" x14ac:dyDescent="0.3">
      <c r="B2776" s="26"/>
      <c r="C2776" s="17"/>
      <c r="D2776" s="27"/>
      <c r="E2776" s="18"/>
      <c r="F2776" s="18"/>
      <c r="G2776" s="18"/>
      <c r="H2776" s="30" t="str">
        <f t="shared" si="301"/>
        <v/>
      </c>
      <c r="I2776" s="31" t="str">
        <f>IF(OR(B2776="",C2776=""),"",IFERROR(E2776*IF(E2776="",0,VLOOKUP(C2776,'📦 Precios Proforma'!$B$5:$D$104,IF(D2776="DIA",2,3),FALSE)),0))</f>
        <v/>
      </c>
      <c r="J2776" s="31" t="str">
        <f t="shared" si="302"/>
        <v/>
      </c>
      <c r="K2776" s="31" t="str">
        <f t="shared" si="303"/>
        <v/>
      </c>
      <c r="L2776" s="31" t="str">
        <f>IF(OR(B2776="",C2776=""),"",IFERROR(E2776 / SUMIFS('📅 Resumen Diario'!$D$5:$D$504, '📅 Resumen Diario'!$B$5:$B$504, B2776, '📅 Resumen Diario'!$C$5:$C$504, D2776) * SUMIFS('📅 Resumen Diario'!$K$5:$K$504, '📅 Resumen Diario'!$B$5:$B$504, B2776, '📅 Resumen Diario'!$C$5:$C$504, D2776), 0))</f>
        <v/>
      </c>
      <c r="M2776" s="31" t="str">
        <f t="shared" si="304"/>
        <v/>
      </c>
      <c r="N2776" s="31" t="str">
        <f t="shared" si="305"/>
        <v/>
      </c>
      <c r="O2776" s="31" t="str">
        <f>IF(OR(B2776="",C2776=""),"",K2776-N2776 + IFERROR(E2776 / SUMIFS('📅 Resumen Diario'!$D$5:$D$504, '📅 Resumen Diario'!$B$5:$B$504, B2776, '📅 Resumen Diario'!$C$5:$C$504, D2776) * (SUMIFS('📋 Detalle Diario'!$E$5:$E$489, '📋 Detalle Diario'!$B$5:$B$489, B2776, '📋 Detalle Diario'!$C$5:$C$489, D2776) * 135 + SUMIFS('📋 Detalle Diario'!$I$5:$I$489, '📋 Detalle Diario'!$B$5:$B$489, B2776, '📋 Detalle Diario'!$C$5:$C$489, D2776) * 200), 0))</f>
        <v/>
      </c>
      <c r="P2776" s="32" t="str">
        <f t="shared" si="306"/>
        <v/>
      </c>
      <c r="Q2776" s="33" t="str">
        <f t="shared" si="307"/>
        <v/>
      </c>
    </row>
    <row r="2777" spans="2:17" ht="18" customHeight="1" x14ac:dyDescent="0.3">
      <c r="B2777" s="26"/>
      <c r="C2777" s="28"/>
      <c r="D2777" s="27"/>
      <c r="E2777" s="29"/>
      <c r="F2777" s="29"/>
      <c r="G2777" s="29"/>
      <c r="H2777" s="30" t="str">
        <f t="shared" si="301"/>
        <v/>
      </c>
      <c r="I2777" s="31" t="str">
        <f>IF(OR(B2777="",C2777=""),"",IFERROR(E2777*IF(E2777="",0,VLOOKUP(C2777,'📦 Precios Proforma'!$B$5:$D$104,IF(D2777="DIA",2,3),FALSE)),0))</f>
        <v/>
      </c>
      <c r="J2777" s="31" t="str">
        <f t="shared" si="302"/>
        <v/>
      </c>
      <c r="K2777" s="31" t="str">
        <f t="shared" si="303"/>
        <v/>
      </c>
      <c r="L2777" s="31" t="str">
        <f>IF(OR(B2777="",C2777=""),"",IFERROR(E2777 / SUMIFS('📅 Resumen Diario'!$D$5:$D$504, '📅 Resumen Diario'!$B$5:$B$504, B2777, '📅 Resumen Diario'!$C$5:$C$504, D2777) * SUMIFS('📅 Resumen Diario'!$K$5:$K$504, '📅 Resumen Diario'!$B$5:$B$504, B2777, '📅 Resumen Diario'!$C$5:$C$504, D2777), 0))</f>
        <v/>
      </c>
      <c r="M2777" s="31" t="str">
        <f t="shared" si="304"/>
        <v/>
      </c>
      <c r="N2777" s="31" t="str">
        <f t="shared" si="305"/>
        <v/>
      </c>
      <c r="O2777" s="31" t="str">
        <f>IF(OR(B2777="",C2777=""),"",K2777-N2777 + IFERROR(E2777 / SUMIFS('📅 Resumen Diario'!$D$5:$D$504, '📅 Resumen Diario'!$B$5:$B$504, B2777, '📅 Resumen Diario'!$C$5:$C$504, D2777) * (SUMIFS('📋 Detalle Diario'!$E$5:$E$489, '📋 Detalle Diario'!$B$5:$B$489, B2777, '📋 Detalle Diario'!$C$5:$C$489, D2777) * 135 + SUMIFS('📋 Detalle Diario'!$I$5:$I$489, '📋 Detalle Diario'!$B$5:$B$489, B2777, '📋 Detalle Diario'!$C$5:$C$489, D2777) * 200), 0))</f>
        <v/>
      </c>
      <c r="P2777" s="32" t="str">
        <f t="shared" si="306"/>
        <v/>
      </c>
      <c r="Q2777" s="33" t="str">
        <f t="shared" si="307"/>
        <v/>
      </c>
    </row>
    <row r="2778" spans="2:17" ht="18" customHeight="1" x14ac:dyDescent="0.3">
      <c r="B2778" s="26"/>
      <c r="C2778" s="17"/>
      <c r="D2778" s="27"/>
      <c r="E2778" s="18"/>
      <c r="F2778" s="18"/>
      <c r="G2778" s="18"/>
      <c r="H2778" s="30" t="str">
        <f t="shared" si="301"/>
        <v/>
      </c>
      <c r="I2778" s="31" t="str">
        <f>IF(OR(B2778="",C2778=""),"",IFERROR(E2778*IF(E2778="",0,VLOOKUP(C2778,'📦 Precios Proforma'!$B$5:$D$104,IF(D2778="DIA",2,3),FALSE)),0))</f>
        <v/>
      </c>
      <c r="J2778" s="31" t="str">
        <f t="shared" si="302"/>
        <v/>
      </c>
      <c r="K2778" s="31" t="str">
        <f t="shared" si="303"/>
        <v/>
      </c>
      <c r="L2778" s="31" t="str">
        <f>IF(OR(B2778="",C2778=""),"",IFERROR(E2778 / SUMIFS('📅 Resumen Diario'!$D$5:$D$504, '📅 Resumen Diario'!$B$5:$B$504, B2778, '📅 Resumen Diario'!$C$5:$C$504, D2778) * SUMIFS('📅 Resumen Diario'!$K$5:$K$504, '📅 Resumen Diario'!$B$5:$B$504, B2778, '📅 Resumen Diario'!$C$5:$C$504, D2778), 0))</f>
        <v/>
      </c>
      <c r="M2778" s="31" t="str">
        <f t="shared" si="304"/>
        <v/>
      </c>
      <c r="N2778" s="31" t="str">
        <f t="shared" si="305"/>
        <v/>
      </c>
      <c r="O2778" s="31" t="str">
        <f>IF(OR(B2778="",C2778=""),"",K2778-N2778 + IFERROR(E2778 / SUMIFS('📅 Resumen Diario'!$D$5:$D$504, '📅 Resumen Diario'!$B$5:$B$504, B2778, '📅 Resumen Diario'!$C$5:$C$504, D2778) * (SUMIFS('📋 Detalle Diario'!$E$5:$E$489, '📋 Detalle Diario'!$B$5:$B$489, B2778, '📋 Detalle Diario'!$C$5:$C$489, D2778) * 135 + SUMIFS('📋 Detalle Diario'!$I$5:$I$489, '📋 Detalle Diario'!$B$5:$B$489, B2778, '📋 Detalle Diario'!$C$5:$C$489, D2778) * 200), 0))</f>
        <v/>
      </c>
      <c r="P2778" s="32" t="str">
        <f t="shared" si="306"/>
        <v/>
      </c>
      <c r="Q2778" s="33" t="str">
        <f t="shared" si="307"/>
        <v/>
      </c>
    </row>
    <row r="2779" spans="2:17" ht="18" customHeight="1" x14ac:dyDescent="0.3">
      <c r="B2779" s="26"/>
      <c r="C2779" s="28"/>
      <c r="D2779" s="27"/>
      <c r="E2779" s="29"/>
      <c r="F2779" s="29"/>
      <c r="G2779" s="29"/>
      <c r="H2779" s="30" t="str">
        <f t="shared" si="301"/>
        <v/>
      </c>
      <c r="I2779" s="31" t="str">
        <f>IF(OR(B2779="",C2779=""),"",IFERROR(E2779*IF(E2779="",0,VLOOKUP(C2779,'📦 Precios Proforma'!$B$5:$D$104,IF(D2779="DIA",2,3),FALSE)),0))</f>
        <v/>
      </c>
      <c r="J2779" s="31" t="str">
        <f t="shared" si="302"/>
        <v/>
      </c>
      <c r="K2779" s="31" t="str">
        <f t="shared" si="303"/>
        <v/>
      </c>
      <c r="L2779" s="31" t="str">
        <f>IF(OR(B2779="",C2779=""),"",IFERROR(E2779 / SUMIFS('📅 Resumen Diario'!$D$5:$D$504, '📅 Resumen Diario'!$B$5:$B$504, B2779, '📅 Resumen Diario'!$C$5:$C$504, D2779) * SUMIFS('📅 Resumen Diario'!$K$5:$K$504, '📅 Resumen Diario'!$B$5:$B$504, B2779, '📅 Resumen Diario'!$C$5:$C$504, D2779), 0))</f>
        <v/>
      </c>
      <c r="M2779" s="31" t="str">
        <f t="shared" si="304"/>
        <v/>
      </c>
      <c r="N2779" s="31" t="str">
        <f t="shared" si="305"/>
        <v/>
      </c>
      <c r="O2779" s="31" t="str">
        <f>IF(OR(B2779="",C2779=""),"",K2779-N2779 + IFERROR(E2779 / SUMIFS('📅 Resumen Diario'!$D$5:$D$504, '📅 Resumen Diario'!$B$5:$B$504, B2779, '📅 Resumen Diario'!$C$5:$C$504, D2779) * (SUMIFS('📋 Detalle Diario'!$E$5:$E$489, '📋 Detalle Diario'!$B$5:$B$489, B2779, '📋 Detalle Diario'!$C$5:$C$489, D2779) * 135 + SUMIFS('📋 Detalle Diario'!$I$5:$I$489, '📋 Detalle Diario'!$B$5:$B$489, B2779, '📋 Detalle Diario'!$C$5:$C$489, D2779) * 200), 0))</f>
        <v/>
      </c>
      <c r="P2779" s="32" t="str">
        <f t="shared" si="306"/>
        <v/>
      </c>
      <c r="Q2779" s="33" t="str">
        <f t="shared" si="307"/>
        <v/>
      </c>
    </row>
    <row r="2780" spans="2:17" ht="18" customHeight="1" x14ac:dyDescent="0.3">
      <c r="B2780" s="26"/>
      <c r="C2780" s="17"/>
      <c r="D2780" s="27"/>
      <c r="E2780" s="18"/>
      <c r="F2780" s="18"/>
      <c r="G2780" s="18"/>
      <c r="H2780" s="30" t="str">
        <f t="shared" si="301"/>
        <v/>
      </c>
      <c r="I2780" s="31" t="str">
        <f>IF(OR(B2780="",C2780=""),"",IFERROR(E2780*IF(E2780="",0,VLOOKUP(C2780,'📦 Precios Proforma'!$B$5:$D$104,IF(D2780="DIA",2,3),FALSE)),0))</f>
        <v/>
      </c>
      <c r="J2780" s="31" t="str">
        <f t="shared" si="302"/>
        <v/>
      </c>
      <c r="K2780" s="31" t="str">
        <f t="shared" si="303"/>
        <v/>
      </c>
      <c r="L2780" s="31" t="str">
        <f>IF(OR(B2780="",C2780=""),"",IFERROR(E2780 / SUMIFS('📅 Resumen Diario'!$D$5:$D$504, '📅 Resumen Diario'!$B$5:$B$504, B2780, '📅 Resumen Diario'!$C$5:$C$504, D2780) * SUMIFS('📅 Resumen Diario'!$K$5:$K$504, '📅 Resumen Diario'!$B$5:$B$504, B2780, '📅 Resumen Diario'!$C$5:$C$504, D2780), 0))</f>
        <v/>
      </c>
      <c r="M2780" s="31" t="str">
        <f t="shared" si="304"/>
        <v/>
      </c>
      <c r="N2780" s="31" t="str">
        <f t="shared" si="305"/>
        <v/>
      </c>
      <c r="O2780" s="31" t="str">
        <f>IF(OR(B2780="",C2780=""),"",K2780-N2780 + IFERROR(E2780 / SUMIFS('📅 Resumen Diario'!$D$5:$D$504, '📅 Resumen Diario'!$B$5:$B$504, B2780, '📅 Resumen Diario'!$C$5:$C$504, D2780) * (SUMIFS('📋 Detalle Diario'!$E$5:$E$489, '📋 Detalle Diario'!$B$5:$B$489, B2780, '📋 Detalle Diario'!$C$5:$C$489, D2780) * 135 + SUMIFS('📋 Detalle Diario'!$I$5:$I$489, '📋 Detalle Diario'!$B$5:$B$489, B2780, '📋 Detalle Diario'!$C$5:$C$489, D2780) * 200), 0))</f>
        <v/>
      </c>
      <c r="P2780" s="32" t="str">
        <f t="shared" si="306"/>
        <v/>
      </c>
      <c r="Q2780" s="33" t="str">
        <f t="shared" si="307"/>
        <v/>
      </c>
    </row>
    <row r="2781" spans="2:17" ht="18" customHeight="1" x14ac:dyDescent="0.3">
      <c r="B2781" s="26"/>
      <c r="C2781" s="28"/>
      <c r="D2781" s="27"/>
      <c r="E2781" s="29"/>
      <c r="F2781" s="29"/>
      <c r="G2781" s="29"/>
      <c r="H2781" s="30" t="str">
        <f t="shared" si="301"/>
        <v/>
      </c>
      <c r="I2781" s="31" t="str">
        <f>IF(OR(B2781="",C2781=""),"",IFERROR(E2781*IF(E2781="",0,VLOOKUP(C2781,'📦 Precios Proforma'!$B$5:$D$104,IF(D2781="DIA",2,3),FALSE)),0))</f>
        <v/>
      </c>
      <c r="J2781" s="31" t="str">
        <f t="shared" si="302"/>
        <v/>
      </c>
      <c r="K2781" s="31" t="str">
        <f t="shared" si="303"/>
        <v/>
      </c>
      <c r="L2781" s="31" t="str">
        <f>IF(OR(B2781="",C2781=""),"",IFERROR(E2781 / SUMIFS('📅 Resumen Diario'!$D$5:$D$504, '📅 Resumen Diario'!$B$5:$B$504, B2781, '📅 Resumen Diario'!$C$5:$C$504, D2781) * SUMIFS('📅 Resumen Diario'!$K$5:$K$504, '📅 Resumen Diario'!$B$5:$B$504, B2781, '📅 Resumen Diario'!$C$5:$C$504, D2781), 0))</f>
        <v/>
      </c>
      <c r="M2781" s="31" t="str">
        <f t="shared" si="304"/>
        <v/>
      </c>
      <c r="N2781" s="31" t="str">
        <f t="shared" si="305"/>
        <v/>
      </c>
      <c r="O2781" s="31" t="str">
        <f>IF(OR(B2781="",C2781=""),"",K2781-N2781 + IFERROR(E2781 / SUMIFS('📅 Resumen Diario'!$D$5:$D$504, '📅 Resumen Diario'!$B$5:$B$504, B2781, '[2]�� Resumen Diario'!$C$5:$C$504, D2781) * (SUMIFS('📋 Detalle Diario'!$E$5:$E$489, '📋 Detalle Diario'!$B$5:$B$489, B2781, '📋 Detalle Diario'!$C$5:$C$489, D2781) * 135 + SUMIFS('📋 Detalle Diario'!$I$5:$I$489, '📋 Detalle Diario'!$B$5:$B$489, B2781, '📋 Detalle Diario'!$C$5:$C$489, D2781) * 200), 0))</f>
        <v/>
      </c>
      <c r="P2781" s="32" t="str">
        <f t="shared" si="306"/>
        <v/>
      </c>
      <c r="Q2781" s="33" t="str">
        <f t="shared" si="307"/>
        <v/>
      </c>
    </row>
    <row r="2782" spans="2:17" ht="18" customHeight="1" x14ac:dyDescent="0.3">
      <c r="B2782" s="26"/>
      <c r="C2782" s="17"/>
      <c r="D2782" s="27"/>
      <c r="E2782" s="18"/>
      <c r="F2782" s="18"/>
      <c r="G2782" s="18"/>
      <c r="H2782" s="30" t="str">
        <f t="shared" si="301"/>
        <v/>
      </c>
      <c r="I2782" s="31" t="str">
        <f>IF(OR(B2782="",C2782=""),"",IFERROR(E2782*IF(E2782="",0,VLOOKUP(C2782,'📦 Precios Proforma'!$B$5:$D$104,IF(D2782="DIA",2,3),FALSE)),0))</f>
        <v/>
      </c>
      <c r="J2782" s="31" t="str">
        <f t="shared" si="302"/>
        <v/>
      </c>
      <c r="K2782" s="31" t="str">
        <f t="shared" si="303"/>
        <v/>
      </c>
      <c r="L2782" s="31" t="str">
        <f>IF(OR(B2782="",C2782=""),"",IFERROR(E2782 / SUMIFS('📅 Resumen Diario'!$D$5:$D$504, '📅 Resumen Diario'!$B$5:$B$504, B2782, '📅 Resumen Diario'!$C$5:$C$504, D2782) * SUMIFS('📅 Resumen Diario'!$K$5:$K$504, '📅 Resumen Diario'!$B$5:$B$504, B2782, '📅 Resumen Diario'!$C$5:$C$504, D2782), 0))</f>
        <v/>
      </c>
      <c r="M2782" s="31" t="str">
        <f t="shared" si="304"/>
        <v/>
      </c>
      <c r="N2782" s="31" t="str">
        <f t="shared" si="305"/>
        <v/>
      </c>
      <c r="O2782" s="31" t="str">
        <f>IF(OR(B2782="",C2782=""),"",K2782-N2782 + IFERROR(E2782 / SUMIFS('📅 Resumen Diario'!$D$5:$D$504, '📅 Resumen Diario'!$B$5:$B$504, B2782, '📅 Resumen Diario'!$C$5:$C$504, D2782) * (SUMIFS('📋 Detalle Diario'!$E$5:$E$489, '📋 Detalle Diario'!$B$5:$B$489, B2782, '📋 Detalle Diario'!$C$5:$C$489, D2782) * 135 + SUMIFS('📋 Detalle Diario'!$I$5:$I$489, '📋 Detalle Diario'!$B$5:$B$489, B2782, '📋 Detalle Diario'!$C$5:$C$489, D2782) * 200), 0))</f>
        <v/>
      </c>
      <c r="P2782" s="32" t="str">
        <f t="shared" si="306"/>
        <v/>
      </c>
      <c r="Q2782" s="33" t="str">
        <f t="shared" si="307"/>
        <v/>
      </c>
    </row>
    <row r="2783" spans="2:17" ht="18" customHeight="1" x14ac:dyDescent="0.3">
      <c r="B2783" s="26"/>
      <c r="C2783" s="28"/>
      <c r="D2783" s="27"/>
      <c r="E2783" s="29"/>
      <c r="F2783" s="29"/>
      <c r="G2783" s="29"/>
      <c r="H2783" s="30" t="str">
        <f t="shared" si="301"/>
        <v/>
      </c>
      <c r="I2783" s="31" t="str">
        <f>IF(OR(B2783="",C2783=""),"",IFERROR(E2783*IF(E2783="",0,VLOOKUP(C2783,'📦 Precios Proforma'!$B$5:$D$104,IF(D2783="DIA",2,3),FALSE)),0))</f>
        <v/>
      </c>
      <c r="J2783" s="31" t="str">
        <f t="shared" si="302"/>
        <v/>
      </c>
      <c r="K2783" s="31" t="str">
        <f t="shared" si="303"/>
        <v/>
      </c>
      <c r="L2783" s="31" t="str">
        <f>IF(OR(B2783="",C2783=""),"",IFERROR(E2783 / SUMIFS('📅 Resumen Diario'!$D$5:$D$504, '📅 Resumen Diario'!$B$5:$B$504, B2783, '📅 Resumen Diario'!$C$5:$C$504, D2783) * SUMIFS('📅 Resumen Diario'!$K$5:$K$504, '📅 Resumen Diario'!$B$5:$B$504, B2783, '📅 Resumen Diario'!$C$5:$C$504, D2783), 0))</f>
        <v/>
      </c>
      <c r="M2783" s="31" t="str">
        <f t="shared" si="304"/>
        <v/>
      </c>
      <c r="N2783" s="31" t="str">
        <f t="shared" si="305"/>
        <v/>
      </c>
      <c r="O2783" s="31" t="str">
        <f>IF(OR(B2783="",C2783=""),"",K2783-N2783 + IFERROR(E2783 / SUMIFS('📅 Resumen Diario'!$D$5:$D$504, '📅 Resumen Diario'!$B$5:$B$504, B2783, '📅 Resumen Diario'!$C$5:$C$504, D2783) * (SUMIFS('📋 Detalle Diario'!$E$5:$E$489, '📋 Detalle Diario'!$B$5:$B$489, B2783, '📋 Detalle Diario'!$C$5:$C$489, D2783) * 135 + SUMIFS('📋 Detalle Diario'!$I$5:$I$489, '📋 Detalle Diario'!$B$5:$B$489, B2783, '📋 Detalle Diario'!$C$5:$C$489, D2783) * 200), 0))</f>
        <v/>
      </c>
      <c r="P2783" s="32" t="str">
        <f t="shared" si="306"/>
        <v/>
      </c>
      <c r="Q2783" s="33" t="str">
        <f t="shared" si="307"/>
        <v/>
      </c>
    </row>
    <row r="2784" spans="2:17" ht="18" customHeight="1" x14ac:dyDescent="0.3">
      <c r="B2784" s="26"/>
      <c r="C2784" s="17"/>
      <c r="D2784" s="27"/>
      <c r="E2784" s="18"/>
      <c r="F2784" s="18"/>
      <c r="G2784" s="18"/>
      <c r="H2784" s="30" t="str">
        <f t="shared" si="301"/>
        <v/>
      </c>
      <c r="I2784" s="31" t="str">
        <f>IF(OR(B2784="",C2784=""),"",IFERROR(E2784*IF(E2784="",0,VLOOKUP(C2784,'📦 Precios Proforma'!$B$5:$D$104,IF(D2784="DIA",2,3),FALSE)),0))</f>
        <v/>
      </c>
      <c r="J2784" s="31" t="str">
        <f t="shared" si="302"/>
        <v/>
      </c>
      <c r="K2784" s="31" t="str">
        <f t="shared" si="303"/>
        <v/>
      </c>
      <c r="L2784" s="31" t="str">
        <f>IF(OR(B2784="",C2784=""),"",IFERROR(E2784 / SUMIFS('📅 Resumen Diario'!$D$5:$D$504, '📅 Resumen Diario'!$B$5:$B$504, B2784, '📅 Resumen Diario'!$C$5:$C$504, D2784) * SUMIFS('📅 Resumen Diario'!$K$5:$K$504, '📅 Resumen Diario'!$B$5:$B$504, B2784, '📅 Resumen Diario'!$C$5:$C$504, D2784), 0))</f>
        <v/>
      </c>
      <c r="M2784" s="31" t="str">
        <f t="shared" si="304"/>
        <v/>
      </c>
      <c r="N2784" s="31" t="str">
        <f t="shared" si="305"/>
        <v/>
      </c>
      <c r="O2784" s="31" t="str">
        <f>IF(OR(B2784="",C2784=""),"",K2784-N2784 + IFERROR(E2784 / SUMIFS('📅 Resumen Diario'!$D$5:$D$504, '📅 Resumen Diario'!$B$5:$B$504, B2784, '📅 Resumen Diario'!$C$5:$C$504, D2784) * (SUMIFS('📋 Detalle Diario'!$E$5:$E$489, '📋 Detalle Diario'!$B$5:$B$489, B2784, '📋 Detalle Diario'!$C$5:$C$489, D2784) * 135 + SUMIFS('📋 Detalle Diario'!$I$5:$I$489, '📋 Detalle Diario'!$B$5:$B$489, B2784, '📋 Detalle Diario'!$C$5:$C$489, D2784) * 200), 0))</f>
        <v/>
      </c>
      <c r="P2784" s="32" t="str">
        <f t="shared" si="306"/>
        <v/>
      </c>
      <c r="Q2784" s="33" t="str">
        <f t="shared" si="307"/>
        <v/>
      </c>
    </row>
    <row r="2785" spans="2:17" ht="18" customHeight="1" x14ac:dyDescent="0.3">
      <c r="B2785" s="26"/>
      <c r="C2785" s="28"/>
      <c r="D2785" s="27"/>
      <c r="E2785" s="29"/>
      <c r="F2785" s="29"/>
      <c r="G2785" s="29"/>
      <c r="H2785" s="30" t="str">
        <f t="shared" si="301"/>
        <v/>
      </c>
      <c r="I2785" s="31" t="str">
        <f>IF(OR(B2785="",C2785=""),"",IFERROR(E2785*IF(E2785="",0,VLOOKUP(C2785,'📦 Precios Proforma'!$B$5:$D$104,IF(D2785="DIA",2,3),FALSE)),0))</f>
        <v/>
      </c>
      <c r="J2785" s="31" t="str">
        <f t="shared" si="302"/>
        <v/>
      </c>
      <c r="K2785" s="31" t="str">
        <f t="shared" si="303"/>
        <v/>
      </c>
      <c r="L2785" s="31" t="str">
        <f>IF(OR(B2785="",C2785=""),"",IFERROR(E2785 / SUMIFS('📅 Resumen Diario'!$D$5:$D$504, '📅 Resumen Diario'!$B$5:$B$504, B2785, '📅 Resumen Diario'!$C$5:$C$504, D2785) * SUMIFS('📅 Resumen Diario'!$K$5:$K$504, '📅 Resumen Diario'!$B$5:$B$504, B2785, '📅 Resumen Diario'!$C$5:$C$504, D2785), 0))</f>
        <v/>
      </c>
      <c r="M2785" s="31" t="str">
        <f t="shared" si="304"/>
        <v/>
      </c>
      <c r="N2785" s="31" t="str">
        <f t="shared" si="305"/>
        <v/>
      </c>
      <c r="O2785" s="31" t="str">
        <f>IF(OR(B2785="",C2785=""),"",K2785-N2785 + IFERROR(E2785 / SUMIFS('📅 Resumen Diario'!$D$5:$D$504, '📅 Resumen Diario'!$B$5:$B$504, B2785, '📅 Resumen Diario'!$C$5:$C$504, D2785) * (SUMIFS('📋 Detalle Diario'!$E$5:$E$489, '📋 Detalle Diario'!$B$5:$B$489, B2785, '📋 Detalle Diario'!$C$5:$C$489, D2785) * 135 + SUMIFS('📋 Detalle Diario'!$I$5:$I$489, '📋 Detalle Diario'!$B$5:$B$489, B2785, '📋 Detalle Diario'!$C$5:$C$489, D2785) * 200), 0))</f>
        <v/>
      </c>
      <c r="P2785" s="32" t="str">
        <f t="shared" si="306"/>
        <v/>
      </c>
      <c r="Q2785" s="33" t="str">
        <f t="shared" si="307"/>
        <v/>
      </c>
    </row>
    <row r="2786" spans="2:17" ht="18" customHeight="1" x14ac:dyDescent="0.3">
      <c r="B2786" s="26"/>
      <c r="C2786" s="17"/>
      <c r="D2786" s="27"/>
      <c r="E2786" s="18"/>
      <c r="F2786" s="18"/>
      <c r="G2786" s="18"/>
      <c r="H2786" s="30" t="str">
        <f t="shared" si="301"/>
        <v/>
      </c>
      <c r="I2786" s="31" t="str">
        <f>IF(OR(B2786="",C2786=""),"",IFERROR(E2786*IF(E2786="",0,VLOOKUP(C2786,'📦 Precios Proforma'!$B$5:$D$104,IF(D2786="DIA",2,3),FALSE)),0))</f>
        <v/>
      </c>
      <c r="J2786" s="31" t="str">
        <f t="shared" si="302"/>
        <v/>
      </c>
      <c r="K2786" s="31" t="str">
        <f t="shared" si="303"/>
        <v/>
      </c>
      <c r="L2786" s="31" t="str">
        <f>IF(OR(B2786="",C2786=""),"",IFERROR(E2786 / SUMIFS('📅 Resumen Diario'!$D$5:$D$504, '📅 Resumen Diario'!$B$5:$B$504, B2786, '📅 Resumen Diario'!$C$5:$C$504, D2786) * SUMIFS('📅 Resumen Diario'!$K$5:$K$504, '📅 Resumen Diario'!$B$5:$B$504, B2786, '📅 Resumen Diario'!$C$5:$C$504, D2786), 0))</f>
        <v/>
      </c>
      <c r="M2786" s="31" t="str">
        <f t="shared" si="304"/>
        <v/>
      </c>
      <c r="N2786" s="31" t="str">
        <f t="shared" si="305"/>
        <v/>
      </c>
      <c r="O2786" s="31" t="str">
        <f>IF(OR(B2786="",C2786=""),"",K2786-N2786 + IFERROR(E2786 / SUMIFS('📅 Resumen Diario'!$D$5:$D$504, '📅 Resumen Diario'!$B$5:$B$504, B2786, '📅 Resumen Diario'!$C$5:$C$504, D2786) * (SUMIFS('📋 Detalle Diario'!$E$5:$E$489, '📋 Detalle Diario'!$B$5:$B$489, B2786, '📋 Detalle Diario'!$C$5:$C$489, D2786) * 135 + SUMIFS('📋 Detalle Diario'!$I$5:$I$489, '📋 Detalle Diario'!$B$5:$B$489, B2786, '📋 Detalle Diario'!$C$5:$C$489, D2786) * 200), 0))</f>
        <v/>
      </c>
      <c r="P2786" s="32" t="str">
        <f t="shared" si="306"/>
        <v/>
      </c>
      <c r="Q2786" s="33" t="str">
        <f t="shared" si="307"/>
        <v/>
      </c>
    </row>
    <row r="2787" spans="2:17" ht="18" customHeight="1" x14ac:dyDescent="0.3">
      <c r="B2787" s="26"/>
      <c r="C2787" s="28"/>
      <c r="D2787" s="27"/>
      <c r="E2787" s="29"/>
      <c r="F2787" s="29"/>
      <c r="G2787" s="29"/>
      <c r="H2787" s="30" t="str">
        <f t="shared" si="301"/>
        <v/>
      </c>
      <c r="I2787" s="31" t="str">
        <f>IF(OR(B2787="",C2787=""),"",IFERROR(E2787*IF(E2787="",0,VLOOKUP(C2787,'📦 Precios Proforma'!$B$5:$D$104,IF(D2787="DIA",2,3),FALSE)),0))</f>
        <v/>
      </c>
      <c r="J2787" s="31" t="str">
        <f t="shared" si="302"/>
        <v/>
      </c>
      <c r="K2787" s="31" t="str">
        <f t="shared" si="303"/>
        <v/>
      </c>
      <c r="L2787" s="31" t="str">
        <f>IF(OR(B2787="",C2787=""),"",IFERROR(E2787 / SUMIFS('📅 Resumen Diario'!$D$5:$D$504, '📅 Resumen Diario'!$B$5:$B$504, B2787, '📅 Resumen Diario'!$C$5:$C$504, D2787) * SUMIFS('📅 Resumen Diario'!$K$5:$K$504, '📅 Resumen Diario'!$B$5:$B$504, B2787, '📅 Resumen Diario'!$C$5:$C$504, D2787), 0))</f>
        <v/>
      </c>
      <c r="M2787" s="31" t="str">
        <f t="shared" si="304"/>
        <v/>
      </c>
      <c r="N2787" s="31" t="str">
        <f t="shared" si="305"/>
        <v/>
      </c>
      <c r="O2787" s="31" t="str">
        <f>IF(OR(B2787="",C2787=""),"",K2787-N2787 + IFERROR(E2787 / SUMIFS('📅 Resumen Diario'!$D$5:$D$504, '📅 Resumen Diario'!$B$5:$B$504, B2787, '📅 Resumen Diario'!$C$5:$C$504, D2787) * (SUMIFS('📋 Detalle Diario'!$E$5:$E$489, '📋 Detalle Diario'!$B$5:$B$489, B2787, '📋 Detalle Diario'!$C$5:$C$489, D2787) * 135 + SUMIFS('📋 Detalle Diario'!$I$5:$I$489, '📋 Detalle Diario'!$B$5:$B$489, B2787, '📋 Detalle Diario'!$C$5:$C$489, D2787) * 200), 0))</f>
        <v/>
      </c>
      <c r="P2787" s="32" t="str">
        <f t="shared" si="306"/>
        <v/>
      </c>
      <c r="Q2787" s="33" t="str">
        <f t="shared" si="307"/>
        <v/>
      </c>
    </row>
    <row r="2788" spans="2:17" ht="18" customHeight="1" x14ac:dyDescent="0.3">
      <c r="B2788" s="26"/>
      <c r="C2788" s="17"/>
      <c r="D2788" s="27"/>
      <c r="E2788" s="18"/>
      <c r="F2788" s="18"/>
      <c r="G2788" s="18"/>
      <c r="H2788" s="30" t="str">
        <f t="shared" si="301"/>
        <v/>
      </c>
      <c r="I2788" s="31" t="str">
        <f>IF(OR(B2788="",C2788=""),"",IFERROR(E2788*IF(E2788="",0,VLOOKUP(C2788,'📦 Precios Proforma'!$B$5:$D$104,IF(D2788="DIA",2,3),FALSE)),0))</f>
        <v/>
      </c>
      <c r="J2788" s="31" t="str">
        <f t="shared" si="302"/>
        <v/>
      </c>
      <c r="K2788" s="31" t="str">
        <f t="shared" si="303"/>
        <v/>
      </c>
      <c r="L2788" s="31" t="str">
        <f>IF(OR(B2788="",C2788=""),"",IFERROR(E2788 / SUMIFS('📅 Resumen Diario'!$D$5:$D$504, '📅 Resumen Diario'!$B$5:$B$504, B2788, '📅 Resumen Diario'!$C$5:$C$504, D2788) * SUMIFS('📅 Resumen Diario'!$K$5:$K$504, '📅 Resumen Diario'!$B$5:$B$504, B2788, '📅 Resumen Diario'!$C$5:$C$504, D2788), 0))</f>
        <v/>
      </c>
      <c r="M2788" s="31" t="str">
        <f t="shared" si="304"/>
        <v/>
      </c>
      <c r="N2788" s="31" t="str">
        <f t="shared" si="305"/>
        <v/>
      </c>
      <c r="O2788" s="31" t="str">
        <f>IF(OR(B2788="",C2788=""),"",K2788-N2788 + IFERROR(E2788 / SUMIFS('📅 Resumen Diario'!$D$5:$D$504, '📅 Resumen Diario'!$B$5:$B$504, B2788, '📅 Resumen Diario'!$C$5:$C$504, D2788) * (SUMIFS('📋 Detalle Diario'!$E$5:$E$489, '📋 Detalle Diario'!$B$5:$B$489, B2788, '📋 Detalle Diario'!$C$5:$C$489, D2788) * 135 + SUMIFS('📋 Detalle Diario'!$I$5:$I$489, '📋 Detalle Diario'!$B$5:$B$489, B2788, '📋 Detalle Diario'!$C$5:$C$489, D2788) * 200), 0))</f>
        <v/>
      </c>
      <c r="P2788" s="32" t="str">
        <f t="shared" si="306"/>
        <v/>
      </c>
      <c r="Q2788" s="33" t="str">
        <f t="shared" si="307"/>
        <v/>
      </c>
    </row>
    <row r="2789" spans="2:17" ht="18" customHeight="1" x14ac:dyDescent="0.3">
      <c r="B2789" s="26"/>
      <c r="C2789" s="28"/>
      <c r="D2789" s="27"/>
      <c r="E2789" s="29"/>
      <c r="F2789" s="29"/>
      <c r="G2789" s="29"/>
      <c r="H2789" s="30" t="str">
        <f t="shared" si="301"/>
        <v/>
      </c>
      <c r="I2789" s="31" t="str">
        <f>IF(OR(B2789="",C2789=""),"",IFERROR(E2789*IF(E2789="",0,VLOOKUP(C2789,'📦 Precios Proforma'!$B$5:$D$104,IF(D2789="DIA",2,3),FALSE)),0))</f>
        <v/>
      </c>
      <c r="J2789" s="31" t="str">
        <f t="shared" si="302"/>
        <v/>
      </c>
      <c r="K2789" s="31" t="str">
        <f t="shared" si="303"/>
        <v/>
      </c>
      <c r="L2789" s="31" t="str">
        <f>IF(OR(B2789="",C2789=""),"",IFERROR(E2789 / SUMIFS('📅 Resumen Diario'!$D$5:$D$504, '📅 Resumen Diario'!$B$5:$B$504, B2789, '📅 Resumen Diario'!$C$5:$C$504, D2789) * SUMIFS('📅 Resumen Diario'!$K$5:$K$504, '📅 Resumen Diario'!$B$5:$B$504, B2789, '📅 Resumen Diario'!$C$5:$C$504, D2789), 0))</f>
        <v/>
      </c>
      <c r="M2789" s="31" t="str">
        <f t="shared" si="304"/>
        <v/>
      </c>
      <c r="N2789" s="31" t="str">
        <f t="shared" si="305"/>
        <v/>
      </c>
      <c r="O2789" s="31" t="str">
        <f>IF(OR(B2789="",C2789=""),"",K2789-N2789 + IFERROR(E2789 / SUMIFS('📅 Resumen Diario'!$D$5:$D$504, '📅 Resumen Diario'!$B$5:$B$504, B2789, '📅 Resumen Diario'!$C$5:$C$504, D2789) * (SUMIFS('📋 Detalle Diario'!$E$5:$E$489, '📋 Detalle Diario'!$B$5:$B$489, B2789, '📋 Detalle Diario'!$C$5:$C$489, D2789) * 135 + SUMIFS('📋 Detalle Diario'!$I$5:$I$489, '📋 Detalle Diario'!$B$5:$B$489, B2789, '📋 Detalle Diario'!$C$5:$C$489, D2789) * 200), 0))</f>
        <v/>
      </c>
      <c r="P2789" s="32" t="str">
        <f t="shared" si="306"/>
        <v/>
      </c>
      <c r="Q2789" s="33" t="str">
        <f t="shared" si="307"/>
        <v/>
      </c>
    </row>
    <row r="2790" spans="2:17" ht="18" customHeight="1" x14ac:dyDescent="0.3">
      <c r="B2790" s="26"/>
      <c r="C2790" s="17"/>
      <c r="D2790" s="27"/>
      <c r="E2790" s="18"/>
      <c r="F2790" s="18"/>
      <c r="G2790" s="18"/>
      <c r="H2790" s="30" t="str">
        <f t="shared" si="301"/>
        <v/>
      </c>
      <c r="I2790" s="31" t="str">
        <f>IF(OR(B2790="",C2790=""),"",IFERROR(E2790*IF(E2790="",0,VLOOKUP(C2790,'📦 Precios Proforma'!$B$5:$D$104,IF(D2790="DIA",2,3),FALSE)),0))</f>
        <v/>
      </c>
      <c r="J2790" s="31" t="str">
        <f t="shared" si="302"/>
        <v/>
      </c>
      <c r="K2790" s="31" t="str">
        <f t="shared" si="303"/>
        <v/>
      </c>
      <c r="L2790" s="31" t="str">
        <f>IF(OR(B2790="",C2790=""),"",IFERROR(E2790 / SUMIFS('📅 Resumen Diario'!$D$5:$D$504, '📅 Resumen Diario'!$B$5:$B$504, B2790, '📅 Resumen Diario'!$C$5:$C$504, D2790) * SUMIFS('📅 Resumen Diario'!$K$5:$K$504, '📅 Resumen Diario'!$B$5:$B$504, B2790, '📅 Resumen Diario'!$C$5:$C$504, D2790), 0))</f>
        <v/>
      </c>
      <c r="M2790" s="31" t="str">
        <f t="shared" si="304"/>
        <v/>
      </c>
      <c r="N2790" s="31" t="str">
        <f t="shared" si="305"/>
        <v/>
      </c>
      <c r="O2790" s="31" t="str">
        <f>IF(OR(B2790="",C2790=""),"",K2790-N2790 + IFERROR(E2790 / SUMIFS('📅 Resumen Diario'!$D$5:$D$504, '📅 Resumen Diario'!$B$5:$B$504, B2790, '📅 Resumen Diario'!$C$5:$C$504, D2790) * (SUMIFS('📋 Detalle Diario'!$E$5:$E$489, '📋 Detalle Diario'!$B$5:$B$489, B2790, '📋 Detalle Diario'!$C$5:$C$489, D2790) * 135 + SUMIFS('📋 Detalle Diario'!$I$5:$I$489, '📋 Detalle Diario'!$B$5:$B$489, B2790, '📋 Detalle Diario'!$C$5:$C$489, D2790) * 200), 0))</f>
        <v/>
      </c>
      <c r="P2790" s="32" t="str">
        <f t="shared" si="306"/>
        <v/>
      </c>
      <c r="Q2790" s="33" t="str">
        <f t="shared" si="307"/>
        <v/>
      </c>
    </row>
    <row r="2791" spans="2:17" ht="18" customHeight="1" x14ac:dyDescent="0.3">
      <c r="B2791" s="26"/>
      <c r="C2791" s="28"/>
      <c r="D2791" s="27"/>
      <c r="E2791" s="29"/>
      <c r="F2791" s="29"/>
      <c r="G2791" s="29"/>
      <c r="H2791" s="30" t="str">
        <f t="shared" si="301"/>
        <v/>
      </c>
      <c r="I2791" s="31" t="str">
        <f>IF(OR(B2791="",C2791=""),"",IFERROR(E2791*IF(E2791="",0,VLOOKUP(C2791,'📦 Precios Proforma'!$B$5:$D$104,IF(D2791="DIA",2,3),FALSE)),0))</f>
        <v/>
      </c>
      <c r="J2791" s="31" t="str">
        <f t="shared" si="302"/>
        <v/>
      </c>
      <c r="K2791" s="31" t="str">
        <f t="shared" si="303"/>
        <v/>
      </c>
      <c r="L2791" s="31" t="str">
        <f>IF(OR(B2791="",C2791=""),"",IFERROR(E2791 / SUMIFS('📅 Resumen Diario'!$D$5:$D$504, '📅 Resumen Diario'!$B$5:$B$504, B2791, '📅 Resumen Diario'!$C$5:$C$504, D2791) * SUMIFS('📅 Resumen Diario'!$K$5:$K$504, '📅 Resumen Diario'!$B$5:$B$504, B2791, '📅 Resumen Diario'!$C$5:$C$504, D2791), 0))</f>
        <v/>
      </c>
      <c r="M2791" s="31" t="str">
        <f t="shared" si="304"/>
        <v/>
      </c>
      <c r="N2791" s="31" t="str">
        <f t="shared" si="305"/>
        <v/>
      </c>
      <c r="O2791" s="31" t="str">
        <f>IF(OR(B2791="",C2791=""),"",K2791-N2791 + IFERROR(E2791 / SUMIFS('📅 Resumen Diario'!$D$5:$D$504, '📅 Resumen Diario'!$B$5:$B$504, B2791, '📅 Resumen Diario'!$C$5:$C$504, D2791) * (SUMIFS('📋 Detalle Diario'!$E$5:$E$489, '📋 Detalle Diario'!$B$5:$B$489, B2791, '📋 Detalle Diario'!$C$5:$C$489, D2791) * 135 + SUMIFS('📋 Detalle Diario'!$I$5:$I$489, '📋 Detalle Diario'!$B$5:$B$489, B2791, '📋 Detalle Diario'!$C$5:$C$489, D2791) * 200), 0))</f>
        <v/>
      </c>
      <c r="P2791" s="32" t="str">
        <f t="shared" si="306"/>
        <v/>
      </c>
      <c r="Q2791" s="33" t="str">
        <f t="shared" si="307"/>
        <v/>
      </c>
    </row>
    <row r="2792" spans="2:17" ht="18" customHeight="1" x14ac:dyDescent="0.3">
      <c r="B2792" s="26"/>
      <c r="C2792" s="17"/>
      <c r="D2792" s="27"/>
      <c r="E2792" s="18"/>
      <c r="F2792" s="18"/>
      <c r="G2792" s="18"/>
      <c r="H2792" s="30" t="str">
        <f t="shared" si="301"/>
        <v/>
      </c>
      <c r="I2792" s="31" t="str">
        <f>IF(OR(B2792="",C2792=""),"",IFERROR(E2792*IF(E2792="",0,VLOOKUP(C2792,'📦 Precios Proforma'!$B$5:$D$104,IF(D2792="DIA",2,3),FALSE)),0))</f>
        <v/>
      </c>
      <c r="J2792" s="31" t="str">
        <f t="shared" si="302"/>
        <v/>
      </c>
      <c r="K2792" s="31" t="str">
        <f t="shared" si="303"/>
        <v/>
      </c>
      <c r="L2792" s="31" t="str">
        <f>IF(OR(B2792="",C2792=""),"",IFERROR(E2792 / SUMIFS('📅 Resumen Diario'!$D$5:$D$504, '📅 Resumen Diario'!$B$5:$B$504, B2792, '📅 Resumen Diario'!$C$5:$C$504, D2792) * SUMIFS('📅 Resumen Diario'!$K$5:$K$504, '📅 Resumen Diario'!$B$5:$B$504, B2792, '📅 Resumen Diario'!$C$5:$C$504, D2792), 0))</f>
        <v/>
      </c>
      <c r="M2792" s="31" t="str">
        <f t="shared" si="304"/>
        <v/>
      </c>
      <c r="N2792" s="31" t="str">
        <f t="shared" si="305"/>
        <v/>
      </c>
      <c r="O2792" s="31" t="str">
        <f>IF(OR(B2792="",C2792=""),"",K2792-N2792 + IFERROR(E2792 / SUMIFS('📅 Resumen Diario'!$D$5:$D$504, '📅 Resumen Diario'!$B$5:$B$504, B2792, '📅 Resumen Diario'!$C$5:$C$504, D2792) * (SUMIFS('📋 Detalle Diario'!$E$5:$E$489, '📋 Detalle Diario'!$B$5:$B$489, B2792, '📋 Detalle Diario'!$C$5:$C$489, D2792) * 135 + SUMIFS('📋 Detalle Diario'!$I$5:$I$489, '📋 Detalle Diario'!$B$5:$B$489, B2792, '📋 Detalle Diario'!$C$5:$C$489, D2792) * 200), 0))</f>
        <v/>
      </c>
      <c r="P2792" s="32" t="str">
        <f t="shared" si="306"/>
        <v/>
      </c>
      <c r="Q2792" s="33" t="str">
        <f t="shared" si="307"/>
        <v/>
      </c>
    </row>
    <row r="2793" spans="2:17" ht="18" customHeight="1" x14ac:dyDescent="0.3">
      <c r="B2793" s="26"/>
      <c r="C2793" s="28"/>
      <c r="D2793" s="27"/>
      <c r="E2793" s="29"/>
      <c r="F2793" s="29"/>
      <c r="G2793" s="29"/>
      <c r="H2793" s="30" t="str">
        <f t="shared" si="301"/>
        <v/>
      </c>
      <c r="I2793" s="31" t="str">
        <f>IF(OR(B2793="",C2793=""),"",IFERROR(E2793*IF(E2793="",0,VLOOKUP(C2793,'📦 Precios Proforma'!$B$5:$D$104,IF(D2793="DIA",2,3),FALSE)),0))</f>
        <v/>
      </c>
      <c r="J2793" s="31" t="str">
        <f t="shared" si="302"/>
        <v/>
      </c>
      <c r="K2793" s="31" t="str">
        <f t="shared" si="303"/>
        <v/>
      </c>
      <c r="L2793" s="31" t="str">
        <f>IF(OR(B2793="",C2793=""),"",IFERROR(E2793 / SUMIFS('📅 Resumen Diario'!$D$5:$D$504, '📅 Resumen Diario'!$B$5:$B$504, B2793, '📅 Resumen Diario'!$C$5:$C$504, D2793) * SUMIFS('📅 Resumen Diario'!$K$5:$K$504, '📅 Resumen Diario'!$B$5:$B$504, B2793, '📅 Resumen Diario'!$C$5:$C$504, D2793), 0))</f>
        <v/>
      </c>
      <c r="M2793" s="31" t="str">
        <f t="shared" si="304"/>
        <v/>
      </c>
      <c r="N2793" s="31" t="str">
        <f t="shared" si="305"/>
        <v/>
      </c>
      <c r="O2793" s="31" t="str">
        <f>IF(OR(B2793="",C2793=""),"",K2793-N2793 + IFERROR(E2793 / SUMIFS('📅 Resumen Diario'!$D$5:$D$504, '📅 Resumen Diario'!$B$5:$B$504, B2793, '📅 Resumen Diario'!$C$5:$C$504, D2793) * (SUMIFS('📋 Detalle Diario'!$E$5:$E$489, '📋 Detalle Diario'!$B$5:$B$489, B2793, '📋 Detalle Diario'!$C$5:$C$489, D2793) * 135 + SUMIFS('📋 Detalle Diario'!$I$5:$I$489, '📋 Detalle Diario'!$B$5:$B$489, B2793, '📋 Detalle Diario'!$C$5:$C$489, D2793) * 200), 0))</f>
        <v/>
      </c>
      <c r="P2793" s="32" t="str">
        <f t="shared" si="306"/>
        <v/>
      </c>
      <c r="Q2793" s="33" t="str">
        <f t="shared" si="307"/>
        <v/>
      </c>
    </row>
    <row r="2794" spans="2:17" ht="18" customHeight="1" x14ac:dyDescent="0.3">
      <c r="B2794" s="26"/>
      <c r="C2794" s="17"/>
      <c r="D2794" s="27"/>
      <c r="E2794" s="18"/>
      <c r="F2794" s="18"/>
      <c r="G2794" s="18"/>
      <c r="H2794" s="30" t="str">
        <f t="shared" si="301"/>
        <v/>
      </c>
      <c r="I2794" s="31" t="str">
        <f>IF(OR(B2794="",C2794=""),"",IFERROR(E2794*IF(E2794="",0,VLOOKUP(C2794,'📦 Precios Proforma'!$B$5:$D$104,IF(D2794="DIA",2,3),FALSE)),0))</f>
        <v/>
      </c>
      <c r="J2794" s="31" t="str">
        <f t="shared" si="302"/>
        <v/>
      </c>
      <c r="K2794" s="31" t="str">
        <f t="shared" si="303"/>
        <v/>
      </c>
      <c r="L2794" s="31" t="str">
        <f>IF(OR(B2794="",C2794=""),"",IFERROR(E2794 / SUMIFS('📅 Resumen Diario'!$D$5:$D$504, '📅 Resumen Diario'!$B$5:$B$504, B2794, '📅 Resumen Diario'!$C$5:$C$504, D2794) * SUMIFS('📅 Resumen Diario'!$K$5:$K$504, '📅 Resumen Diario'!$B$5:$B$504, B2794, '📅 Resumen Diario'!$C$5:$C$504, D2794), 0))</f>
        <v/>
      </c>
      <c r="M2794" s="31" t="str">
        <f t="shared" si="304"/>
        <v/>
      </c>
      <c r="N2794" s="31" t="str">
        <f t="shared" si="305"/>
        <v/>
      </c>
      <c r="O2794" s="31" t="str">
        <f>IF(OR(B2794="",C2794=""),"",K2794-N2794 + IFERROR(E2794 / SUMIFS('📅 Resumen Diario'!$D$5:$D$504, '📅 Resumen Diario'!$B$5:$B$504, B2794, '📅 Resumen Diario'!$C$5:$C$504, D2794) * (SUMIFS('📋 Detalle Diario'!$E$5:$E$489, '📋 Detalle Diario'!$B$5:$B$489, B2794, '📋 Detalle Diario'!$C$5:$C$489, D2794) * 135 + SUMIFS('📋 Detalle Diario'!$I$5:$I$489, '📋 Detalle Diario'!$B$5:$B$489, B2794, '📋 Detalle Diario'!$C$5:$C$489, D2794) * 200), 0))</f>
        <v/>
      </c>
      <c r="P2794" s="32" t="str">
        <f t="shared" si="306"/>
        <v/>
      </c>
      <c r="Q2794" s="33" t="str">
        <f t="shared" si="307"/>
        <v/>
      </c>
    </row>
    <row r="2795" spans="2:17" ht="18" customHeight="1" x14ac:dyDescent="0.3">
      <c r="B2795" s="26"/>
      <c r="C2795" s="28"/>
      <c r="D2795" s="27"/>
      <c r="E2795" s="29"/>
      <c r="F2795" s="29"/>
      <c r="G2795" s="29"/>
      <c r="H2795" s="30" t="str">
        <f t="shared" si="301"/>
        <v/>
      </c>
      <c r="I2795" s="31" t="str">
        <f>IF(OR(B2795="",C2795=""),"",IFERROR(E2795*IF(E2795="",0,VLOOKUP(C2795,'📦 Precios Proforma'!$B$5:$D$104,IF(D2795="DIA",2,3),FALSE)),0))</f>
        <v/>
      </c>
      <c r="J2795" s="31" t="str">
        <f t="shared" si="302"/>
        <v/>
      </c>
      <c r="K2795" s="31" t="str">
        <f t="shared" si="303"/>
        <v/>
      </c>
      <c r="L2795" s="31" t="str">
        <f>IF(OR(B2795="",C2795=""),"",IFERROR(E2795 / SUMIFS('📅 Resumen Diario'!$D$5:$D$504, '📅 Resumen Diario'!$B$5:$B$504, B2795, '📅 Resumen Diario'!$C$5:$C$504, D2795) * SUMIFS('📅 Resumen Diario'!$K$5:$K$504, '📅 Resumen Diario'!$B$5:$B$504, B2795, '📅 Resumen Diario'!$C$5:$C$504, D2795), 0))</f>
        <v/>
      </c>
      <c r="M2795" s="31" t="str">
        <f t="shared" si="304"/>
        <v/>
      </c>
      <c r="N2795" s="31" t="str">
        <f t="shared" si="305"/>
        <v/>
      </c>
      <c r="O2795" s="31" t="str">
        <f>IF(OR(B2795="",C2795=""),"",K2795-N2795 + IFERROR(E2795 / SUMIFS('📅 Resumen Diario'!$D$5:$D$504, '📅 Resumen Diario'!$B$5:$B$504, B2795, '📅 Resumen Diario'!$C$5:$C$504, D2795) * (SUMIFS('📋 Detalle Diario'!$E$5:$E$489, '📋 Detalle Diario'!$B$5:$B$489, B2795, '📋 Detalle Diario'!$C$5:$C$489, D2795) * 135 + SUMIFS('📋 Detalle Diario'!$I$5:$I$489, '📋 Detalle Diario'!$B$5:$B$489, B2795, '📋 Detalle Diario'!$C$5:$C$489, D2795) * 200), 0))</f>
        <v/>
      </c>
      <c r="P2795" s="32" t="str">
        <f t="shared" si="306"/>
        <v/>
      </c>
      <c r="Q2795" s="33" t="str">
        <f t="shared" si="307"/>
        <v/>
      </c>
    </row>
    <row r="2796" spans="2:17" ht="18" customHeight="1" x14ac:dyDescent="0.3">
      <c r="B2796" s="26"/>
      <c r="C2796" s="17"/>
      <c r="D2796" s="27"/>
      <c r="E2796" s="18"/>
      <c r="F2796" s="18"/>
      <c r="G2796" s="18"/>
      <c r="H2796" s="30" t="str">
        <f t="shared" si="301"/>
        <v/>
      </c>
      <c r="I2796" s="31" t="str">
        <f>IF(OR(B2796="",C2796=""),"",IFERROR(E2796*IF(E2796="",0,VLOOKUP(C2796,'📦 Precios Proforma'!$B$5:$D$104,IF(D2796="DIA",2,3),FALSE)),0))</f>
        <v/>
      </c>
      <c r="J2796" s="31" t="str">
        <f t="shared" si="302"/>
        <v/>
      </c>
      <c r="K2796" s="31" t="str">
        <f t="shared" si="303"/>
        <v/>
      </c>
      <c r="L2796" s="31" t="str">
        <f>IF(OR(B2796="",C2796=""),"",IFERROR(E2796 / SUMIFS('📅 Resumen Diario'!$D$5:$D$504, '📅 Resumen Diario'!$B$5:$B$504, B2796, '📅 Resumen Diario'!$C$5:$C$504, D2796) * SUMIFS('📅 Resumen Diario'!$K$5:$K$504, '📅 Resumen Diario'!$B$5:$B$504, B2796, '📅 Resumen Diario'!$C$5:$C$504, D2796), 0))</f>
        <v/>
      </c>
      <c r="M2796" s="31" t="str">
        <f t="shared" si="304"/>
        <v/>
      </c>
      <c r="N2796" s="31" t="str">
        <f t="shared" si="305"/>
        <v/>
      </c>
      <c r="O2796" s="31" t="str">
        <f>IF(OR(B2796="",C2796=""),"",K2796-N2796 + IFERROR(E2796 / SUMIFS('📅 Resumen Diario'!$D$5:$D$504, '📅 Resumen Diario'!$B$5:$B$504, B2796, '📅 Resumen Diario'!$C$5:$C$504, D2796) * (SUMIFS('📋 Detalle Diario'!$E$5:$E$489, '📋 Detalle Diario'!$B$5:$B$489, B2796, '📋 Detalle Diario'!$C$5:$C$489, D2796) * 135 + SUMIFS('📋 Detalle Diario'!$I$5:$I$489, '📋 Detalle Diario'!$B$5:$B$489, B2796, '📋 Detalle Diario'!$C$5:$C$489, D2796) * 200), 0))</f>
        <v/>
      </c>
      <c r="P2796" s="32" t="str">
        <f t="shared" si="306"/>
        <v/>
      </c>
      <c r="Q2796" s="33" t="str">
        <f t="shared" si="307"/>
        <v/>
      </c>
    </row>
    <row r="2797" spans="2:17" ht="18" customHeight="1" x14ac:dyDescent="0.3">
      <c r="B2797" s="26"/>
      <c r="C2797" s="28"/>
      <c r="D2797" s="27"/>
      <c r="E2797" s="29"/>
      <c r="F2797" s="29"/>
      <c r="G2797" s="29"/>
      <c r="H2797" s="30" t="str">
        <f t="shared" si="301"/>
        <v/>
      </c>
      <c r="I2797" s="31" t="str">
        <f>IF(OR(B2797="",C2797=""),"",IFERROR(E2797*IF(E2797="",0,VLOOKUP(C2797,'📦 Precios Proforma'!$B$5:$D$104,IF(D2797="DIA",2,3),FALSE)),0))</f>
        <v/>
      </c>
      <c r="J2797" s="31" t="str">
        <f t="shared" si="302"/>
        <v/>
      </c>
      <c r="K2797" s="31" t="str">
        <f t="shared" si="303"/>
        <v/>
      </c>
      <c r="L2797" s="31" t="str">
        <f>IF(OR(B2797="",C2797=""),"",IFERROR(E2797 / SUMIFS('📅 Resumen Diario'!$D$5:$D$504, '📅 Resumen Diario'!$B$5:$B$504, B2797, '📅 Resumen Diario'!$C$5:$C$504, D2797) * SUMIFS('📅 Resumen Diario'!$K$5:$K$504, '📅 Resumen Diario'!$B$5:$B$504, B2797, '📅 Resumen Diario'!$C$5:$C$504, D2797), 0))</f>
        <v/>
      </c>
      <c r="M2797" s="31" t="str">
        <f t="shared" si="304"/>
        <v/>
      </c>
      <c r="N2797" s="31" t="str">
        <f t="shared" si="305"/>
        <v/>
      </c>
      <c r="O2797" s="31" t="str">
        <f>IF(OR(B2797="",C2797=""),"",K2797-N2797 + IFERROR(E2797 / SUMIFS('📅 Resumen Diario'!$D$5:$D$504, '📅 Resumen Diario'!$B$5:$B$504, B2797, '📅 Resumen Diario'!$C$5:$C$504, D2797) * (SUMIFS('📋 Detalle Diario'!$E$5:$E$489, '📋 Detalle Diario'!$B$5:$B$489, B2797, '📋 Detalle Diario'!$C$5:$C$489, D2797) * 135 + SUMIFS('📋 Detalle Diario'!$I$5:$I$489, '📋 Detalle Diario'!$B$5:$B$489, B2797, '📋 Detalle Diario'!$C$5:$C$489, D2797) * 200), 0))</f>
        <v/>
      </c>
      <c r="P2797" s="32" t="str">
        <f t="shared" si="306"/>
        <v/>
      </c>
      <c r="Q2797" s="33" t="str">
        <f t="shared" si="307"/>
        <v/>
      </c>
    </row>
    <row r="2798" spans="2:17" ht="18" customHeight="1" x14ac:dyDescent="0.3">
      <c r="B2798" s="26"/>
      <c r="C2798" s="17"/>
      <c r="D2798" s="27"/>
      <c r="E2798" s="18"/>
      <c r="F2798" s="18"/>
      <c r="G2798" s="18"/>
      <c r="H2798" s="30" t="str">
        <f t="shared" si="301"/>
        <v/>
      </c>
      <c r="I2798" s="31" t="str">
        <f>IF(OR(B2798="",C2798=""),"",IFERROR(E2798*IF(E2798="",0,VLOOKUP(C2798,'📦 Precios Proforma'!$B$5:$D$104,IF(D2798="DIA",2,3),FALSE)),0))</f>
        <v/>
      </c>
      <c r="J2798" s="31" t="str">
        <f t="shared" si="302"/>
        <v/>
      </c>
      <c r="K2798" s="31" t="str">
        <f t="shared" si="303"/>
        <v/>
      </c>
      <c r="L2798" s="31" t="str">
        <f>IF(OR(B2798="",C2798=""),"",IFERROR(E2798 / SUMIFS('📅 Resumen Diario'!$D$5:$D$504, '📅 Resumen Diario'!$B$5:$B$504, B2798, '📅 Resumen Diario'!$C$5:$C$504, D2798) * SUMIFS('📅 Resumen Diario'!$K$5:$K$504, '📅 Resumen Diario'!$B$5:$B$504, B2798, '📅 Resumen Diario'!$C$5:$C$504, D2798), 0))</f>
        <v/>
      </c>
      <c r="M2798" s="31" t="str">
        <f t="shared" si="304"/>
        <v/>
      </c>
      <c r="N2798" s="31" t="str">
        <f t="shared" si="305"/>
        <v/>
      </c>
      <c r="O2798" s="31" t="str">
        <f>IF(OR(B2798="",C2798=""),"",K2798-N2798 + IFERROR(E2798 / SUMIFS('📅 Resumen Diario'!$D$5:$D$504, '📅 Resumen Diario'!$B$5:$B$504, B2798, '📅 Resumen Diario'!$C$5:$C$504, D2798) * (SUMIFS('📋 Detalle Diario'!$E$5:$E$489, '📋 Detalle Diario'!$B$5:$B$489, B2798, '📋 Detalle Diario'!$C$5:$C$489, D2798) * 135 + SUMIFS('📋 Detalle Diario'!$I$5:$I$489, '📋 Detalle Diario'!$B$5:$B$489, B2798, '📋 Detalle Diario'!$C$5:$C$489, D2798) * 200), 0))</f>
        <v/>
      </c>
      <c r="P2798" s="32" t="str">
        <f t="shared" si="306"/>
        <v/>
      </c>
      <c r="Q2798" s="33" t="str">
        <f t="shared" si="307"/>
        <v/>
      </c>
    </row>
    <row r="2799" spans="2:17" ht="18" customHeight="1" x14ac:dyDescent="0.3">
      <c r="B2799" s="26"/>
      <c r="C2799" s="28"/>
      <c r="D2799" s="27"/>
      <c r="E2799" s="29"/>
      <c r="F2799" s="29"/>
      <c r="G2799" s="29"/>
      <c r="H2799" s="30" t="str">
        <f t="shared" si="301"/>
        <v/>
      </c>
      <c r="I2799" s="31" t="str">
        <f>IF(OR(B2799="",C2799=""),"",IFERROR(E2799*IF(E2799="",0,VLOOKUP(C2799,'📦 Precios Proforma'!$B$5:$D$104,IF(D2799="DIA",2,3),FALSE)),0))</f>
        <v/>
      </c>
      <c r="J2799" s="31" t="str">
        <f t="shared" si="302"/>
        <v/>
      </c>
      <c r="K2799" s="31" t="str">
        <f t="shared" si="303"/>
        <v/>
      </c>
      <c r="L2799" s="31" t="str">
        <f>IF(OR(B2799="",C2799=""),"",IFERROR(E2799 / SUMIFS('📅 Resumen Diario'!$D$5:$D$504, '📅 Resumen Diario'!$B$5:$B$504, B2799, '📅 Resumen Diario'!$C$5:$C$504, D2799) * SUMIFS('📅 Resumen Diario'!$K$5:$K$504, '📅 Resumen Diario'!$B$5:$B$504, B2799, '📅 Resumen Diario'!$C$5:$C$504, D2799), 0))</f>
        <v/>
      </c>
      <c r="M2799" s="31" t="str">
        <f t="shared" si="304"/>
        <v/>
      </c>
      <c r="N2799" s="31" t="str">
        <f t="shared" si="305"/>
        <v/>
      </c>
      <c r="O2799" s="31" t="str">
        <f>IF(OR(B2799="",C2799=""),"",K2799-N2799 + IFERROR(E2799 / SUMIFS('📅 Resumen Diario'!$D$5:$D$504, '📅 Resumen Diario'!$B$5:$B$504, B2799, '📅 Resumen Diario'!$C$5:$C$504, D2799) * (SUMIFS('📋 Detalle Diario'!$E$5:$E$489, '📋 Detalle Diario'!$B$5:$B$489, B2799, '📋 Detalle Diario'!$C$5:$C$489, D2799) * 135 + SUMIFS('📋 Detalle Diario'!$I$5:$I$489, '📋 Detalle Diario'!$B$5:$B$489, B2799, '📋 Detalle Diario'!$C$5:$C$489, D2799) * 200), 0))</f>
        <v/>
      </c>
      <c r="P2799" s="32" t="str">
        <f t="shared" si="306"/>
        <v/>
      </c>
      <c r="Q2799" s="33" t="str">
        <f t="shared" si="307"/>
        <v/>
      </c>
    </row>
    <row r="2800" spans="2:17" ht="18" customHeight="1" x14ac:dyDescent="0.3">
      <c r="B2800" s="26"/>
      <c r="C2800" s="17"/>
      <c r="D2800" s="27"/>
      <c r="E2800" s="18"/>
      <c r="F2800" s="18"/>
      <c r="G2800" s="18"/>
      <c r="H2800" s="30" t="str">
        <f t="shared" si="301"/>
        <v/>
      </c>
      <c r="I2800" s="31" t="str">
        <f>IF(OR(B2800="",C2800=""),"",IFERROR(E2800*IF(E2800="",0,VLOOKUP(C2800,'📦 Precios Proforma'!$B$5:$D$104,IF(D2800="DIA",2,3),FALSE)),0))</f>
        <v/>
      </c>
      <c r="J2800" s="31" t="str">
        <f t="shared" si="302"/>
        <v/>
      </c>
      <c r="K2800" s="31" t="str">
        <f t="shared" si="303"/>
        <v/>
      </c>
      <c r="L2800" s="31" t="str">
        <f>IF(OR(B2800="",C2800=""),"",IFERROR(E2800 / SUMIFS('📅 Resumen Diario'!$D$5:$D$504, '📅 Resumen Diario'!$B$5:$B$504, B2800, '📅 Resumen Diario'!$C$5:$C$504, D2800) * SUMIFS('📅 Resumen Diario'!$K$5:$K$504, '📅 Resumen Diario'!$B$5:$B$504, B2800, '📅 Resumen Diario'!$C$5:$C$504, D2800), 0))</f>
        <v/>
      </c>
      <c r="M2800" s="31" t="str">
        <f t="shared" si="304"/>
        <v/>
      </c>
      <c r="N2800" s="31" t="str">
        <f t="shared" si="305"/>
        <v/>
      </c>
      <c r="O2800" s="31" t="str">
        <f>IF(OR(B2800="",C2800=""),"",K2800-N2800 + IFERROR(E2800 / SUMIFS('📅 Resumen Diario'!$D$5:$D$504, '📅 Resumen Diario'!$B$5:$B$504, B2800, '📅 Resumen Diario'!$C$5:$C$504, D2800) * (SUMIFS('📋 Detalle Diario'!$E$5:$E$489, '📋 Detalle Diario'!$B$5:$B$489, B2800, '📋 Detalle Diario'!$C$5:$C$489, D2800) * 135 + SUMIFS('📋 Detalle Diario'!$I$5:$I$489, '📋 Detalle Diario'!$B$5:$B$489, B2800, '📋 Detalle Diario'!$C$5:$C$489, D2800) * 200), 0))</f>
        <v/>
      </c>
      <c r="P2800" s="32" t="str">
        <f t="shared" si="306"/>
        <v/>
      </c>
      <c r="Q2800" s="33" t="str">
        <f t="shared" si="307"/>
        <v/>
      </c>
    </row>
    <row r="2801" spans="2:17" ht="18" customHeight="1" x14ac:dyDescent="0.3">
      <c r="B2801" s="26"/>
      <c r="C2801" s="28"/>
      <c r="D2801" s="27"/>
      <c r="E2801" s="29"/>
      <c r="F2801" s="29"/>
      <c r="G2801" s="29"/>
      <c r="H2801" s="30" t="str">
        <f t="shared" si="301"/>
        <v/>
      </c>
      <c r="I2801" s="31" t="str">
        <f>IF(OR(B2801="",C2801=""),"",IFERROR(E2801*IF(E2801="",0,VLOOKUP(C2801,'📦 Precios Proforma'!$B$5:$D$104,IF(D2801="DIA",2,3),FALSE)),0))</f>
        <v/>
      </c>
      <c r="J2801" s="31" t="str">
        <f t="shared" si="302"/>
        <v/>
      </c>
      <c r="K2801" s="31" t="str">
        <f t="shared" si="303"/>
        <v/>
      </c>
      <c r="L2801" s="31" t="str">
        <f>IF(OR(B2801="",C2801=""),"",IFERROR(E2801 / SUMIFS('📅 Resumen Diario'!$D$5:$D$504, '📅 Resumen Diario'!$B$5:$B$504, B2801, '📅 Resumen Diario'!$C$5:$C$504, D2801) * SUMIFS('📅 Resumen Diario'!$K$5:$K$504, '📅 Resumen Diario'!$B$5:$B$504, B2801, '📅 Resumen Diario'!$C$5:$C$504, D2801), 0))</f>
        <v/>
      </c>
      <c r="M2801" s="31" t="str">
        <f t="shared" si="304"/>
        <v/>
      </c>
      <c r="N2801" s="31" t="str">
        <f t="shared" si="305"/>
        <v/>
      </c>
      <c r="O2801" s="31" t="str">
        <f>IF(OR(B2801="",C2801=""),"",K2801-N2801 + IFERROR(E2801 / SUMIFS('📅 Resumen Diario'!$D$5:$D$504, '📅 Resumen Diario'!$B$5:$B$504, B2801, '📅 Resumen Diario'!$C$5:$C$504, D2801) * (SUMIFS('📋 Detalle Diario'!$E$5:$E$489, '📋 Detalle Diario'!$B$5:$B$489, B2801, '📋 Detalle Diario'!$C$5:$C$489, D2801) * 135 + SUMIFS('📋 Detalle Diario'!$I$5:$I$489, '📋 Detalle Diario'!$B$5:$B$489, B2801, '📋 Detalle Diario'!$C$5:$C$489, D2801) * 200), 0))</f>
        <v/>
      </c>
      <c r="P2801" s="32" t="str">
        <f t="shared" si="306"/>
        <v/>
      </c>
      <c r="Q2801" s="33" t="str">
        <f t="shared" si="307"/>
        <v/>
      </c>
    </row>
    <row r="2802" spans="2:17" ht="18" customHeight="1" x14ac:dyDescent="0.3">
      <c r="B2802" s="26"/>
      <c r="C2802" s="17"/>
      <c r="D2802" s="27"/>
      <c r="E2802" s="18"/>
      <c r="F2802" s="18"/>
      <c r="G2802" s="18"/>
      <c r="H2802" s="30" t="str">
        <f t="shared" si="301"/>
        <v/>
      </c>
      <c r="I2802" s="31" t="str">
        <f>IF(OR(B2802="",C2802=""),"",IFERROR(E2802*IF(E2802="",0,VLOOKUP(C2802,'📦 Precios Proforma'!$B$5:$D$104,IF(D2802="DIA",2,3),FALSE)),0))</f>
        <v/>
      </c>
      <c r="J2802" s="31" t="str">
        <f t="shared" si="302"/>
        <v/>
      </c>
      <c r="K2802" s="31" t="str">
        <f t="shared" si="303"/>
        <v/>
      </c>
      <c r="L2802" s="31" t="str">
        <f>IF(OR(B2802="",C2802=""),"",IFERROR(E2802 / SUMIFS('📅 Resumen Diario'!$D$5:$D$504, '📅 Resumen Diario'!$B$5:$B$504, B2802, '📅 Resumen Diario'!$C$5:$C$504, D2802) * SUMIFS('📅 Resumen Diario'!$K$5:$K$504, '📅 Resumen Diario'!$B$5:$B$504, B2802, '📅 Resumen Diario'!$C$5:$C$504, D2802), 0))</f>
        <v/>
      </c>
      <c r="M2802" s="31" t="str">
        <f t="shared" si="304"/>
        <v/>
      </c>
      <c r="N2802" s="31" t="str">
        <f t="shared" si="305"/>
        <v/>
      </c>
      <c r="O2802" s="31" t="str">
        <f>IF(OR(B2802="",C2802=""),"",K2802-N2802 + IFERROR(E2802 / SUMIFS('📅 Resumen Diario'!$D$5:$D$504, '📅 Resumen Diario'!$B$5:$B$504, B2802, '📅 Resumen Diario'!$C$5:$C$504, D2802) * (SUMIFS('📋 Detalle Diario'!$E$5:$E$489, '📋 Detalle Diario'!$B$5:$B$489, B2802, '📋 Detalle Diario'!$C$5:$C$489, D2802) * 135 + SUMIFS('📋 Detalle Diario'!$I$5:$I$489, '📋 Detalle Diario'!$B$5:$B$489, B2802, '📋 Detalle Diario'!$C$5:$C$489, D2802) * 200), 0))</f>
        <v/>
      </c>
      <c r="P2802" s="32" t="str">
        <f t="shared" si="306"/>
        <v/>
      </c>
      <c r="Q2802" s="33" t="str">
        <f t="shared" si="307"/>
        <v/>
      </c>
    </row>
    <row r="2803" spans="2:17" ht="18" customHeight="1" x14ac:dyDescent="0.3">
      <c r="B2803" s="26"/>
      <c r="C2803" s="28"/>
      <c r="D2803" s="27"/>
      <c r="E2803" s="29"/>
      <c r="F2803" s="29"/>
      <c r="G2803" s="29"/>
      <c r="H2803" s="30" t="str">
        <f t="shared" si="301"/>
        <v/>
      </c>
      <c r="I2803" s="31" t="str">
        <f>IF(OR(B2803="",C2803=""),"",IFERROR(E2803*IF(E2803="",0,VLOOKUP(C2803,'📦 Precios Proforma'!$B$5:$D$104,IF(D2803="DIA",2,3),FALSE)),0))</f>
        <v/>
      </c>
      <c r="J2803" s="31" t="str">
        <f t="shared" si="302"/>
        <v/>
      </c>
      <c r="K2803" s="31" t="str">
        <f t="shared" si="303"/>
        <v/>
      </c>
      <c r="L2803" s="31" t="str">
        <f>IF(OR(B2803="",C2803=""),"",IFERROR(E2803 / SUMIFS('📅 Resumen Diario'!$D$5:$D$504, '📅 Resumen Diario'!$B$5:$B$504, B2803, '📅 Resumen Diario'!$C$5:$C$504, D2803) * SUMIFS('📅 Resumen Diario'!$K$5:$K$504, '📅 Resumen Diario'!$B$5:$B$504, B2803, '📅 Resumen Diario'!$C$5:$C$504, D2803), 0))</f>
        <v/>
      </c>
      <c r="M2803" s="31" t="str">
        <f t="shared" si="304"/>
        <v/>
      </c>
      <c r="N2803" s="31" t="str">
        <f t="shared" si="305"/>
        <v/>
      </c>
      <c r="O2803" s="31" t="str">
        <f>IF(OR(B2803="",C2803=""),"",K2803-N2803 + IFERROR(E2803 / SUMIFS('📅 Resumen Diario'!$D$5:$D$504, '📅 Resumen Diario'!$B$5:$B$504, B2803, '📅 Resumen Diario'!$C$5:$C$504, D2803) * (SUMIFS('📋 Detalle Diario'!$E$5:$E$489, '📋 Detalle Diario'!$B$5:$B$489, B2803, '📋 Detalle Diario'!$C$5:$C$489, D2803) * 135 + SUMIFS('📋 Detalle Diario'!$I$5:$I$489, '📋 Detalle Diario'!$B$5:$B$489, B2803, '📋 Detalle Diario'!$C$5:$C$489, D2803) * 200), 0))</f>
        <v/>
      </c>
      <c r="P2803" s="32" t="str">
        <f t="shared" si="306"/>
        <v/>
      </c>
      <c r="Q2803" s="33" t="str">
        <f t="shared" si="307"/>
        <v/>
      </c>
    </row>
    <row r="2804" spans="2:17" ht="18" customHeight="1" x14ac:dyDescent="0.3">
      <c r="B2804" s="26"/>
      <c r="C2804" s="17"/>
      <c r="D2804" s="27"/>
      <c r="E2804" s="18"/>
      <c r="F2804" s="18"/>
      <c r="G2804" s="18"/>
      <c r="H2804" s="30" t="str">
        <f t="shared" si="301"/>
        <v/>
      </c>
      <c r="I2804" s="31" t="str">
        <f>IF(OR(B2804="",C2804=""),"",IFERROR(E2804*IF(E2804="",0,VLOOKUP(C2804,'📦 Precios Proforma'!$B$5:$D$104,IF(D2804="DIA",2,3),FALSE)),0))</f>
        <v/>
      </c>
      <c r="J2804" s="31" t="str">
        <f t="shared" si="302"/>
        <v/>
      </c>
      <c r="K2804" s="31" t="str">
        <f t="shared" si="303"/>
        <v/>
      </c>
      <c r="L2804" s="31" t="str">
        <f>IF(OR(B2804="",C2804=""),"",IFERROR(E2804 / SUMIFS('📅 Resumen Diario'!$D$5:$D$504, '📅 Resumen Diario'!$B$5:$B$504, B2804, '📅 Resumen Diario'!$C$5:$C$504, D2804) * SUMIFS('📅 Resumen Diario'!$K$5:$K$504, '📅 Resumen Diario'!$B$5:$B$504, B2804, '📅 Resumen Diario'!$C$5:$C$504, D2804), 0))</f>
        <v/>
      </c>
      <c r="M2804" s="31" t="str">
        <f t="shared" si="304"/>
        <v/>
      </c>
      <c r="N2804" s="31" t="str">
        <f t="shared" si="305"/>
        <v/>
      </c>
      <c r="O2804" s="31" t="str">
        <f>IF(OR(B2804="",C2804=""),"",K2804-N2804 + IFERROR(E2804 / SUMIFS('📅 Resumen Diario'!$D$5:$D$504, '📅 Resumen Diario'!$B$5:$B$504, B2804, '📅 Resumen Diario'!$C$5:$C$504, D2804) * (SUMIFS('📋 Detalle Diario'!$E$5:$E$489, '📋 Detalle Diario'!$B$5:$B$489, B2804, '📋 Detalle Diario'!$C$5:$C$489, D2804) * 135 + SUMIFS('📋 Detalle Diario'!$I$5:$I$489, '📋 Detalle Diario'!$B$5:$B$489, B2804, '📋 Detalle Diario'!$C$5:$C$489, D2804) * 200), 0))</f>
        <v/>
      </c>
      <c r="P2804" s="32" t="str">
        <f t="shared" si="306"/>
        <v/>
      </c>
      <c r="Q2804" s="33" t="str">
        <f t="shared" si="307"/>
        <v/>
      </c>
    </row>
    <row r="2805" spans="2:17" ht="18" customHeight="1" x14ac:dyDescent="0.3">
      <c r="B2805" s="26"/>
      <c r="C2805" s="28"/>
      <c r="D2805" s="27"/>
      <c r="E2805" s="29"/>
      <c r="F2805" s="29"/>
      <c r="G2805" s="29"/>
      <c r="H2805" s="30" t="str">
        <f t="shared" si="301"/>
        <v/>
      </c>
      <c r="I2805" s="31" t="str">
        <f>IF(OR(B2805="",C2805=""),"",IFERROR(E2805*IF(E2805="",0,VLOOKUP(C2805,'📦 Precios Proforma'!$B$5:$D$104,IF(D2805="DIA",2,3),FALSE)),0))</f>
        <v/>
      </c>
      <c r="J2805" s="31" t="str">
        <f t="shared" si="302"/>
        <v/>
      </c>
      <c r="K2805" s="31" t="str">
        <f t="shared" si="303"/>
        <v/>
      </c>
      <c r="L2805" s="31" t="str">
        <f>IF(OR(B2805="",C2805=""),"",IFERROR(E2805 / SUMIFS('📅 Resumen Diario'!$D$5:$D$504, '📅 Resumen Diario'!$B$5:$B$504, B2805, '📅 Resumen Diario'!$C$5:$C$504, D2805) * SUMIFS('📅 Resumen Diario'!$K$5:$K$504, '📅 Resumen Diario'!$B$5:$B$504, B2805, '📅 Resumen Diario'!$C$5:$C$504, D2805), 0))</f>
        <v/>
      </c>
      <c r="M2805" s="31" t="str">
        <f t="shared" si="304"/>
        <v/>
      </c>
      <c r="N2805" s="31" t="str">
        <f t="shared" si="305"/>
        <v/>
      </c>
      <c r="O2805" s="31" t="str">
        <f>IF(OR(B2805="",C2805=""),"",K2805-N2805 + IFERROR(E2805 / SUMIFS('📅 Resumen Diario'!$D$5:$D$504, '📅 Resumen Diario'!$B$5:$B$504, B2805, '📅 Resumen Diario'!$C$5:$C$504, D2805) * (SUMIFS('📋 Detalle Diario'!$E$5:$E$489, '📋 Detalle Diario'!$B$5:$B$489, B2805, '📋 Detalle Diario'!$C$5:$C$489, D2805) * 135 + SUMIFS('📋 Detalle Diario'!$I$5:$I$489, '📋 Detalle Diario'!$B$5:$B$489, B2805, '📋 Detalle Diario'!$C$5:$C$489, D2805) * 200), 0))</f>
        <v/>
      </c>
      <c r="P2805" s="32" t="str">
        <f t="shared" si="306"/>
        <v/>
      </c>
      <c r="Q2805" s="33" t="str">
        <f t="shared" si="307"/>
        <v/>
      </c>
    </row>
    <row r="2806" spans="2:17" ht="18" customHeight="1" x14ac:dyDescent="0.3">
      <c r="B2806" s="26"/>
      <c r="C2806" s="17"/>
      <c r="D2806" s="27"/>
      <c r="E2806" s="18"/>
      <c r="F2806" s="18"/>
      <c r="G2806" s="18"/>
      <c r="H2806" s="30" t="str">
        <f t="shared" si="301"/>
        <v/>
      </c>
      <c r="I2806" s="31" t="str">
        <f>IF(OR(B2806="",C2806=""),"",IFERROR(E2806*IF(E2806="",0,VLOOKUP(C2806,'📦 Precios Proforma'!$B$5:$D$104,IF(D2806="DIA",2,3),FALSE)),0))</f>
        <v/>
      </c>
      <c r="J2806" s="31" t="str">
        <f t="shared" si="302"/>
        <v/>
      </c>
      <c r="K2806" s="31" t="str">
        <f t="shared" si="303"/>
        <v/>
      </c>
      <c r="L2806" s="31" t="str">
        <f>IF(OR(B2806="",C2806=""),"",IFERROR(E2806 / SUMIFS('📅 Resumen Diario'!$D$5:$D$504, '📅 Resumen Diario'!$B$5:$B$504, B2806, '📅 Resumen Diario'!$C$5:$C$504, D2806) * SUMIFS('📅 Resumen Diario'!$K$5:$K$504, '📅 Resumen Diario'!$B$5:$B$504, B2806, '📅 Resumen Diario'!$C$5:$C$504, D2806), 0))</f>
        <v/>
      </c>
      <c r="M2806" s="31" t="str">
        <f t="shared" si="304"/>
        <v/>
      </c>
      <c r="N2806" s="31" t="str">
        <f t="shared" si="305"/>
        <v/>
      </c>
      <c r="O2806" s="31" t="str">
        <f>IF(OR(B2806="",C2806=""),"",K2806-N2806 + IFERROR(E2806 / SUMIFS('📅 Resumen Diario'!$D$5:$D$504, '📅 Resumen Diario'!$B$5:$B$504, B2806, '📅 Resumen Diario'!$C$5:$C$504, D2806) * (SUMIFS('📋 Detalle Diario'!$E$5:$E$489, '📋 Detalle Diario'!$B$5:$B$489, B2806, '📋 Detalle Diario'!$C$5:$C$489, D2806) * 135 + SUMIFS('📋 Detalle Diario'!$I$5:$I$489, '📋 Detalle Diario'!$B$5:$B$489, B2806, '📋 Detalle Diario'!$C$5:$C$489, D2806) * 200), 0))</f>
        <v/>
      </c>
      <c r="P2806" s="32" t="str">
        <f t="shared" si="306"/>
        <v/>
      </c>
      <c r="Q2806" s="33" t="str">
        <f t="shared" si="307"/>
        <v/>
      </c>
    </row>
    <row r="2807" spans="2:17" ht="18" customHeight="1" x14ac:dyDescent="0.3">
      <c r="B2807" s="26"/>
      <c r="C2807" s="28"/>
      <c r="D2807" s="27"/>
      <c r="E2807" s="29"/>
      <c r="F2807" s="29"/>
      <c r="G2807" s="29"/>
      <c r="H2807" s="30" t="str">
        <f t="shared" si="301"/>
        <v/>
      </c>
      <c r="I2807" s="31" t="str">
        <f>IF(OR(B2807="",C2807=""),"",IFERROR(E2807*IF(E2807="",0,VLOOKUP(C2807,'📦 Precios Proforma'!$B$5:$D$104,IF(D2807="DIA",2,3),FALSE)),0))</f>
        <v/>
      </c>
      <c r="J2807" s="31" t="str">
        <f t="shared" si="302"/>
        <v/>
      </c>
      <c r="K2807" s="31" t="str">
        <f t="shared" si="303"/>
        <v/>
      </c>
      <c r="L2807" s="31" t="str">
        <f>IF(OR(B2807="",C2807=""),"",IFERROR(E2807 / SUMIFS('📅 Resumen Diario'!$D$5:$D$504, '📅 Resumen Diario'!$B$5:$B$504, B2807, '📅 Resumen Diario'!$C$5:$C$504, D2807) * SUMIFS('📅 Resumen Diario'!$K$5:$K$504, '📅 Resumen Diario'!$B$5:$B$504, B2807, '📅 Resumen Diario'!$C$5:$C$504, D2807), 0))</f>
        <v/>
      </c>
      <c r="M2807" s="31" t="str">
        <f t="shared" si="304"/>
        <v/>
      </c>
      <c r="N2807" s="31" t="str">
        <f t="shared" si="305"/>
        <v/>
      </c>
      <c r="O2807" s="31" t="str">
        <f>IF(OR(B2807="",C2807=""),"",K2807-N2807 + IFERROR(E2807 / SUMIFS('📅 Resumen Diario'!$D$5:$D$504, '📅 Resumen Diario'!$B$5:$B$504, B2807, '📅 Resumen Diario'!$C$5:$C$504, D2807) * (SUMIFS('📋 Detalle Diario'!$E$5:$E$489, '📋 Detalle Diario'!$B$5:$B$489, B2807, '📋 Detalle Diario'!$C$5:$C$489, D2807) * 135 + SUMIFS('📋 Detalle Diario'!$I$5:$I$489, '📋 Detalle Diario'!$B$5:$B$489, B2807, '📋 Detalle Diario'!$C$5:$C$489, D2807) * 200), 0))</f>
        <v/>
      </c>
      <c r="P2807" s="32" t="str">
        <f t="shared" si="306"/>
        <v/>
      </c>
      <c r="Q2807" s="33" t="str">
        <f t="shared" si="307"/>
        <v/>
      </c>
    </row>
    <row r="2808" spans="2:17" ht="18" customHeight="1" x14ac:dyDescent="0.3">
      <c r="B2808" s="26"/>
      <c r="C2808" s="17"/>
      <c r="D2808" s="27"/>
      <c r="E2808" s="18"/>
      <c r="F2808" s="18"/>
      <c r="G2808" s="18"/>
      <c r="H2808" s="30" t="str">
        <f t="shared" si="301"/>
        <v/>
      </c>
      <c r="I2808" s="31" t="str">
        <f>IF(OR(B2808="",C2808=""),"",IFERROR(E2808*IF(E2808="",0,VLOOKUP(C2808,'📦 Precios Proforma'!$B$5:$D$104,IF(D2808="DIA",2,3),FALSE)),0))</f>
        <v/>
      </c>
      <c r="J2808" s="31" t="str">
        <f t="shared" si="302"/>
        <v/>
      </c>
      <c r="K2808" s="31" t="str">
        <f t="shared" si="303"/>
        <v/>
      </c>
      <c r="L2808" s="31" t="str">
        <f>IF(OR(B2808="",C2808=""),"",IFERROR(E2808 / SUMIFS('📅 Resumen Diario'!$D$5:$D$504, '📅 Resumen Diario'!$B$5:$B$504, B2808, '📅 Resumen Diario'!$C$5:$C$504, D2808) * SUMIFS('📅 Resumen Diario'!$K$5:$K$504, '📅 Resumen Diario'!$B$5:$B$504, B2808, '📅 Resumen Diario'!$C$5:$C$504, D2808), 0))</f>
        <v/>
      </c>
      <c r="M2808" s="31" t="str">
        <f t="shared" si="304"/>
        <v/>
      </c>
      <c r="N2808" s="31" t="str">
        <f t="shared" si="305"/>
        <v/>
      </c>
      <c r="O2808" s="31" t="str">
        <f>IF(OR(B2808="",C2808=""),"",K2808-N2808 + IFERROR(E2808 / SUMIFS('📅 Resumen Diario'!$D$5:$D$504, '📅 Resumen Diario'!$B$5:$B$504, B2808, '📅 Resumen Diario'!$C$5:$C$504, D2808) * (SUMIFS('📋 Detalle Diario'!$E$5:$E$489, '📋 Detalle Diario'!$B$5:$B$489, B2808, '📋 Detalle Diario'!$C$5:$C$489, D2808) * 135 + SUMIFS('📋 Detalle Diario'!$I$5:$I$489, '📋 Detalle Diario'!$B$5:$B$489, B2808, '📋 Detalle Diario'!$C$5:$C$489, D2808) * 200), 0))</f>
        <v/>
      </c>
      <c r="P2808" s="32" t="str">
        <f t="shared" si="306"/>
        <v/>
      </c>
      <c r="Q2808" s="33" t="str">
        <f t="shared" si="307"/>
        <v/>
      </c>
    </row>
    <row r="2809" spans="2:17" ht="18" customHeight="1" x14ac:dyDescent="0.3">
      <c r="B2809" s="26"/>
      <c r="C2809" s="28"/>
      <c r="D2809" s="27"/>
      <c r="E2809" s="29"/>
      <c r="F2809" s="29"/>
      <c r="G2809" s="29"/>
      <c r="H2809" s="30" t="str">
        <f t="shared" si="301"/>
        <v/>
      </c>
      <c r="I2809" s="31" t="str">
        <f>IF(OR(B2809="",C2809=""),"",IFERROR(E2809*IF(E2809="",0,VLOOKUP(C2809,'📦 Precios Proforma'!$B$5:$D$104,IF(D2809="DIA",2,3),FALSE)),0))</f>
        <v/>
      </c>
      <c r="J2809" s="31" t="str">
        <f t="shared" si="302"/>
        <v/>
      </c>
      <c r="K2809" s="31" t="str">
        <f t="shared" si="303"/>
        <v/>
      </c>
      <c r="L2809" s="31" t="str">
        <f>IF(OR(B2809="",C2809=""),"",IFERROR(E2809 / SUMIFS('📅 Resumen Diario'!$D$5:$D$504, '📅 Resumen Diario'!$B$5:$B$504, B2809, '📅 Resumen Diario'!$C$5:$C$504, D2809) * SUMIFS('📅 Resumen Diario'!$K$5:$K$504, '📅 Resumen Diario'!$B$5:$B$504, B2809, '📅 Resumen Diario'!$C$5:$C$504, D2809), 0))</f>
        <v/>
      </c>
      <c r="M2809" s="31" t="str">
        <f t="shared" si="304"/>
        <v/>
      </c>
      <c r="N2809" s="31" t="str">
        <f t="shared" si="305"/>
        <v/>
      </c>
      <c r="O2809" s="31" t="str">
        <f>IF(OR(B2809="",C2809=""),"",K2809-N2809 + IFERROR(E2809 / SUMIFS('📅 Resumen Diario'!$D$5:$D$504, '📅 Resumen Diario'!$B$5:$B$504, B2809, '📅 Resumen Diario'!$C$5:$C$504, D2809) * (SUMIFS('📋 Detalle Diario'!$E$5:$E$489, '📋 Detalle Diario'!$B$5:$B$489, B2809, '📋 Detalle Diario'!$C$5:$C$489, D2809) * 135 + SUMIFS('📋 Detalle Diario'!$I$5:$I$489, '📋 Detalle Diario'!$B$5:$B$489, B2809, '📋 Detalle Diario'!$C$5:$C$489, D2809) * 200), 0))</f>
        <v/>
      </c>
      <c r="P2809" s="32" t="str">
        <f t="shared" si="306"/>
        <v/>
      </c>
      <c r="Q2809" s="33" t="str">
        <f t="shared" si="307"/>
        <v/>
      </c>
    </row>
    <row r="2810" spans="2:17" ht="18" customHeight="1" x14ac:dyDescent="0.3">
      <c r="B2810" s="26"/>
      <c r="C2810" s="17"/>
      <c r="D2810" s="27"/>
      <c r="E2810" s="18"/>
      <c r="F2810" s="18"/>
      <c r="G2810" s="18"/>
      <c r="H2810" s="30" t="str">
        <f t="shared" si="301"/>
        <v/>
      </c>
      <c r="I2810" s="31" t="str">
        <f>IF(OR(B2810="",C2810=""),"",IFERROR(E2810*IF(E2810="",0,VLOOKUP(C2810,'📦 Precios Proforma'!$B$5:$D$104,IF(D2810="DIA",2,3),FALSE)),0))</f>
        <v/>
      </c>
      <c r="J2810" s="31" t="str">
        <f t="shared" si="302"/>
        <v/>
      </c>
      <c r="K2810" s="31" t="str">
        <f t="shared" si="303"/>
        <v/>
      </c>
      <c r="L2810" s="31" t="str">
        <f>IF(OR(B2810="",C2810=""),"",IFERROR(E2810 / SUMIFS('📅 Resumen Diario'!$D$5:$D$504, '📅 Resumen Diario'!$B$5:$B$504, B2810, '📅 Resumen Diario'!$C$5:$C$504, D2810) * SUMIFS('📅 Resumen Diario'!$K$5:$K$504, '📅 Resumen Diario'!$B$5:$B$504, B2810, '📅 Resumen Diario'!$C$5:$C$504, D2810), 0))</f>
        <v/>
      </c>
      <c r="M2810" s="31" t="str">
        <f t="shared" si="304"/>
        <v/>
      </c>
      <c r="N2810" s="31" t="str">
        <f t="shared" si="305"/>
        <v/>
      </c>
      <c r="O2810" s="31" t="str">
        <f>IF(OR(B2810="",C2810=""),"",K2810-N2810 + IFERROR(E2810 / SUMIFS('📅 Resumen Diario'!$D$5:$D$504, '📅 Resumen Diario'!$B$5:$B$504, B2810, '📅 Resumen Diario'!$C$5:$C$504, D2810) * (SUMIFS('📋 Detalle Diario'!$E$5:$E$489, '📋 Detalle Diario'!$B$5:$B$489, B2810, '📋 Detalle Diario'!$C$5:$C$489, D2810) * 135 + SUMIFS('📋 Detalle Diario'!$I$5:$I$489, '📋 Detalle Diario'!$B$5:$B$489, B2810, '📋 Detalle Diario'!$C$5:$C$489, D2810) * 200), 0))</f>
        <v/>
      </c>
      <c r="P2810" s="32" t="str">
        <f t="shared" si="306"/>
        <v/>
      </c>
      <c r="Q2810" s="33" t="str">
        <f t="shared" si="307"/>
        <v/>
      </c>
    </row>
    <row r="2811" spans="2:17" ht="18" customHeight="1" x14ac:dyDescent="0.3">
      <c r="B2811" s="26"/>
      <c r="C2811" s="28"/>
      <c r="D2811" s="27"/>
      <c r="E2811" s="29"/>
      <c r="F2811" s="29"/>
      <c r="G2811" s="29"/>
      <c r="H2811" s="30" t="str">
        <f t="shared" si="301"/>
        <v/>
      </c>
      <c r="I2811" s="31" t="str">
        <f>IF(OR(B2811="",C2811=""),"",IFERROR(E2811*IF(E2811="",0,VLOOKUP(C2811,'📦 Precios Proforma'!$B$5:$D$104,IF(D2811="DIA",2,3),FALSE)),0))</f>
        <v/>
      </c>
      <c r="J2811" s="31" t="str">
        <f t="shared" si="302"/>
        <v/>
      </c>
      <c r="K2811" s="31" t="str">
        <f t="shared" si="303"/>
        <v/>
      </c>
      <c r="L2811" s="31" t="str">
        <f>IF(OR(B2811="",C2811=""),"",IFERROR(E2811 / SUMIFS('📅 Resumen Diario'!$D$5:$D$504, '📅 Resumen Diario'!$B$5:$B$504, B2811, '📅 Resumen Diario'!$C$5:$C$504, D2811) * SUMIFS('📅 Resumen Diario'!$K$5:$K$504, '📅 Resumen Diario'!$B$5:$B$504, B2811, '📅 Resumen Diario'!$C$5:$C$504, D2811), 0))</f>
        <v/>
      </c>
      <c r="M2811" s="31" t="str">
        <f t="shared" si="304"/>
        <v/>
      </c>
      <c r="N2811" s="31" t="str">
        <f t="shared" si="305"/>
        <v/>
      </c>
      <c r="O2811" s="31" t="str">
        <f>IF(OR(B2811="",C2811=""),"",K2811-N2811 + IFERROR(E2811 / SUMIFS('📅 Resumen Diario'!$D$5:$D$504, '📅 Resumen Diario'!$B$5:$B$504, B2811, '📅 Resumen Diario'!$C$5:$C$504, D2811) * (SUMIFS('📋 Detalle Diario'!$E$5:$E$489, '📋 Detalle Diario'!$B$5:$B$489, B2811, '📋 Detalle Diario'!$C$5:$C$489, D2811) * 135 + SUMIFS('📋 Detalle Diario'!$I$5:$I$489, '📋 Detalle Diario'!$B$5:$B$489, B2811, '📋 Detalle Diario'!$C$5:$C$489, D2811) * 200), 0))</f>
        <v/>
      </c>
      <c r="P2811" s="32" t="str">
        <f t="shared" si="306"/>
        <v/>
      </c>
      <c r="Q2811" s="33" t="str">
        <f t="shared" si="307"/>
        <v/>
      </c>
    </row>
    <row r="2812" spans="2:17" ht="18" customHeight="1" x14ac:dyDescent="0.3">
      <c r="B2812" s="26"/>
      <c r="C2812" s="17"/>
      <c r="D2812" s="27"/>
      <c r="E2812" s="18"/>
      <c r="F2812" s="18"/>
      <c r="G2812" s="18"/>
      <c r="H2812" s="30" t="str">
        <f t="shared" si="301"/>
        <v/>
      </c>
      <c r="I2812" s="31" t="str">
        <f>IF(OR(B2812="",C2812=""),"",IFERROR(E2812*IF(E2812="",0,VLOOKUP(C2812,'📦 Precios Proforma'!$B$5:$D$104,IF(D2812="DIA",2,3),FALSE)),0))</f>
        <v/>
      </c>
      <c r="J2812" s="31" t="str">
        <f t="shared" si="302"/>
        <v/>
      </c>
      <c r="K2812" s="31" t="str">
        <f t="shared" si="303"/>
        <v/>
      </c>
      <c r="L2812" s="31" t="str">
        <f>IF(OR(B2812="",C2812=""),"",IFERROR(E2812 / SUMIFS('📅 Resumen Diario'!$D$5:$D$504, '📅 Resumen Diario'!$B$5:$B$504, B2812, '📅 Resumen Diario'!$C$5:$C$504, D2812) * SUMIFS('📅 Resumen Diario'!$K$5:$K$504, '📅 Resumen Diario'!$B$5:$B$504, B2812, '📅 Resumen Diario'!$C$5:$C$504, D2812), 0))</f>
        <v/>
      </c>
      <c r="M2812" s="31" t="str">
        <f t="shared" si="304"/>
        <v/>
      </c>
      <c r="N2812" s="31" t="str">
        <f t="shared" si="305"/>
        <v/>
      </c>
      <c r="O2812" s="31" t="str">
        <f>IF(OR(B2812="",C2812=""),"",K2812-N2812 + IFERROR(E2812 / SUMIFS('📅 Resumen Diario'!$D$5:$D$504, '📅 Resumen Diario'!$B$5:$B$504, B2812, '📅 Resumen Diario'!$C$5:$C$504, D2812) * (SUMIFS('📋 Detalle Diario'!$E$5:$E$489, '📋 Detalle Diario'!$B$5:$B$489, B2812, '📋 Detalle Diario'!$C$5:$C$489, D2812) * 135 + SUMIFS('📋 Detalle Diario'!$I$5:$I$489, '📋 Detalle Diario'!$B$5:$B$489, B2812, '📋 Detalle Diario'!$C$5:$C$489, D2812) * 200), 0))</f>
        <v/>
      </c>
      <c r="P2812" s="32" t="str">
        <f t="shared" si="306"/>
        <v/>
      </c>
      <c r="Q2812" s="33" t="str">
        <f t="shared" si="307"/>
        <v/>
      </c>
    </row>
    <row r="2813" spans="2:17" ht="18" customHeight="1" x14ac:dyDescent="0.3">
      <c r="B2813" s="26"/>
      <c r="C2813" s="28"/>
      <c r="D2813" s="27"/>
      <c r="E2813" s="29"/>
      <c r="F2813" s="29"/>
      <c r="G2813" s="29"/>
      <c r="H2813" s="30" t="str">
        <f t="shared" si="301"/>
        <v/>
      </c>
      <c r="I2813" s="31" t="str">
        <f>IF(OR(B2813="",C2813=""),"",IFERROR(E2813*IF(E2813="",0,VLOOKUP(C2813,'📦 Precios Proforma'!$B$5:$D$104,IF(D2813="DIA",2,3),FALSE)),0))</f>
        <v/>
      </c>
      <c r="J2813" s="31" t="str">
        <f t="shared" si="302"/>
        <v/>
      </c>
      <c r="K2813" s="31" t="str">
        <f t="shared" si="303"/>
        <v/>
      </c>
      <c r="L2813" s="31" t="str">
        <f>IF(OR(B2813="",C2813=""),"",IFERROR(E2813 / SUMIFS('📅 Resumen Diario'!$D$5:$D$504, '📅 Resumen Diario'!$B$5:$B$504, B2813, '📅 Resumen Diario'!$C$5:$C$504, D2813) * SUMIFS('📅 Resumen Diario'!$K$5:$K$504, '📅 Resumen Diario'!$B$5:$B$504, B2813, '📅 Resumen Diario'!$C$5:$C$504, D2813), 0))</f>
        <v/>
      </c>
      <c r="M2813" s="31" t="str">
        <f t="shared" si="304"/>
        <v/>
      </c>
      <c r="N2813" s="31" t="str">
        <f t="shared" si="305"/>
        <v/>
      </c>
      <c r="O2813" s="31" t="str">
        <f>IF(OR(B2813="",C2813=""),"",K2813-N2813 + IFERROR(E2813 / SUMIFS('📅 Resumen Diario'!$D$5:$D$504, '📅 Resumen Diario'!$B$5:$B$504, B2813, '📅 Resumen Diario'!$C$5:$C$504, D2813) * (SUMIFS('📋 Detalle Diario'!$E$5:$E$489, '📋 Detalle Diario'!$B$5:$B$489, B2813, '📋 Detalle Diario'!$C$5:$C$489, D2813) * 135 + SUMIFS('📋 Detalle Diario'!$I$5:$I$489, '📋 Detalle Diario'!$B$5:$B$489, B2813, '📋 Detalle Diario'!$C$5:$C$489, D2813) * 200), 0))</f>
        <v/>
      </c>
      <c r="P2813" s="32" t="str">
        <f t="shared" si="306"/>
        <v/>
      </c>
      <c r="Q2813" s="33" t="str">
        <f t="shared" si="307"/>
        <v/>
      </c>
    </row>
    <row r="2814" spans="2:17" ht="18" customHeight="1" x14ac:dyDescent="0.3">
      <c r="B2814" s="26"/>
      <c r="C2814" s="17"/>
      <c r="D2814" s="27"/>
      <c r="E2814" s="18"/>
      <c r="F2814" s="18"/>
      <c r="G2814" s="18"/>
      <c r="H2814" s="30" t="str">
        <f t="shared" si="301"/>
        <v/>
      </c>
      <c r="I2814" s="31" t="str">
        <f>IF(OR(B2814="",C2814=""),"",IFERROR(E2814*IF(E2814="",0,VLOOKUP(C2814,'📦 Precios Proforma'!$B$5:$D$104,IF(D2814="DIA",2,3),FALSE)),0))</f>
        <v/>
      </c>
      <c r="J2814" s="31" t="str">
        <f t="shared" si="302"/>
        <v/>
      </c>
      <c r="K2814" s="31" t="str">
        <f t="shared" si="303"/>
        <v/>
      </c>
      <c r="L2814" s="31" t="str">
        <f>IF(OR(B2814="",C2814=""),"",IFERROR(E2814 / SUMIFS('📅 Resumen Diario'!$D$5:$D$504, '📅 Resumen Diario'!$B$5:$B$504, B2814, '📅 Resumen Diario'!$C$5:$C$504, D2814) * SUMIFS('📅 Resumen Diario'!$K$5:$K$504, '📅 Resumen Diario'!$B$5:$B$504, B2814, '📅 Resumen Diario'!$C$5:$C$504, D2814), 0))</f>
        <v/>
      </c>
      <c r="M2814" s="31" t="str">
        <f t="shared" si="304"/>
        <v/>
      </c>
      <c r="N2814" s="31" t="str">
        <f t="shared" si="305"/>
        <v/>
      </c>
      <c r="O2814" s="31" t="str">
        <f>IF(OR(B2814="",C2814=""),"",K2814-N2814 + IFERROR(E2814 / SUMIFS('📅 Resumen Diario'!$D$5:$D$504, '📅 Resumen Diario'!$B$5:$B$504, B2814, '📅 Resumen Diario'!$C$5:$C$504, D2814) * (SUMIFS('📋 Detalle Diario'!$E$5:$E$489, '📋 Detalle Diario'!$B$5:$B$489, B2814, '📋 Detalle Diario'!$C$5:$C$489, D2814) * 135 + SUMIFS('📋 Detalle Diario'!$I$5:$I$489, '📋 Detalle Diario'!$B$5:$B$489, B2814, '📋 Detalle Diario'!$C$5:$C$489, D2814) * 200), 0))</f>
        <v/>
      </c>
      <c r="P2814" s="32" t="str">
        <f t="shared" si="306"/>
        <v/>
      </c>
      <c r="Q2814" s="33" t="str">
        <f t="shared" si="307"/>
        <v/>
      </c>
    </row>
    <row r="2815" spans="2:17" ht="18" customHeight="1" x14ac:dyDescent="0.3">
      <c r="B2815" s="26"/>
      <c r="C2815" s="28"/>
      <c r="D2815" s="27"/>
      <c r="E2815" s="29"/>
      <c r="F2815" s="29"/>
      <c r="G2815" s="29"/>
      <c r="H2815" s="30" t="str">
        <f t="shared" si="301"/>
        <v/>
      </c>
      <c r="I2815" s="31" t="str">
        <f>IF(OR(B2815="",C2815=""),"",IFERROR(E2815*IF(E2815="",0,VLOOKUP(C2815,'📦 Precios Proforma'!$B$5:$D$104,IF(D2815="DIA",2,3),FALSE)),0))</f>
        <v/>
      </c>
      <c r="J2815" s="31" t="str">
        <f t="shared" si="302"/>
        <v/>
      </c>
      <c r="K2815" s="31" t="str">
        <f t="shared" si="303"/>
        <v/>
      </c>
      <c r="L2815" s="31" t="str">
        <f>IF(OR(B2815="",C2815=""),"",IFERROR(E2815 / SUMIFS('📅 Resumen Diario'!$D$5:$D$504, '📅 Resumen Diario'!$B$5:$B$504, B2815, '📅 Resumen Diario'!$C$5:$C$504, D2815) * SUMIFS('📅 Resumen Diario'!$K$5:$K$504, '📅 Resumen Diario'!$B$5:$B$504, B2815, '📅 Resumen Diario'!$C$5:$C$504, D2815), 0))</f>
        <v/>
      </c>
      <c r="M2815" s="31" t="str">
        <f t="shared" si="304"/>
        <v/>
      </c>
      <c r="N2815" s="31" t="str">
        <f t="shared" si="305"/>
        <v/>
      </c>
      <c r="O2815" s="31" t="str">
        <f>IF(OR(B2815="",C2815=""),"",K2815-N2815 + IFERROR(E2815 / SUMIFS('📅 Resumen Diario'!$D$5:$D$504, '📅 Resumen Diario'!$B$5:$B$504, B2815, '📅 Resumen Diario'!$C$5:$C$504, D2815) * (SUMIFS('📋 Detalle Diario'!$E$5:$E$489, '📋 Detalle Diario'!$B$5:$B$489, B2815, '📋 Detalle Diario'!$C$5:$C$489, D2815) * 135 + SUMIFS('📋 Detalle Diario'!$I$5:$I$489, '📋 Detalle Diario'!$B$5:$B$489, B2815, '📋 Detalle Diario'!$C$5:$C$489, D2815) * 200), 0))</f>
        <v/>
      </c>
      <c r="P2815" s="32" t="str">
        <f t="shared" si="306"/>
        <v/>
      </c>
      <c r="Q2815" s="33" t="str">
        <f t="shared" si="307"/>
        <v/>
      </c>
    </row>
    <row r="2816" spans="2:17" ht="18" customHeight="1" x14ac:dyDescent="0.3">
      <c r="B2816" s="26"/>
      <c r="C2816" s="17"/>
      <c r="D2816" s="27"/>
      <c r="E2816" s="18"/>
      <c r="F2816" s="18"/>
      <c r="G2816" s="18"/>
      <c r="H2816" s="30" t="str">
        <f t="shared" si="301"/>
        <v/>
      </c>
      <c r="I2816" s="31" t="str">
        <f>IF(OR(B2816="",C2816=""),"",IFERROR(E2816*IF(E2816="",0,VLOOKUP(C2816,'📦 Precios Proforma'!$B$5:$D$104,IF(D2816="DIA",2,3),FALSE)),0))</f>
        <v/>
      </c>
      <c r="J2816" s="31" t="str">
        <f t="shared" si="302"/>
        <v/>
      </c>
      <c r="K2816" s="31" t="str">
        <f t="shared" si="303"/>
        <v/>
      </c>
      <c r="L2816" s="31" t="str">
        <f>IF(OR(B2816="",C2816=""),"",IFERROR(E2816 / SUMIFS('📅 Resumen Diario'!$D$5:$D$504, '📅 Resumen Diario'!$B$5:$B$504, B2816, '📅 Resumen Diario'!$C$5:$C$504, D2816) * SUMIFS('📅 Resumen Diario'!$K$5:$K$504, '📅 Resumen Diario'!$B$5:$B$504, B2816, '📅 Resumen Diario'!$C$5:$C$504, D2816), 0))</f>
        <v/>
      </c>
      <c r="M2816" s="31" t="str">
        <f t="shared" si="304"/>
        <v/>
      </c>
      <c r="N2816" s="31" t="str">
        <f t="shared" si="305"/>
        <v/>
      </c>
      <c r="O2816" s="31" t="str">
        <f>IF(OR(B2816="",C2816=""),"",K2816-N2816 + IFERROR(E2816 / SUMIFS('📅 Resumen Diario'!$D$5:$D$504, '📅 Resumen Diario'!$B$5:$B$504, B2816, '📅 Resumen Diario'!$C$5:$C$504, D2816) * (SUMIFS('📋 Detalle Diario'!$E$5:$E$489, '📋 Detalle Diario'!$B$5:$B$489, B2816, '📋 Detalle Diario'!$C$5:$C$489, D2816) * 135 + SUMIFS('📋 Detalle Diario'!$I$5:$I$489, '📋 Detalle Diario'!$B$5:$B$489, B2816, '📋 Detalle Diario'!$C$5:$C$489, D2816) * 200), 0))</f>
        <v/>
      </c>
      <c r="P2816" s="32" t="str">
        <f t="shared" si="306"/>
        <v/>
      </c>
      <c r="Q2816" s="33" t="str">
        <f t="shared" si="307"/>
        <v/>
      </c>
    </row>
    <row r="2817" spans="2:17" ht="18" customHeight="1" x14ac:dyDescent="0.3">
      <c r="B2817" s="26"/>
      <c r="C2817" s="28"/>
      <c r="D2817" s="27"/>
      <c r="E2817" s="29"/>
      <c r="F2817" s="29"/>
      <c r="G2817" s="29"/>
      <c r="H2817" s="30" t="str">
        <f t="shared" si="301"/>
        <v/>
      </c>
      <c r="I2817" s="31" t="str">
        <f>IF(OR(B2817="",C2817=""),"",IFERROR(E2817*IF(E2817="",0,VLOOKUP(C2817,'📦 Precios Proforma'!$B$5:$D$104,IF(D2817="DIA",2,3),FALSE)),0))</f>
        <v/>
      </c>
      <c r="J2817" s="31" t="str">
        <f t="shared" si="302"/>
        <v/>
      </c>
      <c r="K2817" s="31" t="str">
        <f t="shared" si="303"/>
        <v/>
      </c>
      <c r="L2817" s="31" t="str">
        <f>IF(OR(B2817="",C2817=""),"",IFERROR(E2817 / SUMIFS('📅 Resumen Diario'!$D$5:$D$504, '📅 Resumen Diario'!$B$5:$B$504, B2817, '📅 Resumen Diario'!$C$5:$C$504, D2817) * SUMIFS('📅 Resumen Diario'!$K$5:$K$504, '📅 Resumen Diario'!$B$5:$B$504, B2817, '📅 Resumen Diario'!$C$5:$C$504, D2817), 0))</f>
        <v/>
      </c>
      <c r="M2817" s="31" t="str">
        <f t="shared" si="304"/>
        <v/>
      </c>
      <c r="N2817" s="31" t="str">
        <f t="shared" si="305"/>
        <v/>
      </c>
      <c r="O2817" s="31" t="str">
        <f>IF(OR(B2817="",C2817=""),"",K2817-N2817 + IFERROR(E2817 / SUMIFS('📅 Resumen Diario'!$D$5:$D$504, '📅 Resumen Diario'!$B$5:$B$504, B2817, '📅 Resumen Diario'!$C$5:$C$504, D2817) * (SUMIFS('📋 Detalle Diario'!$E$5:$E$489, '📋 Detalle Diario'!$B$5:$B$489, B2817, '📋 Detalle Diario'!$C$5:$C$489, D2817) * 135 + SUMIFS('📋 Detalle Diario'!$I$5:$I$489, '📋 Detalle Diario'!$B$5:$B$489, B2817, '📋 Detalle Diario'!$C$5:$C$489, D2817) * 200), 0))</f>
        <v/>
      </c>
      <c r="P2817" s="32" t="str">
        <f t="shared" si="306"/>
        <v/>
      </c>
      <c r="Q2817" s="33" t="str">
        <f t="shared" si="307"/>
        <v/>
      </c>
    </row>
    <row r="2818" spans="2:17" ht="18" customHeight="1" x14ac:dyDescent="0.3">
      <c r="B2818" s="26"/>
      <c r="C2818" s="17"/>
      <c r="D2818" s="27"/>
      <c r="E2818" s="18"/>
      <c r="F2818" s="18"/>
      <c r="G2818" s="18"/>
      <c r="H2818" s="30" t="str">
        <f t="shared" si="301"/>
        <v/>
      </c>
      <c r="I2818" s="31" t="str">
        <f>IF(OR(B2818="",C2818=""),"",IFERROR(E2818*IF(E2818="",0,VLOOKUP(C2818,'📦 Precios Proforma'!$B$5:$D$104,IF(D2818="DIA",2,3),FALSE)),0))</f>
        <v/>
      </c>
      <c r="J2818" s="31" t="str">
        <f t="shared" si="302"/>
        <v/>
      </c>
      <c r="K2818" s="31" t="str">
        <f t="shared" si="303"/>
        <v/>
      </c>
      <c r="L2818" s="31" t="str">
        <f>IF(OR(B2818="",C2818=""),"",IFERROR(E2818 / SUMIFS('📅 Resumen Diario'!$D$5:$D$504, '📅 Resumen Diario'!$B$5:$B$504, B2818, '📅 Resumen Diario'!$C$5:$C$504, D2818) * SUMIFS('📅 Resumen Diario'!$K$5:$K$504, '📅 Resumen Diario'!$B$5:$B$504, B2818, '📅 Resumen Diario'!$C$5:$C$504, D2818), 0))</f>
        <v/>
      </c>
      <c r="M2818" s="31" t="str">
        <f t="shared" si="304"/>
        <v/>
      </c>
      <c r="N2818" s="31" t="str">
        <f t="shared" si="305"/>
        <v/>
      </c>
      <c r="O2818" s="31" t="str">
        <f>IF(OR(B2818="",C2818=""),"",K2818-N2818 + IFERROR(E2818 / SUMIFS('📅 Resumen Diario'!$D$5:$D$504, '📅 Resumen Diario'!$B$5:$B$504, B2818, '📅 Resumen Diario'!$C$5:$C$504, D2818) * (SUMIFS('📋 Detalle Diario'!$E$5:$E$489, '📋 Detalle Diario'!$B$5:$B$489, B2818, '📋 Detalle Diario'!$C$5:$C$489, D2818) * 135 + SUMIFS('📋 Detalle Diario'!$I$5:$I$489, '📋 Detalle Diario'!$B$5:$B$489, B2818, '📋 Detalle Diario'!$C$5:$C$489, D2818) * 200), 0))</f>
        <v/>
      </c>
      <c r="P2818" s="32" t="str">
        <f t="shared" si="306"/>
        <v/>
      </c>
      <c r="Q2818" s="33" t="str">
        <f t="shared" si="307"/>
        <v/>
      </c>
    </row>
    <row r="2819" spans="2:17" ht="18" customHeight="1" x14ac:dyDescent="0.3">
      <c r="B2819" s="26"/>
      <c r="C2819" s="28"/>
      <c r="D2819" s="27"/>
      <c r="E2819" s="29"/>
      <c r="F2819" s="29"/>
      <c r="G2819" s="29"/>
      <c r="H2819" s="30" t="str">
        <f t="shared" si="301"/>
        <v/>
      </c>
      <c r="I2819" s="31" t="str">
        <f>IF(OR(B2819="",C2819=""),"",IFERROR(E2819*IF(E2819="",0,VLOOKUP(C2819,'📦 Precios Proforma'!$B$5:$D$104,IF(D2819="DIA",2,3),FALSE)),0))</f>
        <v/>
      </c>
      <c r="J2819" s="31" t="str">
        <f t="shared" si="302"/>
        <v/>
      </c>
      <c r="K2819" s="31" t="str">
        <f t="shared" si="303"/>
        <v/>
      </c>
      <c r="L2819" s="31" t="str">
        <f>IF(OR(B2819="",C2819=""),"",IFERROR(E2819 / SUMIFS('📅 Resumen Diario'!$D$5:$D$504, '📅 Resumen Diario'!$B$5:$B$504, B2819, '📅 Resumen Diario'!$C$5:$C$504, D2819) * SUMIFS('📅 Resumen Diario'!$K$5:$K$504, '📅 Resumen Diario'!$B$5:$B$504, B2819, '📅 Resumen Diario'!$C$5:$C$504, D2819), 0))</f>
        <v/>
      </c>
      <c r="M2819" s="31" t="str">
        <f t="shared" si="304"/>
        <v/>
      </c>
      <c r="N2819" s="31" t="str">
        <f t="shared" si="305"/>
        <v/>
      </c>
      <c r="O2819" s="31" t="str">
        <f>IF(OR(B2819="",C2819=""),"",K2819-N2819 + IFERROR(E2819 / SUMIFS('📅 Resumen Diario'!$D$5:$D$504, '📅 Resumen Diario'!$B$5:$B$504, B2819, '📅 Resumen Diario'!$C$5:$C$504, D2819) * (SUMIFS('📋 Detalle Diario'!$E$5:$E$489, '📋 Detalle Diario'!$B$5:$B$489, B2819, '📋 Detalle Diario'!$C$5:$C$489, D2819) * 135 + SUMIFS('📋 Detalle Diario'!$I$5:$I$489, '📋 Detalle Diario'!$B$5:$B$489, B2819, '📋 Detalle Diario'!$C$5:$C$489, D2819) * 200), 0))</f>
        <v/>
      </c>
      <c r="P2819" s="32" t="str">
        <f t="shared" si="306"/>
        <v/>
      </c>
      <c r="Q2819" s="33" t="str">
        <f t="shared" si="307"/>
        <v/>
      </c>
    </row>
    <row r="2820" spans="2:17" ht="18" customHeight="1" x14ac:dyDescent="0.3">
      <c r="B2820" s="26"/>
      <c r="C2820" s="17"/>
      <c r="D2820" s="27"/>
      <c r="E2820" s="18"/>
      <c r="F2820" s="18"/>
      <c r="G2820" s="18"/>
      <c r="H2820" s="30" t="str">
        <f t="shared" si="301"/>
        <v/>
      </c>
      <c r="I2820" s="31" t="str">
        <f>IF(OR(B2820="",C2820=""),"",IFERROR(E2820*IF(E2820="",0,VLOOKUP(C2820,'📦 Precios Proforma'!$B$5:$D$104,IF(D2820="DIA",2,3),FALSE)),0))</f>
        <v/>
      </c>
      <c r="J2820" s="31" t="str">
        <f t="shared" si="302"/>
        <v/>
      </c>
      <c r="K2820" s="31" t="str">
        <f t="shared" si="303"/>
        <v/>
      </c>
      <c r="L2820" s="31" t="str">
        <f>IF(OR(B2820="",C2820=""),"",IFERROR(E2820 / SUMIFS('📅 Resumen Diario'!$D$5:$D$504, '📅 Resumen Diario'!$B$5:$B$504, B2820, '📅 Resumen Diario'!$C$5:$C$504, D2820) * SUMIFS('📅 Resumen Diario'!$K$5:$K$504, '📅 Resumen Diario'!$B$5:$B$504, B2820, '📅 Resumen Diario'!$C$5:$C$504, D2820), 0))</f>
        <v/>
      </c>
      <c r="M2820" s="31" t="str">
        <f t="shared" si="304"/>
        <v/>
      </c>
      <c r="N2820" s="31" t="str">
        <f t="shared" si="305"/>
        <v/>
      </c>
      <c r="O2820" s="31" t="str">
        <f>IF(OR(B2820="",C2820=""),"",K2820-N2820 + IFERROR(E2820 / SUMIFS('📅 Resumen Diario'!$D$5:$D$504, '📅 Resumen Diario'!$B$5:$B$504, B2820, '📅 Resumen Diario'!$C$5:$C$504, D2820) * (SUMIFS('📋 Detalle Diario'!$E$5:$E$489, '📋 Detalle Diario'!$B$5:$B$489, B2820, '📋 Detalle Diario'!$C$5:$C$489, D2820) * 135 + SUMIFS('📋 Detalle Diario'!$I$5:$I$489, '📋 Detalle Diario'!$B$5:$B$489, B2820, '📋 Detalle Diario'!$C$5:$C$489, D2820) * 200), 0))</f>
        <v/>
      </c>
      <c r="P2820" s="32" t="str">
        <f t="shared" si="306"/>
        <v/>
      </c>
      <c r="Q2820" s="33" t="str">
        <f t="shared" si="307"/>
        <v/>
      </c>
    </row>
    <row r="2821" spans="2:17" ht="18" customHeight="1" x14ac:dyDescent="0.3">
      <c r="B2821" s="26"/>
      <c r="C2821" s="28"/>
      <c r="D2821" s="27"/>
      <c r="E2821" s="29"/>
      <c r="F2821" s="29"/>
      <c r="G2821" s="29"/>
      <c r="H2821" s="30" t="str">
        <f t="shared" si="301"/>
        <v/>
      </c>
      <c r="I2821" s="31" t="str">
        <f>IF(OR(B2821="",C2821=""),"",IFERROR(E2821*IF(E2821="",0,VLOOKUP(C2821,'📦 Precios Proforma'!$B$5:$D$104,IF(D2821="DIA",2,3),FALSE)),0))</f>
        <v/>
      </c>
      <c r="J2821" s="31" t="str">
        <f t="shared" si="302"/>
        <v/>
      </c>
      <c r="K2821" s="31" t="str">
        <f t="shared" si="303"/>
        <v/>
      </c>
      <c r="L2821" s="31" t="str">
        <f>IF(OR(B2821="",C2821=""),"",IFERROR(E2821 / SUMIFS('📅 Resumen Diario'!$D$5:$D$504, '📅 Resumen Diario'!$B$5:$B$504, B2821, '📅 Resumen Diario'!$C$5:$C$504, D2821) * SUMIFS('📅 Resumen Diario'!$K$5:$K$504, '📅 Resumen Diario'!$B$5:$B$504, B2821, '📅 Resumen Diario'!$C$5:$C$504, D2821), 0))</f>
        <v/>
      </c>
      <c r="M2821" s="31" t="str">
        <f t="shared" si="304"/>
        <v/>
      </c>
      <c r="N2821" s="31" t="str">
        <f t="shared" si="305"/>
        <v/>
      </c>
      <c r="O2821" s="31" t="str">
        <f>IF(OR(B2821="",C2821=""),"",K2821-N2821 + IFERROR(E2821 / SUMIFS('📅 Resumen Diario'!$D$5:$D$504, '📅 Resumen Diario'!$B$5:$B$504, B2821, '📅 Resumen Diario'!$C$5:$C$504, D2821) * (SUMIFS('📋 Detalle Diario'!$E$5:$E$489, '📋 Detalle Diario'!$B$5:$B$489, B2821, '📋 Detalle Diario'!$C$5:$C$489, D2821) * 135 + SUMIFS('📋 Detalle Diario'!$I$5:$I$489, '📋 Detalle Diario'!$B$5:$B$489, B2821, '📋 Detalle Diario'!$C$5:$C$489, D2821) * 200), 0))</f>
        <v/>
      </c>
      <c r="P2821" s="32" t="str">
        <f t="shared" si="306"/>
        <v/>
      </c>
      <c r="Q2821" s="33" t="str">
        <f t="shared" si="307"/>
        <v/>
      </c>
    </row>
    <row r="2822" spans="2:17" ht="18" customHeight="1" x14ac:dyDescent="0.3">
      <c r="B2822" s="26"/>
      <c r="C2822" s="17"/>
      <c r="D2822" s="27"/>
      <c r="E2822" s="18"/>
      <c r="F2822" s="18"/>
      <c r="G2822" s="18"/>
      <c r="H2822" s="30" t="str">
        <f t="shared" si="301"/>
        <v/>
      </c>
      <c r="I2822" s="31" t="str">
        <f>IF(OR(B2822="",C2822=""),"",IFERROR(E2822*IF(E2822="",0,VLOOKUP(C2822,'📦 Precios Proforma'!$B$5:$D$104,IF(D2822="DIA",2,3),FALSE)),0))</f>
        <v/>
      </c>
      <c r="J2822" s="31" t="str">
        <f t="shared" si="302"/>
        <v/>
      </c>
      <c r="K2822" s="31" t="str">
        <f t="shared" si="303"/>
        <v/>
      </c>
      <c r="L2822" s="31" t="str">
        <f>IF(OR(B2822="",C2822=""),"",IFERROR(E2822 / SUMIFS('📅 Resumen Diario'!$D$5:$D$504, '📅 Resumen Diario'!$B$5:$B$504, B2822, '📅 Resumen Diario'!$C$5:$C$504, D2822) * SUMIFS('📅 Resumen Diario'!$K$5:$K$504, '📅 Resumen Diario'!$B$5:$B$504, B2822, '📅 Resumen Diario'!$C$5:$C$504, D2822), 0))</f>
        <v/>
      </c>
      <c r="M2822" s="31" t="str">
        <f t="shared" si="304"/>
        <v/>
      </c>
      <c r="N2822" s="31" t="str">
        <f t="shared" si="305"/>
        <v/>
      </c>
      <c r="O2822" s="31" t="str">
        <f>IF(OR(B2822="",C2822=""),"",K2822-N2822 + IFERROR(E2822 / SUMIFS('📅 Resumen Diario'!$D$5:$D$504, '📅 Resumen Diario'!$B$5:$B$504, B2822, '📅 Resumen Diario'!$C$5:$C$504, D2822) * (SUMIFS('📋 Detalle Diario'!$E$5:$E$489, '📋 Detalle Diario'!$B$5:$B$489, B2822, '📋 Detalle Diario'!$C$5:$C$489, D2822) * 135 + SUMIFS('📋 Detalle Diario'!$I$5:$I$489, '📋 Detalle Diario'!$B$5:$B$489, B2822, '📋 Detalle Diario'!$C$5:$C$489, D2822) * 200), 0))</f>
        <v/>
      </c>
      <c r="P2822" s="32" t="str">
        <f t="shared" si="306"/>
        <v/>
      </c>
      <c r="Q2822" s="33" t="str">
        <f t="shared" si="307"/>
        <v/>
      </c>
    </row>
    <row r="2823" spans="2:17" ht="18" customHeight="1" x14ac:dyDescent="0.3">
      <c r="B2823" s="26"/>
      <c r="C2823" s="28"/>
      <c r="D2823" s="27"/>
      <c r="E2823" s="29"/>
      <c r="F2823" s="29"/>
      <c r="G2823" s="29"/>
      <c r="H2823" s="30" t="str">
        <f t="shared" ref="H2823:H2886" si="308">IF(OR(B2823="",C2823=""),"",F2823+G2823)</f>
        <v/>
      </c>
      <c r="I2823" s="31" t="str">
        <f>IF(OR(B2823="",C2823=""),"",IFERROR(E2823*IF(E2823="",0,VLOOKUP(C2823,'📦 Precios Proforma'!$B$5:$D$104,IF(D2823="DIA",2,3),FALSE)),0))</f>
        <v/>
      </c>
      <c r="J2823" s="31" t="str">
        <f t="shared" ref="J2823:J2886" si="309">IF(OR(B2823="",C2823=""),"",IF(D2823="DIA",H2823*1.01,H2823*1.35))</f>
        <v/>
      </c>
      <c r="K2823" s="31" t="str">
        <f t="shared" ref="K2823:K2886" si="310">IF(OR(B2823="",C2823=""),"",I2823+J2823)</f>
        <v/>
      </c>
      <c r="L2823" s="31" t="str">
        <f>IF(OR(B2823="",C2823=""),"",IFERROR(E2823 / SUMIFS('📅 Resumen Diario'!$D$5:$D$504, '📅 Resumen Diario'!$B$5:$B$504, B2823, '📅 Resumen Diario'!$C$5:$C$504, D2823) * SUMIFS('📅 Resumen Diario'!$K$5:$K$504, '📅 Resumen Diario'!$B$5:$B$504, B2823, '📅 Resumen Diario'!$C$5:$C$504, D2823), 0))</f>
        <v/>
      </c>
      <c r="M2823" s="31" t="str">
        <f t="shared" ref="M2823:M2886" si="311">IF(OR(B2823="",C2823=""),"",H2823*0.09)</f>
        <v/>
      </c>
      <c r="N2823" s="31" t="str">
        <f t="shared" ref="N2823:N2886" si="312">IF(OR(B2823="",C2823=""),"",L2823+M2823)</f>
        <v/>
      </c>
      <c r="O2823" s="31" t="str">
        <f>IF(OR(B2823="",C2823=""),"",K2823-N2823 + IFERROR(E2823 / SUMIFS('📅 Resumen Diario'!$D$5:$D$504, '📅 Resumen Diario'!$B$5:$B$504, B2823, '📅 Resumen Diario'!$C$5:$C$504, D2823) * (SUMIFS('📋 Detalle Diario'!$E$5:$E$489, '📋 Detalle Diario'!$B$5:$B$489, B2823, '📋 Detalle Diario'!$C$5:$C$489, D2823) * 135 + SUMIFS('📋 Detalle Diario'!$I$5:$I$489, '📋 Detalle Diario'!$B$5:$B$489, B2823, '📋 Detalle Diario'!$C$5:$C$489, D2823) * 200), 0))</f>
        <v/>
      </c>
      <c r="P2823" s="32" t="str">
        <f t="shared" ref="P2823:P2886" si="313">IF(OR(B2823="",C2823=""),"",IF(K2823=0, 0, O2823/K2823))</f>
        <v/>
      </c>
      <c r="Q2823" s="33" t="str">
        <f t="shared" ref="Q2823:Q2886" si="314">IF(B2823="","",IF(ISNUMBER(B2823),YEAR(B2823)&amp;"-"&amp;IF(MONTH(B2823)&lt;10,"0","")&amp;MONTH(B2823),LEFT(B2823,7)))</f>
        <v/>
      </c>
    </row>
    <row r="2824" spans="2:17" ht="18" customHeight="1" x14ac:dyDescent="0.3">
      <c r="B2824" s="26"/>
      <c r="C2824" s="17"/>
      <c r="D2824" s="27"/>
      <c r="E2824" s="18"/>
      <c r="F2824" s="18"/>
      <c r="G2824" s="18"/>
      <c r="H2824" s="30" t="str">
        <f t="shared" si="308"/>
        <v/>
      </c>
      <c r="I2824" s="31" t="str">
        <f>IF(OR(B2824="",C2824=""),"",IFERROR(E2824*IF(E2824="",0,VLOOKUP(C2824,'📦 Precios Proforma'!$B$5:$D$104,IF(D2824="DIA",2,3),FALSE)),0))</f>
        <v/>
      </c>
      <c r="J2824" s="31" t="str">
        <f t="shared" si="309"/>
        <v/>
      </c>
      <c r="K2824" s="31" t="str">
        <f t="shared" si="310"/>
        <v/>
      </c>
      <c r="L2824" s="31" t="str">
        <f>IF(OR(B2824="",C2824=""),"",IFERROR(E2824 / SUMIFS('📅 Resumen Diario'!$D$5:$D$504, '📅 Resumen Diario'!$B$5:$B$504, B2824, '📅 Resumen Diario'!$C$5:$C$504, D2824) * SUMIFS('📅 Resumen Diario'!$K$5:$K$504, '📅 Resumen Diario'!$B$5:$B$504, B2824, '📅 Resumen Diario'!$C$5:$C$504, D2824), 0))</f>
        <v/>
      </c>
      <c r="M2824" s="31" t="str">
        <f t="shared" si="311"/>
        <v/>
      </c>
      <c r="N2824" s="31" t="str">
        <f t="shared" si="312"/>
        <v/>
      </c>
      <c r="O2824" s="31" t="str">
        <f>IF(OR(B2824="",C2824=""),"",K2824-N2824 + IFERROR(E2824 / SUMIFS('📅 Resumen Diario'!$D$5:$D$504, '📅 Resumen Diario'!$B$5:$B$504, B2824, '📅 Resumen Diario'!$C$5:$C$504, D2824) * (SUMIFS('📋 Detalle Diario'!$E$5:$E$489, '📋 Detalle Diario'!$B$5:$B$489, B2824, '📋 Detalle Diario'!$C$5:$C$489, D2824) * 135 + SUMIFS('📋 Detalle Diario'!$I$5:$I$489, '📋 Detalle Diario'!$B$5:$B$489, B2824, '📋 Detalle Diario'!$C$5:$C$489, D2824) * 200), 0))</f>
        <v/>
      </c>
      <c r="P2824" s="32" t="str">
        <f t="shared" si="313"/>
        <v/>
      </c>
      <c r="Q2824" s="33" t="str">
        <f t="shared" si="314"/>
        <v/>
      </c>
    </row>
    <row r="2825" spans="2:17" ht="18" customHeight="1" x14ac:dyDescent="0.3">
      <c r="B2825" s="26"/>
      <c r="C2825" s="28"/>
      <c r="D2825" s="27"/>
      <c r="E2825" s="29"/>
      <c r="F2825" s="29"/>
      <c r="G2825" s="29"/>
      <c r="H2825" s="30" t="str">
        <f t="shared" si="308"/>
        <v/>
      </c>
      <c r="I2825" s="31" t="str">
        <f>IF(OR(B2825="",C2825=""),"",IFERROR(E2825*IF(E2825="",0,VLOOKUP(C2825,'📦 Precios Proforma'!$B$5:$D$104,IF(D2825="DIA",2,3),FALSE)),0))</f>
        <v/>
      </c>
      <c r="J2825" s="31" t="str">
        <f t="shared" si="309"/>
        <v/>
      </c>
      <c r="K2825" s="31" t="str">
        <f t="shared" si="310"/>
        <v/>
      </c>
      <c r="L2825" s="31" t="str">
        <f>IF(OR(B2825="",C2825=""),"",IFERROR(E2825 / SUMIFS('📅 Resumen Diario'!$D$5:$D$504, '📅 Resumen Diario'!$B$5:$B$504, B2825, '📅 Resumen Diario'!$C$5:$C$504, D2825) * SUMIFS('📅 Resumen Diario'!$K$5:$K$504, '📅 Resumen Diario'!$B$5:$B$504, B2825, '📅 Resumen Diario'!$C$5:$C$504, D2825), 0))</f>
        <v/>
      </c>
      <c r="M2825" s="31" t="str">
        <f t="shared" si="311"/>
        <v/>
      </c>
      <c r="N2825" s="31" t="str">
        <f t="shared" si="312"/>
        <v/>
      </c>
      <c r="O2825" s="31" t="str">
        <f>IF(OR(B2825="",C2825=""),"",K2825-N2825 + IFERROR(E2825 / SUMIFS('📅 Resumen Diario'!$D$5:$D$504, '📅 Resumen Diario'!$B$5:$B$504, B2825, '📅 Resumen Diario'!$C$5:$C$504, D2825) * (SUMIFS('📋 Detalle Diario'!$E$5:$E$489, '📋 Detalle Diario'!$B$5:$B$489, B2825, '📋 Detalle Diario'!$C$5:$C$489, D2825) * 135 + SUMIFS('📋 Detalle Diario'!$I$5:$I$489, '📋 Detalle Diario'!$B$5:$B$489, B2825, '📋 Detalle Diario'!$C$5:$C$489, D2825) * 200), 0))</f>
        <v/>
      </c>
      <c r="P2825" s="32" t="str">
        <f t="shared" si="313"/>
        <v/>
      </c>
      <c r="Q2825" s="33" t="str">
        <f t="shared" si="314"/>
        <v/>
      </c>
    </row>
    <row r="2826" spans="2:17" ht="18" customHeight="1" x14ac:dyDescent="0.3">
      <c r="B2826" s="26"/>
      <c r="C2826" s="17"/>
      <c r="D2826" s="27"/>
      <c r="E2826" s="18"/>
      <c r="F2826" s="18"/>
      <c r="G2826" s="18"/>
      <c r="H2826" s="30" t="str">
        <f t="shared" si="308"/>
        <v/>
      </c>
      <c r="I2826" s="31" t="str">
        <f>IF(OR(B2826="",C2826=""),"",IFERROR(E2826*IF(E2826="",0,VLOOKUP(C2826,'📦 Precios Proforma'!$B$5:$D$104,IF(D2826="DIA",2,3),FALSE)),0))</f>
        <v/>
      </c>
      <c r="J2826" s="31" t="str">
        <f t="shared" si="309"/>
        <v/>
      </c>
      <c r="K2826" s="31" t="str">
        <f t="shared" si="310"/>
        <v/>
      </c>
      <c r="L2826" s="31" t="str">
        <f>IF(OR(B2826="",C2826=""),"",IFERROR(E2826 / SUMIFS('📅 Resumen Diario'!$D$5:$D$504, '📅 Resumen Diario'!$B$5:$B$504, B2826, '📅 Resumen Diario'!$C$5:$C$504, D2826) * SUMIFS('📅 Resumen Diario'!$K$5:$K$504, '📅 Resumen Diario'!$B$5:$B$504, B2826, '📅 Resumen Diario'!$C$5:$C$504, D2826), 0))</f>
        <v/>
      </c>
      <c r="M2826" s="31" t="str">
        <f t="shared" si="311"/>
        <v/>
      </c>
      <c r="N2826" s="31" t="str">
        <f t="shared" si="312"/>
        <v/>
      </c>
      <c r="O2826" s="31" t="str">
        <f>IF(OR(B2826="",C2826=""),"",K2826-N2826 + IFERROR(E2826 / SUMIFS('📅 Resumen Diario'!$D$5:$D$504, '📅 Resumen Diario'!$B$5:$B$504, B2826, '📅 Resumen Diario'!$C$5:$C$504, D2826) * (SUMIFS('📋 Detalle Diario'!$E$5:$E$489, '📋 Detalle Diario'!$B$5:$B$489, B2826, '📋 Detalle Diario'!$C$5:$C$489, D2826) * 135 + SUMIFS('📋 Detalle Diario'!$I$5:$I$489, '📋 Detalle Diario'!$B$5:$B$489, B2826, '📋 Detalle Diario'!$C$5:$C$489, D2826) * 200), 0))</f>
        <v/>
      </c>
      <c r="P2826" s="32" t="str">
        <f t="shared" si="313"/>
        <v/>
      </c>
      <c r="Q2826" s="33" t="str">
        <f t="shared" si="314"/>
        <v/>
      </c>
    </row>
    <row r="2827" spans="2:17" ht="18" customHeight="1" x14ac:dyDescent="0.3">
      <c r="B2827" s="26"/>
      <c r="C2827" s="28"/>
      <c r="D2827" s="27"/>
      <c r="E2827" s="29"/>
      <c r="F2827" s="29"/>
      <c r="G2827" s="29"/>
      <c r="H2827" s="30" t="str">
        <f t="shared" si="308"/>
        <v/>
      </c>
      <c r="I2827" s="31" t="str">
        <f>IF(OR(B2827="",C2827=""),"",IFERROR(E2827*IF(E2827="",0,VLOOKUP(C2827,'📦 Precios Proforma'!$B$5:$D$104,IF(D2827="DIA",2,3),FALSE)),0))</f>
        <v/>
      </c>
      <c r="J2827" s="31" t="str">
        <f t="shared" si="309"/>
        <v/>
      </c>
      <c r="K2827" s="31" t="str">
        <f t="shared" si="310"/>
        <v/>
      </c>
      <c r="L2827" s="31" t="str">
        <f>IF(OR(B2827="",C2827=""),"",IFERROR(E2827 / SUMIFS('📅 Resumen Diario'!$D$5:$D$504, '📅 Resumen Diario'!$B$5:$B$504, B2827, '📅 Resumen Diario'!$C$5:$C$504, D2827) * SUMIFS('📅 Resumen Diario'!$K$5:$K$504, '📅 Resumen Diario'!$B$5:$B$504, B2827, '📅 Resumen Diario'!$C$5:$C$504, D2827), 0))</f>
        <v/>
      </c>
      <c r="M2827" s="31" t="str">
        <f t="shared" si="311"/>
        <v/>
      </c>
      <c r="N2827" s="31" t="str">
        <f t="shared" si="312"/>
        <v/>
      </c>
      <c r="O2827" s="31" t="str">
        <f>IF(OR(B2827="",C2827=""),"",K2827-N2827 + IFERROR(E2827 / SUMIFS('📅 Resumen Diario'!$D$5:$D$504, '📅 Resumen Diario'!$B$5:$B$504, B2827, '📅 Resumen Diario'!$C$5:$C$504, D2827) * (SUMIFS('📋 Detalle Diario'!$E$5:$E$489, '📋 Detalle Diario'!$B$5:$B$489, B2827, '📋 Detalle Diario'!$C$5:$C$489, D2827) * 135 + SUMIFS('📋 Detalle Diario'!$I$5:$I$489, '📋 Detalle Diario'!$B$5:$B$489, B2827, '📋 Detalle Diario'!$C$5:$C$489, D2827) * 200), 0))</f>
        <v/>
      </c>
      <c r="P2827" s="32" t="str">
        <f t="shared" si="313"/>
        <v/>
      </c>
      <c r="Q2827" s="33" t="str">
        <f t="shared" si="314"/>
        <v/>
      </c>
    </row>
    <row r="2828" spans="2:17" ht="18" customHeight="1" x14ac:dyDescent="0.3">
      <c r="B2828" s="26"/>
      <c r="C2828" s="17"/>
      <c r="D2828" s="27"/>
      <c r="E2828" s="18"/>
      <c r="F2828" s="18"/>
      <c r="G2828" s="18"/>
      <c r="H2828" s="30" t="str">
        <f t="shared" si="308"/>
        <v/>
      </c>
      <c r="I2828" s="31" t="str">
        <f>IF(OR(B2828="",C2828=""),"",IFERROR(E2828*IF(E2828="",0,VLOOKUP(C2828,'📦 Precios Proforma'!$B$5:$D$104,IF(D2828="DIA",2,3),FALSE)),0))</f>
        <v/>
      </c>
      <c r="J2828" s="31" t="str">
        <f t="shared" si="309"/>
        <v/>
      </c>
      <c r="K2828" s="31" t="str">
        <f t="shared" si="310"/>
        <v/>
      </c>
      <c r="L2828" s="31" t="str">
        <f>IF(OR(B2828="",C2828=""),"",IFERROR(E2828 / SUMIFS('📅 Resumen Diario'!$D$5:$D$504, '📅 Resumen Diario'!$B$5:$B$504, B2828, '📅 Resumen Diario'!$C$5:$C$504, D2828) * SUMIFS('📅 Resumen Diario'!$K$5:$K$504, '📅 Resumen Diario'!$B$5:$B$504, B2828, '📅 Resumen Diario'!$C$5:$C$504, D2828), 0))</f>
        <v/>
      </c>
      <c r="M2828" s="31" t="str">
        <f t="shared" si="311"/>
        <v/>
      </c>
      <c r="N2828" s="31" t="str">
        <f t="shared" si="312"/>
        <v/>
      </c>
      <c r="O2828" s="31" t="str">
        <f>IF(OR(B2828="",C2828=""),"",K2828-N2828 + IFERROR(E2828 / SUMIFS('📅 Resumen Diario'!$D$5:$D$504, '📅 Resumen Diario'!$B$5:$B$504, B2828, '📅 Resumen Diario'!$C$5:$C$504, D2828) * (SUMIFS('📋 Detalle Diario'!$E$5:$E$489, '📋 Detalle Diario'!$B$5:$B$489, B2828, '📋 Detalle Diario'!$C$5:$C$489, D2828) * 135 + SUMIFS('📋 Detalle Diario'!$I$5:$I$489, '📋 Detalle Diario'!$B$5:$B$489, B2828, '📋 Detalle Diario'!$C$5:$C$489, D2828) * 200), 0))</f>
        <v/>
      </c>
      <c r="P2828" s="32" t="str">
        <f t="shared" si="313"/>
        <v/>
      </c>
      <c r="Q2828" s="33" t="str">
        <f t="shared" si="314"/>
        <v/>
      </c>
    </row>
    <row r="2829" spans="2:17" ht="18" customHeight="1" x14ac:dyDescent="0.3">
      <c r="B2829" s="26"/>
      <c r="C2829" s="28"/>
      <c r="D2829" s="27"/>
      <c r="E2829" s="29"/>
      <c r="F2829" s="29"/>
      <c r="G2829" s="29"/>
      <c r="H2829" s="30" t="str">
        <f t="shared" si="308"/>
        <v/>
      </c>
      <c r="I2829" s="31" t="str">
        <f>IF(OR(B2829="",C2829=""),"",IFERROR(E2829*IF(E2829="",0,VLOOKUP(C2829,'📦 Precios Proforma'!$B$5:$D$104,IF(D2829="DIA",2,3),FALSE)),0))</f>
        <v/>
      </c>
      <c r="J2829" s="31" t="str">
        <f t="shared" si="309"/>
        <v/>
      </c>
      <c r="K2829" s="31" t="str">
        <f t="shared" si="310"/>
        <v/>
      </c>
      <c r="L2829" s="31" t="str">
        <f>IF(OR(B2829="",C2829=""),"",IFERROR(E2829 / SUMIFS('📅 Resumen Diario'!$D$5:$D$504, '📅 Resumen Diario'!$B$5:$B$504, B2829, '📅 Resumen Diario'!$C$5:$C$504, D2829) * SUMIFS('📅 Resumen Diario'!$K$5:$K$504, '📅 Resumen Diario'!$B$5:$B$504, B2829, '📅 Resumen Diario'!$C$5:$C$504, D2829), 0))</f>
        <v/>
      </c>
      <c r="M2829" s="31" t="str">
        <f t="shared" si="311"/>
        <v/>
      </c>
      <c r="N2829" s="31" t="str">
        <f t="shared" si="312"/>
        <v/>
      </c>
      <c r="O2829" s="31" t="str">
        <f>IF(OR(B2829="",C2829=""),"",K2829-N2829 + IFERROR(E2829 / SUMIFS('📅 Resumen Diario'!$D$5:$D$504, '📅 Resumen Diario'!$B$5:$B$504, B2829, '📅 Resumen Diario'!$C$5:$C$504, D2829) * (SUMIFS('📋 Detalle Diario'!$E$5:$E$489, '📋 Detalle Diario'!$B$5:$B$489, B2829, '📋 Detalle Diario'!$C$5:$C$489, D2829) * 135 + SUMIFS('📋 Detalle Diario'!$I$5:$I$489, '📋 Detalle Diario'!$B$5:$B$489, B2829, '📋 Detalle Diario'!$C$5:$C$489, D2829) * 200), 0))</f>
        <v/>
      </c>
      <c r="P2829" s="32" t="str">
        <f t="shared" si="313"/>
        <v/>
      </c>
      <c r="Q2829" s="33" t="str">
        <f t="shared" si="314"/>
        <v/>
      </c>
    </row>
    <row r="2830" spans="2:17" ht="18" customHeight="1" x14ac:dyDescent="0.3">
      <c r="B2830" s="26"/>
      <c r="C2830" s="17"/>
      <c r="D2830" s="27"/>
      <c r="E2830" s="18"/>
      <c r="F2830" s="18"/>
      <c r="G2830" s="18"/>
      <c r="H2830" s="30" t="str">
        <f t="shared" si="308"/>
        <v/>
      </c>
      <c r="I2830" s="31" t="str">
        <f>IF(OR(B2830="",C2830=""),"",IFERROR(E2830*IF(E2830="",0,VLOOKUP(C2830,'📦 Precios Proforma'!$B$5:$D$104,IF(D2830="DIA",2,3),FALSE)),0))</f>
        <v/>
      </c>
      <c r="J2830" s="31" t="str">
        <f t="shared" si="309"/>
        <v/>
      </c>
      <c r="K2830" s="31" t="str">
        <f t="shared" si="310"/>
        <v/>
      </c>
      <c r="L2830" s="31" t="str">
        <f>IF(OR(B2830="",C2830=""),"",IFERROR(E2830 / SUMIFS('📅 Resumen Diario'!$D$5:$D$504, '📅 Resumen Diario'!$B$5:$B$504, B2830, '📅 Resumen Diario'!$C$5:$C$504, D2830) * SUMIFS('📅 Resumen Diario'!$K$5:$K$504, '📅 Resumen Diario'!$B$5:$B$504, B2830, '📅 Resumen Diario'!$C$5:$C$504, D2830), 0))</f>
        <v/>
      </c>
      <c r="M2830" s="31" t="str">
        <f t="shared" si="311"/>
        <v/>
      </c>
      <c r="N2830" s="31" t="str">
        <f t="shared" si="312"/>
        <v/>
      </c>
      <c r="O2830" s="31" t="str">
        <f>IF(OR(B2830="",C2830=""),"",K2830-N2830 + IFERROR(E2830 / SUMIFS('📅 Resumen Diario'!$D$5:$D$504, '📅 Resumen Diario'!$B$5:$B$504, B2830, '📅 Resumen Diario'!$C$5:$C$504, D2830) * (SUMIFS('📋 Detalle Diario'!$E$5:$E$489, '📋 Detalle Diario'!$B$5:$B$489, B2830, '📋 Detalle Diario'!$C$5:$C$489, D2830) * 135 + SUMIFS('📋 Detalle Diario'!$I$5:$I$489, '📋 Detalle Diario'!$B$5:$B$489, B2830, '📋 Detalle Diario'!$C$5:$C$489, D2830) * 200), 0))</f>
        <v/>
      </c>
      <c r="P2830" s="32" t="str">
        <f t="shared" si="313"/>
        <v/>
      </c>
      <c r="Q2830" s="33" t="str">
        <f t="shared" si="314"/>
        <v/>
      </c>
    </row>
    <row r="2831" spans="2:17" ht="18" customHeight="1" x14ac:dyDescent="0.3">
      <c r="B2831" s="26"/>
      <c r="C2831" s="28"/>
      <c r="D2831" s="27"/>
      <c r="E2831" s="29"/>
      <c r="F2831" s="29"/>
      <c r="G2831" s="29"/>
      <c r="H2831" s="30" t="str">
        <f t="shared" si="308"/>
        <v/>
      </c>
      <c r="I2831" s="31" t="str">
        <f>IF(OR(B2831="",C2831=""),"",IFERROR(E2831*IF(E2831="",0,VLOOKUP(C2831,'📦 Precios Proforma'!$B$5:$D$104,IF(D2831="DIA",2,3),FALSE)),0))</f>
        <v/>
      </c>
      <c r="J2831" s="31" t="str">
        <f t="shared" si="309"/>
        <v/>
      </c>
      <c r="K2831" s="31" t="str">
        <f t="shared" si="310"/>
        <v/>
      </c>
      <c r="L2831" s="31" t="str">
        <f>IF(OR(B2831="",C2831=""),"",IFERROR(E2831 / SUMIFS('📅 Resumen Diario'!$D$5:$D$504, '📅 Resumen Diario'!$B$5:$B$504, B2831, '📅 Resumen Diario'!$C$5:$C$504, D2831) * SUMIFS('📅 Resumen Diario'!$K$5:$K$504, '📅 Resumen Diario'!$B$5:$B$504, B2831, '📅 Resumen Diario'!$C$5:$C$504, D2831), 0))</f>
        <v/>
      </c>
      <c r="M2831" s="31" t="str">
        <f t="shared" si="311"/>
        <v/>
      </c>
      <c r="N2831" s="31" t="str">
        <f t="shared" si="312"/>
        <v/>
      </c>
      <c r="O2831" s="31" t="str">
        <f>IF(OR(B2831="",C2831=""),"",K2831-N2831 + IFERROR(E2831 / SUMIFS('📅 Resumen Diario'!$D$5:$D$504, '📅 Resumen Diario'!$B$5:$B$504, B2831, '📅 Resumen Diario'!$C$5:$C$504, D2831) * (SUMIFS('📋 Detalle Diario'!$E$5:$E$489, '📋 Detalle Diario'!$B$5:$B$489, B2831, '📋 Detalle Diario'!$C$5:$C$489, D2831) * 135 + SUMIFS('📋 Detalle Diario'!$I$5:$I$489, '📋 Detalle Diario'!$B$5:$B$489, B2831, '📋 Detalle Diario'!$C$5:$C$489, D2831) * 200), 0))</f>
        <v/>
      </c>
      <c r="P2831" s="32" t="str">
        <f t="shared" si="313"/>
        <v/>
      </c>
      <c r="Q2831" s="33" t="str">
        <f t="shared" si="314"/>
        <v/>
      </c>
    </row>
    <row r="2832" spans="2:17" ht="18" customHeight="1" x14ac:dyDescent="0.3">
      <c r="B2832" s="26"/>
      <c r="C2832" s="17"/>
      <c r="D2832" s="27"/>
      <c r="E2832" s="18"/>
      <c r="F2832" s="18"/>
      <c r="G2832" s="18"/>
      <c r="H2832" s="30" t="str">
        <f t="shared" si="308"/>
        <v/>
      </c>
      <c r="I2832" s="31" t="str">
        <f>IF(OR(B2832="",C2832=""),"",IFERROR(E2832*IF(E2832="",0,VLOOKUP(C2832,'📦 Precios Proforma'!$B$5:$D$104,IF(D2832="DIA",2,3),FALSE)),0))</f>
        <v/>
      </c>
      <c r="J2832" s="31" t="str">
        <f t="shared" si="309"/>
        <v/>
      </c>
      <c r="K2832" s="31" t="str">
        <f t="shared" si="310"/>
        <v/>
      </c>
      <c r="L2832" s="31" t="str">
        <f>IF(OR(B2832="",C2832=""),"",IFERROR(E2832 / SUMIFS('📅 Resumen Diario'!$D$5:$D$504, '📅 Resumen Diario'!$B$5:$B$504, B2832, '📅 Resumen Diario'!$C$5:$C$504, D2832) * SUMIFS('📅 Resumen Diario'!$K$5:$K$504, '📅 Resumen Diario'!$B$5:$B$504, B2832, '📅 Resumen Diario'!$C$5:$C$504, D2832), 0))</f>
        <v/>
      </c>
      <c r="M2832" s="31" t="str">
        <f t="shared" si="311"/>
        <v/>
      </c>
      <c r="N2832" s="31" t="str">
        <f t="shared" si="312"/>
        <v/>
      </c>
      <c r="O2832" s="31" t="str">
        <f>IF(OR(B2832="",C2832=""),"",K2832-N2832 + IFERROR(E2832 / SUMIFS('📅 Resumen Diario'!$D$5:$D$504, '📅 Resumen Diario'!$B$5:$B$504, B2832, '📅 Resumen Diario'!$C$5:$C$504, D2832) * (SUMIFS('📋 Detalle Diario'!$E$5:$E$489, '📋 Detalle Diario'!$B$5:$B$489, B2832, '📋 Detalle Diario'!$C$5:$C$489, D2832) * 135 + SUMIFS('📋 Detalle Diario'!$I$5:$I$489, '📋 Detalle Diario'!$B$5:$B$489, B2832, '📋 Detalle Diario'!$C$5:$C$489, D2832) * 200), 0))</f>
        <v/>
      </c>
      <c r="P2832" s="32" t="str">
        <f t="shared" si="313"/>
        <v/>
      </c>
      <c r="Q2832" s="33" t="str">
        <f t="shared" si="314"/>
        <v/>
      </c>
    </row>
    <row r="2833" spans="2:17" ht="18" customHeight="1" x14ac:dyDescent="0.3">
      <c r="B2833" s="26"/>
      <c r="C2833" s="28"/>
      <c r="D2833" s="27"/>
      <c r="E2833" s="29"/>
      <c r="F2833" s="29"/>
      <c r="G2833" s="29"/>
      <c r="H2833" s="30" t="str">
        <f t="shared" si="308"/>
        <v/>
      </c>
      <c r="I2833" s="31" t="str">
        <f>IF(OR(B2833="",C2833=""),"",IFERROR(E2833*IF(E2833="",0,VLOOKUP(C2833,'📦 Precios Proforma'!$B$5:$D$104,IF(D2833="DIA",2,3),FALSE)),0))</f>
        <v/>
      </c>
      <c r="J2833" s="31" t="str">
        <f t="shared" si="309"/>
        <v/>
      </c>
      <c r="K2833" s="31" t="str">
        <f t="shared" si="310"/>
        <v/>
      </c>
      <c r="L2833" s="31" t="str">
        <f>IF(OR(B2833="",C2833=""),"",IFERROR(E2833 / SUMIFS('📅 Resumen Diario'!$D$5:$D$504, '📅 Resumen Diario'!$B$5:$B$504, B2833, '📅 Resumen Diario'!$C$5:$C$504, D2833) * SUMIFS('📅 Resumen Diario'!$K$5:$K$504, '📅 Resumen Diario'!$B$5:$B$504, B2833, '📅 Resumen Diario'!$C$5:$C$504, D2833), 0))</f>
        <v/>
      </c>
      <c r="M2833" s="31" t="str">
        <f t="shared" si="311"/>
        <v/>
      </c>
      <c r="N2833" s="31" t="str">
        <f t="shared" si="312"/>
        <v/>
      </c>
      <c r="O2833" s="31" t="str">
        <f>IF(OR(B2833="",C2833=""),"",K2833-N2833 + IFERROR(E2833 / SUMIFS('📅 Resumen Diario'!$D$5:$D$504, '📅 Resumen Diario'!$B$5:$B$504, B2833, '📅 Resumen Diario'!$C$5:$C$504, D2833) * (SUMIFS('📋 Detalle Diario'!$E$5:$E$489, '📋 Detalle Diario'!$B$5:$B$489, B2833, '📋 Detalle Diario'!$C$5:$C$489, D2833) * 135 + SUMIFS('📋 Detalle Diario'!$I$5:$I$489, '📋 Detalle Diario'!$B$5:$B$489, B2833, '📋 Detalle Diario'!$C$5:$C$489, D2833) * 200), 0))</f>
        <v/>
      </c>
      <c r="P2833" s="32" t="str">
        <f t="shared" si="313"/>
        <v/>
      </c>
      <c r="Q2833" s="33" t="str">
        <f t="shared" si="314"/>
        <v/>
      </c>
    </row>
    <row r="2834" spans="2:17" ht="18" customHeight="1" x14ac:dyDescent="0.3">
      <c r="B2834" s="26"/>
      <c r="C2834" s="17"/>
      <c r="D2834" s="27"/>
      <c r="E2834" s="18"/>
      <c r="F2834" s="18"/>
      <c r="G2834" s="18"/>
      <c r="H2834" s="30" t="str">
        <f t="shared" si="308"/>
        <v/>
      </c>
      <c r="I2834" s="31" t="str">
        <f>IF(OR(B2834="",C2834=""),"",IFERROR(E2834*IF(E2834="",0,VLOOKUP(C2834,'📦 Precios Proforma'!$B$5:$D$104,IF(D2834="DIA",2,3),FALSE)),0))</f>
        <v/>
      </c>
      <c r="J2834" s="31" t="str">
        <f t="shared" si="309"/>
        <v/>
      </c>
      <c r="K2834" s="31" t="str">
        <f t="shared" si="310"/>
        <v/>
      </c>
      <c r="L2834" s="31" t="str">
        <f>IF(OR(B2834="",C2834=""),"",IFERROR(E2834 / SUMIFS('📅 Resumen Diario'!$D$5:$D$504, '📅 Resumen Diario'!$B$5:$B$504, B2834, '📅 Resumen Diario'!$C$5:$C$504, D2834) * SUMIFS('📅 Resumen Diario'!$K$5:$K$504, '📅 Resumen Diario'!$B$5:$B$504, B2834, '📅 Resumen Diario'!$C$5:$C$504, D2834), 0))</f>
        <v/>
      </c>
      <c r="M2834" s="31" t="str">
        <f t="shared" si="311"/>
        <v/>
      </c>
      <c r="N2834" s="31" t="str">
        <f t="shared" si="312"/>
        <v/>
      </c>
      <c r="O2834" s="31" t="str">
        <f>IF(OR(B2834="",C2834=""),"",K2834-N2834 + IFERROR(E2834 / SUMIFS('📅 Resumen Diario'!$D$5:$D$504, '📅 Resumen Diario'!$B$5:$B$504, B2834, '📅 Resumen Diario'!$C$5:$C$504, D2834) * (SUMIFS('📋 Detalle Diario'!$E$5:$E$489, '📋 Detalle Diario'!$B$5:$B$489, B2834, '📋 Detalle Diario'!$C$5:$C$489, D2834) * 135 + SUMIFS('📋 Detalle Diario'!$I$5:$I$489, '📋 Detalle Diario'!$B$5:$B$489, B2834, '📋 Detalle Diario'!$C$5:$C$489, D2834) * 200), 0))</f>
        <v/>
      </c>
      <c r="P2834" s="32" t="str">
        <f t="shared" si="313"/>
        <v/>
      </c>
      <c r="Q2834" s="33" t="str">
        <f t="shared" si="314"/>
        <v/>
      </c>
    </row>
    <row r="2835" spans="2:17" ht="18" customHeight="1" x14ac:dyDescent="0.3">
      <c r="B2835" s="26"/>
      <c r="C2835" s="28"/>
      <c r="D2835" s="27"/>
      <c r="E2835" s="29"/>
      <c r="F2835" s="29"/>
      <c r="G2835" s="29"/>
      <c r="H2835" s="30" t="str">
        <f t="shared" si="308"/>
        <v/>
      </c>
      <c r="I2835" s="31" t="str">
        <f>IF(OR(B2835="",C2835=""),"",IFERROR(E2835*IF(E2835="",0,VLOOKUP(C2835,'📦 Precios Proforma'!$B$5:$D$104,IF(D2835="DIA",2,3),FALSE)),0))</f>
        <v/>
      </c>
      <c r="J2835" s="31" t="str">
        <f t="shared" si="309"/>
        <v/>
      </c>
      <c r="K2835" s="31" t="str">
        <f t="shared" si="310"/>
        <v/>
      </c>
      <c r="L2835" s="31" t="str">
        <f>IF(OR(B2835="",C2835=""),"",IFERROR(E2835 / SUMIFS('📅 Resumen Diario'!$D$5:$D$504, '📅 Resumen Diario'!$B$5:$B$504, B2835, '📅 Resumen Diario'!$C$5:$C$504, D2835) * SUMIFS('📅 Resumen Diario'!$K$5:$K$504, '📅 Resumen Diario'!$B$5:$B$504, B2835, '📅 Resumen Diario'!$C$5:$C$504, D2835), 0))</f>
        <v/>
      </c>
      <c r="M2835" s="31" t="str">
        <f t="shared" si="311"/>
        <v/>
      </c>
      <c r="N2835" s="31" t="str">
        <f t="shared" si="312"/>
        <v/>
      </c>
      <c r="O2835" s="31" t="str">
        <f>IF(OR(B2835="",C2835=""),"",K2835-N2835 + IFERROR(E2835 / SUMIFS('📅 Resumen Diario'!$D$5:$D$504, '📅 Resumen Diario'!$B$5:$B$504, B2835, '📅 Resumen Diario'!$C$5:$C$504, D2835) * (SUMIFS('📋 Detalle Diario'!$E$5:$E$489, '📋 Detalle Diario'!$B$5:$B$489, B2835, '📋 Detalle Diario'!$C$5:$C$489, D2835) * 135 + SUMIFS('📋 Detalle Diario'!$I$5:$I$489, '📋 Detalle Diario'!$B$5:$B$489, B2835, '📋 Detalle Diario'!$C$5:$C$489, D2835) * 200), 0))</f>
        <v/>
      </c>
      <c r="P2835" s="32" t="str">
        <f t="shared" si="313"/>
        <v/>
      </c>
      <c r="Q2835" s="33" t="str">
        <f t="shared" si="314"/>
        <v/>
      </c>
    </row>
    <row r="2836" spans="2:17" ht="18" customHeight="1" x14ac:dyDescent="0.3">
      <c r="B2836" s="26"/>
      <c r="C2836" s="17"/>
      <c r="D2836" s="27"/>
      <c r="E2836" s="18"/>
      <c r="F2836" s="18"/>
      <c r="G2836" s="18"/>
      <c r="H2836" s="30" t="str">
        <f t="shared" si="308"/>
        <v/>
      </c>
      <c r="I2836" s="31" t="str">
        <f>IF(OR(B2836="",C2836=""),"",IFERROR(E2836*IF(E2836="",0,VLOOKUP(C2836,'📦 Precios Proforma'!$B$5:$D$104,IF(D2836="DIA",2,3),FALSE)),0))</f>
        <v/>
      </c>
      <c r="J2836" s="31" t="str">
        <f t="shared" si="309"/>
        <v/>
      </c>
      <c r="K2836" s="31" t="str">
        <f t="shared" si="310"/>
        <v/>
      </c>
      <c r="L2836" s="31" t="str">
        <f>IF(OR(B2836="",C2836=""),"",IFERROR(E2836 / SUMIFS('📅 Resumen Diario'!$D$5:$D$504, '📅 Resumen Diario'!$B$5:$B$504, B2836, '📅 Resumen Diario'!$C$5:$C$504, D2836) * SUMIFS('📅 Resumen Diario'!$K$5:$K$504, '📅 Resumen Diario'!$B$5:$B$504, B2836, '📅 Resumen Diario'!$C$5:$C$504, D2836), 0))</f>
        <v/>
      </c>
      <c r="M2836" s="31" t="str">
        <f t="shared" si="311"/>
        <v/>
      </c>
      <c r="N2836" s="31" t="str">
        <f t="shared" si="312"/>
        <v/>
      </c>
      <c r="O2836" s="31" t="str">
        <f>IF(OR(B2836="",C2836=""),"",K2836-N2836 + IFERROR(E2836 / SUMIFS('📅 Resumen Diario'!$D$5:$D$504, '📅 Resumen Diario'!$B$5:$B$504, B2836, '📅 Resumen Diario'!$C$5:$C$504, D2836) * (SUMIFS('📋 Detalle Diario'!$E$5:$E$489, '📋 Detalle Diario'!$B$5:$B$489, B2836, '📋 Detalle Diario'!$C$5:$C$489, D2836) * 135 + SUMIFS('📋 Detalle Diario'!$I$5:$I$489, '📋 Detalle Diario'!$B$5:$B$489, B2836, '📋 Detalle Diario'!$C$5:$C$489, D2836) * 200), 0))</f>
        <v/>
      </c>
      <c r="P2836" s="32" t="str">
        <f t="shared" si="313"/>
        <v/>
      </c>
      <c r="Q2836" s="33" t="str">
        <f t="shared" si="314"/>
        <v/>
      </c>
    </row>
    <row r="2837" spans="2:17" ht="18" customHeight="1" x14ac:dyDescent="0.3">
      <c r="B2837" s="26"/>
      <c r="C2837" s="28"/>
      <c r="D2837" s="27"/>
      <c r="E2837" s="29"/>
      <c r="F2837" s="29"/>
      <c r="G2837" s="29"/>
      <c r="H2837" s="30" t="str">
        <f t="shared" si="308"/>
        <v/>
      </c>
      <c r="I2837" s="31" t="str">
        <f>IF(OR(B2837="",C2837=""),"",IFERROR(E2837*IF(E2837="",0,VLOOKUP(C2837,'📦 Precios Proforma'!$B$5:$D$104,IF(D2837="DIA",2,3),FALSE)),0))</f>
        <v/>
      </c>
      <c r="J2837" s="31" t="str">
        <f t="shared" si="309"/>
        <v/>
      </c>
      <c r="K2837" s="31" t="str">
        <f t="shared" si="310"/>
        <v/>
      </c>
      <c r="L2837" s="31" t="str">
        <f>IF(OR(B2837="",C2837=""),"",IFERROR(E2837 / SUMIFS('📅 Resumen Diario'!$D$5:$D$504, '📅 Resumen Diario'!$B$5:$B$504, B2837, '📅 Resumen Diario'!$C$5:$C$504, D2837) * SUMIFS('📅 Resumen Diario'!$K$5:$K$504, '📅 Resumen Diario'!$B$5:$B$504, B2837, '📅 Resumen Diario'!$C$5:$C$504, D2837), 0))</f>
        <v/>
      </c>
      <c r="M2837" s="31" t="str">
        <f t="shared" si="311"/>
        <v/>
      </c>
      <c r="N2837" s="31" t="str">
        <f t="shared" si="312"/>
        <v/>
      </c>
      <c r="O2837" s="31" t="str">
        <f>IF(OR(B2837="",C2837=""),"",K2837-N2837 + IFERROR(E2837 / SUMIFS('📅 Resumen Diario'!$D$5:$D$504, '📅 Resumen Diario'!$B$5:$B$504, B2837, '📅 Resumen Diario'!$C$5:$C$504, D2837) * (SUMIFS('📋 Detalle Diario'!$E$5:$E$489, '📋 Detalle Diario'!$B$5:$B$489, B2837, '📋 Detalle Diario'!$C$5:$C$489, D2837) * 135 + SUMIFS('📋 Detalle Diario'!$I$5:$I$489, '📋 Detalle Diario'!$B$5:$B$489, B2837, '📋 Detalle Diario'!$C$5:$C$489, D2837) * 200), 0))</f>
        <v/>
      </c>
      <c r="P2837" s="32" t="str">
        <f t="shared" si="313"/>
        <v/>
      </c>
      <c r="Q2837" s="33" t="str">
        <f t="shared" si="314"/>
        <v/>
      </c>
    </row>
    <row r="2838" spans="2:17" ht="18" customHeight="1" x14ac:dyDescent="0.3">
      <c r="B2838" s="26"/>
      <c r="C2838" s="17"/>
      <c r="D2838" s="27"/>
      <c r="E2838" s="18"/>
      <c r="F2838" s="18"/>
      <c r="G2838" s="18"/>
      <c r="H2838" s="30" t="str">
        <f t="shared" si="308"/>
        <v/>
      </c>
      <c r="I2838" s="31" t="str">
        <f>IF(OR(B2838="",C2838=""),"",IFERROR(E2838*IF(E2838="",0,VLOOKUP(C2838,'📦 Precios Proforma'!$B$5:$D$104,IF(D2838="DIA",2,3),FALSE)),0))</f>
        <v/>
      </c>
      <c r="J2838" s="31" t="str">
        <f t="shared" si="309"/>
        <v/>
      </c>
      <c r="K2838" s="31" t="str">
        <f t="shared" si="310"/>
        <v/>
      </c>
      <c r="L2838" s="31" t="str">
        <f>IF(OR(B2838="",C2838=""),"",IFERROR(E2838 / SUMIFS('📅 Resumen Diario'!$D$5:$D$504, '📅 Resumen Diario'!$B$5:$B$504, B2838, '📅 Resumen Diario'!$C$5:$C$504, D2838) * SUMIFS('📅 Resumen Diario'!$K$5:$K$504, '📅 Resumen Diario'!$B$5:$B$504, B2838, '📅 Resumen Diario'!$C$5:$C$504, D2838), 0))</f>
        <v/>
      </c>
      <c r="M2838" s="31" t="str">
        <f t="shared" si="311"/>
        <v/>
      </c>
      <c r="N2838" s="31" t="str">
        <f t="shared" si="312"/>
        <v/>
      </c>
      <c r="O2838" s="31" t="str">
        <f>IF(OR(B2838="",C2838=""),"",K2838-N2838 + IFERROR(E2838 / SUMIFS('📅 Resumen Diario'!$D$5:$D$504, '📅 Resumen Diario'!$B$5:$B$504, B2838, '📅 Resumen Diario'!$C$5:$C$504, D2838) * (SUMIFS('📋 Detalle Diario'!$E$5:$E$489, '📋 Detalle Diario'!$B$5:$B$489, B2838, '📋 Detalle Diario'!$C$5:$C$489, D2838) * 135 + SUMIFS('📋 Detalle Diario'!$I$5:$I$489, '📋 Detalle Diario'!$B$5:$B$489, B2838, '📋 Detalle Diario'!$C$5:$C$489, D2838) * 200), 0))</f>
        <v/>
      </c>
      <c r="P2838" s="32" t="str">
        <f t="shared" si="313"/>
        <v/>
      </c>
      <c r="Q2838" s="33" t="str">
        <f t="shared" si="314"/>
        <v/>
      </c>
    </row>
    <row r="2839" spans="2:17" ht="18" customHeight="1" x14ac:dyDescent="0.3">
      <c r="B2839" s="26"/>
      <c r="C2839" s="28"/>
      <c r="D2839" s="27"/>
      <c r="E2839" s="29"/>
      <c r="F2839" s="29"/>
      <c r="G2839" s="29"/>
      <c r="H2839" s="30" t="str">
        <f t="shared" si="308"/>
        <v/>
      </c>
      <c r="I2839" s="31" t="str">
        <f>IF(OR(B2839="",C2839=""),"",IFERROR(E2839*IF(E2839="",0,VLOOKUP(C2839,'📦 Precios Proforma'!$B$5:$D$104,IF(D2839="DIA",2,3),FALSE)),0))</f>
        <v/>
      </c>
      <c r="J2839" s="31" t="str">
        <f t="shared" si="309"/>
        <v/>
      </c>
      <c r="K2839" s="31" t="str">
        <f t="shared" si="310"/>
        <v/>
      </c>
      <c r="L2839" s="31" t="str">
        <f>IF(OR(B2839="",C2839=""),"",IFERROR(E2839 / SUMIFS('📅 Resumen Diario'!$D$5:$D$504, '📅 Resumen Diario'!$B$5:$B$504, B2839, '📅 Resumen Diario'!$C$5:$C$504, D2839) * SUMIFS('📅 Resumen Diario'!$K$5:$K$504, '📅 Resumen Diario'!$B$5:$B$504, B2839, '📅 Resumen Diario'!$C$5:$C$504, D2839), 0))</f>
        <v/>
      </c>
      <c r="M2839" s="31" t="str">
        <f t="shared" si="311"/>
        <v/>
      </c>
      <c r="N2839" s="31" t="str">
        <f t="shared" si="312"/>
        <v/>
      </c>
      <c r="O2839" s="31" t="str">
        <f>IF(OR(B2839="",C2839=""),"",K2839-N2839 + IFERROR(E2839 / SUMIFS('📅 Resumen Diario'!$D$5:$D$504, '📅 Resumen Diario'!$B$5:$B$504, B2839, '📅 Resumen Diario'!$C$5:$C$504, D2839) * (SUMIFS('📋 Detalle Diario'!$E$5:$E$489, '📋 Detalle Diario'!$B$5:$B$489, B2839, '📋 Detalle Diario'!$C$5:$C$489, D2839) * 135 + SUMIFS('📋 Detalle Diario'!$I$5:$I$489, '📋 Detalle Diario'!$B$5:$B$489, B2839, '📋 Detalle Diario'!$C$5:$C$489, D2839) * 200), 0))</f>
        <v/>
      </c>
      <c r="P2839" s="32" t="str">
        <f t="shared" si="313"/>
        <v/>
      </c>
      <c r="Q2839" s="33" t="str">
        <f t="shared" si="314"/>
        <v/>
      </c>
    </row>
    <row r="2840" spans="2:17" ht="18" customHeight="1" x14ac:dyDescent="0.3">
      <c r="B2840" s="26"/>
      <c r="C2840" s="17"/>
      <c r="D2840" s="27"/>
      <c r="E2840" s="18"/>
      <c r="F2840" s="18"/>
      <c r="G2840" s="18"/>
      <c r="H2840" s="30" t="str">
        <f t="shared" si="308"/>
        <v/>
      </c>
      <c r="I2840" s="31" t="str">
        <f>IF(OR(B2840="",C2840=""),"",IFERROR(E2840*IF(E2840="",0,VLOOKUP(C2840,'📦 Precios Proforma'!$B$5:$D$104,IF(D2840="DIA",2,3),FALSE)),0))</f>
        <v/>
      </c>
      <c r="J2840" s="31" t="str">
        <f t="shared" si="309"/>
        <v/>
      </c>
      <c r="K2840" s="31" t="str">
        <f t="shared" si="310"/>
        <v/>
      </c>
      <c r="L2840" s="31" t="str">
        <f>IF(OR(B2840="",C2840=""),"",IFERROR(E2840 / SUMIFS('📅 Resumen Diario'!$D$5:$D$504, '📅 Resumen Diario'!$B$5:$B$504, B2840, '📅 Resumen Diario'!$C$5:$C$504, D2840) * SUMIFS('📅 Resumen Diario'!$K$5:$K$504, '📅 Resumen Diario'!$B$5:$B$504, B2840, '📅 Resumen Diario'!$C$5:$C$504, D2840), 0))</f>
        <v/>
      </c>
      <c r="M2840" s="31" t="str">
        <f t="shared" si="311"/>
        <v/>
      </c>
      <c r="N2840" s="31" t="str">
        <f t="shared" si="312"/>
        <v/>
      </c>
      <c r="O2840" s="31" t="str">
        <f>IF(OR(B2840="",C2840=""),"",K2840-N2840 + IFERROR(E2840 / SUMIFS('📅 Resumen Diario'!$D$5:$D$504, '📅 Resumen Diario'!$B$5:$B$504, B2840, '📅 Resumen Diario'!$C$5:$C$504, D2840) * (SUMIFS('📋 Detalle Diario'!$E$5:$E$489, '📋 Detalle Diario'!$B$5:$B$489, B2840, '📋 Detalle Diario'!$C$5:$C$489, D2840) * 135 + SUMIFS('📋 Detalle Diario'!$I$5:$I$489, '📋 Detalle Diario'!$B$5:$B$489, B2840, '📋 Detalle Diario'!$C$5:$C$489, D2840) * 200), 0))</f>
        <v/>
      </c>
      <c r="P2840" s="32" t="str">
        <f t="shared" si="313"/>
        <v/>
      </c>
      <c r="Q2840" s="33" t="str">
        <f t="shared" si="314"/>
        <v/>
      </c>
    </row>
    <row r="2841" spans="2:17" ht="18" customHeight="1" x14ac:dyDescent="0.3">
      <c r="B2841" s="26"/>
      <c r="C2841" s="28"/>
      <c r="D2841" s="27"/>
      <c r="E2841" s="29"/>
      <c r="F2841" s="29"/>
      <c r="G2841" s="29"/>
      <c r="H2841" s="30" t="str">
        <f t="shared" si="308"/>
        <v/>
      </c>
      <c r="I2841" s="31" t="str">
        <f>IF(OR(B2841="",C2841=""),"",IFERROR(E2841*IF(E2841="",0,VLOOKUP(C2841,'📦 Precios Proforma'!$B$5:$D$104,IF(D2841="DIA",2,3),FALSE)),0))</f>
        <v/>
      </c>
      <c r="J2841" s="31" t="str">
        <f t="shared" si="309"/>
        <v/>
      </c>
      <c r="K2841" s="31" t="str">
        <f t="shared" si="310"/>
        <v/>
      </c>
      <c r="L2841" s="31" t="str">
        <f>IF(OR(B2841="",C2841=""),"",IFERROR(E2841 / SUMIFS('📅 Resumen Diario'!$D$5:$D$504, '📅 Resumen Diario'!$B$5:$B$504, B2841, '📅 Resumen Diario'!$C$5:$C$504, D2841) * SUMIFS('📅 Resumen Diario'!$K$5:$K$504, '📅 Resumen Diario'!$B$5:$B$504, B2841, '📅 Resumen Diario'!$C$5:$C$504, D2841), 0))</f>
        <v/>
      </c>
      <c r="M2841" s="31" t="str">
        <f t="shared" si="311"/>
        <v/>
      </c>
      <c r="N2841" s="31" t="str">
        <f t="shared" si="312"/>
        <v/>
      </c>
      <c r="O2841" s="31" t="str">
        <f>IF(OR(B2841="",C2841=""),"",K2841-N2841 + IFERROR(E2841 / SUMIFS('📅 Resumen Diario'!$D$5:$D$504, '📅 Resumen Diario'!$B$5:$B$504, B2841, '📅 Resumen Diario'!$C$5:$C$504, D2841) * (SUMIFS('📋 Detalle Diario'!$E$5:$E$489, '📋 Detalle Diario'!$B$5:$B$489, B2841, '📋 Detalle Diario'!$C$5:$C$489, D2841) * 135 + SUMIFS('📋 Detalle Diario'!$I$5:$I$489, '📋 Detalle Diario'!$B$5:$B$489, B2841, '📋 Detalle Diario'!$C$5:$C$489, D2841) * 200), 0))</f>
        <v/>
      </c>
      <c r="P2841" s="32" t="str">
        <f t="shared" si="313"/>
        <v/>
      </c>
      <c r="Q2841" s="33" t="str">
        <f t="shared" si="314"/>
        <v/>
      </c>
    </row>
    <row r="2842" spans="2:17" ht="18" customHeight="1" x14ac:dyDescent="0.3">
      <c r="B2842" s="26"/>
      <c r="C2842" s="17"/>
      <c r="D2842" s="27"/>
      <c r="E2842" s="18"/>
      <c r="F2842" s="18"/>
      <c r="G2842" s="18"/>
      <c r="H2842" s="30" t="str">
        <f t="shared" si="308"/>
        <v/>
      </c>
      <c r="I2842" s="31" t="str">
        <f>IF(OR(B2842="",C2842=""),"",IFERROR(E2842*IF(E2842="",0,VLOOKUP(C2842,'📦 Precios Proforma'!$B$5:$D$104,IF(D2842="DIA",2,3),FALSE)),0))</f>
        <v/>
      </c>
      <c r="J2842" s="31" t="str">
        <f t="shared" si="309"/>
        <v/>
      </c>
      <c r="K2842" s="31" t="str">
        <f t="shared" si="310"/>
        <v/>
      </c>
      <c r="L2842" s="31" t="str">
        <f>IF(OR(B2842="",C2842=""),"",IFERROR(E2842 / SUMIFS('📅 Resumen Diario'!$D$5:$D$504, '📅 Resumen Diario'!$B$5:$B$504, B2842, '📅 Resumen Diario'!$C$5:$C$504, D2842) * SUMIFS('📅 Resumen Diario'!$K$5:$K$504, '📅 Resumen Diario'!$B$5:$B$504, B2842, '📅 Resumen Diario'!$C$5:$C$504, D2842), 0))</f>
        <v/>
      </c>
      <c r="M2842" s="31" t="str">
        <f t="shared" si="311"/>
        <v/>
      </c>
      <c r="N2842" s="31" t="str">
        <f t="shared" si="312"/>
        <v/>
      </c>
      <c r="O2842" s="31" t="str">
        <f>IF(OR(B2842="",C2842=""),"",K2842-N2842 + IFERROR(E2842 / SUMIFS('📅 Resumen Diario'!$D$5:$D$504, '📅 Resumen Diario'!$B$5:$B$504, B2842, '📅 Resumen Diario'!$C$5:$C$504, D2842) * (SUMIFS('📋 Detalle Diario'!$E$5:$E$489, '📋 Detalle Diario'!$B$5:$B$489, B2842, '📋 Detalle Diario'!$C$5:$C$489, D2842) * 135 + SUMIFS('📋 Detalle Diario'!$I$5:$I$489, '📋 Detalle Diario'!$B$5:$B$489, B2842, '📋 Detalle Diario'!$C$5:$C$489, D2842) * 200), 0))</f>
        <v/>
      </c>
      <c r="P2842" s="32" t="str">
        <f t="shared" si="313"/>
        <v/>
      </c>
      <c r="Q2842" s="33" t="str">
        <f t="shared" si="314"/>
        <v/>
      </c>
    </row>
    <row r="2843" spans="2:17" ht="18" customHeight="1" x14ac:dyDescent="0.3">
      <c r="B2843" s="26"/>
      <c r="C2843" s="28"/>
      <c r="D2843" s="27"/>
      <c r="E2843" s="29"/>
      <c r="F2843" s="29"/>
      <c r="G2843" s="29"/>
      <c r="H2843" s="30" t="str">
        <f t="shared" si="308"/>
        <v/>
      </c>
      <c r="I2843" s="31" t="str">
        <f>IF(OR(B2843="",C2843=""),"",IFERROR(E2843*IF(E2843="",0,VLOOKUP(C2843,'📦 Precios Proforma'!$B$5:$D$104,IF(D2843="DIA",2,3),FALSE)),0))</f>
        <v/>
      </c>
      <c r="J2843" s="31" t="str">
        <f t="shared" si="309"/>
        <v/>
      </c>
      <c r="K2843" s="31" t="str">
        <f t="shared" si="310"/>
        <v/>
      </c>
      <c r="L2843" s="31" t="str">
        <f>IF(OR(B2843="",C2843=""),"",IFERROR(E2843 / SUMIFS('📅 Resumen Diario'!$D$5:$D$504, '📅 Resumen Diario'!$B$5:$B$504, B2843, '📅 Resumen Diario'!$C$5:$C$504, D2843) * SUMIFS('📅 Resumen Diario'!$K$5:$K$504, '📅 Resumen Diario'!$B$5:$B$504, B2843, '📅 Resumen Diario'!$C$5:$C$504, D2843), 0))</f>
        <v/>
      </c>
      <c r="M2843" s="31" t="str">
        <f t="shared" si="311"/>
        <v/>
      </c>
      <c r="N2843" s="31" t="str">
        <f t="shared" si="312"/>
        <v/>
      </c>
      <c r="O2843" s="31" t="str">
        <f>IF(OR(B2843="",C2843=""),"",K2843-N2843 + IFERROR(E2843 / SUMIFS('📅 Resumen Diario'!$D$5:$D$504, '📅 Resumen Diario'!$B$5:$B$504, B2843, '📅 Resumen Diario'!$C$5:$C$504, D2843) * (SUMIFS('📋 Detalle Diario'!$E$5:$E$489, '📋 Detalle Diario'!$B$5:$B$489, B2843, '📋 Detalle Diario'!$C$5:$C$489, D2843) * 135 + SUMIFS('📋 Detalle Diario'!$I$5:$I$489, '📋 Detalle Diario'!$B$5:$B$489, B2843, '📋 Detalle Diario'!$C$5:$C$489, D2843) * 200), 0))</f>
        <v/>
      </c>
      <c r="P2843" s="32" t="str">
        <f t="shared" si="313"/>
        <v/>
      </c>
      <c r="Q2843" s="33" t="str">
        <f t="shared" si="314"/>
        <v/>
      </c>
    </row>
    <row r="2844" spans="2:17" ht="18" customHeight="1" x14ac:dyDescent="0.3">
      <c r="B2844" s="26"/>
      <c r="C2844" s="17"/>
      <c r="D2844" s="27"/>
      <c r="E2844" s="18"/>
      <c r="F2844" s="18"/>
      <c r="G2844" s="18"/>
      <c r="H2844" s="30" t="str">
        <f t="shared" si="308"/>
        <v/>
      </c>
      <c r="I2844" s="31" t="str">
        <f>IF(OR(B2844="",C2844=""),"",IFERROR(E2844*IF(E2844="",0,VLOOKUP(C2844,'📦 Precios Proforma'!$B$5:$D$104,IF(D2844="DIA",2,3),FALSE)),0))</f>
        <v/>
      </c>
      <c r="J2844" s="31" t="str">
        <f t="shared" si="309"/>
        <v/>
      </c>
      <c r="K2844" s="31" t="str">
        <f t="shared" si="310"/>
        <v/>
      </c>
      <c r="L2844" s="31" t="str">
        <f>IF(OR(B2844="",C2844=""),"",IFERROR(E2844 / SUMIFS('📅 Resumen Diario'!$D$5:$D$504, '📅 Resumen Diario'!$B$5:$B$504, B2844, '📅 Resumen Diario'!$C$5:$C$504, D2844) * SUMIFS('📅 Resumen Diario'!$K$5:$K$504, '📅 Resumen Diario'!$B$5:$B$504, B2844, '📅 Resumen Diario'!$C$5:$C$504, D2844), 0))</f>
        <v/>
      </c>
      <c r="M2844" s="31" t="str">
        <f t="shared" si="311"/>
        <v/>
      </c>
      <c r="N2844" s="31" t="str">
        <f t="shared" si="312"/>
        <v/>
      </c>
      <c r="O2844" s="31" t="str">
        <f>IF(OR(B2844="",C2844=""),"",K2844-N2844 + IFERROR(E2844 / SUMIFS('📅 Resumen Diario'!$D$5:$D$504, '📅 Resumen Diario'!$B$5:$B$504, B2844, '📅 Resumen Diario'!$C$5:$C$504, D2844) * (SUMIFS('📋 Detalle Diario'!$E$5:$E$489, '📋 Detalle Diario'!$B$5:$B$489, B2844, '📋 Detalle Diario'!$C$5:$C$489, D2844) * 135 + SUMIFS('📋 Detalle Diario'!$I$5:$I$489, '📋 Detalle Diario'!$B$5:$B$489, B2844, '📋 Detalle Diario'!$C$5:$C$489, D2844) * 200), 0))</f>
        <v/>
      </c>
      <c r="P2844" s="32" t="str">
        <f t="shared" si="313"/>
        <v/>
      </c>
      <c r="Q2844" s="33" t="str">
        <f t="shared" si="314"/>
        <v/>
      </c>
    </row>
    <row r="2845" spans="2:17" ht="18" customHeight="1" x14ac:dyDescent="0.3">
      <c r="B2845" s="26"/>
      <c r="C2845" s="28"/>
      <c r="D2845" s="27"/>
      <c r="E2845" s="29"/>
      <c r="F2845" s="29"/>
      <c r="G2845" s="29"/>
      <c r="H2845" s="30" t="str">
        <f t="shared" si="308"/>
        <v/>
      </c>
      <c r="I2845" s="31" t="str">
        <f>IF(OR(B2845="",C2845=""),"",IFERROR(E2845*IF(E2845="",0,VLOOKUP(C2845,'📦 Precios Proforma'!$B$5:$D$104,IF(D2845="DIA",2,3),FALSE)),0))</f>
        <v/>
      </c>
      <c r="J2845" s="31" t="str">
        <f t="shared" si="309"/>
        <v/>
      </c>
      <c r="K2845" s="31" t="str">
        <f t="shared" si="310"/>
        <v/>
      </c>
      <c r="L2845" s="31" t="str">
        <f>IF(OR(B2845="",C2845=""),"",IFERROR(E2845 / SUMIFS('📅 Resumen Diario'!$D$5:$D$504, '📅 Resumen Diario'!$B$5:$B$504, B2845, '📅 Resumen Diario'!$C$5:$C$504, D2845) * SUMIFS('📅 Resumen Diario'!$K$5:$K$504, '📅 Resumen Diario'!$B$5:$B$504, B2845, '📅 Resumen Diario'!$C$5:$C$504, D2845), 0))</f>
        <v/>
      </c>
      <c r="M2845" s="31" t="str">
        <f t="shared" si="311"/>
        <v/>
      </c>
      <c r="N2845" s="31" t="str">
        <f t="shared" si="312"/>
        <v/>
      </c>
      <c r="O2845" s="31" t="str">
        <f>IF(OR(B2845="",C2845=""),"",K2845-N2845 + IFERROR(E2845 / SUMIFS('📅 Resumen Diario'!$D$5:$D$504, '📅 Resumen Diario'!$B$5:$B$504, B2845, '📅 Resumen Diario'!$C$5:$C$504, D2845) * (SUMIFS('📋 Detalle Diario'!$E$5:$E$489, '📋 Detalle Diario'!$B$5:$B$489, B2845, '📋 Detalle Diario'!$C$5:$C$489, D2845) * 135 + SUMIFS('📋 Detalle Diario'!$I$5:$I$489, '📋 Detalle Diario'!$B$5:$B$489, B2845, '📋 Detalle Diario'!$C$5:$C$489, D2845) * 200), 0))</f>
        <v/>
      </c>
      <c r="P2845" s="32" t="str">
        <f t="shared" si="313"/>
        <v/>
      </c>
      <c r="Q2845" s="33" t="str">
        <f t="shared" si="314"/>
        <v/>
      </c>
    </row>
    <row r="2846" spans="2:17" ht="18" customHeight="1" x14ac:dyDescent="0.3">
      <c r="B2846" s="26"/>
      <c r="C2846" s="17"/>
      <c r="D2846" s="27"/>
      <c r="E2846" s="18"/>
      <c r="F2846" s="18"/>
      <c r="G2846" s="18"/>
      <c r="H2846" s="30" t="str">
        <f t="shared" si="308"/>
        <v/>
      </c>
      <c r="I2846" s="31" t="str">
        <f>IF(OR(B2846="",C2846=""),"",IFERROR(E2846*IF(E2846="",0,VLOOKUP(C2846,'📦 Precios Proforma'!$B$5:$D$104,IF(D2846="DIA",2,3),FALSE)),0))</f>
        <v/>
      </c>
      <c r="J2846" s="31" t="str">
        <f t="shared" si="309"/>
        <v/>
      </c>
      <c r="K2846" s="31" t="str">
        <f t="shared" si="310"/>
        <v/>
      </c>
      <c r="L2846" s="31" t="str">
        <f>IF(OR(B2846="",C2846=""),"",IFERROR(E2846 / SUMIFS('📅 Resumen Diario'!$D$5:$D$504, '📅 Resumen Diario'!$B$5:$B$504, B2846, '📅 Resumen Diario'!$C$5:$C$504, D2846) * SUMIFS('📅 Resumen Diario'!$K$5:$K$504, '📅 Resumen Diario'!$B$5:$B$504, B2846, '📅 Resumen Diario'!$C$5:$C$504, D2846), 0))</f>
        <v/>
      </c>
      <c r="M2846" s="31" t="str">
        <f t="shared" si="311"/>
        <v/>
      </c>
      <c r="N2846" s="31" t="str">
        <f t="shared" si="312"/>
        <v/>
      </c>
      <c r="O2846" s="31" t="str">
        <f>IF(OR(B2846="",C2846=""),"",K2846-N2846 + IFERROR(E2846 / SUMIFS('📅 Resumen Diario'!$D$5:$D$504, '📅 Resumen Diario'!$B$5:$B$504, B2846, '📅 Resumen Diario'!$C$5:$C$504, D2846) * (SUMIFS('📋 Detalle Diario'!$E$5:$E$489, '📋 Detalle Diario'!$B$5:$B$489, B2846, '📋 Detalle Diario'!$C$5:$C$489, D2846) * 135 + SUMIFS('📋 Detalle Diario'!$I$5:$I$489, '📋 Detalle Diario'!$B$5:$B$489, B2846, '📋 Detalle Diario'!$C$5:$C$489, D2846) * 200), 0))</f>
        <v/>
      </c>
      <c r="P2846" s="32" t="str">
        <f t="shared" si="313"/>
        <v/>
      </c>
      <c r="Q2846" s="33" t="str">
        <f t="shared" si="314"/>
        <v/>
      </c>
    </row>
    <row r="2847" spans="2:17" ht="18" customHeight="1" x14ac:dyDescent="0.3">
      <c r="B2847" s="26"/>
      <c r="C2847" s="28"/>
      <c r="D2847" s="27"/>
      <c r="E2847" s="29"/>
      <c r="F2847" s="29"/>
      <c r="G2847" s="29"/>
      <c r="H2847" s="30" t="str">
        <f t="shared" si="308"/>
        <v/>
      </c>
      <c r="I2847" s="31" t="str">
        <f>IF(OR(B2847="",C2847=""),"",IFERROR(E2847*IF(E2847="",0,VLOOKUP(C2847,'📦 Precios Proforma'!$B$5:$D$104,IF(D2847="DIA",2,3),FALSE)),0))</f>
        <v/>
      </c>
      <c r="J2847" s="31" t="str">
        <f t="shared" si="309"/>
        <v/>
      </c>
      <c r="K2847" s="31" t="str">
        <f t="shared" si="310"/>
        <v/>
      </c>
      <c r="L2847" s="31" t="str">
        <f>IF(OR(B2847="",C2847=""),"",IFERROR(E2847 / SUMIFS('📅 Resumen Diario'!$D$5:$D$504, '📅 Resumen Diario'!$B$5:$B$504, B2847, '📅 Resumen Diario'!$C$5:$C$504, D2847) * SUMIFS('📅 Resumen Diario'!$K$5:$K$504, '📅 Resumen Diario'!$B$5:$B$504, B2847, '📅 Resumen Diario'!$C$5:$C$504, D2847), 0))</f>
        <v/>
      </c>
      <c r="M2847" s="31" t="str">
        <f t="shared" si="311"/>
        <v/>
      </c>
      <c r="N2847" s="31" t="str">
        <f t="shared" si="312"/>
        <v/>
      </c>
      <c r="O2847" s="31" t="str">
        <f>IF(OR(B2847="",C2847=""),"",K2847-N2847 + IFERROR(E2847 / SUMIFS('📅 Resumen Diario'!$D$5:$D$504, '📅 Resumen Diario'!$B$5:$B$504, B2847, '📅 Resumen Diario'!$C$5:$C$504, D2847) * (SUMIFS('📋 Detalle Diario'!$E$5:$E$489, '📋 Detalle Diario'!$B$5:$B$489, B2847, '📋 Detalle Diario'!$C$5:$C$489, D2847) * 135 + SUMIFS('📋 Detalle Diario'!$I$5:$I$489, '📋 Detalle Diario'!$B$5:$B$489, B2847, '📋 Detalle Diario'!$C$5:$C$489, D2847) * 200), 0))</f>
        <v/>
      </c>
      <c r="P2847" s="32" t="str">
        <f t="shared" si="313"/>
        <v/>
      </c>
      <c r="Q2847" s="33" t="str">
        <f t="shared" si="314"/>
        <v/>
      </c>
    </row>
    <row r="2848" spans="2:17" ht="18" customHeight="1" x14ac:dyDescent="0.3">
      <c r="B2848" s="26"/>
      <c r="C2848" s="17"/>
      <c r="D2848" s="27"/>
      <c r="E2848" s="18"/>
      <c r="F2848" s="18"/>
      <c r="G2848" s="18"/>
      <c r="H2848" s="30" t="str">
        <f t="shared" si="308"/>
        <v/>
      </c>
      <c r="I2848" s="31" t="str">
        <f>IF(OR(B2848="",C2848=""),"",IFERROR(E2848*IF(E2848="",0,VLOOKUP(C2848,'📦 Precios Proforma'!$B$5:$D$104,IF(D2848="DIA",2,3),FALSE)),0))</f>
        <v/>
      </c>
      <c r="J2848" s="31" t="str">
        <f t="shared" si="309"/>
        <v/>
      </c>
      <c r="K2848" s="31" t="str">
        <f t="shared" si="310"/>
        <v/>
      </c>
      <c r="L2848" s="31" t="str">
        <f>IF(OR(B2848="",C2848=""),"",IFERROR(E2848 / SUMIFS('📅 Resumen Diario'!$D$5:$D$504, '📅 Resumen Diario'!$B$5:$B$504, B2848, '📅 Resumen Diario'!$C$5:$C$504, D2848) * SUMIFS('📅 Resumen Diario'!$K$5:$K$504, '📅 Resumen Diario'!$B$5:$B$504, B2848, '📅 Resumen Diario'!$C$5:$C$504, D2848), 0))</f>
        <v/>
      </c>
      <c r="M2848" s="31" t="str">
        <f t="shared" si="311"/>
        <v/>
      </c>
      <c r="N2848" s="31" t="str">
        <f t="shared" si="312"/>
        <v/>
      </c>
      <c r="O2848" s="31" t="str">
        <f>IF(OR(B2848="",C2848=""),"",K2848-N2848 + IFERROR(E2848 / SUMIFS('📅 Resumen Diario'!$D$5:$D$504, '📅 Resumen Diario'!$B$5:$B$504, B2848, '📅 Resumen Diario'!$C$5:$C$504, D2848) * (SUMIFS('📋 Detalle Diario'!$E$5:$E$489, '📋 Detalle Diario'!$B$5:$B$489, B2848, '📋 Detalle Diario'!$C$5:$C$489, D2848) * 135 + SUMIFS('📋 Detalle Diario'!$I$5:$I$489, '📋 Detalle Diario'!$B$5:$B$489, B2848, '📋 Detalle Diario'!$C$5:$C$489, D2848) * 200), 0))</f>
        <v/>
      </c>
      <c r="P2848" s="32" t="str">
        <f t="shared" si="313"/>
        <v/>
      </c>
      <c r="Q2848" s="33" t="str">
        <f t="shared" si="314"/>
        <v/>
      </c>
    </row>
    <row r="2849" spans="2:17" ht="18" customHeight="1" x14ac:dyDescent="0.3">
      <c r="B2849" s="26"/>
      <c r="C2849" s="28"/>
      <c r="D2849" s="27"/>
      <c r="E2849" s="29"/>
      <c r="F2849" s="29"/>
      <c r="G2849" s="29"/>
      <c r="H2849" s="30" t="str">
        <f t="shared" si="308"/>
        <v/>
      </c>
      <c r="I2849" s="31" t="str">
        <f>IF(OR(B2849="",C2849=""),"",IFERROR(E2849*IF(E2849="",0,VLOOKUP(C2849,'📦 Precios Proforma'!$B$5:$D$104,IF(D2849="DIA",2,3),FALSE)),0))</f>
        <v/>
      </c>
      <c r="J2849" s="31" t="str">
        <f t="shared" si="309"/>
        <v/>
      </c>
      <c r="K2849" s="31" t="str">
        <f t="shared" si="310"/>
        <v/>
      </c>
      <c r="L2849" s="31" t="str">
        <f>IF(OR(B2849="",C2849=""),"",IFERROR(E2849 / SUMIFS('📅 Resumen Diario'!$D$5:$D$504, '📅 Resumen Diario'!$B$5:$B$504, B2849, '📅 Resumen Diario'!$C$5:$C$504, D2849) * SUMIFS('📅 Resumen Diario'!$K$5:$K$504, '📅 Resumen Diario'!$B$5:$B$504, B2849, '📅 Resumen Diario'!$C$5:$C$504, D2849), 0))</f>
        <v/>
      </c>
      <c r="M2849" s="31" t="str">
        <f t="shared" si="311"/>
        <v/>
      </c>
      <c r="N2849" s="31" t="str">
        <f t="shared" si="312"/>
        <v/>
      </c>
      <c r="O2849" s="31" t="str">
        <f>IF(OR(B2849="",C2849=""),"",K2849-N2849 + IFERROR(E2849 / SUMIFS('📅 Resumen Diario'!$D$5:$D$504, '📅 Resumen Diario'!$B$5:$B$504, B2849, '📅 Resumen Diario'!$C$5:$C$504, D2849) * (SUMIFS('📋 Detalle Diario'!$E$5:$E$489, '📋 Detalle Diario'!$B$5:$B$489, B2849, '📋 Detalle Diario'!$C$5:$C$489, D2849) * 135 + SUMIFS('📋 Detalle Diario'!$I$5:$I$489, '📋 Detalle Diario'!$B$5:$B$489, B2849, '📋 Detalle Diario'!$C$5:$C$489, D2849) * 200), 0))</f>
        <v/>
      </c>
      <c r="P2849" s="32" t="str">
        <f t="shared" si="313"/>
        <v/>
      </c>
      <c r="Q2849" s="33" t="str">
        <f t="shared" si="314"/>
        <v/>
      </c>
    </row>
    <row r="2850" spans="2:17" ht="18" customHeight="1" x14ac:dyDescent="0.3">
      <c r="B2850" s="26"/>
      <c r="C2850" s="17"/>
      <c r="D2850" s="27"/>
      <c r="E2850" s="18"/>
      <c r="F2850" s="18"/>
      <c r="G2850" s="18"/>
      <c r="H2850" s="30" t="str">
        <f t="shared" si="308"/>
        <v/>
      </c>
      <c r="I2850" s="31" t="str">
        <f>IF(OR(B2850="",C2850=""),"",IFERROR(E2850*IF(E2850="",0,VLOOKUP(C2850,'📦 Precios Proforma'!$B$5:$D$104,IF(D2850="DIA",2,3),FALSE)),0))</f>
        <v/>
      </c>
      <c r="J2850" s="31" t="str">
        <f t="shared" si="309"/>
        <v/>
      </c>
      <c r="K2850" s="31" t="str">
        <f t="shared" si="310"/>
        <v/>
      </c>
      <c r="L2850" s="31" t="str">
        <f>IF(OR(B2850="",C2850=""),"",IFERROR(E2850 / SUMIFS('📅 Resumen Diario'!$D$5:$D$504, '📅 Resumen Diario'!$B$5:$B$504, B2850, '📅 Resumen Diario'!$C$5:$C$504, D2850) * SUMIFS('📅 Resumen Diario'!$K$5:$K$504, '📅 Resumen Diario'!$B$5:$B$504, B2850, '📅 Resumen Diario'!$C$5:$C$504, D2850), 0))</f>
        <v/>
      </c>
      <c r="M2850" s="31" t="str">
        <f t="shared" si="311"/>
        <v/>
      </c>
      <c r="N2850" s="31" t="str">
        <f t="shared" si="312"/>
        <v/>
      </c>
      <c r="O2850" s="31" t="str">
        <f>IF(OR(B2850="",C2850=""),"",K2850-N2850 + IFERROR(E2850 / SUMIFS('📅 Resumen Diario'!$D$5:$D$504, '📅 Resumen Diario'!$B$5:$B$504, B2850, '📅 Resumen Diario'!$C$5:$C$504, D2850) * (SUMIFS('📋 Detalle Diario'!$E$5:$E$489, '📋 Detalle Diario'!$B$5:$B$489, B2850, '📋 Detalle Diario'!$C$5:$C$489, D2850) * 135 + SUMIFS('📋 Detalle Diario'!$I$5:$I$489, '📋 Detalle Diario'!$B$5:$B$489, B2850, '📋 Detalle Diario'!$C$5:$C$489, D2850) * 200), 0))</f>
        <v/>
      </c>
      <c r="P2850" s="32" t="str">
        <f t="shared" si="313"/>
        <v/>
      </c>
      <c r="Q2850" s="33" t="str">
        <f t="shared" si="314"/>
        <v/>
      </c>
    </row>
    <row r="2851" spans="2:17" ht="18" customHeight="1" x14ac:dyDescent="0.3">
      <c r="B2851" s="26"/>
      <c r="C2851" s="28"/>
      <c r="D2851" s="27"/>
      <c r="E2851" s="29"/>
      <c r="F2851" s="29"/>
      <c r="G2851" s="29"/>
      <c r="H2851" s="30" t="str">
        <f t="shared" si="308"/>
        <v/>
      </c>
      <c r="I2851" s="31" t="str">
        <f>IF(OR(B2851="",C2851=""),"",IFERROR(E2851*IF(E2851="",0,VLOOKUP(C2851,'📦 Precios Proforma'!$B$5:$D$104,IF(D2851="DIA",2,3),FALSE)),0))</f>
        <v/>
      </c>
      <c r="J2851" s="31" t="str">
        <f t="shared" si="309"/>
        <v/>
      </c>
      <c r="K2851" s="31" t="str">
        <f t="shared" si="310"/>
        <v/>
      </c>
      <c r="L2851" s="31" t="str">
        <f>IF(OR(B2851="",C2851=""),"",IFERROR(E2851 / SUMIFS('📅 Resumen Diario'!$D$5:$D$504, '📅 Resumen Diario'!$B$5:$B$504, B2851, '📅 Resumen Diario'!$C$5:$C$504, D2851) * SUMIFS('📅 Resumen Diario'!$K$5:$K$504, '📅 Resumen Diario'!$B$5:$B$504, B2851, '📅 Resumen Diario'!$C$5:$C$504, D2851), 0))</f>
        <v/>
      </c>
      <c r="M2851" s="31" t="str">
        <f t="shared" si="311"/>
        <v/>
      </c>
      <c r="N2851" s="31" t="str">
        <f t="shared" si="312"/>
        <v/>
      </c>
      <c r="O2851" s="31" t="str">
        <f>IF(OR(B2851="",C2851=""),"",K2851-N2851 + IFERROR(E2851 / SUMIFS('📅 Resumen Diario'!$D$5:$D$504, '📅 Resumen Diario'!$B$5:$B$504, B2851, '📅 Resumen Diario'!$C$5:$C$504, D2851) * (SUMIFS('📋 Detalle Diario'!$E$5:$E$489, '📋 Detalle Diario'!$B$5:$B$489, B2851, '📋 Detalle Diario'!$C$5:$C$489, D2851) * 135 + SUMIFS('📋 Detalle Diario'!$I$5:$I$489, '📋 Detalle Diario'!$B$5:$B$489, B2851, '📋 Detalle Diario'!$C$5:$C$489, D2851) * 200), 0))</f>
        <v/>
      </c>
      <c r="P2851" s="32" t="str">
        <f t="shared" si="313"/>
        <v/>
      </c>
      <c r="Q2851" s="33" t="str">
        <f t="shared" si="314"/>
        <v/>
      </c>
    </row>
    <row r="2852" spans="2:17" ht="18" customHeight="1" x14ac:dyDescent="0.3">
      <c r="B2852" s="26"/>
      <c r="C2852" s="17"/>
      <c r="D2852" s="27"/>
      <c r="E2852" s="18"/>
      <c r="F2852" s="18"/>
      <c r="G2852" s="18"/>
      <c r="H2852" s="30" t="str">
        <f t="shared" si="308"/>
        <v/>
      </c>
      <c r="I2852" s="31" t="str">
        <f>IF(OR(B2852="",C2852=""),"",IFERROR(E2852*IF(E2852="",0,VLOOKUP(C2852,'📦 Precios Proforma'!$B$5:$D$104,IF(D2852="DIA",2,3),FALSE)),0))</f>
        <v/>
      </c>
      <c r="J2852" s="31" t="str">
        <f t="shared" si="309"/>
        <v/>
      </c>
      <c r="K2852" s="31" t="str">
        <f t="shared" si="310"/>
        <v/>
      </c>
      <c r="L2852" s="31" t="str">
        <f>IF(OR(B2852="",C2852=""),"",IFERROR(E2852 / SUMIFS('📅 Resumen Diario'!$D$5:$D$504, '📅 Resumen Diario'!$B$5:$B$504, B2852, '📅 Resumen Diario'!$C$5:$C$504, D2852) * SUMIFS('📅 Resumen Diario'!$K$5:$K$504, '📅 Resumen Diario'!$B$5:$B$504, B2852, '📅 Resumen Diario'!$C$5:$C$504, D2852), 0))</f>
        <v/>
      </c>
      <c r="M2852" s="31" t="str">
        <f t="shared" si="311"/>
        <v/>
      </c>
      <c r="N2852" s="31" t="str">
        <f t="shared" si="312"/>
        <v/>
      </c>
      <c r="O2852" s="31" t="str">
        <f>IF(OR(B2852="",C2852=""),"",K2852-N2852 + IFERROR(E2852 / SUMIFS('📅 Resumen Diario'!$D$5:$D$504, '📅 Resumen Diario'!$B$5:$B$504, B2852, '📅 Resumen Diario'!$C$5:$C$504, D2852) * (SUMIFS('📋 Detalle Diario'!$E$5:$E$489, '📋 Detalle Diario'!$B$5:$B$489, B2852, '📋 Detalle Diario'!$C$5:$C$489, D2852) * 135 + SUMIFS('📋 Detalle Diario'!$I$5:$I$489, '📋 Detalle Diario'!$B$5:$B$489, B2852, '📋 Detalle Diario'!$C$5:$C$489, D2852) * 200), 0))</f>
        <v/>
      </c>
      <c r="P2852" s="32" t="str">
        <f t="shared" si="313"/>
        <v/>
      </c>
      <c r="Q2852" s="33" t="str">
        <f t="shared" si="314"/>
        <v/>
      </c>
    </row>
    <row r="2853" spans="2:17" ht="18" customHeight="1" x14ac:dyDescent="0.3">
      <c r="B2853" s="26"/>
      <c r="C2853" s="28"/>
      <c r="D2853" s="27"/>
      <c r="E2853" s="29"/>
      <c r="F2853" s="29"/>
      <c r="G2853" s="29"/>
      <c r="H2853" s="30" t="str">
        <f t="shared" si="308"/>
        <v/>
      </c>
      <c r="I2853" s="31" t="str">
        <f>IF(OR(B2853="",C2853=""),"",IFERROR(E2853*IF(E2853="",0,VLOOKUP(C2853,'📦 Precios Proforma'!$B$5:$D$104,IF(D2853="DIA",2,3),FALSE)),0))</f>
        <v/>
      </c>
      <c r="J2853" s="31" t="str">
        <f t="shared" si="309"/>
        <v/>
      </c>
      <c r="K2853" s="31" t="str">
        <f t="shared" si="310"/>
        <v/>
      </c>
      <c r="L2853" s="31" t="str">
        <f>IF(OR(B2853="",C2853=""),"",IFERROR(E2853 / SUMIFS('📅 Resumen Diario'!$D$5:$D$504, '📅 Resumen Diario'!$B$5:$B$504, B2853, '📅 Resumen Diario'!$C$5:$C$504, D2853) * SUMIFS('📅 Resumen Diario'!$K$5:$K$504, '📅 Resumen Diario'!$B$5:$B$504, B2853, '📅 Resumen Diario'!$C$5:$C$504, D2853), 0))</f>
        <v/>
      </c>
      <c r="M2853" s="31" t="str">
        <f t="shared" si="311"/>
        <v/>
      </c>
      <c r="N2853" s="31" t="str">
        <f t="shared" si="312"/>
        <v/>
      </c>
      <c r="O2853" s="31" t="str">
        <f>IF(OR(B2853="",C2853=""),"",K2853-N2853 + IFERROR(E2853 / SUMIFS('📅 Resumen Diario'!$D$5:$D$504, '📅 Resumen Diario'!$B$5:$B$504, B2853, '📅 Resumen Diario'!$C$5:$C$504, D2853) * (SUMIFS('📋 Detalle Diario'!$E$5:$E$489, '📋 Detalle Diario'!$B$5:$B$489, B2853, '📋 Detalle Diario'!$C$5:$C$489, D2853) * 135 + SUMIFS('📋 Detalle Diario'!$I$5:$I$489, '📋 Detalle Diario'!$B$5:$B$489, B2853, '📋 Detalle Diario'!$C$5:$C$489, D2853) * 200), 0))</f>
        <v/>
      </c>
      <c r="P2853" s="32" t="str">
        <f t="shared" si="313"/>
        <v/>
      </c>
      <c r="Q2853" s="33" t="str">
        <f t="shared" si="314"/>
        <v/>
      </c>
    </row>
    <row r="2854" spans="2:17" ht="18" customHeight="1" x14ac:dyDescent="0.3">
      <c r="B2854" s="26"/>
      <c r="C2854" s="17"/>
      <c r="D2854" s="27"/>
      <c r="E2854" s="18"/>
      <c r="F2854" s="18"/>
      <c r="G2854" s="18"/>
      <c r="H2854" s="30" t="str">
        <f t="shared" si="308"/>
        <v/>
      </c>
      <c r="I2854" s="31" t="str">
        <f>IF(OR(B2854="",C2854=""),"",IFERROR(E2854*IF(E2854="",0,VLOOKUP(C2854,'📦 Precios Proforma'!$B$5:$D$104,IF(D2854="DIA",2,3),FALSE)),0))</f>
        <v/>
      </c>
      <c r="J2854" s="31" t="str">
        <f t="shared" si="309"/>
        <v/>
      </c>
      <c r="K2854" s="31" t="str">
        <f t="shared" si="310"/>
        <v/>
      </c>
      <c r="L2854" s="31" t="str">
        <f>IF(OR(B2854="",C2854=""),"",IFERROR(E2854 / SUMIFS('📅 Resumen Diario'!$D$5:$D$504, '📅 Resumen Diario'!$B$5:$B$504, B2854, '📅 Resumen Diario'!$C$5:$C$504, D2854) * SUMIFS('📅 Resumen Diario'!$K$5:$K$504, '📅 Resumen Diario'!$B$5:$B$504, B2854, '📅 Resumen Diario'!$C$5:$C$504, D2854), 0))</f>
        <v/>
      </c>
      <c r="M2854" s="31" t="str">
        <f t="shared" si="311"/>
        <v/>
      </c>
      <c r="N2854" s="31" t="str">
        <f t="shared" si="312"/>
        <v/>
      </c>
      <c r="O2854" s="31" t="str">
        <f>IF(OR(B2854="",C2854=""),"",K2854-N2854 + IFERROR(E2854 / SUMIFS('📅 Resumen Diario'!$D$5:$D$504, '📅 Resumen Diario'!$B$5:$B$504, B2854, '📅 Resumen Diario'!$C$5:$C$504, D2854) * (SUMIFS('📋 Detalle Diario'!$E$5:$E$489, '📋 Detalle Diario'!$B$5:$B$489, B2854, '📋 Detalle Diario'!$C$5:$C$489, D2854) * 135 + SUMIFS('📋 Detalle Diario'!$I$5:$I$489, '📋 Detalle Diario'!$B$5:$B$489, B2854, '📋 Detalle Diario'!$C$5:$C$489, D2854) * 200), 0))</f>
        <v/>
      </c>
      <c r="P2854" s="32" t="str">
        <f t="shared" si="313"/>
        <v/>
      </c>
      <c r="Q2854" s="33" t="str">
        <f t="shared" si="314"/>
        <v/>
      </c>
    </row>
    <row r="2855" spans="2:17" ht="18" customHeight="1" x14ac:dyDescent="0.3">
      <c r="B2855" s="26"/>
      <c r="C2855" s="28"/>
      <c r="D2855" s="27"/>
      <c r="E2855" s="29"/>
      <c r="F2855" s="29"/>
      <c r="G2855" s="29"/>
      <c r="H2855" s="30" t="str">
        <f t="shared" si="308"/>
        <v/>
      </c>
      <c r="I2855" s="31" t="str">
        <f>IF(OR(B2855="",C2855=""),"",IFERROR(E2855*IF(E2855="",0,VLOOKUP(C2855,'📦 Precios Proforma'!$B$5:$D$104,IF(D2855="DIA",2,3),FALSE)),0))</f>
        <v/>
      </c>
      <c r="J2855" s="31" t="str">
        <f t="shared" si="309"/>
        <v/>
      </c>
      <c r="K2855" s="31" t="str">
        <f t="shared" si="310"/>
        <v/>
      </c>
      <c r="L2855" s="31" t="str">
        <f>IF(OR(B2855="",C2855=""),"",IFERROR(E2855 / SUMIFS('📅 Resumen Diario'!$D$5:$D$504, '📅 Resumen Diario'!$B$5:$B$504, B2855, '📅 Resumen Diario'!$C$5:$C$504, D2855) * SUMIFS('📅 Resumen Diario'!$K$5:$K$504, '📅 Resumen Diario'!$B$5:$B$504, B2855, '📅 Resumen Diario'!$C$5:$C$504, D2855), 0))</f>
        <v/>
      </c>
      <c r="M2855" s="31" t="str">
        <f t="shared" si="311"/>
        <v/>
      </c>
      <c r="N2855" s="31" t="str">
        <f t="shared" si="312"/>
        <v/>
      </c>
      <c r="O2855" s="31" t="str">
        <f>IF(OR(B2855="",C2855=""),"",K2855-N2855 + IFERROR(E2855 / SUMIFS('📅 Resumen Diario'!$D$5:$D$504, '📅 Resumen Diario'!$B$5:$B$504, B2855, '📅 Resumen Diario'!$C$5:$C$504, D2855) * (SUMIFS('📋 Detalle Diario'!$E$5:$E$489, '📋 Detalle Diario'!$B$5:$B$489, B2855, '📋 Detalle Diario'!$C$5:$C$489, D2855) * 135 + SUMIFS('📋 Detalle Diario'!$I$5:$I$489, '📋 Detalle Diario'!$B$5:$B$489, B2855, '📋 Detalle Diario'!$C$5:$C$489, D2855) * 200), 0))</f>
        <v/>
      </c>
      <c r="P2855" s="32" t="str">
        <f t="shared" si="313"/>
        <v/>
      </c>
      <c r="Q2855" s="33" t="str">
        <f t="shared" si="314"/>
        <v/>
      </c>
    </row>
    <row r="2856" spans="2:17" ht="18" customHeight="1" x14ac:dyDescent="0.3">
      <c r="B2856" s="26"/>
      <c r="C2856" s="17"/>
      <c r="D2856" s="27"/>
      <c r="E2856" s="18"/>
      <c r="F2856" s="18"/>
      <c r="G2856" s="18"/>
      <c r="H2856" s="30" t="str">
        <f t="shared" si="308"/>
        <v/>
      </c>
      <c r="I2856" s="31" t="str">
        <f>IF(OR(B2856="",C2856=""),"",IFERROR(E2856*IF(E2856="",0,VLOOKUP(C2856,'📦 Precios Proforma'!$B$5:$D$104,IF(D2856="DIA",2,3),FALSE)),0))</f>
        <v/>
      </c>
      <c r="J2856" s="31" t="str">
        <f t="shared" si="309"/>
        <v/>
      </c>
      <c r="K2856" s="31" t="str">
        <f t="shared" si="310"/>
        <v/>
      </c>
      <c r="L2856" s="31" t="str">
        <f>IF(OR(B2856="",C2856=""),"",IFERROR(E2856 / SUMIFS('📅 Resumen Diario'!$D$5:$D$504, '📅 Resumen Diario'!$B$5:$B$504, B2856, '📅 Resumen Diario'!$C$5:$C$504, D2856) * SUMIFS('📅 Resumen Diario'!$K$5:$K$504, '📅 Resumen Diario'!$B$5:$B$504, B2856, '📅 Resumen Diario'!$C$5:$C$504, D2856), 0))</f>
        <v/>
      </c>
      <c r="M2856" s="31" t="str">
        <f t="shared" si="311"/>
        <v/>
      </c>
      <c r="N2856" s="31" t="str">
        <f t="shared" si="312"/>
        <v/>
      </c>
      <c r="O2856" s="31" t="str">
        <f>IF(OR(B2856="",C2856=""),"",K2856-N2856 + IFERROR(E2856 / SUMIFS('📅 Resumen Diario'!$D$5:$D$504, '📅 Resumen Diario'!$B$5:$B$504, B2856, '📅 Resumen Diario'!$C$5:$C$504, D2856) * (SUMIFS('📋 Detalle Diario'!$E$5:$E$489, '📋 Detalle Diario'!$B$5:$B$489, B2856, '📋 Detalle Diario'!$C$5:$C$489, D2856) * 135 + SUMIFS('📋 Detalle Diario'!$I$5:$I$489, '📋 Detalle Diario'!$B$5:$B$489, B2856, '📋 Detalle Diario'!$C$5:$C$489, D2856) * 200), 0))</f>
        <v/>
      </c>
      <c r="P2856" s="32" t="str">
        <f t="shared" si="313"/>
        <v/>
      </c>
      <c r="Q2856" s="33" t="str">
        <f t="shared" si="314"/>
        <v/>
      </c>
    </row>
    <row r="2857" spans="2:17" ht="18" customHeight="1" x14ac:dyDescent="0.3">
      <c r="B2857" s="26"/>
      <c r="C2857" s="28"/>
      <c r="D2857" s="27"/>
      <c r="E2857" s="29"/>
      <c r="F2857" s="29"/>
      <c r="G2857" s="29"/>
      <c r="H2857" s="30" t="str">
        <f t="shared" si="308"/>
        <v/>
      </c>
      <c r="I2857" s="31" t="str">
        <f>IF(OR(B2857="",C2857=""),"",IFERROR(E2857*IF(E2857="",0,VLOOKUP(C2857,'📦 Precios Proforma'!$B$5:$D$104,IF(D2857="DIA",2,3),FALSE)),0))</f>
        <v/>
      </c>
      <c r="J2857" s="31" t="str">
        <f t="shared" si="309"/>
        <v/>
      </c>
      <c r="K2857" s="31" t="str">
        <f t="shared" si="310"/>
        <v/>
      </c>
      <c r="L2857" s="31" t="str">
        <f>IF(OR(B2857="",C2857=""),"",IFERROR(E2857 / SUMIFS('📅 Resumen Diario'!$D$5:$D$504, '📅 Resumen Diario'!$B$5:$B$504, B2857, '📅 Resumen Diario'!$C$5:$C$504, D2857) * SUMIFS('📅 Resumen Diario'!$K$5:$K$504, '📅 Resumen Diario'!$B$5:$B$504, B2857, '📅 Resumen Diario'!$C$5:$C$504, D2857), 0))</f>
        <v/>
      </c>
      <c r="M2857" s="31" t="str">
        <f t="shared" si="311"/>
        <v/>
      </c>
      <c r="N2857" s="31" t="str">
        <f t="shared" si="312"/>
        <v/>
      </c>
      <c r="O2857" s="31" t="str">
        <f>IF(OR(B2857="",C2857=""),"",K2857-N2857 + IFERROR(E2857 / SUMIFS('📅 Resumen Diario'!$D$5:$D$504, '📅 Resumen Diario'!$B$5:$B$504, B2857, '📅 Resumen Diario'!$C$5:$C$504, D2857) * (SUMIFS('📋 Detalle Diario'!$E$5:$E$489, '📋 Detalle Diario'!$B$5:$B$489, B2857, '📋 Detalle Diario'!$C$5:$C$489, D2857) * 135 + SUMIFS('📋 Detalle Diario'!$I$5:$I$489, '📋 Detalle Diario'!$B$5:$B$489, B2857, '📋 Detalle Diario'!$C$5:$C$489, D2857) * 200), 0))</f>
        <v/>
      </c>
      <c r="P2857" s="32" t="str">
        <f t="shared" si="313"/>
        <v/>
      </c>
      <c r="Q2857" s="33" t="str">
        <f t="shared" si="314"/>
        <v/>
      </c>
    </row>
    <row r="2858" spans="2:17" ht="18" customHeight="1" x14ac:dyDescent="0.3">
      <c r="B2858" s="26"/>
      <c r="C2858" s="17"/>
      <c r="D2858" s="27"/>
      <c r="E2858" s="18"/>
      <c r="F2858" s="18"/>
      <c r="G2858" s="18"/>
      <c r="H2858" s="30" t="str">
        <f t="shared" si="308"/>
        <v/>
      </c>
      <c r="I2858" s="31" t="str">
        <f>IF(OR(B2858="",C2858=""),"",IFERROR(E2858*IF(E2858="",0,VLOOKUP(C2858,'📦 Precios Proforma'!$B$5:$D$104,IF(D2858="DIA",2,3),FALSE)),0))</f>
        <v/>
      </c>
      <c r="J2858" s="31" t="str">
        <f t="shared" si="309"/>
        <v/>
      </c>
      <c r="K2858" s="31" t="str">
        <f t="shared" si="310"/>
        <v/>
      </c>
      <c r="L2858" s="31" t="str">
        <f>IF(OR(B2858="",C2858=""),"",IFERROR(E2858 / SUMIFS('📅 Resumen Diario'!$D$5:$D$504, '📅 Resumen Diario'!$B$5:$B$504, B2858, '📅 Resumen Diario'!$C$5:$C$504, D2858) * SUMIFS('📅 Resumen Diario'!$K$5:$K$504, '📅 Resumen Diario'!$B$5:$B$504, B2858, '📅 Resumen Diario'!$C$5:$C$504, D2858), 0))</f>
        <v/>
      </c>
      <c r="M2858" s="31" t="str">
        <f t="shared" si="311"/>
        <v/>
      </c>
      <c r="N2858" s="31" t="str">
        <f t="shared" si="312"/>
        <v/>
      </c>
      <c r="O2858" s="31" t="str">
        <f>IF(OR(B2858="",C2858=""),"",K2858-N2858 + IFERROR(E2858 / SUMIFS('📅 Resumen Diario'!$D$5:$D$504, '📅 Resumen Diario'!$B$5:$B$504, B2858, '📅 Resumen Diario'!$C$5:$C$504, D2858) * (SUMIFS('📋 Detalle Diario'!$E$5:$E$489, '📋 Detalle Diario'!$B$5:$B$489, B2858, '📋 Detalle Diario'!$C$5:$C$489, D2858) * 135 + SUMIFS('📋 Detalle Diario'!$I$5:$I$489, '📋 Detalle Diario'!$B$5:$B$489, B2858, '📋 Detalle Diario'!$C$5:$C$489, D2858) * 200), 0))</f>
        <v/>
      </c>
      <c r="P2858" s="32" t="str">
        <f t="shared" si="313"/>
        <v/>
      </c>
      <c r="Q2858" s="33" t="str">
        <f t="shared" si="314"/>
        <v/>
      </c>
    </row>
    <row r="2859" spans="2:17" ht="18" customHeight="1" x14ac:dyDescent="0.3">
      <c r="B2859" s="26"/>
      <c r="C2859" s="28"/>
      <c r="D2859" s="27"/>
      <c r="E2859" s="29"/>
      <c r="F2859" s="29"/>
      <c r="G2859" s="29"/>
      <c r="H2859" s="30" t="str">
        <f t="shared" si="308"/>
        <v/>
      </c>
      <c r="I2859" s="31" t="str">
        <f>IF(OR(B2859="",C2859=""),"",IFERROR(E2859*IF(E2859="",0,VLOOKUP(C2859,'📦 Precios Proforma'!$B$5:$D$104,IF(D2859="DIA",2,3),FALSE)),0))</f>
        <v/>
      </c>
      <c r="J2859" s="31" t="str">
        <f t="shared" si="309"/>
        <v/>
      </c>
      <c r="K2859" s="31" t="str">
        <f t="shared" si="310"/>
        <v/>
      </c>
      <c r="L2859" s="31" t="str">
        <f>IF(OR(B2859="",C2859=""),"",IFERROR(E2859 / SUMIFS('📅 Resumen Diario'!$D$5:$D$504, '📅 Resumen Diario'!$B$5:$B$504, B2859, '📅 Resumen Diario'!$C$5:$C$504, D2859) * SUMIFS('📅 Resumen Diario'!$K$5:$K$504, '📅 Resumen Diario'!$B$5:$B$504, B2859, '📅 Resumen Diario'!$C$5:$C$504, D2859), 0))</f>
        <v/>
      </c>
      <c r="M2859" s="31" t="str">
        <f t="shared" si="311"/>
        <v/>
      </c>
      <c r="N2859" s="31" t="str">
        <f t="shared" si="312"/>
        <v/>
      </c>
      <c r="O2859" s="31" t="str">
        <f>IF(OR(B2859="",C2859=""),"",K2859-N2859 + IFERROR(E2859 / SUMIFS('📅 Resumen Diario'!$D$5:$D$504, '📅 Resumen Diario'!$B$5:$B$504, B2859, '📅 Resumen Diario'!$C$5:$C$504, D2859) * (SUMIFS('📋 Detalle Diario'!$E$5:$E$489, '📋 Detalle Diario'!$B$5:$B$489, B2859, '📋 Detalle Diario'!$C$5:$C$489, D2859) * 135 + SUMIFS('📋 Detalle Diario'!$I$5:$I$489, '📋 Detalle Diario'!$B$5:$B$489, B2859, '📋 Detalle Diario'!$C$5:$C$489, D2859) * 200), 0))</f>
        <v/>
      </c>
      <c r="P2859" s="32" t="str">
        <f t="shared" si="313"/>
        <v/>
      </c>
      <c r="Q2859" s="33" t="str">
        <f t="shared" si="314"/>
        <v/>
      </c>
    </row>
    <row r="2860" spans="2:17" ht="18" customHeight="1" x14ac:dyDescent="0.3">
      <c r="B2860" s="26"/>
      <c r="C2860" s="17"/>
      <c r="D2860" s="27"/>
      <c r="E2860" s="18"/>
      <c r="F2860" s="18"/>
      <c r="G2860" s="18"/>
      <c r="H2860" s="30" t="str">
        <f t="shared" si="308"/>
        <v/>
      </c>
      <c r="I2860" s="31" t="str">
        <f>IF(OR(B2860="",C2860=""),"",IFERROR(E2860*IF(E2860="",0,VLOOKUP(C2860,'📦 Precios Proforma'!$B$5:$D$104,IF(D2860="DIA",2,3),FALSE)),0))</f>
        <v/>
      </c>
      <c r="J2860" s="31" t="str">
        <f t="shared" si="309"/>
        <v/>
      </c>
      <c r="K2860" s="31" t="str">
        <f t="shared" si="310"/>
        <v/>
      </c>
      <c r="L2860" s="31" t="str">
        <f>IF(OR(B2860="",C2860=""),"",IFERROR(E2860 / SUMIFS('📅 Resumen Diario'!$D$5:$D$504, '📅 Resumen Diario'!$B$5:$B$504, B2860, '📅 Resumen Diario'!$C$5:$C$504, D2860) * SUMIFS('📅 Resumen Diario'!$K$5:$K$504, '📅 Resumen Diario'!$B$5:$B$504, B2860, '📅 Resumen Diario'!$C$5:$C$504, D2860), 0))</f>
        <v/>
      </c>
      <c r="M2860" s="31" t="str">
        <f t="shared" si="311"/>
        <v/>
      </c>
      <c r="N2860" s="31" t="str">
        <f t="shared" si="312"/>
        <v/>
      </c>
      <c r="O2860" s="31" t="str">
        <f>IF(OR(B2860="",C2860=""),"",K2860-N2860 + IFERROR(E2860 / SUMIFS('📅 Resumen Diario'!$D$5:$D$504, '📅 Resumen Diario'!$B$5:$B$504, B2860, '📅 Resumen Diario'!$C$5:$C$504, D2860) * (SUMIFS('📋 Detalle Diario'!$E$5:$E$489, '📋 Detalle Diario'!$B$5:$B$489, B2860, '📋 Detalle Diario'!$C$5:$C$489, D2860) * 135 + SUMIFS('📋 Detalle Diario'!$I$5:$I$489, '📋 Detalle Diario'!$B$5:$B$489, B2860, '📋 Detalle Diario'!$C$5:$C$489, D2860) * 200), 0))</f>
        <v/>
      </c>
      <c r="P2860" s="32" t="str">
        <f t="shared" si="313"/>
        <v/>
      </c>
      <c r="Q2860" s="33" t="str">
        <f t="shared" si="314"/>
        <v/>
      </c>
    </row>
    <row r="2861" spans="2:17" ht="18" customHeight="1" x14ac:dyDescent="0.3">
      <c r="B2861" s="26"/>
      <c r="C2861" s="28"/>
      <c r="D2861" s="27"/>
      <c r="E2861" s="29"/>
      <c r="F2861" s="29"/>
      <c r="G2861" s="29"/>
      <c r="H2861" s="30" t="str">
        <f t="shared" si="308"/>
        <v/>
      </c>
      <c r="I2861" s="31" t="str">
        <f>IF(OR(B2861="",C2861=""),"",IFERROR(E2861*IF(E2861="",0,VLOOKUP(C2861,'📦 Precios Proforma'!$B$5:$D$104,IF(D2861="DIA",2,3),FALSE)),0))</f>
        <v/>
      </c>
      <c r="J2861" s="31" t="str">
        <f t="shared" si="309"/>
        <v/>
      </c>
      <c r="K2861" s="31" t="str">
        <f t="shared" si="310"/>
        <v/>
      </c>
      <c r="L2861" s="31" t="str">
        <f>IF(OR(B2861="",C2861=""),"",IFERROR(E2861 / SUMIFS('📅 Resumen Diario'!$D$5:$D$504, '📅 Resumen Diario'!$B$5:$B$504, B2861, '📅 Resumen Diario'!$C$5:$C$504, D2861) * SUMIFS('📅 Resumen Diario'!$K$5:$K$504, '📅 Resumen Diario'!$B$5:$B$504, B2861, '📅 Resumen Diario'!$C$5:$C$504, D2861), 0))</f>
        <v/>
      </c>
      <c r="M2861" s="31" t="str">
        <f t="shared" si="311"/>
        <v/>
      </c>
      <c r="N2861" s="31" t="str">
        <f t="shared" si="312"/>
        <v/>
      </c>
      <c r="O2861" s="31" t="str">
        <f>IF(OR(B2861="",C2861=""),"",K2861-N2861 + IFERROR(E2861 / SUMIFS('📅 Resumen Diario'!$D$5:$D$504, '📅 Resumen Diario'!$B$5:$B$504, B2861, '📅 Resumen Diario'!$C$5:$C$504, D2861) * (SUMIFS('📋 Detalle Diario'!$E$5:$E$489, '📋 Detalle Diario'!$B$5:$B$489, B2861, '📋 Detalle Diario'!$C$5:$C$489, D2861) * 135 + SUMIFS('📋 Detalle Diario'!$I$5:$I$489, '📋 Detalle Diario'!$B$5:$B$489, B2861, '📋 Detalle Diario'!$C$5:$C$489, D2861) * 200), 0))</f>
        <v/>
      </c>
      <c r="P2861" s="32" t="str">
        <f t="shared" si="313"/>
        <v/>
      </c>
      <c r="Q2861" s="33" t="str">
        <f t="shared" si="314"/>
        <v/>
      </c>
    </row>
    <row r="2862" spans="2:17" ht="18" customHeight="1" x14ac:dyDescent="0.3">
      <c r="B2862" s="26"/>
      <c r="C2862" s="17"/>
      <c r="D2862" s="27"/>
      <c r="E2862" s="18"/>
      <c r="F2862" s="18"/>
      <c r="G2862" s="18"/>
      <c r="H2862" s="30" t="str">
        <f t="shared" si="308"/>
        <v/>
      </c>
      <c r="I2862" s="31" t="str">
        <f>IF(OR(B2862="",C2862=""),"",IFERROR(E2862*IF(E2862="",0,VLOOKUP(C2862,'📦 Precios Proforma'!$B$5:$D$104,IF(D2862="DIA",2,3),FALSE)),0))</f>
        <v/>
      </c>
      <c r="J2862" s="31" t="str">
        <f t="shared" si="309"/>
        <v/>
      </c>
      <c r="K2862" s="31" t="str">
        <f t="shared" si="310"/>
        <v/>
      </c>
      <c r="L2862" s="31" t="str">
        <f>IF(OR(B2862="",C2862=""),"",IFERROR(E2862 / SUMIFS('📅 Resumen Diario'!$D$5:$D$504, '📅 Resumen Diario'!$B$5:$B$504, B2862, '📅 Resumen Diario'!$C$5:$C$504, D2862) * SUMIFS('📅 Resumen Diario'!$K$5:$K$504, '📅 Resumen Diario'!$B$5:$B$504, B2862, '📅 Resumen Diario'!$C$5:$C$504, D2862), 0))</f>
        <v/>
      </c>
      <c r="M2862" s="31" t="str">
        <f t="shared" si="311"/>
        <v/>
      </c>
      <c r="N2862" s="31" t="str">
        <f t="shared" si="312"/>
        <v/>
      </c>
      <c r="O2862" s="31" t="str">
        <f>IF(OR(B2862="",C2862=""),"",K2862-N2862 + IFERROR(E2862 / SUMIFS('📅 Resumen Diario'!$D$5:$D$504, '📅 Resumen Diario'!$B$5:$B$504, B2862, '📅 Resumen Diario'!$C$5:$C$504, D2862) * (SUMIFS('📋 Detalle Diario'!$E$5:$E$489, '📋 Detalle Diario'!$B$5:$B$489, B2862, '📋 Detalle Diario'!$C$5:$C$489, D2862) * 135 + SUMIFS('📋 Detalle Diario'!$I$5:$I$489, '📋 Detalle Diario'!$B$5:$B$489, B2862, '📋 Detalle Diario'!$C$5:$C$489, D2862) * 200), 0))</f>
        <v/>
      </c>
      <c r="P2862" s="32" t="str">
        <f t="shared" si="313"/>
        <v/>
      </c>
      <c r="Q2862" s="33" t="str">
        <f t="shared" si="314"/>
        <v/>
      </c>
    </row>
    <row r="2863" spans="2:17" ht="18" customHeight="1" x14ac:dyDescent="0.3">
      <c r="B2863" s="26"/>
      <c r="C2863" s="28"/>
      <c r="D2863" s="27"/>
      <c r="E2863" s="29"/>
      <c r="F2863" s="29"/>
      <c r="G2863" s="29"/>
      <c r="H2863" s="30" t="str">
        <f t="shared" si="308"/>
        <v/>
      </c>
      <c r="I2863" s="31" t="str">
        <f>IF(OR(B2863="",C2863=""),"",IFERROR(E2863*IF(E2863="",0,VLOOKUP(C2863,'📦 Precios Proforma'!$B$5:$D$104,IF(D2863="DIA",2,3),FALSE)),0))</f>
        <v/>
      </c>
      <c r="J2863" s="31" t="str">
        <f t="shared" si="309"/>
        <v/>
      </c>
      <c r="K2863" s="31" t="str">
        <f t="shared" si="310"/>
        <v/>
      </c>
      <c r="L2863" s="31" t="str">
        <f>IF(OR(B2863="",C2863=""),"",IFERROR(E2863 / SUMIFS('📅 Resumen Diario'!$D$5:$D$504, '📅 Resumen Diario'!$B$5:$B$504, B2863, '📅 Resumen Diario'!$C$5:$C$504, D2863) * SUMIFS('📅 Resumen Diario'!$K$5:$K$504, '📅 Resumen Diario'!$B$5:$B$504, B2863, '📅 Resumen Diario'!$C$5:$C$504, D2863), 0))</f>
        <v/>
      </c>
      <c r="M2863" s="31" t="str">
        <f t="shared" si="311"/>
        <v/>
      </c>
      <c r="N2863" s="31" t="str">
        <f t="shared" si="312"/>
        <v/>
      </c>
      <c r="O2863" s="31" t="str">
        <f>IF(OR(B2863="",C2863=""),"",K2863-N2863 + IFERROR(E2863 / SUMIFS('📅 Resumen Diario'!$D$5:$D$504, '📅 Resumen Diario'!$B$5:$B$504, B2863, '📅 Resumen Diario'!$C$5:$C$504, D2863) * (SUMIFS('📋 Detalle Diario'!$E$5:$E$489, '📋 Detalle Diario'!$B$5:$B$489, B2863, '📋 Detalle Diario'!$C$5:$C$489, D2863) * 135 + SUMIFS('📋 Detalle Diario'!$I$5:$I$489, '📋 Detalle Diario'!$B$5:$B$489, B2863, '📋 Detalle Diario'!$C$5:$C$489, D2863) * 200), 0))</f>
        <v/>
      </c>
      <c r="P2863" s="32" t="str">
        <f t="shared" si="313"/>
        <v/>
      </c>
      <c r="Q2863" s="33" t="str">
        <f t="shared" si="314"/>
        <v/>
      </c>
    </row>
    <row r="2864" spans="2:17" ht="18" customHeight="1" x14ac:dyDescent="0.3">
      <c r="B2864" s="26"/>
      <c r="C2864" s="17"/>
      <c r="D2864" s="27"/>
      <c r="E2864" s="18"/>
      <c r="F2864" s="18"/>
      <c r="G2864" s="18"/>
      <c r="H2864" s="30" t="str">
        <f t="shared" si="308"/>
        <v/>
      </c>
      <c r="I2864" s="31" t="str">
        <f>IF(OR(B2864="",C2864=""),"",IFERROR(E2864*IF(E2864="",0,VLOOKUP(C2864,'📦 Precios Proforma'!$B$5:$D$104,IF(D2864="DIA",2,3),FALSE)),0))</f>
        <v/>
      </c>
      <c r="J2864" s="31" t="str">
        <f t="shared" si="309"/>
        <v/>
      </c>
      <c r="K2864" s="31" t="str">
        <f t="shared" si="310"/>
        <v/>
      </c>
      <c r="L2864" s="31" t="str">
        <f>IF(OR(B2864="",C2864=""),"",IFERROR(E2864 / SUMIFS('📅 Resumen Diario'!$D$5:$D$504, '📅 Resumen Diario'!$B$5:$B$504, B2864, '📅 Resumen Diario'!$C$5:$C$504, D2864) * SUMIFS('📅 Resumen Diario'!$K$5:$K$504, '📅 Resumen Diario'!$B$5:$B$504, B2864, '📅 Resumen Diario'!$C$5:$C$504, D2864), 0))</f>
        <v/>
      </c>
      <c r="M2864" s="31" t="str">
        <f t="shared" si="311"/>
        <v/>
      </c>
      <c r="N2864" s="31" t="str">
        <f t="shared" si="312"/>
        <v/>
      </c>
      <c r="O2864" s="31" t="str">
        <f>IF(OR(B2864="",C2864=""),"",K2864-N2864 + IFERROR(E2864 / SUMIFS('📅 Resumen Diario'!$D$5:$D$504, '📅 Resumen Diario'!$B$5:$B$504, B2864, '📅 Resumen Diario'!$C$5:$C$504, D2864) * (SUMIFS('📋 Detalle Diario'!$E$5:$E$489, '📋 Detalle Diario'!$B$5:$B$489, B2864, '📋 Detalle Diario'!$C$5:$C$489, D2864) * 135 + SUMIFS('📋 Detalle Diario'!$I$5:$I$489, '📋 Detalle Diario'!$B$5:$B$489, B2864, '📋 Detalle Diario'!$C$5:$C$489, D2864) * 200), 0))</f>
        <v/>
      </c>
      <c r="P2864" s="32" t="str">
        <f t="shared" si="313"/>
        <v/>
      </c>
      <c r="Q2864" s="33" t="str">
        <f t="shared" si="314"/>
        <v/>
      </c>
    </row>
    <row r="2865" spans="2:17" ht="18" customHeight="1" x14ac:dyDescent="0.3">
      <c r="B2865" s="26"/>
      <c r="C2865" s="28"/>
      <c r="D2865" s="27"/>
      <c r="E2865" s="29"/>
      <c r="F2865" s="29"/>
      <c r="G2865" s="29"/>
      <c r="H2865" s="30" t="str">
        <f t="shared" si="308"/>
        <v/>
      </c>
      <c r="I2865" s="31" t="str">
        <f>IF(OR(B2865="",C2865=""),"",IFERROR(E2865*IF(E2865="",0,VLOOKUP(C2865,'📦 Precios Proforma'!$B$5:$D$104,IF(D2865="DIA",2,3),FALSE)),0))</f>
        <v/>
      </c>
      <c r="J2865" s="31" t="str">
        <f t="shared" si="309"/>
        <v/>
      </c>
      <c r="K2865" s="31" t="str">
        <f t="shared" si="310"/>
        <v/>
      </c>
      <c r="L2865" s="31" t="str">
        <f>IF(OR(B2865="",C2865=""),"",IFERROR(E2865 / SUMIFS('📅 Resumen Diario'!$D$5:$D$504, '📅 Resumen Diario'!$B$5:$B$504, B2865, '📅 Resumen Diario'!$C$5:$C$504, D2865) * SUMIFS('📅 Resumen Diario'!$K$5:$K$504, '📅 Resumen Diario'!$B$5:$B$504, B2865, '📅 Resumen Diario'!$C$5:$C$504, D2865), 0))</f>
        <v/>
      </c>
      <c r="M2865" s="31" t="str">
        <f t="shared" si="311"/>
        <v/>
      </c>
      <c r="N2865" s="31" t="str">
        <f t="shared" si="312"/>
        <v/>
      </c>
      <c r="O2865" s="31" t="str">
        <f>IF(OR(B2865="",C2865=""),"",K2865-N2865 + IFERROR(E2865 / SUMIFS('📅 Resumen Diario'!$D$5:$D$504, '📅 Resumen Diario'!$B$5:$B$504, B2865, '📅 Resumen Diario'!$C$5:$C$504, D2865) * (SUMIFS('📋 Detalle Diario'!$E$5:$E$489, '📋 Detalle Diario'!$B$5:$B$489, B2865, '📋 Detalle Diario'!$C$5:$C$489, D2865) * 135 + SUMIFS('📋 Detalle Diario'!$I$5:$I$489, '📋 Detalle Diario'!$B$5:$B$489, B2865, '📋 Detalle Diario'!$C$5:$C$489, D2865) * 200), 0))</f>
        <v/>
      </c>
      <c r="P2865" s="32" t="str">
        <f t="shared" si="313"/>
        <v/>
      </c>
      <c r="Q2865" s="33" t="str">
        <f t="shared" si="314"/>
        <v/>
      </c>
    </row>
    <row r="2866" spans="2:17" ht="18" customHeight="1" x14ac:dyDescent="0.3">
      <c r="B2866" s="26"/>
      <c r="C2866" s="17"/>
      <c r="D2866" s="27"/>
      <c r="E2866" s="18"/>
      <c r="F2866" s="18"/>
      <c r="G2866" s="18"/>
      <c r="H2866" s="30" t="str">
        <f t="shared" si="308"/>
        <v/>
      </c>
      <c r="I2866" s="31" t="str">
        <f>IF(OR(B2866="",C2866=""),"",IFERROR(E2866*IF(E2866="",0,VLOOKUP(C2866,'📦 Precios Proforma'!$B$5:$D$104,IF(D2866="DIA",2,3),FALSE)),0))</f>
        <v/>
      </c>
      <c r="J2866" s="31" t="str">
        <f t="shared" si="309"/>
        <v/>
      </c>
      <c r="K2866" s="31" t="str">
        <f t="shared" si="310"/>
        <v/>
      </c>
      <c r="L2866" s="31" t="str">
        <f>IF(OR(B2866="",C2866=""),"",IFERROR(E2866 / SUMIFS('📅 Resumen Diario'!$D$5:$D$504, '📅 Resumen Diario'!$B$5:$B$504, B2866, '📅 Resumen Diario'!$C$5:$C$504, D2866) * SUMIFS('📅 Resumen Diario'!$K$5:$K$504, '📅 Resumen Diario'!$B$5:$B$504, B2866, '📅 Resumen Diario'!$C$5:$C$504, D2866), 0))</f>
        <v/>
      </c>
      <c r="M2866" s="31" t="str">
        <f t="shared" si="311"/>
        <v/>
      </c>
      <c r="N2866" s="31" t="str">
        <f t="shared" si="312"/>
        <v/>
      </c>
      <c r="O2866" s="31" t="str">
        <f>IF(OR(B2866="",C2866=""),"",K2866-N2866 + IFERROR(E2866 / SUMIFS('📅 Resumen Diario'!$D$5:$D$504, '📅 Resumen Diario'!$B$5:$B$504, B2866, '📅 Resumen Diario'!$C$5:$C$504, D2866) * (SUMIFS('📋 Detalle Diario'!$E$5:$E$489, '📋 Detalle Diario'!$B$5:$B$489, B2866, '📋 Detalle Diario'!$C$5:$C$489, D2866) * 135 + SUMIFS('📋 Detalle Diario'!$I$5:$I$489, '📋 Detalle Diario'!$B$5:$B$489, B2866, '📋 Detalle Diario'!$C$5:$C$489, D2866) * 200), 0))</f>
        <v/>
      </c>
      <c r="P2866" s="32" t="str">
        <f t="shared" si="313"/>
        <v/>
      </c>
      <c r="Q2866" s="33" t="str">
        <f t="shared" si="314"/>
        <v/>
      </c>
    </row>
    <row r="2867" spans="2:17" ht="18" customHeight="1" x14ac:dyDescent="0.3">
      <c r="B2867" s="26"/>
      <c r="C2867" s="28"/>
      <c r="D2867" s="27"/>
      <c r="E2867" s="29"/>
      <c r="F2867" s="29"/>
      <c r="G2867" s="29"/>
      <c r="H2867" s="30" t="str">
        <f t="shared" si="308"/>
        <v/>
      </c>
      <c r="I2867" s="31" t="str">
        <f>IF(OR(B2867="",C2867=""),"",IFERROR(E2867*IF(E2867="",0,VLOOKUP(C2867,'📦 Precios Proforma'!$B$5:$D$104,IF(D2867="DIA",2,3),FALSE)),0))</f>
        <v/>
      </c>
      <c r="J2867" s="31" t="str">
        <f t="shared" si="309"/>
        <v/>
      </c>
      <c r="K2867" s="31" t="str">
        <f t="shared" si="310"/>
        <v/>
      </c>
      <c r="L2867" s="31" t="str">
        <f>IF(OR(B2867="",C2867=""),"",IFERROR(E2867 / SUMIFS('📅 Resumen Diario'!$D$5:$D$504, '📅 Resumen Diario'!$B$5:$B$504, B2867, '📅 Resumen Diario'!$C$5:$C$504, D2867) * SUMIFS('📅 Resumen Diario'!$K$5:$K$504, '📅 Resumen Diario'!$B$5:$B$504, B2867, '📅 Resumen Diario'!$C$5:$C$504, D2867), 0))</f>
        <v/>
      </c>
      <c r="M2867" s="31" t="str">
        <f t="shared" si="311"/>
        <v/>
      </c>
      <c r="N2867" s="31" t="str">
        <f t="shared" si="312"/>
        <v/>
      </c>
      <c r="O2867" s="31" t="str">
        <f>IF(OR(B2867="",C2867=""),"",K2867-N2867 + IFERROR(E2867 / SUMIFS('📅 Resumen Diario'!$D$5:$D$504, '📅 Resumen Diario'!$B$5:$B$504, B2867, '📅 Resumen Diario'!$C$5:$C$504, D2867) * (SUMIFS('📋 Detalle Diario'!$E$5:$E$489, '📋 Detalle Diario'!$B$5:$B$489, B2867, '📋 Detalle Diario'!$C$5:$C$489, D2867) * 135 + SUMIFS('📋 Detalle Diario'!$I$5:$I$489, '📋 Detalle Diario'!$B$5:$B$489, B2867, '📋 Detalle Diario'!$C$5:$C$489, D2867) * 200), 0))</f>
        <v/>
      </c>
      <c r="P2867" s="32" t="str">
        <f t="shared" si="313"/>
        <v/>
      </c>
      <c r="Q2867" s="33" t="str">
        <f t="shared" si="314"/>
        <v/>
      </c>
    </row>
    <row r="2868" spans="2:17" ht="18" customHeight="1" x14ac:dyDescent="0.3">
      <c r="B2868" s="26"/>
      <c r="C2868" s="17"/>
      <c r="D2868" s="27"/>
      <c r="E2868" s="18"/>
      <c r="F2868" s="18"/>
      <c r="G2868" s="18"/>
      <c r="H2868" s="30" t="str">
        <f t="shared" si="308"/>
        <v/>
      </c>
      <c r="I2868" s="31" t="str">
        <f>IF(OR(B2868="",C2868=""),"",IFERROR(E2868*IF(E2868="",0,VLOOKUP(C2868,'📦 Precios Proforma'!$B$5:$D$104,IF(D2868="DIA",2,3),FALSE)),0))</f>
        <v/>
      </c>
      <c r="J2868" s="31" t="str">
        <f t="shared" si="309"/>
        <v/>
      </c>
      <c r="K2868" s="31" t="str">
        <f t="shared" si="310"/>
        <v/>
      </c>
      <c r="L2868" s="31" t="str">
        <f>IF(OR(B2868="",C2868=""),"",IFERROR(E2868 / SUMIFS('📅 Resumen Diario'!$D$5:$D$504, '📅 Resumen Diario'!$B$5:$B$504, B2868, '📅 Resumen Diario'!$C$5:$C$504, D2868) * SUMIFS('📅 Resumen Diario'!$K$5:$K$504, '📅 Resumen Diario'!$B$5:$B$504, B2868, '📅 Resumen Diario'!$C$5:$C$504, D2868), 0))</f>
        <v/>
      </c>
      <c r="M2868" s="31" t="str">
        <f t="shared" si="311"/>
        <v/>
      </c>
      <c r="N2868" s="31" t="str">
        <f t="shared" si="312"/>
        <v/>
      </c>
      <c r="O2868" s="31" t="str">
        <f>IF(OR(B2868="",C2868=""),"",K2868-N2868 + IFERROR(E2868 / SUMIFS('📅 Resumen Diario'!$D$5:$D$504, '📅 Resumen Diario'!$B$5:$B$504, B2868, '📅 Resumen Diario'!$C$5:$C$504, D2868) * (SUMIFS('📋 Detalle Diario'!$E$5:$E$489, '📋 Detalle Diario'!$B$5:$B$489, B2868, '📋 Detalle Diario'!$C$5:$C$489, D2868) * 135 + SUMIFS('📋 Detalle Diario'!$I$5:$I$489, '📋 Detalle Diario'!$B$5:$B$489, B2868, '📋 Detalle Diario'!$C$5:$C$489, D2868) * 200), 0))</f>
        <v/>
      </c>
      <c r="P2868" s="32" t="str">
        <f t="shared" si="313"/>
        <v/>
      </c>
      <c r="Q2868" s="33" t="str">
        <f t="shared" si="314"/>
        <v/>
      </c>
    </row>
    <row r="2869" spans="2:17" ht="18" customHeight="1" x14ac:dyDescent="0.3">
      <c r="B2869" s="26"/>
      <c r="C2869" s="28"/>
      <c r="D2869" s="27"/>
      <c r="E2869" s="29"/>
      <c r="F2869" s="29"/>
      <c r="G2869" s="29"/>
      <c r="H2869" s="30" t="str">
        <f t="shared" si="308"/>
        <v/>
      </c>
      <c r="I2869" s="31" t="str">
        <f>IF(OR(B2869="",C2869=""),"",IFERROR(E2869*IF(E2869="",0,VLOOKUP(C2869,'📦 Precios Proforma'!$B$5:$D$104,IF(D2869="DIA",2,3),FALSE)),0))</f>
        <v/>
      </c>
      <c r="J2869" s="31" t="str">
        <f t="shared" si="309"/>
        <v/>
      </c>
      <c r="K2869" s="31" t="str">
        <f t="shared" si="310"/>
        <v/>
      </c>
      <c r="L2869" s="31" t="str">
        <f>IF(OR(B2869="",C2869=""),"",IFERROR(E2869 / SUMIFS('📅 Resumen Diario'!$D$5:$D$504, '📅 Resumen Diario'!$B$5:$B$504, B2869, '📅 Resumen Diario'!$C$5:$C$504, D2869) * SUMIFS('📅 Resumen Diario'!$K$5:$K$504, '📅 Resumen Diario'!$B$5:$B$504, B2869, '📅 Resumen Diario'!$C$5:$C$504, D2869), 0))</f>
        <v/>
      </c>
      <c r="M2869" s="31" t="str">
        <f t="shared" si="311"/>
        <v/>
      </c>
      <c r="N2869" s="31" t="str">
        <f t="shared" si="312"/>
        <v/>
      </c>
      <c r="O2869" s="31" t="str">
        <f>IF(OR(B2869="",C2869=""),"",K2869-N2869 + IFERROR(E2869 / SUMIFS('📅 Resumen Diario'!$D$5:$D$504, '📅 Resumen Diario'!$B$5:$B$504, B2869, '📅 Resumen Diario'!$C$5:$C$504, D2869) * (SUMIFS('📋 Detalle Diario'!$E$5:$E$489, '📋 Detalle Diario'!$B$5:$B$489, B2869, '📋 Detalle Diario'!$C$5:$C$489, D2869) * 135 + SUMIFS('📋 Detalle Diario'!$I$5:$I$489, '📋 Detalle Diario'!$B$5:$B$489, B2869, '📋 Detalle Diario'!$C$5:$C$489, D2869) * 200), 0))</f>
        <v/>
      </c>
      <c r="P2869" s="32" t="str">
        <f t="shared" si="313"/>
        <v/>
      </c>
      <c r="Q2869" s="33" t="str">
        <f t="shared" si="314"/>
        <v/>
      </c>
    </row>
    <row r="2870" spans="2:17" ht="18" customHeight="1" x14ac:dyDescent="0.3">
      <c r="B2870" s="26"/>
      <c r="C2870" s="17"/>
      <c r="D2870" s="27"/>
      <c r="E2870" s="18"/>
      <c r="F2870" s="18"/>
      <c r="G2870" s="18"/>
      <c r="H2870" s="30" t="str">
        <f t="shared" si="308"/>
        <v/>
      </c>
      <c r="I2870" s="31" t="str">
        <f>IF(OR(B2870="",C2870=""),"",IFERROR(E2870*IF(E2870="",0,VLOOKUP(C2870,'📦 Precios Proforma'!$B$5:$D$104,IF(D2870="DIA",2,3),FALSE)),0))</f>
        <v/>
      </c>
      <c r="J2870" s="31" t="str">
        <f t="shared" si="309"/>
        <v/>
      </c>
      <c r="K2870" s="31" t="str">
        <f t="shared" si="310"/>
        <v/>
      </c>
      <c r="L2870" s="31" t="str">
        <f>IF(OR(B2870="",C2870=""),"",IFERROR(E2870 / SUMIFS('📅 Resumen Diario'!$D$5:$D$504, '📅 Resumen Diario'!$B$5:$B$504, B2870, '📅 Resumen Diario'!$C$5:$C$504, D2870) * SUMIFS('📅 Resumen Diario'!$K$5:$K$504, '📅 Resumen Diario'!$B$5:$B$504, B2870, '📅 Resumen Diario'!$C$5:$C$504, D2870), 0))</f>
        <v/>
      </c>
      <c r="M2870" s="31" t="str">
        <f t="shared" si="311"/>
        <v/>
      </c>
      <c r="N2870" s="31" t="str">
        <f t="shared" si="312"/>
        <v/>
      </c>
      <c r="O2870" s="31" t="str">
        <f>IF(OR(B2870="",C2870=""),"",K2870-N2870 + IFERROR(E2870 / SUMIFS('📅 Resumen Diario'!$D$5:$D$504, '📅 Resumen Diario'!$B$5:$B$504, B2870, '📅 Resumen Diario'!$C$5:$C$504, D2870) * (SUMIFS('📋 Detalle Diario'!$E$5:$E$489, '📋 Detalle Diario'!$B$5:$B$489, B2870, '📋 Detalle Diario'!$C$5:$C$489, D2870) * 135 + SUMIFS('📋 Detalle Diario'!$I$5:$I$489, '📋 Detalle Diario'!$B$5:$B$489, B2870, '📋 Detalle Diario'!$C$5:$C$489, D2870) * 200), 0))</f>
        <v/>
      </c>
      <c r="P2870" s="32" t="str">
        <f t="shared" si="313"/>
        <v/>
      </c>
      <c r="Q2870" s="33" t="str">
        <f t="shared" si="314"/>
        <v/>
      </c>
    </row>
    <row r="2871" spans="2:17" ht="18" customHeight="1" x14ac:dyDescent="0.3">
      <c r="B2871" s="26"/>
      <c r="C2871" s="28"/>
      <c r="D2871" s="27"/>
      <c r="E2871" s="29"/>
      <c r="F2871" s="29"/>
      <c r="G2871" s="29"/>
      <c r="H2871" s="30" t="str">
        <f t="shared" si="308"/>
        <v/>
      </c>
      <c r="I2871" s="31" t="str">
        <f>IF(OR(B2871="",C2871=""),"",IFERROR(E2871*IF(E2871="",0,VLOOKUP(C2871,'📦 Precios Proforma'!$B$5:$D$104,IF(D2871="DIA",2,3),FALSE)),0))</f>
        <v/>
      </c>
      <c r="J2871" s="31" t="str">
        <f t="shared" si="309"/>
        <v/>
      </c>
      <c r="K2871" s="31" t="str">
        <f t="shared" si="310"/>
        <v/>
      </c>
      <c r="L2871" s="31" t="str">
        <f>IF(OR(B2871="",C2871=""),"",IFERROR(E2871 / SUMIFS('📅 Resumen Diario'!$D$5:$D$504, '📅 Resumen Diario'!$B$5:$B$504, B2871, '📅 Resumen Diario'!$C$5:$C$504, D2871) * SUMIFS('📅 Resumen Diario'!$K$5:$K$504, '📅 Resumen Diario'!$B$5:$B$504, B2871, '📅 Resumen Diario'!$C$5:$C$504, D2871), 0))</f>
        <v/>
      </c>
      <c r="M2871" s="31" t="str">
        <f t="shared" si="311"/>
        <v/>
      </c>
      <c r="N2871" s="31" t="str">
        <f t="shared" si="312"/>
        <v/>
      </c>
      <c r="O2871" s="31" t="str">
        <f>IF(OR(B2871="",C2871=""),"",K2871-N2871 + IFERROR(E2871 / SUMIFS('📅 Resumen Diario'!$D$5:$D$504, '📅 Resumen Diario'!$B$5:$B$504, B2871, '📅 Resumen Diario'!$C$5:$C$504, D2871) * (SUMIFS('📋 Detalle Diario'!$E$5:$E$489, '📋 Detalle Diario'!$B$5:$B$489, B2871, '📋 Detalle Diario'!$C$5:$C$489, D2871) * 135 + SUMIFS('📋 Detalle Diario'!$I$5:$I$489, '📋 Detalle Diario'!$B$5:$B$489, B2871, '📋 Detalle Diario'!$C$5:$C$489, D2871) * 200), 0))</f>
        <v/>
      </c>
      <c r="P2871" s="32" t="str">
        <f t="shared" si="313"/>
        <v/>
      </c>
      <c r="Q2871" s="33" t="str">
        <f t="shared" si="314"/>
        <v/>
      </c>
    </row>
    <row r="2872" spans="2:17" ht="18" customHeight="1" x14ac:dyDescent="0.3">
      <c r="B2872" s="26"/>
      <c r="C2872" s="17"/>
      <c r="D2872" s="27"/>
      <c r="E2872" s="18"/>
      <c r="F2872" s="18"/>
      <c r="G2872" s="18"/>
      <c r="H2872" s="30" t="str">
        <f t="shared" si="308"/>
        <v/>
      </c>
      <c r="I2872" s="31" t="str">
        <f>IF(OR(B2872="",C2872=""),"",IFERROR(E2872*IF(E2872="",0,VLOOKUP(C2872,'📦 Precios Proforma'!$B$5:$D$104,IF(D2872="DIA",2,3),FALSE)),0))</f>
        <v/>
      </c>
      <c r="J2872" s="31" t="str">
        <f t="shared" si="309"/>
        <v/>
      </c>
      <c r="K2872" s="31" t="str">
        <f t="shared" si="310"/>
        <v/>
      </c>
      <c r="L2872" s="31" t="str">
        <f>IF(OR(B2872="",C2872=""),"",IFERROR(E2872 / SUMIFS('📅 Resumen Diario'!$D$5:$D$504, '📅 Resumen Diario'!$B$5:$B$504, B2872, '📅 Resumen Diario'!$C$5:$C$504, D2872) * SUMIFS('📅 Resumen Diario'!$K$5:$K$504, '📅 Resumen Diario'!$B$5:$B$504, B2872, '📅 Resumen Diario'!$C$5:$C$504, D2872), 0))</f>
        <v/>
      </c>
      <c r="M2872" s="31" t="str">
        <f t="shared" si="311"/>
        <v/>
      </c>
      <c r="N2872" s="31" t="str">
        <f t="shared" si="312"/>
        <v/>
      </c>
      <c r="O2872" s="31" t="str">
        <f>IF(OR(B2872="",C2872=""),"",K2872-N2872 + IFERROR(E2872 / SUMIFS('📅 Resumen Diario'!$D$5:$D$504, '📅 Resumen Diario'!$B$5:$B$504, B2872, '📅 Resumen Diario'!$C$5:$C$504, D2872) * (SUMIFS('📋 Detalle Diario'!$E$5:$E$489, '📋 Detalle Diario'!$B$5:$B$489, B2872, '📋 Detalle Diario'!$C$5:$C$489, D2872) * 135 + SUMIFS('📋 Detalle Diario'!$I$5:$I$489, '📋 Detalle Diario'!$B$5:$B$489, B2872, '📋 Detalle Diario'!$C$5:$C$489, D2872) * 200), 0))</f>
        <v/>
      </c>
      <c r="P2872" s="32" t="str">
        <f t="shared" si="313"/>
        <v/>
      </c>
      <c r="Q2872" s="33" t="str">
        <f t="shared" si="314"/>
        <v/>
      </c>
    </row>
    <row r="2873" spans="2:17" ht="18" customHeight="1" x14ac:dyDescent="0.3">
      <c r="B2873" s="26"/>
      <c r="C2873" s="28"/>
      <c r="D2873" s="27"/>
      <c r="E2873" s="29"/>
      <c r="F2873" s="29"/>
      <c r="G2873" s="29"/>
      <c r="H2873" s="30" t="str">
        <f t="shared" si="308"/>
        <v/>
      </c>
      <c r="I2873" s="31" t="str">
        <f>IF(OR(B2873="",C2873=""),"",IFERROR(E2873*IF(E2873="",0,VLOOKUP(C2873,'📦 Precios Proforma'!$B$5:$D$104,IF(D2873="DIA",2,3),FALSE)),0))</f>
        <v/>
      </c>
      <c r="J2873" s="31" t="str">
        <f t="shared" si="309"/>
        <v/>
      </c>
      <c r="K2873" s="31" t="str">
        <f t="shared" si="310"/>
        <v/>
      </c>
      <c r="L2873" s="31" t="str">
        <f>IF(OR(B2873="",C2873=""),"",IFERROR(E2873 / SUMIFS('📅 Resumen Diario'!$D$5:$D$504, '📅 Resumen Diario'!$B$5:$B$504, B2873, '📅 Resumen Diario'!$C$5:$C$504, D2873) * SUMIFS('📅 Resumen Diario'!$K$5:$K$504, '📅 Resumen Diario'!$B$5:$B$504, B2873, '📅 Resumen Diario'!$C$5:$C$504, D2873), 0))</f>
        <v/>
      </c>
      <c r="M2873" s="31" t="str">
        <f t="shared" si="311"/>
        <v/>
      </c>
      <c r="N2873" s="31" t="str">
        <f t="shared" si="312"/>
        <v/>
      </c>
      <c r="O2873" s="31" t="str">
        <f>IF(OR(B2873="",C2873=""),"",K2873-N2873 + IFERROR(E2873 / SUMIFS('📅 Resumen Diario'!$D$5:$D$504, '📅 Resumen Diario'!$B$5:$B$504, B2873, '📅 Resumen Diario'!$C$5:$C$504, D2873) * (SUMIFS('📋 Detalle Diario'!$E$5:$E$489, '📋 Detalle Diario'!$B$5:$B$489, B2873, '📋 Detalle Diario'!$C$5:$C$489, D2873) * 135 + SUMIFS('📋 Detalle Diario'!$I$5:$I$489, '📋 Detalle Diario'!$B$5:$B$489, B2873, '📋 Detalle Diario'!$C$5:$C$489, D2873) * 200), 0))</f>
        <v/>
      </c>
      <c r="P2873" s="32" t="str">
        <f t="shared" si="313"/>
        <v/>
      </c>
      <c r="Q2873" s="33" t="str">
        <f t="shared" si="314"/>
        <v/>
      </c>
    </row>
    <row r="2874" spans="2:17" ht="18" customHeight="1" x14ac:dyDescent="0.3">
      <c r="B2874" s="26"/>
      <c r="C2874" s="17"/>
      <c r="D2874" s="27"/>
      <c r="E2874" s="18"/>
      <c r="F2874" s="18"/>
      <c r="G2874" s="18"/>
      <c r="H2874" s="30" t="str">
        <f t="shared" si="308"/>
        <v/>
      </c>
      <c r="I2874" s="31" t="str">
        <f>IF(OR(B2874="",C2874=""),"",IFERROR(E2874*IF(E2874="",0,VLOOKUP(C2874,'📦 Precios Proforma'!$B$5:$D$104,IF(D2874="DIA",2,3),FALSE)),0))</f>
        <v/>
      </c>
      <c r="J2874" s="31" t="str">
        <f t="shared" si="309"/>
        <v/>
      </c>
      <c r="K2874" s="31" t="str">
        <f t="shared" si="310"/>
        <v/>
      </c>
      <c r="L2874" s="31" t="str">
        <f>IF(OR(B2874="",C2874=""),"",IFERROR(E2874 / SUMIFS('📅 Resumen Diario'!$D$5:$D$504, '📅 Resumen Diario'!$B$5:$B$504, B2874, '📅 Resumen Diario'!$C$5:$C$504, D2874) * SUMIFS('📅 Resumen Diario'!$K$5:$K$504, '📅 Resumen Diario'!$B$5:$B$504, B2874, '📅 Resumen Diario'!$C$5:$C$504, D2874), 0))</f>
        <v/>
      </c>
      <c r="M2874" s="31" t="str">
        <f t="shared" si="311"/>
        <v/>
      </c>
      <c r="N2874" s="31" t="str">
        <f t="shared" si="312"/>
        <v/>
      </c>
      <c r="O2874" s="31" t="str">
        <f>IF(OR(B2874="",C2874=""),"",K2874-N2874 + IFERROR(E2874 / SUMIFS('📅 Resumen Diario'!$D$5:$D$504, '📅 Resumen Diario'!$B$5:$B$504, B2874, '📅 Resumen Diario'!$C$5:$C$504, D2874) * (SUMIFS('📋 Detalle Diario'!$E$5:$E$489, '📋 Detalle Diario'!$B$5:$B$489, B2874, '📋 Detalle Diario'!$C$5:$C$489, D2874) * 135 + SUMIFS('📋 Detalle Diario'!$I$5:$I$489, '📋 Detalle Diario'!$B$5:$B$489, B2874, '📋 Detalle Diario'!$C$5:$C$489, D2874) * 200), 0))</f>
        <v/>
      </c>
      <c r="P2874" s="32" t="str">
        <f t="shared" si="313"/>
        <v/>
      </c>
      <c r="Q2874" s="33" t="str">
        <f t="shared" si="314"/>
        <v/>
      </c>
    </row>
    <row r="2875" spans="2:17" ht="18" customHeight="1" x14ac:dyDescent="0.3">
      <c r="B2875" s="26"/>
      <c r="C2875" s="28"/>
      <c r="D2875" s="27"/>
      <c r="E2875" s="29"/>
      <c r="F2875" s="29"/>
      <c r="G2875" s="29"/>
      <c r="H2875" s="30" t="str">
        <f t="shared" si="308"/>
        <v/>
      </c>
      <c r="I2875" s="31" t="str">
        <f>IF(OR(B2875="",C2875=""),"",IFERROR(E2875*IF(E2875="",0,VLOOKUP(C2875,'📦 Precios Proforma'!$B$5:$D$104,IF(D2875="DIA",2,3),FALSE)),0))</f>
        <v/>
      </c>
      <c r="J2875" s="31" t="str">
        <f t="shared" si="309"/>
        <v/>
      </c>
      <c r="K2875" s="31" t="str">
        <f t="shared" si="310"/>
        <v/>
      </c>
      <c r="L2875" s="31" t="str">
        <f>IF(OR(B2875="",C2875=""),"",IFERROR(E2875 / SUMIFS('📅 Resumen Diario'!$D$5:$D$504, '📅 Resumen Diario'!$B$5:$B$504, B2875, '📅 Resumen Diario'!$C$5:$C$504, D2875) * SUMIFS('📅 Resumen Diario'!$K$5:$K$504, '📅 Resumen Diario'!$B$5:$B$504, B2875, '📅 Resumen Diario'!$C$5:$C$504, D2875), 0))</f>
        <v/>
      </c>
      <c r="M2875" s="31" t="str">
        <f t="shared" si="311"/>
        <v/>
      </c>
      <c r="N2875" s="31" t="str">
        <f t="shared" si="312"/>
        <v/>
      </c>
      <c r="O2875" s="31" t="str">
        <f>IF(OR(B2875="",C2875=""),"",K2875-N2875 + IFERROR(E2875 / SUMIFS('📅 Resumen Diario'!$D$5:$D$504, '📅 Resumen Diario'!$B$5:$B$504, B2875, '📅 Resumen Diario'!$C$5:$C$504, D2875) * (SUMIFS('📋 Detalle Diario'!$E$5:$E$489, '📋 Detalle Diario'!$B$5:$B$489, B2875, '📋 Detalle Diario'!$C$5:$C$489, D2875) * 135 + SUMIFS('📋 Detalle Diario'!$I$5:$I$489, '📋 Detalle Diario'!$B$5:$B$489, B2875, '📋 Detalle Diario'!$C$5:$C$489, D2875) * 200), 0))</f>
        <v/>
      </c>
      <c r="P2875" s="32" t="str">
        <f t="shared" si="313"/>
        <v/>
      </c>
      <c r="Q2875" s="33" t="str">
        <f t="shared" si="314"/>
        <v/>
      </c>
    </row>
    <row r="2876" spans="2:17" ht="18" customHeight="1" x14ac:dyDescent="0.3">
      <c r="B2876" s="26"/>
      <c r="C2876" s="17"/>
      <c r="D2876" s="27"/>
      <c r="E2876" s="18"/>
      <c r="F2876" s="18"/>
      <c r="G2876" s="18"/>
      <c r="H2876" s="30" t="str">
        <f t="shared" si="308"/>
        <v/>
      </c>
      <c r="I2876" s="31" t="str">
        <f>IF(OR(B2876="",C2876=""),"",IFERROR(E2876*IF(E2876="",0,VLOOKUP(C2876,'📦 Precios Proforma'!$B$5:$D$104,IF(D2876="DIA",2,3),FALSE)),0))</f>
        <v/>
      </c>
      <c r="J2876" s="31" t="str">
        <f t="shared" si="309"/>
        <v/>
      </c>
      <c r="K2876" s="31" t="str">
        <f t="shared" si="310"/>
        <v/>
      </c>
      <c r="L2876" s="31" t="str">
        <f>IF(OR(B2876="",C2876=""),"",IFERROR(E2876 / SUMIFS('📅 Resumen Diario'!$D$5:$D$504, '📅 Resumen Diario'!$B$5:$B$504, B2876, '📅 Resumen Diario'!$C$5:$C$504, D2876) * SUMIFS('📅 Resumen Diario'!$K$5:$K$504, '📅 Resumen Diario'!$B$5:$B$504, B2876, '📅 Resumen Diario'!$C$5:$C$504, D2876), 0))</f>
        <v/>
      </c>
      <c r="M2876" s="31" t="str">
        <f t="shared" si="311"/>
        <v/>
      </c>
      <c r="N2876" s="31" t="str">
        <f t="shared" si="312"/>
        <v/>
      </c>
      <c r="O2876" s="31" t="str">
        <f>IF(OR(B2876="",C2876=""),"",K2876-N2876 + IFERROR(E2876 / SUMIFS('📅 Resumen Diario'!$D$5:$D$504, '📅 Resumen Diario'!$B$5:$B$504, B2876, '📅 Resumen Diario'!$C$5:$C$504, D2876) * (SUMIFS('📋 Detalle Diario'!$E$5:$E$489, '📋 Detalle Diario'!$B$5:$B$489, B2876, '📋 Detalle Diario'!$C$5:$C$489, D2876) * 135 + SUMIFS('📋 Detalle Diario'!$I$5:$I$489, '📋 Detalle Diario'!$B$5:$B$489, B2876, '📋 Detalle Diario'!$C$5:$C$489, D2876) * 200), 0))</f>
        <v/>
      </c>
      <c r="P2876" s="32" t="str">
        <f t="shared" si="313"/>
        <v/>
      </c>
      <c r="Q2876" s="33" t="str">
        <f t="shared" si="314"/>
        <v/>
      </c>
    </row>
    <row r="2877" spans="2:17" ht="18" customHeight="1" x14ac:dyDescent="0.3">
      <c r="B2877" s="26"/>
      <c r="C2877" s="28"/>
      <c r="D2877" s="27"/>
      <c r="E2877" s="29"/>
      <c r="F2877" s="29"/>
      <c r="G2877" s="29"/>
      <c r="H2877" s="30" t="str">
        <f t="shared" si="308"/>
        <v/>
      </c>
      <c r="I2877" s="31" t="str">
        <f>IF(OR(B2877="",C2877=""),"",IFERROR(E2877*IF(E2877="",0,VLOOKUP(C2877,'📦 Precios Proforma'!$B$5:$D$104,IF(D2877="DIA",2,3),FALSE)),0))</f>
        <v/>
      </c>
      <c r="J2877" s="31" t="str">
        <f t="shared" si="309"/>
        <v/>
      </c>
      <c r="K2877" s="31" t="str">
        <f t="shared" si="310"/>
        <v/>
      </c>
      <c r="L2877" s="31" t="str">
        <f>IF(OR(B2877="",C2877=""),"",IFERROR(E2877 / SUMIFS('📅 Resumen Diario'!$D$5:$D$504, '📅 Resumen Diario'!$B$5:$B$504, B2877, '📅 Resumen Diario'!$C$5:$C$504, D2877) * SUMIFS('📅 Resumen Diario'!$K$5:$K$504, '📅 Resumen Diario'!$B$5:$B$504, B2877, '📅 Resumen Diario'!$C$5:$C$504, D2877), 0))</f>
        <v/>
      </c>
      <c r="M2877" s="31" t="str">
        <f t="shared" si="311"/>
        <v/>
      </c>
      <c r="N2877" s="31" t="str">
        <f t="shared" si="312"/>
        <v/>
      </c>
      <c r="O2877" s="31" t="str">
        <f>IF(OR(B2877="",C2877=""),"",K2877-N2877 + IFERROR(E2877 / SUMIFS('📅 Resumen Diario'!$D$5:$D$504, '📅 Resumen Diario'!$B$5:$B$504, B2877, '📅 Resumen Diario'!$C$5:$C$504, D2877) * (SUMIFS('📋 Detalle Diario'!$E$5:$E$489, '📋 Detalle Diario'!$B$5:$B$489, B2877, '📋 Detalle Diario'!$C$5:$C$489, D2877) * 135 + SUMIFS('📋 Detalle Diario'!$I$5:$I$489, '📋 Detalle Diario'!$B$5:$B$489, B2877, '📋 Detalle Diario'!$C$5:$C$489, D2877) * 200), 0))</f>
        <v/>
      </c>
      <c r="P2877" s="32" t="str">
        <f t="shared" si="313"/>
        <v/>
      </c>
      <c r="Q2877" s="33" t="str">
        <f t="shared" si="314"/>
        <v/>
      </c>
    </row>
    <row r="2878" spans="2:17" ht="18" customHeight="1" x14ac:dyDescent="0.3">
      <c r="B2878" s="26"/>
      <c r="C2878" s="17"/>
      <c r="D2878" s="27"/>
      <c r="E2878" s="18"/>
      <c r="F2878" s="18"/>
      <c r="G2878" s="18"/>
      <c r="H2878" s="30" t="str">
        <f t="shared" si="308"/>
        <v/>
      </c>
      <c r="I2878" s="31" t="str">
        <f>IF(OR(B2878="",C2878=""),"",IFERROR(E2878*IF(E2878="",0,VLOOKUP(C2878,'📦 Precios Proforma'!$B$5:$D$104,IF(D2878="DIA",2,3),FALSE)),0))</f>
        <v/>
      </c>
      <c r="J2878" s="31" t="str">
        <f t="shared" si="309"/>
        <v/>
      </c>
      <c r="K2878" s="31" t="str">
        <f t="shared" si="310"/>
        <v/>
      </c>
      <c r="L2878" s="31" t="str">
        <f>IF(OR(B2878="",C2878=""),"",IFERROR(E2878 / SUMIFS('📅 Resumen Diario'!$D$5:$D$504, '📅 Resumen Diario'!$B$5:$B$504, B2878, '📅 Resumen Diario'!$C$5:$C$504, D2878) * SUMIFS('📅 Resumen Diario'!$K$5:$K$504, '📅 Resumen Diario'!$B$5:$B$504, B2878, '📅 Resumen Diario'!$C$5:$C$504, D2878), 0))</f>
        <v/>
      </c>
      <c r="M2878" s="31" t="str">
        <f t="shared" si="311"/>
        <v/>
      </c>
      <c r="N2878" s="31" t="str">
        <f t="shared" si="312"/>
        <v/>
      </c>
      <c r="O2878" s="31" t="str">
        <f>IF(OR(B2878="",C2878=""),"",K2878-N2878 + IFERROR(E2878 / SUMIFS('📅 Resumen Diario'!$D$5:$D$504, '📅 Resumen Diario'!$B$5:$B$504, B2878, '📅 Resumen Diario'!$C$5:$C$504, D2878) * (SUMIFS('📋 Detalle Diario'!$E$5:$E$489, '📋 Detalle Diario'!$B$5:$B$489, B2878, '📋 Detalle Diario'!$C$5:$C$489, D2878) * 135 + SUMIFS('📋 Detalle Diario'!$I$5:$I$489, '📋 Detalle Diario'!$B$5:$B$489, B2878, '📋 Detalle Diario'!$C$5:$C$489, D2878) * 200), 0))</f>
        <v/>
      </c>
      <c r="P2878" s="32" t="str">
        <f t="shared" si="313"/>
        <v/>
      </c>
      <c r="Q2878" s="33" t="str">
        <f t="shared" si="314"/>
        <v/>
      </c>
    </row>
    <row r="2879" spans="2:17" ht="18" customHeight="1" x14ac:dyDescent="0.3">
      <c r="B2879" s="26"/>
      <c r="C2879" s="28"/>
      <c r="D2879" s="27"/>
      <c r="E2879" s="29"/>
      <c r="F2879" s="29"/>
      <c r="G2879" s="29"/>
      <c r="H2879" s="30" t="str">
        <f t="shared" si="308"/>
        <v/>
      </c>
      <c r="I2879" s="31" t="str">
        <f>IF(OR(B2879="",C2879=""),"",IFERROR(E2879*IF(E2879="",0,VLOOKUP(C2879,'📦 Precios Proforma'!$B$5:$D$104,IF(D2879="DIA",2,3),FALSE)),0))</f>
        <v/>
      </c>
      <c r="J2879" s="31" t="str">
        <f t="shared" si="309"/>
        <v/>
      </c>
      <c r="K2879" s="31" t="str">
        <f t="shared" si="310"/>
        <v/>
      </c>
      <c r="L2879" s="31" t="str">
        <f>IF(OR(B2879="",C2879=""),"",IFERROR(E2879 / SUMIFS('📅 Resumen Diario'!$D$5:$D$504, '📅 Resumen Diario'!$B$5:$B$504, B2879, '📅 Resumen Diario'!$C$5:$C$504, D2879) * SUMIFS('📅 Resumen Diario'!$K$5:$K$504, '📅 Resumen Diario'!$B$5:$B$504, B2879, '📅 Resumen Diario'!$C$5:$C$504, D2879), 0))</f>
        <v/>
      </c>
      <c r="M2879" s="31" t="str">
        <f t="shared" si="311"/>
        <v/>
      </c>
      <c r="N2879" s="31" t="str">
        <f t="shared" si="312"/>
        <v/>
      </c>
      <c r="O2879" s="31" t="str">
        <f>IF(OR(B2879="",C2879=""),"",K2879-N2879 + IFERROR(E2879 / SUMIFS('📅 Resumen Diario'!$D$5:$D$504, '📅 Resumen Diario'!$B$5:$B$504, B2879, '📅 Resumen Diario'!$C$5:$C$504, D2879) * (SUMIFS('📋 Detalle Diario'!$E$5:$E$489, '📋 Detalle Diario'!$B$5:$B$489, B2879, '📋 Detalle Diario'!$C$5:$C$489, D2879) * 135 + SUMIFS('📋 Detalle Diario'!$I$5:$I$489, '📋 Detalle Diario'!$B$5:$B$489, B2879, '📋 Detalle Diario'!$C$5:$C$489, D2879) * 200), 0))</f>
        <v/>
      </c>
      <c r="P2879" s="32" t="str">
        <f t="shared" si="313"/>
        <v/>
      </c>
      <c r="Q2879" s="33" t="str">
        <f t="shared" si="314"/>
        <v/>
      </c>
    </row>
    <row r="2880" spans="2:17" ht="18" customHeight="1" x14ac:dyDescent="0.3">
      <c r="B2880" s="26"/>
      <c r="C2880" s="17"/>
      <c r="D2880" s="27"/>
      <c r="E2880" s="18"/>
      <c r="F2880" s="18"/>
      <c r="G2880" s="18"/>
      <c r="H2880" s="30" t="str">
        <f t="shared" si="308"/>
        <v/>
      </c>
      <c r="I2880" s="31" t="str">
        <f>IF(OR(B2880="",C2880=""),"",IFERROR(E2880*IF(E2880="",0,VLOOKUP(C2880,'📦 Precios Proforma'!$B$5:$D$104,IF(D2880="DIA",2,3),FALSE)),0))</f>
        <v/>
      </c>
      <c r="J2880" s="31" t="str">
        <f t="shared" si="309"/>
        <v/>
      </c>
      <c r="K2880" s="31" t="str">
        <f t="shared" si="310"/>
        <v/>
      </c>
      <c r="L2880" s="31" t="str">
        <f>IF(OR(B2880="",C2880=""),"",IFERROR(E2880 / SUMIFS('📅 Resumen Diario'!$D$5:$D$504, '📅 Resumen Diario'!$B$5:$B$504, B2880, '📅 Resumen Diario'!$C$5:$C$504, D2880) * SUMIFS('📅 Resumen Diario'!$K$5:$K$504, '📅 Resumen Diario'!$B$5:$B$504, B2880, '📅 Resumen Diario'!$C$5:$C$504, D2880), 0))</f>
        <v/>
      </c>
      <c r="M2880" s="31" t="str">
        <f t="shared" si="311"/>
        <v/>
      </c>
      <c r="N2880" s="31" t="str">
        <f t="shared" si="312"/>
        <v/>
      </c>
      <c r="O2880" s="31" t="str">
        <f>IF(OR(B2880="",C2880=""),"",K2880-N2880 + IFERROR(E2880 / SUMIFS('📅 Resumen Diario'!$D$5:$D$504, '📅 Resumen Diario'!$B$5:$B$504, B2880, '📅 Resumen Diario'!$C$5:$C$504, D2880) * (SUMIFS('📋 Detalle Diario'!$E$5:$E$489, '📋 Detalle Diario'!$B$5:$B$489, B2880, '📋 Detalle Diario'!$C$5:$C$489, D2880) * 135 + SUMIFS('📋 Detalle Diario'!$I$5:$I$489, '📋 Detalle Diario'!$B$5:$B$489, B2880, '📋 Detalle Diario'!$C$5:$C$489, D2880) * 200), 0))</f>
        <v/>
      </c>
      <c r="P2880" s="32" t="str">
        <f t="shared" si="313"/>
        <v/>
      </c>
      <c r="Q2880" s="33" t="str">
        <f t="shared" si="314"/>
        <v/>
      </c>
    </row>
    <row r="2881" spans="2:17" ht="18" customHeight="1" x14ac:dyDescent="0.3">
      <c r="B2881" s="26"/>
      <c r="C2881" s="28"/>
      <c r="D2881" s="27"/>
      <c r="E2881" s="29"/>
      <c r="F2881" s="29"/>
      <c r="G2881" s="29"/>
      <c r="H2881" s="30" t="str">
        <f t="shared" si="308"/>
        <v/>
      </c>
      <c r="I2881" s="31" t="str">
        <f>IF(OR(B2881="",C2881=""),"",IFERROR(E2881*IF(E2881="",0,VLOOKUP(C2881,'📦 Precios Proforma'!$B$5:$D$104,IF(D2881="DIA",2,3),FALSE)),0))</f>
        <v/>
      </c>
      <c r="J2881" s="31" t="str">
        <f t="shared" si="309"/>
        <v/>
      </c>
      <c r="K2881" s="31" t="str">
        <f t="shared" si="310"/>
        <v/>
      </c>
      <c r="L2881" s="31" t="str">
        <f>IF(OR(B2881="",C2881=""),"",IFERROR(E2881 / SUMIFS('📅 Resumen Diario'!$D$5:$D$504, '📅 Resumen Diario'!$B$5:$B$504, B2881, '📅 Resumen Diario'!$C$5:$C$504, D2881) * SUMIFS('📅 Resumen Diario'!$K$5:$K$504, '📅 Resumen Diario'!$B$5:$B$504, B2881, '📅 Resumen Diario'!$C$5:$C$504, D2881), 0))</f>
        <v/>
      </c>
      <c r="M2881" s="31" t="str">
        <f t="shared" si="311"/>
        <v/>
      </c>
      <c r="N2881" s="31" t="str">
        <f t="shared" si="312"/>
        <v/>
      </c>
      <c r="O2881" s="31" t="str">
        <f>IF(OR(B2881="",C2881=""),"",K2881-N2881 + IFERROR(E2881 / SUMIFS('📅 Resumen Diario'!$D$5:$D$504, '📅 Resumen Diario'!$B$5:$B$504, B2881, '📅 Resumen Diario'!$C$5:$C$504, D2881) * (SUMIFS('📋 Detalle Diario'!$E$5:$E$489, '📋 Detalle Diario'!$B$5:$B$489, B2881, '📋 Detalle Diario'!$C$5:$C$489, D2881) * 135 + SUMIFS('📋 Detalle Diario'!$I$5:$I$489, '📋 Detalle Diario'!$B$5:$B$489, B2881, '📋 Detalle Diario'!$C$5:$C$489, D2881) * 200), 0))</f>
        <v/>
      </c>
      <c r="P2881" s="32" t="str">
        <f t="shared" si="313"/>
        <v/>
      </c>
      <c r="Q2881" s="33" t="str">
        <f t="shared" si="314"/>
        <v/>
      </c>
    </row>
    <row r="2882" spans="2:17" ht="18" customHeight="1" x14ac:dyDescent="0.3">
      <c r="B2882" s="26"/>
      <c r="C2882" s="17"/>
      <c r="D2882" s="27"/>
      <c r="E2882" s="18"/>
      <c r="F2882" s="18"/>
      <c r="G2882" s="18"/>
      <c r="H2882" s="30" t="str">
        <f t="shared" si="308"/>
        <v/>
      </c>
      <c r="I2882" s="31" t="str">
        <f>IF(OR(B2882="",C2882=""),"",IFERROR(E2882*IF(E2882="",0,VLOOKUP(C2882,'📦 Precios Proforma'!$B$5:$D$104,IF(D2882="DIA",2,3),FALSE)),0))</f>
        <v/>
      </c>
      <c r="J2882" s="31" t="str">
        <f t="shared" si="309"/>
        <v/>
      </c>
      <c r="K2882" s="31" t="str">
        <f t="shared" si="310"/>
        <v/>
      </c>
      <c r="L2882" s="31" t="str">
        <f>IF(OR(B2882="",C2882=""),"",IFERROR(E2882 / SUMIFS('📅 Resumen Diario'!$D$5:$D$504, '📅 Resumen Diario'!$B$5:$B$504, B2882, '📅 Resumen Diario'!$C$5:$C$504, D2882) * SUMIFS('📅 Resumen Diario'!$K$5:$K$504, '📅 Resumen Diario'!$B$5:$B$504, B2882, '📅 Resumen Diario'!$C$5:$C$504, D2882), 0))</f>
        <v/>
      </c>
      <c r="M2882" s="31" t="str">
        <f t="shared" si="311"/>
        <v/>
      </c>
      <c r="N2882" s="31" t="str">
        <f t="shared" si="312"/>
        <v/>
      </c>
      <c r="O2882" s="31" t="str">
        <f>IF(OR(B2882="",C2882=""),"",K2882-N2882 + IFERROR(E2882 / SUMIFS('📅 Resumen Diario'!$D$5:$D$504, '📅 Resumen Diario'!$B$5:$B$504, B2882, '📅 Resumen Diario'!$C$5:$C$504, D2882) * (SUMIFS('📋 Detalle Diario'!$E$5:$E$489, '📋 Detalle Diario'!$B$5:$B$489, B2882, '📋 Detalle Diario'!$C$5:$C$489, D2882) * 135 + SUMIFS('📋 Detalle Diario'!$I$5:$I$489, '📋 Detalle Diario'!$B$5:$B$489, B2882, '📋 Detalle Diario'!$C$5:$C$489, D2882) * 200), 0))</f>
        <v/>
      </c>
      <c r="P2882" s="32" t="str">
        <f t="shared" si="313"/>
        <v/>
      </c>
      <c r="Q2882" s="33" t="str">
        <f t="shared" si="314"/>
        <v/>
      </c>
    </row>
    <row r="2883" spans="2:17" ht="18" customHeight="1" x14ac:dyDescent="0.3">
      <c r="B2883" s="26"/>
      <c r="C2883" s="28"/>
      <c r="D2883" s="27"/>
      <c r="E2883" s="29"/>
      <c r="F2883" s="29"/>
      <c r="G2883" s="29"/>
      <c r="H2883" s="30" t="str">
        <f t="shared" si="308"/>
        <v/>
      </c>
      <c r="I2883" s="31" t="str">
        <f>IF(OR(B2883="",C2883=""),"",IFERROR(E2883*IF(E2883="",0,VLOOKUP(C2883,'📦 Precios Proforma'!$B$5:$D$104,IF(D2883="DIA",2,3),FALSE)),0))</f>
        <v/>
      </c>
      <c r="J2883" s="31" t="str">
        <f t="shared" si="309"/>
        <v/>
      </c>
      <c r="K2883" s="31" t="str">
        <f t="shared" si="310"/>
        <v/>
      </c>
      <c r="L2883" s="31" t="str">
        <f>IF(OR(B2883="",C2883=""),"",IFERROR(E2883 / SUMIFS('📅 Resumen Diario'!$D$5:$D$504, '📅 Resumen Diario'!$B$5:$B$504, B2883, '📅 Resumen Diario'!$C$5:$C$504, D2883) * SUMIFS('📅 Resumen Diario'!$K$5:$K$504, '📅 Resumen Diario'!$B$5:$B$504, B2883, '📅 Resumen Diario'!$C$5:$C$504, D2883), 0))</f>
        <v/>
      </c>
      <c r="M2883" s="31" t="str">
        <f t="shared" si="311"/>
        <v/>
      </c>
      <c r="N2883" s="31" t="str">
        <f t="shared" si="312"/>
        <v/>
      </c>
      <c r="O2883" s="31" t="str">
        <f>IF(OR(B2883="",C2883=""),"",K2883-N2883 + IFERROR(E2883 / SUMIFS('📅 Resumen Diario'!$D$5:$D$504, '📅 Resumen Diario'!$B$5:$B$504, B2883, '📅 Resumen Diario'!$C$5:$C$504, D2883) * (SUMIFS('📋 Detalle Diario'!$E$5:$E$489, '📋 Detalle Diario'!$B$5:$B$489, B2883, '📋 Detalle Diario'!$C$5:$C$489, D2883) * 135 + SUMIFS('📋 Detalle Diario'!$I$5:$I$489, '📋 Detalle Diario'!$B$5:$B$489, B2883, '📋 Detalle Diario'!$C$5:$C$489, D2883) * 200), 0))</f>
        <v/>
      </c>
      <c r="P2883" s="32" t="str">
        <f t="shared" si="313"/>
        <v/>
      </c>
      <c r="Q2883" s="33" t="str">
        <f t="shared" si="314"/>
        <v/>
      </c>
    </row>
    <row r="2884" spans="2:17" ht="18" customHeight="1" x14ac:dyDescent="0.3">
      <c r="B2884" s="26"/>
      <c r="C2884" s="17"/>
      <c r="D2884" s="27"/>
      <c r="E2884" s="18"/>
      <c r="F2884" s="18"/>
      <c r="G2884" s="18"/>
      <c r="H2884" s="30" t="str">
        <f t="shared" si="308"/>
        <v/>
      </c>
      <c r="I2884" s="31" t="str">
        <f>IF(OR(B2884="",C2884=""),"",IFERROR(E2884*IF(E2884="",0,VLOOKUP(C2884,'📦 Precios Proforma'!$B$5:$D$104,IF(D2884="DIA",2,3),FALSE)),0))</f>
        <v/>
      </c>
      <c r="J2884" s="31" t="str">
        <f t="shared" si="309"/>
        <v/>
      </c>
      <c r="K2884" s="31" t="str">
        <f t="shared" si="310"/>
        <v/>
      </c>
      <c r="L2884" s="31" t="str">
        <f>IF(OR(B2884="",C2884=""),"",IFERROR(E2884 / SUMIFS('📅 Resumen Diario'!$D$5:$D$504, '📅 Resumen Diario'!$B$5:$B$504, B2884, '📅 Resumen Diario'!$C$5:$C$504, D2884) * SUMIFS('📅 Resumen Diario'!$K$5:$K$504, '📅 Resumen Diario'!$B$5:$B$504, B2884, '📅 Resumen Diario'!$C$5:$C$504, D2884), 0))</f>
        <v/>
      </c>
      <c r="M2884" s="31" t="str">
        <f t="shared" si="311"/>
        <v/>
      </c>
      <c r="N2884" s="31" t="str">
        <f t="shared" si="312"/>
        <v/>
      </c>
      <c r="O2884" s="31" t="str">
        <f>IF(OR(B2884="",C2884=""),"",K2884-N2884 + IFERROR(E2884 / SUMIFS('📅 Resumen Diario'!$D$5:$D$504, '📅 Resumen Diario'!$B$5:$B$504, B2884, '📅 Resumen Diario'!$C$5:$C$504, D2884) * (SUMIFS('📋 Detalle Diario'!$E$5:$E$489, '📋 Detalle Diario'!$B$5:$B$489, B2884, '📋 Detalle Diario'!$C$5:$C$489, D2884) * 135 + SUMIFS('📋 Detalle Diario'!$I$5:$I$489, '📋 Detalle Diario'!$B$5:$B$489, B2884, '📋 Detalle Diario'!$C$5:$C$489, D2884) * 200), 0))</f>
        <v/>
      </c>
      <c r="P2884" s="32" t="str">
        <f t="shared" si="313"/>
        <v/>
      </c>
      <c r="Q2884" s="33" t="str">
        <f t="shared" si="314"/>
        <v/>
      </c>
    </row>
    <row r="2885" spans="2:17" ht="18" customHeight="1" x14ac:dyDescent="0.3">
      <c r="B2885" s="26"/>
      <c r="C2885" s="28"/>
      <c r="D2885" s="27"/>
      <c r="E2885" s="29"/>
      <c r="F2885" s="29"/>
      <c r="G2885" s="29"/>
      <c r="H2885" s="30" t="str">
        <f t="shared" si="308"/>
        <v/>
      </c>
      <c r="I2885" s="31" t="str">
        <f>IF(OR(B2885="",C2885=""),"",IFERROR(E2885*IF(E2885="",0,VLOOKUP(C2885,'📦 Precios Proforma'!$B$5:$D$104,IF(D2885="DIA",2,3),FALSE)),0))</f>
        <v/>
      </c>
      <c r="J2885" s="31" t="str">
        <f t="shared" si="309"/>
        <v/>
      </c>
      <c r="K2885" s="31" t="str">
        <f t="shared" si="310"/>
        <v/>
      </c>
      <c r="L2885" s="31" t="str">
        <f>IF(OR(B2885="",C2885=""),"",IFERROR(E2885 / SUMIFS('📅 Resumen Diario'!$D$5:$D$504, '📅 Resumen Diario'!$B$5:$B$504, B2885, '📅 Resumen Diario'!$C$5:$C$504, D2885) * SUMIFS('📅 Resumen Diario'!$K$5:$K$504, '📅 Resumen Diario'!$B$5:$B$504, B2885, '📅 Resumen Diario'!$C$5:$C$504, D2885), 0))</f>
        <v/>
      </c>
      <c r="M2885" s="31" t="str">
        <f t="shared" si="311"/>
        <v/>
      </c>
      <c r="N2885" s="31" t="str">
        <f t="shared" si="312"/>
        <v/>
      </c>
      <c r="O2885" s="31" t="str">
        <f>IF(OR(B2885="",C2885=""),"",K2885-N2885 + IFERROR(E2885 / SUMIFS('📅 Resumen Diario'!$D$5:$D$504, '📅 Resumen Diario'!$B$5:$B$504, B2885, '📅 Resumen Diario'!$C$5:$C$504, D2885) * (SUMIFS('📋 Detalle Diario'!$E$5:$E$489, '📋 Detalle Diario'!$B$5:$B$489, B2885, '📋 Detalle Diario'!$C$5:$C$489, D2885) * 135 + SUMIFS('📋 Detalle Diario'!$I$5:$I$489, '📋 Detalle Diario'!$B$5:$B$489, B2885, '📋 Detalle Diario'!$C$5:$C$489, D2885) * 200), 0))</f>
        <v/>
      </c>
      <c r="P2885" s="32" t="str">
        <f t="shared" si="313"/>
        <v/>
      </c>
      <c r="Q2885" s="33" t="str">
        <f t="shared" si="314"/>
        <v/>
      </c>
    </row>
    <row r="2886" spans="2:17" ht="18" customHeight="1" x14ac:dyDescent="0.3">
      <c r="B2886" s="26"/>
      <c r="C2886" s="17"/>
      <c r="D2886" s="27"/>
      <c r="E2886" s="18"/>
      <c r="F2886" s="18"/>
      <c r="G2886" s="18"/>
      <c r="H2886" s="30" t="str">
        <f t="shared" si="308"/>
        <v/>
      </c>
      <c r="I2886" s="31" t="str">
        <f>IF(OR(B2886="",C2886=""),"",IFERROR(E2886*IF(E2886="",0,VLOOKUP(C2886,'📦 Precios Proforma'!$B$5:$D$104,IF(D2886="DIA",2,3),FALSE)),0))</f>
        <v/>
      </c>
      <c r="J2886" s="31" t="str">
        <f t="shared" si="309"/>
        <v/>
      </c>
      <c r="K2886" s="31" t="str">
        <f t="shared" si="310"/>
        <v/>
      </c>
      <c r="L2886" s="31" t="str">
        <f>IF(OR(B2886="",C2886=""),"",IFERROR(E2886 / SUMIFS('📅 Resumen Diario'!$D$5:$D$504, '📅 Resumen Diario'!$B$5:$B$504, B2886, '📅 Resumen Diario'!$C$5:$C$504, D2886) * SUMIFS('📅 Resumen Diario'!$K$5:$K$504, '📅 Resumen Diario'!$B$5:$B$504, B2886, '📅 Resumen Diario'!$C$5:$C$504, D2886), 0))</f>
        <v/>
      </c>
      <c r="M2886" s="31" t="str">
        <f t="shared" si="311"/>
        <v/>
      </c>
      <c r="N2886" s="31" t="str">
        <f t="shared" si="312"/>
        <v/>
      </c>
      <c r="O2886" s="31" t="str">
        <f>IF(OR(B2886="",C2886=""),"",K2886-N2886 + IFERROR(E2886 / SUMIFS('📅 Resumen Diario'!$D$5:$D$504, '📅 Resumen Diario'!$B$5:$B$504, B2886, '📅 Resumen Diario'!$C$5:$C$504, D2886) * (SUMIFS('📋 Detalle Diario'!$E$5:$E$489, '📋 Detalle Diario'!$B$5:$B$489, B2886, '📋 Detalle Diario'!$C$5:$C$489, D2886) * 135 + SUMIFS('📋 Detalle Diario'!$I$5:$I$489, '📋 Detalle Diario'!$B$5:$B$489, B2886, '📋 Detalle Diario'!$C$5:$C$489, D2886) * 200), 0))</f>
        <v/>
      </c>
      <c r="P2886" s="32" t="str">
        <f t="shared" si="313"/>
        <v/>
      </c>
      <c r="Q2886" s="33" t="str">
        <f t="shared" si="314"/>
        <v/>
      </c>
    </row>
    <row r="2887" spans="2:17" ht="18" customHeight="1" x14ac:dyDescent="0.3">
      <c r="B2887" s="26"/>
      <c r="C2887" s="28"/>
      <c r="D2887" s="27"/>
      <c r="E2887" s="29"/>
      <c r="F2887" s="29"/>
      <c r="G2887" s="29"/>
      <c r="H2887" s="30" t="str">
        <f t="shared" ref="H2887:H2950" si="315">IF(OR(B2887="",C2887=""),"",F2887+G2887)</f>
        <v/>
      </c>
      <c r="I2887" s="31" t="str">
        <f>IF(OR(B2887="",C2887=""),"",IFERROR(E2887*IF(E2887="",0,VLOOKUP(C2887,'📦 Precios Proforma'!$B$5:$D$104,IF(D2887="DIA",2,3),FALSE)),0))</f>
        <v/>
      </c>
      <c r="J2887" s="31" t="str">
        <f t="shared" ref="J2887:J2950" si="316">IF(OR(B2887="",C2887=""),"",IF(D2887="DIA",H2887*1.01,H2887*1.35))</f>
        <v/>
      </c>
      <c r="K2887" s="31" t="str">
        <f t="shared" ref="K2887:K2950" si="317">IF(OR(B2887="",C2887=""),"",I2887+J2887)</f>
        <v/>
      </c>
      <c r="L2887" s="31" t="str">
        <f>IF(OR(B2887="",C2887=""),"",IFERROR(E2887 / SUMIFS('📅 Resumen Diario'!$D$5:$D$504, '📅 Resumen Diario'!$B$5:$B$504, B2887, '📅 Resumen Diario'!$C$5:$C$504, D2887) * SUMIFS('📅 Resumen Diario'!$K$5:$K$504, '📅 Resumen Diario'!$B$5:$B$504, B2887, '📅 Resumen Diario'!$C$5:$C$504, D2887), 0))</f>
        <v/>
      </c>
      <c r="M2887" s="31" t="str">
        <f t="shared" ref="M2887:M2950" si="318">IF(OR(B2887="",C2887=""),"",H2887*0.09)</f>
        <v/>
      </c>
      <c r="N2887" s="31" t="str">
        <f t="shared" ref="N2887:N2950" si="319">IF(OR(B2887="",C2887=""),"",L2887+M2887)</f>
        <v/>
      </c>
      <c r="O2887" s="31" t="str">
        <f>IF(OR(B2887="",C2887=""),"",K2887-N2887 + IFERROR(E2887 / SUMIFS('📅 Resumen Diario'!$D$5:$D$504, '📅 Resumen Diario'!$B$5:$B$504, B2887, '📅 Resumen Diario'!$C$5:$C$504, D2887) * (SUMIFS('📋 Detalle Diario'!$E$5:$E$489, '📋 Detalle Diario'!$B$5:$B$489, B2887, '📋 Detalle Diario'!$C$5:$C$489, D2887) * 135 + SUMIFS('📋 Detalle Diario'!$I$5:$I$489, '📋 Detalle Diario'!$B$5:$B$489, B2887, '📋 Detalle Diario'!$C$5:$C$489, D2887) * 200), 0))</f>
        <v/>
      </c>
      <c r="P2887" s="32" t="str">
        <f t="shared" ref="P2887:P2950" si="320">IF(OR(B2887="",C2887=""),"",IF(K2887=0, 0, O2887/K2887))</f>
        <v/>
      </c>
      <c r="Q2887" s="33" t="str">
        <f t="shared" ref="Q2887:Q2950" si="321">IF(B2887="","",IF(ISNUMBER(B2887),YEAR(B2887)&amp;"-"&amp;IF(MONTH(B2887)&lt;10,"0","")&amp;MONTH(B2887),LEFT(B2887,7)))</f>
        <v/>
      </c>
    </row>
    <row r="2888" spans="2:17" ht="18" customHeight="1" x14ac:dyDescent="0.3">
      <c r="B2888" s="26"/>
      <c r="C2888" s="17"/>
      <c r="D2888" s="27"/>
      <c r="E2888" s="18"/>
      <c r="F2888" s="18"/>
      <c r="G2888" s="18"/>
      <c r="H2888" s="30" t="str">
        <f t="shared" si="315"/>
        <v/>
      </c>
      <c r="I2888" s="31" t="str">
        <f>IF(OR(B2888="",C2888=""),"",IFERROR(E2888*IF(E2888="",0,VLOOKUP(C2888,'📦 Precios Proforma'!$B$5:$D$104,IF(D2888="DIA",2,3),FALSE)),0))</f>
        <v/>
      </c>
      <c r="J2888" s="31" t="str">
        <f t="shared" si="316"/>
        <v/>
      </c>
      <c r="K2888" s="31" t="str">
        <f t="shared" si="317"/>
        <v/>
      </c>
      <c r="L2888" s="31" t="str">
        <f>IF(OR(B2888="",C2888=""),"",IFERROR(E2888 / SUMIFS('📅 Resumen Diario'!$D$5:$D$504, '📅 Resumen Diario'!$B$5:$B$504, B2888, '📅 Resumen Diario'!$C$5:$C$504, D2888) * SUMIFS('📅 Resumen Diario'!$K$5:$K$504, '📅 Resumen Diario'!$B$5:$B$504, B2888, '📅 Resumen Diario'!$C$5:$C$504, D2888), 0))</f>
        <v/>
      </c>
      <c r="M2888" s="31" t="str">
        <f t="shared" si="318"/>
        <v/>
      </c>
      <c r="N2888" s="31" t="str">
        <f t="shared" si="319"/>
        <v/>
      </c>
      <c r="O2888" s="31" t="str">
        <f>IF(OR(B2888="",C2888=""),"",K2888-N2888 + IFERROR(E2888 / SUMIFS('📅 Resumen Diario'!$D$5:$D$504, '📅 Resumen Diario'!$B$5:$B$504, B2888, '📅 Resumen Diario'!$C$5:$C$504, D2888) * (SUMIFS('📋 Detalle Diario'!$E$5:$E$489, '📋 Detalle Diario'!$B$5:$B$489, B2888, '📋 Detalle Diario'!$C$5:$C$489, D2888) * 135 + SUMIFS('📋 Detalle Diario'!$I$5:$I$489, '📋 Detalle Diario'!$B$5:$B$489, B2888, '📋 Detalle Diario'!$C$5:$C$489, D2888) * 200), 0))</f>
        <v/>
      </c>
      <c r="P2888" s="32" t="str">
        <f t="shared" si="320"/>
        <v/>
      </c>
      <c r="Q2888" s="33" t="str">
        <f t="shared" si="321"/>
        <v/>
      </c>
    </row>
    <row r="2889" spans="2:17" ht="18" customHeight="1" x14ac:dyDescent="0.3">
      <c r="B2889" s="26"/>
      <c r="C2889" s="28"/>
      <c r="D2889" s="27"/>
      <c r="E2889" s="29"/>
      <c r="F2889" s="29"/>
      <c r="G2889" s="29"/>
      <c r="H2889" s="30" t="str">
        <f t="shared" si="315"/>
        <v/>
      </c>
      <c r="I2889" s="31" t="str">
        <f>IF(OR(B2889="",C2889=""),"",IFERROR(E2889*IF(E2889="",0,VLOOKUP(C2889,'📦 Precios Proforma'!$B$5:$D$104,IF(D2889="DIA",2,3),FALSE)),0))</f>
        <v/>
      </c>
      <c r="J2889" s="31" t="str">
        <f t="shared" si="316"/>
        <v/>
      </c>
      <c r="K2889" s="31" t="str">
        <f t="shared" si="317"/>
        <v/>
      </c>
      <c r="L2889" s="31" t="str">
        <f>IF(OR(B2889="",C2889=""),"",IFERROR(E2889 / SUMIFS('📅 Resumen Diario'!$D$5:$D$504, '📅 Resumen Diario'!$B$5:$B$504, B2889, '📅 Resumen Diario'!$C$5:$C$504, D2889) * SUMIFS('📅 Resumen Diario'!$K$5:$K$504, '📅 Resumen Diario'!$B$5:$B$504, B2889, '📅 Resumen Diario'!$C$5:$C$504, D2889), 0))</f>
        <v/>
      </c>
      <c r="M2889" s="31" t="str">
        <f t="shared" si="318"/>
        <v/>
      </c>
      <c r="N2889" s="31" t="str">
        <f t="shared" si="319"/>
        <v/>
      </c>
      <c r="O2889" s="31" t="str">
        <f>IF(OR(B2889="",C2889=""),"",K2889-N2889 + IFERROR(E2889 / SUMIFS('📅 Resumen Diario'!$D$5:$D$504, '📅 Resumen Diario'!$B$5:$B$504, B2889, '📅 Resumen Diario'!$C$5:$C$504, D2889) * (SUMIFS('📋 Detalle Diario'!$E$5:$E$489, '📋 Detalle Diario'!$B$5:$B$489, B2889, '📋 Detalle Diario'!$C$5:$C$489, D2889) * 135 + SUMIFS('📋 Detalle Diario'!$I$5:$I$489, '📋 Detalle Diario'!$B$5:$B$489, B2889, '📋 Detalle Diario'!$C$5:$C$489, D2889) * 200), 0))</f>
        <v/>
      </c>
      <c r="P2889" s="32" t="str">
        <f t="shared" si="320"/>
        <v/>
      </c>
      <c r="Q2889" s="33" t="str">
        <f t="shared" si="321"/>
        <v/>
      </c>
    </row>
    <row r="2890" spans="2:17" ht="18" customHeight="1" x14ac:dyDescent="0.3">
      <c r="B2890" s="26"/>
      <c r="C2890" s="17"/>
      <c r="D2890" s="27"/>
      <c r="E2890" s="18"/>
      <c r="F2890" s="18"/>
      <c r="G2890" s="18"/>
      <c r="H2890" s="30" t="str">
        <f t="shared" si="315"/>
        <v/>
      </c>
      <c r="I2890" s="31" t="str">
        <f>IF(OR(B2890="",C2890=""),"",IFERROR(E2890*IF(E2890="",0,VLOOKUP(C2890,'📦 Precios Proforma'!$B$5:$D$104,IF(D2890="DIA",2,3),FALSE)),0))</f>
        <v/>
      </c>
      <c r="J2890" s="31" t="str">
        <f t="shared" si="316"/>
        <v/>
      </c>
      <c r="K2890" s="31" t="str">
        <f t="shared" si="317"/>
        <v/>
      </c>
      <c r="L2890" s="31" t="str">
        <f>IF(OR(B2890="",C2890=""),"",IFERROR(E2890 / SUMIFS('📅 Resumen Diario'!$D$5:$D$504, '📅 Resumen Diario'!$B$5:$B$504, B2890, '📅 Resumen Diario'!$C$5:$C$504, D2890) * SUMIFS('📅 Resumen Diario'!$K$5:$K$504, '📅 Resumen Diario'!$B$5:$B$504, B2890, '📅 Resumen Diario'!$C$5:$C$504, D2890), 0))</f>
        <v/>
      </c>
      <c r="M2890" s="31" t="str">
        <f t="shared" si="318"/>
        <v/>
      </c>
      <c r="N2890" s="31" t="str">
        <f t="shared" si="319"/>
        <v/>
      </c>
      <c r="O2890" s="31" t="str">
        <f>IF(OR(B2890="",C2890=""),"",K2890-N2890 + IFERROR(E2890 / SUMIFS('📅 Resumen Diario'!$D$5:$D$504, '📅 Resumen Diario'!$B$5:$B$504, B2890, '📅 Resumen Diario'!$C$5:$C$504, D2890) * (SUMIFS('📋 Detalle Diario'!$E$5:$E$489, '📋 Detalle Diario'!$B$5:$B$489, B2890, '📋 Detalle Diario'!$C$5:$C$489, D2890) * 135 + SUMIFS('📋 Detalle Diario'!$I$5:$I$489, '📋 Detalle Diario'!$B$5:$B$489, B2890, '📋 Detalle Diario'!$C$5:$C$489, D2890) * 200), 0))</f>
        <v/>
      </c>
      <c r="P2890" s="32" t="str">
        <f t="shared" si="320"/>
        <v/>
      </c>
      <c r="Q2890" s="33" t="str">
        <f t="shared" si="321"/>
        <v/>
      </c>
    </row>
    <row r="2891" spans="2:17" ht="18" customHeight="1" x14ac:dyDescent="0.3">
      <c r="B2891" s="26"/>
      <c r="C2891" s="28"/>
      <c r="D2891" s="27"/>
      <c r="E2891" s="29"/>
      <c r="F2891" s="29"/>
      <c r="G2891" s="29"/>
      <c r="H2891" s="30" t="str">
        <f t="shared" si="315"/>
        <v/>
      </c>
      <c r="I2891" s="31" t="str">
        <f>IF(OR(B2891="",C2891=""),"",IFERROR(E2891*IF(E2891="",0,VLOOKUP(C2891,'📦 Precios Proforma'!$B$5:$D$104,IF(D2891="DIA",2,3),FALSE)),0))</f>
        <v/>
      </c>
      <c r="J2891" s="31" t="str">
        <f t="shared" si="316"/>
        <v/>
      </c>
      <c r="K2891" s="31" t="str">
        <f t="shared" si="317"/>
        <v/>
      </c>
      <c r="L2891" s="31" t="str">
        <f>IF(OR(B2891="",C2891=""),"",IFERROR(E2891 / SUMIFS('📅 Resumen Diario'!$D$5:$D$504, '📅 Resumen Diario'!$B$5:$B$504, B2891, '📅 Resumen Diario'!$C$5:$C$504, D2891) * SUMIFS('📅 Resumen Diario'!$K$5:$K$504, '📅 Resumen Diario'!$B$5:$B$504, B2891, '📅 Resumen Diario'!$C$5:$C$504, D2891), 0))</f>
        <v/>
      </c>
      <c r="M2891" s="31" t="str">
        <f t="shared" si="318"/>
        <v/>
      </c>
      <c r="N2891" s="31" t="str">
        <f t="shared" si="319"/>
        <v/>
      </c>
      <c r="O2891" s="31" t="str">
        <f>IF(OR(B2891="",C2891=""),"",K2891-N2891 + IFERROR(E2891 / SUMIFS('📅 Resumen Diario'!$D$5:$D$504, '📅 Resumen Diario'!$B$5:$B$504, B2891, '📅 Resumen Diario'!$C$5:$C$504, D2891) * (SUMIFS('📋 Detalle Diario'!$E$5:$E$489, '📋 Detalle Diario'!$B$5:$B$489, B2891, '📋 Detalle Diario'!$C$5:$C$489, D2891) * 135 + SUMIFS('📋 Detalle Diario'!$I$5:$I$489, '📋 Detalle Diario'!$B$5:$B$489, B2891, '📋 Detalle Diario'!$C$5:$C$489, D2891) * 200), 0))</f>
        <v/>
      </c>
      <c r="P2891" s="32" t="str">
        <f t="shared" si="320"/>
        <v/>
      </c>
      <c r="Q2891" s="33" t="str">
        <f t="shared" si="321"/>
        <v/>
      </c>
    </row>
    <row r="2892" spans="2:17" ht="18" customHeight="1" x14ac:dyDescent="0.3">
      <c r="B2892" s="26"/>
      <c r="C2892" s="17"/>
      <c r="D2892" s="27"/>
      <c r="E2892" s="18"/>
      <c r="F2892" s="18"/>
      <c r="G2892" s="18"/>
      <c r="H2892" s="30" t="str">
        <f t="shared" si="315"/>
        <v/>
      </c>
      <c r="I2892" s="31" t="str">
        <f>IF(OR(B2892="",C2892=""),"",IFERROR(E2892*IF(E2892="",0,VLOOKUP(C2892,'📦 Precios Proforma'!$B$5:$D$104,IF(D2892="DIA",2,3),FALSE)),0))</f>
        <v/>
      </c>
      <c r="J2892" s="31" t="str">
        <f t="shared" si="316"/>
        <v/>
      </c>
      <c r="K2892" s="31" t="str">
        <f t="shared" si="317"/>
        <v/>
      </c>
      <c r="L2892" s="31" t="str">
        <f>IF(OR(B2892="",C2892=""),"",IFERROR(E2892 / SUMIFS('📅 Resumen Diario'!$D$5:$D$504, '📅 Resumen Diario'!$B$5:$B$504, B2892, '📅 Resumen Diario'!$C$5:$C$504, D2892) * SUMIFS('📅 Resumen Diario'!$K$5:$K$504, '📅 Resumen Diario'!$B$5:$B$504, B2892, '📅 Resumen Diario'!$C$5:$C$504, D2892), 0))</f>
        <v/>
      </c>
      <c r="M2892" s="31" t="str">
        <f t="shared" si="318"/>
        <v/>
      </c>
      <c r="N2892" s="31" t="str">
        <f t="shared" si="319"/>
        <v/>
      </c>
      <c r="O2892" s="31" t="str">
        <f>IF(OR(B2892="",C2892=""),"",K2892-N2892 + IFERROR(E2892 / SUMIFS('📅 Resumen Diario'!$D$5:$D$504, '📅 Resumen Diario'!$B$5:$B$504, B2892, '📅 Resumen Diario'!$C$5:$C$504, D2892) * (SUMIFS('📋 Detalle Diario'!$E$5:$E$489, '📋 Detalle Diario'!$B$5:$B$489, B2892, '📋 Detalle Diario'!$C$5:$C$489, D2892) * 135 + SUMIFS('📋 Detalle Diario'!$I$5:$I$489, '📋 Detalle Diario'!$B$5:$B$489, B2892, '📋 Detalle Diario'!$C$5:$C$489, D2892) * 200), 0))</f>
        <v/>
      </c>
      <c r="P2892" s="32" t="str">
        <f t="shared" si="320"/>
        <v/>
      </c>
      <c r="Q2892" s="33" t="str">
        <f t="shared" si="321"/>
        <v/>
      </c>
    </row>
    <row r="2893" spans="2:17" ht="18" customHeight="1" x14ac:dyDescent="0.3">
      <c r="B2893" s="26"/>
      <c r="C2893" s="28"/>
      <c r="D2893" s="27"/>
      <c r="E2893" s="29"/>
      <c r="F2893" s="29"/>
      <c r="G2893" s="29"/>
      <c r="H2893" s="30" t="str">
        <f t="shared" si="315"/>
        <v/>
      </c>
      <c r="I2893" s="31" t="str">
        <f>IF(OR(B2893="",C2893=""),"",IFERROR(E2893*IF(E2893="",0,VLOOKUP(C2893,'📦 Precios Proforma'!$B$5:$D$104,IF(D2893="DIA",2,3),FALSE)),0))</f>
        <v/>
      </c>
      <c r="J2893" s="31" t="str">
        <f t="shared" si="316"/>
        <v/>
      </c>
      <c r="K2893" s="31" t="str">
        <f t="shared" si="317"/>
        <v/>
      </c>
      <c r="L2893" s="31" t="str">
        <f>IF(OR(B2893="",C2893=""),"",IFERROR(E2893 / SUMIFS('📅 Resumen Diario'!$D$5:$D$504, '📅 Resumen Diario'!$B$5:$B$504, B2893, '📅 Resumen Diario'!$C$5:$C$504, D2893) * SUMIFS('📅 Resumen Diario'!$K$5:$K$504, '📅 Resumen Diario'!$B$5:$B$504, B2893, '📅 Resumen Diario'!$C$5:$C$504, D2893), 0))</f>
        <v/>
      </c>
      <c r="M2893" s="31" t="str">
        <f t="shared" si="318"/>
        <v/>
      </c>
      <c r="N2893" s="31" t="str">
        <f t="shared" si="319"/>
        <v/>
      </c>
      <c r="O2893" s="31" t="str">
        <f>IF(OR(B2893="",C2893=""),"",K2893-N2893 + IFERROR(E2893 / SUMIFS('📅 Resumen Diario'!$D$5:$D$504, '📅 Resumen Diario'!$B$5:$B$504, B2893, '📅 Resumen Diario'!$C$5:$C$504, D2893) * (SUMIFS('📋 Detalle Diario'!$E$5:$E$489, '📋 Detalle Diario'!$B$5:$B$489, B2893, '📋 Detalle Diario'!$C$5:$C$489, D2893) * 135 + SUMIFS('📋 Detalle Diario'!$I$5:$I$489, '📋 Detalle Diario'!$B$5:$B$489, B2893, '📋 Detalle Diario'!$C$5:$C$489, D2893) * 200), 0))</f>
        <v/>
      </c>
      <c r="P2893" s="32" t="str">
        <f t="shared" si="320"/>
        <v/>
      </c>
      <c r="Q2893" s="33" t="str">
        <f t="shared" si="321"/>
        <v/>
      </c>
    </row>
    <row r="2894" spans="2:17" ht="18" customHeight="1" x14ac:dyDescent="0.3">
      <c r="B2894" s="26"/>
      <c r="C2894" s="17"/>
      <c r="D2894" s="27"/>
      <c r="E2894" s="18"/>
      <c r="F2894" s="18"/>
      <c r="G2894" s="18"/>
      <c r="H2894" s="30" t="str">
        <f t="shared" si="315"/>
        <v/>
      </c>
      <c r="I2894" s="31" t="str">
        <f>IF(OR(B2894="",C2894=""),"",IFERROR(E2894*IF(E2894="",0,VLOOKUP(C2894,'📦 Precios Proforma'!$B$5:$D$104,IF(D2894="DIA",2,3),FALSE)),0))</f>
        <v/>
      </c>
      <c r="J2894" s="31" t="str">
        <f t="shared" si="316"/>
        <v/>
      </c>
      <c r="K2894" s="31" t="str">
        <f t="shared" si="317"/>
        <v/>
      </c>
      <c r="L2894" s="31" t="str">
        <f>IF(OR(B2894="",C2894=""),"",IFERROR(E2894 / SUMIFS('📅 Resumen Diario'!$D$5:$D$504, '📅 Resumen Diario'!$B$5:$B$504, B2894, '📅 Resumen Diario'!$C$5:$C$504, D2894) * SUMIFS('📅 Resumen Diario'!$K$5:$K$504, '📅 Resumen Diario'!$B$5:$B$504, B2894, '📅 Resumen Diario'!$C$5:$C$504, D2894), 0))</f>
        <v/>
      </c>
      <c r="M2894" s="31" t="str">
        <f t="shared" si="318"/>
        <v/>
      </c>
      <c r="N2894" s="31" t="str">
        <f t="shared" si="319"/>
        <v/>
      </c>
      <c r="O2894" s="31" t="str">
        <f>IF(OR(B2894="",C2894=""),"",K2894-N2894 + IFERROR(E2894 / SUMIFS('📅 Resumen Diario'!$D$5:$D$504, '📅 Resumen Diario'!$B$5:$B$504, B2894, '📅 Resumen Diario'!$C$5:$C$504, D2894) * (SUMIFS('📋 Detalle Diario'!$E$5:$E$489, '📋 Detalle Diario'!$B$5:$B$489, B2894, '📋 Detalle Diario'!$C$5:$C$489, D2894) * 135 + SUMIFS('📋 Detalle Diario'!$I$5:$I$489, '📋 Detalle Diario'!$B$5:$B$489, B2894, '📋 Detalle Diario'!$C$5:$C$489, D2894) * 200), 0))</f>
        <v/>
      </c>
      <c r="P2894" s="32" t="str">
        <f t="shared" si="320"/>
        <v/>
      </c>
      <c r="Q2894" s="33" t="str">
        <f t="shared" si="321"/>
        <v/>
      </c>
    </row>
    <row r="2895" spans="2:17" ht="18" customHeight="1" x14ac:dyDescent="0.3">
      <c r="B2895" s="26"/>
      <c r="C2895" s="28"/>
      <c r="D2895" s="27"/>
      <c r="E2895" s="29"/>
      <c r="F2895" s="29"/>
      <c r="G2895" s="29"/>
      <c r="H2895" s="30" t="str">
        <f t="shared" si="315"/>
        <v/>
      </c>
      <c r="I2895" s="31" t="str">
        <f>IF(OR(B2895="",C2895=""),"",IFERROR(E2895*IF(E2895="",0,VLOOKUP(C2895,'📦 Precios Proforma'!$B$5:$D$104,IF(D2895="DIA",2,3),FALSE)),0))</f>
        <v/>
      </c>
      <c r="J2895" s="31" t="str">
        <f t="shared" si="316"/>
        <v/>
      </c>
      <c r="K2895" s="31" t="str">
        <f t="shared" si="317"/>
        <v/>
      </c>
      <c r="L2895" s="31" t="str">
        <f>IF(OR(B2895="",C2895=""),"",IFERROR(E2895 / SUMIFS('📅 Resumen Diario'!$D$5:$D$504, '📅 Resumen Diario'!$B$5:$B$504, B2895, '📅 Resumen Diario'!$C$5:$C$504, D2895) * SUMIFS('📅 Resumen Diario'!$K$5:$K$504, '📅 Resumen Diario'!$B$5:$B$504, B2895, '📅 Resumen Diario'!$C$5:$C$504, D2895), 0))</f>
        <v/>
      </c>
      <c r="M2895" s="31" t="str">
        <f t="shared" si="318"/>
        <v/>
      </c>
      <c r="N2895" s="31" t="str">
        <f t="shared" si="319"/>
        <v/>
      </c>
      <c r="O2895" s="31" t="str">
        <f>IF(OR(B2895="",C2895=""),"",K2895-N2895 + IFERROR(E2895 / SUMIFS('📅 Resumen Diario'!$D$5:$D$504, '📅 Resumen Diario'!$B$5:$B$504, B2895, '📅 Resumen Diario'!$C$5:$C$504, D2895) * (SUMIFS('📋 Detalle Diario'!$E$5:$E$489, '📋 Detalle Diario'!$B$5:$B$489, B2895, '📋 Detalle Diario'!$C$5:$C$489, D2895) * 135 + SUMIFS('📋 Detalle Diario'!$I$5:$I$489, '📋 Detalle Diario'!$B$5:$B$489, B2895, '📋 Detalle Diario'!$C$5:$C$489, D2895) * 200), 0))</f>
        <v/>
      </c>
      <c r="P2895" s="32" t="str">
        <f t="shared" si="320"/>
        <v/>
      </c>
      <c r="Q2895" s="33" t="str">
        <f t="shared" si="321"/>
        <v/>
      </c>
    </row>
    <row r="2896" spans="2:17" ht="18" customHeight="1" x14ac:dyDescent="0.3">
      <c r="B2896" s="26"/>
      <c r="C2896" s="17"/>
      <c r="D2896" s="27"/>
      <c r="E2896" s="18"/>
      <c r="F2896" s="18"/>
      <c r="G2896" s="18"/>
      <c r="H2896" s="30" t="str">
        <f t="shared" si="315"/>
        <v/>
      </c>
      <c r="I2896" s="31" t="str">
        <f>IF(OR(B2896="",C2896=""),"",IFERROR(E2896*IF(E2896="",0,VLOOKUP(C2896,'📦 Precios Proforma'!$B$5:$D$104,IF(D2896="DIA",2,3),FALSE)),0))</f>
        <v/>
      </c>
      <c r="J2896" s="31" t="str">
        <f t="shared" si="316"/>
        <v/>
      </c>
      <c r="K2896" s="31" t="str">
        <f t="shared" si="317"/>
        <v/>
      </c>
      <c r="L2896" s="31" t="str">
        <f>IF(OR(B2896="",C2896=""),"",IFERROR(E2896 / SUMIFS('📅 Resumen Diario'!$D$5:$D$504, '📅 Resumen Diario'!$B$5:$B$504, B2896, '📅 Resumen Diario'!$C$5:$C$504, D2896) * SUMIFS('📅 Resumen Diario'!$K$5:$K$504, '📅 Resumen Diario'!$B$5:$B$504, B2896, '📅 Resumen Diario'!$C$5:$C$504, D2896), 0))</f>
        <v/>
      </c>
      <c r="M2896" s="31" t="str">
        <f t="shared" si="318"/>
        <v/>
      </c>
      <c r="N2896" s="31" t="str">
        <f t="shared" si="319"/>
        <v/>
      </c>
      <c r="O2896" s="31" t="str">
        <f>IF(OR(B2896="",C2896=""),"",K2896-N2896 + IFERROR(E2896 / SUMIFS('📅 Resumen Diario'!$D$5:$D$504, '📅 Resumen Diario'!$B$5:$B$504, B2896, '📅 Resumen Diario'!$C$5:$C$504, D2896) * (SUMIFS('📋 Detalle Diario'!$E$5:$E$489, '📋 Detalle Diario'!$B$5:$B$489, B2896, '📋 Detalle Diario'!$C$5:$C$489, D2896) * 135 + SUMIFS('📋 Detalle Diario'!$I$5:$I$489, '📋 Detalle Diario'!$B$5:$B$489, B2896, '📋 Detalle Diario'!$C$5:$C$489, D2896) * 200), 0))</f>
        <v/>
      </c>
      <c r="P2896" s="32" t="str">
        <f t="shared" si="320"/>
        <v/>
      </c>
      <c r="Q2896" s="33" t="str">
        <f t="shared" si="321"/>
        <v/>
      </c>
    </row>
    <row r="2897" spans="2:17" ht="18" customHeight="1" x14ac:dyDescent="0.3">
      <c r="B2897" s="26"/>
      <c r="C2897" s="28"/>
      <c r="D2897" s="27"/>
      <c r="E2897" s="29"/>
      <c r="F2897" s="29"/>
      <c r="G2897" s="29"/>
      <c r="H2897" s="30" t="str">
        <f t="shared" si="315"/>
        <v/>
      </c>
      <c r="I2897" s="31" t="str">
        <f>IF(OR(B2897="",C2897=""),"",IFERROR(E2897*IF(E2897="",0,VLOOKUP(C2897,'📦 Precios Proforma'!$B$5:$D$104,IF(D2897="DIA",2,3),FALSE)),0))</f>
        <v/>
      </c>
      <c r="J2897" s="31" t="str">
        <f t="shared" si="316"/>
        <v/>
      </c>
      <c r="K2897" s="31" t="str">
        <f t="shared" si="317"/>
        <v/>
      </c>
      <c r="L2897" s="31" t="str">
        <f>IF(OR(B2897="",C2897=""),"",IFERROR(E2897 / SUMIFS('📅 Resumen Diario'!$D$5:$D$504, '📅 Resumen Diario'!$B$5:$B$504, B2897, '📅 Resumen Diario'!$C$5:$C$504, D2897) * SUMIFS('📅 Resumen Diario'!$K$5:$K$504, '📅 Resumen Diario'!$B$5:$B$504, B2897, '📅 Resumen Diario'!$C$5:$C$504, D2897), 0))</f>
        <v/>
      </c>
      <c r="M2897" s="31" t="str">
        <f t="shared" si="318"/>
        <v/>
      </c>
      <c r="N2897" s="31" t="str">
        <f t="shared" si="319"/>
        <v/>
      </c>
      <c r="O2897" s="31" t="str">
        <f>IF(OR(B2897="",C2897=""),"",K2897-N2897 + IFERROR(E2897 / SUMIFS('📅 Resumen Diario'!$D$5:$D$504, '📅 Resumen Diario'!$B$5:$B$504, B2897, '📅 Resumen Diario'!$C$5:$C$504, D2897) * (SUMIFS('📋 Detalle Diario'!$E$5:$E$489, '📋 Detalle Diario'!$B$5:$B$489, B2897, '📋 Detalle Diario'!$C$5:$C$489, D2897) * 135 + SUMIFS('📋 Detalle Diario'!$I$5:$I$489, '📋 Detalle Diario'!$B$5:$B$489, B2897, '📋 Detalle Diario'!$C$5:$C$489, D2897) * 200), 0))</f>
        <v/>
      </c>
      <c r="P2897" s="32" t="str">
        <f t="shared" si="320"/>
        <v/>
      </c>
      <c r="Q2897" s="33" t="str">
        <f t="shared" si="321"/>
        <v/>
      </c>
    </row>
    <row r="2898" spans="2:17" ht="18" customHeight="1" x14ac:dyDescent="0.3">
      <c r="B2898" s="26"/>
      <c r="C2898" s="17"/>
      <c r="D2898" s="27"/>
      <c r="E2898" s="18"/>
      <c r="F2898" s="18"/>
      <c r="G2898" s="18"/>
      <c r="H2898" s="30" t="str">
        <f t="shared" si="315"/>
        <v/>
      </c>
      <c r="I2898" s="31" t="str">
        <f>IF(OR(B2898="",C2898=""),"",IFERROR(E2898*IF(E2898="",0,VLOOKUP(C2898,'📦 Precios Proforma'!$B$5:$D$104,IF(D2898="DIA",2,3),FALSE)),0))</f>
        <v/>
      </c>
      <c r="J2898" s="31" t="str">
        <f t="shared" si="316"/>
        <v/>
      </c>
      <c r="K2898" s="31" t="str">
        <f t="shared" si="317"/>
        <v/>
      </c>
      <c r="L2898" s="31" t="str">
        <f>IF(OR(B2898="",C2898=""),"",IFERROR(E2898 / SUMIFS('📅 Resumen Diario'!$D$5:$D$504, '📅 Resumen Diario'!$B$5:$B$504, B2898, '📅 Resumen Diario'!$C$5:$C$504, D2898) * SUMIFS('📅 Resumen Diario'!$K$5:$K$504, '📅 Resumen Diario'!$B$5:$B$504, B2898, '📅 Resumen Diario'!$C$5:$C$504, D2898), 0))</f>
        <v/>
      </c>
      <c r="M2898" s="31" t="str">
        <f t="shared" si="318"/>
        <v/>
      </c>
      <c r="N2898" s="31" t="str">
        <f t="shared" si="319"/>
        <v/>
      </c>
      <c r="O2898" s="31" t="str">
        <f>IF(OR(B2898="",C2898=""),"",K2898-N2898 + IFERROR(E2898 / SUMIFS('📅 Resumen Diario'!$D$5:$D$504, '📅 Resumen Diario'!$B$5:$B$504, B2898, '📅 Resumen Diario'!$C$5:$C$504, D2898) * (SUMIFS('📋 Detalle Diario'!$E$5:$E$489, '📋 Detalle Diario'!$B$5:$B$489, B2898, '📋 Detalle Diario'!$C$5:$C$489, D2898) * 135 + SUMIFS('📋 Detalle Diario'!$I$5:$I$489, '📋 Detalle Diario'!$B$5:$B$489, B2898, '📋 Detalle Diario'!$C$5:$C$489, D2898) * 200), 0))</f>
        <v/>
      </c>
      <c r="P2898" s="32" t="str">
        <f t="shared" si="320"/>
        <v/>
      </c>
      <c r="Q2898" s="33" t="str">
        <f t="shared" si="321"/>
        <v/>
      </c>
    </row>
    <row r="2899" spans="2:17" ht="18" customHeight="1" x14ac:dyDescent="0.3">
      <c r="B2899" s="26"/>
      <c r="C2899" s="28"/>
      <c r="D2899" s="27"/>
      <c r="E2899" s="29"/>
      <c r="F2899" s="29"/>
      <c r="G2899" s="29"/>
      <c r="H2899" s="30" t="str">
        <f t="shared" si="315"/>
        <v/>
      </c>
      <c r="I2899" s="31" t="str">
        <f>IF(OR(B2899="",C2899=""),"",IFERROR(E2899*IF(E2899="",0,VLOOKUP(C2899,'📦 Precios Proforma'!$B$5:$D$104,IF(D2899="DIA",2,3),FALSE)),0))</f>
        <v/>
      </c>
      <c r="J2899" s="31" t="str">
        <f t="shared" si="316"/>
        <v/>
      </c>
      <c r="K2899" s="31" t="str">
        <f t="shared" si="317"/>
        <v/>
      </c>
      <c r="L2899" s="31" t="str">
        <f>IF(OR(B2899="",C2899=""),"",IFERROR(E2899 / SUMIFS('📅 Resumen Diario'!$D$5:$D$504, '📅 Resumen Diario'!$B$5:$B$504, B2899, '📅 Resumen Diario'!$C$5:$C$504, D2899) * SUMIFS('📅 Resumen Diario'!$K$5:$K$504, '📅 Resumen Diario'!$B$5:$B$504, B2899, '📅 Resumen Diario'!$C$5:$C$504, D2899), 0))</f>
        <v/>
      </c>
      <c r="M2899" s="31" t="str">
        <f t="shared" si="318"/>
        <v/>
      </c>
      <c r="N2899" s="31" t="str">
        <f t="shared" si="319"/>
        <v/>
      </c>
      <c r="O2899" s="31" t="str">
        <f>IF(OR(B2899="",C2899=""),"",K2899-N2899 + IFERROR(E2899 / SUMIFS('📅 Resumen Diario'!$D$5:$D$504, '📅 Resumen Diario'!$B$5:$B$504, B2899, '📅 Resumen Diario'!$C$5:$C$504, D2899) * (SUMIFS('📋 Detalle Diario'!$E$5:$E$489, '📋 Detalle Diario'!$B$5:$B$489, B2899, '📋 Detalle Diario'!$C$5:$C$489, D2899) * 135 + SUMIFS('📋 Detalle Diario'!$I$5:$I$489, '📋 Detalle Diario'!$B$5:$B$489, B2899, '📋 Detalle Diario'!$C$5:$C$489, D2899) * 200), 0))</f>
        <v/>
      </c>
      <c r="P2899" s="32" t="str">
        <f t="shared" si="320"/>
        <v/>
      </c>
      <c r="Q2899" s="33" t="str">
        <f t="shared" si="321"/>
        <v/>
      </c>
    </row>
    <row r="2900" spans="2:17" ht="18" customHeight="1" x14ac:dyDescent="0.3">
      <c r="B2900" s="26"/>
      <c r="C2900" s="17"/>
      <c r="D2900" s="27"/>
      <c r="E2900" s="18"/>
      <c r="F2900" s="18"/>
      <c r="G2900" s="18"/>
      <c r="H2900" s="30" t="str">
        <f t="shared" si="315"/>
        <v/>
      </c>
      <c r="I2900" s="31" t="str">
        <f>IF(OR(B2900="",C2900=""),"",IFERROR(E2900*IF(E2900="",0,VLOOKUP(C2900,'📦 Precios Proforma'!$B$5:$D$104,IF(D2900="DIA",2,3),FALSE)),0))</f>
        <v/>
      </c>
      <c r="J2900" s="31" t="str">
        <f t="shared" si="316"/>
        <v/>
      </c>
      <c r="K2900" s="31" t="str">
        <f t="shared" si="317"/>
        <v/>
      </c>
      <c r="L2900" s="31" t="str">
        <f>IF(OR(B2900="",C2900=""),"",IFERROR(E2900 / SUMIFS('📅 Resumen Diario'!$D$5:$D$504, '📅 Resumen Diario'!$B$5:$B$504, B2900, '📅 Resumen Diario'!$C$5:$C$504, D2900) * SUMIFS('📅 Resumen Diario'!$K$5:$K$504, '📅 Resumen Diario'!$B$5:$B$504, B2900, '📅 Resumen Diario'!$C$5:$C$504, D2900), 0))</f>
        <v/>
      </c>
      <c r="M2900" s="31" t="str">
        <f t="shared" si="318"/>
        <v/>
      </c>
      <c r="N2900" s="31" t="str">
        <f t="shared" si="319"/>
        <v/>
      </c>
      <c r="O2900" s="31" t="str">
        <f>IF(OR(B2900="",C2900=""),"",K2900-N2900 + IFERROR(E2900 / SUMIFS('📅 Resumen Diario'!$D$5:$D$504, '📅 Resumen Diario'!$B$5:$B$504, B2900, '📅 Resumen Diario'!$C$5:$C$504, D2900) * (SUMIFS('📋 Detalle Diario'!$E$5:$E$489, '📋 Detalle Diario'!$B$5:$B$489, B2900, '📋 Detalle Diario'!$C$5:$C$489, D2900) * 135 + SUMIFS('📋 Detalle Diario'!$I$5:$I$489, '📋 Detalle Diario'!$B$5:$B$489, B2900, '📋 Detalle Diario'!$C$5:$C$489, D2900) * 200), 0))</f>
        <v/>
      </c>
      <c r="P2900" s="32" t="str">
        <f t="shared" si="320"/>
        <v/>
      </c>
      <c r="Q2900" s="33" t="str">
        <f t="shared" si="321"/>
        <v/>
      </c>
    </row>
    <row r="2901" spans="2:17" ht="18" customHeight="1" x14ac:dyDescent="0.3">
      <c r="B2901" s="26"/>
      <c r="C2901" s="28"/>
      <c r="D2901" s="27"/>
      <c r="E2901" s="29"/>
      <c r="F2901" s="29"/>
      <c r="G2901" s="29"/>
      <c r="H2901" s="30" t="str">
        <f t="shared" si="315"/>
        <v/>
      </c>
      <c r="I2901" s="31" t="str">
        <f>IF(OR(B2901="",C2901=""),"",IFERROR(E2901*IF(E2901="",0,VLOOKUP(C2901,'📦 Precios Proforma'!$B$5:$D$104,IF(D2901="DIA",2,3),FALSE)),0))</f>
        <v/>
      </c>
      <c r="J2901" s="31" t="str">
        <f t="shared" si="316"/>
        <v/>
      </c>
      <c r="K2901" s="31" t="str">
        <f t="shared" si="317"/>
        <v/>
      </c>
      <c r="L2901" s="31" t="str">
        <f>IF(OR(B2901="",C2901=""),"",IFERROR(E2901 / SUMIFS('📅 Resumen Diario'!$D$5:$D$504, '📅 Resumen Diario'!$B$5:$B$504, B2901, '📅 Resumen Diario'!$C$5:$C$504, D2901) * SUMIFS('📅 Resumen Diario'!$K$5:$K$504, '📅 Resumen Diario'!$B$5:$B$504, B2901, '📅 Resumen Diario'!$C$5:$C$504, D2901), 0))</f>
        <v/>
      </c>
      <c r="M2901" s="31" t="str">
        <f t="shared" si="318"/>
        <v/>
      </c>
      <c r="N2901" s="31" t="str">
        <f t="shared" si="319"/>
        <v/>
      </c>
      <c r="O2901" s="31" t="str">
        <f>IF(OR(B2901="",C2901=""),"",K2901-N2901 + IFERROR(E2901 / SUMIFS('📅 Resumen Diario'!$D$5:$D$504, '📅 Resumen Diario'!$B$5:$B$504, B2901, '📅 Resumen Diario'!$C$5:$C$504, D2901) * (SUMIFS('📋 Detalle Diario'!$E$5:$E$489, '📋 Detalle Diario'!$B$5:$B$489, B2901, '📋 Detalle Diario'!$C$5:$C$489, D2901) * 135 + SUMIFS('📋 Detalle Diario'!$I$5:$I$489, '📋 Detalle Diario'!$B$5:$B$489, B2901, '📋 Detalle Diario'!$C$5:$C$489, D2901) * 200), 0))</f>
        <v/>
      </c>
      <c r="P2901" s="32" t="str">
        <f t="shared" si="320"/>
        <v/>
      </c>
      <c r="Q2901" s="33" t="str">
        <f t="shared" si="321"/>
        <v/>
      </c>
    </row>
    <row r="2902" spans="2:17" ht="18" customHeight="1" x14ac:dyDescent="0.3">
      <c r="B2902" s="26"/>
      <c r="C2902" s="17"/>
      <c r="D2902" s="27"/>
      <c r="E2902" s="18"/>
      <c r="F2902" s="18"/>
      <c r="G2902" s="18"/>
      <c r="H2902" s="30" t="str">
        <f t="shared" si="315"/>
        <v/>
      </c>
      <c r="I2902" s="31" t="str">
        <f>IF(OR(B2902="",C2902=""),"",IFERROR(E2902*IF(E2902="",0,VLOOKUP(C2902,'📦 Precios Proforma'!$B$5:$D$104,IF(D2902="DIA",2,3),FALSE)),0))</f>
        <v/>
      </c>
      <c r="J2902" s="31" t="str">
        <f t="shared" si="316"/>
        <v/>
      </c>
      <c r="K2902" s="31" t="str">
        <f t="shared" si="317"/>
        <v/>
      </c>
      <c r="L2902" s="31" t="str">
        <f>IF(OR(B2902="",C2902=""),"",IFERROR(E2902 / SUMIFS('📅 Resumen Diario'!$D$5:$D$504, '📅 Resumen Diario'!$B$5:$B$504, B2902, '📅 Resumen Diario'!$C$5:$C$504, D2902) * SUMIFS('📅 Resumen Diario'!$K$5:$K$504, '📅 Resumen Diario'!$B$5:$B$504, B2902, '📅 Resumen Diario'!$C$5:$C$504, D2902), 0))</f>
        <v/>
      </c>
      <c r="M2902" s="31" t="str">
        <f t="shared" si="318"/>
        <v/>
      </c>
      <c r="N2902" s="31" t="str">
        <f t="shared" si="319"/>
        <v/>
      </c>
      <c r="O2902" s="31" t="str">
        <f>IF(OR(B2902="",C2902=""),"",K2902-N2902 + IFERROR(E2902 / SUMIFS('📅 Resumen Diario'!$D$5:$D$504, '📅 Resumen Diario'!$B$5:$B$504, B2902, '📅 Resumen Diario'!$C$5:$C$504, D2902) * (SUMIFS('📋 Detalle Diario'!$E$5:$E$489, '📋 Detalle Diario'!$B$5:$B$489, B2902, '📋 Detalle Diario'!$C$5:$C$489, D2902) * 135 + SUMIFS('📋 Detalle Diario'!$I$5:$I$489, '📋 Detalle Diario'!$B$5:$B$489, B2902, '📋 Detalle Diario'!$C$5:$C$489, D2902) * 200), 0))</f>
        <v/>
      </c>
      <c r="P2902" s="32" t="str">
        <f t="shared" si="320"/>
        <v/>
      </c>
      <c r="Q2902" s="33" t="str">
        <f t="shared" si="321"/>
        <v/>
      </c>
    </row>
    <row r="2903" spans="2:17" ht="18" customHeight="1" x14ac:dyDescent="0.3">
      <c r="B2903" s="26"/>
      <c r="C2903" s="28"/>
      <c r="D2903" s="27"/>
      <c r="E2903" s="29"/>
      <c r="F2903" s="29"/>
      <c r="G2903" s="29"/>
      <c r="H2903" s="30" t="str">
        <f t="shared" si="315"/>
        <v/>
      </c>
      <c r="I2903" s="31" t="str">
        <f>IF(OR(B2903="",C2903=""),"",IFERROR(E2903*IF(E2903="",0,VLOOKUP(C2903,'📦 Precios Proforma'!$B$5:$D$104,IF(D2903="DIA",2,3),FALSE)),0))</f>
        <v/>
      </c>
      <c r="J2903" s="31" t="str">
        <f t="shared" si="316"/>
        <v/>
      </c>
      <c r="K2903" s="31" t="str">
        <f t="shared" si="317"/>
        <v/>
      </c>
      <c r="L2903" s="31" t="str">
        <f>IF(OR(B2903="",C2903=""),"",IFERROR(E2903 / SUMIFS('📅 Resumen Diario'!$D$5:$D$504, '📅 Resumen Diario'!$B$5:$B$504, B2903, '📅 Resumen Diario'!$C$5:$C$504, D2903) * SUMIFS('📅 Resumen Diario'!$K$5:$K$504, '📅 Resumen Diario'!$B$5:$B$504, B2903, '📅 Resumen Diario'!$C$5:$C$504, D2903), 0))</f>
        <v/>
      </c>
      <c r="M2903" s="31" t="str">
        <f t="shared" si="318"/>
        <v/>
      </c>
      <c r="N2903" s="31" t="str">
        <f t="shared" si="319"/>
        <v/>
      </c>
      <c r="O2903" s="31" t="str">
        <f>IF(OR(B2903="",C2903=""),"",K2903-N2903 + IFERROR(E2903 / SUMIFS('📅 Resumen Diario'!$D$5:$D$504, '📅 Resumen Diario'!$B$5:$B$504, B2903, '📅 Resumen Diario'!$C$5:$C$504, D2903) * (SUMIFS('📋 Detalle Diario'!$E$5:$E$489, '📋 Detalle Diario'!$B$5:$B$489, B2903, '📋 Detalle Diario'!$C$5:$C$489, D2903) * 135 + SUMIFS('📋 Detalle Diario'!$I$5:$I$489, '📋 Detalle Diario'!$B$5:$B$489, B2903, '📋 Detalle Diario'!$C$5:$C$489, D2903) * 200), 0))</f>
        <v/>
      </c>
      <c r="P2903" s="32" t="str">
        <f t="shared" si="320"/>
        <v/>
      </c>
      <c r="Q2903" s="33" t="str">
        <f t="shared" si="321"/>
        <v/>
      </c>
    </row>
    <row r="2904" spans="2:17" ht="18" customHeight="1" x14ac:dyDescent="0.3">
      <c r="B2904" s="26"/>
      <c r="C2904" s="17"/>
      <c r="D2904" s="27"/>
      <c r="E2904" s="18"/>
      <c r="F2904" s="18"/>
      <c r="G2904" s="18"/>
      <c r="H2904" s="30" t="str">
        <f t="shared" si="315"/>
        <v/>
      </c>
      <c r="I2904" s="31" t="str">
        <f>IF(OR(B2904="",C2904=""),"",IFERROR(E2904*IF(E2904="",0,VLOOKUP(C2904,'📦 Precios Proforma'!$B$5:$D$104,IF(D2904="DIA",2,3),FALSE)),0))</f>
        <v/>
      </c>
      <c r="J2904" s="31" t="str">
        <f t="shared" si="316"/>
        <v/>
      </c>
      <c r="K2904" s="31" t="str">
        <f t="shared" si="317"/>
        <v/>
      </c>
      <c r="L2904" s="31" t="str">
        <f>IF(OR(B2904="",C2904=""),"",IFERROR(E2904 / SUMIFS('📅 Resumen Diario'!$D$5:$D$504, '📅 Resumen Diario'!$B$5:$B$504, B2904, '📅 Resumen Diario'!$C$5:$C$504, D2904) * SUMIFS('📅 Resumen Diario'!$K$5:$K$504, '📅 Resumen Diario'!$B$5:$B$504, B2904, '📅 Resumen Diario'!$C$5:$C$504, D2904), 0))</f>
        <v/>
      </c>
      <c r="M2904" s="31" t="str">
        <f t="shared" si="318"/>
        <v/>
      </c>
      <c r="N2904" s="31" t="str">
        <f t="shared" si="319"/>
        <v/>
      </c>
      <c r="O2904" s="31" t="str">
        <f>IF(OR(B2904="",C2904=""),"",K2904-N2904 + IFERROR(E2904 / SUMIFS('📅 Resumen Diario'!$D$5:$D$504, '📅 Resumen Diario'!$B$5:$B$504, B2904, '📅 Resumen Diario'!$C$5:$C$504, D2904) * (SUMIFS('📋 Detalle Diario'!$E$5:$E$489, '📋 Detalle Diario'!$B$5:$B$489, B2904, '📋 Detalle Diario'!$C$5:$C$489, D2904) * 135 + SUMIFS('📋 Detalle Diario'!$I$5:$I$489, '📋 Detalle Diario'!$B$5:$B$489, B2904, '📋 Detalle Diario'!$C$5:$C$489, D2904) * 200), 0))</f>
        <v/>
      </c>
      <c r="P2904" s="32" t="str">
        <f t="shared" si="320"/>
        <v/>
      </c>
      <c r="Q2904" s="33" t="str">
        <f t="shared" si="321"/>
        <v/>
      </c>
    </row>
    <row r="2905" spans="2:17" ht="18" customHeight="1" x14ac:dyDescent="0.3">
      <c r="B2905" s="26"/>
      <c r="C2905" s="28"/>
      <c r="D2905" s="27"/>
      <c r="E2905" s="29"/>
      <c r="F2905" s="29"/>
      <c r="G2905" s="29"/>
      <c r="H2905" s="30" t="str">
        <f t="shared" si="315"/>
        <v/>
      </c>
      <c r="I2905" s="31" t="str">
        <f>IF(OR(B2905="",C2905=""),"",IFERROR(E2905*IF(E2905="",0,VLOOKUP(C2905,'📦 Precios Proforma'!$B$5:$D$104,IF(D2905="DIA",2,3),FALSE)),0))</f>
        <v/>
      </c>
      <c r="J2905" s="31" t="str">
        <f t="shared" si="316"/>
        <v/>
      </c>
      <c r="K2905" s="31" t="str">
        <f t="shared" si="317"/>
        <v/>
      </c>
      <c r="L2905" s="31" t="str">
        <f>IF(OR(B2905="",C2905=""),"",IFERROR(E2905 / SUMIFS('📅 Resumen Diario'!$D$5:$D$504, '📅 Resumen Diario'!$B$5:$B$504, B2905, '📅 Resumen Diario'!$C$5:$C$504, D2905) * SUMIFS('📅 Resumen Diario'!$K$5:$K$504, '📅 Resumen Diario'!$B$5:$B$504, B2905, '📅 Resumen Diario'!$C$5:$C$504, D2905), 0))</f>
        <v/>
      </c>
      <c r="M2905" s="31" t="str">
        <f t="shared" si="318"/>
        <v/>
      </c>
      <c r="N2905" s="31" t="str">
        <f t="shared" si="319"/>
        <v/>
      </c>
      <c r="O2905" s="31" t="str">
        <f>IF(OR(B2905="",C2905=""),"",K2905-N2905 + IFERROR(E2905 / SUMIFS('📅 Resumen Diario'!$D$5:$D$504, '📅 Resumen Diario'!$B$5:$B$504, B2905, '📅 Resumen Diario'!$C$5:$C$504, D2905) * (SUMIFS('📋 Detalle Diario'!$E$5:$E$489, '📋 Detalle Diario'!$B$5:$B$489, B2905, '📋 Detalle Diario'!$C$5:$C$489, D2905) * 135 + SUMIFS('📋 Detalle Diario'!$I$5:$I$489, '📋 Detalle Diario'!$B$5:$B$489, B2905, '📋 Detalle Diario'!$C$5:$C$489, D2905) * 200), 0))</f>
        <v/>
      </c>
      <c r="P2905" s="32" t="str">
        <f t="shared" si="320"/>
        <v/>
      </c>
      <c r="Q2905" s="33" t="str">
        <f t="shared" si="321"/>
        <v/>
      </c>
    </row>
    <row r="2906" spans="2:17" ht="18" customHeight="1" x14ac:dyDescent="0.3">
      <c r="B2906" s="26"/>
      <c r="C2906" s="17"/>
      <c r="D2906" s="27"/>
      <c r="E2906" s="18"/>
      <c r="F2906" s="18"/>
      <c r="G2906" s="18"/>
      <c r="H2906" s="30" t="str">
        <f t="shared" si="315"/>
        <v/>
      </c>
      <c r="I2906" s="31" t="str">
        <f>IF(OR(B2906="",C2906=""),"",IFERROR(E2906*IF(E2906="",0,VLOOKUP(C2906,'📦 Precios Proforma'!$B$5:$D$104,IF(D2906="DIA",2,3),FALSE)),0))</f>
        <v/>
      </c>
      <c r="J2906" s="31" t="str">
        <f t="shared" si="316"/>
        <v/>
      </c>
      <c r="K2906" s="31" t="str">
        <f t="shared" si="317"/>
        <v/>
      </c>
      <c r="L2906" s="31" t="str">
        <f>IF(OR(B2906="",C2906=""),"",IFERROR(E2906 / SUMIFS('📅 Resumen Diario'!$D$5:$D$504, '📅 Resumen Diario'!$B$5:$B$504, B2906, '📅 Resumen Diario'!$C$5:$C$504, D2906) * SUMIFS('📅 Resumen Diario'!$K$5:$K$504, '📅 Resumen Diario'!$B$5:$B$504, B2906, '📅 Resumen Diario'!$C$5:$C$504, D2906), 0))</f>
        <v/>
      </c>
      <c r="M2906" s="31" t="str">
        <f t="shared" si="318"/>
        <v/>
      </c>
      <c r="N2906" s="31" t="str">
        <f t="shared" si="319"/>
        <v/>
      </c>
      <c r="O2906" s="31" t="str">
        <f>IF(OR(B2906="",C2906=""),"",K2906-N2906 + IFERROR(E2906 / SUMIFS('📅 Resumen Diario'!$D$5:$D$504, '📅 Resumen Diario'!$B$5:$B$504, B2906, '📅 Resumen Diario'!$C$5:$C$504, D2906) * (SUMIFS('📋 Detalle Diario'!$E$5:$E$489, '📋 Detalle Diario'!$B$5:$B$489, B2906, '📋 Detalle Diario'!$C$5:$C$489, D2906) * 135 + SUMIFS('📋 Detalle Diario'!$I$5:$I$489, '📋 Detalle Diario'!$B$5:$B$489, B2906, '📋 Detalle Diario'!$C$5:$C$489, D2906) * 200), 0))</f>
        <v/>
      </c>
      <c r="P2906" s="32" t="str">
        <f t="shared" si="320"/>
        <v/>
      </c>
      <c r="Q2906" s="33" t="str">
        <f t="shared" si="321"/>
        <v/>
      </c>
    </row>
    <row r="2907" spans="2:17" ht="18" customHeight="1" x14ac:dyDescent="0.3">
      <c r="B2907" s="26"/>
      <c r="C2907" s="28"/>
      <c r="D2907" s="27"/>
      <c r="E2907" s="29"/>
      <c r="F2907" s="29"/>
      <c r="G2907" s="29"/>
      <c r="H2907" s="30" t="str">
        <f t="shared" si="315"/>
        <v/>
      </c>
      <c r="I2907" s="31" t="str">
        <f>IF(OR(B2907="",C2907=""),"",IFERROR(E2907*IF(E2907="",0,VLOOKUP(C2907,'📦 Precios Proforma'!$B$5:$D$104,IF(D2907="DIA",2,3),FALSE)),0))</f>
        <v/>
      </c>
      <c r="J2907" s="31" t="str">
        <f t="shared" si="316"/>
        <v/>
      </c>
      <c r="K2907" s="31" t="str">
        <f t="shared" si="317"/>
        <v/>
      </c>
      <c r="L2907" s="31" t="str">
        <f>IF(OR(B2907="",C2907=""),"",IFERROR(E2907 / SUMIFS('📅 Resumen Diario'!$D$5:$D$504, '📅 Resumen Diario'!$B$5:$B$504, B2907, '📅 Resumen Diario'!$C$5:$C$504, D2907) * SUMIFS('📅 Resumen Diario'!$K$5:$K$504, '📅 Resumen Diario'!$B$5:$B$504, B2907, '📅 Resumen Diario'!$C$5:$C$504, D2907), 0))</f>
        <v/>
      </c>
      <c r="M2907" s="31" t="str">
        <f t="shared" si="318"/>
        <v/>
      </c>
      <c r="N2907" s="31" t="str">
        <f t="shared" si="319"/>
        <v/>
      </c>
      <c r="O2907" s="31" t="str">
        <f>IF(OR(B2907="",C2907=""),"",K2907-N2907 + IFERROR(E2907 / SUMIFS('📅 Resumen Diario'!$D$5:$D$504, '📅 Resumen Diario'!$B$5:$B$504, B2907, '📅 Resumen Diario'!$C$5:$C$504, D2907) * (SUMIFS('📋 Detalle Diario'!$E$5:$E$489, '📋 Detalle Diario'!$B$5:$B$489, B2907, '📋 Detalle Diario'!$C$5:$C$489, D2907) * 135 + SUMIFS('📋 Detalle Diario'!$I$5:$I$489, '📋 Detalle Diario'!$B$5:$B$489, B2907, '📋 Detalle Diario'!$C$5:$C$489, D2907) * 200), 0))</f>
        <v/>
      </c>
      <c r="P2907" s="32" t="str">
        <f t="shared" si="320"/>
        <v/>
      </c>
      <c r="Q2907" s="33" t="str">
        <f t="shared" si="321"/>
        <v/>
      </c>
    </row>
    <row r="2908" spans="2:17" ht="18" customHeight="1" x14ac:dyDescent="0.3">
      <c r="B2908" s="26"/>
      <c r="C2908" s="17"/>
      <c r="D2908" s="27"/>
      <c r="E2908" s="18"/>
      <c r="F2908" s="18"/>
      <c r="G2908" s="18"/>
      <c r="H2908" s="30" t="str">
        <f t="shared" si="315"/>
        <v/>
      </c>
      <c r="I2908" s="31" t="str">
        <f>IF(OR(B2908="",C2908=""),"",IFERROR(E2908*IF(E2908="",0,VLOOKUP(C2908,'📦 Precios Proforma'!$B$5:$D$104,IF(D2908="DIA",2,3),FALSE)),0))</f>
        <v/>
      </c>
      <c r="J2908" s="31" t="str">
        <f t="shared" si="316"/>
        <v/>
      </c>
      <c r="K2908" s="31" t="str">
        <f t="shared" si="317"/>
        <v/>
      </c>
      <c r="L2908" s="31" t="str">
        <f>IF(OR(B2908="",C2908=""),"",IFERROR(E2908 / SUMIFS('📅 Resumen Diario'!$D$5:$D$504, '📅 Resumen Diario'!$B$5:$B$504, B2908, '📅 Resumen Diario'!$C$5:$C$504, D2908) * SUMIFS('📅 Resumen Diario'!$K$5:$K$504, '📅 Resumen Diario'!$B$5:$B$504, B2908, '📅 Resumen Diario'!$C$5:$C$504, D2908), 0))</f>
        <v/>
      </c>
      <c r="M2908" s="31" t="str">
        <f t="shared" si="318"/>
        <v/>
      </c>
      <c r="N2908" s="31" t="str">
        <f t="shared" si="319"/>
        <v/>
      </c>
      <c r="O2908" s="31" t="str">
        <f>IF(OR(B2908="",C2908=""),"",K2908-N2908 + IFERROR(E2908 / SUMIFS('📅 Resumen Diario'!$D$5:$D$504, '📅 Resumen Diario'!$B$5:$B$504, B2908, '📅 Resumen Diario'!$C$5:$C$504, D2908) * (SUMIFS('📋 Detalle Diario'!$E$5:$E$489, '📋 Detalle Diario'!$B$5:$B$489, B2908, '📋 Detalle Diario'!$C$5:$C$489, D2908) * 135 + SUMIFS('📋 Detalle Diario'!$I$5:$I$489, '📋 Detalle Diario'!$B$5:$B$489, B2908, '📋 Detalle Diario'!$C$5:$C$489, D2908) * 200), 0))</f>
        <v/>
      </c>
      <c r="P2908" s="32" t="str">
        <f t="shared" si="320"/>
        <v/>
      </c>
      <c r="Q2908" s="33" t="str">
        <f t="shared" si="321"/>
        <v/>
      </c>
    </row>
    <row r="2909" spans="2:17" ht="18" customHeight="1" x14ac:dyDescent="0.3">
      <c r="B2909" s="26"/>
      <c r="C2909" s="28"/>
      <c r="D2909" s="27"/>
      <c r="E2909" s="29"/>
      <c r="F2909" s="29"/>
      <c r="G2909" s="29"/>
      <c r="H2909" s="30" t="str">
        <f t="shared" si="315"/>
        <v/>
      </c>
      <c r="I2909" s="31" t="str">
        <f>IF(OR(B2909="",C2909=""),"",IFERROR(E2909*IF(E2909="",0,VLOOKUP(C2909,'📦 Precios Proforma'!$B$5:$D$104,IF(D2909="DIA",2,3),FALSE)),0))</f>
        <v/>
      </c>
      <c r="J2909" s="31" t="str">
        <f t="shared" si="316"/>
        <v/>
      </c>
      <c r="K2909" s="31" t="str">
        <f t="shared" si="317"/>
        <v/>
      </c>
      <c r="L2909" s="31" t="str">
        <f>IF(OR(B2909="",C2909=""),"",IFERROR(E2909 / SUMIFS('📅 Resumen Diario'!$D$5:$D$504, '📅 Resumen Diario'!$B$5:$B$504, B2909, '📅 Resumen Diario'!$C$5:$C$504, D2909) * SUMIFS('📅 Resumen Diario'!$K$5:$K$504, '📅 Resumen Diario'!$B$5:$B$504, B2909, '📅 Resumen Diario'!$C$5:$C$504, D2909), 0))</f>
        <v/>
      </c>
      <c r="M2909" s="31" t="str">
        <f t="shared" si="318"/>
        <v/>
      </c>
      <c r="N2909" s="31" t="str">
        <f t="shared" si="319"/>
        <v/>
      </c>
      <c r="O2909" s="31" t="str">
        <f>IF(OR(B2909="",C2909=""),"",K2909-N2909 + IFERROR(E2909 / SUMIFS('📅 Resumen Diario'!$D$5:$D$504, '📅 Resumen Diario'!$B$5:$B$504, B2909, '📅 Resumen Diario'!$C$5:$C$504, D2909) * (SUMIFS('📋 Detalle Diario'!$E$5:$E$489, '📋 Detalle Diario'!$B$5:$B$489, B2909, '📋 Detalle Diario'!$C$5:$C$489, D2909) * 135 + SUMIFS('📋 Detalle Diario'!$I$5:$I$489, '📋 Detalle Diario'!$B$5:$B$489, B2909, '📋 Detalle Diario'!$C$5:$C$489, D2909) * 200), 0))</f>
        <v/>
      </c>
      <c r="P2909" s="32" t="str">
        <f t="shared" si="320"/>
        <v/>
      </c>
      <c r="Q2909" s="33" t="str">
        <f t="shared" si="321"/>
        <v/>
      </c>
    </row>
    <row r="2910" spans="2:17" ht="18" customHeight="1" x14ac:dyDescent="0.3">
      <c r="B2910" s="26"/>
      <c r="C2910" s="17"/>
      <c r="D2910" s="27"/>
      <c r="E2910" s="18"/>
      <c r="F2910" s="18"/>
      <c r="G2910" s="18"/>
      <c r="H2910" s="30" t="str">
        <f t="shared" si="315"/>
        <v/>
      </c>
      <c r="I2910" s="31" t="str">
        <f>IF(OR(B2910="",C2910=""),"",IFERROR(E2910*IF(E2910="",0,VLOOKUP(C2910,'📦 Precios Proforma'!$B$5:$D$104,IF(D2910="DIA",2,3),FALSE)),0))</f>
        <v/>
      </c>
      <c r="J2910" s="31" t="str">
        <f t="shared" si="316"/>
        <v/>
      </c>
      <c r="K2910" s="31" t="str">
        <f t="shared" si="317"/>
        <v/>
      </c>
      <c r="L2910" s="31" t="str">
        <f>IF(OR(B2910="",C2910=""),"",IFERROR(E2910 / SUMIFS('📅 Resumen Diario'!$D$5:$D$504, '📅 Resumen Diario'!$B$5:$B$504, B2910, '📅 Resumen Diario'!$C$5:$C$504, D2910) * SUMIFS('📅 Resumen Diario'!$K$5:$K$504, '📅 Resumen Diario'!$B$5:$B$504, B2910, '📅 Resumen Diario'!$C$5:$C$504, D2910), 0))</f>
        <v/>
      </c>
      <c r="M2910" s="31" t="str">
        <f t="shared" si="318"/>
        <v/>
      </c>
      <c r="N2910" s="31" t="str">
        <f t="shared" si="319"/>
        <v/>
      </c>
      <c r="O2910" s="31" t="str">
        <f>IF(OR(B2910="",C2910=""),"",K2910-N2910 + IFERROR(E2910 / SUMIFS('📅 Resumen Diario'!$D$5:$D$504, '📅 Resumen Diario'!$B$5:$B$504, B2910, '📅 Resumen Diario'!$C$5:$C$504, D2910) * (SUMIFS('📋 Detalle Diario'!$E$5:$E$489, '📋 Detalle Diario'!$B$5:$B$489, B2910, '📋 Detalle Diario'!$C$5:$C$489, D2910) * 135 + SUMIFS('📋 Detalle Diario'!$I$5:$I$489, '📋 Detalle Diario'!$B$5:$B$489, B2910, '📋 Detalle Diario'!$C$5:$C$489, D2910) * 200), 0))</f>
        <v/>
      </c>
      <c r="P2910" s="32" t="str">
        <f t="shared" si="320"/>
        <v/>
      </c>
      <c r="Q2910" s="33" t="str">
        <f t="shared" si="321"/>
        <v/>
      </c>
    </row>
    <row r="2911" spans="2:17" ht="18" customHeight="1" x14ac:dyDescent="0.3">
      <c r="B2911" s="26"/>
      <c r="C2911" s="28"/>
      <c r="D2911" s="27"/>
      <c r="E2911" s="29"/>
      <c r="F2911" s="29"/>
      <c r="G2911" s="29"/>
      <c r="H2911" s="30" t="str">
        <f t="shared" si="315"/>
        <v/>
      </c>
      <c r="I2911" s="31" t="str">
        <f>IF(OR(B2911="",C2911=""),"",IFERROR(E2911*IF(E2911="",0,VLOOKUP(C2911,'📦 Precios Proforma'!$B$5:$D$104,IF(D2911="DIA",2,3),FALSE)),0))</f>
        <v/>
      </c>
      <c r="J2911" s="31" t="str">
        <f t="shared" si="316"/>
        <v/>
      </c>
      <c r="K2911" s="31" t="str">
        <f t="shared" si="317"/>
        <v/>
      </c>
      <c r="L2911" s="31" t="str">
        <f>IF(OR(B2911="",C2911=""),"",IFERROR(E2911 / SUMIFS('📅 Resumen Diario'!$D$5:$D$504, '📅 Resumen Diario'!$B$5:$B$504, B2911, '📅 Resumen Diario'!$C$5:$C$504, D2911) * SUMIFS('📅 Resumen Diario'!$K$5:$K$504, '📅 Resumen Diario'!$B$5:$B$504, B2911, '📅 Resumen Diario'!$C$5:$C$504, D2911), 0))</f>
        <v/>
      </c>
      <c r="M2911" s="31" t="str">
        <f t="shared" si="318"/>
        <v/>
      </c>
      <c r="N2911" s="31" t="str">
        <f t="shared" si="319"/>
        <v/>
      </c>
      <c r="O2911" s="31" t="str">
        <f>IF(OR(B2911="",C2911=""),"",K2911-N2911 + IFERROR(E2911 / SUMIFS('📅 Resumen Diario'!$D$5:$D$504, '📅 Resumen Diario'!$B$5:$B$504, B2911, '📅 Resumen Diario'!$C$5:$C$504, D2911) * (SUMIFS('📋 Detalle Diario'!$E$5:$E$489, '📋 Detalle Diario'!$B$5:$B$489, B2911, '📋 Detalle Diario'!$C$5:$C$489, D2911) * 135 + SUMIFS('📋 Detalle Diario'!$I$5:$I$489, '📋 Detalle Diario'!$B$5:$B$489, B2911, '📋 Detalle Diario'!$C$5:$C$489, D2911) * 200), 0))</f>
        <v/>
      </c>
      <c r="P2911" s="32" t="str">
        <f t="shared" si="320"/>
        <v/>
      </c>
      <c r="Q2911" s="33" t="str">
        <f t="shared" si="321"/>
        <v/>
      </c>
    </row>
    <row r="2912" spans="2:17" ht="18" customHeight="1" x14ac:dyDescent="0.3">
      <c r="B2912" s="26"/>
      <c r="C2912" s="17"/>
      <c r="D2912" s="27"/>
      <c r="E2912" s="18"/>
      <c r="F2912" s="18"/>
      <c r="G2912" s="18"/>
      <c r="H2912" s="30" t="str">
        <f t="shared" si="315"/>
        <v/>
      </c>
      <c r="I2912" s="31" t="str">
        <f>IF(OR(B2912="",C2912=""),"",IFERROR(E2912*IF(E2912="",0,VLOOKUP(C2912,'📦 Precios Proforma'!$B$5:$D$104,IF(D2912="DIA",2,3),FALSE)),0))</f>
        <v/>
      </c>
      <c r="J2912" s="31" t="str">
        <f t="shared" si="316"/>
        <v/>
      </c>
      <c r="K2912" s="31" t="str">
        <f t="shared" si="317"/>
        <v/>
      </c>
      <c r="L2912" s="31" t="str">
        <f>IF(OR(B2912="",C2912=""),"",IFERROR(E2912 / SUMIFS('📅 Resumen Diario'!$D$5:$D$504, '📅 Resumen Diario'!$B$5:$B$504, B2912, '📅 Resumen Diario'!$C$5:$C$504, D2912) * SUMIFS('📅 Resumen Diario'!$K$5:$K$504, '📅 Resumen Diario'!$B$5:$B$504, B2912, '📅 Resumen Diario'!$C$5:$C$504, D2912), 0))</f>
        <v/>
      </c>
      <c r="M2912" s="31" t="str">
        <f t="shared" si="318"/>
        <v/>
      </c>
      <c r="N2912" s="31" t="str">
        <f t="shared" si="319"/>
        <v/>
      </c>
      <c r="O2912" s="31" t="str">
        <f>IF(OR(B2912="",C2912=""),"",K2912-N2912 + IFERROR(E2912 / SUMIFS('📅 Resumen Diario'!$D$5:$D$504, '📅 Resumen Diario'!$B$5:$B$504, B2912, '📅 Resumen Diario'!$C$5:$C$504, D2912) * (SUMIFS('📋 Detalle Diario'!$E$5:$E$489, '📋 Detalle Diario'!$B$5:$B$489, B2912, '📋 Detalle Diario'!$C$5:$C$489, D2912) * 135 + SUMIFS('📋 Detalle Diario'!$I$5:$I$489, '📋 Detalle Diario'!$B$5:$B$489, B2912, '📋 Detalle Diario'!$C$5:$C$489, D2912) * 200), 0))</f>
        <v/>
      </c>
      <c r="P2912" s="32" t="str">
        <f t="shared" si="320"/>
        <v/>
      </c>
      <c r="Q2912" s="33" t="str">
        <f t="shared" si="321"/>
        <v/>
      </c>
    </row>
    <row r="2913" spans="2:17" ht="18" customHeight="1" x14ac:dyDescent="0.3">
      <c r="B2913" s="26"/>
      <c r="C2913" s="28"/>
      <c r="D2913" s="27"/>
      <c r="E2913" s="29"/>
      <c r="F2913" s="29"/>
      <c r="G2913" s="29"/>
      <c r="H2913" s="30" t="str">
        <f t="shared" si="315"/>
        <v/>
      </c>
      <c r="I2913" s="31" t="str">
        <f>IF(OR(B2913="",C2913=""),"",IFERROR(E2913*IF(E2913="",0,VLOOKUP(C2913,'📦 Precios Proforma'!$B$5:$D$104,IF(D2913="DIA",2,3),FALSE)),0))</f>
        <v/>
      </c>
      <c r="J2913" s="31" t="str">
        <f t="shared" si="316"/>
        <v/>
      </c>
      <c r="K2913" s="31" t="str">
        <f t="shared" si="317"/>
        <v/>
      </c>
      <c r="L2913" s="31" t="str">
        <f>IF(OR(B2913="",C2913=""),"",IFERROR(E2913 / SUMIFS('📅 Resumen Diario'!$D$5:$D$504, '📅 Resumen Diario'!$B$5:$B$504, B2913, '📅 Resumen Diario'!$C$5:$C$504, D2913) * SUMIFS('📅 Resumen Diario'!$K$5:$K$504, '📅 Resumen Diario'!$B$5:$B$504, B2913, '📅 Resumen Diario'!$C$5:$C$504, D2913), 0))</f>
        <v/>
      </c>
      <c r="M2913" s="31" t="str">
        <f t="shared" si="318"/>
        <v/>
      </c>
      <c r="N2913" s="31" t="str">
        <f t="shared" si="319"/>
        <v/>
      </c>
      <c r="O2913" s="31" t="str">
        <f>IF(OR(B2913="",C2913=""),"",K2913-N2913 + IFERROR(E2913 / SUMIFS('📅 Resumen Diario'!$D$5:$D$504, '📅 Resumen Diario'!$B$5:$B$504, B2913, '📅 Resumen Diario'!$C$5:$C$504, D2913) * (SUMIFS('📋 Detalle Diario'!$E$5:$E$489, '📋 Detalle Diario'!$B$5:$B$489, B2913, '📋 Detalle Diario'!$C$5:$C$489, D2913) * 135 + SUMIFS('📋 Detalle Diario'!$I$5:$I$489, '📋 Detalle Diario'!$B$5:$B$489, B2913, '📋 Detalle Diario'!$C$5:$C$489, D2913) * 200), 0))</f>
        <v/>
      </c>
      <c r="P2913" s="32" t="str">
        <f t="shared" si="320"/>
        <v/>
      </c>
      <c r="Q2913" s="33" t="str">
        <f t="shared" si="321"/>
        <v/>
      </c>
    </row>
    <row r="2914" spans="2:17" ht="18" customHeight="1" x14ac:dyDescent="0.3">
      <c r="B2914" s="26"/>
      <c r="C2914" s="17"/>
      <c r="D2914" s="27"/>
      <c r="E2914" s="18"/>
      <c r="F2914" s="18"/>
      <c r="G2914" s="18"/>
      <c r="H2914" s="30" t="str">
        <f t="shared" si="315"/>
        <v/>
      </c>
      <c r="I2914" s="31" t="str">
        <f>IF(OR(B2914="",C2914=""),"",IFERROR(E2914*IF(E2914="",0,VLOOKUP(C2914,'📦 Precios Proforma'!$B$5:$D$104,IF(D2914="DIA",2,3),FALSE)),0))</f>
        <v/>
      </c>
      <c r="J2914" s="31" t="str">
        <f t="shared" si="316"/>
        <v/>
      </c>
      <c r="K2914" s="31" t="str">
        <f t="shared" si="317"/>
        <v/>
      </c>
      <c r="L2914" s="31" t="str">
        <f>IF(OR(B2914="",C2914=""),"",IFERROR(E2914 / SUMIFS('📅 Resumen Diario'!$D$5:$D$504, '📅 Resumen Diario'!$B$5:$B$504, B2914, '📅 Resumen Diario'!$C$5:$C$504, D2914) * SUMIFS('📅 Resumen Diario'!$K$5:$K$504, '📅 Resumen Diario'!$B$5:$B$504, B2914, '📅 Resumen Diario'!$C$5:$C$504, D2914), 0))</f>
        <v/>
      </c>
      <c r="M2914" s="31" t="str">
        <f t="shared" si="318"/>
        <v/>
      </c>
      <c r="N2914" s="31" t="str">
        <f t="shared" si="319"/>
        <v/>
      </c>
      <c r="O2914" s="31" t="str">
        <f>IF(OR(B2914="",C2914=""),"",K2914-N2914 + IFERROR(E2914 / SUMIFS('📅 Resumen Diario'!$D$5:$D$504, '📅 Resumen Diario'!$B$5:$B$504, B2914, '📅 Resumen Diario'!$C$5:$C$504, D2914) * (SUMIFS('📋 Detalle Diario'!$E$5:$E$489, '📋 Detalle Diario'!$B$5:$B$489, B2914, '📋 Detalle Diario'!$C$5:$C$489, D2914) * 135 + SUMIFS('📋 Detalle Diario'!$I$5:$I$489, '📋 Detalle Diario'!$B$5:$B$489, B2914, '📋 Detalle Diario'!$C$5:$C$489, D2914) * 200), 0))</f>
        <v/>
      </c>
      <c r="P2914" s="32" t="str">
        <f t="shared" si="320"/>
        <v/>
      </c>
      <c r="Q2914" s="33" t="str">
        <f t="shared" si="321"/>
        <v/>
      </c>
    </row>
    <row r="2915" spans="2:17" ht="18" customHeight="1" x14ac:dyDescent="0.3">
      <c r="B2915" s="26"/>
      <c r="C2915" s="28"/>
      <c r="D2915" s="27"/>
      <c r="E2915" s="29"/>
      <c r="F2915" s="29"/>
      <c r="G2915" s="29"/>
      <c r="H2915" s="30" t="str">
        <f t="shared" si="315"/>
        <v/>
      </c>
      <c r="I2915" s="31" t="str">
        <f>IF(OR(B2915="",C2915=""),"",IFERROR(E2915*IF(E2915="",0,VLOOKUP(C2915,'📦 Precios Proforma'!$B$5:$D$104,IF(D2915="DIA",2,3),FALSE)),0))</f>
        <v/>
      </c>
      <c r="J2915" s="31" t="str">
        <f t="shared" si="316"/>
        <v/>
      </c>
      <c r="K2915" s="31" t="str">
        <f t="shared" si="317"/>
        <v/>
      </c>
      <c r="L2915" s="31" t="str">
        <f>IF(OR(B2915="",C2915=""),"",IFERROR(E2915 / SUMIFS('📅 Resumen Diario'!$D$5:$D$504, '📅 Resumen Diario'!$B$5:$B$504, B2915, '📅 Resumen Diario'!$C$5:$C$504, D2915) * SUMIFS('📅 Resumen Diario'!$K$5:$K$504, '📅 Resumen Diario'!$B$5:$B$504, B2915, '📅 Resumen Diario'!$C$5:$C$504, D2915), 0))</f>
        <v/>
      </c>
      <c r="M2915" s="31" t="str">
        <f t="shared" si="318"/>
        <v/>
      </c>
      <c r="N2915" s="31" t="str">
        <f t="shared" si="319"/>
        <v/>
      </c>
      <c r="O2915" s="31" t="str">
        <f>IF(OR(B2915="",C2915=""),"",K2915-N2915 + IFERROR(E2915 / SUMIFS('📅 Resumen Diario'!$D$5:$D$504, '📅 Resumen Diario'!$B$5:$B$504, B2915, '📅 Resumen Diario'!$C$5:$C$504, D2915) * (SUMIFS('📋 Detalle Diario'!$E$5:$E$489, '📋 Detalle Diario'!$B$5:$B$489, B2915, '📋 Detalle Diario'!$C$5:$C$489, D2915) * 135 + SUMIFS('📋 Detalle Diario'!$I$5:$I$489, '📋 Detalle Diario'!$B$5:$B$489, B2915, '📋 Detalle Diario'!$C$5:$C$489, D2915) * 200), 0))</f>
        <v/>
      </c>
      <c r="P2915" s="32" t="str">
        <f t="shared" si="320"/>
        <v/>
      </c>
      <c r="Q2915" s="33" t="str">
        <f t="shared" si="321"/>
        <v/>
      </c>
    </row>
    <row r="2916" spans="2:17" ht="18" customHeight="1" x14ac:dyDescent="0.3">
      <c r="B2916" s="26"/>
      <c r="C2916" s="17"/>
      <c r="D2916" s="27"/>
      <c r="E2916" s="18"/>
      <c r="F2916" s="18"/>
      <c r="G2916" s="18"/>
      <c r="H2916" s="30" t="str">
        <f t="shared" si="315"/>
        <v/>
      </c>
      <c r="I2916" s="31" t="str">
        <f>IF(OR(B2916="",C2916=""),"",IFERROR(E2916*IF(E2916="",0,VLOOKUP(C2916,'📦 Precios Proforma'!$B$5:$D$104,IF(D2916="DIA",2,3),FALSE)),0))</f>
        <v/>
      </c>
      <c r="J2916" s="31" t="str">
        <f t="shared" si="316"/>
        <v/>
      </c>
      <c r="K2916" s="31" t="str">
        <f t="shared" si="317"/>
        <v/>
      </c>
      <c r="L2916" s="31" t="str">
        <f>IF(OR(B2916="",C2916=""),"",IFERROR(E2916 / SUMIFS('📅 Resumen Diario'!$D$5:$D$504, '📅 Resumen Diario'!$B$5:$B$504, B2916, '📅 Resumen Diario'!$C$5:$C$504, D2916) * SUMIFS('📅 Resumen Diario'!$K$5:$K$504, '📅 Resumen Diario'!$B$5:$B$504, B2916, '📅 Resumen Diario'!$C$5:$C$504, D2916), 0))</f>
        <v/>
      </c>
      <c r="M2916" s="31" t="str">
        <f t="shared" si="318"/>
        <v/>
      </c>
      <c r="N2916" s="31" t="str">
        <f t="shared" si="319"/>
        <v/>
      </c>
      <c r="O2916" s="31" t="str">
        <f>IF(OR(B2916="",C2916=""),"",K2916-N2916 + IFERROR(E2916 / SUMIFS('📅 Resumen Diario'!$D$5:$D$504, '📅 Resumen Diario'!$B$5:$B$504, B2916, '📅 Resumen Diario'!$C$5:$C$504, D2916) * (SUMIFS('📋 Detalle Diario'!$E$5:$E$489, '📋 Detalle Diario'!$B$5:$B$489, B2916, '📋 Detalle Diario'!$C$5:$C$489, D2916) * 135 + SUMIFS('📋 Detalle Diario'!$I$5:$I$489, '📋 Detalle Diario'!$B$5:$B$489, B2916, '📋 Detalle Diario'!$C$5:$C$489, D2916) * 200), 0))</f>
        <v/>
      </c>
      <c r="P2916" s="32" t="str">
        <f t="shared" si="320"/>
        <v/>
      </c>
      <c r="Q2916" s="33" t="str">
        <f t="shared" si="321"/>
        <v/>
      </c>
    </row>
    <row r="2917" spans="2:17" ht="18" customHeight="1" x14ac:dyDescent="0.3">
      <c r="B2917" s="26"/>
      <c r="C2917" s="28"/>
      <c r="D2917" s="27"/>
      <c r="E2917" s="29"/>
      <c r="F2917" s="29"/>
      <c r="G2917" s="29"/>
      <c r="H2917" s="30" t="str">
        <f t="shared" si="315"/>
        <v/>
      </c>
      <c r="I2917" s="31" t="str">
        <f>IF(OR(B2917="",C2917=""),"",IFERROR(E2917*IF(E2917="",0,VLOOKUP(C2917,'📦 Precios Proforma'!$B$5:$D$104,IF(D2917="DIA",2,3),FALSE)),0))</f>
        <v/>
      </c>
      <c r="J2917" s="31" t="str">
        <f t="shared" si="316"/>
        <v/>
      </c>
      <c r="K2917" s="31" t="str">
        <f t="shared" si="317"/>
        <v/>
      </c>
      <c r="L2917" s="31" t="str">
        <f>IF(OR(B2917="",C2917=""),"",IFERROR(E2917 / SUMIFS('📅 Resumen Diario'!$D$5:$D$504, '📅 Resumen Diario'!$B$5:$B$504, B2917, '📅 Resumen Diario'!$C$5:$C$504, D2917) * SUMIFS('📅 Resumen Diario'!$K$5:$K$504, '📅 Resumen Diario'!$B$5:$B$504, B2917, '📅 Resumen Diario'!$C$5:$C$504, D2917), 0))</f>
        <v/>
      </c>
      <c r="M2917" s="31" t="str">
        <f t="shared" si="318"/>
        <v/>
      </c>
      <c r="N2917" s="31" t="str">
        <f t="shared" si="319"/>
        <v/>
      </c>
      <c r="O2917" s="31" t="str">
        <f>IF(OR(B2917="",C2917=""),"",K2917-N2917 + IFERROR(E2917 / SUMIFS('📅 Resumen Diario'!$D$5:$D$504, '📅 Resumen Diario'!$B$5:$B$504, B2917, '📅 Resumen Diario'!$C$5:$C$504, D2917) * (SUMIFS('📋 Detalle Diario'!$E$5:$E$489, '📋 Detalle Diario'!$B$5:$B$489, B2917, '📋 Detalle Diario'!$C$5:$C$489, D2917) * 135 + SUMIFS('📋 Detalle Diario'!$I$5:$I$489, '📋 Detalle Diario'!$B$5:$B$489, B2917, '📋 Detalle Diario'!$C$5:$C$489, D2917) * 200), 0))</f>
        <v/>
      </c>
      <c r="P2917" s="32" t="str">
        <f t="shared" si="320"/>
        <v/>
      </c>
      <c r="Q2917" s="33" t="str">
        <f t="shared" si="321"/>
        <v/>
      </c>
    </row>
    <row r="2918" spans="2:17" ht="18" customHeight="1" x14ac:dyDescent="0.3">
      <c r="B2918" s="26"/>
      <c r="C2918" s="17"/>
      <c r="D2918" s="27"/>
      <c r="E2918" s="18"/>
      <c r="F2918" s="18"/>
      <c r="G2918" s="18"/>
      <c r="H2918" s="30" t="str">
        <f t="shared" si="315"/>
        <v/>
      </c>
      <c r="I2918" s="31" t="str">
        <f>IF(OR(B2918="",C2918=""),"",IFERROR(E2918*IF(E2918="",0,VLOOKUP(C2918,'📦 Precios Proforma'!$B$5:$D$104,IF(D2918="DIA",2,3),FALSE)),0))</f>
        <v/>
      </c>
      <c r="J2918" s="31" t="str">
        <f t="shared" si="316"/>
        <v/>
      </c>
      <c r="K2918" s="31" t="str">
        <f t="shared" si="317"/>
        <v/>
      </c>
      <c r="L2918" s="31" t="str">
        <f>IF(OR(B2918="",C2918=""),"",IFERROR(E2918 / SUMIFS('📅 Resumen Diario'!$D$5:$D$504, '📅 Resumen Diario'!$B$5:$B$504, B2918, '📅 Resumen Diario'!$C$5:$C$504, D2918) * SUMIFS('📅 Resumen Diario'!$K$5:$K$504, '📅 Resumen Diario'!$B$5:$B$504, B2918, '📅 Resumen Diario'!$C$5:$C$504, D2918), 0))</f>
        <v/>
      </c>
      <c r="M2918" s="31" t="str">
        <f t="shared" si="318"/>
        <v/>
      </c>
      <c r="N2918" s="31" t="str">
        <f t="shared" si="319"/>
        <v/>
      </c>
      <c r="O2918" s="31" t="str">
        <f>IF(OR(B2918="",C2918=""),"",K2918-N2918 + IFERROR(E2918 / SUMIFS('📅 Resumen Diario'!$D$5:$D$504, '📅 Resumen Diario'!$B$5:$B$504, B2918, '📅 Resumen Diario'!$C$5:$C$504, D2918) * (SUMIFS('📋 Detalle Diario'!$E$5:$E$489, '📋 Detalle Diario'!$B$5:$B$489, B2918, '📋 Detalle Diario'!$C$5:$C$489, D2918) * 135 + SUMIFS('📋 Detalle Diario'!$I$5:$I$489, '📋 Detalle Diario'!$B$5:$B$489, B2918, '📋 Detalle Diario'!$C$5:$C$489, D2918) * 200), 0))</f>
        <v/>
      </c>
      <c r="P2918" s="32" t="str">
        <f t="shared" si="320"/>
        <v/>
      </c>
      <c r="Q2918" s="33" t="str">
        <f t="shared" si="321"/>
        <v/>
      </c>
    </row>
    <row r="2919" spans="2:17" ht="18" customHeight="1" x14ac:dyDescent="0.3">
      <c r="B2919" s="26"/>
      <c r="C2919" s="28"/>
      <c r="D2919" s="27"/>
      <c r="E2919" s="29"/>
      <c r="F2919" s="29"/>
      <c r="G2919" s="29"/>
      <c r="H2919" s="30" t="str">
        <f t="shared" si="315"/>
        <v/>
      </c>
      <c r="I2919" s="31" t="str">
        <f>IF(OR(B2919="",C2919=""),"",IFERROR(E2919*IF(E2919="",0,VLOOKUP(C2919,'📦 Precios Proforma'!$B$5:$D$104,IF(D2919="DIA",2,3),FALSE)),0))</f>
        <v/>
      </c>
      <c r="J2919" s="31" t="str">
        <f t="shared" si="316"/>
        <v/>
      </c>
      <c r="K2919" s="31" t="str">
        <f t="shared" si="317"/>
        <v/>
      </c>
      <c r="L2919" s="31" t="str">
        <f>IF(OR(B2919="",C2919=""),"",IFERROR(E2919 / SUMIFS('📅 Resumen Diario'!$D$5:$D$504, '📅 Resumen Diario'!$B$5:$B$504, B2919, '📅 Resumen Diario'!$C$5:$C$504, D2919) * SUMIFS('📅 Resumen Diario'!$K$5:$K$504, '📅 Resumen Diario'!$B$5:$B$504, B2919, '📅 Resumen Diario'!$C$5:$C$504, D2919), 0))</f>
        <v/>
      </c>
      <c r="M2919" s="31" t="str">
        <f t="shared" si="318"/>
        <v/>
      </c>
      <c r="N2919" s="31" t="str">
        <f t="shared" si="319"/>
        <v/>
      </c>
      <c r="O2919" s="31" t="str">
        <f>IF(OR(B2919="",C2919=""),"",K2919-N2919 + IFERROR(E2919 / SUMIFS('📅 Resumen Diario'!$D$5:$D$504, '📅 Resumen Diario'!$B$5:$B$504, B2919, '📅 Resumen Diario'!$C$5:$C$504, D2919) * (SUMIFS('📋 Detalle Diario'!$E$5:$E$489, '📋 Detalle Diario'!$B$5:$B$489, B2919, '📋 Detalle Diario'!$C$5:$C$489, D2919) * 135 + SUMIFS('📋 Detalle Diario'!$I$5:$I$489, '📋 Detalle Diario'!$B$5:$B$489, B2919, '📋 Detalle Diario'!$C$5:$C$489, D2919) * 200), 0))</f>
        <v/>
      </c>
      <c r="P2919" s="32" t="str">
        <f t="shared" si="320"/>
        <v/>
      </c>
      <c r="Q2919" s="33" t="str">
        <f t="shared" si="321"/>
        <v/>
      </c>
    </row>
    <row r="2920" spans="2:17" ht="18" customHeight="1" x14ac:dyDescent="0.3">
      <c r="B2920" s="26"/>
      <c r="C2920" s="17"/>
      <c r="D2920" s="27"/>
      <c r="E2920" s="18"/>
      <c r="F2920" s="18"/>
      <c r="G2920" s="18"/>
      <c r="H2920" s="30" t="str">
        <f t="shared" si="315"/>
        <v/>
      </c>
      <c r="I2920" s="31" t="str">
        <f>IF(OR(B2920="",C2920=""),"",IFERROR(E2920*IF(E2920="",0,VLOOKUP(C2920,'📦 Precios Proforma'!$B$5:$D$104,IF(D2920="DIA",2,3),FALSE)),0))</f>
        <v/>
      </c>
      <c r="J2920" s="31" t="str">
        <f t="shared" si="316"/>
        <v/>
      </c>
      <c r="K2920" s="31" t="str">
        <f t="shared" si="317"/>
        <v/>
      </c>
      <c r="L2920" s="31" t="str">
        <f>IF(OR(B2920="",C2920=""),"",IFERROR(E2920 / SUMIFS('📅 Resumen Diario'!$D$5:$D$504, '📅 Resumen Diario'!$B$5:$B$504, B2920, '📅 Resumen Diario'!$C$5:$C$504, D2920) * SUMIFS('📅 Resumen Diario'!$K$5:$K$504, '📅 Resumen Diario'!$B$5:$B$504, B2920, '📅 Resumen Diario'!$C$5:$C$504, D2920), 0))</f>
        <v/>
      </c>
      <c r="M2920" s="31" t="str">
        <f t="shared" si="318"/>
        <v/>
      </c>
      <c r="N2920" s="31" t="str">
        <f t="shared" si="319"/>
        <v/>
      </c>
      <c r="O2920" s="31" t="str">
        <f>IF(OR(B2920="",C2920=""),"",K2920-N2920 + IFERROR(E2920 / SUMIFS('📅 Resumen Diario'!$D$5:$D$504, '📅 Resumen Diario'!$B$5:$B$504, B2920, '📅 Resumen Diario'!$C$5:$C$504, D2920) * (SUMIFS('📋 Detalle Diario'!$E$5:$E$489, '📋 Detalle Diario'!$B$5:$B$489, B2920, '📋 Detalle Diario'!$C$5:$C$489, D2920) * 135 + SUMIFS('📋 Detalle Diario'!$I$5:$I$489, '📋 Detalle Diario'!$B$5:$B$489, B2920, '📋 Detalle Diario'!$C$5:$C$489, D2920) * 200), 0))</f>
        <v/>
      </c>
      <c r="P2920" s="32" t="str">
        <f t="shared" si="320"/>
        <v/>
      </c>
      <c r="Q2920" s="33" t="str">
        <f t="shared" si="321"/>
        <v/>
      </c>
    </row>
    <row r="2921" spans="2:17" ht="18" customHeight="1" x14ac:dyDescent="0.3">
      <c r="B2921" s="26"/>
      <c r="C2921" s="28"/>
      <c r="D2921" s="27"/>
      <c r="E2921" s="29"/>
      <c r="F2921" s="29"/>
      <c r="G2921" s="29"/>
      <c r="H2921" s="30" t="str">
        <f t="shared" si="315"/>
        <v/>
      </c>
      <c r="I2921" s="31" t="str">
        <f>IF(OR(B2921="",C2921=""),"",IFERROR(E2921*IF(E2921="",0,VLOOKUP(C2921,'📦 Precios Proforma'!$B$5:$D$104,IF(D2921="DIA",2,3),FALSE)),0))</f>
        <v/>
      </c>
      <c r="J2921" s="31" t="str">
        <f t="shared" si="316"/>
        <v/>
      </c>
      <c r="K2921" s="31" t="str">
        <f t="shared" si="317"/>
        <v/>
      </c>
      <c r="L2921" s="31" t="str">
        <f>IF(OR(B2921="",C2921=""),"",IFERROR(E2921 / SUMIFS('📅 Resumen Diario'!$D$5:$D$504, '📅 Resumen Diario'!$B$5:$B$504, B2921, '📅 Resumen Diario'!$C$5:$C$504, D2921) * SUMIFS('📅 Resumen Diario'!$K$5:$K$504, '📅 Resumen Diario'!$B$5:$B$504, B2921, '📅 Resumen Diario'!$C$5:$C$504, D2921), 0))</f>
        <v/>
      </c>
      <c r="M2921" s="31" t="str">
        <f t="shared" si="318"/>
        <v/>
      </c>
      <c r="N2921" s="31" t="str">
        <f t="shared" si="319"/>
        <v/>
      </c>
      <c r="O2921" s="31" t="str">
        <f>IF(OR(B2921="",C2921=""),"",K2921-N2921 + IFERROR(E2921 / SUMIFS('📅 Resumen Diario'!$D$5:$D$504, '📅 Resumen Diario'!$B$5:$B$504, B2921, '📅 Resumen Diario'!$C$5:$C$504, D2921) * (SUMIFS('📋 Detalle Diario'!$E$5:$E$489, '📋 Detalle Diario'!$B$5:$B$489, B2921, '📋 Detalle Diario'!$C$5:$C$489, D2921) * 135 + SUMIFS('📋 Detalle Diario'!$I$5:$I$489, '📋 Detalle Diario'!$B$5:$B$489, B2921, '📋 Detalle Diario'!$C$5:$C$489, D2921) * 200), 0))</f>
        <v/>
      </c>
      <c r="P2921" s="32" t="str">
        <f t="shared" si="320"/>
        <v/>
      </c>
      <c r="Q2921" s="33" t="str">
        <f t="shared" si="321"/>
        <v/>
      </c>
    </row>
    <row r="2922" spans="2:17" ht="18" customHeight="1" x14ac:dyDescent="0.3">
      <c r="B2922" s="26"/>
      <c r="C2922" s="17"/>
      <c r="D2922" s="27"/>
      <c r="E2922" s="18"/>
      <c r="F2922" s="18"/>
      <c r="G2922" s="18"/>
      <c r="H2922" s="30" t="str">
        <f t="shared" si="315"/>
        <v/>
      </c>
      <c r="I2922" s="31" t="str">
        <f>IF(OR(B2922="",C2922=""),"",IFERROR(E2922*IF(E2922="",0,VLOOKUP(C2922,'📦 Precios Proforma'!$B$5:$D$104,IF(D2922="DIA",2,3),FALSE)),0))</f>
        <v/>
      </c>
      <c r="J2922" s="31" t="str">
        <f t="shared" si="316"/>
        <v/>
      </c>
      <c r="K2922" s="31" t="str">
        <f t="shared" si="317"/>
        <v/>
      </c>
      <c r="L2922" s="31" t="str">
        <f>IF(OR(B2922="",C2922=""),"",IFERROR(E2922 / SUMIFS('📅 Resumen Diario'!$D$5:$D$504, '📅 Resumen Diario'!$B$5:$B$504, B2922, '📅 Resumen Diario'!$C$5:$C$504, D2922) * SUMIFS('📅 Resumen Diario'!$K$5:$K$504, '📅 Resumen Diario'!$B$5:$B$504, B2922, '📅 Resumen Diario'!$C$5:$C$504, D2922), 0))</f>
        <v/>
      </c>
      <c r="M2922" s="31" t="str">
        <f t="shared" si="318"/>
        <v/>
      </c>
      <c r="N2922" s="31" t="str">
        <f t="shared" si="319"/>
        <v/>
      </c>
      <c r="O2922" s="31" t="str">
        <f>IF(OR(B2922="",C2922=""),"",K2922-N2922 + IFERROR(E2922 / SUMIFS('📅 Resumen Diario'!$D$5:$D$504, '📅 Resumen Diario'!$B$5:$B$504, B2922, '📅 Resumen Diario'!$C$5:$C$504, D2922) * (SUMIFS('📋 Detalle Diario'!$E$5:$E$489, '📋 Detalle Diario'!$B$5:$B$489, B2922, '📋 Detalle Diario'!$C$5:$C$489, D2922) * 135 + SUMIFS('📋 Detalle Diario'!$I$5:$I$489, '📋 Detalle Diario'!$B$5:$B$489, B2922, '📋 Detalle Diario'!$C$5:$C$489, D2922) * 200), 0))</f>
        <v/>
      </c>
      <c r="P2922" s="32" t="str">
        <f t="shared" si="320"/>
        <v/>
      </c>
      <c r="Q2922" s="33" t="str">
        <f t="shared" si="321"/>
        <v/>
      </c>
    </row>
    <row r="2923" spans="2:17" ht="18" customHeight="1" x14ac:dyDescent="0.3">
      <c r="B2923" s="26"/>
      <c r="C2923" s="28"/>
      <c r="D2923" s="27"/>
      <c r="E2923" s="29"/>
      <c r="F2923" s="29"/>
      <c r="G2923" s="29"/>
      <c r="H2923" s="30" t="str">
        <f t="shared" si="315"/>
        <v/>
      </c>
      <c r="I2923" s="31" t="str">
        <f>IF(OR(B2923="",C2923=""),"",IFERROR(E2923*IF(E2923="",0,VLOOKUP(C2923,'📦 Precios Proforma'!$B$5:$D$104,IF(D2923="DIA",2,3),FALSE)),0))</f>
        <v/>
      </c>
      <c r="J2923" s="31" t="str">
        <f t="shared" si="316"/>
        <v/>
      </c>
      <c r="K2923" s="31" t="str">
        <f t="shared" si="317"/>
        <v/>
      </c>
      <c r="L2923" s="31" t="str">
        <f>IF(OR(B2923="",C2923=""),"",IFERROR(E2923 / SUMIFS('📅 Resumen Diario'!$D$5:$D$504, '📅 Resumen Diario'!$B$5:$B$504, B2923, '📅 Resumen Diario'!$C$5:$C$504, D2923) * SUMIFS('📅 Resumen Diario'!$K$5:$K$504, '📅 Resumen Diario'!$B$5:$B$504, B2923, '📅 Resumen Diario'!$C$5:$C$504, D2923), 0))</f>
        <v/>
      </c>
      <c r="M2923" s="31" t="str">
        <f t="shared" si="318"/>
        <v/>
      </c>
      <c r="N2923" s="31" t="str">
        <f t="shared" si="319"/>
        <v/>
      </c>
      <c r="O2923" s="31" t="str">
        <f>IF(OR(B2923="",C2923=""),"",K2923-N2923 + IFERROR(E2923 / SUMIFS('📅 Resumen Diario'!$D$5:$D$504, '📅 Resumen Diario'!$B$5:$B$504, B2923, '📅 Resumen Diario'!$C$5:$C$504, D2923) * (SUMIFS('📋 Detalle Diario'!$E$5:$E$489, '📋 Detalle Diario'!$B$5:$B$489, B2923, '📋 Detalle Diario'!$C$5:$C$489, D2923) * 135 + SUMIFS('📋 Detalle Diario'!$I$5:$I$489, '📋 Detalle Diario'!$B$5:$B$489, B2923, '📋 Detalle Diario'!$C$5:$C$489, D2923) * 200), 0))</f>
        <v/>
      </c>
      <c r="P2923" s="32" t="str">
        <f t="shared" si="320"/>
        <v/>
      </c>
      <c r="Q2923" s="33" t="str">
        <f t="shared" si="321"/>
        <v/>
      </c>
    </row>
    <row r="2924" spans="2:17" ht="18" customHeight="1" x14ac:dyDescent="0.3">
      <c r="B2924" s="26"/>
      <c r="C2924" s="17"/>
      <c r="D2924" s="27"/>
      <c r="E2924" s="18"/>
      <c r="F2924" s="18"/>
      <c r="G2924" s="18"/>
      <c r="H2924" s="30" t="str">
        <f t="shared" si="315"/>
        <v/>
      </c>
      <c r="I2924" s="31" t="str">
        <f>IF(OR(B2924="",C2924=""),"",IFERROR(E2924*IF(E2924="",0,VLOOKUP(C2924,'📦 Precios Proforma'!$B$5:$D$104,IF(D2924="DIA",2,3),FALSE)),0))</f>
        <v/>
      </c>
      <c r="J2924" s="31" t="str">
        <f t="shared" si="316"/>
        <v/>
      </c>
      <c r="K2924" s="31" t="str">
        <f t="shared" si="317"/>
        <v/>
      </c>
      <c r="L2924" s="31" t="str">
        <f>IF(OR(B2924="",C2924=""),"",IFERROR(E2924 / SUMIFS('📅 Resumen Diario'!$D$5:$D$504, '📅 Resumen Diario'!$B$5:$B$504, B2924, '📅 Resumen Diario'!$C$5:$C$504, D2924) * SUMIFS('📅 Resumen Diario'!$K$5:$K$504, '📅 Resumen Diario'!$B$5:$B$504, B2924, '📅 Resumen Diario'!$C$5:$C$504, D2924), 0))</f>
        <v/>
      </c>
      <c r="M2924" s="31" t="str">
        <f t="shared" si="318"/>
        <v/>
      </c>
      <c r="N2924" s="31" t="str">
        <f t="shared" si="319"/>
        <v/>
      </c>
      <c r="O2924" s="31" t="str">
        <f>IF(OR(B2924="",C2924=""),"",K2924-N2924 + IFERROR(E2924 / SUMIFS('📅 Resumen Diario'!$D$5:$D$504, '📅 Resumen Diario'!$B$5:$B$504, B2924, '📅 Resumen Diario'!$C$5:$C$504, D2924) * (SUMIFS('📋 Detalle Diario'!$E$5:$E$489, '📋 Detalle Diario'!$B$5:$B$489, B2924, '📋 Detalle Diario'!$C$5:$C$489, D2924) * 135 + SUMIFS('📋 Detalle Diario'!$I$5:$I$489, '📋 Detalle Diario'!$B$5:$B$489, B2924, '📋 Detalle Diario'!$C$5:$C$489, D2924) * 200), 0))</f>
        <v/>
      </c>
      <c r="P2924" s="32" t="str">
        <f t="shared" si="320"/>
        <v/>
      </c>
      <c r="Q2924" s="33" t="str">
        <f t="shared" si="321"/>
        <v/>
      </c>
    </row>
    <row r="2925" spans="2:17" ht="18" customHeight="1" x14ac:dyDescent="0.3">
      <c r="B2925" s="26"/>
      <c r="C2925" s="28"/>
      <c r="D2925" s="27"/>
      <c r="E2925" s="29"/>
      <c r="F2925" s="29"/>
      <c r="G2925" s="29"/>
      <c r="H2925" s="30" t="str">
        <f t="shared" si="315"/>
        <v/>
      </c>
      <c r="I2925" s="31" t="str">
        <f>IF(OR(B2925="",C2925=""),"",IFERROR(E2925*IF(E2925="",0,VLOOKUP(C2925,'📦 Precios Proforma'!$B$5:$D$104,IF(D2925="DIA",2,3),FALSE)),0))</f>
        <v/>
      </c>
      <c r="J2925" s="31" t="str">
        <f t="shared" si="316"/>
        <v/>
      </c>
      <c r="K2925" s="31" t="str">
        <f t="shared" si="317"/>
        <v/>
      </c>
      <c r="L2925" s="31" t="str">
        <f>IF(OR(B2925="",C2925=""),"",IFERROR(E2925 / SUMIFS('📅 Resumen Diario'!$D$5:$D$504, '📅 Resumen Diario'!$B$5:$B$504, B2925, '📅 Resumen Diario'!$C$5:$C$504, D2925) * SUMIFS('📅 Resumen Diario'!$K$5:$K$504, '📅 Resumen Diario'!$B$5:$B$504, B2925, '📅 Resumen Diario'!$C$5:$C$504, D2925), 0))</f>
        <v/>
      </c>
      <c r="M2925" s="31" t="str">
        <f t="shared" si="318"/>
        <v/>
      </c>
      <c r="N2925" s="31" t="str">
        <f t="shared" si="319"/>
        <v/>
      </c>
      <c r="O2925" s="31" t="str">
        <f>IF(OR(B2925="",C2925=""),"",K2925-N2925 + IFERROR(E2925 / SUMIFS('📅 Resumen Diario'!$D$5:$D$504, '📅 Resumen Diario'!$B$5:$B$504, B2925, '📅 Resumen Diario'!$C$5:$C$504, D2925) * (SUMIFS('📋 Detalle Diario'!$E$5:$E$489, '📋 Detalle Diario'!$B$5:$B$489, B2925, '📋 Detalle Diario'!$C$5:$C$489, D2925) * 135 + SUMIFS('📋 Detalle Diario'!$I$5:$I$489, '📋 Detalle Diario'!$B$5:$B$489, B2925, '📋 Detalle Diario'!$C$5:$C$489, D2925) * 200), 0))</f>
        <v/>
      </c>
      <c r="P2925" s="32" t="str">
        <f t="shared" si="320"/>
        <v/>
      </c>
      <c r="Q2925" s="33" t="str">
        <f t="shared" si="321"/>
        <v/>
      </c>
    </row>
    <row r="2926" spans="2:17" ht="18" customHeight="1" x14ac:dyDescent="0.3">
      <c r="B2926" s="26"/>
      <c r="C2926" s="17"/>
      <c r="D2926" s="27"/>
      <c r="E2926" s="18"/>
      <c r="F2926" s="18"/>
      <c r="G2926" s="18"/>
      <c r="H2926" s="30" t="str">
        <f t="shared" si="315"/>
        <v/>
      </c>
      <c r="I2926" s="31" t="str">
        <f>IF(OR(B2926="",C2926=""),"",IFERROR(E2926*IF(E2926="",0,VLOOKUP(C2926,'📦 Precios Proforma'!$B$5:$D$104,IF(D2926="DIA",2,3),FALSE)),0))</f>
        <v/>
      </c>
      <c r="J2926" s="31" t="str">
        <f t="shared" si="316"/>
        <v/>
      </c>
      <c r="K2926" s="31" t="str">
        <f t="shared" si="317"/>
        <v/>
      </c>
      <c r="L2926" s="31" t="str">
        <f>IF(OR(B2926="",C2926=""),"",IFERROR(E2926 / SUMIFS('📅 Resumen Diario'!$D$5:$D$504, '📅 Resumen Diario'!$B$5:$B$504, B2926, '📅 Resumen Diario'!$C$5:$C$504, D2926) * SUMIFS('📅 Resumen Diario'!$K$5:$K$504, '📅 Resumen Diario'!$B$5:$B$504, B2926, '📅 Resumen Diario'!$C$5:$C$504, D2926), 0))</f>
        <v/>
      </c>
      <c r="M2926" s="31" t="str">
        <f t="shared" si="318"/>
        <v/>
      </c>
      <c r="N2926" s="31" t="str">
        <f t="shared" si="319"/>
        <v/>
      </c>
      <c r="O2926" s="31" t="str">
        <f>IF(OR(B2926="",C2926=""),"",K2926-N2926 + IFERROR(E2926 / SUMIFS('📅 Resumen Diario'!$D$5:$D$504, '📅 Resumen Diario'!$B$5:$B$504, B2926, '📅 Resumen Diario'!$C$5:$C$504, D2926) * (SUMIFS('📋 Detalle Diario'!$E$5:$E$489, '📋 Detalle Diario'!$B$5:$B$489, B2926, '📋 Detalle Diario'!$C$5:$C$489, D2926) * 135 + SUMIFS('📋 Detalle Diario'!$I$5:$I$489, '📋 Detalle Diario'!$B$5:$B$489, B2926, '📋 Detalle Diario'!$C$5:$C$489, D2926) * 200), 0))</f>
        <v/>
      </c>
      <c r="P2926" s="32" t="str">
        <f t="shared" si="320"/>
        <v/>
      </c>
      <c r="Q2926" s="33" t="str">
        <f t="shared" si="321"/>
        <v/>
      </c>
    </row>
    <row r="2927" spans="2:17" ht="18" customHeight="1" x14ac:dyDescent="0.3">
      <c r="B2927" s="26"/>
      <c r="C2927" s="28"/>
      <c r="D2927" s="27"/>
      <c r="E2927" s="29"/>
      <c r="F2927" s="29"/>
      <c r="G2927" s="29"/>
      <c r="H2927" s="30" t="str">
        <f t="shared" si="315"/>
        <v/>
      </c>
      <c r="I2927" s="31" t="str">
        <f>IF(OR(B2927="",C2927=""),"",IFERROR(E2927*IF(E2927="",0,VLOOKUP(C2927,'📦 Precios Proforma'!$B$5:$D$104,IF(D2927="DIA",2,3),FALSE)),0))</f>
        <v/>
      </c>
      <c r="J2927" s="31" t="str">
        <f t="shared" si="316"/>
        <v/>
      </c>
      <c r="K2927" s="31" t="str">
        <f t="shared" si="317"/>
        <v/>
      </c>
      <c r="L2927" s="31" t="str">
        <f>IF(OR(B2927="",C2927=""),"",IFERROR(E2927 / SUMIFS('📅 Resumen Diario'!$D$5:$D$504, '📅 Resumen Diario'!$B$5:$B$504, B2927, '📅 Resumen Diario'!$C$5:$C$504, D2927) * SUMIFS('📅 Resumen Diario'!$K$5:$K$504, '📅 Resumen Diario'!$B$5:$B$504, B2927, '📅 Resumen Diario'!$C$5:$C$504, D2927), 0))</f>
        <v/>
      </c>
      <c r="M2927" s="31" t="str">
        <f t="shared" si="318"/>
        <v/>
      </c>
      <c r="N2927" s="31" t="str">
        <f t="shared" si="319"/>
        <v/>
      </c>
      <c r="O2927" s="31" t="str">
        <f>IF(OR(B2927="",C2927=""),"",K2927-N2927 + IFERROR(E2927 / SUMIFS('📅 Resumen Diario'!$D$5:$D$504, '📅 Resumen Diario'!$B$5:$B$504, B2927, '📅 Resumen Diario'!$C$5:$C$504, D2927) * (SUMIFS('📋 Detalle Diario'!$E$5:$E$489, '📋 Detalle Diario'!$B$5:$B$489, B2927, '📋 Detalle Diario'!$C$5:$C$489, D2927) * 135 + SUMIFS('📋 Detalle Diario'!$I$5:$I$489, '📋 Detalle Diario'!$B$5:$B$489, B2927, '📋 Detalle Diario'!$C$5:$C$489, D2927) * 200), 0))</f>
        <v/>
      </c>
      <c r="P2927" s="32" t="str">
        <f t="shared" si="320"/>
        <v/>
      </c>
      <c r="Q2927" s="33" t="str">
        <f t="shared" si="321"/>
        <v/>
      </c>
    </row>
    <row r="2928" spans="2:17" ht="18" customHeight="1" x14ac:dyDescent="0.3">
      <c r="B2928" s="26"/>
      <c r="C2928" s="17"/>
      <c r="D2928" s="27"/>
      <c r="E2928" s="18"/>
      <c r="F2928" s="18"/>
      <c r="G2928" s="18"/>
      <c r="H2928" s="30" t="str">
        <f t="shared" si="315"/>
        <v/>
      </c>
      <c r="I2928" s="31" t="str">
        <f>IF(OR(B2928="",C2928=""),"",IFERROR(E2928*IF(E2928="",0,VLOOKUP(C2928,'📦 Precios Proforma'!$B$5:$D$104,IF(D2928="DIA",2,3),FALSE)),0))</f>
        <v/>
      </c>
      <c r="J2928" s="31" t="str">
        <f t="shared" si="316"/>
        <v/>
      </c>
      <c r="K2928" s="31" t="str">
        <f t="shared" si="317"/>
        <v/>
      </c>
      <c r="L2928" s="31" t="str">
        <f>IF(OR(B2928="",C2928=""),"",IFERROR(E2928 / SUMIFS('📅 Resumen Diario'!$D$5:$D$504, '📅 Resumen Diario'!$B$5:$B$504, B2928, '📅 Resumen Diario'!$C$5:$C$504, D2928) * SUMIFS('📅 Resumen Diario'!$K$5:$K$504, '📅 Resumen Diario'!$B$5:$B$504, B2928, '📅 Resumen Diario'!$C$5:$C$504, D2928), 0))</f>
        <v/>
      </c>
      <c r="M2928" s="31" t="str">
        <f t="shared" si="318"/>
        <v/>
      </c>
      <c r="N2928" s="31" t="str">
        <f t="shared" si="319"/>
        <v/>
      </c>
      <c r="O2928" s="31" t="str">
        <f>IF(OR(B2928="",C2928=""),"",K2928-N2928 + IFERROR(E2928 / SUMIFS('📅 Resumen Diario'!$D$5:$D$504, '📅 Resumen Diario'!$B$5:$B$504, B2928, '📅 Resumen Diario'!$C$5:$C$504, D2928) * (SUMIFS('📋 Detalle Diario'!$E$5:$E$489, '📋 Detalle Diario'!$B$5:$B$489, B2928, '📋 Detalle Diario'!$C$5:$C$489, D2928) * 135 + SUMIFS('📋 Detalle Diario'!$I$5:$I$489, '📋 Detalle Diario'!$B$5:$B$489, B2928, '📋 Detalle Diario'!$C$5:$C$489, D2928) * 200), 0))</f>
        <v/>
      </c>
      <c r="P2928" s="32" t="str">
        <f t="shared" si="320"/>
        <v/>
      </c>
      <c r="Q2928" s="33" t="str">
        <f t="shared" si="321"/>
        <v/>
      </c>
    </row>
    <row r="2929" spans="2:17" ht="18" customHeight="1" x14ac:dyDescent="0.3">
      <c r="B2929" s="26"/>
      <c r="C2929" s="28"/>
      <c r="D2929" s="27"/>
      <c r="E2929" s="29"/>
      <c r="F2929" s="29"/>
      <c r="G2929" s="29"/>
      <c r="H2929" s="30" t="str">
        <f t="shared" si="315"/>
        <v/>
      </c>
      <c r="I2929" s="31" t="str">
        <f>IF(OR(B2929="",C2929=""),"",IFERROR(E2929*IF(E2929="",0,VLOOKUP(C2929,'📦 Precios Proforma'!$B$5:$D$104,IF(D2929="DIA",2,3),FALSE)),0))</f>
        <v/>
      </c>
      <c r="J2929" s="31" t="str">
        <f t="shared" si="316"/>
        <v/>
      </c>
      <c r="K2929" s="31" t="str">
        <f t="shared" si="317"/>
        <v/>
      </c>
      <c r="L2929" s="31" t="str">
        <f>IF(OR(B2929="",C2929=""),"",IFERROR(E2929 / SUMIFS('📅 Resumen Diario'!$D$5:$D$504, '📅 Resumen Diario'!$B$5:$B$504, B2929, '📅 Resumen Diario'!$C$5:$C$504, D2929) * SUMIFS('📅 Resumen Diario'!$K$5:$K$504, '📅 Resumen Diario'!$B$5:$B$504, B2929, '📅 Resumen Diario'!$C$5:$C$504, D2929), 0))</f>
        <v/>
      </c>
      <c r="M2929" s="31" t="str">
        <f t="shared" si="318"/>
        <v/>
      </c>
      <c r="N2929" s="31" t="str">
        <f t="shared" si="319"/>
        <v/>
      </c>
      <c r="O2929" s="31" t="str">
        <f>IF(OR(B2929="",C2929=""),"",K2929-N2929 + IFERROR(E2929 / SUMIFS('📅 Resumen Diario'!$D$5:$D$504, '📅 Resumen Diario'!$B$5:$B$504, B2929, '📅 Resumen Diario'!$C$5:$C$504, D2929) * (SUMIFS('📋 Detalle Diario'!$E$5:$E$489, '📋 Detalle Diario'!$B$5:$B$489, B2929, '📋 Detalle Diario'!$C$5:$C$489, D2929) * 135 + SUMIFS('📋 Detalle Diario'!$I$5:$I$489, '📋 Detalle Diario'!$B$5:$B$489, B2929, '📋 Detalle Diario'!$C$5:$C$489, D2929) * 200), 0))</f>
        <v/>
      </c>
      <c r="P2929" s="32" t="str">
        <f t="shared" si="320"/>
        <v/>
      </c>
      <c r="Q2929" s="33" t="str">
        <f t="shared" si="321"/>
        <v/>
      </c>
    </row>
    <row r="2930" spans="2:17" ht="18" customHeight="1" x14ac:dyDescent="0.3">
      <c r="B2930" s="26"/>
      <c r="C2930" s="17"/>
      <c r="D2930" s="27"/>
      <c r="E2930" s="18"/>
      <c r="F2930" s="18"/>
      <c r="G2930" s="18"/>
      <c r="H2930" s="30" t="str">
        <f t="shared" si="315"/>
        <v/>
      </c>
      <c r="I2930" s="31" t="str">
        <f>IF(OR(B2930="",C2930=""),"",IFERROR(E2930*IF(E2930="",0,VLOOKUP(C2930,'📦 Precios Proforma'!$B$5:$D$104,IF(D2930="DIA",2,3),FALSE)),0))</f>
        <v/>
      </c>
      <c r="J2930" s="31" t="str">
        <f t="shared" si="316"/>
        <v/>
      </c>
      <c r="K2930" s="31" t="str">
        <f t="shared" si="317"/>
        <v/>
      </c>
      <c r="L2930" s="31" t="str">
        <f>IF(OR(B2930="",C2930=""),"",IFERROR(E2930 / SUMIFS('📅 Resumen Diario'!$D$5:$D$504, '📅 Resumen Diario'!$B$5:$B$504, B2930, '📅 Resumen Diario'!$C$5:$C$504, D2930) * SUMIFS('📅 Resumen Diario'!$K$5:$K$504, '📅 Resumen Diario'!$B$5:$B$504, B2930, '📅 Resumen Diario'!$C$5:$C$504, D2930), 0))</f>
        <v/>
      </c>
      <c r="M2930" s="31" t="str">
        <f t="shared" si="318"/>
        <v/>
      </c>
      <c r="N2930" s="31" t="str">
        <f t="shared" si="319"/>
        <v/>
      </c>
      <c r="O2930" s="31" t="str">
        <f>IF(OR(B2930="",C2930=""),"",K2930-N2930 + IFERROR(E2930 / SUMIFS('📅 Resumen Diario'!$D$5:$D$504, '📅 Resumen Diario'!$B$5:$B$504, B2930, '📅 Resumen Diario'!$C$5:$C$504, D2930) * (SUMIFS('📋 Detalle Diario'!$E$5:$E$489, '📋 Detalle Diario'!$B$5:$B$489, B2930, '📋 Detalle Diario'!$C$5:$C$489, D2930) * 135 + SUMIFS('📋 Detalle Diario'!$I$5:$I$489, '📋 Detalle Diario'!$B$5:$B$489, B2930, '📋 Detalle Diario'!$C$5:$C$489, D2930) * 200), 0))</f>
        <v/>
      </c>
      <c r="P2930" s="32" t="str">
        <f t="shared" si="320"/>
        <v/>
      </c>
      <c r="Q2930" s="33" t="str">
        <f t="shared" si="321"/>
        <v/>
      </c>
    </row>
    <row r="2931" spans="2:17" ht="18" customHeight="1" x14ac:dyDescent="0.3">
      <c r="B2931" s="26"/>
      <c r="C2931" s="28"/>
      <c r="D2931" s="27"/>
      <c r="E2931" s="29"/>
      <c r="F2931" s="29"/>
      <c r="G2931" s="29"/>
      <c r="H2931" s="30" t="str">
        <f t="shared" si="315"/>
        <v/>
      </c>
      <c r="I2931" s="31" t="str">
        <f>IF(OR(B2931="",C2931=""),"",IFERROR(E2931*IF(E2931="",0,VLOOKUP(C2931,'📦 Precios Proforma'!$B$5:$D$104,IF(D2931="DIA",2,3),FALSE)),0))</f>
        <v/>
      </c>
      <c r="J2931" s="31" t="str">
        <f t="shared" si="316"/>
        <v/>
      </c>
      <c r="K2931" s="31" t="str">
        <f t="shared" si="317"/>
        <v/>
      </c>
      <c r="L2931" s="31" t="str">
        <f>IF(OR(B2931="",C2931=""),"",IFERROR(E2931 / SUMIFS('📅 Resumen Diario'!$D$5:$D$504, '📅 Resumen Diario'!$B$5:$B$504, B2931, '📅 Resumen Diario'!$C$5:$C$504, D2931) * SUMIFS('📅 Resumen Diario'!$K$5:$K$504, '📅 Resumen Diario'!$B$5:$B$504, B2931, '📅 Resumen Diario'!$C$5:$C$504, D2931), 0))</f>
        <v/>
      </c>
      <c r="M2931" s="31" t="str">
        <f t="shared" si="318"/>
        <v/>
      </c>
      <c r="N2931" s="31" t="str">
        <f t="shared" si="319"/>
        <v/>
      </c>
      <c r="O2931" s="31" t="str">
        <f>IF(OR(B2931="",C2931=""),"",K2931-N2931 + IFERROR(E2931 / SUMIFS('📅 Resumen Diario'!$D$5:$D$504, '📅 Resumen Diario'!$B$5:$B$504, B2931, '📅 Resumen Diario'!$C$5:$C$504, D2931) * (SUMIFS('📋 Detalle Diario'!$E$5:$E$489, '📋 Detalle Diario'!$B$5:$B$489, B2931, '📋 Detalle Diario'!$C$5:$C$489, D2931) * 135 + SUMIFS('📋 Detalle Diario'!$I$5:$I$489, '📋 Detalle Diario'!$B$5:$B$489, B2931, '📋 Detalle Diario'!$C$5:$C$489, D2931) * 200), 0))</f>
        <v/>
      </c>
      <c r="P2931" s="32" t="str">
        <f t="shared" si="320"/>
        <v/>
      </c>
      <c r="Q2931" s="33" t="str">
        <f t="shared" si="321"/>
        <v/>
      </c>
    </row>
    <row r="2932" spans="2:17" ht="18" customHeight="1" x14ac:dyDescent="0.3">
      <c r="B2932" s="26"/>
      <c r="C2932" s="17"/>
      <c r="D2932" s="27"/>
      <c r="E2932" s="18"/>
      <c r="F2932" s="18"/>
      <c r="G2932" s="18"/>
      <c r="H2932" s="30" t="str">
        <f t="shared" si="315"/>
        <v/>
      </c>
      <c r="I2932" s="31" t="str">
        <f>IF(OR(B2932="",C2932=""),"",IFERROR(E2932*IF(E2932="",0,VLOOKUP(C2932,'📦 Precios Proforma'!$B$5:$D$104,IF(D2932="DIA",2,3),FALSE)),0))</f>
        <v/>
      </c>
      <c r="J2932" s="31" t="str">
        <f t="shared" si="316"/>
        <v/>
      </c>
      <c r="K2932" s="31" t="str">
        <f t="shared" si="317"/>
        <v/>
      </c>
      <c r="L2932" s="31" t="str">
        <f>IF(OR(B2932="",C2932=""),"",IFERROR(E2932 / SUMIFS('📅 Resumen Diario'!$D$5:$D$504, '📅 Resumen Diario'!$B$5:$B$504, B2932, '📅 Resumen Diario'!$C$5:$C$504, D2932) * SUMIFS('📅 Resumen Diario'!$K$5:$K$504, '📅 Resumen Diario'!$B$5:$B$504, B2932, '📅 Resumen Diario'!$C$5:$C$504, D2932), 0))</f>
        <v/>
      </c>
      <c r="M2932" s="31" t="str">
        <f t="shared" si="318"/>
        <v/>
      </c>
      <c r="N2932" s="31" t="str">
        <f t="shared" si="319"/>
        <v/>
      </c>
      <c r="O2932" s="31" t="str">
        <f>IF(OR(B2932="",C2932=""),"",K2932-N2932 + IFERROR(E2932 / SUMIFS('📅 Resumen Diario'!$D$5:$D$504, '📅 Resumen Diario'!$B$5:$B$504, B2932, '📅 Resumen Diario'!$C$5:$C$504, D2932) * (SUMIFS('📋 Detalle Diario'!$E$5:$E$489, '📋 Detalle Diario'!$B$5:$B$489, B2932, '📋 Detalle Diario'!$C$5:$C$489, D2932) * 135 + SUMIFS('📋 Detalle Diario'!$I$5:$I$489, '📋 Detalle Diario'!$B$5:$B$489, B2932, '📋 Detalle Diario'!$C$5:$C$489, D2932) * 200), 0))</f>
        <v/>
      </c>
      <c r="P2932" s="32" t="str">
        <f t="shared" si="320"/>
        <v/>
      </c>
      <c r="Q2932" s="33" t="str">
        <f t="shared" si="321"/>
        <v/>
      </c>
    </row>
    <row r="2933" spans="2:17" ht="18" customHeight="1" x14ac:dyDescent="0.3">
      <c r="B2933" s="26"/>
      <c r="C2933" s="28"/>
      <c r="D2933" s="27"/>
      <c r="E2933" s="29"/>
      <c r="F2933" s="29"/>
      <c r="G2933" s="29"/>
      <c r="H2933" s="30" t="str">
        <f t="shared" si="315"/>
        <v/>
      </c>
      <c r="I2933" s="31" t="str">
        <f>IF(OR(B2933="",C2933=""),"",IFERROR(E2933*IF(E2933="",0,VLOOKUP(C2933,'📦 Precios Proforma'!$B$5:$D$104,IF(D2933="DIA",2,3),FALSE)),0))</f>
        <v/>
      </c>
      <c r="J2933" s="31" t="str">
        <f t="shared" si="316"/>
        <v/>
      </c>
      <c r="K2933" s="31" t="str">
        <f t="shared" si="317"/>
        <v/>
      </c>
      <c r="L2933" s="31" t="str">
        <f>IF(OR(B2933="",C2933=""),"",IFERROR(E2933 / SUMIFS('📅 Resumen Diario'!$D$5:$D$504, '📅 Resumen Diario'!$B$5:$B$504, B2933, '📅 Resumen Diario'!$C$5:$C$504, D2933) * SUMIFS('📅 Resumen Diario'!$K$5:$K$504, '📅 Resumen Diario'!$B$5:$B$504, B2933, '📅 Resumen Diario'!$C$5:$C$504, D2933), 0))</f>
        <v/>
      </c>
      <c r="M2933" s="31" t="str">
        <f t="shared" si="318"/>
        <v/>
      </c>
      <c r="N2933" s="31" t="str">
        <f t="shared" si="319"/>
        <v/>
      </c>
      <c r="O2933" s="31" t="str">
        <f>IF(OR(B2933="",C2933=""),"",K2933-N2933 + IFERROR(E2933 / SUMIFS('📅 Resumen Diario'!$D$5:$D$504, '📅 Resumen Diario'!$B$5:$B$504, B2933, '📅 Resumen Diario'!$C$5:$C$504, D2933) * (SUMIFS('📋 Detalle Diario'!$E$5:$E$489, '📋 Detalle Diario'!$B$5:$B$489, B2933, '📋 Detalle Diario'!$C$5:$C$489, D2933) * 135 + SUMIFS('📋 Detalle Diario'!$I$5:$I$489, '📋 Detalle Diario'!$B$5:$B$489, B2933, '📋 Detalle Diario'!$C$5:$C$489, D2933) * 200), 0))</f>
        <v/>
      </c>
      <c r="P2933" s="32" t="str">
        <f t="shared" si="320"/>
        <v/>
      </c>
      <c r="Q2933" s="33" t="str">
        <f t="shared" si="321"/>
        <v/>
      </c>
    </row>
    <row r="2934" spans="2:17" ht="18" customHeight="1" x14ac:dyDescent="0.3">
      <c r="B2934" s="26"/>
      <c r="C2934" s="17"/>
      <c r="D2934" s="27"/>
      <c r="E2934" s="18"/>
      <c r="F2934" s="18"/>
      <c r="G2934" s="18"/>
      <c r="H2934" s="30" t="str">
        <f t="shared" si="315"/>
        <v/>
      </c>
      <c r="I2934" s="31" t="str">
        <f>IF(OR(B2934="",C2934=""),"",IFERROR(E2934*IF(E2934="",0,VLOOKUP(C2934,'📦 Precios Proforma'!$B$5:$D$104,IF(D2934="DIA",2,3),FALSE)),0))</f>
        <v/>
      </c>
      <c r="J2934" s="31" t="str">
        <f t="shared" si="316"/>
        <v/>
      </c>
      <c r="K2934" s="31" t="str">
        <f t="shared" si="317"/>
        <v/>
      </c>
      <c r="L2934" s="31" t="str">
        <f>IF(OR(B2934="",C2934=""),"",IFERROR(E2934 / SUMIFS('📅 Resumen Diario'!$D$5:$D$504, '📅 Resumen Diario'!$B$5:$B$504, B2934, '📅 Resumen Diario'!$C$5:$C$504, D2934) * SUMIFS('📅 Resumen Diario'!$K$5:$K$504, '📅 Resumen Diario'!$B$5:$B$504, B2934, '📅 Resumen Diario'!$C$5:$C$504, D2934), 0))</f>
        <v/>
      </c>
      <c r="M2934" s="31" t="str">
        <f t="shared" si="318"/>
        <v/>
      </c>
      <c r="N2934" s="31" t="str">
        <f t="shared" si="319"/>
        <v/>
      </c>
      <c r="O2934" s="31" t="str">
        <f>IF(OR(B2934="",C2934=""),"",K2934-N2934 + IFERROR(E2934 / SUMIFS('📅 Resumen Diario'!$D$5:$D$504, '📅 Resumen Diario'!$B$5:$B$504, B2934, '📅 Resumen Diario'!$C$5:$C$504, D2934) * (SUMIFS('📋 Detalle Diario'!$E$5:$E$489, '📋 Detalle Diario'!$B$5:$B$489, B2934, '📋 Detalle Diario'!$C$5:$C$489, D2934) * 135 + SUMIFS('📋 Detalle Diario'!$I$5:$I$489, '📋 Detalle Diario'!$B$5:$B$489, B2934, '📋 Detalle Diario'!$C$5:$C$489, D2934) * 200), 0))</f>
        <v/>
      </c>
      <c r="P2934" s="32" t="str">
        <f t="shared" si="320"/>
        <v/>
      </c>
      <c r="Q2934" s="33" t="str">
        <f t="shared" si="321"/>
        <v/>
      </c>
    </row>
    <row r="2935" spans="2:17" ht="18" customHeight="1" x14ac:dyDescent="0.3">
      <c r="B2935" s="26"/>
      <c r="C2935" s="28"/>
      <c r="D2935" s="27"/>
      <c r="E2935" s="29"/>
      <c r="F2935" s="29"/>
      <c r="G2935" s="29"/>
      <c r="H2935" s="30" t="str">
        <f t="shared" si="315"/>
        <v/>
      </c>
      <c r="I2935" s="31" t="str">
        <f>IF(OR(B2935="",C2935=""),"",IFERROR(E2935*IF(E2935="",0,VLOOKUP(C2935,'📦 Precios Proforma'!$B$5:$D$104,IF(D2935="DIA",2,3),FALSE)),0))</f>
        <v/>
      </c>
      <c r="J2935" s="31" t="str">
        <f t="shared" si="316"/>
        <v/>
      </c>
      <c r="K2935" s="31" t="str">
        <f t="shared" si="317"/>
        <v/>
      </c>
      <c r="L2935" s="31" t="str">
        <f>IF(OR(B2935="",C2935=""),"",IFERROR(E2935 / SUMIFS('📅 Resumen Diario'!$D$5:$D$504, '📅 Resumen Diario'!$B$5:$B$504, B2935, '📅 Resumen Diario'!$C$5:$C$504, D2935) * SUMIFS('📅 Resumen Diario'!$K$5:$K$504, '📅 Resumen Diario'!$B$5:$B$504, B2935, '📅 Resumen Diario'!$C$5:$C$504, D2935), 0))</f>
        <v/>
      </c>
      <c r="M2935" s="31" t="str">
        <f t="shared" si="318"/>
        <v/>
      </c>
      <c r="N2935" s="31" t="str">
        <f t="shared" si="319"/>
        <v/>
      </c>
      <c r="O2935" s="31" t="str">
        <f>IF(OR(B2935="",C2935=""),"",K2935-N2935 + IFERROR(E2935 / SUMIFS('📅 Resumen Diario'!$D$5:$D$504, '📅 Resumen Diario'!$B$5:$B$504, B2935, '📅 Resumen Diario'!$C$5:$C$504, D2935) * (SUMIFS('📋 Detalle Diario'!$E$5:$E$489, '📋 Detalle Diario'!$B$5:$B$489, B2935, '📋 Detalle Diario'!$C$5:$C$489, D2935) * 135 + SUMIFS('📋 Detalle Diario'!$I$5:$I$489, '📋 Detalle Diario'!$B$5:$B$489, B2935, '📋 Detalle Diario'!$C$5:$C$489, D2935) * 200), 0))</f>
        <v/>
      </c>
      <c r="P2935" s="32" t="str">
        <f t="shared" si="320"/>
        <v/>
      </c>
      <c r="Q2935" s="33" t="str">
        <f t="shared" si="321"/>
        <v/>
      </c>
    </row>
    <row r="2936" spans="2:17" ht="18" customHeight="1" x14ac:dyDescent="0.3">
      <c r="B2936" s="26"/>
      <c r="C2936" s="17"/>
      <c r="D2936" s="27"/>
      <c r="E2936" s="18"/>
      <c r="F2936" s="18"/>
      <c r="G2936" s="18"/>
      <c r="H2936" s="30" t="str">
        <f t="shared" si="315"/>
        <v/>
      </c>
      <c r="I2936" s="31" t="str">
        <f>IF(OR(B2936="",C2936=""),"",IFERROR(E2936*IF(E2936="",0,VLOOKUP(C2936,'📦 Precios Proforma'!$B$5:$D$104,IF(D2936="DIA",2,3),FALSE)),0))</f>
        <v/>
      </c>
      <c r="J2936" s="31" t="str">
        <f t="shared" si="316"/>
        <v/>
      </c>
      <c r="K2936" s="31" t="str">
        <f t="shared" si="317"/>
        <v/>
      </c>
      <c r="L2936" s="31" t="str">
        <f>IF(OR(B2936="",C2936=""),"",IFERROR(E2936 / SUMIFS('📅 Resumen Diario'!$D$5:$D$504, '📅 Resumen Diario'!$B$5:$B$504, B2936, '📅 Resumen Diario'!$C$5:$C$504, D2936) * SUMIFS('📅 Resumen Diario'!$K$5:$K$504, '📅 Resumen Diario'!$B$5:$B$504, B2936, '📅 Resumen Diario'!$C$5:$C$504, D2936), 0))</f>
        <v/>
      </c>
      <c r="M2936" s="31" t="str">
        <f t="shared" si="318"/>
        <v/>
      </c>
      <c r="N2936" s="31" t="str">
        <f t="shared" si="319"/>
        <v/>
      </c>
      <c r="O2936" s="31" t="str">
        <f>IF(OR(B2936="",C2936=""),"",K2936-N2936 + IFERROR(E2936 / SUMIFS('📅 Resumen Diario'!$D$5:$D$504, '📅 Resumen Diario'!$B$5:$B$504, B2936, '📅 Resumen Diario'!$C$5:$C$504, D2936) * (SUMIFS('📋 Detalle Diario'!$E$5:$E$489, '📋 Detalle Diario'!$B$5:$B$489, B2936, '📋 Detalle Diario'!$C$5:$C$489, D2936) * 135 + SUMIFS('📋 Detalle Diario'!$I$5:$I$489, '📋 Detalle Diario'!$B$5:$B$489, B2936, '📋 Detalle Diario'!$C$5:$C$489, D2936) * 200), 0))</f>
        <v/>
      </c>
      <c r="P2936" s="32" t="str">
        <f t="shared" si="320"/>
        <v/>
      </c>
      <c r="Q2936" s="33" t="str">
        <f t="shared" si="321"/>
        <v/>
      </c>
    </row>
    <row r="2937" spans="2:17" ht="18" customHeight="1" x14ac:dyDescent="0.3">
      <c r="B2937" s="26"/>
      <c r="C2937" s="28"/>
      <c r="D2937" s="27"/>
      <c r="E2937" s="29"/>
      <c r="F2937" s="29"/>
      <c r="G2937" s="29"/>
      <c r="H2937" s="30" t="str">
        <f t="shared" si="315"/>
        <v/>
      </c>
      <c r="I2937" s="31" t="str">
        <f>IF(OR(B2937="",C2937=""),"",IFERROR(E2937*IF(E2937="",0,VLOOKUP(C2937,'📦 Precios Proforma'!$B$5:$D$104,IF(D2937="DIA",2,3),FALSE)),0))</f>
        <v/>
      </c>
      <c r="J2937" s="31" t="str">
        <f t="shared" si="316"/>
        <v/>
      </c>
      <c r="K2937" s="31" t="str">
        <f t="shared" si="317"/>
        <v/>
      </c>
      <c r="L2937" s="31" t="str">
        <f>IF(OR(B2937="",C2937=""),"",IFERROR(E2937 / SUMIFS('📅 Resumen Diario'!$D$5:$D$504, '📅 Resumen Diario'!$B$5:$B$504, B2937, '📅 Resumen Diario'!$C$5:$C$504, D2937) * SUMIFS('📅 Resumen Diario'!$K$5:$K$504, '📅 Resumen Diario'!$B$5:$B$504, B2937, '📅 Resumen Diario'!$C$5:$C$504, D2937), 0))</f>
        <v/>
      </c>
      <c r="M2937" s="31" t="str">
        <f t="shared" si="318"/>
        <v/>
      </c>
      <c r="N2937" s="31" t="str">
        <f t="shared" si="319"/>
        <v/>
      </c>
      <c r="O2937" s="31" t="str">
        <f>IF(OR(B2937="",C2937=""),"",K2937-N2937 + IFERROR(E2937 / SUMIFS('📅 Resumen Diario'!$D$5:$D$504, '📅 Resumen Diario'!$B$5:$B$504, B2937, '📅 Resumen Diario'!$C$5:$C$504, D2937) * (SUMIFS('📋 Detalle Diario'!$E$5:$E$489, '📋 Detalle Diario'!$B$5:$B$489, B2937, '📋 Detalle Diario'!$C$5:$C$489, D2937) * 135 + SUMIFS('📋 Detalle Diario'!$I$5:$I$489, '📋 Detalle Diario'!$B$5:$B$489, B2937, '📋 Detalle Diario'!$C$5:$C$489, D2937) * 200), 0))</f>
        <v/>
      </c>
      <c r="P2937" s="32" t="str">
        <f t="shared" si="320"/>
        <v/>
      </c>
      <c r="Q2937" s="33" t="str">
        <f t="shared" si="321"/>
        <v/>
      </c>
    </row>
    <row r="2938" spans="2:17" ht="18" customHeight="1" x14ac:dyDescent="0.3">
      <c r="B2938" s="26"/>
      <c r="C2938" s="17"/>
      <c r="D2938" s="27"/>
      <c r="E2938" s="18"/>
      <c r="F2938" s="18"/>
      <c r="G2938" s="18"/>
      <c r="H2938" s="30" t="str">
        <f t="shared" si="315"/>
        <v/>
      </c>
      <c r="I2938" s="31" t="str">
        <f>IF(OR(B2938="",C2938=""),"",IFERROR(E2938*IF(E2938="",0,VLOOKUP(C2938,'📦 Precios Proforma'!$B$5:$D$104,IF(D2938="DIA",2,3),FALSE)),0))</f>
        <v/>
      </c>
      <c r="J2938" s="31" t="str">
        <f t="shared" si="316"/>
        <v/>
      </c>
      <c r="K2938" s="31" t="str">
        <f t="shared" si="317"/>
        <v/>
      </c>
      <c r="L2938" s="31" t="str">
        <f>IF(OR(B2938="",C2938=""),"",IFERROR(E2938 / SUMIFS('📅 Resumen Diario'!$D$5:$D$504, '📅 Resumen Diario'!$B$5:$B$504, B2938, '📅 Resumen Diario'!$C$5:$C$504, D2938) * SUMIFS('📅 Resumen Diario'!$K$5:$K$504, '📅 Resumen Diario'!$B$5:$B$504, B2938, '📅 Resumen Diario'!$C$5:$C$504, D2938), 0))</f>
        <v/>
      </c>
      <c r="M2938" s="31" t="str">
        <f t="shared" si="318"/>
        <v/>
      </c>
      <c r="N2938" s="31" t="str">
        <f t="shared" si="319"/>
        <v/>
      </c>
      <c r="O2938" s="31" t="str">
        <f>IF(OR(B2938="",C2938=""),"",K2938-N2938 + IFERROR(E2938 / SUMIFS('📅 Resumen Diario'!$D$5:$D$504, '📅 Resumen Diario'!$B$5:$B$504, B2938, '📅 Resumen Diario'!$C$5:$C$504, D2938) * (SUMIFS('📋 Detalle Diario'!$E$5:$E$489, '📋 Detalle Diario'!$B$5:$B$489, B2938, '📋 Detalle Diario'!$C$5:$C$489, D2938) * 135 + SUMIFS('📋 Detalle Diario'!$I$5:$I$489, '📋 Detalle Diario'!$B$5:$B$489, B2938, '📋 Detalle Diario'!$C$5:$C$489, D2938) * 200), 0))</f>
        <v/>
      </c>
      <c r="P2938" s="32" t="str">
        <f t="shared" si="320"/>
        <v/>
      </c>
      <c r="Q2938" s="33" t="str">
        <f t="shared" si="321"/>
        <v/>
      </c>
    </row>
    <row r="2939" spans="2:17" ht="18" customHeight="1" x14ac:dyDescent="0.3">
      <c r="B2939" s="26"/>
      <c r="C2939" s="28"/>
      <c r="D2939" s="27"/>
      <c r="E2939" s="29"/>
      <c r="F2939" s="29"/>
      <c r="G2939" s="29"/>
      <c r="H2939" s="30" t="str">
        <f t="shared" si="315"/>
        <v/>
      </c>
      <c r="I2939" s="31" t="str">
        <f>IF(OR(B2939="",C2939=""),"",IFERROR(E2939*IF(E2939="",0,VLOOKUP(C2939,'📦 Precios Proforma'!$B$5:$D$104,IF(D2939="DIA",2,3),FALSE)),0))</f>
        <v/>
      </c>
      <c r="J2939" s="31" t="str">
        <f t="shared" si="316"/>
        <v/>
      </c>
      <c r="K2939" s="31" t="str">
        <f t="shared" si="317"/>
        <v/>
      </c>
      <c r="L2939" s="31" t="str">
        <f>IF(OR(B2939="",C2939=""),"",IFERROR(E2939 / SUMIFS('📅 Resumen Diario'!$D$5:$D$504, '📅 Resumen Diario'!$B$5:$B$504, B2939, '📅 Resumen Diario'!$C$5:$C$504, D2939) * SUMIFS('📅 Resumen Diario'!$K$5:$K$504, '📅 Resumen Diario'!$B$5:$B$504, B2939, '📅 Resumen Diario'!$C$5:$C$504, D2939), 0))</f>
        <v/>
      </c>
      <c r="M2939" s="31" t="str">
        <f t="shared" si="318"/>
        <v/>
      </c>
      <c r="N2939" s="31" t="str">
        <f t="shared" si="319"/>
        <v/>
      </c>
      <c r="O2939" s="31" t="str">
        <f>IF(OR(B2939="",C2939=""),"",K2939-N2939 + IFERROR(E2939 / SUMIFS('📅 Resumen Diario'!$D$5:$D$504, '📅 Resumen Diario'!$B$5:$B$504, B2939, '📅 Resumen Diario'!$C$5:$C$504, D2939) * (SUMIFS('📋 Detalle Diario'!$E$5:$E$489, '📋 Detalle Diario'!$B$5:$B$489, B2939, '📋 Detalle Diario'!$C$5:$C$489, D2939) * 135 + SUMIFS('📋 Detalle Diario'!$I$5:$I$489, '📋 Detalle Diario'!$B$5:$B$489, B2939, '📋 Detalle Diario'!$C$5:$C$489, D2939) * 200), 0))</f>
        <v/>
      </c>
      <c r="P2939" s="32" t="str">
        <f t="shared" si="320"/>
        <v/>
      </c>
      <c r="Q2939" s="33" t="str">
        <f t="shared" si="321"/>
        <v/>
      </c>
    </row>
    <row r="2940" spans="2:17" ht="18" customHeight="1" x14ac:dyDescent="0.3">
      <c r="B2940" s="26"/>
      <c r="C2940" s="17"/>
      <c r="D2940" s="27"/>
      <c r="E2940" s="18"/>
      <c r="F2940" s="18"/>
      <c r="G2940" s="18"/>
      <c r="H2940" s="30" t="str">
        <f t="shared" si="315"/>
        <v/>
      </c>
      <c r="I2940" s="31" t="str">
        <f>IF(OR(B2940="",C2940=""),"",IFERROR(E2940*IF(E2940="",0,VLOOKUP(C2940,'📦 Precios Proforma'!$B$5:$D$104,IF(D2940="DIA",2,3),FALSE)),0))</f>
        <v/>
      </c>
      <c r="J2940" s="31" t="str">
        <f t="shared" si="316"/>
        <v/>
      </c>
      <c r="K2940" s="31" t="str">
        <f t="shared" si="317"/>
        <v/>
      </c>
      <c r="L2940" s="31" t="str">
        <f>IF(OR(B2940="",C2940=""),"",IFERROR(E2940 / SUMIFS('📅 Resumen Diario'!$D$5:$D$504, '📅 Resumen Diario'!$B$5:$B$504, B2940, '📅 Resumen Diario'!$C$5:$C$504, D2940) * SUMIFS('📅 Resumen Diario'!$K$5:$K$504, '📅 Resumen Diario'!$B$5:$B$504, B2940, '📅 Resumen Diario'!$C$5:$C$504, D2940), 0))</f>
        <v/>
      </c>
      <c r="M2940" s="31" t="str">
        <f t="shared" si="318"/>
        <v/>
      </c>
      <c r="N2940" s="31" t="str">
        <f t="shared" si="319"/>
        <v/>
      </c>
      <c r="O2940" s="31" t="str">
        <f>IF(OR(B2940="",C2940=""),"",K2940-N2940 + IFERROR(E2940 / SUMIFS('📅 Resumen Diario'!$D$5:$D$504, '📅 Resumen Diario'!$B$5:$B$504, B2940, '📅 Resumen Diario'!$C$5:$C$504, D2940) * (SUMIFS('📋 Detalle Diario'!$E$5:$E$489, '📋 Detalle Diario'!$B$5:$B$489, B2940, '📋 Detalle Diario'!$C$5:$C$489, D2940) * 135 + SUMIFS('📋 Detalle Diario'!$I$5:$I$489, '📋 Detalle Diario'!$B$5:$B$489, B2940, '📋 Detalle Diario'!$C$5:$C$489, D2940) * 200), 0))</f>
        <v/>
      </c>
      <c r="P2940" s="32" t="str">
        <f t="shared" si="320"/>
        <v/>
      </c>
      <c r="Q2940" s="33" t="str">
        <f t="shared" si="321"/>
        <v/>
      </c>
    </row>
    <row r="2941" spans="2:17" ht="18" customHeight="1" x14ac:dyDescent="0.3">
      <c r="B2941" s="26"/>
      <c r="C2941" s="28"/>
      <c r="D2941" s="27"/>
      <c r="E2941" s="29"/>
      <c r="F2941" s="29"/>
      <c r="G2941" s="29"/>
      <c r="H2941" s="30" t="str">
        <f t="shared" si="315"/>
        <v/>
      </c>
      <c r="I2941" s="31" t="str">
        <f>IF(OR(B2941="",C2941=""),"",IFERROR(E2941*IF(E2941="",0,VLOOKUP(C2941,'📦 Precios Proforma'!$B$5:$D$104,IF(D2941="DIA",2,3),FALSE)),0))</f>
        <v/>
      </c>
      <c r="J2941" s="31" t="str">
        <f t="shared" si="316"/>
        <v/>
      </c>
      <c r="K2941" s="31" t="str">
        <f t="shared" si="317"/>
        <v/>
      </c>
      <c r="L2941" s="31" t="str">
        <f>IF(OR(B2941="",C2941=""),"",IFERROR(E2941 / SUMIFS('📅 Resumen Diario'!$D$5:$D$504, '📅 Resumen Diario'!$B$5:$B$504, B2941, '📅 Resumen Diario'!$C$5:$C$504, D2941) * SUMIFS('📅 Resumen Diario'!$K$5:$K$504, '📅 Resumen Diario'!$B$5:$B$504, B2941, '📅 Resumen Diario'!$C$5:$C$504, D2941), 0))</f>
        <v/>
      </c>
      <c r="M2941" s="31" t="str">
        <f t="shared" si="318"/>
        <v/>
      </c>
      <c r="N2941" s="31" t="str">
        <f t="shared" si="319"/>
        <v/>
      </c>
      <c r="O2941" s="31" t="str">
        <f>IF(OR(B2941="",C2941=""),"",K2941-N2941 + IFERROR(E2941 / SUMIFS('📅 Resumen Diario'!$D$5:$D$504, '📅 Resumen Diario'!$B$5:$B$504, B2941, '📅 Resumen Diario'!$C$5:$C$504, D2941) * (SUMIFS('📋 Detalle Diario'!$E$5:$E$489, '📋 Detalle Diario'!$B$5:$B$489, B2941, '📋 Detalle Diario'!$C$5:$C$489, D2941) * 135 + SUMIFS('📋 Detalle Diario'!$I$5:$I$489, '📋 Detalle Diario'!$B$5:$B$489, B2941, '📋 Detalle Diario'!$C$5:$C$489, D2941) * 200), 0))</f>
        <v/>
      </c>
      <c r="P2941" s="32" t="str">
        <f t="shared" si="320"/>
        <v/>
      </c>
      <c r="Q2941" s="33" t="str">
        <f t="shared" si="321"/>
        <v/>
      </c>
    </row>
    <row r="2942" spans="2:17" ht="18" customHeight="1" x14ac:dyDescent="0.3">
      <c r="B2942" s="26"/>
      <c r="C2942" s="17"/>
      <c r="D2942" s="27"/>
      <c r="E2942" s="18"/>
      <c r="F2942" s="18"/>
      <c r="G2942" s="18"/>
      <c r="H2942" s="30" t="str">
        <f t="shared" si="315"/>
        <v/>
      </c>
      <c r="I2942" s="31" t="str">
        <f>IF(OR(B2942="",C2942=""),"",IFERROR(E2942*IF(E2942="",0,VLOOKUP(C2942,'📦 Precios Proforma'!$B$5:$D$104,IF(D2942="DIA",2,3),FALSE)),0))</f>
        <v/>
      </c>
      <c r="J2942" s="31" t="str">
        <f t="shared" si="316"/>
        <v/>
      </c>
      <c r="K2942" s="31" t="str">
        <f t="shared" si="317"/>
        <v/>
      </c>
      <c r="L2942" s="31" t="str">
        <f>IF(OR(B2942="",C2942=""),"",IFERROR(E2942 / SUMIFS('📅 Resumen Diario'!$D$5:$D$504, '📅 Resumen Diario'!$B$5:$B$504, B2942, '📅 Resumen Diario'!$C$5:$C$504, D2942) * SUMIFS('📅 Resumen Diario'!$K$5:$K$504, '📅 Resumen Diario'!$B$5:$B$504, B2942, '📅 Resumen Diario'!$C$5:$C$504, D2942), 0))</f>
        <v/>
      </c>
      <c r="M2942" s="31" t="str">
        <f t="shared" si="318"/>
        <v/>
      </c>
      <c r="N2942" s="31" t="str">
        <f t="shared" si="319"/>
        <v/>
      </c>
      <c r="O2942" s="31" t="str">
        <f>IF(OR(B2942="",C2942=""),"",K2942-N2942 + IFERROR(E2942 / SUMIFS('📅 Resumen Diario'!$D$5:$D$504, '📅 Resumen Diario'!$B$5:$B$504, B2942, '📅 Resumen Diario'!$C$5:$C$504, D2942) * (SUMIFS('📋 Detalle Diario'!$E$5:$E$489, '📋 Detalle Diario'!$B$5:$B$489, B2942, '📋 Detalle Diario'!$C$5:$C$489, D2942) * 135 + SUMIFS('📋 Detalle Diario'!$I$5:$I$489, '📋 Detalle Diario'!$B$5:$B$489, B2942, '📋 Detalle Diario'!$C$5:$C$489, D2942) * 200), 0))</f>
        <v/>
      </c>
      <c r="P2942" s="32" t="str">
        <f t="shared" si="320"/>
        <v/>
      </c>
      <c r="Q2942" s="33" t="str">
        <f t="shared" si="321"/>
        <v/>
      </c>
    </row>
    <row r="2943" spans="2:17" ht="18" customHeight="1" x14ac:dyDescent="0.3">
      <c r="B2943" s="26"/>
      <c r="C2943" s="28"/>
      <c r="D2943" s="27"/>
      <c r="E2943" s="29"/>
      <c r="F2943" s="29"/>
      <c r="G2943" s="29"/>
      <c r="H2943" s="30" t="str">
        <f t="shared" si="315"/>
        <v/>
      </c>
      <c r="I2943" s="31" t="str">
        <f>IF(OR(B2943="",C2943=""),"",IFERROR(E2943*IF(E2943="",0,VLOOKUP(C2943,'📦 Precios Proforma'!$B$5:$D$104,IF(D2943="DIA",2,3),FALSE)),0))</f>
        <v/>
      </c>
      <c r="J2943" s="31" t="str">
        <f t="shared" si="316"/>
        <v/>
      </c>
      <c r="K2943" s="31" t="str">
        <f t="shared" si="317"/>
        <v/>
      </c>
      <c r="L2943" s="31" t="str">
        <f>IF(OR(B2943="",C2943=""),"",IFERROR(E2943 / SUMIFS('📅 Resumen Diario'!$D$5:$D$504, '📅 Resumen Diario'!$B$5:$B$504, B2943, '📅 Resumen Diario'!$C$5:$C$504, D2943) * SUMIFS('📅 Resumen Diario'!$K$5:$K$504, '📅 Resumen Diario'!$B$5:$B$504, B2943, '📅 Resumen Diario'!$C$5:$C$504, D2943), 0))</f>
        <v/>
      </c>
      <c r="M2943" s="31" t="str">
        <f t="shared" si="318"/>
        <v/>
      </c>
      <c r="N2943" s="31" t="str">
        <f t="shared" si="319"/>
        <v/>
      </c>
      <c r="O2943" s="31" t="str">
        <f>IF(OR(B2943="",C2943=""),"",K2943-N2943 + IFERROR(E2943 / SUMIFS('📅 Resumen Diario'!$D$5:$D$504, '📅 Resumen Diario'!$B$5:$B$504, B2943, '📅 Resumen Diario'!$C$5:$C$504, D2943) * (SUMIFS('📋 Detalle Diario'!$E$5:$E$489, '📋 Detalle Diario'!$B$5:$B$489, B2943, '📋 Detalle Diario'!$C$5:$C$489, D2943) * 135 + SUMIFS('📋 Detalle Diario'!$I$5:$I$489, '📋 Detalle Diario'!$B$5:$B$489, B2943, '📋 Detalle Diario'!$C$5:$C$489, D2943) * 200), 0))</f>
        <v/>
      </c>
      <c r="P2943" s="32" t="str">
        <f t="shared" si="320"/>
        <v/>
      </c>
      <c r="Q2943" s="33" t="str">
        <f t="shared" si="321"/>
        <v/>
      </c>
    </row>
    <row r="2944" spans="2:17" ht="18" customHeight="1" x14ac:dyDescent="0.3">
      <c r="B2944" s="26"/>
      <c r="C2944" s="17"/>
      <c r="D2944" s="27"/>
      <c r="E2944" s="18"/>
      <c r="F2944" s="18"/>
      <c r="G2944" s="18"/>
      <c r="H2944" s="30" t="str">
        <f t="shared" si="315"/>
        <v/>
      </c>
      <c r="I2944" s="31" t="str">
        <f>IF(OR(B2944="",C2944=""),"",IFERROR(E2944*IF(E2944="",0,VLOOKUP(C2944,'📦 Precios Proforma'!$B$5:$D$104,IF(D2944="DIA",2,3),FALSE)),0))</f>
        <v/>
      </c>
      <c r="J2944" s="31" t="str">
        <f t="shared" si="316"/>
        <v/>
      </c>
      <c r="K2944" s="31" t="str">
        <f t="shared" si="317"/>
        <v/>
      </c>
      <c r="L2944" s="31" t="str">
        <f>IF(OR(B2944="",C2944=""),"",IFERROR(E2944 / SUMIFS('📅 Resumen Diario'!$D$5:$D$504, '📅 Resumen Diario'!$B$5:$B$504, B2944, '📅 Resumen Diario'!$C$5:$C$504, D2944) * SUMIFS('📅 Resumen Diario'!$K$5:$K$504, '📅 Resumen Diario'!$B$5:$B$504, B2944, '📅 Resumen Diario'!$C$5:$C$504, D2944), 0))</f>
        <v/>
      </c>
      <c r="M2944" s="31" t="str">
        <f t="shared" si="318"/>
        <v/>
      </c>
      <c r="N2944" s="31" t="str">
        <f t="shared" si="319"/>
        <v/>
      </c>
      <c r="O2944" s="31" t="str">
        <f>IF(OR(B2944="",C2944=""),"",K2944-N2944 + IFERROR(E2944 / SUMIFS('📅 Resumen Diario'!$D$5:$D$504, '📅 Resumen Diario'!$B$5:$B$504, B2944, '📅 Resumen Diario'!$C$5:$C$504, D2944) * (SUMIFS('📋 Detalle Diario'!$E$5:$E$489, '📋 Detalle Diario'!$B$5:$B$489, B2944, '📋 Detalle Diario'!$C$5:$C$489, D2944) * 135 + SUMIFS('📋 Detalle Diario'!$I$5:$I$489, '📋 Detalle Diario'!$B$5:$B$489, B2944, '📋 Detalle Diario'!$C$5:$C$489, D2944) * 200), 0))</f>
        <v/>
      </c>
      <c r="P2944" s="32" t="str">
        <f t="shared" si="320"/>
        <v/>
      </c>
      <c r="Q2944" s="33" t="str">
        <f t="shared" si="321"/>
        <v/>
      </c>
    </row>
    <row r="2945" spans="2:17" ht="18" customHeight="1" x14ac:dyDescent="0.3">
      <c r="B2945" s="26"/>
      <c r="C2945" s="28"/>
      <c r="D2945" s="27"/>
      <c r="E2945" s="29"/>
      <c r="F2945" s="29"/>
      <c r="G2945" s="29"/>
      <c r="H2945" s="30" t="str">
        <f t="shared" si="315"/>
        <v/>
      </c>
      <c r="I2945" s="31" t="str">
        <f>IF(OR(B2945="",C2945=""),"",IFERROR(E2945*IF(E2945="",0,VLOOKUP(C2945,'📦 Precios Proforma'!$B$5:$D$104,IF(D2945="DIA",2,3),FALSE)),0))</f>
        <v/>
      </c>
      <c r="J2945" s="31" t="str">
        <f t="shared" si="316"/>
        <v/>
      </c>
      <c r="K2945" s="31" t="str">
        <f t="shared" si="317"/>
        <v/>
      </c>
      <c r="L2945" s="31" t="str">
        <f>IF(OR(B2945="",C2945=""),"",IFERROR(E2945 / SUMIFS('📅 Resumen Diario'!$D$5:$D$504, '📅 Resumen Diario'!$B$5:$B$504, B2945, '📅 Resumen Diario'!$C$5:$C$504, D2945) * SUMIFS('📅 Resumen Diario'!$K$5:$K$504, '📅 Resumen Diario'!$B$5:$B$504, B2945, '📅 Resumen Diario'!$C$5:$C$504, D2945), 0))</f>
        <v/>
      </c>
      <c r="M2945" s="31" t="str">
        <f t="shared" si="318"/>
        <v/>
      </c>
      <c r="N2945" s="31" t="str">
        <f t="shared" si="319"/>
        <v/>
      </c>
      <c r="O2945" s="31" t="str">
        <f>IF(OR(B2945="",C2945=""),"",K2945-N2945 + IFERROR(E2945 / SUMIFS('📅 Resumen Diario'!$D$5:$D$504, '📅 Resumen Diario'!$B$5:$B$504, B2945, '📅 Resumen Diario'!$C$5:$C$504, D2945) * (SUMIFS('📋 Detalle Diario'!$E$5:$E$489, '📋 Detalle Diario'!$B$5:$B$489, B2945, '📋 Detalle Diario'!$C$5:$C$489, D2945) * 135 + SUMIFS('📋 Detalle Diario'!$I$5:$I$489, '📋 Detalle Diario'!$B$5:$B$489, B2945, '📋 Detalle Diario'!$C$5:$C$489, D2945) * 200), 0))</f>
        <v/>
      </c>
      <c r="P2945" s="32" t="str">
        <f t="shared" si="320"/>
        <v/>
      </c>
      <c r="Q2945" s="33" t="str">
        <f t="shared" si="321"/>
        <v/>
      </c>
    </row>
    <row r="2946" spans="2:17" ht="18" customHeight="1" x14ac:dyDescent="0.3">
      <c r="B2946" s="26"/>
      <c r="C2946" s="17"/>
      <c r="D2946" s="27"/>
      <c r="E2946" s="18"/>
      <c r="F2946" s="18"/>
      <c r="G2946" s="18"/>
      <c r="H2946" s="30" t="str">
        <f t="shared" si="315"/>
        <v/>
      </c>
      <c r="I2946" s="31" t="str">
        <f>IF(OR(B2946="",C2946=""),"",IFERROR(E2946*IF(E2946="",0,VLOOKUP(C2946,'📦 Precios Proforma'!$B$5:$D$104,IF(D2946="DIA",2,3),FALSE)),0))</f>
        <v/>
      </c>
      <c r="J2946" s="31" t="str">
        <f t="shared" si="316"/>
        <v/>
      </c>
      <c r="K2946" s="31" t="str">
        <f t="shared" si="317"/>
        <v/>
      </c>
      <c r="L2946" s="31" t="str">
        <f>IF(OR(B2946="",C2946=""),"",IFERROR(E2946 / SUMIFS('📅 Resumen Diario'!$D$5:$D$504, '📅 Resumen Diario'!$B$5:$B$504, B2946, '📅 Resumen Diario'!$C$5:$C$504, D2946) * SUMIFS('📅 Resumen Diario'!$K$5:$K$504, '📅 Resumen Diario'!$B$5:$B$504, B2946, '📅 Resumen Diario'!$C$5:$C$504, D2946), 0))</f>
        <v/>
      </c>
      <c r="M2946" s="31" t="str">
        <f t="shared" si="318"/>
        <v/>
      </c>
      <c r="N2946" s="31" t="str">
        <f t="shared" si="319"/>
        <v/>
      </c>
      <c r="O2946" s="31" t="str">
        <f>IF(OR(B2946="",C2946=""),"",K2946-N2946 + IFERROR(E2946 / SUMIFS('📅 Resumen Diario'!$D$5:$D$504, '📅 Resumen Diario'!$B$5:$B$504, B2946, '📅 Resumen Diario'!$C$5:$C$504, D2946) * (SUMIFS('📋 Detalle Diario'!$E$5:$E$489, '📋 Detalle Diario'!$B$5:$B$489, B2946, '📋 Detalle Diario'!$C$5:$C$489, D2946) * 135 + SUMIFS('📋 Detalle Diario'!$I$5:$I$489, '📋 Detalle Diario'!$B$5:$B$489, B2946, '📋 Detalle Diario'!$C$5:$C$489, D2946) * 200), 0))</f>
        <v/>
      </c>
      <c r="P2946" s="32" t="str">
        <f t="shared" si="320"/>
        <v/>
      </c>
      <c r="Q2946" s="33" t="str">
        <f t="shared" si="321"/>
        <v/>
      </c>
    </row>
    <row r="2947" spans="2:17" ht="18" customHeight="1" x14ac:dyDescent="0.3">
      <c r="B2947" s="26"/>
      <c r="C2947" s="28"/>
      <c r="D2947" s="27"/>
      <c r="E2947" s="29"/>
      <c r="F2947" s="29"/>
      <c r="G2947" s="29"/>
      <c r="H2947" s="30" t="str">
        <f t="shared" si="315"/>
        <v/>
      </c>
      <c r="I2947" s="31" t="str">
        <f>IF(OR(B2947="",C2947=""),"",IFERROR(E2947*IF(E2947="",0,VLOOKUP(C2947,'📦 Precios Proforma'!$B$5:$D$104,IF(D2947="DIA",2,3),FALSE)),0))</f>
        <v/>
      </c>
      <c r="J2947" s="31" t="str">
        <f t="shared" si="316"/>
        <v/>
      </c>
      <c r="K2947" s="31" t="str">
        <f t="shared" si="317"/>
        <v/>
      </c>
      <c r="L2947" s="31" t="str">
        <f>IF(OR(B2947="",C2947=""),"",IFERROR(E2947 / SUMIFS('📅 Resumen Diario'!$D$5:$D$504, '📅 Resumen Diario'!$B$5:$B$504, B2947, '📅 Resumen Diario'!$C$5:$C$504, D2947) * SUMIFS('📅 Resumen Diario'!$K$5:$K$504, '📅 Resumen Diario'!$B$5:$B$504, B2947, '📅 Resumen Diario'!$C$5:$C$504, D2947), 0))</f>
        <v/>
      </c>
      <c r="M2947" s="31" t="str">
        <f t="shared" si="318"/>
        <v/>
      </c>
      <c r="N2947" s="31" t="str">
        <f t="shared" si="319"/>
        <v/>
      </c>
      <c r="O2947" s="31" t="str">
        <f>IF(OR(B2947="",C2947=""),"",K2947-N2947 + IFERROR(E2947 / SUMIFS('📅 Resumen Diario'!$D$5:$D$504, '📅 Resumen Diario'!$B$5:$B$504, B2947, '📅 Resumen Diario'!$C$5:$C$504, D2947) * (SUMIFS('📋 Detalle Diario'!$E$5:$E$489, '📋 Detalle Diario'!$B$5:$B$489, B2947, '📋 Detalle Diario'!$C$5:$C$489, D2947) * 135 + SUMIFS('📋 Detalle Diario'!$I$5:$I$489, '📋 Detalle Diario'!$B$5:$B$489, B2947, '📋 Detalle Diario'!$C$5:$C$489, D2947) * 200), 0))</f>
        <v/>
      </c>
      <c r="P2947" s="32" t="str">
        <f t="shared" si="320"/>
        <v/>
      </c>
      <c r="Q2947" s="33" t="str">
        <f t="shared" si="321"/>
        <v/>
      </c>
    </row>
    <row r="2948" spans="2:17" ht="18" customHeight="1" x14ac:dyDescent="0.3">
      <c r="B2948" s="26"/>
      <c r="C2948" s="17"/>
      <c r="D2948" s="27"/>
      <c r="E2948" s="18"/>
      <c r="F2948" s="18"/>
      <c r="G2948" s="18"/>
      <c r="H2948" s="30" t="str">
        <f t="shared" si="315"/>
        <v/>
      </c>
      <c r="I2948" s="31" t="str">
        <f>IF(OR(B2948="",C2948=""),"",IFERROR(E2948*IF(E2948="",0,VLOOKUP(C2948,'📦 Precios Proforma'!$B$5:$D$104,IF(D2948="DIA",2,3),FALSE)),0))</f>
        <v/>
      </c>
      <c r="J2948" s="31" t="str">
        <f t="shared" si="316"/>
        <v/>
      </c>
      <c r="K2948" s="31" t="str">
        <f t="shared" si="317"/>
        <v/>
      </c>
      <c r="L2948" s="31" t="str">
        <f>IF(OR(B2948="",C2948=""),"",IFERROR(E2948 / SUMIFS('📅 Resumen Diario'!$D$5:$D$504, '📅 Resumen Diario'!$B$5:$B$504, B2948, '📅 Resumen Diario'!$C$5:$C$504, D2948) * SUMIFS('📅 Resumen Diario'!$K$5:$K$504, '📅 Resumen Diario'!$B$5:$B$504, B2948, '📅 Resumen Diario'!$C$5:$C$504, D2948), 0))</f>
        <v/>
      </c>
      <c r="M2948" s="31" t="str">
        <f t="shared" si="318"/>
        <v/>
      </c>
      <c r="N2948" s="31" t="str">
        <f t="shared" si="319"/>
        <v/>
      </c>
      <c r="O2948" s="31" t="str">
        <f>IF(OR(B2948="",C2948=""),"",K2948-N2948 + IFERROR(E2948 / SUMIFS('📅 Resumen Diario'!$D$5:$D$504, '📅 Resumen Diario'!$B$5:$B$504, B2948, '📅 Resumen Diario'!$C$5:$C$504, D2948) * (SUMIFS('📋 Detalle Diario'!$E$5:$E$489, '📋 Detalle Diario'!$B$5:$B$489, B2948, '📋 Detalle Diario'!$C$5:$C$489, D2948) * 135 + SUMIFS('📋 Detalle Diario'!$I$5:$I$489, '📋 Detalle Diario'!$B$5:$B$489, B2948, '📋 Detalle Diario'!$C$5:$C$489, D2948) * 200), 0))</f>
        <v/>
      </c>
      <c r="P2948" s="32" t="str">
        <f t="shared" si="320"/>
        <v/>
      </c>
      <c r="Q2948" s="33" t="str">
        <f t="shared" si="321"/>
        <v/>
      </c>
    </row>
    <row r="2949" spans="2:17" ht="18" customHeight="1" x14ac:dyDescent="0.3">
      <c r="B2949" s="26"/>
      <c r="C2949" s="28"/>
      <c r="D2949" s="27"/>
      <c r="E2949" s="29"/>
      <c r="F2949" s="29"/>
      <c r="G2949" s="29"/>
      <c r="H2949" s="30" t="str">
        <f t="shared" si="315"/>
        <v/>
      </c>
      <c r="I2949" s="31" t="str">
        <f>IF(OR(B2949="",C2949=""),"",IFERROR(E2949*IF(E2949="",0,VLOOKUP(C2949,'📦 Precios Proforma'!$B$5:$D$104,IF(D2949="DIA",2,3),FALSE)),0))</f>
        <v/>
      </c>
      <c r="J2949" s="31" t="str">
        <f t="shared" si="316"/>
        <v/>
      </c>
      <c r="K2949" s="31" t="str">
        <f t="shared" si="317"/>
        <v/>
      </c>
      <c r="L2949" s="31" t="str">
        <f>IF(OR(B2949="",C2949=""),"",IFERROR(E2949 / SUMIFS('📅 Resumen Diario'!$D$5:$D$504, '📅 Resumen Diario'!$B$5:$B$504, B2949, '📅 Resumen Diario'!$C$5:$C$504, D2949) * SUMIFS('📅 Resumen Diario'!$K$5:$K$504, '📅 Resumen Diario'!$B$5:$B$504, B2949, '📅 Resumen Diario'!$C$5:$C$504, D2949), 0))</f>
        <v/>
      </c>
      <c r="M2949" s="31" t="str">
        <f t="shared" si="318"/>
        <v/>
      </c>
      <c r="N2949" s="31" t="str">
        <f t="shared" si="319"/>
        <v/>
      </c>
      <c r="O2949" s="31" t="str">
        <f>IF(OR(B2949="",C2949=""),"",K2949-N2949 + IFERROR(E2949 / SUMIFS('📅 Resumen Diario'!$D$5:$D$504, '📅 Resumen Diario'!$B$5:$B$504, B2949, '📅 Resumen Diario'!$C$5:$C$504, D2949) * (SUMIFS('📋 Detalle Diario'!$E$5:$E$489, '📋 Detalle Diario'!$B$5:$B$489, B2949, '📋 Detalle Diario'!$C$5:$C$489, D2949) * 135 + SUMIFS('📋 Detalle Diario'!$I$5:$I$489, '📋 Detalle Diario'!$B$5:$B$489, B2949, '📋 Detalle Diario'!$C$5:$C$489, D2949) * 200), 0))</f>
        <v/>
      </c>
      <c r="P2949" s="32" t="str">
        <f t="shared" si="320"/>
        <v/>
      </c>
      <c r="Q2949" s="33" t="str">
        <f t="shared" si="321"/>
        <v/>
      </c>
    </row>
    <row r="2950" spans="2:17" ht="18" customHeight="1" x14ac:dyDescent="0.3">
      <c r="B2950" s="26"/>
      <c r="C2950" s="17"/>
      <c r="D2950" s="27"/>
      <c r="E2950" s="18"/>
      <c r="F2950" s="18"/>
      <c r="G2950" s="18"/>
      <c r="H2950" s="30" t="str">
        <f t="shared" si="315"/>
        <v/>
      </c>
      <c r="I2950" s="31" t="str">
        <f>IF(OR(B2950="",C2950=""),"",IFERROR(E2950*IF(E2950="",0,VLOOKUP(C2950,'📦 Precios Proforma'!$B$5:$D$104,IF(D2950="DIA",2,3),FALSE)),0))</f>
        <v/>
      </c>
      <c r="J2950" s="31" t="str">
        <f t="shared" si="316"/>
        <v/>
      </c>
      <c r="K2950" s="31" t="str">
        <f t="shared" si="317"/>
        <v/>
      </c>
      <c r="L2950" s="31" t="str">
        <f>IF(OR(B2950="",C2950=""),"",IFERROR(E2950 / SUMIFS('📅 Resumen Diario'!$D$5:$D$504, '📅 Resumen Diario'!$B$5:$B$504, B2950, '📅 Resumen Diario'!$C$5:$C$504, D2950) * SUMIFS('📅 Resumen Diario'!$K$5:$K$504, '📅 Resumen Diario'!$B$5:$B$504, B2950, '📅 Resumen Diario'!$C$5:$C$504, D2950), 0))</f>
        <v/>
      </c>
      <c r="M2950" s="31" t="str">
        <f t="shared" si="318"/>
        <v/>
      </c>
      <c r="N2950" s="31" t="str">
        <f t="shared" si="319"/>
        <v/>
      </c>
      <c r="O2950" s="31" t="str">
        <f>IF(OR(B2950="",C2950=""),"",K2950-N2950 + IFERROR(E2950 / SUMIFS('📅 Resumen Diario'!$D$5:$D$504, '📅 Resumen Diario'!$B$5:$B$504, B2950, '📅 Resumen Diario'!$C$5:$C$504, D2950) * (SUMIFS('📋 Detalle Diario'!$E$5:$E$489, '📋 Detalle Diario'!$B$5:$B$489, B2950, '📋 Detalle Diario'!$C$5:$C$489, D2950) * 135 + SUMIFS('📋 Detalle Diario'!$I$5:$I$489, '📋 Detalle Diario'!$B$5:$B$489, B2950, '📋 Detalle Diario'!$C$5:$C$489, D2950) * 200), 0))</f>
        <v/>
      </c>
      <c r="P2950" s="32" t="str">
        <f t="shared" si="320"/>
        <v/>
      </c>
      <c r="Q2950" s="33" t="str">
        <f t="shared" si="321"/>
        <v/>
      </c>
    </row>
    <row r="2951" spans="2:17" ht="18" customHeight="1" x14ac:dyDescent="0.3">
      <c r="B2951" s="26"/>
      <c r="C2951" s="28"/>
      <c r="D2951" s="27"/>
      <c r="E2951" s="29"/>
      <c r="F2951" s="29"/>
      <c r="G2951" s="29"/>
      <c r="H2951" s="30" t="str">
        <f t="shared" ref="H2951:H3014" si="322">IF(OR(B2951="",C2951=""),"",F2951+G2951)</f>
        <v/>
      </c>
      <c r="I2951" s="31" t="str">
        <f>IF(OR(B2951="",C2951=""),"",IFERROR(E2951*IF(E2951="",0,VLOOKUP(C2951,'📦 Precios Proforma'!$B$5:$D$104,IF(D2951="DIA",2,3),FALSE)),0))</f>
        <v/>
      </c>
      <c r="J2951" s="31" t="str">
        <f t="shared" ref="J2951:J3014" si="323">IF(OR(B2951="",C2951=""),"",IF(D2951="DIA",H2951*1.01,H2951*1.35))</f>
        <v/>
      </c>
      <c r="K2951" s="31" t="str">
        <f t="shared" ref="K2951:K3014" si="324">IF(OR(B2951="",C2951=""),"",I2951+J2951)</f>
        <v/>
      </c>
      <c r="L2951" s="31" t="str">
        <f>IF(OR(B2951="",C2951=""),"",IFERROR(E2951 / SUMIFS('📅 Resumen Diario'!$D$5:$D$504, '📅 Resumen Diario'!$B$5:$B$504, B2951, '📅 Resumen Diario'!$C$5:$C$504, D2951) * SUMIFS('📅 Resumen Diario'!$K$5:$K$504, '📅 Resumen Diario'!$B$5:$B$504, B2951, '📅 Resumen Diario'!$C$5:$C$504, D2951), 0))</f>
        <v/>
      </c>
      <c r="M2951" s="31" t="str">
        <f t="shared" ref="M2951:M3014" si="325">IF(OR(B2951="",C2951=""),"",H2951*0.09)</f>
        <v/>
      </c>
      <c r="N2951" s="31" t="str">
        <f t="shared" ref="N2951:N3014" si="326">IF(OR(B2951="",C2951=""),"",L2951+M2951)</f>
        <v/>
      </c>
      <c r="O2951" s="31" t="str">
        <f>IF(OR(B2951="",C2951=""),"",K2951-N2951 + IFERROR(E2951 / SUMIFS('📅 Resumen Diario'!$D$5:$D$504, '📅 Resumen Diario'!$B$5:$B$504, B2951, '📅 Resumen Diario'!$C$5:$C$504, D2951) * (SUMIFS('📋 Detalle Diario'!$E$5:$E$489, '📋 Detalle Diario'!$B$5:$B$489, B2951, '📋 Detalle Diario'!$C$5:$C$489, D2951) * 135 + SUMIFS('📋 Detalle Diario'!$I$5:$I$489, '📋 Detalle Diario'!$B$5:$B$489, B2951, '📋 Detalle Diario'!$C$5:$C$489, D2951) * 200), 0))</f>
        <v/>
      </c>
      <c r="P2951" s="32" t="str">
        <f t="shared" ref="P2951:P3014" si="327">IF(OR(B2951="",C2951=""),"",IF(K2951=0, 0, O2951/K2951))</f>
        <v/>
      </c>
      <c r="Q2951" s="33" t="str">
        <f t="shared" ref="Q2951:Q3014" si="328">IF(B2951="","",IF(ISNUMBER(B2951),YEAR(B2951)&amp;"-"&amp;IF(MONTH(B2951)&lt;10,"0","")&amp;MONTH(B2951),LEFT(B2951,7)))</f>
        <v/>
      </c>
    </row>
    <row r="2952" spans="2:17" ht="18" customHeight="1" x14ac:dyDescent="0.3">
      <c r="B2952" s="26"/>
      <c r="C2952" s="17"/>
      <c r="D2952" s="27"/>
      <c r="E2952" s="18"/>
      <c r="F2952" s="18"/>
      <c r="G2952" s="18"/>
      <c r="H2952" s="30" t="str">
        <f t="shared" si="322"/>
        <v/>
      </c>
      <c r="I2952" s="31" t="str">
        <f>IF(OR(B2952="",C2952=""),"",IFERROR(E2952*IF(E2952="",0,VLOOKUP(C2952,'📦 Precios Proforma'!$B$5:$D$104,IF(D2952="DIA",2,3),FALSE)),0))</f>
        <v/>
      </c>
      <c r="J2952" s="31" t="str">
        <f t="shared" si="323"/>
        <v/>
      </c>
      <c r="K2952" s="31" t="str">
        <f t="shared" si="324"/>
        <v/>
      </c>
      <c r="L2952" s="31" t="str">
        <f>IF(OR(B2952="",C2952=""),"",IFERROR(E2952 / SUMIFS('📅 Resumen Diario'!$D$5:$D$504, '📅 Resumen Diario'!$B$5:$B$504, B2952, '📅 Resumen Diario'!$C$5:$C$504, D2952) * SUMIFS('📅 Resumen Diario'!$K$5:$K$504, '📅 Resumen Diario'!$B$5:$B$504, B2952, '📅 Resumen Diario'!$C$5:$C$504, D2952), 0))</f>
        <v/>
      </c>
      <c r="M2952" s="31" t="str">
        <f t="shared" si="325"/>
        <v/>
      </c>
      <c r="N2952" s="31" t="str">
        <f t="shared" si="326"/>
        <v/>
      </c>
      <c r="O2952" s="31" t="str">
        <f>IF(OR(B2952="",C2952=""),"",K2952-N2952 + IFERROR(E2952 / SUMIFS('📅 Resumen Diario'!$D$5:$D$504, '📅 Resumen Diario'!$B$5:$B$504, B2952, '📅 Resumen Diario'!$C$5:$C$504, D2952) * (SUMIFS('📋 Detalle Diario'!$E$5:$E$489, '📋 Detalle Diario'!$B$5:$B$489, B2952, '📋 Detalle Diario'!$C$5:$C$489, D2952) * 135 + SUMIFS('📋 Detalle Diario'!$I$5:$I$489, '📋 Detalle Diario'!$B$5:$B$489, B2952, '📋 Detalle Diario'!$C$5:$C$489, D2952) * 200), 0))</f>
        <v/>
      </c>
      <c r="P2952" s="32" t="str">
        <f t="shared" si="327"/>
        <v/>
      </c>
      <c r="Q2952" s="33" t="str">
        <f t="shared" si="328"/>
        <v/>
      </c>
    </row>
    <row r="2953" spans="2:17" ht="18" customHeight="1" x14ac:dyDescent="0.3">
      <c r="B2953" s="26"/>
      <c r="C2953" s="28"/>
      <c r="D2953" s="27"/>
      <c r="E2953" s="29"/>
      <c r="F2953" s="29"/>
      <c r="G2953" s="29"/>
      <c r="H2953" s="30" t="str">
        <f t="shared" si="322"/>
        <v/>
      </c>
      <c r="I2953" s="31" t="str">
        <f>IF(OR(B2953="",C2953=""),"",IFERROR(E2953*IF(E2953="",0,VLOOKUP(C2953,'📦 Precios Proforma'!$B$5:$D$104,IF(D2953="DIA",2,3),FALSE)),0))</f>
        <v/>
      </c>
      <c r="J2953" s="31" t="str">
        <f t="shared" si="323"/>
        <v/>
      </c>
      <c r="K2953" s="31" t="str">
        <f t="shared" si="324"/>
        <v/>
      </c>
      <c r="L2953" s="31" t="str">
        <f>IF(OR(B2953="",C2953=""),"",IFERROR(E2953 / SUMIFS('📅 Resumen Diario'!$D$5:$D$504, '📅 Resumen Diario'!$B$5:$B$504, B2953, '📅 Resumen Diario'!$C$5:$C$504, D2953) * SUMIFS('📅 Resumen Diario'!$K$5:$K$504, '📅 Resumen Diario'!$B$5:$B$504, B2953, '📅 Resumen Diario'!$C$5:$C$504, D2953), 0))</f>
        <v/>
      </c>
      <c r="M2953" s="31" t="str">
        <f t="shared" si="325"/>
        <v/>
      </c>
      <c r="N2953" s="31" t="str">
        <f t="shared" si="326"/>
        <v/>
      </c>
      <c r="O2953" s="31" t="str">
        <f>IF(OR(B2953="",C2953=""),"",K2953-N2953 + IFERROR(E2953 / SUMIFS('📅 Resumen Diario'!$D$5:$D$504, '📅 Resumen Diario'!$B$5:$B$504, B2953, '📅 Resumen Diario'!$C$5:$C$504, D2953) * (SUMIFS('📋 Detalle Diario'!$E$5:$E$489, '📋 Detalle Diario'!$B$5:$B$489, B2953, '📋 Detalle Diario'!$C$5:$C$489, D2953) * 135 + SUMIFS('📋 Detalle Diario'!$I$5:$I$489, '📋 Detalle Diario'!$B$5:$B$489, B2953, '📋 Detalle Diario'!$C$5:$C$489, D2953) * 200), 0))</f>
        <v/>
      </c>
      <c r="P2953" s="32" t="str">
        <f t="shared" si="327"/>
        <v/>
      </c>
      <c r="Q2953" s="33" t="str">
        <f t="shared" si="328"/>
        <v/>
      </c>
    </row>
    <row r="2954" spans="2:17" ht="18" customHeight="1" x14ac:dyDescent="0.3">
      <c r="B2954" s="26"/>
      <c r="C2954" s="17"/>
      <c r="D2954" s="27"/>
      <c r="E2954" s="18"/>
      <c r="F2954" s="18"/>
      <c r="G2954" s="18"/>
      <c r="H2954" s="30" t="str">
        <f t="shared" si="322"/>
        <v/>
      </c>
      <c r="I2954" s="31" t="str">
        <f>IF(OR(B2954="",C2954=""),"",IFERROR(E2954*IF(E2954="",0,VLOOKUP(C2954,'📦 Precios Proforma'!$B$5:$D$104,IF(D2954="DIA",2,3),FALSE)),0))</f>
        <v/>
      </c>
      <c r="J2954" s="31" t="str">
        <f t="shared" si="323"/>
        <v/>
      </c>
      <c r="K2954" s="31" t="str">
        <f t="shared" si="324"/>
        <v/>
      </c>
      <c r="L2954" s="31" t="str">
        <f>IF(OR(B2954="",C2954=""),"",IFERROR(E2954 / SUMIFS('📅 Resumen Diario'!$D$5:$D$504, '📅 Resumen Diario'!$B$5:$B$504, B2954, '📅 Resumen Diario'!$C$5:$C$504, D2954) * SUMIFS('📅 Resumen Diario'!$K$5:$K$504, '📅 Resumen Diario'!$B$5:$B$504, B2954, '📅 Resumen Diario'!$C$5:$C$504, D2954), 0))</f>
        <v/>
      </c>
      <c r="M2954" s="31" t="str">
        <f t="shared" si="325"/>
        <v/>
      </c>
      <c r="N2954" s="31" t="str">
        <f t="shared" si="326"/>
        <v/>
      </c>
      <c r="O2954" s="31" t="str">
        <f>IF(OR(B2954="",C2954=""),"",K2954-N2954 + IFERROR(E2954 / SUMIFS('📅 Resumen Diario'!$D$5:$D$504, '📅 Resumen Diario'!$B$5:$B$504, B2954, '📅 Resumen Diario'!$C$5:$C$504, D2954) * (SUMIFS('📋 Detalle Diario'!$E$5:$E$489, '📋 Detalle Diario'!$B$5:$B$489, B2954, '📋 Detalle Diario'!$C$5:$C$489, D2954) * 135 + SUMIFS('📋 Detalle Diario'!$I$5:$I$489, '📋 Detalle Diario'!$B$5:$B$489, B2954, '📋 Detalle Diario'!$C$5:$C$489, D2954) * 200), 0))</f>
        <v/>
      </c>
      <c r="P2954" s="32" t="str">
        <f t="shared" si="327"/>
        <v/>
      </c>
      <c r="Q2954" s="33" t="str">
        <f t="shared" si="328"/>
        <v/>
      </c>
    </row>
    <row r="2955" spans="2:17" ht="18" customHeight="1" x14ac:dyDescent="0.3">
      <c r="B2955" s="26"/>
      <c r="C2955" s="28"/>
      <c r="D2955" s="27"/>
      <c r="E2955" s="29"/>
      <c r="F2955" s="29"/>
      <c r="G2955" s="29"/>
      <c r="H2955" s="30" t="str">
        <f t="shared" si="322"/>
        <v/>
      </c>
      <c r="I2955" s="31" t="str">
        <f>IF(OR(B2955="",C2955=""),"",IFERROR(E2955*IF(E2955="",0,VLOOKUP(C2955,'📦 Precios Proforma'!$B$5:$D$104,IF(D2955="DIA",2,3),FALSE)),0))</f>
        <v/>
      </c>
      <c r="J2955" s="31" t="str">
        <f t="shared" si="323"/>
        <v/>
      </c>
      <c r="K2955" s="31" t="str">
        <f t="shared" si="324"/>
        <v/>
      </c>
      <c r="L2955" s="31" t="str">
        <f>IF(OR(B2955="",C2955=""),"",IFERROR(E2955 / SUMIFS('📅 Resumen Diario'!$D$5:$D$504, '📅 Resumen Diario'!$B$5:$B$504, B2955, '📅 Resumen Diario'!$C$5:$C$504, D2955) * SUMIFS('📅 Resumen Diario'!$K$5:$K$504, '📅 Resumen Diario'!$B$5:$B$504, B2955, '📅 Resumen Diario'!$C$5:$C$504, D2955), 0))</f>
        <v/>
      </c>
      <c r="M2955" s="31" t="str">
        <f t="shared" si="325"/>
        <v/>
      </c>
      <c r="N2955" s="31" t="str">
        <f t="shared" si="326"/>
        <v/>
      </c>
      <c r="O2955" s="31" t="str">
        <f>IF(OR(B2955="",C2955=""),"",K2955-N2955 + IFERROR(E2955 / SUMIFS('📅 Resumen Diario'!$D$5:$D$504, '📅 Resumen Diario'!$B$5:$B$504, B2955, '📅 Resumen Diario'!$C$5:$C$504, D2955) * (SUMIFS('📋 Detalle Diario'!$E$5:$E$489, '📋 Detalle Diario'!$B$5:$B$489, B2955, '📋 Detalle Diario'!$C$5:$C$489, D2955) * 135 + SUMIFS('📋 Detalle Diario'!$I$5:$I$489, '📋 Detalle Diario'!$B$5:$B$489, B2955, '📋 Detalle Diario'!$C$5:$C$489, D2955) * 200), 0))</f>
        <v/>
      </c>
      <c r="P2955" s="32" t="str">
        <f t="shared" si="327"/>
        <v/>
      </c>
      <c r="Q2955" s="33" t="str">
        <f t="shared" si="328"/>
        <v/>
      </c>
    </row>
    <row r="2956" spans="2:17" ht="18" customHeight="1" x14ac:dyDescent="0.3">
      <c r="B2956" s="26"/>
      <c r="C2956" s="17"/>
      <c r="D2956" s="27"/>
      <c r="E2956" s="18"/>
      <c r="F2956" s="18"/>
      <c r="G2956" s="18"/>
      <c r="H2956" s="30" t="str">
        <f t="shared" si="322"/>
        <v/>
      </c>
      <c r="I2956" s="31" t="str">
        <f>IF(OR(B2956="",C2956=""),"",IFERROR(E2956*IF(E2956="",0,VLOOKUP(C2956,'📦 Precios Proforma'!$B$5:$D$104,IF(D2956="DIA",2,3),FALSE)),0))</f>
        <v/>
      </c>
      <c r="J2956" s="31" t="str">
        <f t="shared" si="323"/>
        <v/>
      </c>
      <c r="K2956" s="31" t="str">
        <f t="shared" si="324"/>
        <v/>
      </c>
      <c r="L2956" s="31" t="str">
        <f>IF(OR(B2956="",C2956=""),"",IFERROR(E2956 / SUMIFS('📅 Resumen Diario'!$D$5:$D$504, '📅 Resumen Diario'!$B$5:$B$504, B2956, '📅 Resumen Diario'!$C$5:$C$504, D2956) * SUMIFS('📅 Resumen Diario'!$K$5:$K$504, '📅 Resumen Diario'!$B$5:$B$504, B2956, '📅 Resumen Diario'!$C$5:$C$504, D2956), 0))</f>
        <v/>
      </c>
      <c r="M2956" s="31" t="str">
        <f t="shared" si="325"/>
        <v/>
      </c>
      <c r="N2956" s="31" t="str">
        <f t="shared" si="326"/>
        <v/>
      </c>
      <c r="O2956" s="31" t="str">
        <f>IF(OR(B2956="",C2956=""),"",K2956-N2956 + IFERROR(E2956 / SUMIFS('📅 Resumen Diario'!$D$5:$D$504, '📅 Resumen Diario'!$B$5:$B$504, B2956, '📅 Resumen Diario'!$C$5:$C$504, D2956) * (SUMIFS('📋 Detalle Diario'!$E$5:$E$489, '📋 Detalle Diario'!$B$5:$B$489, B2956, '📋 Detalle Diario'!$C$5:$C$489, D2956) * 135 + SUMIFS('📋 Detalle Diario'!$I$5:$I$489, '📋 Detalle Diario'!$B$5:$B$489, B2956, '📋 Detalle Diario'!$C$5:$C$489, D2956) * 200), 0))</f>
        <v/>
      </c>
      <c r="P2956" s="32" t="str">
        <f t="shared" si="327"/>
        <v/>
      </c>
      <c r="Q2956" s="33" t="str">
        <f t="shared" si="328"/>
        <v/>
      </c>
    </row>
    <row r="2957" spans="2:17" ht="18" customHeight="1" x14ac:dyDescent="0.3">
      <c r="B2957" s="26"/>
      <c r="C2957" s="28"/>
      <c r="D2957" s="27"/>
      <c r="E2957" s="29"/>
      <c r="F2957" s="29"/>
      <c r="G2957" s="29"/>
      <c r="H2957" s="30" t="str">
        <f t="shared" si="322"/>
        <v/>
      </c>
      <c r="I2957" s="31" t="str">
        <f>IF(OR(B2957="",C2957=""),"",IFERROR(E2957*IF(E2957="",0,VLOOKUP(C2957,'📦 Precios Proforma'!$B$5:$D$104,IF(D2957="DIA",2,3),FALSE)),0))</f>
        <v/>
      </c>
      <c r="J2957" s="31" t="str">
        <f t="shared" si="323"/>
        <v/>
      </c>
      <c r="K2957" s="31" t="str">
        <f t="shared" si="324"/>
        <v/>
      </c>
      <c r="L2957" s="31" t="str">
        <f>IF(OR(B2957="",C2957=""),"",IFERROR(E2957 / SUMIFS('📅 Resumen Diario'!$D$5:$D$504, '📅 Resumen Diario'!$B$5:$B$504, B2957, '📅 Resumen Diario'!$C$5:$C$504, D2957) * SUMIFS('📅 Resumen Diario'!$K$5:$K$504, '📅 Resumen Diario'!$B$5:$B$504, B2957, '📅 Resumen Diario'!$C$5:$C$504, D2957), 0))</f>
        <v/>
      </c>
      <c r="M2957" s="31" t="str">
        <f t="shared" si="325"/>
        <v/>
      </c>
      <c r="N2957" s="31" t="str">
        <f t="shared" si="326"/>
        <v/>
      </c>
      <c r="O2957" s="31" t="str">
        <f>IF(OR(B2957="",C2957=""),"",K2957-N2957 + IFERROR(E2957 / SUMIFS('📅 Resumen Diario'!$D$5:$D$504, '📅 Resumen Diario'!$B$5:$B$504, B2957, '📅 Resumen Diario'!$C$5:$C$504, D2957) * (SUMIFS('📋 Detalle Diario'!$E$5:$E$489, '📋 Detalle Diario'!$B$5:$B$489, B2957, '📋 Detalle Diario'!$C$5:$C$489, D2957) * 135 + SUMIFS('📋 Detalle Diario'!$I$5:$I$489, '📋 Detalle Diario'!$B$5:$B$489, B2957, '📋 Detalle Diario'!$C$5:$C$489, D2957) * 200), 0))</f>
        <v/>
      </c>
      <c r="P2957" s="32" t="str">
        <f t="shared" si="327"/>
        <v/>
      </c>
      <c r="Q2957" s="33" t="str">
        <f t="shared" si="328"/>
        <v/>
      </c>
    </row>
    <row r="2958" spans="2:17" ht="18" customHeight="1" x14ac:dyDescent="0.3">
      <c r="B2958" s="26"/>
      <c r="C2958" s="17"/>
      <c r="D2958" s="27"/>
      <c r="E2958" s="18"/>
      <c r="F2958" s="18"/>
      <c r="G2958" s="18"/>
      <c r="H2958" s="30" t="str">
        <f t="shared" si="322"/>
        <v/>
      </c>
      <c r="I2958" s="31" t="str">
        <f>IF(OR(B2958="",C2958=""),"",IFERROR(E2958*IF(E2958="",0,VLOOKUP(C2958,'📦 Precios Proforma'!$B$5:$D$104,IF(D2958="DIA",2,3),FALSE)),0))</f>
        <v/>
      </c>
      <c r="J2958" s="31" t="str">
        <f t="shared" si="323"/>
        <v/>
      </c>
      <c r="K2958" s="31" t="str">
        <f t="shared" si="324"/>
        <v/>
      </c>
      <c r="L2958" s="31" t="str">
        <f>IF(OR(B2958="",C2958=""),"",IFERROR(E2958 / SUMIFS('📅 Resumen Diario'!$D$5:$D$504, '📅 Resumen Diario'!$B$5:$B$504, B2958, '📅 Resumen Diario'!$C$5:$C$504, D2958) * SUMIFS('📅 Resumen Diario'!$K$5:$K$504, '📅 Resumen Diario'!$B$5:$B$504, B2958, '📅 Resumen Diario'!$C$5:$C$504, D2958), 0))</f>
        <v/>
      </c>
      <c r="M2958" s="31" t="str">
        <f t="shared" si="325"/>
        <v/>
      </c>
      <c r="N2958" s="31" t="str">
        <f t="shared" si="326"/>
        <v/>
      </c>
      <c r="O2958" s="31" t="str">
        <f>IF(OR(B2958="",C2958=""),"",K2958-N2958 + IFERROR(E2958 / SUMIFS('📅 Resumen Diario'!$D$5:$D$504, '📅 Resumen Diario'!$B$5:$B$504, B2958, '📅 Resumen Diario'!$C$5:$C$504, D2958) * (SUMIFS('📋 Detalle Diario'!$E$5:$E$489, '📋 Detalle Diario'!$B$5:$B$489, B2958, '📋 Detalle Diario'!$C$5:$C$489, D2958) * 135 + SUMIFS('📋 Detalle Diario'!$I$5:$I$489, '📋 Detalle Diario'!$B$5:$B$489, B2958, '📋 Detalle Diario'!$C$5:$C$489, D2958) * 200), 0))</f>
        <v/>
      </c>
      <c r="P2958" s="32" t="str">
        <f t="shared" si="327"/>
        <v/>
      </c>
      <c r="Q2958" s="33" t="str">
        <f t="shared" si="328"/>
        <v/>
      </c>
    </row>
    <row r="2959" spans="2:17" ht="18" customHeight="1" x14ac:dyDescent="0.3">
      <c r="B2959" s="26"/>
      <c r="C2959" s="28"/>
      <c r="D2959" s="27"/>
      <c r="E2959" s="29"/>
      <c r="F2959" s="29"/>
      <c r="G2959" s="29"/>
      <c r="H2959" s="30" t="str">
        <f t="shared" si="322"/>
        <v/>
      </c>
      <c r="I2959" s="31" t="str">
        <f>IF(OR(B2959="",C2959=""),"",IFERROR(E2959*IF(E2959="",0,VLOOKUP(C2959,'📦 Precios Proforma'!$B$5:$D$104,IF(D2959="DIA",2,3),FALSE)),0))</f>
        <v/>
      </c>
      <c r="J2959" s="31" t="str">
        <f t="shared" si="323"/>
        <v/>
      </c>
      <c r="K2959" s="31" t="str">
        <f t="shared" si="324"/>
        <v/>
      </c>
      <c r="L2959" s="31" t="str">
        <f>IF(OR(B2959="",C2959=""),"",IFERROR(E2959 / SUMIFS('📅 Resumen Diario'!$D$5:$D$504, '📅 Resumen Diario'!$B$5:$B$504, B2959, '📅 Resumen Diario'!$C$5:$C$504, D2959) * SUMIFS('📅 Resumen Diario'!$K$5:$K$504, '📅 Resumen Diario'!$B$5:$B$504, B2959, '📅 Resumen Diario'!$C$5:$C$504, D2959), 0))</f>
        <v/>
      </c>
      <c r="M2959" s="31" t="str">
        <f t="shared" si="325"/>
        <v/>
      </c>
      <c r="N2959" s="31" t="str">
        <f t="shared" si="326"/>
        <v/>
      </c>
      <c r="O2959" s="31" t="str">
        <f>IF(OR(B2959="",C2959=""),"",K2959-N2959 + IFERROR(E2959 / SUMIFS('📅 Resumen Diario'!$D$5:$D$504, '📅 Resumen Diario'!$B$5:$B$504, B2959, '📅 Resumen Diario'!$C$5:$C$504, D2959) * (SUMIFS('📋 Detalle Diario'!$E$5:$E$489, '📋 Detalle Diario'!$B$5:$B$489, B2959, '📋 Detalle Diario'!$C$5:$C$489, D2959) * 135 + SUMIFS('📋 Detalle Diario'!$I$5:$I$489, '📋 Detalle Diario'!$B$5:$B$489, B2959, '📋 Detalle Diario'!$C$5:$C$489, D2959) * 200), 0))</f>
        <v/>
      </c>
      <c r="P2959" s="32" t="str">
        <f t="shared" si="327"/>
        <v/>
      </c>
      <c r="Q2959" s="33" t="str">
        <f t="shared" si="328"/>
        <v/>
      </c>
    </row>
    <row r="2960" spans="2:17" ht="18" customHeight="1" x14ac:dyDescent="0.3">
      <c r="B2960" s="26"/>
      <c r="C2960" s="17"/>
      <c r="D2960" s="27"/>
      <c r="E2960" s="18"/>
      <c r="F2960" s="18"/>
      <c r="G2960" s="18"/>
      <c r="H2960" s="30" t="str">
        <f t="shared" si="322"/>
        <v/>
      </c>
      <c r="I2960" s="31" t="str">
        <f>IF(OR(B2960="",C2960=""),"",IFERROR(E2960*IF(E2960="",0,VLOOKUP(C2960,'📦 Precios Proforma'!$B$5:$D$104,IF(D2960="DIA",2,3),FALSE)),0))</f>
        <v/>
      </c>
      <c r="J2960" s="31" t="str">
        <f t="shared" si="323"/>
        <v/>
      </c>
      <c r="K2960" s="31" t="str">
        <f t="shared" si="324"/>
        <v/>
      </c>
      <c r="L2960" s="31" t="str">
        <f>IF(OR(B2960="",C2960=""),"",IFERROR(E2960 / SUMIFS('📅 Resumen Diario'!$D$5:$D$504, '📅 Resumen Diario'!$B$5:$B$504, B2960, '📅 Resumen Diario'!$C$5:$C$504, D2960) * SUMIFS('📅 Resumen Diario'!$K$5:$K$504, '📅 Resumen Diario'!$B$5:$B$504, B2960, '📅 Resumen Diario'!$C$5:$C$504, D2960), 0))</f>
        <v/>
      </c>
      <c r="M2960" s="31" t="str">
        <f t="shared" si="325"/>
        <v/>
      </c>
      <c r="N2960" s="31" t="str">
        <f t="shared" si="326"/>
        <v/>
      </c>
      <c r="O2960" s="31" t="str">
        <f>IF(OR(B2960="",C2960=""),"",K2960-N2960 + IFERROR(E2960 / SUMIFS('📅 Resumen Diario'!$D$5:$D$504, '📅 Resumen Diario'!$B$5:$B$504, B2960, '📅 Resumen Diario'!$C$5:$C$504, D2960) * (SUMIFS('📋 Detalle Diario'!$E$5:$E$489, '📋 Detalle Diario'!$B$5:$B$489, B2960, '📋 Detalle Diario'!$C$5:$C$489, D2960) * 135 + SUMIFS('📋 Detalle Diario'!$I$5:$I$489, '📋 Detalle Diario'!$B$5:$B$489, B2960, '📋 Detalle Diario'!$C$5:$C$489, D2960) * 200), 0))</f>
        <v/>
      </c>
      <c r="P2960" s="32" t="str">
        <f t="shared" si="327"/>
        <v/>
      </c>
      <c r="Q2960" s="33" t="str">
        <f t="shared" si="328"/>
        <v/>
      </c>
    </row>
    <row r="2961" spans="2:17" ht="18" customHeight="1" x14ac:dyDescent="0.3">
      <c r="B2961" s="26"/>
      <c r="C2961" s="28"/>
      <c r="D2961" s="27"/>
      <c r="E2961" s="29"/>
      <c r="F2961" s="29"/>
      <c r="G2961" s="29"/>
      <c r="H2961" s="30" t="str">
        <f t="shared" si="322"/>
        <v/>
      </c>
      <c r="I2961" s="31" t="str">
        <f>IF(OR(B2961="",C2961=""),"",IFERROR(E2961*IF(E2961="",0,VLOOKUP(C2961,'📦 Precios Proforma'!$B$5:$D$104,IF(D2961="DIA",2,3),FALSE)),0))</f>
        <v/>
      </c>
      <c r="J2961" s="31" t="str">
        <f t="shared" si="323"/>
        <v/>
      </c>
      <c r="K2961" s="31" t="str">
        <f t="shared" si="324"/>
        <v/>
      </c>
      <c r="L2961" s="31" t="str">
        <f>IF(OR(B2961="",C2961=""),"",IFERROR(E2961 / SUMIFS('📅 Resumen Diario'!$D$5:$D$504, '📅 Resumen Diario'!$B$5:$B$504, B2961, '📅 Resumen Diario'!$C$5:$C$504, D2961) * SUMIFS('📅 Resumen Diario'!$K$5:$K$504, '📅 Resumen Diario'!$B$5:$B$504, B2961, '📅 Resumen Diario'!$C$5:$C$504, D2961), 0))</f>
        <v/>
      </c>
      <c r="M2961" s="31" t="str">
        <f t="shared" si="325"/>
        <v/>
      </c>
      <c r="N2961" s="31" t="str">
        <f t="shared" si="326"/>
        <v/>
      </c>
      <c r="O2961" s="31" t="str">
        <f>IF(OR(B2961="",C2961=""),"",K2961-N2961 + IFERROR(E2961 / SUMIFS('📅 Resumen Diario'!$D$5:$D$504, '📅 Resumen Diario'!$B$5:$B$504, B2961, '📅 Resumen Diario'!$C$5:$C$504, D2961) * (SUMIFS('📋 Detalle Diario'!$E$5:$E$489, '📋 Detalle Diario'!$B$5:$B$489, B2961, '📋 Detalle Diario'!$C$5:$C$489, D2961) * 135 + SUMIFS('📋 Detalle Diario'!$I$5:$I$489, '📋 Detalle Diario'!$B$5:$B$489, B2961, '📋 Detalle Diario'!$C$5:$C$489, D2961) * 200), 0))</f>
        <v/>
      </c>
      <c r="P2961" s="32" t="str">
        <f t="shared" si="327"/>
        <v/>
      </c>
      <c r="Q2961" s="33" t="str">
        <f t="shared" si="328"/>
        <v/>
      </c>
    </row>
    <row r="2962" spans="2:17" ht="18" customHeight="1" x14ac:dyDescent="0.3">
      <c r="B2962" s="26"/>
      <c r="C2962" s="17"/>
      <c r="D2962" s="27"/>
      <c r="E2962" s="18"/>
      <c r="F2962" s="18"/>
      <c r="G2962" s="18"/>
      <c r="H2962" s="30" t="str">
        <f t="shared" si="322"/>
        <v/>
      </c>
      <c r="I2962" s="31" t="str">
        <f>IF(OR(B2962="",C2962=""),"",IFERROR(E2962*IF(E2962="",0,VLOOKUP(C2962,'📦 Precios Proforma'!$B$5:$D$104,IF(D2962="DIA",2,3),FALSE)),0))</f>
        <v/>
      </c>
      <c r="J2962" s="31" t="str">
        <f t="shared" si="323"/>
        <v/>
      </c>
      <c r="K2962" s="31" t="str">
        <f t="shared" si="324"/>
        <v/>
      </c>
      <c r="L2962" s="31" t="str">
        <f>IF(OR(B2962="",C2962=""),"",IFERROR(E2962 / SUMIFS('📅 Resumen Diario'!$D$5:$D$504, '📅 Resumen Diario'!$B$5:$B$504, B2962, '📅 Resumen Diario'!$C$5:$C$504, D2962) * SUMIFS('📅 Resumen Diario'!$K$5:$K$504, '📅 Resumen Diario'!$B$5:$B$504, B2962, '📅 Resumen Diario'!$C$5:$C$504, D2962), 0))</f>
        <v/>
      </c>
      <c r="M2962" s="31" t="str">
        <f t="shared" si="325"/>
        <v/>
      </c>
      <c r="N2962" s="31" t="str">
        <f t="shared" si="326"/>
        <v/>
      </c>
      <c r="O2962" s="31" t="str">
        <f>IF(OR(B2962="",C2962=""),"",K2962-N2962 + IFERROR(E2962 / SUMIFS('📅 Resumen Diario'!$D$5:$D$504, '📅 Resumen Diario'!$B$5:$B$504, B2962, '📅 Resumen Diario'!$C$5:$C$504, D2962) * (SUMIFS('📋 Detalle Diario'!$E$5:$E$489, '📋 Detalle Diario'!$B$5:$B$489, B2962, '📋 Detalle Diario'!$C$5:$C$489, D2962) * 135 + SUMIFS('📋 Detalle Diario'!$I$5:$I$489, '📋 Detalle Diario'!$B$5:$B$489, B2962, '📋 Detalle Diario'!$C$5:$C$489, D2962) * 200), 0))</f>
        <v/>
      </c>
      <c r="P2962" s="32" t="str">
        <f t="shared" si="327"/>
        <v/>
      </c>
      <c r="Q2962" s="33" t="str">
        <f t="shared" si="328"/>
        <v/>
      </c>
    </row>
    <row r="2963" spans="2:17" ht="18" customHeight="1" x14ac:dyDescent="0.3">
      <c r="B2963" s="26"/>
      <c r="C2963" s="28"/>
      <c r="D2963" s="27"/>
      <c r="E2963" s="29"/>
      <c r="F2963" s="29"/>
      <c r="G2963" s="29"/>
      <c r="H2963" s="30" t="str">
        <f t="shared" si="322"/>
        <v/>
      </c>
      <c r="I2963" s="31" t="str">
        <f>IF(OR(B2963="",C2963=""),"",IFERROR(E2963*IF(E2963="",0,VLOOKUP(C2963,'📦 Precios Proforma'!$B$5:$D$104,IF(D2963="DIA",2,3),FALSE)),0))</f>
        <v/>
      </c>
      <c r="J2963" s="31" t="str">
        <f t="shared" si="323"/>
        <v/>
      </c>
      <c r="K2963" s="31" t="str">
        <f t="shared" si="324"/>
        <v/>
      </c>
      <c r="L2963" s="31" t="str">
        <f>IF(OR(B2963="",C2963=""),"",IFERROR(E2963 / SUMIFS('📅 Resumen Diario'!$D$5:$D$504, '📅 Resumen Diario'!$B$5:$B$504, B2963, '📅 Resumen Diario'!$C$5:$C$504, D2963) * SUMIFS('📅 Resumen Diario'!$K$5:$K$504, '📅 Resumen Diario'!$B$5:$B$504, B2963, '📅 Resumen Diario'!$C$5:$C$504, D2963), 0))</f>
        <v/>
      </c>
      <c r="M2963" s="31" t="str">
        <f t="shared" si="325"/>
        <v/>
      </c>
      <c r="N2963" s="31" t="str">
        <f t="shared" si="326"/>
        <v/>
      </c>
      <c r="O2963" s="31" t="str">
        <f>IF(OR(B2963="",C2963=""),"",K2963-N2963 + IFERROR(E2963 / SUMIFS('📅 Resumen Diario'!$D$5:$D$504, '📅 Resumen Diario'!$B$5:$B$504, B2963, '📅 Resumen Diario'!$C$5:$C$504, D2963) * (SUMIFS('📋 Detalle Diario'!$E$5:$E$489, '📋 Detalle Diario'!$B$5:$B$489, B2963, '📋 Detalle Diario'!$C$5:$C$489, D2963) * 135 + SUMIFS('📋 Detalle Diario'!$I$5:$I$489, '📋 Detalle Diario'!$B$5:$B$489, B2963, '📋 Detalle Diario'!$C$5:$C$489, D2963) * 200), 0))</f>
        <v/>
      </c>
      <c r="P2963" s="32" t="str">
        <f t="shared" si="327"/>
        <v/>
      </c>
      <c r="Q2963" s="33" t="str">
        <f t="shared" si="328"/>
        <v/>
      </c>
    </row>
    <row r="2964" spans="2:17" ht="18" customHeight="1" x14ac:dyDescent="0.3">
      <c r="B2964" s="26"/>
      <c r="C2964" s="17"/>
      <c r="D2964" s="27"/>
      <c r="E2964" s="18"/>
      <c r="F2964" s="18"/>
      <c r="G2964" s="18"/>
      <c r="H2964" s="30" t="str">
        <f t="shared" si="322"/>
        <v/>
      </c>
      <c r="I2964" s="31" t="str">
        <f>IF(OR(B2964="",C2964=""),"",IFERROR(E2964*IF(E2964="",0,VLOOKUP(C2964,'📦 Precios Proforma'!$B$5:$D$104,IF(D2964="DIA",2,3),FALSE)),0))</f>
        <v/>
      </c>
      <c r="J2964" s="31" t="str">
        <f t="shared" si="323"/>
        <v/>
      </c>
      <c r="K2964" s="31" t="str">
        <f t="shared" si="324"/>
        <v/>
      </c>
      <c r="L2964" s="31" t="str">
        <f>IF(OR(B2964="",C2964=""),"",IFERROR(E2964 / SUMIFS('📅 Resumen Diario'!$D$5:$D$504, '📅 Resumen Diario'!$B$5:$B$504, B2964, '📅 Resumen Diario'!$C$5:$C$504, D2964) * SUMIFS('📅 Resumen Diario'!$K$5:$K$504, '📅 Resumen Diario'!$B$5:$B$504, B2964, '📅 Resumen Diario'!$C$5:$C$504, D2964), 0))</f>
        <v/>
      </c>
      <c r="M2964" s="31" t="str">
        <f t="shared" si="325"/>
        <v/>
      </c>
      <c r="N2964" s="31" t="str">
        <f t="shared" si="326"/>
        <v/>
      </c>
      <c r="O2964" s="31" t="str">
        <f>IF(OR(B2964="",C2964=""),"",K2964-N2964 + IFERROR(E2964 / SUMIFS('📅 Resumen Diario'!$D$5:$D$504, '📅 Resumen Diario'!$B$5:$B$504, B2964, '📅 Resumen Diario'!$C$5:$C$504, D2964) * (SUMIFS('📋 Detalle Diario'!$E$5:$E$489, '📋 Detalle Diario'!$B$5:$B$489, B2964, '📋 Detalle Diario'!$C$5:$C$489, D2964) * 135 + SUMIFS('📋 Detalle Diario'!$I$5:$I$489, '📋 Detalle Diario'!$B$5:$B$489, B2964, '📋 Detalle Diario'!$C$5:$C$489, D2964) * 200), 0))</f>
        <v/>
      </c>
      <c r="P2964" s="32" t="str">
        <f t="shared" si="327"/>
        <v/>
      </c>
      <c r="Q2964" s="33" t="str">
        <f t="shared" si="328"/>
        <v/>
      </c>
    </row>
    <row r="2965" spans="2:17" ht="18" customHeight="1" x14ac:dyDescent="0.3">
      <c r="B2965" s="26"/>
      <c r="C2965" s="28"/>
      <c r="D2965" s="27"/>
      <c r="E2965" s="29"/>
      <c r="F2965" s="29"/>
      <c r="G2965" s="29"/>
      <c r="H2965" s="30" t="str">
        <f t="shared" si="322"/>
        <v/>
      </c>
      <c r="I2965" s="31" t="str">
        <f>IF(OR(B2965="",C2965=""),"",IFERROR(E2965*IF(E2965="",0,VLOOKUP(C2965,'📦 Precios Proforma'!$B$5:$D$104,IF(D2965="DIA",2,3),FALSE)),0))</f>
        <v/>
      </c>
      <c r="J2965" s="31" t="str">
        <f t="shared" si="323"/>
        <v/>
      </c>
      <c r="K2965" s="31" t="str">
        <f t="shared" si="324"/>
        <v/>
      </c>
      <c r="L2965" s="31" t="str">
        <f>IF(OR(B2965="",C2965=""),"",IFERROR(E2965 / SUMIFS('📅 Resumen Diario'!$D$5:$D$504, '📅 Resumen Diario'!$B$5:$B$504, B2965, '📅 Resumen Diario'!$C$5:$C$504, D2965) * SUMIFS('📅 Resumen Diario'!$K$5:$K$504, '📅 Resumen Diario'!$B$5:$B$504, B2965, '📅 Resumen Diario'!$C$5:$C$504, D2965), 0))</f>
        <v/>
      </c>
      <c r="M2965" s="31" t="str">
        <f t="shared" si="325"/>
        <v/>
      </c>
      <c r="N2965" s="31" t="str">
        <f t="shared" si="326"/>
        <v/>
      </c>
      <c r="O2965" s="31" t="str">
        <f>IF(OR(B2965="",C2965=""),"",K2965-N2965 + IFERROR(E2965 / SUMIFS('📅 Resumen Diario'!$D$5:$D$504, '📅 Resumen Diario'!$B$5:$B$504, B2965, '📅 Resumen Diario'!$C$5:$C$504, D2965) * (SUMIFS('📋 Detalle Diario'!$E$5:$E$489, '📋 Detalle Diario'!$B$5:$B$489, B2965, '📋 Detalle Diario'!$C$5:$C$489, D2965) * 135 + SUMIFS('📋 Detalle Diario'!$I$5:$I$489, '📋 Detalle Diario'!$B$5:$B$489, B2965, '📋 Detalle Diario'!$C$5:$C$489, D2965) * 200), 0))</f>
        <v/>
      </c>
      <c r="P2965" s="32" t="str">
        <f t="shared" si="327"/>
        <v/>
      </c>
      <c r="Q2965" s="33" t="str">
        <f t="shared" si="328"/>
        <v/>
      </c>
    </row>
    <row r="2966" spans="2:17" ht="18" customHeight="1" x14ac:dyDescent="0.3">
      <c r="B2966" s="26"/>
      <c r="C2966" s="17"/>
      <c r="D2966" s="27"/>
      <c r="E2966" s="18"/>
      <c r="F2966" s="18"/>
      <c r="G2966" s="18"/>
      <c r="H2966" s="30" t="str">
        <f t="shared" si="322"/>
        <v/>
      </c>
      <c r="I2966" s="31" t="str">
        <f>IF(OR(B2966="",C2966=""),"",IFERROR(E2966*IF(E2966="",0,VLOOKUP(C2966,'📦 Precios Proforma'!$B$5:$D$104,IF(D2966="DIA",2,3),FALSE)),0))</f>
        <v/>
      </c>
      <c r="J2966" s="31" t="str">
        <f t="shared" si="323"/>
        <v/>
      </c>
      <c r="K2966" s="31" t="str">
        <f t="shared" si="324"/>
        <v/>
      </c>
      <c r="L2966" s="31" t="str">
        <f>IF(OR(B2966="",C2966=""),"",IFERROR(E2966 / SUMIFS('📅 Resumen Diario'!$D$5:$D$504, '📅 Resumen Diario'!$B$5:$B$504, B2966, '📅 Resumen Diario'!$C$5:$C$504, D2966) * SUMIFS('📅 Resumen Diario'!$K$5:$K$504, '📅 Resumen Diario'!$B$5:$B$504, B2966, '📅 Resumen Diario'!$C$5:$C$504, D2966), 0))</f>
        <v/>
      </c>
      <c r="M2966" s="31" t="str">
        <f t="shared" si="325"/>
        <v/>
      </c>
      <c r="N2966" s="31" t="str">
        <f t="shared" si="326"/>
        <v/>
      </c>
      <c r="O2966" s="31" t="str">
        <f>IF(OR(B2966="",C2966=""),"",K2966-N2966 + IFERROR(E2966 / SUMIFS('📅 Resumen Diario'!$D$5:$D$504, '📅 Resumen Diario'!$B$5:$B$504, B2966, '📅 Resumen Diario'!$C$5:$C$504, D2966) * (SUMIFS('📋 Detalle Diario'!$E$5:$E$489, '📋 Detalle Diario'!$B$5:$B$489, B2966, '📋 Detalle Diario'!$C$5:$C$489, D2966) * 135 + SUMIFS('📋 Detalle Diario'!$I$5:$I$489, '📋 Detalle Diario'!$B$5:$B$489, B2966, '📋 Detalle Diario'!$C$5:$C$489, D2966) * 200), 0))</f>
        <v/>
      </c>
      <c r="P2966" s="32" t="str">
        <f t="shared" si="327"/>
        <v/>
      </c>
      <c r="Q2966" s="33" t="str">
        <f t="shared" si="328"/>
        <v/>
      </c>
    </row>
    <row r="2967" spans="2:17" ht="18" customHeight="1" x14ac:dyDescent="0.3">
      <c r="B2967" s="26"/>
      <c r="C2967" s="28"/>
      <c r="D2967" s="27"/>
      <c r="E2967" s="29"/>
      <c r="F2967" s="29"/>
      <c r="G2967" s="29"/>
      <c r="H2967" s="30" t="str">
        <f t="shared" si="322"/>
        <v/>
      </c>
      <c r="I2967" s="31" t="str">
        <f>IF(OR(B2967="",C2967=""),"",IFERROR(E2967*IF(E2967="",0,VLOOKUP(C2967,'📦 Precios Proforma'!$B$5:$D$104,IF(D2967="DIA",2,3),FALSE)),0))</f>
        <v/>
      </c>
      <c r="J2967" s="31" t="str">
        <f t="shared" si="323"/>
        <v/>
      </c>
      <c r="K2967" s="31" t="str">
        <f t="shared" si="324"/>
        <v/>
      </c>
      <c r="L2967" s="31" t="str">
        <f>IF(OR(B2967="",C2967=""),"",IFERROR(E2967 / SUMIFS('📅 Resumen Diario'!$D$5:$D$504, '📅 Resumen Diario'!$B$5:$B$504, B2967, '📅 Resumen Diario'!$C$5:$C$504, D2967) * SUMIFS('📅 Resumen Diario'!$K$5:$K$504, '📅 Resumen Diario'!$B$5:$B$504, B2967, '📅 Resumen Diario'!$C$5:$C$504, D2967), 0))</f>
        <v/>
      </c>
      <c r="M2967" s="31" t="str">
        <f t="shared" si="325"/>
        <v/>
      </c>
      <c r="N2967" s="31" t="str">
        <f t="shared" si="326"/>
        <v/>
      </c>
      <c r="O2967" s="31" t="str">
        <f>IF(OR(B2967="",C2967=""),"",K2967-N2967 + IFERROR(E2967 / SUMIFS('📅 Resumen Diario'!$D$5:$D$504, '📅 Resumen Diario'!$B$5:$B$504, B2967, '📅 Resumen Diario'!$C$5:$C$504, D2967) * (SUMIFS('📋 Detalle Diario'!$E$5:$E$489, '📋 Detalle Diario'!$B$5:$B$489, B2967, '📋 Detalle Diario'!$C$5:$C$489, D2967) * 135 + SUMIFS('📋 Detalle Diario'!$I$5:$I$489, '📋 Detalle Diario'!$B$5:$B$489, B2967, '📋 Detalle Diario'!$C$5:$C$489, D2967) * 200), 0))</f>
        <v/>
      </c>
      <c r="P2967" s="32" t="str">
        <f t="shared" si="327"/>
        <v/>
      </c>
      <c r="Q2967" s="33" t="str">
        <f t="shared" si="328"/>
        <v/>
      </c>
    </row>
    <row r="2968" spans="2:17" ht="18" customHeight="1" x14ac:dyDescent="0.3">
      <c r="B2968" s="26"/>
      <c r="C2968" s="17"/>
      <c r="D2968" s="27"/>
      <c r="E2968" s="18"/>
      <c r="F2968" s="18"/>
      <c r="G2968" s="18"/>
      <c r="H2968" s="30" t="str">
        <f t="shared" si="322"/>
        <v/>
      </c>
      <c r="I2968" s="31" t="str">
        <f>IF(OR(B2968="",C2968=""),"",IFERROR(E2968*IF(E2968="",0,VLOOKUP(C2968,'📦 Precios Proforma'!$B$5:$D$104,IF(D2968="DIA",2,3),FALSE)),0))</f>
        <v/>
      </c>
      <c r="J2968" s="31" t="str">
        <f t="shared" si="323"/>
        <v/>
      </c>
      <c r="K2968" s="31" t="str">
        <f t="shared" si="324"/>
        <v/>
      </c>
      <c r="L2968" s="31" t="str">
        <f>IF(OR(B2968="",C2968=""),"",IFERROR(E2968 / SUMIFS('📅 Resumen Diario'!$D$5:$D$504, '📅 Resumen Diario'!$B$5:$B$504, B2968, '📅 Resumen Diario'!$C$5:$C$504, D2968) * SUMIFS('📅 Resumen Diario'!$K$5:$K$504, '📅 Resumen Diario'!$B$5:$B$504, B2968, '📅 Resumen Diario'!$C$5:$C$504, D2968), 0))</f>
        <v/>
      </c>
      <c r="M2968" s="31" t="str">
        <f t="shared" si="325"/>
        <v/>
      </c>
      <c r="N2968" s="31" t="str">
        <f t="shared" si="326"/>
        <v/>
      </c>
      <c r="O2968" s="31" t="str">
        <f>IF(OR(B2968="",C2968=""),"",K2968-N2968 + IFERROR(E2968 / SUMIFS('📅 Resumen Diario'!$D$5:$D$504, '📅 Resumen Diario'!$B$5:$B$504, B2968, '📅 Resumen Diario'!$C$5:$C$504, D2968) * (SUMIFS('📋 Detalle Diario'!$E$5:$E$489, '📋 Detalle Diario'!$B$5:$B$489, B2968, '📋 Detalle Diario'!$C$5:$C$489, D2968) * 135 + SUMIFS('📋 Detalle Diario'!$I$5:$I$489, '📋 Detalle Diario'!$B$5:$B$489, B2968, '📋 Detalle Diario'!$C$5:$C$489, D2968) * 200), 0))</f>
        <v/>
      </c>
      <c r="P2968" s="32" t="str">
        <f t="shared" si="327"/>
        <v/>
      </c>
      <c r="Q2968" s="33" t="str">
        <f t="shared" si="328"/>
        <v/>
      </c>
    </row>
    <row r="2969" spans="2:17" ht="18" customHeight="1" x14ac:dyDescent="0.3">
      <c r="B2969" s="26"/>
      <c r="C2969" s="28"/>
      <c r="D2969" s="27"/>
      <c r="E2969" s="29"/>
      <c r="F2969" s="29"/>
      <c r="G2969" s="29"/>
      <c r="H2969" s="30" t="str">
        <f t="shared" si="322"/>
        <v/>
      </c>
      <c r="I2969" s="31" t="str">
        <f>IF(OR(B2969="",C2969=""),"",IFERROR(E2969*IF(E2969="",0,VLOOKUP(C2969,'📦 Precios Proforma'!$B$5:$D$104,IF(D2969="DIA",2,3),FALSE)),0))</f>
        <v/>
      </c>
      <c r="J2969" s="31" t="str">
        <f t="shared" si="323"/>
        <v/>
      </c>
      <c r="K2969" s="31" t="str">
        <f t="shared" si="324"/>
        <v/>
      </c>
      <c r="L2969" s="31" t="str">
        <f>IF(OR(B2969="",C2969=""),"",IFERROR(E2969 / SUMIFS('📅 Resumen Diario'!$D$5:$D$504, '📅 Resumen Diario'!$B$5:$B$504, B2969, '📅 Resumen Diario'!$C$5:$C$504, D2969) * SUMIFS('📅 Resumen Diario'!$K$5:$K$504, '📅 Resumen Diario'!$B$5:$B$504, B2969, '📅 Resumen Diario'!$C$5:$C$504, D2969), 0))</f>
        <v/>
      </c>
      <c r="M2969" s="31" t="str">
        <f t="shared" si="325"/>
        <v/>
      </c>
      <c r="N2969" s="31" t="str">
        <f t="shared" si="326"/>
        <v/>
      </c>
      <c r="O2969" s="31" t="str">
        <f>IF(OR(B2969="",C2969=""),"",K2969-N2969 + IFERROR(E2969 / SUMIFS('📅 Resumen Diario'!$D$5:$D$504, '📅 Resumen Diario'!$B$5:$B$504, B2969, '📅 Resumen Diario'!$C$5:$C$504, D2969) * (SUMIFS('📋 Detalle Diario'!$E$5:$E$489, '📋 Detalle Diario'!$B$5:$B$489, B2969, '📋 Detalle Diario'!$C$5:$C$489, D2969) * 135 + SUMIFS('📋 Detalle Diario'!$I$5:$I$489, '📋 Detalle Diario'!$B$5:$B$489, B2969, '📋 Detalle Diario'!$C$5:$C$489, D2969) * 200), 0))</f>
        <v/>
      </c>
      <c r="P2969" s="32" t="str">
        <f t="shared" si="327"/>
        <v/>
      </c>
      <c r="Q2969" s="33" t="str">
        <f t="shared" si="328"/>
        <v/>
      </c>
    </row>
    <row r="2970" spans="2:17" ht="18" customHeight="1" x14ac:dyDescent="0.3">
      <c r="B2970" s="26"/>
      <c r="C2970" s="17"/>
      <c r="D2970" s="27"/>
      <c r="E2970" s="18"/>
      <c r="F2970" s="18"/>
      <c r="G2970" s="18"/>
      <c r="H2970" s="30" t="str">
        <f t="shared" si="322"/>
        <v/>
      </c>
      <c r="I2970" s="31" t="str">
        <f>IF(OR(B2970="",C2970=""),"",IFERROR(E2970*IF(E2970="",0,VLOOKUP(C2970,'📦 Precios Proforma'!$B$5:$D$104,IF(D2970="DIA",2,3),FALSE)),0))</f>
        <v/>
      </c>
      <c r="J2970" s="31" t="str">
        <f t="shared" si="323"/>
        <v/>
      </c>
      <c r="K2970" s="31" t="str">
        <f t="shared" si="324"/>
        <v/>
      </c>
      <c r="L2970" s="31" t="str">
        <f>IF(OR(B2970="",C2970=""),"",IFERROR(E2970 / SUMIFS('📅 Resumen Diario'!$D$5:$D$504, '📅 Resumen Diario'!$B$5:$B$504, B2970, '📅 Resumen Diario'!$C$5:$C$504, D2970) * SUMIFS('📅 Resumen Diario'!$K$5:$K$504, '📅 Resumen Diario'!$B$5:$B$504, B2970, '📅 Resumen Diario'!$C$5:$C$504, D2970), 0))</f>
        <v/>
      </c>
      <c r="M2970" s="31" t="str">
        <f t="shared" si="325"/>
        <v/>
      </c>
      <c r="N2970" s="31" t="str">
        <f t="shared" si="326"/>
        <v/>
      </c>
      <c r="O2970" s="31" t="str">
        <f>IF(OR(B2970="",C2970=""),"",K2970-N2970 + IFERROR(E2970 / SUMIFS('📅 Resumen Diario'!$D$5:$D$504, '📅 Resumen Diario'!$B$5:$B$504, B2970, '📅 Resumen Diario'!$C$5:$C$504, D2970) * (SUMIFS('📋 Detalle Diario'!$E$5:$E$489, '📋 Detalle Diario'!$B$5:$B$489, B2970, '📋 Detalle Diario'!$C$5:$C$489, D2970) * 135 + SUMIFS('📋 Detalle Diario'!$I$5:$I$489, '📋 Detalle Diario'!$B$5:$B$489, B2970, '📋 Detalle Diario'!$C$5:$C$489, D2970) * 200), 0))</f>
        <v/>
      </c>
      <c r="P2970" s="32" t="str">
        <f t="shared" si="327"/>
        <v/>
      </c>
      <c r="Q2970" s="33" t="str">
        <f t="shared" si="328"/>
        <v/>
      </c>
    </row>
    <row r="2971" spans="2:17" ht="18" customHeight="1" x14ac:dyDescent="0.3">
      <c r="B2971" s="26"/>
      <c r="C2971" s="28"/>
      <c r="D2971" s="27"/>
      <c r="E2971" s="29"/>
      <c r="F2971" s="29"/>
      <c r="G2971" s="29"/>
      <c r="H2971" s="30" t="str">
        <f t="shared" si="322"/>
        <v/>
      </c>
      <c r="I2971" s="31" t="str">
        <f>IF(OR(B2971="",C2971=""),"",IFERROR(E2971*IF(E2971="",0,VLOOKUP(C2971,'📦 Precios Proforma'!$B$5:$D$104,IF(D2971="DIA",2,3),FALSE)),0))</f>
        <v/>
      </c>
      <c r="J2971" s="31" t="str">
        <f t="shared" si="323"/>
        <v/>
      </c>
      <c r="K2971" s="31" t="str">
        <f t="shared" si="324"/>
        <v/>
      </c>
      <c r="L2971" s="31" t="str">
        <f>IF(OR(B2971="",C2971=""),"",IFERROR(E2971 / SUMIFS('📅 Resumen Diario'!$D$5:$D$504, '📅 Resumen Diario'!$B$5:$B$504, B2971, '📅 Resumen Diario'!$C$5:$C$504, D2971) * SUMIFS('📅 Resumen Diario'!$K$5:$K$504, '📅 Resumen Diario'!$B$5:$B$504, B2971, '📅 Resumen Diario'!$C$5:$C$504, D2971), 0))</f>
        <v/>
      </c>
      <c r="M2971" s="31" t="str">
        <f t="shared" si="325"/>
        <v/>
      </c>
      <c r="N2971" s="31" t="str">
        <f t="shared" si="326"/>
        <v/>
      </c>
      <c r="O2971" s="31" t="str">
        <f>IF(OR(B2971="",C2971=""),"",K2971-N2971 + IFERROR(E2971 / SUMIFS('📅 Resumen Diario'!$D$5:$D$504, '📅 Resumen Diario'!$B$5:$B$504, B2971, '📅 Resumen Diario'!$C$5:$C$504, D2971) * (SUMIFS('📋 Detalle Diario'!$E$5:$E$489, '📋 Detalle Diario'!$B$5:$B$489, B2971, '📋 Detalle Diario'!$C$5:$C$489, D2971) * 135 + SUMIFS('📋 Detalle Diario'!$I$5:$I$489, '📋 Detalle Diario'!$B$5:$B$489, B2971, '📋 Detalle Diario'!$C$5:$C$489, D2971) * 200), 0))</f>
        <v/>
      </c>
      <c r="P2971" s="32" t="str">
        <f t="shared" si="327"/>
        <v/>
      </c>
      <c r="Q2971" s="33" t="str">
        <f t="shared" si="328"/>
        <v/>
      </c>
    </row>
    <row r="2972" spans="2:17" ht="18" customHeight="1" x14ac:dyDescent="0.3">
      <c r="B2972" s="26"/>
      <c r="C2972" s="17"/>
      <c r="D2972" s="27"/>
      <c r="E2972" s="18"/>
      <c r="F2972" s="18"/>
      <c r="G2972" s="18"/>
      <c r="H2972" s="30" t="str">
        <f t="shared" si="322"/>
        <v/>
      </c>
      <c r="I2972" s="31" t="str">
        <f>IF(OR(B2972="",C2972=""),"",IFERROR(E2972*IF(E2972="",0,VLOOKUP(C2972,'📦 Precios Proforma'!$B$5:$D$104,IF(D2972="DIA",2,3),FALSE)),0))</f>
        <v/>
      </c>
      <c r="J2972" s="31" t="str">
        <f t="shared" si="323"/>
        <v/>
      </c>
      <c r="K2972" s="31" t="str">
        <f t="shared" si="324"/>
        <v/>
      </c>
      <c r="L2972" s="31" t="str">
        <f>IF(OR(B2972="",C2972=""),"",IFERROR(E2972 / SUMIFS('📅 Resumen Diario'!$D$5:$D$504, '📅 Resumen Diario'!$B$5:$B$504, B2972, '📅 Resumen Diario'!$C$5:$C$504, D2972) * SUMIFS('📅 Resumen Diario'!$K$5:$K$504, '📅 Resumen Diario'!$B$5:$B$504, B2972, '📅 Resumen Diario'!$C$5:$C$504, D2972), 0))</f>
        <v/>
      </c>
      <c r="M2972" s="31" t="str">
        <f t="shared" si="325"/>
        <v/>
      </c>
      <c r="N2972" s="31" t="str">
        <f t="shared" si="326"/>
        <v/>
      </c>
      <c r="O2972" s="31" t="str">
        <f>IF(OR(B2972="",C2972=""),"",K2972-N2972 + IFERROR(E2972 / SUMIFS('📅 Resumen Diario'!$D$5:$D$504, '📅 Resumen Diario'!$B$5:$B$504, B2972, '📅 Resumen Diario'!$C$5:$C$504, D2972) * (SUMIFS('📋 Detalle Diario'!$E$5:$E$489, '📋 Detalle Diario'!$B$5:$B$489, B2972, '📋 Detalle Diario'!$C$5:$C$489, D2972) * 135 + SUMIFS('📋 Detalle Diario'!$I$5:$I$489, '📋 Detalle Diario'!$B$5:$B$489, B2972, '📋 Detalle Diario'!$C$5:$C$489, D2972) * 200), 0))</f>
        <v/>
      </c>
      <c r="P2972" s="32" t="str">
        <f t="shared" si="327"/>
        <v/>
      </c>
      <c r="Q2972" s="33" t="str">
        <f t="shared" si="328"/>
        <v/>
      </c>
    </row>
    <row r="2973" spans="2:17" ht="18" customHeight="1" x14ac:dyDescent="0.3">
      <c r="B2973" s="26"/>
      <c r="C2973" s="28"/>
      <c r="D2973" s="27"/>
      <c r="E2973" s="29"/>
      <c r="F2973" s="29"/>
      <c r="G2973" s="29"/>
      <c r="H2973" s="30" t="str">
        <f t="shared" si="322"/>
        <v/>
      </c>
      <c r="I2973" s="31" t="str">
        <f>IF(OR(B2973="",C2973=""),"",IFERROR(E2973*IF(E2973="",0,VLOOKUP(C2973,'📦 Precios Proforma'!$B$5:$D$104,IF(D2973="DIA",2,3),FALSE)),0))</f>
        <v/>
      </c>
      <c r="J2973" s="31" t="str">
        <f t="shared" si="323"/>
        <v/>
      </c>
      <c r="K2973" s="31" t="str">
        <f t="shared" si="324"/>
        <v/>
      </c>
      <c r="L2973" s="31" t="str">
        <f>IF(OR(B2973="",C2973=""),"",IFERROR(E2973 / SUMIFS('📅 Resumen Diario'!$D$5:$D$504, '📅 Resumen Diario'!$B$5:$B$504, B2973, '📅 Resumen Diario'!$C$5:$C$504, D2973) * SUMIFS('📅 Resumen Diario'!$K$5:$K$504, '📅 Resumen Diario'!$B$5:$B$504, B2973, '📅 Resumen Diario'!$C$5:$C$504, D2973), 0))</f>
        <v/>
      </c>
      <c r="M2973" s="31" t="str">
        <f t="shared" si="325"/>
        <v/>
      </c>
      <c r="N2973" s="31" t="str">
        <f t="shared" si="326"/>
        <v/>
      </c>
      <c r="O2973" s="31" t="str">
        <f>IF(OR(B2973="",C2973=""),"",K2973-N2973 + IFERROR(E2973 / SUMIFS('📅 Resumen Diario'!$D$5:$D$504, '📅 Resumen Diario'!$B$5:$B$504, B2973, '📅 Resumen Diario'!$C$5:$C$504, D2973) * (SUMIFS('📋 Detalle Diario'!$E$5:$E$489, '📋 Detalle Diario'!$B$5:$B$489, B2973, '📋 Detalle Diario'!$C$5:$C$489, D2973) * 135 + SUMIFS('📋 Detalle Diario'!$I$5:$I$489, '📋 Detalle Diario'!$B$5:$B$489, B2973, '📋 Detalle Diario'!$C$5:$C$489, D2973) * 200), 0))</f>
        <v/>
      </c>
      <c r="P2973" s="32" t="str">
        <f t="shared" si="327"/>
        <v/>
      </c>
      <c r="Q2973" s="33" t="str">
        <f t="shared" si="328"/>
        <v/>
      </c>
    </row>
    <row r="2974" spans="2:17" ht="18" customHeight="1" x14ac:dyDescent="0.3">
      <c r="B2974" s="26"/>
      <c r="C2974" s="17"/>
      <c r="D2974" s="27"/>
      <c r="E2974" s="18"/>
      <c r="F2974" s="18"/>
      <c r="G2974" s="18"/>
      <c r="H2974" s="30" t="str">
        <f t="shared" si="322"/>
        <v/>
      </c>
      <c r="I2974" s="31" t="str">
        <f>IF(OR(B2974="",C2974=""),"",IFERROR(E2974*IF(E2974="",0,VLOOKUP(C2974,'📦 Precios Proforma'!$B$5:$D$104,IF(D2974="DIA",2,3),FALSE)),0))</f>
        <v/>
      </c>
      <c r="J2974" s="31" t="str">
        <f t="shared" si="323"/>
        <v/>
      </c>
      <c r="K2974" s="31" t="str">
        <f t="shared" si="324"/>
        <v/>
      </c>
      <c r="L2974" s="31" t="str">
        <f>IF(OR(B2974="",C2974=""),"",IFERROR(E2974 / SUMIFS('📅 Resumen Diario'!$D$5:$D$504, '📅 Resumen Diario'!$B$5:$B$504, B2974, '📅 Resumen Diario'!$C$5:$C$504, D2974) * SUMIFS('📅 Resumen Diario'!$K$5:$K$504, '📅 Resumen Diario'!$B$5:$B$504, B2974, '📅 Resumen Diario'!$C$5:$C$504, D2974), 0))</f>
        <v/>
      </c>
      <c r="M2974" s="31" t="str">
        <f t="shared" si="325"/>
        <v/>
      </c>
      <c r="N2974" s="31" t="str">
        <f t="shared" si="326"/>
        <v/>
      </c>
      <c r="O2974" s="31" t="str">
        <f>IF(OR(B2974="",C2974=""),"",K2974-N2974 + IFERROR(E2974 / SUMIFS('📅 Resumen Diario'!$D$5:$D$504, '📅 Resumen Diario'!$B$5:$B$504, B2974, '📅 Resumen Diario'!$C$5:$C$504, D2974) * (SUMIFS('📋 Detalle Diario'!$E$5:$E$489, '📋 Detalle Diario'!$B$5:$B$489, B2974, '📋 Detalle Diario'!$C$5:$C$489, D2974) * 135 + SUMIFS('📋 Detalle Diario'!$I$5:$I$489, '📋 Detalle Diario'!$B$5:$B$489, B2974, '📋 Detalle Diario'!$C$5:$C$489, D2974) * 200), 0))</f>
        <v/>
      </c>
      <c r="P2974" s="32" t="str">
        <f t="shared" si="327"/>
        <v/>
      </c>
      <c r="Q2974" s="33" t="str">
        <f t="shared" si="328"/>
        <v/>
      </c>
    </row>
    <row r="2975" spans="2:17" ht="18" customHeight="1" x14ac:dyDescent="0.3">
      <c r="B2975" s="26"/>
      <c r="C2975" s="28"/>
      <c r="D2975" s="27"/>
      <c r="E2975" s="29"/>
      <c r="F2975" s="29"/>
      <c r="G2975" s="29"/>
      <c r="H2975" s="30" t="str">
        <f t="shared" si="322"/>
        <v/>
      </c>
      <c r="I2975" s="31" t="str">
        <f>IF(OR(B2975="",C2975=""),"",IFERROR(E2975*IF(E2975="",0,VLOOKUP(C2975,'📦 Precios Proforma'!$B$5:$D$104,IF(D2975="DIA",2,3),FALSE)),0))</f>
        <v/>
      </c>
      <c r="J2975" s="31" t="str">
        <f t="shared" si="323"/>
        <v/>
      </c>
      <c r="K2975" s="31" t="str">
        <f t="shared" si="324"/>
        <v/>
      </c>
      <c r="L2975" s="31" t="str">
        <f>IF(OR(B2975="",C2975=""),"",IFERROR(E2975 / SUMIFS('📅 Resumen Diario'!$D$5:$D$504, '📅 Resumen Diario'!$B$5:$B$504, B2975, '📅 Resumen Diario'!$C$5:$C$504, D2975) * SUMIFS('📅 Resumen Diario'!$K$5:$K$504, '📅 Resumen Diario'!$B$5:$B$504, B2975, '📅 Resumen Diario'!$C$5:$C$504, D2975), 0))</f>
        <v/>
      </c>
      <c r="M2975" s="31" t="str">
        <f t="shared" si="325"/>
        <v/>
      </c>
      <c r="N2975" s="31" t="str">
        <f t="shared" si="326"/>
        <v/>
      </c>
      <c r="O2975" s="31" t="str">
        <f>IF(OR(B2975="",C2975=""),"",K2975-N2975 + IFERROR(E2975 / SUMIFS('📅 Resumen Diario'!$D$5:$D$504, '📅 Resumen Diario'!$B$5:$B$504, B2975, '📅 Resumen Diario'!$C$5:$C$504, D2975) * (SUMIFS('📋 Detalle Diario'!$E$5:$E$489, '📋 Detalle Diario'!$B$5:$B$489, B2975, '📋 Detalle Diario'!$C$5:$C$489, D2975) * 135 + SUMIFS('📋 Detalle Diario'!$I$5:$I$489, '📋 Detalle Diario'!$B$5:$B$489, B2975, '📋 Detalle Diario'!$C$5:$C$489, D2975) * 200), 0))</f>
        <v/>
      </c>
      <c r="P2975" s="32" t="str">
        <f t="shared" si="327"/>
        <v/>
      </c>
      <c r="Q2975" s="33" t="str">
        <f t="shared" si="328"/>
        <v/>
      </c>
    </row>
    <row r="2976" spans="2:17" ht="18" customHeight="1" x14ac:dyDescent="0.3">
      <c r="B2976" s="26"/>
      <c r="C2976" s="17"/>
      <c r="D2976" s="27"/>
      <c r="E2976" s="18"/>
      <c r="F2976" s="18"/>
      <c r="G2976" s="18"/>
      <c r="H2976" s="30" t="str">
        <f t="shared" si="322"/>
        <v/>
      </c>
      <c r="I2976" s="31" t="str">
        <f>IF(OR(B2976="",C2976=""),"",IFERROR(E2976*IF(E2976="",0,VLOOKUP(C2976,'📦 Precios Proforma'!$B$5:$D$104,IF(D2976="DIA",2,3),FALSE)),0))</f>
        <v/>
      </c>
      <c r="J2976" s="31" t="str">
        <f t="shared" si="323"/>
        <v/>
      </c>
      <c r="K2976" s="31" t="str">
        <f t="shared" si="324"/>
        <v/>
      </c>
      <c r="L2976" s="31" t="str">
        <f>IF(OR(B2976="",C2976=""),"",IFERROR(E2976 / SUMIFS('📅 Resumen Diario'!$D$5:$D$504, '📅 Resumen Diario'!$B$5:$B$504, B2976, '📅 Resumen Diario'!$C$5:$C$504, D2976) * SUMIFS('📅 Resumen Diario'!$K$5:$K$504, '📅 Resumen Diario'!$B$5:$B$504, B2976, '📅 Resumen Diario'!$C$5:$C$504, D2976), 0))</f>
        <v/>
      </c>
      <c r="M2976" s="31" t="str">
        <f t="shared" si="325"/>
        <v/>
      </c>
      <c r="N2976" s="31" t="str">
        <f t="shared" si="326"/>
        <v/>
      </c>
      <c r="O2976" s="31" t="str">
        <f>IF(OR(B2976="",C2976=""),"",K2976-N2976 + IFERROR(E2976 / SUMIFS('📅 Resumen Diario'!$D$5:$D$504, '📅 Resumen Diario'!$B$5:$B$504, B2976, '📅 Resumen Diario'!$C$5:$C$504, D2976) * (SUMIFS('📋 Detalle Diario'!$E$5:$E$489, '📋 Detalle Diario'!$B$5:$B$489, B2976, '📋 Detalle Diario'!$C$5:$C$489, D2976) * 135 + SUMIFS('📋 Detalle Diario'!$I$5:$I$489, '📋 Detalle Diario'!$B$5:$B$489, B2976, '📋 Detalle Diario'!$C$5:$C$489, D2976) * 200), 0))</f>
        <v/>
      </c>
      <c r="P2976" s="32" t="str">
        <f t="shared" si="327"/>
        <v/>
      </c>
      <c r="Q2976" s="33" t="str">
        <f t="shared" si="328"/>
        <v/>
      </c>
    </row>
    <row r="2977" spans="2:17" ht="18" customHeight="1" x14ac:dyDescent="0.3">
      <c r="B2977" s="26"/>
      <c r="C2977" s="28"/>
      <c r="D2977" s="27"/>
      <c r="E2977" s="29"/>
      <c r="F2977" s="29"/>
      <c r="G2977" s="29"/>
      <c r="H2977" s="30" t="str">
        <f t="shared" si="322"/>
        <v/>
      </c>
      <c r="I2977" s="31" t="str">
        <f>IF(OR(B2977="",C2977=""),"",IFERROR(E2977*IF(E2977="",0,VLOOKUP(C2977,'📦 Precios Proforma'!$B$5:$D$104,IF(D2977="DIA",2,3),FALSE)),0))</f>
        <v/>
      </c>
      <c r="J2977" s="31" t="str">
        <f t="shared" si="323"/>
        <v/>
      </c>
      <c r="K2977" s="31" t="str">
        <f t="shared" si="324"/>
        <v/>
      </c>
      <c r="L2977" s="31" t="str">
        <f>IF(OR(B2977="",C2977=""),"",IFERROR(E2977 / SUMIFS('📅 Resumen Diario'!$D$5:$D$504, '📅 Resumen Diario'!$B$5:$B$504, B2977, '📅 Resumen Diario'!$C$5:$C$504, D2977) * SUMIFS('📅 Resumen Diario'!$K$5:$K$504, '📅 Resumen Diario'!$B$5:$B$504, B2977, '📅 Resumen Diario'!$C$5:$C$504, D2977), 0))</f>
        <v/>
      </c>
      <c r="M2977" s="31" t="str">
        <f t="shared" si="325"/>
        <v/>
      </c>
      <c r="N2977" s="31" t="str">
        <f t="shared" si="326"/>
        <v/>
      </c>
      <c r="O2977" s="31" t="str">
        <f>IF(OR(B2977="",C2977=""),"",K2977-N2977 + IFERROR(E2977 / SUMIFS('📅 Resumen Diario'!$D$5:$D$504, '📅 Resumen Diario'!$B$5:$B$504, B2977, '📅 Resumen Diario'!$C$5:$C$504, D2977) * (SUMIFS('📋 Detalle Diario'!$E$5:$E$489, '📋 Detalle Diario'!$B$5:$B$489, B2977, '📋 Detalle Diario'!$C$5:$C$489, D2977) * 135 + SUMIFS('📋 Detalle Diario'!$I$5:$I$489, '📋 Detalle Diario'!$B$5:$B$489, B2977, '📋 Detalle Diario'!$C$5:$C$489, D2977) * 200), 0))</f>
        <v/>
      </c>
      <c r="P2977" s="32" t="str">
        <f t="shared" si="327"/>
        <v/>
      </c>
      <c r="Q2977" s="33" t="str">
        <f t="shared" si="328"/>
        <v/>
      </c>
    </row>
    <row r="2978" spans="2:17" ht="18" customHeight="1" x14ac:dyDescent="0.3">
      <c r="B2978" s="26"/>
      <c r="C2978" s="17"/>
      <c r="D2978" s="27"/>
      <c r="E2978" s="18"/>
      <c r="F2978" s="18"/>
      <c r="G2978" s="18"/>
      <c r="H2978" s="30" t="str">
        <f t="shared" si="322"/>
        <v/>
      </c>
      <c r="I2978" s="31" t="str">
        <f>IF(OR(B2978="",C2978=""),"",IFERROR(E2978*IF(E2978="",0,VLOOKUP(C2978,'📦 Precios Proforma'!$B$5:$D$104,IF(D2978="DIA",2,3),FALSE)),0))</f>
        <v/>
      </c>
      <c r="J2978" s="31" t="str">
        <f t="shared" si="323"/>
        <v/>
      </c>
      <c r="K2978" s="31" t="str">
        <f t="shared" si="324"/>
        <v/>
      </c>
      <c r="L2978" s="31" t="str">
        <f>IF(OR(B2978="",C2978=""),"",IFERROR(E2978 / SUMIFS('📅 Resumen Diario'!$D$5:$D$504, '📅 Resumen Diario'!$B$5:$B$504, B2978, '📅 Resumen Diario'!$C$5:$C$504, D2978) * SUMIFS('📅 Resumen Diario'!$K$5:$K$504, '📅 Resumen Diario'!$B$5:$B$504, B2978, '📅 Resumen Diario'!$C$5:$C$504, D2978), 0))</f>
        <v/>
      </c>
      <c r="M2978" s="31" t="str">
        <f t="shared" si="325"/>
        <v/>
      </c>
      <c r="N2978" s="31" t="str">
        <f t="shared" si="326"/>
        <v/>
      </c>
      <c r="O2978" s="31" t="str">
        <f>IF(OR(B2978="",C2978=""),"",K2978-N2978 + IFERROR(E2978 / SUMIFS('📅 Resumen Diario'!$D$5:$D$504, '📅 Resumen Diario'!$B$5:$B$504, B2978, '📅 Resumen Diario'!$C$5:$C$504, D2978) * (SUMIFS('📋 Detalle Diario'!$E$5:$E$489, '📋 Detalle Diario'!$B$5:$B$489, B2978, '📋 Detalle Diario'!$C$5:$C$489, D2978) * 135 + SUMIFS('📋 Detalle Diario'!$I$5:$I$489, '📋 Detalle Diario'!$B$5:$B$489, B2978, '📋 Detalle Diario'!$C$5:$C$489, D2978) * 200), 0))</f>
        <v/>
      </c>
      <c r="P2978" s="32" t="str">
        <f t="shared" si="327"/>
        <v/>
      </c>
      <c r="Q2978" s="33" t="str">
        <f t="shared" si="328"/>
        <v/>
      </c>
    </row>
    <row r="2979" spans="2:17" ht="18" customHeight="1" x14ac:dyDescent="0.3">
      <c r="B2979" s="26"/>
      <c r="C2979" s="28"/>
      <c r="D2979" s="27"/>
      <c r="E2979" s="29"/>
      <c r="F2979" s="29"/>
      <c r="G2979" s="29"/>
      <c r="H2979" s="30" t="str">
        <f t="shared" si="322"/>
        <v/>
      </c>
      <c r="I2979" s="31" t="str">
        <f>IF(OR(B2979="",C2979=""),"",IFERROR(E2979*IF(E2979="",0,VLOOKUP(C2979,'📦 Precios Proforma'!$B$5:$D$104,IF(D2979="DIA",2,3),FALSE)),0))</f>
        <v/>
      </c>
      <c r="J2979" s="31" t="str">
        <f t="shared" si="323"/>
        <v/>
      </c>
      <c r="K2979" s="31" t="str">
        <f t="shared" si="324"/>
        <v/>
      </c>
      <c r="L2979" s="31" t="str">
        <f>IF(OR(B2979="",C2979=""),"",IFERROR(E2979 / SUMIFS('📅 Resumen Diario'!$D$5:$D$504, '📅 Resumen Diario'!$B$5:$B$504, B2979, '📅 Resumen Diario'!$C$5:$C$504, D2979) * SUMIFS('📅 Resumen Diario'!$K$5:$K$504, '📅 Resumen Diario'!$B$5:$B$504, B2979, '📅 Resumen Diario'!$C$5:$C$504, D2979), 0))</f>
        <v/>
      </c>
      <c r="M2979" s="31" t="str">
        <f t="shared" si="325"/>
        <v/>
      </c>
      <c r="N2979" s="31" t="str">
        <f t="shared" si="326"/>
        <v/>
      </c>
      <c r="O2979" s="31" t="str">
        <f>IF(OR(B2979="",C2979=""),"",K2979-N2979 + IFERROR(E2979 / SUMIFS('📅 Resumen Diario'!$D$5:$D$504, '📅 Resumen Diario'!$B$5:$B$504, B2979, '📅 Resumen Diario'!$C$5:$C$504, D2979) * (SUMIFS('📋 Detalle Diario'!$E$5:$E$489, '📋 Detalle Diario'!$B$5:$B$489, B2979, '📋 Detalle Diario'!$C$5:$C$489, D2979) * 135 + SUMIFS('📋 Detalle Diario'!$I$5:$I$489, '📋 Detalle Diario'!$B$5:$B$489, B2979, '📋 Detalle Diario'!$C$5:$C$489, D2979) * 200), 0))</f>
        <v/>
      </c>
      <c r="P2979" s="32" t="str">
        <f t="shared" si="327"/>
        <v/>
      </c>
      <c r="Q2979" s="33" t="str">
        <f t="shared" si="328"/>
        <v/>
      </c>
    </row>
    <row r="2980" spans="2:17" ht="18" customHeight="1" x14ac:dyDescent="0.3">
      <c r="B2980" s="26"/>
      <c r="C2980" s="17"/>
      <c r="D2980" s="27"/>
      <c r="E2980" s="18"/>
      <c r="F2980" s="18"/>
      <c r="G2980" s="18"/>
      <c r="H2980" s="30" t="str">
        <f t="shared" si="322"/>
        <v/>
      </c>
      <c r="I2980" s="31" t="str">
        <f>IF(OR(B2980="",C2980=""),"",IFERROR(E2980*IF(E2980="",0,VLOOKUP(C2980,'📦 Precios Proforma'!$B$5:$D$104,IF(D2980="DIA",2,3),FALSE)),0))</f>
        <v/>
      </c>
      <c r="J2980" s="31" t="str">
        <f t="shared" si="323"/>
        <v/>
      </c>
      <c r="K2980" s="31" t="str">
        <f t="shared" si="324"/>
        <v/>
      </c>
      <c r="L2980" s="31" t="str">
        <f>IF(OR(B2980="",C2980=""),"",IFERROR(E2980 / SUMIFS('📅 Resumen Diario'!$D$5:$D$504, '📅 Resumen Diario'!$B$5:$B$504, B2980, '📅 Resumen Diario'!$C$5:$C$504, D2980) * SUMIFS('📅 Resumen Diario'!$K$5:$K$504, '📅 Resumen Diario'!$B$5:$B$504, B2980, '📅 Resumen Diario'!$C$5:$C$504, D2980), 0))</f>
        <v/>
      </c>
      <c r="M2980" s="31" t="str">
        <f t="shared" si="325"/>
        <v/>
      </c>
      <c r="N2980" s="31" t="str">
        <f t="shared" si="326"/>
        <v/>
      </c>
      <c r="O2980" s="31" t="str">
        <f>IF(OR(B2980="",C2980=""),"",K2980-N2980 + IFERROR(E2980 / SUMIFS('📅 Resumen Diario'!$D$5:$D$504, '📅 Resumen Diario'!$B$5:$B$504, B2980, '📅 Resumen Diario'!$C$5:$C$504, D2980) * (SUMIFS('📋 Detalle Diario'!$E$5:$E$489, '📋 Detalle Diario'!$B$5:$B$489, B2980, '📋 Detalle Diario'!$C$5:$C$489, D2980) * 135 + SUMIFS('📋 Detalle Diario'!$I$5:$I$489, '📋 Detalle Diario'!$B$5:$B$489, B2980, '📋 Detalle Diario'!$C$5:$C$489, D2980) * 200), 0))</f>
        <v/>
      </c>
      <c r="P2980" s="32" t="str">
        <f t="shared" si="327"/>
        <v/>
      </c>
      <c r="Q2980" s="33" t="str">
        <f t="shared" si="328"/>
        <v/>
      </c>
    </row>
    <row r="2981" spans="2:17" ht="18" customHeight="1" x14ac:dyDescent="0.3">
      <c r="B2981" s="26"/>
      <c r="C2981" s="28"/>
      <c r="D2981" s="27"/>
      <c r="E2981" s="29"/>
      <c r="F2981" s="29"/>
      <c r="G2981" s="29"/>
      <c r="H2981" s="30" t="str">
        <f t="shared" si="322"/>
        <v/>
      </c>
      <c r="I2981" s="31" t="str">
        <f>IF(OR(B2981="",C2981=""),"",IFERROR(E2981*IF(E2981="",0,VLOOKUP(C2981,'📦 Precios Proforma'!$B$5:$D$104,IF(D2981="DIA",2,3),FALSE)),0))</f>
        <v/>
      </c>
      <c r="J2981" s="31" t="str">
        <f t="shared" si="323"/>
        <v/>
      </c>
      <c r="K2981" s="31" t="str">
        <f t="shared" si="324"/>
        <v/>
      </c>
      <c r="L2981" s="31" t="str">
        <f>IF(OR(B2981="",C2981=""),"",IFERROR(E2981 / SUMIFS('📅 Resumen Diario'!$D$5:$D$504, '📅 Resumen Diario'!$B$5:$B$504, B2981, '📅 Resumen Diario'!$C$5:$C$504, D2981) * SUMIFS('📅 Resumen Diario'!$K$5:$K$504, '📅 Resumen Diario'!$B$5:$B$504, B2981, '📅 Resumen Diario'!$C$5:$C$504, D2981), 0))</f>
        <v/>
      </c>
      <c r="M2981" s="31" t="str">
        <f t="shared" si="325"/>
        <v/>
      </c>
      <c r="N2981" s="31" t="str">
        <f t="shared" si="326"/>
        <v/>
      </c>
      <c r="O2981" s="31" t="str">
        <f>IF(OR(B2981="",C2981=""),"",K2981-N2981 + IFERROR(E2981 / SUMIFS('📅 Resumen Diario'!$D$5:$D$504, '📅 Resumen Diario'!$B$5:$B$504, B2981, '📅 Resumen Diario'!$C$5:$C$504, D2981) * (SUMIFS('📋 Detalle Diario'!$E$5:$E$489, '📋 Detalle Diario'!$B$5:$B$489, B2981, '📋 Detalle Diario'!$C$5:$C$489, D2981) * 135 + SUMIFS('📋 Detalle Diario'!$I$5:$I$489, '📋 Detalle Diario'!$B$5:$B$489, B2981, '📋 Detalle Diario'!$C$5:$C$489, D2981) * 200), 0))</f>
        <v/>
      </c>
      <c r="P2981" s="32" t="str">
        <f t="shared" si="327"/>
        <v/>
      </c>
      <c r="Q2981" s="33" t="str">
        <f t="shared" si="328"/>
        <v/>
      </c>
    </row>
    <row r="2982" spans="2:17" ht="18" customHeight="1" x14ac:dyDescent="0.3">
      <c r="B2982" s="26"/>
      <c r="C2982" s="17"/>
      <c r="D2982" s="27"/>
      <c r="E2982" s="18"/>
      <c r="F2982" s="18"/>
      <c r="G2982" s="18"/>
      <c r="H2982" s="30" t="str">
        <f t="shared" si="322"/>
        <v/>
      </c>
      <c r="I2982" s="31" t="str">
        <f>IF(OR(B2982="",C2982=""),"",IFERROR(E2982*IF(E2982="",0,VLOOKUP(C2982,'📦 Precios Proforma'!$B$5:$D$104,IF(D2982="DIA",2,3),FALSE)),0))</f>
        <v/>
      </c>
      <c r="J2982" s="31" t="str">
        <f t="shared" si="323"/>
        <v/>
      </c>
      <c r="K2982" s="31" t="str">
        <f t="shared" si="324"/>
        <v/>
      </c>
      <c r="L2982" s="31" t="str">
        <f>IF(OR(B2982="",C2982=""),"",IFERROR(E2982 / SUMIFS('📅 Resumen Diario'!$D$5:$D$504, '📅 Resumen Diario'!$B$5:$B$504, B2982, '📅 Resumen Diario'!$C$5:$C$504, D2982) * SUMIFS('📅 Resumen Diario'!$K$5:$K$504, '📅 Resumen Diario'!$B$5:$B$504, B2982, '📅 Resumen Diario'!$C$5:$C$504, D2982), 0))</f>
        <v/>
      </c>
      <c r="M2982" s="31" t="str">
        <f t="shared" si="325"/>
        <v/>
      </c>
      <c r="N2982" s="31" t="str">
        <f t="shared" si="326"/>
        <v/>
      </c>
      <c r="O2982" s="31" t="str">
        <f>IF(OR(B2982="",C2982=""),"",K2982-N2982 + IFERROR(E2982 / SUMIFS('📅 Resumen Diario'!$D$5:$D$504, '📅 Resumen Diario'!$B$5:$B$504, B2982, '📅 Resumen Diario'!$C$5:$C$504, D2982) * (SUMIFS('📋 Detalle Diario'!$E$5:$E$489, '📋 Detalle Diario'!$B$5:$B$489, B2982, '📋 Detalle Diario'!$C$5:$C$489, D2982) * 135 + SUMIFS('📋 Detalle Diario'!$I$5:$I$489, '📋 Detalle Diario'!$B$5:$B$489, B2982, '📋 Detalle Diario'!$C$5:$C$489, D2982) * 200), 0))</f>
        <v/>
      </c>
      <c r="P2982" s="32" t="str">
        <f t="shared" si="327"/>
        <v/>
      </c>
      <c r="Q2982" s="33" t="str">
        <f t="shared" si="328"/>
        <v/>
      </c>
    </row>
    <row r="2983" spans="2:17" ht="18" customHeight="1" x14ac:dyDescent="0.3">
      <c r="B2983" s="26"/>
      <c r="C2983" s="28"/>
      <c r="D2983" s="27"/>
      <c r="E2983" s="29"/>
      <c r="F2983" s="29"/>
      <c r="G2983" s="29"/>
      <c r="H2983" s="30" t="str">
        <f t="shared" si="322"/>
        <v/>
      </c>
      <c r="I2983" s="31" t="str">
        <f>IF(OR(B2983="",C2983=""),"",IFERROR(E2983*IF(E2983="",0,VLOOKUP(C2983,'📦 Precios Proforma'!$B$5:$D$104,IF(D2983="DIA",2,3),FALSE)),0))</f>
        <v/>
      </c>
      <c r="J2983" s="31" t="str">
        <f t="shared" si="323"/>
        <v/>
      </c>
      <c r="K2983" s="31" t="str">
        <f t="shared" si="324"/>
        <v/>
      </c>
      <c r="L2983" s="31" t="str">
        <f>IF(OR(B2983="",C2983=""),"",IFERROR(E2983 / SUMIFS('📅 Resumen Diario'!$D$5:$D$504, '📅 Resumen Diario'!$B$5:$B$504, B2983, '📅 Resumen Diario'!$C$5:$C$504, D2983) * SUMIFS('📅 Resumen Diario'!$K$5:$K$504, '📅 Resumen Diario'!$B$5:$B$504, B2983, '📅 Resumen Diario'!$C$5:$C$504, D2983), 0))</f>
        <v/>
      </c>
      <c r="M2983" s="31" t="str">
        <f t="shared" si="325"/>
        <v/>
      </c>
      <c r="N2983" s="31" t="str">
        <f t="shared" si="326"/>
        <v/>
      </c>
      <c r="O2983" s="31" t="str">
        <f>IF(OR(B2983="",C2983=""),"",K2983-N2983 + IFERROR(E2983 / SUMIFS('📅 Resumen Diario'!$D$5:$D$504, '📅 Resumen Diario'!$B$5:$B$504, B2983, '📅 Resumen Diario'!$C$5:$C$504, D2983) * (SUMIFS('📋 Detalle Diario'!$E$5:$E$489, '📋 Detalle Diario'!$B$5:$B$489, B2983, '📋 Detalle Diario'!$C$5:$C$489, D2983) * 135 + SUMIFS('📋 Detalle Diario'!$I$5:$I$489, '📋 Detalle Diario'!$B$5:$B$489, B2983, '📋 Detalle Diario'!$C$5:$C$489, D2983) * 200), 0))</f>
        <v/>
      </c>
      <c r="P2983" s="32" t="str">
        <f t="shared" si="327"/>
        <v/>
      </c>
      <c r="Q2983" s="33" t="str">
        <f t="shared" si="328"/>
        <v/>
      </c>
    </row>
    <row r="2984" spans="2:17" ht="18" customHeight="1" x14ac:dyDescent="0.3">
      <c r="B2984" s="26"/>
      <c r="C2984" s="17"/>
      <c r="D2984" s="27"/>
      <c r="E2984" s="18"/>
      <c r="F2984" s="18"/>
      <c r="G2984" s="18"/>
      <c r="H2984" s="30" t="str">
        <f t="shared" si="322"/>
        <v/>
      </c>
      <c r="I2984" s="31" t="str">
        <f>IF(OR(B2984="",C2984=""),"",IFERROR(E2984*IF(E2984="",0,VLOOKUP(C2984,'📦 Precios Proforma'!$B$5:$D$104,IF(D2984="DIA",2,3),FALSE)),0))</f>
        <v/>
      </c>
      <c r="J2984" s="31" t="str">
        <f t="shared" si="323"/>
        <v/>
      </c>
      <c r="K2984" s="31" t="str">
        <f t="shared" si="324"/>
        <v/>
      </c>
      <c r="L2984" s="31" t="str">
        <f>IF(OR(B2984="",C2984=""),"",IFERROR(E2984 / SUMIFS('📅 Resumen Diario'!$D$5:$D$504, '📅 Resumen Diario'!$B$5:$B$504, B2984, '📅 Resumen Diario'!$C$5:$C$504, D2984) * SUMIFS('📅 Resumen Diario'!$K$5:$K$504, '📅 Resumen Diario'!$B$5:$B$504, B2984, '📅 Resumen Diario'!$C$5:$C$504, D2984), 0))</f>
        <v/>
      </c>
      <c r="M2984" s="31" t="str">
        <f t="shared" si="325"/>
        <v/>
      </c>
      <c r="N2984" s="31" t="str">
        <f t="shared" si="326"/>
        <v/>
      </c>
      <c r="O2984" s="31" t="str">
        <f>IF(OR(B2984="",C2984=""),"",K2984-N2984 + IFERROR(E2984 / SUMIFS('📅 Resumen Diario'!$D$5:$D$504, '📅 Resumen Diario'!$B$5:$B$504, B2984, '📅 Resumen Diario'!$C$5:$C$504, D2984) * (SUMIFS('📋 Detalle Diario'!$E$5:$E$489, '📋 Detalle Diario'!$B$5:$B$489, B2984, '📋 Detalle Diario'!$C$5:$C$489, D2984) * 135 + SUMIFS('📋 Detalle Diario'!$I$5:$I$489, '📋 Detalle Diario'!$B$5:$B$489, B2984, '📋 Detalle Diario'!$C$5:$C$489, D2984) * 200), 0))</f>
        <v/>
      </c>
      <c r="P2984" s="32" t="str">
        <f t="shared" si="327"/>
        <v/>
      </c>
      <c r="Q2984" s="33" t="str">
        <f t="shared" si="328"/>
        <v/>
      </c>
    </row>
    <row r="2985" spans="2:17" ht="18" customHeight="1" x14ac:dyDescent="0.3">
      <c r="B2985" s="26"/>
      <c r="C2985" s="28"/>
      <c r="D2985" s="27"/>
      <c r="E2985" s="29"/>
      <c r="F2985" s="29"/>
      <c r="G2985" s="29"/>
      <c r="H2985" s="30" t="str">
        <f t="shared" si="322"/>
        <v/>
      </c>
      <c r="I2985" s="31" t="str">
        <f>IF(OR(B2985="",C2985=""),"",IFERROR(E2985*IF(E2985="",0,VLOOKUP(C2985,'📦 Precios Proforma'!$B$5:$D$104,IF(D2985="DIA",2,3),FALSE)),0))</f>
        <v/>
      </c>
      <c r="J2985" s="31" t="str">
        <f t="shared" si="323"/>
        <v/>
      </c>
      <c r="K2985" s="31" t="str">
        <f t="shared" si="324"/>
        <v/>
      </c>
      <c r="L2985" s="31" t="str">
        <f>IF(OR(B2985="",C2985=""),"",IFERROR(E2985 / SUMIFS('📅 Resumen Diario'!$D$5:$D$504, '📅 Resumen Diario'!$B$5:$B$504, B2985, '📅 Resumen Diario'!$C$5:$C$504, D2985) * SUMIFS('📅 Resumen Diario'!$K$5:$K$504, '📅 Resumen Diario'!$B$5:$B$504, B2985, '📅 Resumen Diario'!$C$5:$C$504, D2985), 0))</f>
        <v/>
      </c>
      <c r="M2985" s="31" t="str">
        <f t="shared" si="325"/>
        <v/>
      </c>
      <c r="N2985" s="31" t="str">
        <f t="shared" si="326"/>
        <v/>
      </c>
      <c r="O2985" s="31" t="str">
        <f>IF(OR(B2985="",C2985=""),"",K2985-N2985 + IFERROR(E2985 / SUMIFS('📅 Resumen Diario'!$D$5:$D$504, '📅 Resumen Diario'!$B$5:$B$504, B2985, '📅 Resumen Diario'!$C$5:$C$504, D2985) * (SUMIFS('📋 Detalle Diario'!$E$5:$E$489, '📋 Detalle Diario'!$B$5:$B$489, B2985, '📋 Detalle Diario'!$C$5:$C$489, D2985) * 135 + SUMIFS('📋 Detalle Diario'!$I$5:$I$489, '📋 Detalle Diario'!$B$5:$B$489, B2985, '📋 Detalle Diario'!$C$5:$C$489, D2985) * 200), 0))</f>
        <v/>
      </c>
      <c r="P2985" s="32" t="str">
        <f t="shared" si="327"/>
        <v/>
      </c>
      <c r="Q2985" s="33" t="str">
        <f t="shared" si="328"/>
        <v/>
      </c>
    </row>
    <row r="2986" spans="2:17" ht="18" customHeight="1" x14ac:dyDescent="0.3">
      <c r="B2986" s="26"/>
      <c r="C2986" s="17"/>
      <c r="D2986" s="27"/>
      <c r="E2986" s="18"/>
      <c r="F2986" s="18"/>
      <c r="G2986" s="18"/>
      <c r="H2986" s="30" t="str">
        <f t="shared" si="322"/>
        <v/>
      </c>
      <c r="I2986" s="31" t="str">
        <f>IF(OR(B2986="",C2986=""),"",IFERROR(E2986*IF(E2986="",0,VLOOKUP(C2986,'📦 Precios Proforma'!$B$5:$D$104,IF(D2986="DIA",2,3),FALSE)),0))</f>
        <v/>
      </c>
      <c r="J2986" s="31" t="str">
        <f t="shared" si="323"/>
        <v/>
      </c>
      <c r="K2986" s="31" t="str">
        <f t="shared" si="324"/>
        <v/>
      </c>
      <c r="L2986" s="31" t="str">
        <f>IF(OR(B2986="",C2986=""),"",IFERROR(E2986 / SUMIFS('📅 Resumen Diario'!$D$5:$D$504, '📅 Resumen Diario'!$B$5:$B$504, B2986, '📅 Resumen Diario'!$C$5:$C$504, D2986) * SUMIFS('📅 Resumen Diario'!$K$5:$K$504, '📅 Resumen Diario'!$B$5:$B$504, B2986, '📅 Resumen Diario'!$C$5:$C$504, D2986), 0))</f>
        <v/>
      </c>
      <c r="M2986" s="31" t="str">
        <f t="shared" si="325"/>
        <v/>
      </c>
      <c r="N2986" s="31" t="str">
        <f t="shared" si="326"/>
        <v/>
      </c>
      <c r="O2986" s="31" t="str">
        <f>IF(OR(B2986="",C2986=""),"",K2986-N2986 + IFERROR(E2986 / SUMIFS('📅 Resumen Diario'!$D$5:$D$504, '📅 Resumen Diario'!$B$5:$B$504, B2986, '📅 Resumen Diario'!$C$5:$C$504, D2986) * (SUMIFS('📋 Detalle Diario'!$E$5:$E$489, '📋 Detalle Diario'!$B$5:$B$489, B2986, '📋 Detalle Diario'!$C$5:$C$489, D2986) * 135 + SUMIFS('📋 Detalle Diario'!$I$5:$I$489, '📋 Detalle Diario'!$B$5:$B$489, B2986, '📋 Detalle Diario'!$C$5:$C$489, D2986) * 200), 0))</f>
        <v/>
      </c>
      <c r="P2986" s="32" t="str">
        <f t="shared" si="327"/>
        <v/>
      </c>
      <c r="Q2986" s="33" t="str">
        <f t="shared" si="328"/>
        <v/>
      </c>
    </row>
    <row r="2987" spans="2:17" ht="18" customHeight="1" x14ac:dyDescent="0.3">
      <c r="B2987" s="26"/>
      <c r="C2987" s="28"/>
      <c r="D2987" s="27"/>
      <c r="E2987" s="29"/>
      <c r="F2987" s="29"/>
      <c r="G2987" s="29"/>
      <c r="H2987" s="30" t="str">
        <f t="shared" si="322"/>
        <v/>
      </c>
      <c r="I2987" s="31" t="str">
        <f>IF(OR(B2987="",C2987=""),"",IFERROR(E2987*IF(E2987="",0,VLOOKUP(C2987,'📦 Precios Proforma'!$B$5:$D$104,IF(D2987="DIA",2,3),FALSE)),0))</f>
        <v/>
      </c>
      <c r="J2987" s="31" t="str">
        <f t="shared" si="323"/>
        <v/>
      </c>
      <c r="K2987" s="31" t="str">
        <f t="shared" si="324"/>
        <v/>
      </c>
      <c r="L2987" s="31" t="str">
        <f>IF(OR(B2987="",C2987=""),"",IFERROR(E2987 / SUMIFS('📅 Resumen Diario'!$D$5:$D$504, '📅 Resumen Diario'!$B$5:$B$504, B2987, '📅 Resumen Diario'!$C$5:$C$504, D2987) * SUMIFS('📅 Resumen Diario'!$K$5:$K$504, '📅 Resumen Diario'!$B$5:$B$504, B2987, '📅 Resumen Diario'!$C$5:$C$504, D2987), 0))</f>
        <v/>
      </c>
      <c r="M2987" s="31" t="str">
        <f t="shared" si="325"/>
        <v/>
      </c>
      <c r="N2987" s="31" t="str">
        <f t="shared" si="326"/>
        <v/>
      </c>
      <c r="O2987" s="31" t="str">
        <f>IF(OR(B2987="",C2987=""),"",K2987-N2987 + IFERROR(E2987 / SUMIFS('📅 Resumen Diario'!$D$5:$D$504, '📅 Resumen Diario'!$B$5:$B$504, B2987, '📅 Resumen Diario'!$C$5:$C$504, D2987) * (SUMIFS('📋 Detalle Diario'!$E$5:$E$489, '📋 Detalle Diario'!$B$5:$B$489, B2987, '📋 Detalle Diario'!$C$5:$C$489, D2987) * 135 + SUMIFS('📋 Detalle Diario'!$I$5:$I$489, '📋 Detalle Diario'!$B$5:$B$489, B2987, '📋 Detalle Diario'!$C$5:$C$489, D2987) * 200), 0))</f>
        <v/>
      </c>
      <c r="P2987" s="32" t="str">
        <f t="shared" si="327"/>
        <v/>
      </c>
      <c r="Q2987" s="33" t="str">
        <f t="shared" si="328"/>
        <v/>
      </c>
    </row>
    <row r="2988" spans="2:17" ht="18" customHeight="1" x14ac:dyDescent="0.3">
      <c r="B2988" s="26"/>
      <c r="C2988" s="17"/>
      <c r="D2988" s="27"/>
      <c r="E2988" s="18"/>
      <c r="F2988" s="18"/>
      <c r="G2988" s="18"/>
      <c r="H2988" s="30" t="str">
        <f t="shared" si="322"/>
        <v/>
      </c>
      <c r="I2988" s="31" t="str">
        <f>IF(OR(B2988="",C2988=""),"",IFERROR(E2988*IF(E2988="",0,VLOOKUP(C2988,'📦 Precios Proforma'!$B$5:$D$104,IF(D2988="DIA",2,3),FALSE)),0))</f>
        <v/>
      </c>
      <c r="J2988" s="31" t="str">
        <f t="shared" si="323"/>
        <v/>
      </c>
      <c r="K2988" s="31" t="str">
        <f t="shared" si="324"/>
        <v/>
      </c>
      <c r="L2988" s="31" t="str">
        <f>IF(OR(B2988="",C2988=""),"",IFERROR(E2988 / SUMIFS('📅 Resumen Diario'!$D$5:$D$504, '📅 Resumen Diario'!$B$5:$B$504, B2988, '📅 Resumen Diario'!$C$5:$C$504, D2988) * SUMIFS('📅 Resumen Diario'!$K$5:$K$504, '📅 Resumen Diario'!$B$5:$B$504, B2988, '📅 Resumen Diario'!$C$5:$C$504, D2988), 0))</f>
        <v/>
      </c>
      <c r="M2988" s="31" t="str">
        <f t="shared" si="325"/>
        <v/>
      </c>
      <c r="N2988" s="31" t="str">
        <f t="shared" si="326"/>
        <v/>
      </c>
      <c r="O2988" s="31" t="str">
        <f>IF(OR(B2988="",C2988=""),"",K2988-N2988 + IFERROR(E2988 / SUMIFS('📅 Resumen Diario'!$D$5:$D$504, '📅 Resumen Diario'!$B$5:$B$504, B2988, '📅 Resumen Diario'!$C$5:$C$504, D2988) * (SUMIFS('📋 Detalle Diario'!$E$5:$E$489, '📋 Detalle Diario'!$B$5:$B$489, B2988, '📋 Detalle Diario'!$C$5:$C$489, D2988) * 135 + SUMIFS('📋 Detalle Diario'!$I$5:$I$489, '📋 Detalle Diario'!$B$5:$B$489, B2988, '📋 Detalle Diario'!$C$5:$C$489, D2988) * 200), 0))</f>
        <v/>
      </c>
      <c r="P2988" s="32" t="str">
        <f t="shared" si="327"/>
        <v/>
      </c>
      <c r="Q2988" s="33" t="str">
        <f t="shared" si="328"/>
        <v/>
      </c>
    </row>
    <row r="2989" spans="2:17" ht="18" customHeight="1" x14ac:dyDescent="0.3">
      <c r="B2989" s="26"/>
      <c r="C2989" s="28"/>
      <c r="D2989" s="27"/>
      <c r="E2989" s="29"/>
      <c r="F2989" s="29"/>
      <c r="G2989" s="29"/>
      <c r="H2989" s="30" t="str">
        <f t="shared" si="322"/>
        <v/>
      </c>
      <c r="I2989" s="31" t="str">
        <f>IF(OR(B2989="",C2989=""),"",IFERROR(E2989*IF(E2989="",0,VLOOKUP(C2989,'📦 Precios Proforma'!$B$5:$D$104,IF(D2989="DIA",2,3),FALSE)),0))</f>
        <v/>
      </c>
      <c r="J2989" s="31" t="str">
        <f t="shared" si="323"/>
        <v/>
      </c>
      <c r="K2989" s="31" t="str">
        <f t="shared" si="324"/>
        <v/>
      </c>
      <c r="L2989" s="31" t="str">
        <f>IF(OR(B2989="",C2989=""),"",IFERROR(E2989 / SUMIFS('📅 Resumen Diario'!$D$5:$D$504, '📅 Resumen Diario'!$B$5:$B$504, B2989, '📅 Resumen Diario'!$C$5:$C$504, D2989) * SUMIFS('📅 Resumen Diario'!$K$5:$K$504, '📅 Resumen Diario'!$B$5:$B$504, B2989, '📅 Resumen Diario'!$C$5:$C$504, D2989), 0))</f>
        <v/>
      </c>
      <c r="M2989" s="31" t="str">
        <f t="shared" si="325"/>
        <v/>
      </c>
      <c r="N2989" s="31" t="str">
        <f t="shared" si="326"/>
        <v/>
      </c>
      <c r="O2989" s="31" t="str">
        <f>IF(OR(B2989="",C2989=""),"",K2989-N2989 + IFERROR(E2989 / SUMIFS('📅 Resumen Diario'!$D$5:$D$504, '📅 Resumen Diario'!$B$5:$B$504, B2989, '📅 Resumen Diario'!$C$5:$C$504, D2989) * (SUMIFS('📋 Detalle Diario'!$E$5:$E$489, '📋 Detalle Diario'!$B$5:$B$489, B2989, '📋 Detalle Diario'!$C$5:$C$489, D2989) * 135 + SUMIFS('📋 Detalle Diario'!$I$5:$I$489, '📋 Detalle Diario'!$B$5:$B$489, B2989, '📋 Detalle Diario'!$C$5:$C$489, D2989) * 200), 0))</f>
        <v/>
      </c>
      <c r="P2989" s="32" t="str">
        <f t="shared" si="327"/>
        <v/>
      </c>
      <c r="Q2989" s="33" t="str">
        <f t="shared" si="328"/>
        <v/>
      </c>
    </row>
    <row r="2990" spans="2:17" ht="18" customHeight="1" x14ac:dyDescent="0.3">
      <c r="B2990" s="26"/>
      <c r="C2990" s="17"/>
      <c r="D2990" s="27"/>
      <c r="E2990" s="18"/>
      <c r="F2990" s="18"/>
      <c r="G2990" s="18"/>
      <c r="H2990" s="30" t="str">
        <f t="shared" si="322"/>
        <v/>
      </c>
      <c r="I2990" s="31" t="str">
        <f>IF(OR(B2990="",C2990=""),"",IFERROR(E2990*IF(E2990="",0,VLOOKUP(C2990,'📦 Precios Proforma'!$B$5:$D$104,IF(D2990="DIA",2,3),FALSE)),0))</f>
        <v/>
      </c>
      <c r="J2990" s="31" t="str">
        <f t="shared" si="323"/>
        <v/>
      </c>
      <c r="K2990" s="31" t="str">
        <f t="shared" si="324"/>
        <v/>
      </c>
      <c r="L2990" s="31" t="str">
        <f>IF(OR(B2990="",C2990=""),"",IFERROR(E2990 / SUMIFS('📅 Resumen Diario'!$D$5:$D$504, '📅 Resumen Diario'!$B$5:$B$504, B2990, '📅 Resumen Diario'!$C$5:$C$504, D2990) * SUMIFS('📅 Resumen Diario'!$K$5:$K$504, '📅 Resumen Diario'!$B$5:$B$504, B2990, '📅 Resumen Diario'!$C$5:$C$504, D2990), 0))</f>
        <v/>
      </c>
      <c r="M2990" s="31" t="str">
        <f t="shared" si="325"/>
        <v/>
      </c>
      <c r="N2990" s="31" t="str">
        <f t="shared" si="326"/>
        <v/>
      </c>
      <c r="O2990" s="31" t="str">
        <f>IF(OR(B2990="",C2990=""),"",K2990-N2990 + IFERROR(E2990 / SUMIFS('📅 Resumen Diario'!$D$5:$D$504, '📅 Resumen Diario'!$B$5:$B$504, B2990, '📅 Resumen Diario'!$C$5:$C$504, D2990) * (SUMIFS('📋 Detalle Diario'!$E$5:$E$489, '📋 Detalle Diario'!$B$5:$B$489, B2990, '📋 Detalle Diario'!$C$5:$C$489, D2990) * 135 + SUMIFS('📋 Detalle Diario'!$I$5:$I$489, '📋 Detalle Diario'!$B$5:$B$489, B2990, '📋 Detalle Diario'!$C$5:$C$489, D2990) * 200), 0))</f>
        <v/>
      </c>
      <c r="P2990" s="32" t="str">
        <f t="shared" si="327"/>
        <v/>
      </c>
      <c r="Q2990" s="33" t="str">
        <f t="shared" si="328"/>
        <v/>
      </c>
    </row>
    <row r="2991" spans="2:17" ht="18" customHeight="1" x14ac:dyDescent="0.3">
      <c r="B2991" s="26"/>
      <c r="C2991" s="28"/>
      <c r="D2991" s="27"/>
      <c r="E2991" s="29"/>
      <c r="F2991" s="29"/>
      <c r="G2991" s="29"/>
      <c r="H2991" s="30" t="str">
        <f t="shared" si="322"/>
        <v/>
      </c>
      <c r="I2991" s="31" t="str">
        <f>IF(OR(B2991="",C2991=""),"",IFERROR(E2991*IF(E2991="",0,VLOOKUP(C2991,'📦 Precios Proforma'!$B$5:$D$104,IF(D2991="DIA",2,3),FALSE)),0))</f>
        <v/>
      </c>
      <c r="J2991" s="31" t="str">
        <f t="shared" si="323"/>
        <v/>
      </c>
      <c r="K2991" s="31" t="str">
        <f t="shared" si="324"/>
        <v/>
      </c>
      <c r="L2991" s="31" t="str">
        <f>IF(OR(B2991="",C2991=""),"",IFERROR(E2991 / SUMIFS('📅 Resumen Diario'!$D$5:$D$504, '📅 Resumen Diario'!$B$5:$B$504, B2991, '📅 Resumen Diario'!$C$5:$C$504, D2991) * SUMIFS('📅 Resumen Diario'!$K$5:$K$504, '📅 Resumen Diario'!$B$5:$B$504, B2991, '📅 Resumen Diario'!$C$5:$C$504, D2991), 0))</f>
        <v/>
      </c>
      <c r="M2991" s="31" t="str">
        <f t="shared" si="325"/>
        <v/>
      </c>
      <c r="N2991" s="31" t="str">
        <f t="shared" si="326"/>
        <v/>
      </c>
      <c r="O2991" s="31" t="str">
        <f>IF(OR(B2991="",C2991=""),"",K2991-N2991 + IFERROR(E2991 / SUMIFS('📅 Resumen Diario'!$D$5:$D$504, '📅 Resumen Diario'!$B$5:$B$504, B2991, '📅 Resumen Diario'!$C$5:$C$504, D2991) * (SUMIFS('📋 Detalle Diario'!$E$5:$E$489, '📋 Detalle Diario'!$B$5:$B$489, B2991, '📋 Detalle Diario'!$C$5:$C$489, D2991) * 135 + SUMIFS('📋 Detalle Diario'!$I$5:$I$489, '📋 Detalle Diario'!$B$5:$B$489, B2991, '📋 Detalle Diario'!$C$5:$C$489, D2991) * 200), 0))</f>
        <v/>
      </c>
      <c r="P2991" s="32" t="str">
        <f t="shared" si="327"/>
        <v/>
      </c>
      <c r="Q2991" s="33" t="str">
        <f t="shared" si="328"/>
        <v/>
      </c>
    </row>
    <row r="2992" spans="2:17" ht="18" customHeight="1" x14ac:dyDescent="0.3">
      <c r="B2992" s="26"/>
      <c r="C2992" s="17"/>
      <c r="D2992" s="27"/>
      <c r="E2992" s="18"/>
      <c r="F2992" s="18"/>
      <c r="G2992" s="18"/>
      <c r="H2992" s="30" t="str">
        <f t="shared" si="322"/>
        <v/>
      </c>
      <c r="I2992" s="31" t="str">
        <f>IF(OR(B2992="",C2992=""),"",IFERROR(E2992*IF(E2992="",0,VLOOKUP(C2992,'📦 Precios Proforma'!$B$5:$D$104,IF(D2992="DIA",2,3),FALSE)),0))</f>
        <v/>
      </c>
      <c r="J2992" s="31" t="str">
        <f t="shared" si="323"/>
        <v/>
      </c>
      <c r="K2992" s="31" t="str">
        <f t="shared" si="324"/>
        <v/>
      </c>
      <c r="L2992" s="31" t="str">
        <f>IF(OR(B2992="",C2992=""),"",IFERROR(E2992 / SUMIFS('📅 Resumen Diario'!$D$5:$D$504, '📅 Resumen Diario'!$B$5:$B$504, B2992, '📅 Resumen Diario'!$C$5:$C$504, D2992) * SUMIFS('📅 Resumen Diario'!$K$5:$K$504, '📅 Resumen Diario'!$B$5:$B$504, B2992, '📅 Resumen Diario'!$C$5:$C$504, D2992), 0))</f>
        <v/>
      </c>
      <c r="M2992" s="31" t="str">
        <f t="shared" si="325"/>
        <v/>
      </c>
      <c r="N2992" s="31" t="str">
        <f t="shared" si="326"/>
        <v/>
      </c>
      <c r="O2992" s="31" t="str">
        <f>IF(OR(B2992="",C2992=""),"",K2992-N2992 + IFERROR(E2992 / SUMIFS('📅 Resumen Diario'!$D$5:$D$504, '📅 Resumen Diario'!$B$5:$B$504, B2992, '📅 Resumen Diario'!$C$5:$C$504, D2992) * (SUMIFS('📋 Detalle Diario'!$E$5:$E$489, '📋 Detalle Diario'!$B$5:$B$489, B2992, '📋 Detalle Diario'!$C$5:$C$489, D2992) * 135 + SUMIFS('📋 Detalle Diario'!$I$5:$I$489, '📋 Detalle Diario'!$B$5:$B$489, B2992, '📋 Detalle Diario'!$C$5:$C$489, D2992) * 200), 0))</f>
        <v/>
      </c>
      <c r="P2992" s="32" t="str">
        <f t="shared" si="327"/>
        <v/>
      </c>
      <c r="Q2992" s="33" t="str">
        <f t="shared" si="328"/>
        <v/>
      </c>
    </row>
    <row r="2993" spans="2:17" ht="18" customHeight="1" x14ac:dyDescent="0.3">
      <c r="B2993" s="26"/>
      <c r="C2993" s="28"/>
      <c r="D2993" s="27"/>
      <c r="E2993" s="29"/>
      <c r="F2993" s="29"/>
      <c r="G2993" s="29"/>
      <c r="H2993" s="30" t="str">
        <f t="shared" si="322"/>
        <v/>
      </c>
      <c r="I2993" s="31" t="str">
        <f>IF(OR(B2993="",C2993=""),"",IFERROR(E2993*IF(E2993="",0,VLOOKUP(C2993,'📦 Precios Proforma'!$B$5:$D$104,IF(D2993="DIA",2,3),FALSE)),0))</f>
        <v/>
      </c>
      <c r="J2993" s="31" t="str">
        <f t="shared" si="323"/>
        <v/>
      </c>
      <c r="K2993" s="31" t="str">
        <f t="shared" si="324"/>
        <v/>
      </c>
      <c r="L2993" s="31" t="str">
        <f>IF(OR(B2993="",C2993=""),"",IFERROR(E2993 / SUMIFS('📅 Resumen Diario'!$D$5:$D$504, '📅 Resumen Diario'!$B$5:$B$504, B2993, '📅 Resumen Diario'!$C$5:$C$504, D2993) * SUMIFS('📅 Resumen Diario'!$K$5:$K$504, '📅 Resumen Diario'!$B$5:$B$504, B2993, '📅 Resumen Diario'!$C$5:$C$504, D2993), 0))</f>
        <v/>
      </c>
      <c r="M2993" s="31" t="str">
        <f t="shared" si="325"/>
        <v/>
      </c>
      <c r="N2993" s="31" t="str">
        <f t="shared" si="326"/>
        <v/>
      </c>
      <c r="O2993" s="31" t="str">
        <f>IF(OR(B2993="",C2993=""),"",K2993-N2993 + IFERROR(E2993 / SUMIFS('📅 Resumen Diario'!$D$5:$D$504, '📅 Resumen Diario'!$B$5:$B$504, B2993, '📅 Resumen Diario'!$C$5:$C$504, D2993) * (SUMIFS('📋 Detalle Diario'!$E$5:$E$489, '📋 Detalle Diario'!$B$5:$B$489, B2993, '📋 Detalle Diario'!$C$5:$C$489, D2993) * 135 + SUMIFS('📋 Detalle Diario'!$I$5:$I$489, '📋 Detalle Diario'!$B$5:$B$489, B2993, '📋 Detalle Diario'!$C$5:$C$489, D2993) * 200), 0))</f>
        <v/>
      </c>
      <c r="P2993" s="32" t="str">
        <f t="shared" si="327"/>
        <v/>
      </c>
      <c r="Q2993" s="33" t="str">
        <f t="shared" si="328"/>
        <v/>
      </c>
    </row>
    <row r="2994" spans="2:17" ht="18" customHeight="1" x14ac:dyDescent="0.3">
      <c r="B2994" s="26"/>
      <c r="C2994" s="17"/>
      <c r="D2994" s="27"/>
      <c r="E2994" s="18"/>
      <c r="F2994" s="18"/>
      <c r="G2994" s="18"/>
      <c r="H2994" s="30" t="str">
        <f t="shared" si="322"/>
        <v/>
      </c>
      <c r="I2994" s="31" t="str">
        <f>IF(OR(B2994="",C2994=""),"",IFERROR(E2994*IF(E2994="",0,VLOOKUP(C2994,'📦 Precios Proforma'!$B$5:$D$104,IF(D2994="DIA",2,3),FALSE)),0))</f>
        <v/>
      </c>
      <c r="J2994" s="31" t="str">
        <f t="shared" si="323"/>
        <v/>
      </c>
      <c r="K2994" s="31" t="str">
        <f t="shared" si="324"/>
        <v/>
      </c>
      <c r="L2994" s="31" t="str">
        <f>IF(OR(B2994="",C2994=""),"",IFERROR(E2994 / SUMIFS('📅 Resumen Diario'!$D$5:$D$504, '📅 Resumen Diario'!$B$5:$B$504, B2994, '📅 Resumen Diario'!$C$5:$C$504, D2994) * SUMIFS('📅 Resumen Diario'!$K$5:$K$504, '📅 Resumen Diario'!$B$5:$B$504, B2994, '📅 Resumen Diario'!$C$5:$C$504, D2994), 0))</f>
        <v/>
      </c>
      <c r="M2994" s="31" t="str">
        <f t="shared" si="325"/>
        <v/>
      </c>
      <c r="N2994" s="31" t="str">
        <f t="shared" si="326"/>
        <v/>
      </c>
      <c r="O2994" s="31" t="str">
        <f>IF(OR(B2994="",C2994=""),"",K2994-N2994 + IFERROR(E2994 / SUMIFS('📅 Resumen Diario'!$D$5:$D$504, '📅 Resumen Diario'!$B$5:$B$504, B2994, '📅 Resumen Diario'!$C$5:$C$504, D2994) * (SUMIFS('📋 Detalle Diario'!$E$5:$E$489, '📋 Detalle Diario'!$B$5:$B$489, B2994, '📋 Detalle Diario'!$C$5:$C$489, D2994) * 135 + SUMIFS('📋 Detalle Diario'!$I$5:$I$489, '📋 Detalle Diario'!$B$5:$B$489, B2994, '📋 Detalle Diario'!$C$5:$C$489, D2994) * 200), 0))</f>
        <v/>
      </c>
      <c r="P2994" s="32" t="str">
        <f t="shared" si="327"/>
        <v/>
      </c>
      <c r="Q2994" s="33" t="str">
        <f t="shared" si="328"/>
        <v/>
      </c>
    </row>
    <row r="2995" spans="2:17" ht="18" customHeight="1" x14ac:dyDescent="0.3">
      <c r="B2995" s="26"/>
      <c r="C2995" s="28"/>
      <c r="D2995" s="27"/>
      <c r="E2995" s="29"/>
      <c r="F2995" s="29"/>
      <c r="G2995" s="29"/>
      <c r="H2995" s="30" t="str">
        <f t="shared" si="322"/>
        <v/>
      </c>
      <c r="I2995" s="31" t="str">
        <f>IF(OR(B2995="",C2995=""),"",IFERROR(E2995*IF(E2995="",0,VLOOKUP(C2995,'📦 Precios Proforma'!$B$5:$D$104,IF(D2995="DIA",2,3),FALSE)),0))</f>
        <v/>
      </c>
      <c r="J2995" s="31" t="str">
        <f t="shared" si="323"/>
        <v/>
      </c>
      <c r="K2995" s="31" t="str">
        <f t="shared" si="324"/>
        <v/>
      </c>
      <c r="L2995" s="31" t="str">
        <f>IF(OR(B2995="",C2995=""),"",IFERROR(E2995 / SUMIFS('📅 Resumen Diario'!$D$5:$D$504, '📅 Resumen Diario'!$B$5:$B$504, B2995, '📅 Resumen Diario'!$C$5:$C$504, D2995) * SUMIFS('📅 Resumen Diario'!$K$5:$K$504, '📅 Resumen Diario'!$B$5:$B$504, B2995, '📅 Resumen Diario'!$C$5:$C$504, D2995), 0))</f>
        <v/>
      </c>
      <c r="M2995" s="31" t="str">
        <f t="shared" si="325"/>
        <v/>
      </c>
      <c r="N2995" s="31" t="str">
        <f t="shared" si="326"/>
        <v/>
      </c>
      <c r="O2995" s="31" t="str">
        <f>IF(OR(B2995="",C2995=""),"",K2995-N2995 + IFERROR(E2995 / SUMIFS('📅 Resumen Diario'!$D$5:$D$504, '📅 Resumen Diario'!$B$5:$B$504, B2995, '📅 Resumen Diario'!$C$5:$C$504, D2995) * (SUMIFS('📋 Detalle Diario'!$E$5:$E$489, '📋 Detalle Diario'!$B$5:$B$489, B2995, '📋 Detalle Diario'!$C$5:$C$489, D2995) * 135 + SUMIFS('📋 Detalle Diario'!$I$5:$I$489, '📋 Detalle Diario'!$B$5:$B$489, B2995, '📋 Detalle Diario'!$C$5:$C$489, D2995) * 200), 0))</f>
        <v/>
      </c>
      <c r="P2995" s="32" t="str">
        <f t="shared" si="327"/>
        <v/>
      </c>
      <c r="Q2995" s="33" t="str">
        <f t="shared" si="328"/>
        <v/>
      </c>
    </row>
    <row r="2996" spans="2:17" ht="18" customHeight="1" x14ac:dyDescent="0.3">
      <c r="B2996" s="26"/>
      <c r="C2996" s="17"/>
      <c r="D2996" s="27"/>
      <c r="E2996" s="18"/>
      <c r="F2996" s="18"/>
      <c r="G2996" s="18"/>
      <c r="H2996" s="30" t="str">
        <f t="shared" si="322"/>
        <v/>
      </c>
      <c r="I2996" s="31" t="str">
        <f>IF(OR(B2996="",C2996=""),"",IFERROR(E2996*IF(E2996="",0,VLOOKUP(C2996,'📦 Precios Proforma'!$B$5:$D$104,IF(D2996="DIA",2,3),FALSE)),0))</f>
        <v/>
      </c>
      <c r="J2996" s="31" t="str">
        <f t="shared" si="323"/>
        <v/>
      </c>
      <c r="K2996" s="31" t="str">
        <f t="shared" si="324"/>
        <v/>
      </c>
      <c r="L2996" s="31" t="str">
        <f>IF(OR(B2996="",C2996=""),"",IFERROR(E2996 / SUMIFS('📅 Resumen Diario'!$D$5:$D$504, '📅 Resumen Diario'!$B$5:$B$504, B2996, '📅 Resumen Diario'!$C$5:$C$504, D2996) * SUMIFS('📅 Resumen Diario'!$K$5:$K$504, '📅 Resumen Diario'!$B$5:$B$504, B2996, '📅 Resumen Diario'!$C$5:$C$504, D2996), 0))</f>
        <v/>
      </c>
      <c r="M2996" s="31" t="str">
        <f t="shared" si="325"/>
        <v/>
      </c>
      <c r="N2996" s="31" t="str">
        <f t="shared" si="326"/>
        <v/>
      </c>
      <c r="O2996" s="31" t="str">
        <f>IF(OR(B2996="",C2996=""),"",K2996-N2996 + IFERROR(E2996 / SUMIFS('📅 Resumen Diario'!$D$5:$D$504, '📅 Resumen Diario'!$B$5:$B$504, B2996, '📅 Resumen Diario'!$C$5:$C$504, D2996) * (SUMIFS('📋 Detalle Diario'!$E$5:$E$489, '📋 Detalle Diario'!$B$5:$B$489, B2996, '📋 Detalle Diario'!$C$5:$C$489, D2996) * 135 + SUMIFS('📋 Detalle Diario'!$I$5:$I$489, '📋 Detalle Diario'!$B$5:$B$489, B2996, '📋 Detalle Diario'!$C$5:$C$489, D2996) * 200), 0))</f>
        <v/>
      </c>
      <c r="P2996" s="32" t="str">
        <f t="shared" si="327"/>
        <v/>
      </c>
      <c r="Q2996" s="33" t="str">
        <f t="shared" si="328"/>
        <v/>
      </c>
    </row>
    <row r="2997" spans="2:17" ht="18" customHeight="1" x14ac:dyDescent="0.3">
      <c r="B2997" s="26"/>
      <c r="C2997" s="28"/>
      <c r="D2997" s="27"/>
      <c r="E2997" s="29"/>
      <c r="F2997" s="29"/>
      <c r="G2997" s="29"/>
      <c r="H2997" s="30" t="str">
        <f t="shared" si="322"/>
        <v/>
      </c>
      <c r="I2997" s="31" t="str">
        <f>IF(OR(B2997="",C2997=""),"",IFERROR(E2997*IF(E2997="",0,VLOOKUP(C2997,'📦 Precios Proforma'!$B$5:$D$104,IF(D2997="DIA",2,3),FALSE)),0))</f>
        <v/>
      </c>
      <c r="J2997" s="31" t="str">
        <f t="shared" si="323"/>
        <v/>
      </c>
      <c r="K2997" s="31" t="str">
        <f t="shared" si="324"/>
        <v/>
      </c>
      <c r="L2997" s="31" t="str">
        <f>IF(OR(B2997="",C2997=""),"",IFERROR(E2997 / SUMIFS('📅 Resumen Diario'!$D$5:$D$504, '📅 Resumen Diario'!$B$5:$B$504, B2997, '📅 Resumen Diario'!$C$5:$C$504, D2997) * SUMIFS('📅 Resumen Diario'!$K$5:$K$504, '📅 Resumen Diario'!$B$5:$B$504, B2997, '📅 Resumen Diario'!$C$5:$C$504, D2997), 0))</f>
        <v/>
      </c>
      <c r="M2997" s="31" t="str">
        <f t="shared" si="325"/>
        <v/>
      </c>
      <c r="N2997" s="31" t="str">
        <f t="shared" si="326"/>
        <v/>
      </c>
      <c r="O2997" s="31" t="str">
        <f>IF(OR(B2997="",C2997=""),"",K2997-N2997 + IFERROR(E2997 / SUMIFS('📅 Resumen Diario'!$D$5:$D$504, '📅 Resumen Diario'!$B$5:$B$504, B2997, '📅 Resumen Diario'!$C$5:$C$504, D2997) * (SUMIFS('📋 Detalle Diario'!$E$5:$E$489, '📋 Detalle Diario'!$B$5:$B$489, B2997, '📋 Detalle Diario'!$C$5:$C$489, D2997) * 135 + SUMIFS('📋 Detalle Diario'!$I$5:$I$489, '📋 Detalle Diario'!$B$5:$B$489, B2997, '📋 Detalle Diario'!$C$5:$C$489, D2997) * 200), 0))</f>
        <v/>
      </c>
      <c r="P2997" s="32" t="str">
        <f t="shared" si="327"/>
        <v/>
      </c>
      <c r="Q2997" s="33" t="str">
        <f t="shared" si="328"/>
        <v/>
      </c>
    </row>
    <row r="2998" spans="2:17" ht="18" customHeight="1" x14ac:dyDescent="0.3">
      <c r="B2998" s="26"/>
      <c r="C2998" s="17"/>
      <c r="D2998" s="27"/>
      <c r="E2998" s="18"/>
      <c r="F2998" s="18"/>
      <c r="G2998" s="18"/>
      <c r="H2998" s="30" t="str">
        <f t="shared" si="322"/>
        <v/>
      </c>
      <c r="I2998" s="31" t="str">
        <f>IF(OR(B2998="",C2998=""),"",IFERROR(E2998*IF(E2998="",0,VLOOKUP(C2998,'📦 Precios Proforma'!$B$5:$D$104,IF(D2998="DIA",2,3),FALSE)),0))</f>
        <v/>
      </c>
      <c r="J2998" s="31" t="str">
        <f t="shared" si="323"/>
        <v/>
      </c>
      <c r="K2998" s="31" t="str">
        <f t="shared" si="324"/>
        <v/>
      </c>
      <c r="L2998" s="31" t="str">
        <f>IF(OR(B2998="",C2998=""),"",IFERROR(E2998 / SUMIFS('📅 Resumen Diario'!$D$5:$D$504, '📅 Resumen Diario'!$B$5:$B$504, B2998, '📅 Resumen Diario'!$C$5:$C$504, D2998) * SUMIFS('📅 Resumen Diario'!$K$5:$K$504, '📅 Resumen Diario'!$B$5:$B$504, B2998, '📅 Resumen Diario'!$C$5:$C$504, D2998), 0))</f>
        <v/>
      </c>
      <c r="M2998" s="31" t="str">
        <f t="shared" si="325"/>
        <v/>
      </c>
      <c r="N2998" s="31" t="str">
        <f t="shared" si="326"/>
        <v/>
      </c>
      <c r="O2998" s="31" t="str">
        <f>IF(OR(B2998="",C2998=""),"",K2998-N2998 + IFERROR(E2998 / SUMIFS('📅 Resumen Diario'!$D$5:$D$504, '📅 Resumen Diario'!$B$5:$B$504, B2998, '📅 Resumen Diario'!$C$5:$C$504, D2998) * (SUMIFS('📋 Detalle Diario'!$E$5:$E$489, '📋 Detalle Diario'!$B$5:$B$489, B2998, '📋 Detalle Diario'!$C$5:$C$489, D2998) * 135 + SUMIFS('📋 Detalle Diario'!$I$5:$I$489, '📋 Detalle Diario'!$B$5:$B$489, B2998, '📋 Detalle Diario'!$C$5:$C$489, D2998) * 200), 0))</f>
        <v/>
      </c>
      <c r="P2998" s="32" t="str">
        <f t="shared" si="327"/>
        <v/>
      </c>
      <c r="Q2998" s="33" t="str">
        <f t="shared" si="328"/>
        <v/>
      </c>
    </row>
    <row r="2999" spans="2:17" ht="18" customHeight="1" x14ac:dyDescent="0.3">
      <c r="B2999" s="26"/>
      <c r="C2999" s="28"/>
      <c r="D2999" s="27"/>
      <c r="E2999" s="29"/>
      <c r="F2999" s="29"/>
      <c r="G2999" s="29"/>
      <c r="H2999" s="30" t="str">
        <f t="shared" si="322"/>
        <v/>
      </c>
      <c r="I2999" s="31" t="str">
        <f>IF(OR(B2999="",C2999=""),"",IFERROR(E2999*IF(E2999="",0,VLOOKUP(C2999,'📦 Precios Proforma'!$B$5:$D$104,IF(D2999="DIA",2,3),FALSE)),0))</f>
        <v/>
      </c>
      <c r="J2999" s="31" t="str">
        <f t="shared" si="323"/>
        <v/>
      </c>
      <c r="K2999" s="31" t="str">
        <f t="shared" si="324"/>
        <v/>
      </c>
      <c r="L2999" s="31" t="str">
        <f>IF(OR(B2999="",C2999=""),"",IFERROR(E2999 / SUMIFS('📅 Resumen Diario'!$D$5:$D$504, '📅 Resumen Diario'!$B$5:$B$504, B2999, '📅 Resumen Diario'!$C$5:$C$504, D2999) * SUMIFS('📅 Resumen Diario'!$K$5:$K$504, '📅 Resumen Diario'!$B$5:$B$504, B2999, '📅 Resumen Diario'!$C$5:$C$504, D2999), 0))</f>
        <v/>
      </c>
      <c r="M2999" s="31" t="str">
        <f t="shared" si="325"/>
        <v/>
      </c>
      <c r="N2999" s="31" t="str">
        <f t="shared" si="326"/>
        <v/>
      </c>
      <c r="O2999" s="31" t="str">
        <f>IF(OR(B2999="",C2999=""),"",K2999-N2999 + IFERROR(E2999 / SUMIFS('📅 Resumen Diario'!$D$5:$D$504, '📅 Resumen Diario'!$B$5:$B$504, B2999, '📅 Resumen Diario'!$C$5:$C$504, D2999) * (SUMIFS('📋 Detalle Diario'!$E$5:$E$489, '📋 Detalle Diario'!$B$5:$B$489, B2999, '📋 Detalle Diario'!$C$5:$C$489, D2999) * 135 + SUMIFS('📋 Detalle Diario'!$I$5:$I$489, '📋 Detalle Diario'!$B$5:$B$489, B2999, '📋 Detalle Diario'!$C$5:$C$489, D2999) * 200), 0))</f>
        <v/>
      </c>
      <c r="P2999" s="32" t="str">
        <f t="shared" si="327"/>
        <v/>
      </c>
      <c r="Q2999" s="33" t="str">
        <f t="shared" si="328"/>
        <v/>
      </c>
    </row>
    <row r="3000" spans="2:17" ht="18" customHeight="1" x14ac:dyDescent="0.3">
      <c r="B3000" s="26"/>
      <c r="C3000" s="17"/>
      <c r="D3000" s="27"/>
      <c r="E3000" s="18"/>
      <c r="F3000" s="18"/>
      <c r="G3000" s="18"/>
      <c r="H3000" s="30" t="str">
        <f t="shared" si="322"/>
        <v/>
      </c>
      <c r="I3000" s="31" t="str">
        <f>IF(OR(B3000="",C3000=""),"",IFERROR(E3000*IF(E3000="",0,VLOOKUP(C3000,'📦 Precios Proforma'!$B$5:$D$104,IF(D3000="DIA",2,3),FALSE)),0))</f>
        <v/>
      </c>
      <c r="J3000" s="31" t="str">
        <f t="shared" si="323"/>
        <v/>
      </c>
      <c r="K3000" s="31" t="str">
        <f t="shared" si="324"/>
        <v/>
      </c>
      <c r="L3000" s="31" t="str">
        <f>IF(OR(B3000="",C3000=""),"",IFERROR(E3000 / SUMIFS('📅 Resumen Diario'!$D$5:$D$504, '📅 Resumen Diario'!$B$5:$B$504, B3000, '📅 Resumen Diario'!$C$5:$C$504, D3000) * SUMIFS('📅 Resumen Diario'!$K$5:$K$504, '📅 Resumen Diario'!$B$5:$B$504, B3000, '📅 Resumen Diario'!$C$5:$C$504, D3000), 0))</f>
        <v/>
      </c>
      <c r="M3000" s="31" t="str">
        <f t="shared" si="325"/>
        <v/>
      </c>
      <c r="N3000" s="31" t="str">
        <f t="shared" si="326"/>
        <v/>
      </c>
      <c r="O3000" s="31" t="str">
        <f>IF(OR(B3000="",C3000=""),"",K3000-N3000 + IFERROR(E3000 / SUMIFS('📅 Resumen Diario'!$D$5:$D$504, '📅 Resumen Diario'!$B$5:$B$504, B3000, '📅 Resumen Diario'!$C$5:$C$504, D3000) * (SUMIFS('📋 Detalle Diario'!$E$5:$E$489, '📋 Detalle Diario'!$B$5:$B$489, B3000, '📋 Detalle Diario'!$C$5:$C$489, D3000) * 135 + SUMIFS('📋 Detalle Diario'!$I$5:$I$489, '📋 Detalle Diario'!$B$5:$B$489, B3000, '📋 Detalle Diario'!$C$5:$C$489, D3000) * 200), 0))</f>
        <v/>
      </c>
      <c r="P3000" s="32" t="str">
        <f t="shared" si="327"/>
        <v/>
      </c>
      <c r="Q3000" s="33" t="str">
        <f t="shared" si="328"/>
        <v/>
      </c>
    </row>
    <row r="3001" spans="2:17" ht="18" customHeight="1" x14ac:dyDescent="0.3">
      <c r="B3001" s="26"/>
      <c r="C3001" s="28"/>
      <c r="D3001" s="27"/>
      <c r="E3001" s="29"/>
      <c r="F3001" s="29"/>
      <c r="G3001" s="29"/>
      <c r="H3001" s="30" t="str">
        <f t="shared" si="322"/>
        <v/>
      </c>
      <c r="I3001" s="31" t="str">
        <f>IF(OR(B3001="",C3001=""),"",IFERROR(E3001*IF(E3001="",0,VLOOKUP(C3001,'📦 Precios Proforma'!$B$5:$D$104,IF(D3001="DIA",2,3),FALSE)),0))</f>
        <v/>
      </c>
      <c r="J3001" s="31" t="str">
        <f t="shared" si="323"/>
        <v/>
      </c>
      <c r="K3001" s="31" t="str">
        <f t="shared" si="324"/>
        <v/>
      </c>
      <c r="L3001" s="31" t="str">
        <f>IF(OR(B3001="",C3001=""),"",IFERROR(E3001 / SUMIFS('📅 Resumen Diario'!$D$5:$D$504, '📅 Resumen Diario'!$B$5:$B$504, B3001, '📅 Resumen Diario'!$C$5:$C$504, D3001) * SUMIFS('📅 Resumen Diario'!$K$5:$K$504, '📅 Resumen Diario'!$B$5:$B$504, B3001, '📅 Resumen Diario'!$C$5:$C$504, D3001), 0))</f>
        <v/>
      </c>
      <c r="M3001" s="31" t="str">
        <f t="shared" si="325"/>
        <v/>
      </c>
      <c r="N3001" s="31" t="str">
        <f t="shared" si="326"/>
        <v/>
      </c>
      <c r="O3001" s="31" t="str">
        <f>IF(OR(B3001="",C3001=""),"",K3001-N3001 + IFERROR(E3001 / SUMIFS('📅 Resumen Diario'!$D$5:$D$504, '📅 Resumen Diario'!$B$5:$B$504, B3001, '📅 Resumen Diario'!$C$5:$C$504, D3001) * (SUMIFS('📋 Detalle Diario'!$E$5:$E$489, '📋 Detalle Diario'!$B$5:$B$489, B3001, '📋 Detalle Diario'!$C$5:$C$489, D3001) * 135 + SUMIFS('📋 Detalle Diario'!$I$5:$I$489, '📋 Detalle Diario'!$B$5:$B$489, B3001, '📋 Detalle Diario'!$C$5:$C$489, D3001) * 200), 0))</f>
        <v/>
      </c>
      <c r="P3001" s="32" t="str">
        <f t="shared" si="327"/>
        <v/>
      </c>
      <c r="Q3001" s="33" t="str">
        <f t="shared" si="328"/>
        <v/>
      </c>
    </row>
    <row r="3002" spans="2:17" ht="18" customHeight="1" x14ac:dyDescent="0.3">
      <c r="B3002" s="26"/>
      <c r="C3002" s="17"/>
      <c r="D3002" s="27"/>
      <c r="E3002" s="18"/>
      <c r="F3002" s="18"/>
      <c r="G3002" s="18"/>
      <c r="H3002" s="30" t="str">
        <f t="shared" si="322"/>
        <v/>
      </c>
      <c r="I3002" s="31" t="str">
        <f>IF(OR(B3002="",C3002=""),"",IFERROR(E3002*IF(E3002="",0,VLOOKUP(C3002,'📦 Precios Proforma'!$B$5:$D$104,IF(D3002="DIA",2,3),FALSE)),0))</f>
        <v/>
      </c>
      <c r="J3002" s="31" t="str">
        <f t="shared" si="323"/>
        <v/>
      </c>
      <c r="K3002" s="31" t="str">
        <f t="shared" si="324"/>
        <v/>
      </c>
      <c r="L3002" s="31" t="str">
        <f>IF(OR(B3002="",C3002=""),"",IFERROR(E3002 / SUMIFS('📅 Resumen Diario'!$D$5:$D$504, '📅 Resumen Diario'!$B$5:$B$504, B3002, '📅 Resumen Diario'!$C$5:$C$504, D3002) * SUMIFS('📅 Resumen Diario'!$K$5:$K$504, '📅 Resumen Diario'!$B$5:$B$504, B3002, '📅 Resumen Diario'!$C$5:$C$504, D3002), 0))</f>
        <v/>
      </c>
      <c r="M3002" s="31" t="str">
        <f t="shared" si="325"/>
        <v/>
      </c>
      <c r="N3002" s="31" t="str">
        <f t="shared" si="326"/>
        <v/>
      </c>
      <c r="O3002" s="31" t="str">
        <f>IF(OR(B3002="",C3002=""),"",K3002-N3002 + IFERROR(E3002 / SUMIFS('📅 Resumen Diario'!$D$5:$D$504, '📅 Resumen Diario'!$B$5:$B$504, B3002, '📅 Resumen Diario'!$C$5:$C$504, D3002) * (SUMIFS('📋 Detalle Diario'!$E$5:$E$489, '📋 Detalle Diario'!$B$5:$B$489, B3002, '📋 Detalle Diario'!$C$5:$C$489, D3002) * 135 + SUMIFS('📋 Detalle Diario'!$I$5:$I$489, '📋 Detalle Diario'!$B$5:$B$489, B3002, '📋 Detalle Diario'!$C$5:$C$489, D3002) * 200), 0))</f>
        <v/>
      </c>
      <c r="P3002" s="32" t="str">
        <f t="shared" si="327"/>
        <v/>
      </c>
      <c r="Q3002" s="33" t="str">
        <f t="shared" si="328"/>
        <v/>
      </c>
    </row>
    <row r="3003" spans="2:17" ht="18" customHeight="1" x14ac:dyDescent="0.3">
      <c r="B3003" s="26"/>
      <c r="C3003" s="28"/>
      <c r="D3003" s="27"/>
      <c r="E3003" s="29"/>
      <c r="F3003" s="29"/>
      <c r="G3003" s="29"/>
      <c r="H3003" s="30" t="str">
        <f t="shared" si="322"/>
        <v/>
      </c>
      <c r="I3003" s="31" t="str">
        <f>IF(OR(B3003="",C3003=""),"",IFERROR(E3003*IF(E3003="",0,VLOOKUP(C3003,'📦 Precios Proforma'!$B$5:$D$104,IF(D3003="DIA",2,3),FALSE)),0))</f>
        <v/>
      </c>
      <c r="J3003" s="31" t="str">
        <f t="shared" si="323"/>
        <v/>
      </c>
      <c r="K3003" s="31" t="str">
        <f t="shared" si="324"/>
        <v/>
      </c>
      <c r="L3003" s="31" t="str">
        <f>IF(OR(B3003="",C3003=""),"",IFERROR(E3003 / SUMIFS('📅 Resumen Diario'!$D$5:$D$504, '📅 Resumen Diario'!$B$5:$B$504, B3003, '📅 Resumen Diario'!$C$5:$C$504, D3003) * SUMIFS('📅 Resumen Diario'!$K$5:$K$504, '📅 Resumen Diario'!$B$5:$B$504, B3003, '📅 Resumen Diario'!$C$5:$C$504, D3003), 0))</f>
        <v/>
      </c>
      <c r="M3003" s="31" t="str">
        <f t="shared" si="325"/>
        <v/>
      </c>
      <c r="N3003" s="31" t="str">
        <f t="shared" si="326"/>
        <v/>
      </c>
      <c r="O3003" s="31" t="str">
        <f>IF(OR(B3003="",C3003=""),"",K3003-N3003 + IFERROR(E3003 / SUMIFS('📅 Resumen Diario'!$D$5:$D$504, '📅 Resumen Diario'!$B$5:$B$504, B3003, '📅 Resumen Diario'!$C$5:$C$504, D3003) * (SUMIFS('📋 Detalle Diario'!$E$5:$E$489, '📋 Detalle Diario'!$B$5:$B$489, B3003, '📋 Detalle Diario'!$C$5:$C$489, D3003) * 135 + SUMIFS('📋 Detalle Diario'!$I$5:$I$489, '📋 Detalle Diario'!$B$5:$B$489, B3003, '📋 Detalle Diario'!$C$5:$C$489, D3003) * 200), 0))</f>
        <v/>
      </c>
      <c r="P3003" s="32" t="str">
        <f t="shared" si="327"/>
        <v/>
      </c>
      <c r="Q3003" s="33" t="str">
        <f t="shared" si="328"/>
        <v/>
      </c>
    </row>
    <row r="3004" spans="2:17" ht="18" customHeight="1" x14ac:dyDescent="0.3">
      <c r="B3004" s="26"/>
      <c r="C3004" s="17"/>
      <c r="D3004" s="27"/>
      <c r="E3004" s="18"/>
      <c r="F3004" s="18"/>
      <c r="G3004" s="18"/>
      <c r="H3004" s="30" t="str">
        <f t="shared" si="322"/>
        <v/>
      </c>
      <c r="I3004" s="31" t="str">
        <f>IF(OR(B3004="",C3004=""),"",IFERROR(E3004*IF(E3004="",0,VLOOKUP(C3004,'📦 Precios Proforma'!$B$5:$D$104,IF(D3004="DIA",2,3),FALSE)),0))</f>
        <v/>
      </c>
      <c r="J3004" s="31" t="str">
        <f t="shared" si="323"/>
        <v/>
      </c>
      <c r="K3004" s="31" t="str">
        <f t="shared" si="324"/>
        <v/>
      </c>
      <c r="L3004" s="31" t="str">
        <f>IF(OR(B3004="",C3004=""),"",IFERROR(E3004 / SUMIFS('📅 Resumen Diario'!$D$5:$D$504, '📅 Resumen Diario'!$B$5:$B$504, B3004, '📅 Resumen Diario'!$C$5:$C$504, D3004) * SUMIFS('📅 Resumen Diario'!$K$5:$K$504, '📅 Resumen Diario'!$B$5:$B$504, B3004, '📅 Resumen Diario'!$C$5:$C$504, D3004), 0))</f>
        <v/>
      </c>
      <c r="M3004" s="31" t="str">
        <f t="shared" si="325"/>
        <v/>
      </c>
      <c r="N3004" s="31" t="str">
        <f t="shared" si="326"/>
        <v/>
      </c>
      <c r="O3004" s="31" t="str">
        <f>IF(OR(B3004="",C3004=""),"",K3004-N3004 + IFERROR(E3004 / SUMIFS('📅 Resumen Diario'!$D$5:$D$504, '📅 Resumen Diario'!$B$5:$B$504, B3004, '📅 Resumen Diario'!$C$5:$C$504, D3004) * (SUMIFS('📋 Detalle Diario'!$E$5:$E$489, '📋 Detalle Diario'!$B$5:$B$489, B3004, '📋 Detalle Diario'!$C$5:$C$489, D3004) * 135 + SUMIFS('📋 Detalle Diario'!$I$5:$I$489, '📋 Detalle Diario'!$B$5:$B$489, B3004, '📋 Detalle Diario'!$C$5:$C$489, D3004) * 200), 0))</f>
        <v/>
      </c>
      <c r="P3004" s="32" t="str">
        <f t="shared" si="327"/>
        <v/>
      </c>
      <c r="Q3004" s="33" t="str">
        <f t="shared" si="328"/>
        <v/>
      </c>
    </row>
    <row r="3005" spans="2:17" ht="18" customHeight="1" x14ac:dyDescent="0.3">
      <c r="B3005" s="26"/>
      <c r="C3005" s="28"/>
      <c r="D3005" s="27"/>
      <c r="E3005" s="29"/>
      <c r="F3005" s="29"/>
      <c r="G3005" s="29"/>
      <c r="H3005" s="30" t="str">
        <f t="shared" si="322"/>
        <v/>
      </c>
      <c r="I3005" s="31" t="str">
        <f>IF(OR(B3005="",C3005=""),"",IFERROR(E3005*IF(E3005="",0,VLOOKUP(C3005,'📦 Precios Proforma'!$B$5:$D$104,IF(D3005="DIA",2,3),FALSE)),0))</f>
        <v/>
      </c>
      <c r="J3005" s="31" t="str">
        <f t="shared" si="323"/>
        <v/>
      </c>
      <c r="K3005" s="31" t="str">
        <f t="shared" si="324"/>
        <v/>
      </c>
      <c r="L3005" s="31" t="str">
        <f>IF(OR(B3005="",C3005=""),"",IFERROR(E3005 / SUMIFS('📅 Resumen Diario'!$D$5:$D$504, '📅 Resumen Diario'!$B$5:$B$504, B3005, '📅 Resumen Diario'!$C$5:$C$504, D3005) * SUMIFS('📅 Resumen Diario'!$K$5:$K$504, '📅 Resumen Diario'!$B$5:$B$504, B3005, '📅 Resumen Diario'!$C$5:$C$504, D3005), 0))</f>
        <v/>
      </c>
      <c r="M3005" s="31" t="str">
        <f t="shared" si="325"/>
        <v/>
      </c>
      <c r="N3005" s="31" t="str">
        <f t="shared" si="326"/>
        <v/>
      </c>
      <c r="O3005" s="31" t="str">
        <f>IF(OR(B3005="",C3005=""),"",K3005-N3005 + IFERROR(E3005 / SUMIFS('📅 Resumen Diario'!$D$5:$D$504, '📅 Resumen Diario'!$B$5:$B$504, B3005, '📅 Resumen Diario'!$C$5:$C$504, D3005) * (SUMIFS('📋 Detalle Diario'!$E$5:$E$489, '📋 Detalle Diario'!$B$5:$B$489, B3005, '📋 Detalle Diario'!$C$5:$C$489, D3005) * 135 + SUMIFS('📋 Detalle Diario'!$I$5:$I$489, '📋 Detalle Diario'!$B$5:$B$489, B3005, '📋 Detalle Diario'!$C$5:$C$489, D3005) * 200), 0))</f>
        <v/>
      </c>
      <c r="P3005" s="32" t="str">
        <f t="shared" si="327"/>
        <v/>
      </c>
      <c r="Q3005" s="33" t="str">
        <f t="shared" si="328"/>
        <v/>
      </c>
    </row>
    <row r="3006" spans="2:17" ht="18" customHeight="1" x14ac:dyDescent="0.3">
      <c r="B3006" s="26"/>
      <c r="C3006" s="17"/>
      <c r="D3006" s="27"/>
      <c r="E3006" s="18"/>
      <c r="F3006" s="18"/>
      <c r="G3006" s="18"/>
      <c r="H3006" s="30" t="str">
        <f t="shared" si="322"/>
        <v/>
      </c>
      <c r="I3006" s="31" t="str">
        <f>IF(OR(B3006="",C3006=""),"",IFERROR(E3006*IF(E3006="",0,VLOOKUP(C3006,'📦 Precios Proforma'!$B$5:$D$104,IF(D3006="DIA",2,3),FALSE)),0))</f>
        <v/>
      </c>
      <c r="J3006" s="31" t="str">
        <f t="shared" si="323"/>
        <v/>
      </c>
      <c r="K3006" s="31" t="str">
        <f t="shared" si="324"/>
        <v/>
      </c>
      <c r="L3006" s="31" t="str">
        <f>IF(OR(B3006="",C3006=""),"",IFERROR(E3006 / SUMIFS('📅 Resumen Diario'!$D$5:$D$504, '📅 Resumen Diario'!$B$5:$B$504, B3006, '📅 Resumen Diario'!$C$5:$C$504, D3006) * SUMIFS('📅 Resumen Diario'!$K$5:$K$504, '📅 Resumen Diario'!$B$5:$B$504, B3006, '📅 Resumen Diario'!$C$5:$C$504, D3006), 0))</f>
        <v/>
      </c>
      <c r="M3006" s="31" t="str">
        <f t="shared" si="325"/>
        <v/>
      </c>
      <c r="N3006" s="31" t="str">
        <f t="shared" si="326"/>
        <v/>
      </c>
      <c r="O3006" s="31" t="str">
        <f>IF(OR(B3006="",C3006=""),"",K3006-N3006 + IFERROR(E3006 / SUMIFS('📅 Resumen Diario'!$D$5:$D$504, '📅 Resumen Diario'!$B$5:$B$504, B3006, '📅 Resumen Diario'!$C$5:$C$504, D3006) * (SUMIFS('📋 Detalle Diario'!$E$5:$E$489, '📋 Detalle Diario'!$B$5:$B$489, B3006, '📋 Detalle Diario'!$C$5:$C$489, D3006) * 135 + SUMIFS('📋 Detalle Diario'!$I$5:$I$489, '📋 Detalle Diario'!$B$5:$B$489, B3006, '📋 Detalle Diario'!$C$5:$C$489, D3006) * 200), 0))</f>
        <v/>
      </c>
      <c r="P3006" s="32" t="str">
        <f t="shared" si="327"/>
        <v/>
      </c>
      <c r="Q3006" s="33" t="str">
        <f t="shared" si="328"/>
        <v/>
      </c>
    </row>
    <row r="3007" spans="2:17" ht="18" customHeight="1" x14ac:dyDescent="0.3">
      <c r="B3007" s="26"/>
      <c r="C3007" s="28"/>
      <c r="D3007" s="27"/>
      <c r="E3007" s="29"/>
      <c r="F3007" s="29"/>
      <c r="G3007" s="29"/>
      <c r="H3007" s="30" t="str">
        <f t="shared" si="322"/>
        <v/>
      </c>
      <c r="I3007" s="31" t="str">
        <f>IF(OR(B3007="",C3007=""),"",IFERROR(E3007*IF(E3007="",0,VLOOKUP(C3007,'📦 Precios Proforma'!$B$5:$D$104,IF(D3007="DIA",2,3),FALSE)),0))</f>
        <v/>
      </c>
      <c r="J3007" s="31" t="str">
        <f t="shared" si="323"/>
        <v/>
      </c>
      <c r="K3007" s="31" t="str">
        <f t="shared" si="324"/>
        <v/>
      </c>
      <c r="L3007" s="31" t="str">
        <f>IF(OR(B3007="",C3007=""),"",IFERROR(E3007 / SUMIFS('📅 Resumen Diario'!$D$5:$D$504, '📅 Resumen Diario'!$B$5:$B$504, B3007, '📅 Resumen Diario'!$C$5:$C$504, D3007) * SUMIFS('📅 Resumen Diario'!$K$5:$K$504, '📅 Resumen Diario'!$B$5:$B$504, B3007, '📅 Resumen Diario'!$C$5:$C$504, D3007), 0))</f>
        <v/>
      </c>
      <c r="M3007" s="31" t="str">
        <f t="shared" si="325"/>
        <v/>
      </c>
      <c r="N3007" s="31" t="str">
        <f t="shared" si="326"/>
        <v/>
      </c>
      <c r="O3007" s="31" t="str">
        <f>IF(OR(B3007="",C3007=""),"",K3007-N3007 + IFERROR(E3007 / SUMIFS('📅 Resumen Diario'!$D$5:$D$504, '📅 Resumen Diario'!$B$5:$B$504, B3007, '📅 Resumen Diario'!$C$5:$C$504, D3007) * (SUMIFS('📋 Detalle Diario'!$E$5:$E$489, '📋 Detalle Diario'!$B$5:$B$489, B3007, '📋 Detalle Diario'!$C$5:$C$489, D3007) * 135 + SUMIFS('📋 Detalle Diario'!$I$5:$I$489, '📋 Detalle Diario'!$B$5:$B$489, B3007, '📋 Detalle Diario'!$C$5:$C$489, D3007) * 200), 0))</f>
        <v/>
      </c>
      <c r="P3007" s="32" t="str">
        <f t="shared" si="327"/>
        <v/>
      </c>
      <c r="Q3007" s="33" t="str">
        <f t="shared" si="328"/>
        <v/>
      </c>
    </row>
    <row r="3008" spans="2:17" ht="18" customHeight="1" x14ac:dyDescent="0.3">
      <c r="B3008" s="26"/>
      <c r="C3008" s="17"/>
      <c r="D3008" s="27"/>
      <c r="E3008" s="18"/>
      <c r="F3008" s="18"/>
      <c r="G3008" s="18"/>
      <c r="H3008" s="30" t="str">
        <f t="shared" si="322"/>
        <v/>
      </c>
      <c r="I3008" s="31" t="str">
        <f>IF(OR(B3008="",C3008=""),"",IFERROR(E3008*IF(E3008="",0,VLOOKUP(C3008,'📦 Precios Proforma'!$B$5:$D$104,IF(D3008="DIA",2,3),FALSE)),0))</f>
        <v/>
      </c>
      <c r="J3008" s="31" t="str">
        <f t="shared" si="323"/>
        <v/>
      </c>
      <c r="K3008" s="31" t="str">
        <f t="shared" si="324"/>
        <v/>
      </c>
      <c r="L3008" s="31" t="str">
        <f>IF(OR(B3008="",C3008=""),"",IFERROR(E3008 / SUMIFS('📅 Resumen Diario'!$D$5:$D$504, '📅 Resumen Diario'!$B$5:$B$504, B3008, '📅 Resumen Diario'!$C$5:$C$504, D3008) * SUMIFS('📅 Resumen Diario'!$K$5:$K$504, '📅 Resumen Diario'!$B$5:$B$504, B3008, '📅 Resumen Diario'!$C$5:$C$504, D3008), 0))</f>
        <v/>
      </c>
      <c r="M3008" s="31" t="str">
        <f t="shared" si="325"/>
        <v/>
      </c>
      <c r="N3008" s="31" t="str">
        <f t="shared" si="326"/>
        <v/>
      </c>
      <c r="O3008" s="31" t="str">
        <f>IF(OR(B3008="",C3008=""),"",K3008-N3008 + IFERROR(E3008 / SUMIFS('📅 Resumen Diario'!$D$5:$D$504, '📅 Resumen Diario'!$B$5:$B$504, B3008, '📅 Resumen Diario'!$C$5:$C$504, D3008) * (SUMIFS('📋 Detalle Diario'!$E$5:$E$489, '📋 Detalle Diario'!$B$5:$B$489, B3008, '📋 Detalle Diario'!$C$5:$C$489, D3008) * 135 + SUMIFS('📋 Detalle Diario'!$I$5:$I$489, '📋 Detalle Diario'!$B$5:$B$489, B3008, '📋 Detalle Diario'!$C$5:$C$489, D3008) * 200), 0))</f>
        <v/>
      </c>
      <c r="P3008" s="32" t="str">
        <f t="shared" si="327"/>
        <v/>
      </c>
      <c r="Q3008" s="33" t="str">
        <f t="shared" si="328"/>
        <v/>
      </c>
    </row>
    <row r="3009" spans="2:17" ht="18" customHeight="1" x14ac:dyDescent="0.3">
      <c r="B3009" s="26"/>
      <c r="C3009" s="28"/>
      <c r="D3009" s="27"/>
      <c r="E3009" s="29"/>
      <c r="F3009" s="29"/>
      <c r="G3009" s="29"/>
      <c r="H3009" s="30" t="str">
        <f t="shared" si="322"/>
        <v/>
      </c>
      <c r="I3009" s="31" t="str">
        <f>IF(OR(B3009="",C3009=""),"",IFERROR(E3009*IF(E3009="",0,VLOOKUP(C3009,'📦 Precios Proforma'!$B$5:$D$104,IF(D3009="DIA",2,3),FALSE)),0))</f>
        <v/>
      </c>
      <c r="J3009" s="31" t="str">
        <f t="shared" si="323"/>
        <v/>
      </c>
      <c r="K3009" s="31" t="str">
        <f t="shared" si="324"/>
        <v/>
      </c>
      <c r="L3009" s="31" t="str">
        <f>IF(OR(B3009="",C3009=""),"",IFERROR(E3009 / SUMIFS('📅 Resumen Diario'!$D$5:$D$504, '📅 Resumen Diario'!$B$5:$B$504, B3009, '📅 Resumen Diario'!$C$5:$C$504, D3009) * SUMIFS('📅 Resumen Diario'!$K$5:$K$504, '📅 Resumen Diario'!$B$5:$B$504, B3009, '📅 Resumen Diario'!$C$5:$C$504, D3009), 0))</f>
        <v/>
      </c>
      <c r="M3009" s="31" t="str">
        <f t="shared" si="325"/>
        <v/>
      </c>
      <c r="N3009" s="31" t="str">
        <f t="shared" si="326"/>
        <v/>
      </c>
      <c r="O3009" s="31" t="str">
        <f>IF(OR(B3009="",C3009=""),"",K3009-N3009 + IFERROR(E3009 / SUMIFS('📅 Resumen Diario'!$D$5:$D$504, '📅 Resumen Diario'!$B$5:$B$504, B3009, '📅 Resumen Diario'!$C$5:$C$504, D3009) * (SUMIFS('📋 Detalle Diario'!$E$5:$E$489, '📋 Detalle Diario'!$B$5:$B$489, B3009, '📋 Detalle Diario'!$C$5:$C$489, D3009) * 135 + SUMIFS('📋 Detalle Diario'!$I$5:$I$489, '📋 Detalle Diario'!$B$5:$B$489, B3009, '📋 Detalle Diario'!$C$5:$C$489, D3009) * 200), 0))</f>
        <v/>
      </c>
      <c r="P3009" s="32" t="str">
        <f t="shared" si="327"/>
        <v/>
      </c>
      <c r="Q3009" s="33" t="str">
        <f t="shared" si="328"/>
        <v/>
      </c>
    </row>
    <row r="3010" spans="2:17" ht="18" customHeight="1" x14ac:dyDescent="0.3">
      <c r="B3010" s="26"/>
      <c r="C3010" s="17"/>
      <c r="D3010" s="27"/>
      <c r="E3010" s="18"/>
      <c r="F3010" s="18"/>
      <c r="G3010" s="18"/>
      <c r="H3010" s="30" t="str">
        <f t="shared" si="322"/>
        <v/>
      </c>
      <c r="I3010" s="31" t="str">
        <f>IF(OR(B3010="",C3010=""),"",IFERROR(E3010*IF(E3010="",0,VLOOKUP(C3010,'📦 Precios Proforma'!$B$5:$D$104,IF(D3010="DIA",2,3),FALSE)),0))</f>
        <v/>
      </c>
      <c r="J3010" s="31" t="str">
        <f t="shared" si="323"/>
        <v/>
      </c>
      <c r="K3010" s="31" t="str">
        <f t="shared" si="324"/>
        <v/>
      </c>
      <c r="L3010" s="31" t="str">
        <f>IF(OR(B3010="",C3010=""),"",IFERROR(E3010 / SUMIFS('📅 Resumen Diario'!$D$5:$D$504, '📅 Resumen Diario'!$B$5:$B$504, B3010, '📅 Resumen Diario'!$C$5:$C$504, D3010) * SUMIFS('📅 Resumen Diario'!$K$5:$K$504, '📅 Resumen Diario'!$B$5:$B$504, B3010, '📅 Resumen Diario'!$C$5:$C$504, D3010), 0))</f>
        <v/>
      </c>
      <c r="M3010" s="31" t="str">
        <f t="shared" si="325"/>
        <v/>
      </c>
      <c r="N3010" s="31" t="str">
        <f t="shared" si="326"/>
        <v/>
      </c>
      <c r="O3010" s="31" t="str">
        <f>IF(OR(B3010="",C3010=""),"",K3010-N3010 + IFERROR(E3010 / SUMIFS('📅 Resumen Diario'!$D$5:$D$504, '📅 Resumen Diario'!$B$5:$B$504, B3010, '📅 Resumen Diario'!$C$5:$C$504, D3010) * (SUMIFS('📋 Detalle Diario'!$E$5:$E$489, '📋 Detalle Diario'!$B$5:$B$489, B3010, '📋 Detalle Diario'!$C$5:$C$489, D3010) * 135 + SUMIFS('📋 Detalle Diario'!$I$5:$I$489, '📋 Detalle Diario'!$B$5:$B$489, B3010, '📋 Detalle Diario'!$C$5:$C$489, D3010) * 200), 0))</f>
        <v/>
      </c>
      <c r="P3010" s="32" t="str">
        <f t="shared" si="327"/>
        <v/>
      </c>
      <c r="Q3010" s="33" t="str">
        <f t="shared" si="328"/>
        <v/>
      </c>
    </row>
    <row r="3011" spans="2:17" ht="18" customHeight="1" x14ac:dyDescent="0.3">
      <c r="B3011" s="26"/>
      <c r="C3011" s="28"/>
      <c r="D3011" s="27"/>
      <c r="E3011" s="29"/>
      <c r="F3011" s="29"/>
      <c r="G3011" s="29"/>
      <c r="H3011" s="30" t="str">
        <f t="shared" si="322"/>
        <v/>
      </c>
      <c r="I3011" s="31" t="str">
        <f>IF(OR(B3011="",C3011=""),"",IFERROR(E3011*IF(E3011="",0,VLOOKUP(C3011,'📦 Precios Proforma'!$B$5:$D$104,IF(D3011="DIA",2,3),FALSE)),0))</f>
        <v/>
      </c>
      <c r="J3011" s="31" t="str">
        <f t="shared" si="323"/>
        <v/>
      </c>
      <c r="K3011" s="31" t="str">
        <f t="shared" si="324"/>
        <v/>
      </c>
      <c r="L3011" s="31" t="str">
        <f>IF(OR(B3011="",C3011=""),"",IFERROR(E3011 / SUMIFS('📅 Resumen Diario'!$D$5:$D$504, '📅 Resumen Diario'!$B$5:$B$504, B3011, '📅 Resumen Diario'!$C$5:$C$504, D3011) * SUMIFS('📅 Resumen Diario'!$K$5:$K$504, '📅 Resumen Diario'!$B$5:$B$504, B3011, '📅 Resumen Diario'!$C$5:$C$504, D3011), 0))</f>
        <v/>
      </c>
      <c r="M3011" s="31" t="str">
        <f t="shared" si="325"/>
        <v/>
      </c>
      <c r="N3011" s="31" t="str">
        <f t="shared" si="326"/>
        <v/>
      </c>
      <c r="O3011" s="31" t="str">
        <f>IF(OR(B3011="",C3011=""),"",K3011-N3011 + IFERROR(E3011 / SUMIFS('📅 Resumen Diario'!$D$5:$D$504, '📅 Resumen Diario'!$B$5:$B$504, B3011, '📅 Resumen Diario'!$C$5:$C$504, D3011) * (SUMIFS('📋 Detalle Diario'!$E$5:$E$489, '📋 Detalle Diario'!$B$5:$B$489, B3011, '📋 Detalle Diario'!$C$5:$C$489, D3011) * 135 + SUMIFS('📋 Detalle Diario'!$I$5:$I$489, '📋 Detalle Diario'!$B$5:$B$489, B3011, '📋 Detalle Diario'!$C$5:$C$489, D3011) * 200), 0))</f>
        <v/>
      </c>
      <c r="P3011" s="32" t="str">
        <f t="shared" si="327"/>
        <v/>
      </c>
      <c r="Q3011" s="33" t="str">
        <f t="shared" si="328"/>
        <v/>
      </c>
    </row>
    <row r="3012" spans="2:17" ht="18" customHeight="1" x14ac:dyDescent="0.3">
      <c r="B3012" s="26"/>
      <c r="C3012" s="17"/>
      <c r="D3012" s="27"/>
      <c r="E3012" s="18"/>
      <c r="F3012" s="18"/>
      <c r="G3012" s="18"/>
      <c r="H3012" s="30" t="str">
        <f t="shared" si="322"/>
        <v/>
      </c>
      <c r="I3012" s="31" t="str">
        <f>IF(OR(B3012="",C3012=""),"",IFERROR(E3012*IF(E3012="",0,VLOOKUP(C3012,'📦 Precios Proforma'!$B$5:$D$104,IF(D3012="DIA",2,3),FALSE)),0))</f>
        <v/>
      </c>
      <c r="J3012" s="31" t="str">
        <f t="shared" si="323"/>
        <v/>
      </c>
      <c r="K3012" s="31" t="str">
        <f t="shared" si="324"/>
        <v/>
      </c>
      <c r="L3012" s="31" t="str">
        <f>IF(OR(B3012="",C3012=""),"",IFERROR(E3012 / SUMIFS('📅 Resumen Diario'!$D$5:$D$504, '📅 Resumen Diario'!$B$5:$B$504, B3012, '📅 Resumen Diario'!$C$5:$C$504, D3012) * SUMIFS('📅 Resumen Diario'!$K$5:$K$504, '📅 Resumen Diario'!$B$5:$B$504, B3012, '📅 Resumen Diario'!$C$5:$C$504, D3012), 0))</f>
        <v/>
      </c>
      <c r="M3012" s="31" t="str">
        <f t="shared" si="325"/>
        <v/>
      </c>
      <c r="N3012" s="31" t="str">
        <f t="shared" si="326"/>
        <v/>
      </c>
      <c r="O3012" s="31" t="str">
        <f>IF(OR(B3012="",C3012=""),"",K3012-N3012 + IFERROR(E3012 / SUMIFS('📅 Resumen Diario'!$D$5:$D$504, '📅 Resumen Diario'!$B$5:$B$504, B3012, '📅 Resumen Diario'!$C$5:$C$504, D3012) * (SUMIFS('📋 Detalle Diario'!$E$5:$E$489, '📋 Detalle Diario'!$B$5:$B$489, B3012, '📋 Detalle Diario'!$C$5:$C$489, D3012) * 135 + SUMIFS('📋 Detalle Diario'!$I$5:$I$489, '📋 Detalle Diario'!$B$5:$B$489, B3012, '📋 Detalle Diario'!$C$5:$C$489, D3012) * 200), 0))</f>
        <v/>
      </c>
      <c r="P3012" s="32" t="str">
        <f t="shared" si="327"/>
        <v/>
      </c>
      <c r="Q3012" s="33" t="str">
        <f t="shared" si="328"/>
        <v/>
      </c>
    </row>
    <row r="3013" spans="2:17" ht="18" customHeight="1" x14ac:dyDescent="0.3">
      <c r="B3013" s="26"/>
      <c r="C3013" s="28"/>
      <c r="D3013" s="27"/>
      <c r="E3013" s="29"/>
      <c r="F3013" s="29"/>
      <c r="G3013" s="29"/>
      <c r="H3013" s="30" t="str">
        <f t="shared" si="322"/>
        <v/>
      </c>
      <c r="I3013" s="31" t="str">
        <f>IF(OR(B3013="",C3013=""),"",IFERROR(E3013*IF(E3013="",0,VLOOKUP(C3013,'📦 Precios Proforma'!$B$5:$D$104,IF(D3013="DIA",2,3),FALSE)),0))</f>
        <v/>
      </c>
      <c r="J3013" s="31" t="str">
        <f t="shared" si="323"/>
        <v/>
      </c>
      <c r="K3013" s="31" t="str">
        <f t="shared" si="324"/>
        <v/>
      </c>
      <c r="L3013" s="31" t="str">
        <f>IF(OR(B3013="",C3013=""),"",IFERROR(E3013 / SUMIFS('📅 Resumen Diario'!$D$5:$D$504, '📅 Resumen Diario'!$B$5:$B$504, B3013, '📅 Resumen Diario'!$C$5:$C$504, D3013) * SUMIFS('📅 Resumen Diario'!$K$5:$K$504, '📅 Resumen Diario'!$B$5:$B$504, B3013, '📅 Resumen Diario'!$C$5:$C$504, D3013), 0))</f>
        <v/>
      </c>
      <c r="M3013" s="31" t="str">
        <f t="shared" si="325"/>
        <v/>
      </c>
      <c r="N3013" s="31" t="str">
        <f t="shared" si="326"/>
        <v/>
      </c>
      <c r="O3013" s="31" t="str">
        <f>IF(OR(B3013="",C3013=""),"",K3013-N3013 + IFERROR(E3013 / SUMIFS('📅 Resumen Diario'!$D$5:$D$504, '📅 Resumen Diario'!$B$5:$B$504, B3013, '📅 Resumen Diario'!$C$5:$C$504, D3013) * (SUMIFS('📋 Detalle Diario'!$E$5:$E$489, '📋 Detalle Diario'!$B$5:$B$489, B3013, '📋 Detalle Diario'!$C$5:$C$489, D3013) * 135 + SUMIFS('📋 Detalle Diario'!$I$5:$I$489, '📋 Detalle Diario'!$B$5:$B$489, B3013, '📋 Detalle Diario'!$C$5:$C$489, D3013) * 200), 0))</f>
        <v/>
      </c>
      <c r="P3013" s="32" t="str">
        <f t="shared" si="327"/>
        <v/>
      </c>
      <c r="Q3013" s="33" t="str">
        <f t="shared" si="328"/>
        <v/>
      </c>
    </row>
    <row r="3014" spans="2:17" ht="18" customHeight="1" x14ac:dyDescent="0.3">
      <c r="B3014" s="26"/>
      <c r="C3014" s="17"/>
      <c r="D3014" s="27"/>
      <c r="E3014" s="18"/>
      <c r="F3014" s="18"/>
      <c r="G3014" s="18"/>
      <c r="H3014" s="30" t="str">
        <f t="shared" si="322"/>
        <v/>
      </c>
      <c r="I3014" s="31" t="str">
        <f>IF(OR(B3014="",C3014=""),"",IFERROR(E3014*IF(E3014="",0,VLOOKUP(C3014,'📦 Precios Proforma'!$B$5:$D$104,IF(D3014="DIA",2,3),FALSE)),0))</f>
        <v/>
      </c>
      <c r="J3014" s="31" t="str">
        <f t="shared" si="323"/>
        <v/>
      </c>
      <c r="K3014" s="31" t="str">
        <f t="shared" si="324"/>
        <v/>
      </c>
      <c r="L3014" s="31" t="str">
        <f>IF(OR(B3014="",C3014=""),"",IFERROR(E3014 / SUMIFS('📅 Resumen Diario'!$D$5:$D$504, '📅 Resumen Diario'!$B$5:$B$504, B3014, '📅 Resumen Diario'!$C$5:$C$504, D3014) * SUMIFS('📅 Resumen Diario'!$K$5:$K$504, '📅 Resumen Diario'!$B$5:$B$504, B3014, '📅 Resumen Diario'!$C$5:$C$504, D3014), 0))</f>
        <v/>
      </c>
      <c r="M3014" s="31" t="str">
        <f t="shared" si="325"/>
        <v/>
      </c>
      <c r="N3014" s="31" t="str">
        <f t="shared" si="326"/>
        <v/>
      </c>
      <c r="O3014" s="31" t="str">
        <f>IF(OR(B3014="",C3014=""),"",K3014-N3014 + IFERROR(E3014 / SUMIFS('📅 Resumen Diario'!$D$5:$D$504, '📅 Resumen Diario'!$B$5:$B$504, B3014, '📅 Resumen Diario'!$C$5:$C$504, D3014) * (SUMIFS('📋 Detalle Diario'!$E$5:$E$489, '📋 Detalle Diario'!$B$5:$B$489, B3014, '📋 Detalle Diario'!$C$5:$C$489, D3014) * 135 + SUMIFS('📋 Detalle Diario'!$I$5:$I$489, '📋 Detalle Diario'!$B$5:$B$489, B3014, '📋 Detalle Diario'!$C$5:$C$489, D3014) * 200), 0))</f>
        <v/>
      </c>
      <c r="P3014" s="32" t="str">
        <f t="shared" si="327"/>
        <v/>
      </c>
      <c r="Q3014" s="33" t="str">
        <f t="shared" si="328"/>
        <v/>
      </c>
    </row>
    <row r="3015" spans="2:17" ht="18" customHeight="1" x14ac:dyDescent="0.3">
      <c r="B3015" s="26"/>
      <c r="C3015" s="28"/>
      <c r="D3015" s="27"/>
      <c r="E3015" s="29"/>
      <c r="F3015" s="29"/>
      <c r="G3015" s="29"/>
      <c r="H3015" s="30" t="str">
        <f t="shared" ref="H3015:H3078" si="329">IF(OR(B3015="",C3015=""),"",F3015+G3015)</f>
        <v/>
      </c>
      <c r="I3015" s="31" t="str">
        <f>IF(OR(B3015="",C3015=""),"",IFERROR(E3015*IF(E3015="",0,VLOOKUP(C3015,'📦 Precios Proforma'!$B$5:$D$104,IF(D3015="DIA",2,3),FALSE)),0))</f>
        <v/>
      </c>
      <c r="J3015" s="31" t="str">
        <f t="shared" ref="J3015:J3078" si="330">IF(OR(B3015="",C3015=""),"",IF(D3015="DIA",H3015*1.01,H3015*1.35))</f>
        <v/>
      </c>
      <c r="K3015" s="31" t="str">
        <f t="shared" ref="K3015:K3078" si="331">IF(OR(B3015="",C3015=""),"",I3015+J3015)</f>
        <v/>
      </c>
      <c r="L3015" s="31" t="str">
        <f>IF(OR(B3015="",C3015=""),"",IFERROR(E3015 / SUMIFS('📅 Resumen Diario'!$D$5:$D$504, '📅 Resumen Diario'!$B$5:$B$504, B3015, '📅 Resumen Diario'!$C$5:$C$504, D3015) * SUMIFS('📅 Resumen Diario'!$K$5:$K$504, '📅 Resumen Diario'!$B$5:$B$504, B3015, '📅 Resumen Diario'!$C$5:$C$504, D3015), 0))</f>
        <v/>
      </c>
      <c r="M3015" s="31" t="str">
        <f t="shared" ref="M3015:M3078" si="332">IF(OR(B3015="",C3015=""),"",H3015*0.09)</f>
        <v/>
      </c>
      <c r="N3015" s="31" t="str">
        <f t="shared" ref="N3015:N3078" si="333">IF(OR(B3015="",C3015=""),"",L3015+M3015)</f>
        <v/>
      </c>
      <c r="O3015" s="31" t="str">
        <f>IF(OR(B3015="",C3015=""),"",K3015-N3015 + IFERROR(E3015 / SUMIFS('📅 Resumen Diario'!$D$5:$D$504, '📅 Resumen Diario'!$B$5:$B$504, B3015, '📅 Resumen Diario'!$C$5:$C$504, D3015) * (SUMIFS('📋 Detalle Diario'!$E$5:$E$489, '📋 Detalle Diario'!$B$5:$B$489, B3015, '📋 Detalle Diario'!$C$5:$C$489, D3015) * 135 + SUMIFS('📋 Detalle Diario'!$I$5:$I$489, '📋 Detalle Diario'!$B$5:$B$489, B3015, '📋 Detalle Diario'!$C$5:$C$489, D3015) * 200), 0))</f>
        <v/>
      </c>
      <c r="P3015" s="32" t="str">
        <f t="shared" ref="P3015:P3078" si="334">IF(OR(B3015="",C3015=""),"",IF(K3015=0, 0, O3015/K3015))</f>
        <v/>
      </c>
      <c r="Q3015" s="33" t="str">
        <f t="shared" ref="Q3015:Q3078" si="335">IF(B3015="","",IF(ISNUMBER(B3015),YEAR(B3015)&amp;"-"&amp;IF(MONTH(B3015)&lt;10,"0","")&amp;MONTH(B3015),LEFT(B3015,7)))</f>
        <v/>
      </c>
    </row>
    <row r="3016" spans="2:17" ht="18" customHeight="1" x14ac:dyDescent="0.3">
      <c r="B3016" s="26"/>
      <c r="C3016" s="17"/>
      <c r="D3016" s="27"/>
      <c r="E3016" s="18"/>
      <c r="F3016" s="18"/>
      <c r="G3016" s="18"/>
      <c r="H3016" s="30" t="str">
        <f t="shared" si="329"/>
        <v/>
      </c>
      <c r="I3016" s="31" t="str">
        <f>IF(OR(B3016="",C3016=""),"",IFERROR(E3016*IF(E3016="",0,VLOOKUP(C3016,'📦 Precios Proforma'!$B$5:$D$104,IF(D3016="DIA",2,3),FALSE)),0))</f>
        <v/>
      </c>
      <c r="J3016" s="31" t="str">
        <f t="shared" si="330"/>
        <v/>
      </c>
      <c r="K3016" s="31" t="str">
        <f t="shared" si="331"/>
        <v/>
      </c>
      <c r="L3016" s="31" t="str">
        <f>IF(OR(B3016="",C3016=""),"",IFERROR(E3016 / SUMIFS('📅 Resumen Diario'!$D$5:$D$504, '📅 Resumen Diario'!$B$5:$B$504, B3016, '📅 Resumen Diario'!$C$5:$C$504, D3016) * SUMIFS('📅 Resumen Diario'!$K$5:$K$504, '📅 Resumen Diario'!$B$5:$B$504, B3016, '📅 Resumen Diario'!$C$5:$C$504, D3016), 0))</f>
        <v/>
      </c>
      <c r="M3016" s="31" t="str">
        <f t="shared" si="332"/>
        <v/>
      </c>
      <c r="N3016" s="31" t="str">
        <f t="shared" si="333"/>
        <v/>
      </c>
      <c r="O3016" s="31" t="str">
        <f>IF(OR(B3016="",C3016=""),"",K3016-N3016 + IFERROR(E3016 / SUMIFS('📅 Resumen Diario'!$D$5:$D$504, '📅 Resumen Diario'!$B$5:$B$504, B3016, '📅 Resumen Diario'!$C$5:$C$504, D3016) * (SUMIFS('📋 Detalle Diario'!$E$5:$E$489, '📋 Detalle Diario'!$B$5:$B$489, B3016, '📋 Detalle Diario'!$C$5:$C$489, D3016) * 135 + SUMIFS('📋 Detalle Diario'!$I$5:$I$489, '📋 Detalle Diario'!$B$5:$B$489, B3016, '📋 Detalle Diario'!$C$5:$C$489, D3016) * 200), 0))</f>
        <v/>
      </c>
      <c r="P3016" s="32" t="str">
        <f t="shared" si="334"/>
        <v/>
      </c>
      <c r="Q3016" s="33" t="str">
        <f t="shared" si="335"/>
        <v/>
      </c>
    </row>
    <row r="3017" spans="2:17" ht="18" customHeight="1" x14ac:dyDescent="0.3">
      <c r="B3017" s="26"/>
      <c r="C3017" s="28"/>
      <c r="D3017" s="27"/>
      <c r="E3017" s="29"/>
      <c r="F3017" s="29"/>
      <c r="G3017" s="29"/>
      <c r="H3017" s="30" t="str">
        <f t="shared" si="329"/>
        <v/>
      </c>
      <c r="I3017" s="31" t="str">
        <f>IF(OR(B3017="",C3017=""),"",IFERROR(E3017*IF(E3017="",0,VLOOKUP(C3017,'📦 Precios Proforma'!$B$5:$D$104,IF(D3017="DIA",2,3),FALSE)),0))</f>
        <v/>
      </c>
      <c r="J3017" s="31" t="str">
        <f t="shared" si="330"/>
        <v/>
      </c>
      <c r="K3017" s="31" t="str">
        <f t="shared" si="331"/>
        <v/>
      </c>
      <c r="L3017" s="31" t="str">
        <f>IF(OR(B3017="",C3017=""),"",IFERROR(E3017 / SUMIFS('📅 Resumen Diario'!$D$5:$D$504, '📅 Resumen Diario'!$B$5:$B$504, B3017, '📅 Resumen Diario'!$C$5:$C$504, D3017) * SUMIFS('📅 Resumen Diario'!$K$5:$K$504, '📅 Resumen Diario'!$B$5:$B$504, B3017, '📅 Resumen Diario'!$C$5:$C$504, D3017), 0))</f>
        <v/>
      </c>
      <c r="M3017" s="31" t="str">
        <f t="shared" si="332"/>
        <v/>
      </c>
      <c r="N3017" s="31" t="str">
        <f t="shared" si="333"/>
        <v/>
      </c>
      <c r="O3017" s="31" t="str">
        <f>IF(OR(B3017="",C3017=""),"",K3017-N3017 + IFERROR(E3017 / SUMIFS('📅 Resumen Diario'!$D$5:$D$504, '📅 Resumen Diario'!$B$5:$B$504, B3017, '📅 Resumen Diario'!$C$5:$C$504, D3017) * (SUMIFS('📋 Detalle Diario'!$E$5:$E$489, '📋 Detalle Diario'!$B$5:$B$489, B3017, '📋 Detalle Diario'!$C$5:$C$489, D3017) * 135 + SUMIFS('📋 Detalle Diario'!$I$5:$I$489, '📋 Detalle Diario'!$B$5:$B$489, B3017, '📋 Detalle Diario'!$C$5:$C$489, D3017) * 200), 0))</f>
        <v/>
      </c>
      <c r="P3017" s="32" t="str">
        <f t="shared" si="334"/>
        <v/>
      </c>
      <c r="Q3017" s="33" t="str">
        <f t="shared" si="335"/>
        <v/>
      </c>
    </row>
    <row r="3018" spans="2:17" ht="18" customHeight="1" x14ac:dyDescent="0.3">
      <c r="B3018" s="26"/>
      <c r="C3018" s="17"/>
      <c r="D3018" s="27"/>
      <c r="E3018" s="18"/>
      <c r="F3018" s="18"/>
      <c r="G3018" s="18"/>
      <c r="H3018" s="30" t="str">
        <f t="shared" si="329"/>
        <v/>
      </c>
      <c r="I3018" s="31" t="str">
        <f>IF(OR(B3018="",C3018=""),"",IFERROR(E3018*IF(E3018="",0,VLOOKUP(C3018,'📦 Precios Proforma'!$B$5:$D$104,IF(D3018="DIA",2,3),FALSE)),0))</f>
        <v/>
      </c>
      <c r="J3018" s="31" t="str">
        <f t="shared" si="330"/>
        <v/>
      </c>
      <c r="K3018" s="31" t="str">
        <f t="shared" si="331"/>
        <v/>
      </c>
      <c r="L3018" s="31" t="str">
        <f>IF(OR(B3018="",C3018=""),"",IFERROR(E3018 / SUMIFS('📅 Resumen Diario'!$D$5:$D$504, '📅 Resumen Diario'!$B$5:$B$504, B3018, '📅 Resumen Diario'!$C$5:$C$504, D3018) * SUMIFS('📅 Resumen Diario'!$K$5:$K$504, '📅 Resumen Diario'!$B$5:$B$504, B3018, '📅 Resumen Diario'!$C$5:$C$504, D3018), 0))</f>
        <v/>
      </c>
      <c r="M3018" s="31" t="str">
        <f t="shared" si="332"/>
        <v/>
      </c>
      <c r="N3018" s="31" t="str">
        <f t="shared" si="333"/>
        <v/>
      </c>
      <c r="O3018" s="31" t="str">
        <f>IF(OR(B3018="",C3018=""),"",K3018-N3018 + IFERROR(E3018 / SUMIFS('📅 Resumen Diario'!$D$5:$D$504, '📅 Resumen Diario'!$B$5:$B$504, B3018, '📅 Resumen Diario'!$C$5:$C$504, D3018) * (SUMIFS('📋 Detalle Diario'!$E$5:$E$489, '📋 Detalle Diario'!$B$5:$B$489, B3018, '📋 Detalle Diario'!$C$5:$C$489, D3018) * 135 + SUMIFS('📋 Detalle Diario'!$I$5:$I$489, '📋 Detalle Diario'!$B$5:$B$489, B3018, '📋 Detalle Diario'!$C$5:$C$489, D3018) * 200), 0))</f>
        <v/>
      </c>
      <c r="P3018" s="32" t="str">
        <f t="shared" si="334"/>
        <v/>
      </c>
      <c r="Q3018" s="33" t="str">
        <f t="shared" si="335"/>
        <v/>
      </c>
    </row>
    <row r="3019" spans="2:17" ht="18" customHeight="1" x14ac:dyDescent="0.3">
      <c r="B3019" s="26"/>
      <c r="C3019" s="28"/>
      <c r="D3019" s="27"/>
      <c r="E3019" s="29"/>
      <c r="F3019" s="29"/>
      <c r="G3019" s="29"/>
      <c r="H3019" s="30" t="str">
        <f t="shared" si="329"/>
        <v/>
      </c>
      <c r="I3019" s="31" t="str">
        <f>IF(OR(B3019="",C3019=""),"",IFERROR(E3019*IF(E3019="",0,VLOOKUP(C3019,'📦 Precios Proforma'!$B$5:$D$104,IF(D3019="DIA",2,3),FALSE)),0))</f>
        <v/>
      </c>
      <c r="J3019" s="31" t="str">
        <f t="shared" si="330"/>
        <v/>
      </c>
      <c r="K3019" s="31" t="str">
        <f t="shared" si="331"/>
        <v/>
      </c>
      <c r="L3019" s="31" t="str">
        <f>IF(OR(B3019="",C3019=""),"",IFERROR(E3019 / SUMIFS('📅 Resumen Diario'!$D$5:$D$504, '📅 Resumen Diario'!$B$5:$B$504, B3019, '📅 Resumen Diario'!$C$5:$C$504, D3019) * SUMIFS('📅 Resumen Diario'!$K$5:$K$504, '📅 Resumen Diario'!$B$5:$B$504, B3019, '📅 Resumen Diario'!$C$5:$C$504, D3019), 0))</f>
        <v/>
      </c>
      <c r="M3019" s="31" t="str">
        <f t="shared" si="332"/>
        <v/>
      </c>
      <c r="N3019" s="31" t="str">
        <f t="shared" si="333"/>
        <v/>
      </c>
      <c r="O3019" s="31" t="str">
        <f>IF(OR(B3019="",C3019=""),"",K3019-N3019 + IFERROR(E3019 / SUMIFS('📅 Resumen Diario'!$D$5:$D$504, '📅 Resumen Diario'!$B$5:$B$504, B3019, '📅 Resumen Diario'!$C$5:$C$504, D3019) * (SUMIFS('📋 Detalle Diario'!$E$5:$E$489, '📋 Detalle Diario'!$B$5:$B$489, B3019, '📋 Detalle Diario'!$C$5:$C$489, D3019) * 135 + SUMIFS('📋 Detalle Diario'!$I$5:$I$489, '📋 Detalle Diario'!$B$5:$B$489, B3019, '📋 Detalle Diario'!$C$5:$C$489, D3019) * 200), 0))</f>
        <v/>
      </c>
      <c r="P3019" s="32" t="str">
        <f t="shared" si="334"/>
        <v/>
      </c>
      <c r="Q3019" s="33" t="str">
        <f t="shared" si="335"/>
        <v/>
      </c>
    </row>
    <row r="3020" spans="2:17" ht="18" customHeight="1" x14ac:dyDescent="0.3">
      <c r="B3020" s="26"/>
      <c r="C3020" s="17"/>
      <c r="D3020" s="27"/>
      <c r="E3020" s="18"/>
      <c r="F3020" s="18"/>
      <c r="G3020" s="18"/>
      <c r="H3020" s="30" t="str">
        <f t="shared" si="329"/>
        <v/>
      </c>
      <c r="I3020" s="31" t="str">
        <f>IF(OR(B3020="",C3020=""),"",IFERROR(E3020*IF(E3020="",0,VLOOKUP(C3020,'📦 Precios Proforma'!$B$5:$D$104,IF(D3020="DIA",2,3),FALSE)),0))</f>
        <v/>
      </c>
      <c r="J3020" s="31" t="str">
        <f t="shared" si="330"/>
        <v/>
      </c>
      <c r="K3020" s="31" t="str">
        <f t="shared" si="331"/>
        <v/>
      </c>
      <c r="L3020" s="31" t="str">
        <f>IF(OR(B3020="",C3020=""),"",IFERROR(E3020 / SUMIFS('📅 Resumen Diario'!$D$5:$D$504, '📅 Resumen Diario'!$B$5:$B$504, B3020, '📅 Resumen Diario'!$C$5:$C$504, D3020) * SUMIFS('📅 Resumen Diario'!$K$5:$K$504, '📅 Resumen Diario'!$B$5:$B$504, B3020, '📅 Resumen Diario'!$C$5:$C$504, D3020), 0))</f>
        <v/>
      </c>
      <c r="M3020" s="31" t="str">
        <f t="shared" si="332"/>
        <v/>
      </c>
      <c r="N3020" s="31" t="str">
        <f t="shared" si="333"/>
        <v/>
      </c>
      <c r="O3020" s="31" t="str">
        <f>IF(OR(B3020="",C3020=""),"",K3020-N3020 + IFERROR(E3020 / SUMIFS('📅 Resumen Diario'!$D$5:$D$504, '📅 Resumen Diario'!$B$5:$B$504, B3020, '📅 Resumen Diario'!$C$5:$C$504, D3020) * (SUMIFS('📋 Detalle Diario'!$E$5:$E$489, '📋 Detalle Diario'!$B$5:$B$489, B3020, '📋 Detalle Diario'!$C$5:$C$489, D3020) * 135 + SUMIFS('📋 Detalle Diario'!$I$5:$I$489, '📋 Detalle Diario'!$B$5:$B$489, B3020, '📋 Detalle Diario'!$C$5:$C$489, D3020) * 200), 0))</f>
        <v/>
      </c>
      <c r="P3020" s="32" t="str">
        <f t="shared" si="334"/>
        <v/>
      </c>
      <c r="Q3020" s="33" t="str">
        <f t="shared" si="335"/>
        <v/>
      </c>
    </row>
    <row r="3021" spans="2:17" ht="18" customHeight="1" x14ac:dyDescent="0.3">
      <c r="B3021" s="26"/>
      <c r="C3021" s="28"/>
      <c r="D3021" s="27"/>
      <c r="E3021" s="29"/>
      <c r="F3021" s="29"/>
      <c r="G3021" s="29"/>
      <c r="H3021" s="30" t="str">
        <f t="shared" si="329"/>
        <v/>
      </c>
      <c r="I3021" s="31" t="str">
        <f>IF(OR(B3021="",C3021=""),"",IFERROR(E3021*IF(E3021="",0,VLOOKUP(C3021,'📦 Precios Proforma'!$B$5:$D$104,IF(D3021="DIA",2,3),FALSE)),0))</f>
        <v/>
      </c>
      <c r="J3021" s="31" t="str">
        <f t="shared" si="330"/>
        <v/>
      </c>
      <c r="K3021" s="31" t="str">
        <f t="shared" si="331"/>
        <v/>
      </c>
      <c r="L3021" s="31" t="str">
        <f>IF(OR(B3021="",C3021=""),"",IFERROR(E3021 / SUMIFS('📅 Resumen Diario'!$D$5:$D$504, '📅 Resumen Diario'!$B$5:$B$504, B3021, '📅 Resumen Diario'!$C$5:$C$504, D3021) * SUMIFS('📅 Resumen Diario'!$K$5:$K$504, '📅 Resumen Diario'!$B$5:$B$504, B3021, '📅 Resumen Diario'!$C$5:$C$504, D3021), 0))</f>
        <v/>
      </c>
      <c r="M3021" s="31" t="str">
        <f t="shared" si="332"/>
        <v/>
      </c>
      <c r="N3021" s="31" t="str">
        <f t="shared" si="333"/>
        <v/>
      </c>
      <c r="O3021" s="31" t="str">
        <f>IF(OR(B3021="",C3021=""),"",K3021-N3021 + IFERROR(E3021 / SUMIFS('📅 Resumen Diario'!$D$5:$D$504, '📅 Resumen Diario'!$B$5:$B$504, B3021, '📅 Resumen Diario'!$C$5:$C$504, D3021) * (SUMIFS('📋 Detalle Diario'!$E$5:$E$489, '📋 Detalle Diario'!$B$5:$B$489, B3021, '📋 Detalle Diario'!$C$5:$C$489, D3021) * 135 + SUMIFS('📋 Detalle Diario'!$I$5:$I$489, '📋 Detalle Diario'!$B$5:$B$489, B3021, '📋 Detalle Diario'!$C$5:$C$489, D3021) * 200), 0))</f>
        <v/>
      </c>
      <c r="P3021" s="32" t="str">
        <f t="shared" si="334"/>
        <v/>
      </c>
      <c r="Q3021" s="33" t="str">
        <f t="shared" si="335"/>
        <v/>
      </c>
    </row>
    <row r="3022" spans="2:17" ht="18" customHeight="1" x14ac:dyDescent="0.3">
      <c r="B3022" s="26"/>
      <c r="C3022" s="17"/>
      <c r="D3022" s="27"/>
      <c r="E3022" s="18"/>
      <c r="F3022" s="18"/>
      <c r="G3022" s="18"/>
      <c r="H3022" s="30" t="str">
        <f t="shared" si="329"/>
        <v/>
      </c>
      <c r="I3022" s="31" t="str">
        <f>IF(OR(B3022="",C3022=""),"",IFERROR(E3022*IF(E3022="",0,VLOOKUP(C3022,'📦 Precios Proforma'!$B$5:$D$104,IF(D3022="DIA",2,3),FALSE)),0))</f>
        <v/>
      </c>
      <c r="J3022" s="31" t="str">
        <f t="shared" si="330"/>
        <v/>
      </c>
      <c r="K3022" s="31" t="str">
        <f t="shared" si="331"/>
        <v/>
      </c>
      <c r="L3022" s="31" t="str">
        <f>IF(OR(B3022="",C3022=""),"",IFERROR(E3022 / SUMIFS('📅 Resumen Diario'!$D$5:$D$504, '📅 Resumen Diario'!$B$5:$B$504, B3022, '📅 Resumen Diario'!$C$5:$C$504, D3022) * SUMIFS('📅 Resumen Diario'!$K$5:$K$504, '📅 Resumen Diario'!$B$5:$B$504, B3022, '📅 Resumen Diario'!$C$5:$C$504, D3022), 0))</f>
        <v/>
      </c>
      <c r="M3022" s="31" t="str">
        <f t="shared" si="332"/>
        <v/>
      </c>
      <c r="N3022" s="31" t="str">
        <f t="shared" si="333"/>
        <v/>
      </c>
      <c r="O3022" s="31" t="str">
        <f>IF(OR(B3022="",C3022=""),"",K3022-N3022 + IFERROR(E3022 / SUMIFS('📅 Resumen Diario'!$D$5:$D$504, '📅 Resumen Diario'!$B$5:$B$504, B3022, '📅 Resumen Diario'!$C$5:$C$504, D3022) * (SUMIFS('📋 Detalle Diario'!$E$5:$E$489, '📋 Detalle Diario'!$B$5:$B$489, B3022, '📋 Detalle Diario'!$C$5:$C$489, D3022) * 135 + SUMIFS('📋 Detalle Diario'!$I$5:$I$489, '📋 Detalle Diario'!$B$5:$B$489, B3022, '📋 Detalle Diario'!$C$5:$C$489, D3022) * 200), 0))</f>
        <v/>
      </c>
      <c r="P3022" s="32" t="str">
        <f t="shared" si="334"/>
        <v/>
      </c>
      <c r="Q3022" s="33" t="str">
        <f t="shared" si="335"/>
        <v/>
      </c>
    </row>
    <row r="3023" spans="2:17" ht="18" customHeight="1" x14ac:dyDescent="0.3">
      <c r="B3023" s="26"/>
      <c r="C3023" s="28"/>
      <c r="D3023" s="27"/>
      <c r="E3023" s="29"/>
      <c r="F3023" s="29"/>
      <c r="G3023" s="29"/>
      <c r="H3023" s="30" t="str">
        <f t="shared" si="329"/>
        <v/>
      </c>
      <c r="I3023" s="31" t="str">
        <f>IF(OR(B3023="",C3023=""),"",IFERROR(E3023*IF(E3023="",0,VLOOKUP(C3023,'📦 Precios Proforma'!$B$5:$D$104,IF(D3023="DIA",2,3),FALSE)),0))</f>
        <v/>
      </c>
      <c r="J3023" s="31" t="str">
        <f t="shared" si="330"/>
        <v/>
      </c>
      <c r="K3023" s="31" t="str">
        <f t="shared" si="331"/>
        <v/>
      </c>
      <c r="L3023" s="31" t="str">
        <f>IF(OR(B3023="",C3023=""),"",IFERROR(E3023 / SUMIFS('📅 Resumen Diario'!$D$5:$D$504, '📅 Resumen Diario'!$B$5:$B$504, B3023, '📅 Resumen Diario'!$C$5:$C$504, D3023) * SUMIFS('📅 Resumen Diario'!$K$5:$K$504, '📅 Resumen Diario'!$B$5:$B$504, B3023, '📅 Resumen Diario'!$C$5:$C$504, D3023), 0))</f>
        <v/>
      </c>
      <c r="M3023" s="31" t="str">
        <f t="shared" si="332"/>
        <v/>
      </c>
      <c r="N3023" s="31" t="str">
        <f t="shared" si="333"/>
        <v/>
      </c>
      <c r="O3023" s="31" t="str">
        <f>IF(OR(B3023="",C3023=""),"",K3023-N3023 + IFERROR(E3023 / SUMIFS('📅 Resumen Diario'!$D$5:$D$504, '📅 Resumen Diario'!$B$5:$B$504, B3023, '📅 Resumen Diario'!$C$5:$C$504, D3023) * (SUMIFS('📋 Detalle Diario'!$E$5:$E$489, '📋 Detalle Diario'!$B$5:$B$489, B3023, '📋 Detalle Diario'!$C$5:$C$489, D3023) * 135 + SUMIFS('📋 Detalle Diario'!$I$5:$I$489, '📋 Detalle Diario'!$B$5:$B$489, B3023, '📋 Detalle Diario'!$C$5:$C$489, D3023) * 200), 0))</f>
        <v/>
      </c>
      <c r="P3023" s="32" t="str">
        <f t="shared" si="334"/>
        <v/>
      </c>
      <c r="Q3023" s="33" t="str">
        <f t="shared" si="335"/>
        <v/>
      </c>
    </row>
    <row r="3024" spans="2:17" ht="18" customHeight="1" x14ac:dyDescent="0.3">
      <c r="B3024" s="26"/>
      <c r="C3024" s="17"/>
      <c r="D3024" s="27"/>
      <c r="E3024" s="18"/>
      <c r="F3024" s="18"/>
      <c r="G3024" s="18"/>
      <c r="H3024" s="30" t="str">
        <f t="shared" si="329"/>
        <v/>
      </c>
      <c r="I3024" s="31" t="str">
        <f>IF(OR(B3024="",C3024=""),"",IFERROR(E3024*IF(E3024="",0,VLOOKUP(C3024,'📦 Precios Proforma'!$B$5:$D$104,IF(D3024="DIA",2,3),FALSE)),0))</f>
        <v/>
      </c>
      <c r="J3024" s="31" t="str">
        <f t="shared" si="330"/>
        <v/>
      </c>
      <c r="K3024" s="31" t="str">
        <f t="shared" si="331"/>
        <v/>
      </c>
      <c r="L3024" s="31" t="str">
        <f>IF(OR(B3024="",C3024=""),"",IFERROR(E3024 / SUMIFS('📅 Resumen Diario'!$D$5:$D$504, '📅 Resumen Diario'!$B$5:$B$504, B3024, '📅 Resumen Diario'!$C$5:$C$504, D3024) * SUMIFS('📅 Resumen Diario'!$K$5:$K$504, '📅 Resumen Diario'!$B$5:$B$504, B3024, '📅 Resumen Diario'!$C$5:$C$504, D3024), 0))</f>
        <v/>
      </c>
      <c r="M3024" s="31" t="str">
        <f t="shared" si="332"/>
        <v/>
      </c>
      <c r="N3024" s="31" t="str">
        <f t="shared" si="333"/>
        <v/>
      </c>
      <c r="O3024" s="31" t="str">
        <f>IF(OR(B3024="",C3024=""),"",K3024-N3024 + IFERROR(E3024 / SUMIFS('📅 Resumen Diario'!$D$5:$D$504, '📅 Resumen Diario'!$B$5:$B$504, B3024, '📅 Resumen Diario'!$C$5:$C$504, D3024) * (SUMIFS('📋 Detalle Diario'!$E$5:$E$489, '📋 Detalle Diario'!$B$5:$B$489, B3024, '📋 Detalle Diario'!$C$5:$C$489, D3024) * 135 + SUMIFS('📋 Detalle Diario'!$I$5:$I$489, '📋 Detalle Diario'!$B$5:$B$489, B3024, '📋 Detalle Diario'!$C$5:$C$489, D3024) * 200), 0))</f>
        <v/>
      </c>
      <c r="P3024" s="32" t="str">
        <f t="shared" si="334"/>
        <v/>
      </c>
      <c r="Q3024" s="33" t="str">
        <f t="shared" si="335"/>
        <v/>
      </c>
    </row>
    <row r="3025" spans="2:17" ht="18" customHeight="1" x14ac:dyDescent="0.3">
      <c r="B3025" s="26"/>
      <c r="C3025" s="28"/>
      <c r="D3025" s="27"/>
      <c r="E3025" s="29"/>
      <c r="F3025" s="29"/>
      <c r="G3025" s="29"/>
      <c r="H3025" s="30" t="str">
        <f t="shared" si="329"/>
        <v/>
      </c>
      <c r="I3025" s="31" t="str">
        <f>IF(OR(B3025="",C3025=""),"",IFERROR(E3025*IF(E3025="",0,VLOOKUP(C3025,'📦 Precios Proforma'!$B$5:$D$104,IF(D3025="DIA",2,3),FALSE)),0))</f>
        <v/>
      </c>
      <c r="J3025" s="31" t="str">
        <f t="shared" si="330"/>
        <v/>
      </c>
      <c r="K3025" s="31" t="str">
        <f t="shared" si="331"/>
        <v/>
      </c>
      <c r="L3025" s="31" t="str">
        <f>IF(OR(B3025="",C3025=""),"",IFERROR(E3025 / SUMIFS('📅 Resumen Diario'!$D$5:$D$504, '📅 Resumen Diario'!$B$5:$B$504, B3025, '📅 Resumen Diario'!$C$5:$C$504, D3025) * SUMIFS('📅 Resumen Diario'!$K$5:$K$504, '📅 Resumen Diario'!$B$5:$B$504, B3025, '📅 Resumen Diario'!$C$5:$C$504, D3025), 0))</f>
        <v/>
      </c>
      <c r="M3025" s="31" t="str">
        <f t="shared" si="332"/>
        <v/>
      </c>
      <c r="N3025" s="31" t="str">
        <f t="shared" si="333"/>
        <v/>
      </c>
      <c r="O3025" s="31" t="str">
        <f>IF(OR(B3025="",C3025=""),"",K3025-N3025 + IFERROR(E3025 / SUMIFS('📅 Resumen Diario'!$D$5:$D$504, '📅 Resumen Diario'!$B$5:$B$504, B3025, '📅 Resumen Diario'!$C$5:$C$504, D3025) * (SUMIFS('📋 Detalle Diario'!$E$5:$E$489, '📋 Detalle Diario'!$B$5:$B$489, B3025, '📋 Detalle Diario'!$C$5:$C$489, D3025) * 135 + SUMIFS('📋 Detalle Diario'!$I$5:$I$489, '📋 Detalle Diario'!$B$5:$B$489, B3025, '📋 Detalle Diario'!$C$5:$C$489, D3025) * 200), 0))</f>
        <v/>
      </c>
      <c r="P3025" s="32" t="str">
        <f t="shared" si="334"/>
        <v/>
      </c>
      <c r="Q3025" s="33" t="str">
        <f t="shared" si="335"/>
        <v/>
      </c>
    </row>
    <row r="3026" spans="2:17" ht="18" customHeight="1" x14ac:dyDescent="0.3">
      <c r="B3026" s="26"/>
      <c r="C3026" s="17"/>
      <c r="D3026" s="27"/>
      <c r="E3026" s="18"/>
      <c r="F3026" s="18"/>
      <c r="G3026" s="18"/>
      <c r="H3026" s="30" t="str">
        <f t="shared" si="329"/>
        <v/>
      </c>
      <c r="I3026" s="31" t="str">
        <f>IF(OR(B3026="",C3026=""),"",IFERROR(E3026*IF(E3026="",0,VLOOKUP(C3026,'📦 Precios Proforma'!$B$5:$D$104,IF(D3026="DIA",2,3),FALSE)),0))</f>
        <v/>
      </c>
      <c r="J3026" s="31" t="str">
        <f t="shared" si="330"/>
        <v/>
      </c>
      <c r="K3026" s="31" t="str">
        <f t="shared" si="331"/>
        <v/>
      </c>
      <c r="L3026" s="31" t="str">
        <f>IF(OR(B3026="",C3026=""),"",IFERROR(E3026 / SUMIFS('📅 Resumen Diario'!$D$5:$D$504, '📅 Resumen Diario'!$B$5:$B$504, B3026, '📅 Resumen Diario'!$C$5:$C$504, D3026) * SUMIFS('📅 Resumen Diario'!$K$5:$K$504, '📅 Resumen Diario'!$B$5:$B$504, B3026, '📅 Resumen Diario'!$C$5:$C$504, D3026), 0))</f>
        <v/>
      </c>
      <c r="M3026" s="31" t="str">
        <f t="shared" si="332"/>
        <v/>
      </c>
      <c r="N3026" s="31" t="str">
        <f t="shared" si="333"/>
        <v/>
      </c>
      <c r="O3026" s="31" t="str">
        <f>IF(OR(B3026="",C3026=""),"",K3026-N3026 + IFERROR(E3026 / SUMIFS('📅 Resumen Diario'!$D$5:$D$504, '📅 Resumen Diario'!$B$5:$B$504, B3026, '📅 Resumen Diario'!$C$5:$C$504, D3026) * (SUMIFS('📋 Detalle Diario'!$E$5:$E$489, '📋 Detalle Diario'!$B$5:$B$489, B3026, '📋 Detalle Diario'!$C$5:$C$489, D3026) * 135 + SUMIFS('📋 Detalle Diario'!$I$5:$I$489, '📋 Detalle Diario'!$B$5:$B$489, B3026, '📋 Detalle Diario'!$C$5:$C$489, D3026) * 200), 0))</f>
        <v/>
      </c>
      <c r="P3026" s="32" t="str">
        <f t="shared" si="334"/>
        <v/>
      </c>
      <c r="Q3026" s="33" t="str">
        <f t="shared" si="335"/>
        <v/>
      </c>
    </row>
    <row r="3027" spans="2:17" ht="18" customHeight="1" x14ac:dyDescent="0.3">
      <c r="B3027" s="26"/>
      <c r="C3027" s="28"/>
      <c r="D3027" s="27"/>
      <c r="E3027" s="29"/>
      <c r="F3027" s="29"/>
      <c r="G3027" s="29"/>
      <c r="H3027" s="30" t="str">
        <f t="shared" si="329"/>
        <v/>
      </c>
      <c r="I3027" s="31" t="str">
        <f>IF(OR(B3027="",C3027=""),"",IFERROR(E3027*IF(E3027="",0,VLOOKUP(C3027,'📦 Precios Proforma'!$B$5:$D$104,IF(D3027="DIA",2,3),FALSE)),0))</f>
        <v/>
      </c>
      <c r="J3027" s="31" t="str">
        <f t="shared" si="330"/>
        <v/>
      </c>
      <c r="K3027" s="31" t="str">
        <f t="shared" si="331"/>
        <v/>
      </c>
      <c r="L3027" s="31" t="str">
        <f>IF(OR(B3027="",C3027=""),"",IFERROR(E3027 / SUMIFS('📅 Resumen Diario'!$D$5:$D$504, '📅 Resumen Diario'!$B$5:$B$504, B3027, '📅 Resumen Diario'!$C$5:$C$504, D3027) * SUMIFS('📅 Resumen Diario'!$K$5:$K$504, '📅 Resumen Diario'!$B$5:$B$504, B3027, '📅 Resumen Diario'!$C$5:$C$504, D3027), 0))</f>
        <v/>
      </c>
      <c r="M3027" s="31" t="str">
        <f t="shared" si="332"/>
        <v/>
      </c>
      <c r="N3027" s="31" t="str">
        <f t="shared" si="333"/>
        <v/>
      </c>
      <c r="O3027" s="31" t="str">
        <f>IF(OR(B3027="",C3027=""),"",K3027-N3027 + IFERROR(E3027 / SUMIFS('📅 Resumen Diario'!$D$5:$D$504, '📅 Resumen Diario'!$B$5:$B$504, B3027, '📅 Resumen Diario'!$C$5:$C$504, D3027) * (SUMIFS('📋 Detalle Diario'!$E$5:$E$489, '📋 Detalle Diario'!$B$5:$B$489, B3027, '📋 Detalle Diario'!$C$5:$C$489, D3027) * 135 + SUMIFS('📋 Detalle Diario'!$I$5:$I$489, '📋 Detalle Diario'!$B$5:$B$489, B3027, '📋 Detalle Diario'!$C$5:$C$489, D3027) * 200), 0))</f>
        <v/>
      </c>
      <c r="P3027" s="32" t="str">
        <f t="shared" si="334"/>
        <v/>
      </c>
      <c r="Q3027" s="33" t="str">
        <f t="shared" si="335"/>
        <v/>
      </c>
    </row>
    <row r="3028" spans="2:17" ht="18" customHeight="1" x14ac:dyDescent="0.3">
      <c r="B3028" s="26"/>
      <c r="C3028" s="17"/>
      <c r="D3028" s="27"/>
      <c r="E3028" s="18"/>
      <c r="F3028" s="18"/>
      <c r="G3028" s="18"/>
      <c r="H3028" s="30" t="str">
        <f t="shared" si="329"/>
        <v/>
      </c>
      <c r="I3028" s="31" t="str">
        <f>IF(OR(B3028="",C3028=""),"",IFERROR(E3028*IF(E3028="",0,VLOOKUP(C3028,'📦 Precios Proforma'!$B$5:$D$104,IF(D3028="DIA",2,3),FALSE)),0))</f>
        <v/>
      </c>
      <c r="J3028" s="31" t="str">
        <f t="shared" si="330"/>
        <v/>
      </c>
      <c r="K3028" s="31" t="str">
        <f t="shared" si="331"/>
        <v/>
      </c>
      <c r="L3028" s="31" t="str">
        <f>IF(OR(B3028="",C3028=""),"",IFERROR(E3028 / SUMIFS('📅 Resumen Diario'!$D$5:$D$504, '📅 Resumen Diario'!$B$5:$B$504, B3028, '📅 Resumen Diario'!$C$5:$C$504, D3028) * SUMIFS('📅 Resumen Diario'!$K$5:$K$504, '📅 Resumen Diario'!$B$5:$B$504, B3028, '📅 Resumen Diario'!$C$5:$C$504, D3028), 0))</f>
        <v/>
      </c>
      <c r="M3028" s="31" t="str">
        <f t="shared" si="332"/>
        <v/>
      </c>
      <c r="N3028" s="31" t="str">
        <f t="shared" si="333"/>
        <v/>
      </c>
      <c r="O3028" s="31" t="str">
        <f>IF(OR(B3028="",C3028=""),"",K3028-N3028 + IFERROR(E3028 / SUMIFS('📅 Resumen Diario'!$D$5:$D$504, '📅 Resumen Diario'!$B$5:$B$504, B3028, '📅 Resumen Diario'!$C$5:$C$504, D3028) * (SUMIFS('📋 Detalle Diario'!$E$5:$E$489, '📋 Detalle Diario'!$B$5:$B$489, B3028, '📋 Detalle Diario'!$C$5:$C$489, D3028) * 135 + SUMIFS('📋 Detalle Diario'!$I$5:$I$489, '📋 Detalle Diario'!$B$5:$B$489, B3028, '📋 Detalle Diario'!$C$5:$C$489, D3028) * 200), 0))</f>
        <v/>
      </c>
      <c r="P3028" s="32" t="str">
        <f t="shared" si="334"/>
        <v/>
      </c>
      <c r="Q3028" s="33" t="str">
        <f t="shared" si="335"/>
        <v/>
      </c>
    </row>
    <row r="3029" spans="2:17" ht="18" customHeight="1" x14ac:dyDescent="0.3">
      <c r="B3029" s="26"/>
      <c r="C3029" s="28"/>
      <c r="D3029" s="27"/>
      <c r="E3029" s="29"/>
      <c r="F3029" s="29"/>
      <c r="G3029" s="29"/>
      <c r="H3029" s="30" t="str">
        <f t="shared" si="329"/>
        <v/>
      </c>
      <c r="I3029" s="31" t="str">
        <f>IF(OR(B3029="",C3029=""),"",IFERROR(E3029*IF(E3029="",0,VLOOKUP(C3029,'📦 Precios Proforma'!$B$5:$D$104,IF(D3029="DIA",2,3),FALSE)),0))</f>
        <v/>
      </c>
      <c r="J3029" s="31" t="str">
        <f t="shared" si="330"/>
        <v/>
      </c>
      <c r="K3029" s="31" t="str">
        <f t="shared" si="331"/>
        <v/>
      </c>
      <c r="L3029" s="31" t="str">
        <f>IF(OR(B3029="",C3029=""),"",IFERROR(E3029 / SUMIFS('📅 Resumen Diario'!$D$5:$D$504, '📅 Resumen Diario'!$B$5:$B$504, B3029, '📅 Resumen Diario'!$C$5:$C$504, D3029) * SUMIFS('📅 Resumen Diario'!$K$5:$K$504, '📅 Resumen Diario'!$B$5:$B$504, B3029, '📅 Resumen Diario'!$C$5:$C$504, D3029), 0))</f>
        <v/>
      </c>
      <c r="M3029" s="31" t="str">
        <f t="shared" si="332"/>
        <v/>
      </c>
      <c r="N3029" s="31" t="str">
        <f t="shared" si="333"/>
        <v/>
      </c>
      <c r="O3029" s="31" t="str">
        <f>IF(OR(B3029="",C3029=""),"",K3029-N3029 + IFERROR(E3029 / SUMIFS('📅 Resumen Diario'!$D$5:$D$504, '📅 Resumen Diario'!$B$5:$B$504, B3029, '📅 Resumen Diario'!$C$5:$C$504, D3029) * (SUMIFS('📋 Detalle Diario'!$E$5:$E$489, '📋 Detalle Diario'!$B$5:$B$489, B3029, '📋 Detalle Diario'!$C$5:$C$489, D3029) * 135 + SUMIFS('📋 Detalle Diario'!$I$5:$I$489, '📋 Detalle Diario'!$B$5:$B$489, B3029, '📋 Detalle Diario'!$C$5:$C$489, D3029) * 200), 0))</f>
        <v/>
      </c>
      <c r="P3029" s="32" t="str">
        <f t="shared" si="334"/>
        <v/>
      </c>
      <c r="Q3029" s="33" t="str">
        <f t="shared" si="335"/>
        <v/>
      </c>
    </row>
    <row r="3030" spans="2:17" ht="18" customHeight="1" x14ac:dyDescent="0.3">
      <c r="B3030" s="26"/>
      <c r="C3030" s="17"/>
      <c r="D3030" s="27"/>
      <c r="E3030" s="18"/>
      <c r="F3030" s="18"/>
      <c r="G3030" s="18"/>
      <c r="H3030" s="30" t="str">
        <f t="shared" si="329"/>
        <v/>
      </c>
      <c r="I3030" s="31" t="str">
        <f>IF(OR(B3030="",C3030=""),"",IFERROR(E3030*IF(E3030="",0,VLOOKUP(C3030,'📦 Precios Proforma'!$B$5:$D$104,IF(D3030="DIA",2,3),FALSE)),0))</f>
        <v/>
      </c>
      <c r="J3030" s="31" t="str">
        <f t="shared" si="330"/>
        <v/>
      </c>
      <c r="K3030" s="31" t="str">
        <f t="shared" si="331"/>
        <v/>
      </c>
      <c r="L3030" s="31" t="str">
        <f>IF(OR(B3030="",C3030=""),"",IFERROR(E3030 / SUMIFS('📅 Resumen Diario'!$D$5:$D$504, '📅 Resumen Diario'!$B$5:$B$504, B3030, '📅 Resumen Diario'!$C$5:$C$504, D3030) * SUMIFS('📅 Resumen Diario'!$K$5:$K$504, '📅 Resumen Diario'!$B$5:$B$504, B3030, '📅 Resumen Diario'!$C$5:$C$504, D3030), 0))</f>
        <v/>
      </c>
      <c r="M3030" s="31" t="str">
        <f t="shared" si="332"/>
        <v/>
      </c>
      <c r="N3030" s="31" t="str">
        <f t="shared" si="333"/>
        <v/>
      </c>
      <c r="O3030" s="31" t="str">
        <f>IF(OR(B3030="",C3030=""),"",K3030-N3030 + IFERROR(E3030 / SUMIFS('📅 Resumen Diario'!$D$5:$D$504, '📅 Resumen Diario'!$B$5:$B$504, B3030, '📅 Resumen Diario'!$C$5:$C$504, D3030) * (SUMIFS('📋 Detalle Diario'!$E$5:$E$489, '📋 Detalle Diario'!$B$5:$B$489, B3030, '📋 Detalle Diario'!$C$5:$C$489, D3030) * 135 + SUMIFS('📋 Detalle Diario'!$I$5:$I$489, '📋 Detalle Diario'!$B$5:$B$489, B3030, '📋 Detalle Diario'!$C$5:$C$489, D3030) * 200), 0))</f>
        <v/>
      </c>
      <c r="P3030" s="32" t="str">
        <f t="shared" si="334"/>
        <v/>
      </c>
      <c r="Q3030" s="33" t="str">
        <f t="shared" si="335"/>
        <v/>
      </c>
    </row>
    <row r="3031" spans="2:17" ht="18" customHeight="1" x14ac:dyDescent="0.3">
      <c r="B3031" s="26"/>
      <c r="C3031" s="28"/>
      <c r="D3031" s="27"/>
      <c r="E3031" s="29"/>
      <c r="F3031" s="29"/>
      <c r="G3031" s="29"/>
      <c r="H3031" s="30" t="str">
        <f t="shared" si="329"/>
        <v/>
      </c>
      <c r="I3031" s="31" t="str">
        <f>IF(OR(B3031="",C3031=""),"",IFERROR(E3031*IF(E3031="",0,VLOOKUP(C3031,'📦 Precios Proforma'!$B$5:$D$104,IF(D3031="DIA",2,3),FALSE)),0))</f>
        <v/>
      </c>
      <c r="J3031" s="31" t="str">
        <f t="shared" si="330"/>
        <v/>
      </c>
      <c r="K3031" s="31" t="str">
        <f t="shared" si="331"/>
        <v/>
      </c>
      <c r="L3031" s="31" t="str">
        <f>IF(OR(B3031="",C3031=""),"",IFERROR(E3031 / SUMIFS('📅 Resumen Diario'!$D$5:$D$504, '📅 Resumen Diario'!$B$5:$B$504, B3031, '📅 Resumen Diario'!$C$5:$C$504, D3031) * SUMIFS('📅 Resumen Diario'!$K$5:$K$504, '📅 Resumen Diario'!$B$5:$B$504, B3031, '📅 Resumen Diario'!$C$5:$C$504, D3031), 0))</f>
        <v/>
      </c>
      <c r="M3031" s="31" t="str">
        <f t="shared" si="332"/>
        <v/>
      </c>
      <c r="N3031" s="31" t="str">
        <f t="shared" si="333"/>
        <v/>
      </c>
      <c r="O3031" s="31" t="str">
        <f>IF(OR(B3031="",C3031=""),"",K3031-N3031 + IFERROR(E3031 / SUMIFS('📅 Resumen Diario'!$D$5:$D$504, '📅 Resumen Diario'!$B$5:$B$504, B3031, '📅 Resumen Diario'!$C$5:$C$504, D3031) * (SUMIFS('📋 Detalle Diario'!$E$5:$E$489, '📋 Detalle Diario'!$B$5:$B$489, B3031, '📋 Detalle Diario'!$C$5:$C$489, D3031) * 135 + SUMIFS('📋 Detalle Diario'!$I$5:$I$489, '📋 Detalle Diario'!$B$5:$B$489, B3031, '📋 Detalle Diario'!$C$5:$C$489, D3031) * 200), 0))</f>
        <v/>
      </c>
      <c r="P3031" s="32" t="str">
        <f t="shared" si="334"/>
        <v/>
      </c>
      <c r="Q3031" s="33" t="str">
        <f t="shared" si="335"/>
        <v/>
      </c>
    </row>
    <row r="3032" spans="2:17" ht="18" customHeight="1" x14ac:dyDescent="0.3">
      <c r="B3032" s="26"/>
      <c r="C3032" s="17"/>
      <c r="D3032" s="27"/>
      <c r="E3032" s="18"/>
      <c r="F3032" s="18"/>
      <c r="G3032" s="18"/>
      <c r="H3032" s="30" t="str">
        <f t="shared" si="329"/>
        <v/>
      </c>
      <c r="I3032" s="31" t="str">
        <f>IF(OR(B3032="",C3032=""),"",IFERROR(E3032*IF(E3032="",0,VLOOKUP(C3032,'📦 Precios Proforma'!$B$5:$D$104,IF(D3032="DIA",2,3),FALSE)),0))</f>
        <v/>
      </c>
      <c r="J3032" s="31" t="str">
        <f t="shared" si="330"/>
        <v/>
      </c>
      <c r="K3032" s="31" t="str">
        <f t="shared" si="331"/>
        <v/>
      </c>
      <c r="L3032" s="31" t="str">
        <f>IF(OR(B3032="",C3032=""),"",IFERROR(E3032 / SUMIFS('📅 Resumen Diario'!$D$5:$D$504, '📅 Resumen Diario'!$B$5:$B$504, B3032, '📅 Resumen Diario'!$C$5:$C$504, D3032) * SUMIFS('📅 Resumen Diario'!$K$5:$K$504, '📅 Resumen Diario'!$B$5:$B$504, B3032, '📅 Resumen Diario'!$C$5:$C$504, D3032), 0))</f>
        <v/>
      </c>
      <c r="M3032" s="31" t="str">
        <f t="shared" si="332"/>
        <v/>
      </c>
      <c r="N3032" s="31" t="str">
        <f t="shared" si="333"/>
        <v/>
      </c>
      <c r="O3032" s="31" t="str">
        <f>IF(OR(B3032="",C3032=""),"",K3032-N3032 + IFERROR(E3032 / SUMIFS('📅 Resumen Diario'!$D$5:$D$504, '📅 Resumen Diario'!$B$5:$B$504, B3032, '📅 Resumen Diario'!$C$5:$C$504, D3032) * (SUMIFS('📋 Detalle Diario'!$E$5:$E$489, '📋 Detalle Diario'!$B$5:$B$489, B3032, '📋 Detalle Diario'!$C$5:$C$489, D3032) * 135 + SUMIFS('📋 Detalle Diario'!$I$5:$I$489, '📋 Detalle Diario'!$B$5:$B$489, B3032, '📋 Detalle Diario'!$C$5:$C$489, D3032) * 200), 0))</f>
        <v/>
      </c>
      <c r="P3032" s="32" t="str">
        <f t="shared" si="334"/>
        <v/>
      </c>
      <c r="Q3032" s="33" t="str">
        <f t="shared" si="335"/>
        <v/>
      </c>
    </row>
    <row r="3033" spans="2:17" ht="18" customHeight="1" x14ac:dyDescent="0.3">
      <c r="B3033" s="26"/>
      <c r="C3033" s="28"/>
      <c r="D3033" s="27"/>
      <c r="E3033" s="29"/>
      <c r="F3033" s="29"/>
      <c r="G3033" s="29"/>
      <c r="H3033" s="30" t="str">
        <f t="shared" si="329"/>
        <v/>
      </c>
      <c r="I3033" s="31" t="str">
        <f>IF(OR(B3033="",C3033=""),"",IFERROR(E3033*IF(E3033="",0,VLOOKUP(C3033,'📦 Precios Proforma'!$B$5:$D$104,IF(D3033="DIA",2,3),FALSE)),0))</f>
        <v/>
      </c>
      <c r="J3033" s="31" t="str">
        <f t="shared" si="330"/>
        <v/>
      </c>
      <c r="K3033" s="31" t="str">
        <f t="shared" si="331"/>
        <v/>
      </c>
      <c r="L3033" s="31" t="str">
        <f>IF(OR(B3033="",C3033=""),"",IFERROR(E3033 / SUMIFS('📅 Resumen Diario'!$D$5:$D$504, '📅 Resumen Diario'!$B$5:$B$504, B3033, '📅 Resumen Diario'!$C$5:$C$504, D3033) * SUMIFS('📅 Resumen Diario'!$K$5:$K$504, '📅 Resumen Diario'!$B$5:$B$504, B3033, '📅 Resumen Diario'!$C$5:$C$504, D3033), 0))</f>
        <v/>
      </c>
      <c r="M3033" s="31" t="str">
        <f t="shared" si="332"/>
        <v/>
      </c>
      <c r="N3033" s="31" t="str">
        <f t="shared" si="333"/>
        <v/>
      </c>
      <c r="O3033" s="31" t="str">
        <f>IF(OR(B3033="",C3033=""),"",K3033-N3033 + IFERROR(E3033 / SUMIFS('📅 Resumen Diario'!$D$5:$D$504, '📅 Resumen Diario'!$B$5:$B$504, B3033, '📅 Resumen Diario'!$C$5:$C$504, D3033) * (SUMIFS('📋 Detalle Diario'!$E$5:$E$489, '📋 Detalle Diario'!$B$5:$B$489, B3033, '📋 Detalle Diario'!$C$5:$C$489, D3033) * 135 + SUMIFS('📋 Detalle Diario'!$I$5:$I$489, '📋 Detalle Diario'!$B$5:$B$489, B3033, '📋 Detalle Diario'!$C$5:$C$489, D3033) * 200), 0))</f>
        <v/>
      </c>
      <c r="P3033" s="32" t="str">
        <f t="shared" si="334"/>
        <v/>
      </c>
      <c r="Q3033" s="33" t="str">
        <f t="shared" si="335"/>
        <v/>
      </c>
    </row>
    <row r="3034" spans="2:17" ht="18" customHeight="1" x14ac:dyDescent="0.3">
      <c r="B3034" s="26"/>
      <c r="C3034" s="17"/>
      <c r="D3034" s="27"/>
      <c r="E3034" s="18"/>
      <c r="F3034" s="18"/>
      <c r="G3034" s="18"/>
      <c r="H3034" s="30" t="str">
        <f t="shared" si="329"/>
        <v/>
      </c>
      <c r="I3034" s="31" t="str">
        <f>IF(OR(B3034="",C3034=""),"",IFERROR(E3034*IF(E3034="",0,VLOOKUP(C3034,'📦 Precios Proforma'!$B$5:$D$104,IF(D3034="DIA",2,3),FALSE)),0))</f>
        <v/>
      </c>
      <c r="J3034" s="31" t="str">
        <f t="shared" si="330"/>
        <v/>
      </c>
      <c r="K3034" s="31" t="str">
        <f t="shared" si="331"/>
        <v/>
      </c>
      <c r="L3034" s="31" t="str">
        <f>IF(OR(B3034="",C3034=""),"",IFERROR(E3034 / SUMIFS('📅 Resumen Diario'!$D$5:$D$504, '📅 Resumen Diario'!$B$5:$B$504, B3034, '📅 Resumen Diario'!$C$5:$C$504, D3034) * SUMIFS('📅 Resumen Diario'!$K$5:$K$504, '📅 Resumen Diario'!$B$5:$B$504, B3034, '📅 Resumen Diario'!$C$5:$C$504, D3034), 0))</f>
        <v/>
      </c>
      <c r="M3034" s="31" t="str">
        <f t="shared" si="332"/>
        <v/>
      </c>
      <c r="N3034" s="31" t="str">
        <f t="shared" si="333"/>
        <v/>
      </c>
      <c r="O3034" s="31" t="str">
        <f>IF(OR(B3034="",C3034=""),"",K3034-N3034 + IFERROR(E3034 / SUMIFS('📅 Resumen Diario'!$D$5:$D$504, '📅 Resumen Diario'!$B$5:$B$504, B3034, '📅 Resumen Diario'!$C$5:$C$504, D3034) * (SUMIFS('📋 Detalle Diario'!$E$5:$E$489, '📋 Detalle Diario'!$B$5:$B$489, B3034, '📋 Detalle Diario'!$C$5:$C$489, D3034) * 135 + SUMIFS('📋 Detalle Diario'!$I$5:$I$489, '📋 Detalle Diario'!$B$5:$B$489, B3034, '📋 Detalle Diario'!$C$5:$C$489, D3034) * 200), 0))</f>
        <v/>
      </c>
      <c r="P3034" s="32" t="str">
        <f t="shared" si="334"/>
        <v/>
      </c>
      <c r="Q3034" s="33" t="str">
        <f t="shared" si="335"/>
        <v/>
      </c>
    </row>
    <row r="3035" spans="2:17" ht="18" customHeight="1" x14ac:dyDescent="0.3">
      <c r="B3035" s="26"/>
      <c r="C3035" s="28"/>
      <c r="D3035" s="27"/>
      <c r="E3035" s="29"/>
      <c r="F3035" s="29"/>
      <c r="G3035" s="29"/>
      <c r="H3035" s="30" t="str">
        <f t="shared" si="329"/>
        <v/>
      </c>
      <c r="I3035" s="31" t="str">
        <f>IF(OR(B3035="",C3035=""),"",IFERROR(E3035*IF(E3035="",0,VLOOKUP(C3035,'📦 Precios Proforma'!$B$5:$D$104,IF(D3035="DIA",2,3),FALSE)),0))</f>
        <v/>
      </c>
      <c r="J3035" s="31" t="str">
        <f t="shared" si="330"/>
        <v/>
      </c>
      <c r="K3035" s="31" t="str">
        <f t="shared" si="331"/>
        <v/>
      </c>
      <c r="L3035" s="31" t="str">
        <f>IF(OR(B3035="",C3035=""),"",IFERROR(E3035 / SUMIFS('📅 Resumen Diario'!$D$5:$D$504, '📅 Resumen Diario'!$B$5:$B$504, B3035, '📅 Resumen Diario'!$C$5:$C$504, D3035) * SUMIFS('📅 Resumen Diario'!$K$5:$K$504, '📅 Resumen Diario'!$B$5:$B$504, B3035, '📅 Resumen Diario'!$C$5:$C$504, D3035), 0))</f>
        <v/>
      </c>
      <c r="M3035" s="31" t="str">
        <f t="shared" si="332"/>
        <v/>
      </c>
      <c r="N3035" s="31" t="str">
        <f t="shared" si="333"/>
        <v/>
      </c>
      <c r="O3035" s="31" t="str">
        <f>IF(OR(B3035="",C3035=""),"",K3035-N3035 + IFERROR(E3035 / SUMIFS('📅 Resumen Diario'!$D$5:$D$504, '📅 Resumen Diario'!$B$5:$B$504, B3035, '📅 Resumen Diario'!$C$5:$C$504, D3035) * (SUMIFS('📋 Detalle Diario'!$E$5:$E$489, '📋 Detalle Diario'!$B$5:$B$489, B3035, '📋 Detalle Diario'!$C$5:$C$489, D3035) * 135 + SUMIFS('📋 Detalle Diario'!$I$5:$I$489, '📋 Detalle Diario'!$B$5:$B$489, B3035, '📋 Detalle Diario'!$C$5:$C$489, D3035) * 200), 0))</f>
        <v/>
      </c>
      <c r="P3035" s="32" t="str">
        <f t="shared" si="334"/>
        <v/>
      </c>
      <c r="Q3035" s="33" t="str">
        <f t="shared" si="335"/>
        <v/>
      </c>
    </row>
    <row r="3036" spans="2:17" ht="18" customHeight="1" x14ac:dyDescent="0.3">
      <c r="B3036" s="26"/>
      <c r="C3036" s="17"/>
      <c r="D3036" s="27"/>
      <c r="E3036" s="18"/>
      <c r="F3036" s="18"/>
      <c r="G3036" s="18"/>
      <c r="H3036" s="30" t="str">
        <f t="shared" si="329"/>
        <v/>
      </c>
      <c r="I3036" s="31" t="str">
        <f>IF(OR(B3036="",C3036=""),"",IFERROR(E3036*IF(E3036="",0,VLOOKUP(C3036,'📦 Precios Proforma'!$B$5:$D$104,IF(D3036="DIA",2,3),FALSE)),0))</f>
        <v/>
      </c>
      <c r="J3036" s="31" t="str">
        <f t="shared" si="330"/>
        <v/>
      </c>
      <c r="K3036" s="31" t="str">
        <f t="shared" si="331"/>
        <v/>
      </c>
      <c r="L3036" s="31" t="str">
        <f>IF(OR(B3036="",C3036=""),"",IFERROR(E3036 / SUMIFS('📅 Resumen Diario'!$D$5:$D$504, '📅 Resumen Diario'!$B$5:$B$504, B3036, '📅 Resumen Diario'!$C$5:$C$504, D3036) * SUMIFS('📅 Resumen Diario'!$K$5:$K$504, '📅 Resumen Diario'!$B$5:$B$504, B3036, '📅 Resumen Diario'!$C$5:$C$504, D3036), 0))</f>
        <v/>
      </c>
      <c r="M3036" s="31" t="str">
        <f t="shared" si="332"/>
        <v/>
      </c>
      <c r="N3036" s="31" t="str">
        <f t="shared" si="333"/>
        <v/>
      </c>
      <c r="O3036" s="31" t="str">
        <f>IF(OR(B3036="",C3036=""),"",K3036-N3036 + IFERROR(E3036 / SUMIFS('📅 Resumen Diario'!$D$5:$D$504, '📅 Resumen Diario'!$B$5:$B$504, B3036, '📅 Resumen Diario'!$C$5:$C$504, D3036) * (SUMIFS('📋 Detalle Diario'!$E$5:$E$489, '📋 Detalle Diario'!$B$5:$B$489, B3036, '📋 Detalle Diario'!$C$5:$C$489, D3036) * 135 + SUMIFS('📋 Detalle Diario'!$I$5:$I$489, '📋 Detalle Diario'!$B$5:$B$489, B3036, '📋 Detalle Diario'!$C$5:$C$489, D3036) * 200), 0))</f>
        <v/>
      </c>
      <c r="P3036" s="32" t="str">
        <f t="shared" si="334"/>
        <v/>
      </c>
      <c r="Q3036" s="33" t="str">
        <f t="shared" si="335"/>
        <v/>
      </c>
    </row>
    <row r="3037" spans="2:17" ht="18" customHeight="1" x14ac:dyDescent="0.3">
      <c r="B3037" s="26"/>
      <c r="C3037" s="28"/>
      <c r="D3037" s="27"/>
      <c r="E3037" s="29"/>
      <c r="F3037" s="29"/>
      <c r="G3037" s="29"/>
      <c r="H3037" s="30" t="str">
        <f t="shared" si="329"/>
        <v/>
      </c>
      <c r="I3037" s="31" t="str">
        <f>IF(OR(B3037="",C3037=""),"",IFERROR(E3037*IF(E3037="",0,VLOOKUP(C3037,'📦 Precios Proforma'!$B$5:$D$104,IF(D3037="DIA",2,3),FALSE)),0))</f>
        <v/>
      </c>
      <c r="J3037" s="31" t="str">
        <f t="shared" si="330"/>
        <v/>
      </c>
      <c r="K3037" s="31" t="str">
        <f t="shared" si="331"/>
        <v/>
      </c>
      <c r="L3037" s="31" t="str">
        <f>IF(OR(B3037="",C3037=""),"",IFERROR(E3037 / SUMIFS('📅 Resumen Diario'!$D$5:$D$504, '📅 Resumen Diario'!$B$5:$B$504, B3037, '📅 Resumen Diario'!$C$5:$C$504, D3037) * SUMIFS('📅 Resumen Diario'!$K$5:$K$504, '📅 Resumen Diario'!$B$5:$B$504, B3037, '📅 Resumen Diario'!$C$5:$C$504, D3037), 0))</f>
        <v/>
      </c>
      <c r="M3037" s="31" t="str">
        <f t="shared" si="332"/>
        <v/>
      </c>
      <c r="N3037" s="31" t="str">
        <f t="shared" si="333"/>
        <v/>
      </c>
      <c r="O3037" s="31" t="str">
        <f>IF(OR(B3037="",C3037=""),"",K3037-N3037 + IFERROR(E3037 / SUMIFS('📅 Resumen Diario'!$D$5:$D$504, '📅 Resumen Diario'!$B$5:$B$504, B3037, '📅 Resumen Diario'!$C$5:$C$504, D3037) * (SUMIFS('📋 Detalle Diario'!$E$5:$E$489, '📋 Detalle Diario'!$B$5:$B$489, B3037, '📋 Detalle Diario'!$C$5:$C$489, D3037) * 135 + SUMIFS('📋 Detalle Diario'!$I$5:$I$489, '📋 Detalle Diario'!$B$5:$B$489, B3037, '📋 Detalle Diario'!$C$5:$C$489, D3037) * 200), 0))</f>
        <v/>
      </c>
      <c r="P3037" s="32" t="str">
        <f t="shared" si="334"/>
        <v/>
      </c>
      <c r="Q3037" s="33" t="str">
        <f t="shared" si="335"/>
        <v/>
      </c>
    </row>
    <row r="3038" spans="2:17" ht="18" customHeight="1" x14ac:dyDescent="0.3">
      <c r="B3038" s="26"/>
      <c r="C3038" s="17"/>
      <c r="D3038" s="27"/>
      <c r="E3038" s="18"/>
      <c r="F3038" s="18"/>
      <c r="G3038" s="18"/>
      <c r="H3038" s="30" t="str">
        <f t="shared" si="329"/>
        <v/>
      </c>
      <c r="I3038" s="31" t="str">
        <f>IF(OR(B3038="",C3038=""),"",IFERROR(E3038*IF(E3038="",0,VLOOKUP(C3038,'📦 Precios Proforma'!$B$5:$D$104,IF(D3038="DIA",2,3),FALSE)),0))</f>
        <v/>
      </c>
      <c r="J3038" s="31" t="str">
        <f t="shared" si="330"/>
        <v/>
      </c>
      <c r="K3038" s="31" t="str">
        <f t="shared" si="331"/>
        <v/>
      </c>
      <c r="L3038" s="31" t="str">
        <f>IF(OR(B3038="",C3038=""),"",IFERROR(E3038 / SUMIFS('📅 Resumen Diario'!$D$5:$D$504, '📅 Resumen Diario'!$B$5:$B$504, B3038, '📅 Resumen Diario'!$C$5:$C$504, D3038) * SUMIFS('📅 Resumen Diario'!$K$5:$K$504, '📅 Resumen Diario'!$B$5:$B$504, B3038, '📅 Resumen Diario'!$C$5:$C$504, D3038), 0))</f>
        <v/>
      </c>
      <c r="M3038" s="31" t="str">
        <f t="shared" si="332"/>
        <v/>
      </c>
      <c r="N3038" s="31" t="str">
        <f t="shared" si="333"/>
        <v/>
      </c>
      <c r="O3038" s="31" t="str">
        <f>IF(OR(B3038="",C3038=""),"",K3038-N3038 + IFERROR(E3038 / SUMIFS('📅 Resumen Diario'!$D$5:$D$504, '📅 Resumen Diario'!$B$5:$B$504, B3038, '📅 Resumen Diario'!$C$5:$C$504, D3038) * (SUMIFS('📋 Detalle Diario'!$E$5:$E$489, '📋 Detalle Diario'!$B$5:$B$489, B3038, '📋 Detalle Diario'!$C$5:$C$489, D3038) * 135 + SUMIFS('📋 Detalle Diario'!$I$5:$I$489, '📋 Detalle Diario'!$B$5:$B$489, B3038, '📋 Detalle Diario'!$C$5:$C$489, D3038) * 200), 0))</f>
        <v/>
      </c>
      <c r="P3038" s="32" t="str">
        <f t="shared" si="334"/>
        <v/>
      </c>
      <c r="Q3038" s="33" t="str">
        <f t="shared" si="335"/>
        <v/>
      </c>
    </row>
    <row r="3039" spans="2:17" ht="18" customHeight="1" x14ac:dyDescent="0.3">
      <c r="B3039" s="26"/>
      <c r="C3039" s="28"/>
      <c r="D3039" s="27"/>
      <c r="E3039" s="29"/>
      <c r="F3039" s="29"/>
      <c r="G3039" s="29"/>
      <c r="H3039" s="30" t="str">
        <f t="shared" si="329"/>
        <v/>
      </c>
      <c r="I3039" s="31" t="str">
        <f>IF(OR(B3039="",C3039=""),"",IFERROR(E3039*IF(E3039="",0,VLOOKUP(C3039,'📦 Precios Proforma'!$B$5:$D$104,IF(D3039="DIA",2,3),FALSE)),0))</f>
        <v/>
      </c>
      <c r="J3039" s="31" t="str">
        <f t="shared" si="330"/>
        <v/>
      </c>
      <c r="K3039" s="31" t="str">
        <f t="shared" si="331"/>
        <v/>
      </c>
      <c r="L3039" s="31" t="str">
        <f>IF(OR(B3039="",C3039=""),"",IFERROR(E3039 / SUMIFS('📅 Resumen Diario'!$D$5:$D$504, '📅 Resumen Diario'!$B$5:$B$504, B3039, '📅 Resumen Diario'!$C$5:$C$504, D3039) * SUMIFS('📅 Resumen Diario'!$K$5:$K$504, '📅 Resumen Diario'!$B$5:$B$504, B3039, '📅 Resumen Diario'!$C$5:$C$504, D3039), 0))</f>
        <v/>
      </c>
      <c r="M3039" s="31" t="str">
        <f t="shared" si="332"/>
        <v/>
      </c>
      <c r="N3039" s="31" t="str">
        <f t="shared" si="333"/>
        <v/>
      </c>
      <c r="O3039" s="31" t="str">
        <f>IF(OR(B3039="",C3039=""),"",K3039-N3039 + IFERROR(E3039 / SUMIFS('📅 Resumen Diario'!$D$5:$D$504, '📅 Resumen Diario'!$B$5:$B$504, B3039, '📅 Resumen Diario'!$C$5:$C$504, D3039) * (SUMIFS('📋 Detalle Diario'!$E$5:$E$489, '📋 Detalle Diario'!$B$5:$B$489, B3039, '📋 Detalle Diario'!$C$5:$C$489, D3039) * 135 + SUMIFS('📋 Detalle Diario'!$I$5:$I$489, '📋 Detalle Diario'!$B$5:$B$489, B3039, '📋 Detalle Diario'!$C$5:$C$489, D3039) * 200), 0))</f>
        <v/>
      </c>
      <c r="P3039" s="32" t="str">
        <f t="shared" si="334"/>
        <v/>
      </c>
      <c r="Q3039" s="33" t="str">
        <f t="shared" si="335"/>
        <v/>
      </c>
    </row>
    <row r="3040" spans="2:17" ht="18" customHeight="1" x14ac:dyDescent="0.3">
      <c r="B3040" s="26"/>
      <c r="C3040" s="17"/>
      <c r="D3040" s="27"/>
      <c r="E3040" s="18"/>
      <c r="F3040" s="18"/>
      <c r="G3040" s="18"/>
      <c r="H3040" s="30" t="str">
        <f t="shared" si="329"/>
        <v/>
      </c>
      <c r="I3040" s="31" t="str">
        <f>IF(OR(B3040="",C3040=""),"",IFERROR(E3040*IF(E3040="",0,VLOOKUP(C3040,'📦 Precios Proforma'!$B$5:$D$104,IF(D3040="DIA",2,3),FALSE)),0))</f>
        <v/>
      </c>
      <c r="J3040" s="31" t="str">
        <f t="shared" si="330"/>
        <v/>
      </c>
      <c r="K3040" s="31" t="str">
        <f t="shared" si="331"/>
        <v/>
      </c>
      <c r="L3040" s="31" t="str">
        <f>IF(OR(B3040="",C3040=""),"",IFERROR(E3040 / SUMIFS('📅 Resumen Diario'!$D$5:$D$504, '📅 Resumen Diario'!$B$5:$B$504, B3040, '📅 Resumen Diario'!$C$5:$C$504, D3040) * SUMIFS('📅 Resumen Diario'!$K$5:$K$504, '📅 Resumen Diario'!$B$5:$B$504, B3040, '📅 Resumen Diario'!$C$5:$C$504, D3040), 0))</f>
        <v/>
      </c>
      <c r="M3040" s="31" t="str">
        <f t="shared" si="332"/>
        <v/>
      </c>
      <c r="N3040" s="31" t="str">
        <f t="shared" si="333"/>
        <v/>
      </c>
      <c r="O3040" s="31" t="str">
        <f>IF(OR(B3040="",C3040=""),"",K3040-N3040 + IFERROR(E3040 / SUMIFS('📅 Resumen Diario'!$D$5:$D$504, '📅 Resumen Diario'!$B$5:$B$504, B3040, '📅 Resumen Diario'!$C$5:$C$504, D3040) * (SUMIFS('📋 Detalle Diario'!$E$5:$E$489, '📋 Detalle Diario'!$B$5:$B$489, B3040, '📋 Detalle Diario'!$C$5:$C$489, D3040) * 135 + SUMIFS('📋 Detalle Diario'!$I$5:$I$489, '📋 Detalle Diario'!$B$5:$B$489, B3040, '📋 Detalle Diario'!$C$5:$C$489, D3040) * 200), 0))</f>
        <v/>
      </c>
      <c r="P3040" s="32" t="str">
        <f t="shared" si="334"/>
        <v/>
      </c>
      <c r="Q3040" s="33" t="str">
        <f t="shared" si="335"/>
        <v/>
      </c>
    </row>
    <row r="3041" spans="2:17" ht="18" customHeight="1" x14ac:dyDescent="0.3">
      <c r="B3041" s="26"/>
      <c r="C3041" s="28"/>
      <c r="D3041" s="27"/>
      <c r="E3041" s="29"/>
      <c r="F3041" s="29"/>
      <c r="G3041" s="29"/>
      <c r="H3041" s="30" t="str">
        <f t="shared" si="329"/>
        <v/>
      </c>
      <c r="I3041" s="31" t="str">
        <f>IF(OR(B3041="",C3041=""),"",IFERROR(E3041*IF(E3041="",0,VLOOKUP(C3041,'📦 Precios Proforma'!$B$5:$D$104,IF(D3041="DIA",2,3),FALSE)),0))</f>
        <v/>
      </c>
      <c r="J3041" s="31" t="str">
        <f t="shared" si="330"/>
        <v/>
      </c>
      <c r="K3041" s="31" t="str">
        <f t="shared" si="331"/>
        <v/>
      </c>
      <c r="L3041" s="31" t="str">
        <f>IF(OR(B3041="",C3041=""),"",IFERROR(E3041 / SUMIFS('📅 Resumen Diario'!$D$5:$D$504, '📅 Resumen Diario'!$B$5:$B$504, B3041, '📅 Resumen Diario'!$C$5:$C$504, D3041) * SUMIFS('📅 Resumen Diario'!$K$5:$K$504, '📅 Resumen Diario'!$B$5:$B$504, B3041, '📅 Resumen Diario'!$C$5:$C$504, D3041), 0))</f>
        <v/>
      </c>
      <c r="M3041" s="31" t="str">
        <f t="shared" si="332"/>
        <v/>
      </c>
      <c r="N3041" s="31" t="str">
        <f t="shared" si="333"/>
        <v/>
      </c>
      <c r="O3041" s="31" t="str">
        <f>IF(OR(B3041="",C3041=""),"",K3041-N3041 + IFERROR(E3041 / SUMIFS('📅 Resumen Diario'!$D$5:$D$504, '📅 Resumen Diario'!$B$5:$B$504, B3041, '📅 Resumen Diario'!$C$5:$C$504, D3041) * (SUMIFS('📋 Detalle Diario'!$E$5:$E$489, '📋 Detalle Diario'!$B$5:$B$489, B3041, '📋 Detalle Diario'!$C$5:$C$489, D3041) * 135 + SUMIFS('📋 Detalle Diario'!$I$5:$I$489, '📋 Detalle Diario'!$B$5:$B$489, B3041, '📋 Detalle Diario'!$C$5:$C$489, D3041) * 200), 0))</f>
        <v/>
      </c>
      <c r="P3041" s="32" t="str">
        <f t="shared" si="334"/>
        <v/>
      </c>
      <c r="Q3041" s="33" t="str">
        <f t="shared" si="335"/>
        <v/>
      </c>
    </row>
    <row r="3042" spans="2:17" ht="18" customHeight="1" x14ac:dyDescent="0.3">
      <c r="B3042" s="26"/>
      <c r="C3042" s="17"/>
      <c r="D3042" s="27"/>
      <c r="E3042" s="18"/>
      <c r="F3042" s="18"/>
      <c r="G3042" s="18"/>
      <c r="H3042" s="30" t="str">
        <f t="shared" si="329"/>
        <v/>
      </c>
      <c r="I3042" s="31" t="str">
        <f>IF(OR(B3042="",C3042=""),"",IFERROR(E3042*IF(E3042="",0,VLOOKUP(C3042,'📦 Precios Proforma'!$B$5:$D$104,IF(D3042="DIA",2,3),FALSE)),0))</f>
        <v/>
      </c>
      <c r="J3042" s="31" t="str">
        <f t="shared" si="330"/>
        <v/>
      </c>
      <c r="K3042" s="31" t="str">
        <f t="shared" si="331"/>
        <v/>
      </c>
      <c r="L3042" s="31" t="str">
        <f>IF(OR(B3042="",C3042=""),"",IFERROR(E3042 / SUMIFS('📅 Resumen Diario'!$D$5:$D$504, '📅 Resumen Diario'!$B$5:$B$504, B3042, '📅 Resumen Diario'!$C$5:$C$504, D3042) * SUMIFS('📅 Resumen Diario'!$K$5:$K$504, '📅 Resumen Diario'!$B$5:$B$504, B3042, '📅 Resumen Diario'!$C$5:$C$504, D3042), 0))</f>
        <v/>
      </c>
      <c r="M3042" s="31" t="str">
        <f t="shared" si="332"/>
        <v/>
      </c>
      <c r="N3042" s="31" t="str">
        <f t="shared" si="333"/>
        <v/>
      </c>
      <c r="O3042" s="31" t="str">
        <f>IF(OR(B3042="",C3042=""),"",K3042-N3042 + IFERROR(E3042 / SUMIFS('📅 Resumen Diario'!$D$5:$D$504, '📅 Resumen Diario'!$B$5:$B$504, B3042, '📅 Resumen Diario'!$C$5:$C$504, D3042) * (SUMIFS('📋 Detalle Diario'!$E$5:$E$489, '📋 Detalle Diario'!$B$5:$B$489, B3042, '📋 Detalle Diario'!$C$5:$C$489, D3042) * 135 + SUMIFS('📋 Detalle Diario'!$I$5:$I$489, '📋 Detalle Diario'!$B$5:$B$489, B3042, '📋 Detalle Diario'!$C$5:$C$489, D3042) * 200), 0))</f>
        <v/>
      </c>
      <c r="P3042" s="32" t="str">
        <f t="shared" si="334"/>
        <v/>
      </c>
      <c r="Q3042" s="33" t="str">
        <f t="shared" si="335"/>
        <v/>
      </c>
    </row>
    <row r="3043" spans="2:17" ht="18" customHeight="1" x14ac:dyDescent="0.3">
      <c r="B3043" s="26"/>
      <c r="C3043" s="28"/>
      <c r="D3043" s="27"/>
      <c r="E3043" s="29"/>
      <c r="F3043" s="29"/>
      <c r="G3043" s="29"/>
      <c r="H3043" s="30" t="str">
        <f t="shared" si="329"/>
        <v/>
      </c>
      <c r="I3043" s="31" t="str">
        <f>IF(OR(B3043="",C3043=""),"",IFERROR(E3043*IF(E3043="",0,VLOOKUP(C3043,'📦 Precios Proforma'!$B$5:$D$104,IF(D3043="DIA",2,3),FALSE)),0))</f>
        <v/>
      </c>
      <c r="J3043" s="31" t="str">
        <f t="shared" si="330"/>
        <v/>
      </c>
      <c r="K3043" s="31" t="str">
        <f t="shared" si="331"/>
        <v/>
      </c>
      <c r="L3043" s="31" t="str">
        <f>IF(OR(B3043="",C3043=""),"",IFERROR(E3043 / SUMIFS('📅 Resumen Diario'!$D$5:$D$504, '📅 Resumen Diario'!$B$5:$B$504, B3043, '📅 Resumen Diario'!$C$5:$C$504, D3043) * SUMIFS('📅 Resumen Diario'!$K$5:$K$504, '📅 Resumen Diario'!$B$5:$B$504, B3043, '📅 Resumen Diario'!$C$5:$C$504, D3043), 0))</f>
        <v/>
      </c>
      <c r="M3043" s="31" t="str">
        <f t="shared" si="332"/>
        <v/>
      </c>
      <c r="N3043" s="31" t="str">
        <f t="shared" si="333"/>
        <v/>
      </c>
      <c r="O3043" s="31" t="str">
        <f>IF(OR(B3043="",C3043=""),"",K3043-N3043 + IFERROR(E3043 / SUMIFS('📅 Resumen Diario'!$D$5:$D$504, '📅 Resumen Diario'!$B$5:$B$504, B3043, '📅 Resumen Diario'!$C$5:$C$504, D3043) * (SUMIFS('📋 Detalle Diario'!$E$5:$E$489, '📋 Detalle Diario'!$B$5:$B$489, B3043, '📋 Detalle Diario'!$C$5:$C$489, D3043) * 135 + SUMIFS('📋 Detalle Diario'!$I$5:$I$489, '📋 Detalle Diario'!$B$5:$B$489, B3043, '📋 Detalle Diario'!$C$5:$C$489, D3043) * 200), 0))</f>
        <v/>
      </c>
      <c r="P3043" s="32" t="str">
        <f t="shared" si="334"/>
        <v/>
      </c>
      <c r="Q3043" s="33" t="str">
        <f t="shared" si="335"/>
        <v/>
      </c>
    </row>
    <row r="3044" spans="2:17" ht="18" customHeight="1" x14ac:dyDescent="0.3">
      <c r="B3044" s="26"/>
      <c r="C3044" s="17"/>
      <c r="D3044" s="27"/>
      <c r="E3044" s="18"/>
      <c r="F3044" s="18"/>
      <c r="G3044" s="18"/>
      <c r="H3044" s="30" t="str">
        <f t="shared" si="329"/>
        <v/>
      </c>
      <c r="I3044" s="31" t="str">
        <f>IF(OR(B3044="",C3044=""),"",IFERROR(E3044*IF(E3044="",0,VLOOKUP(C3044,'📦 Precios Proforma'!$B$5:$D$104,IF(D3044="DIA",2,3),FALSE)),0))</f>
        <v/>
      </c>
      <c r="J3044" s="31" t="str">
        <f t="shared" si="330"/>
        <v/>
      </c>
      <c r="K3044" s="31" t="str">
        <f t="shared" si="331"/>
        <v/>
      </c>
      <c r="L3044" s="31" t="str">
        <f>IF(OR(B3044="",C3044=""),"",IFERROR(E3044 / SUMIFS('📅 Resumen Diario'!$D$5:$D$504, '📅 Resumen Diario'!$B$5:$B$504, B3044, '📅 Resumen Diario'!$C$5:$C$504, D3044) * SUMIFS('📅 Resumen Diario'!$K$5:$K$504, '📅 Resumen Diario'!$B$5:$B$504, B3044, '📅 Resumen Diario'!$C$5:$C$504, D3044), 0))</f>
        <v/>
      </c>
      <c r="M3044" s="31" t="str">
        <f t="shared" si="332"/>
        <v/>
      </c>
      <c r="N3044" s="31" t="str">
        <f t="shared" si="333"/>
        <v/>
      </c>
      <c r="O3044" s="31" t="str">
        <f>IF(OR(B3044="",C3044=""),"",K3044-N3044 + IFERROR(E3044 / SUMIFS('📅 Resumen Diario'!$D$5:$D$504, '📅 Resumen Diario'!$B$5:$B$504, B3044, '📅 Resumen Diario'!$C$5:$C$504, D3044) * (SUMIFS('📋 Detalle Diario'!$E$5:$E$489, '📋 Detalle Diario'!$B$5:$B$489, B3044, '📋 Detalle Diario'!$C$5:$C$489, D3044) * 135 + SUMIFS('📋 Detalle Diario'!$I$5:$I$489, '📋 Detalle Diario'!$B$5:$B$489, B3044, '📋 Detalle Diario'!$C$5:$C$489, D3044) * 200), 0))</f>
        <v/>
      </c>
      <c r="P3044" s="32" t="str">
        <f t="shared" si="334"/>
        <v/>
      </c>
      <c r="Q3044" s="33" t="str">
        <f t="shared" si="335"/>
        <v/>
      </c>
    </row>
    <row r="3045" spans="2:17" ht="18" customHeight="1" x14ac:dyDescent="0.3">
      <c r="B3045" s="26"/>
      <c r="C3045" s="28"/>
      <c r="D3045" s="27"/>
      <c r="E3045" s="29"/>
      <c r="F3045" s="29"/>
      <c r="G3045" s="29"/>
      <c r="H3045" s="30" t="str">
        <f t="shared" si="329"/>
        <v/>
      </c>
      <c r="I3045" s="31" t="str">
        <f>IF(OR(B3045="",C3045=""),"",IFERROR(E3045*IF(E3045="",0,VLOOKUP(C3045,'📦 Precios Proforma'!$B$5:$D$104,IF(D3045="DIA",2,3),FALSE)),0))</f>
        <v/>
      </c>
      <c r="J3045" s="31" t="str">
        <f t="shared" si="330"/>
        <v/>
      </c>
      <c r="K3045" s="31" t="str">
        <f t="shared" si="331"/>
        <v/>
      </c>
      <c r="L3045" s="31" t="str">
        <f>IF(OR(B3045="",C3045=""),"",IFERROR(E3045 / SUMIFS('📅 Resumen Diario'!$D$5:$D$504, '📅 Resumen Diario'!$B$5:$B$504, B3045, '📅 Resumen Diario'!$C$5:$C$504, D3045) * SUMIFS('📅 Resumen Diario'!$K$5:$K$504, '📅 Resumen Diario'!$B$5:$B$504, B3045, '📅 Resumen Diario'!$C$5:$C$504, D3045), 0))</f>
        <v/>
      </c>
      <c r="M3045" s="31" t="str">
        <f t="shared" si="332"/>
        <v/>
      </c>
      <c r="N3045" s="31" t="str">
        <f t="shared" si="333"/>
        <v/>
      </c>
      <c r="O3045" s="31" t="str">
        <f>IF(OR(B3045="",C3045=""),"",K3045-N3045 + IFERROR(E3045 / SUMIFS('📅 Resumen Diario'!$D$5:$D$504, '📅 Resumen Diario'!$B$5:$B$504, B3045, '📅 Resumen Diario'!$C$5:$C$504, D3045) * (SUMIFS('📋 Detalle Diario'!$E$5:$E$489, '📋 Detalle Diario'!$B$5:$B$489, B3045, '📋 Detalle Diario'!$C$5:$C$489, D3045) * 135 + SUMIFS('📋 Detalle Diario'!$I$5:$I$489, '📋 Detalle Diario'!$B$5:$B$489, B3045, '📋 Detalle Diario'!$C$5:$C$489, D3045) * 200), 0))</f>
        <v/>
      </c>
      <c r="P3045" s="32" t="str">
        <f t="shared" si="334"/>
        <v/>
      </c>
      <c r="Q3045" s="33" t="str">
        <f t="shared" si="335"/>
        <v/>
      </c>
    </row>
    <row r="3046" spans="2:17" ht="18" customHeight="1" x14ac:dyDescent="0.3">
      <c r="B3046" s="26"/>
      <c r="C3046" s="17"/>
      <c r="D3046" s="27"/>
      <c r="E3046" s="18"/>
      <c r="F3046" s="18"/>
      <c r="G3046" s="18"/>
      <c r="H3046" s="30" t="str">
        <f t="shared" si="329"/>
        <v/>
      </c>
      <c r="I3046" s="31" t="str">
        <f>IF(OR(B3046="",C3046=""),"",IFERROR(E3046*IF(E3046="",0,VLOOKUP(C3046,'📦 Precios Proforma'!$B$5:$D$104,IF(D3046="DIA",2,3),FALSE)),0))</f>
        <v/>
      </c>
      <c r="J3046" s="31" t="str">
        <f t="shared" si="330"/>
        <v/>
      </c>
      <c r="K3046" s="31" t="str">
        <f t="shared" si="331"/>
        <v/>
      </c>
      <c r="L3046" s="31" t="str">
        <f>IF(OR(B3046="",C3046=""),"",IFERROR(E3046 / SUMIFS('📅 Resumen Diario'!$D$5:$D$504, '📅 Resumen Diario'!$B$5:$B$504, B3046, '📅 Resumen Diario'!$C$5:$C$504, D3046) * SUMIFS('📅 Resumen Diario'!$K$5:$K$504, '📅 Resumen Diario'!$B$5:$B$504, B3046, '📅 Resumen Diario'!$C$5:$C$504, D3046), 0))</f>
        <v/>
      </c>
      <c r="M3046" s="31" t="str">
        <f t="shared" si="332"/>
        <v/>
      </c>
      <c r="N3046" s="31" t="str">
        <f t="shared" si="333"/>
        <v/>
      </c>
      <c r="O3046" s="31" t="str">
        <f>IF(OR(B3046="",C3046=""),"",K3046-N3046 + IFERROR(E3046 / SUMIFS('📅 Resumen Diario'!$D$5:$D$504, '📅 Resumen Diario'!$B$5:$B$504, B3046, '📅 Resumen Diario'!$C$5:$C$504, D3046) * (SUMIFS('📋 Detalle Diario'!$E$5:$E$489, '📋 Detalle Diario'!$B$5:$B$489, B3046, '📋 Detalle Diario'!$C$5:$C$489, D3046) * 135 + SUMIFS('📋 Detalle Diario'!$I$5:$I$489, '📋 Detalle Diario'!$B$5:$B$489, B3046, '📋 Detalle Diario'!$C$5:$C$489, D3046) * 200), 0))</f>
        <v/>
      </c>
      <c r="P3046" s="32" t="str">
        <f t="shared" si="334"/>
        <v/>
      </c>
      <c r="Q3046" s="33" t="str">
        <f t="shared" si="335"/>
        <v/>
      </c>
    </row>
    <row r="3047" spans="2:17" ht="18" customHeight="1" x14ac:dyDescent="0.3">
      <c r="B3047" s="26"/>
      <c r="C3047" s="28"/>
      <c r="D3047" s="27"/>
      <c r="E3047" s="29"/>
      <c r="F3047" s="29"/>
      <c r="G3047" s="29"/>
      <c r="H3047" s="30" t="str">
        <f t="shared" si="329"/>
        <v/>
      </c>
      <c r="I3047" s="31" t="str">
        <f>IF(OR(B3047="",C3047=""),"",IFERROR(E3047*IF(E3047="",0,VLOOKUP(C3047,'📦 Precios Proforma'!$B$5:$D$104,IF(D3047="DIA",2,3),FALSE)),0))</f>
        <v/>
      </c>
      <c r="J3047" s="31" t="str">
        <f t="shared" si="330"/>
        <v/>
      </c>
      <c r="K3047" s="31" t="str">
        <f t="shared" si="331"/>
        <v/>
      </c>
      <c r="L3047" s="31" t="str">
        <f>IF(OR(B3047="",C3047=""),"",IFERROR(E3047 / SUMIFS('📅 Resumen Diario'!$D$5:$D$504, '📅 Resumen Diario'!$B$5:$B$504, B3047, '📅 Resumen Diario'!$C$5:$C$504, D3047) * SUMIFS('📅 Resumen Diario'!$K$5:$K$504, '📅 Resumen Diario'!$B$5:$B$504, B3047, '📅 Resumen Diario'!$C$5:$C$504, D3047), 0))</f>
        <v/>
      </c>
      <c r="M3047" s="31" t="str">
        <f t="shared" si="332"/>
        <v/>
      </c>
      <c r="N3047" s="31" t="str">
        <f t="shared" si="333"/>
        <v/>
      </c>
      <c r="O3047" s="31" t="str">
        <f>IF(OR(B3047="",C3047=""),"",K3047-N3047 + IFERROR(E3047 / SUMIFS('📅 Resumen Diario'!$D$5:$D$504, '📅 Resumen Diario'!$B$5:$B$504, B3047, '📅 Resumen Diario'!$C$5:$C$504, D3047) * (SUMIFS('📋 Detalle Diario'!$E$5:$E$489, '📋 Detalle Diario'!$B$5:$B$489, B3047, '📋 Detalle Diario'!$C$5:$C$489, D3047) * 135 + SUMIFS('📋 Detalle Diario'!$I$5:$I$489, '📋 Detalle Diario'!$B$5:$B$489, B3047, '📋 Detalle Diario'!$C$5:$C$489, D3047) * 200), 0))</f>
        <v/>
      </c>
      <c r="P3047" s="32" t="str">
        <f t="shared" si="334"/>
        <v/>
      </c>
      <c r="Q3047" s="33" t="str">
        <f t="shared" si="335"/>
        <v/>
      </c>
    </row>
    <row r="3048" spans="2:17" ht="18" customHeight="1" x14ac:dyDescent="0.3">
      <c r="B3048" s="26"/>
      <c r="C3048" s="17"/>
      <c r="D3048" s="27"/>
      <c r="E3048" s="18"/>
      <c r="F3048" s="18"/>
      <c r="G3048" s="18"/>
      <c r="H3048" s="30" t="str">
        <f t="shared" si="329"/>
        <v/>
      </c>
      <c r="I3048" s="31" t="str">
        <f>IF(OR(B3048="",C3048=""),"",IFERROR(E3048*IF(E3048="",0,VLOOKUP(C3048,'📦 Precios Proforma'!$B$5:$D$104,IF(D3048="DIA",2,3),FALSE)),0))</f>
        <v/>
      </c>
      <c r="J3048" s="31" t="str">
        <f t="shared" si="330"/>
        <v/>
      </c>
      <c r="K3048" s="31" t="str">
        <f t="shared" si="331"/>
        <v/>
      </c>
      <c r="L3048" s="31" t="str">
        <f>IF(OR(B3048="",C3048=""),"",IFERROR(E3048 / SUMIFS('📅 Resumen Diario'!$D$5:$D$504, '📅 Resumen Diario'!$B$5:$B$504, B3048, '📅 Resumen Diario'!$C$5:$C$504, D3048) * SUMIFS('📅 Resumen Diario'!$K$5:$K$504, '📅 Resumen Diario'!$B$5:$B$504, B3048, '📅 Resumen Diario'!$C$5:$C$504, D3048), 0))</f>
        <v/>
      </c>
      <c r="M3048" s="31" t="str">
        <f t="shared" si="332"/>
        <v/>
      </c>
      <c r="N3048" s="31" t="str">
        <f t="shared" si="333"/>
        <v/>
      </c>
      <c r="O3048" s="31" t="str">
        <f>IF(OR(B3048="",C3048=""),"",K3048-N3048 + IFERROR(E3048 / SUMIFS('📅 Resumen Diario'!$D$5:$D$504, '📅 Resumen Diario'!$B$5:$B$504, B3048, '📅 Resumen Diario'!$C$5:$C$504, D3048) * (SUMIFS('📋 Detalle Diario'!$E$5:$E$489, '📋 Detalle Diario'!$B$5:$B$489, B3048, '📋 Detalle Diario'!$C$5:$C$489, D3048) * 135 + SUMIFS('📋 Detalle Diario'!$I$5:$I$489, '📋 Detalle Diario'!$B$5:$B$489, B3048, '📋 Detalle Diario'!$C$5:$C$489, D3048) * 200), 0))</f>
        <v/>
      </c>
      <c r="P3048" s="32" t="str">
        <f t="shared" si="334"/>
        <v/>
      </c>
      <c r="Q3048" s="33" t="str">
        <f t="shared" si="335"/>
        <v/>
      </c>
    </row>
    <row r="3049" spans="2:17" ht="18" customHeight="1" x14ac:dyDescent="0.3">
      <c r="B3049" s="26"/>
      <c r="C3049" s="28"/>
      <c r="D3049" s="27"/>
      <c r="E3049" s="29"/>
      <c r="F3049" s="29"/>
      <c r="G3049" s="29"/>
      <c r="H3049" s="30" t="str">
        <f t="shared" si="329"/>
        <v/>
      </c>
      <c r="I3049" s="31" t="str">
        <f>IF(OR(B3049="",C3049=""),"",IFERROR(E3049*IF(E3049="",0,VLOOKUP(C3049,'📦 Precios Proforma'!$B$5:$D$104,IF(D3049="DIA",2,3),FALSE)),0))</f>
        <v/>
      </c>
      <c r="J3049" s="31" t="str">
        <f t="shared" si="330"/>
        <v/>
      </c>
      <c r="K3049" s="31" t="str">
        <f t="shared" si="331"/>
        <v/>
      </c>
      <c r="L3049" s="31" t="str">
        <f>IF(OR(B3049="",C3049=""),"",IFERROR(E3049 / SUMIFS('📅 Resumen Diario'!$D$5:$D$504, '📅 Resumen Diario'!$B$5:$B$504, B3049, '📅 Resumen Diario'!$C$5:$C$504, D3049) * SUMIFS('📅 Resumen Diario'!$K$5:$K$504, '📅 Resumen Diario'!$B$5:$B$504, B3049, '📅 Resumen Diario'!$C$5:$C$504, D3049), 0))</f>
        <v/>
      </c>
      <c r="M3049" s="31" t="str">
        <f t="shared" si="332"/>
        <v/>
      </c>
      <c r="N3049" s="31" t="str">
        <f t="shared" si="333"/>
        <v/>
      </c>
      <c r="O3049" s="31" t="str">
        <f>IF(OR(B3049="",C3049=""),"",K3049-N3049 + IFERROR(E3049 / SUMIFS('📅 Resumen Diario'!$D$5:$D$504, '📅 Resumen Diario'!$B$5:$B$504, B3049, '📅 Resumen Diario'!$C$5:$C$504, D3049) * (SUMIFS('📋 Detalle Diario'!$E$5:$E$489, '📋 Detalle Diario'!$B$5:$B$489, B3049, '📋 Detalle Diario'!$C$5:$C$489, D3049) * 135 + SUMIFS('📋 Detalle Diario'!$I$5:$I$489, '📋 Detalle Diario'!$B$5:$B$489, B3049, '📋 Detalle Diario'!$C$5:$C$489, D3049) * 200), 0))</f>
        <v/>
      </c>
      <c r="P3049" s="32" t="str">
        <f t="shared" si="334"/>
        <v/>
      </c>
      <c r="Q3049" s="33" t="str">
        <f t="shared" si="335"/>
        <v/>
      </c>
    </row>
    <row r="3050" spans="2:17" ht="18" customHeight="1" x14ac:dyDescent="0.3">
      <c r="B3050" s="26"/>
      <c r="C3050" s="17"/>
      <c r="D3050" s="27"/>
      <c r="E3050" s="18"/>
      <c r="F3050" s="18"/>
      <c r="G3050" s="18"/>
      <c r="H3050" s="30" t="str">
        <f t="shared" si="329"/>
        <v/>
      </c>
      <c r="I3050" s="31" t="str">
        <f>IF(OR(B3050="",C3050=""),"",IFERROR(E3050*IF(E3050="",0,VLOOKUP(C3050,'📦 Precios Proforma'!$B$5:$D$104,IF(D3050="DIA",2,3),FALSE)),0))</f>
        <v/>
      </c>
      <c r="J3050" s="31" t="str">
        <f t="shared" si="330"/>
        <v/>
      </c>
      <c r="K3050" s="31" t="str">
        <f t="shared" si="331"/>
        <v/>
      </c>
      <c r="L3050" s="31" t="str">
        <f>IF(OR(B3050="",C3050=""),"",IFERROR(E3050 / SUMIFS('📅 Resumen Diario'!$D$5:$D$504, '📅 Resumen Diario'!$B$5:$B$504, B3050, '📅 Resumen Diario'!$C$5:$C$504, D3050) * SUMIFS('📅 Resumen Diario'!$K$5:$K$504, '📅 Resumen Diario'!$B$5:$B$504, B3050, '📅 Resumen Diario'!$C$5:$C$504, D3050), 0))</f>
        <v/>
      </c>
      <c r="M3050" s="31" t="str">
        <f t="shared" si="332"/>
        <v/>
      </c>
      <c r="N3050" s="31" t="str">
        <f t="shared" si="333"/>
        <v/>
      </c>
      <c r="O3050" s="31" t="str">
        <f>IF(OR(B3050="",C3050=""),"",K3050-N3050 + IFERROR(E3050 / SUMIFS('📅 Resumen Diario'!$D$5:$D$504, '📅 Resumen Diario'!$B$5:$B$504, B3050, '📅 Resumen Diario'!$C$5:$C$504, D3050) * (SUMIFS('📋 Detalle Diario'!$E$5:$E$489, '📋 Detalle Diario'!$B$5:$B$489, B3050, '📋 Detalle Diario'!$C$5:$C$489, D3050) * 135 + SUMIFS('📋 Detalle Diario'!$I$5:$I$489, '📋 Detalle Diario'!$B$5:$B$489, B3050, '📋 Detalle Diario'!$C$5:$C$489, D3050) * 200), 0))</f>
        <v/>
      </c>
      <c r="P3050" s="32" t="str">
        <f t="shared" si="334"/>
        <v/>
      </c>
      <c r="Q3050" s="33" t="str">
        <f t="shared" si="335"/>
        <v/>
      </c>
    </row>
    <row r="3051" spans="2:17" ht="18" customHeight="1" x14ac:dyDescent="0.3">
      <c r="B3051" s="26"/>
      <c r="C3051" s="28"/>
      <c r="D3051" s="27"/>
      <c r="E3051" s="29"/>
      <c r="F3051" s="29"/>
      <c r="G3051" s="29"/>
      <c r="H3051" s="30" t="str">
        <f t="shared" si="329"/>
        <v/>
      </c>
      <c r="I3051" s="31" t="str">
        <f>IF(OR(B3051="",C3051=""),"",IFERROR(E3051*IF(E3051="",0,VLOOKUP(C3051,'📦 Precios Proforma'!$B$5:$D$104,IF(D3051="DIA",2,3),FALSE)),0))</f>
        <v/>
      </c>
      <c r="J3051" s="31" t="str">
        <f t="shared" si="330"/>
        <v/>
      </c>
      <c r="K3051" s="31" t="str">
        <f t="shared" si="331"/>
        <v/>
      </c>
      <c r="L3051" s="31" t="str">
        <f>IF(OR(B3051="",C3051=""),"",IFERROR(E3051 / SUMIFS('📅 Resumen Diario'!$D$5:$D$504, '📅 Resumen Diario'!$B$5:$B$504, B3051, '📅 Resumen Diario'!$C$5:$C$504, D3051) * SUMIFS('📅 Resumen Diario'!$K$5:$K$504, '📅 Resumen Diario'!$B$5:$B$504, B3051, '📅 Resumen Diario'!$C$5:$C$504, D3051), 0))</f>
        <v/>
      </c>
      <c r="M3051" s="31" t="str">
        <f t="shared" si="332"/>
        <v/>
      </c>
      <c r="N3051" s="31" t="str">
        <f t="shared" si="333"/>
        <v/>
      </c>
      <c r="O3051" s="31" t="str">
        <f>IF(OR(B3051="",C3051=""),"",K3051-N3051 + IFERROR(E3051 / SUMIFS('📅 Resumen Diario'!$D$5:$D$504, '📅 Resumen Diario'!$B$5:$B$504, B3051, '📅 Resumen Diario'!$C$5:$C$504, D3051) * (SUMIFS('📋 Detalle Diario'!$E$5:$E$489, '📋 Detalle Diario'!$B$5:$B$489, B3051, '📋 Detalle Diario'!$C$5:$C$489, D3051) * 135 + SUMIFS('📋 Detalle Diario'!$I$5:$I$489, '📋 Detalle Diario'!$B$5:$B$489, B3051, '📋 Detalle Diario'!$C$5:$C$489, D3051) * 200), 0))</f>
        <v/>
      </c>
      <c r="P3051" s="32" t="str">
        <f t="shared" si="334"/>
        <v/>
      </c>
      <c r="Q3051" s="33" t="str">
        <f t="shared" si="335"/>
        <v/>
      </c>
    </row>
    <row r="3052" spans="2:17" ht="18" customHeight="1" x14ac:dyDescent="0.3">
      <c r="B3052" s="26"/>
      <c r="C3052" s="17"/>
      <c r="D3052" s="27"/>
      <c r="E3052" s="18"/>
      <c r="F3052" s="18"/>
      <c r="G3052" s="18"/>
      <c r="H3052" s="30" t="str">
        <f t="shared" si="329"/>
        <v/>
      </c>
      <c r="I3052" s="31" t="str">
        <f>IF(OR(B3052="",C3052=""),"",IFERROR(E3052*IF(E3052="",0,VLOOKUP(C3052,'📦 Precios Proforma'!$B$5:$D$104,IF(D3052="DIA",2,3),FALSE)),0))</f>
        <v/>
      </c>
      <c r="J3052" s="31" t="str">
        <f t="shared" si="330"/>
        <v/>
      </c>
      <c r="K3052" s="31" t="str">
        <f t="shared" si="331"/>
        <v/>
      </c>
      <c r="L3052" s="31" t="str">
        <f>IF(OR(B3052="",C3052=""),"",IFERROR(E3052 / SUMIFS('📅 Resumen Diario'!$D$5:$D$504, '📅 Resumen Diario'!$B$5:$B$504, B3052, '📅 Resumen Diario'!$C$5:$C$504, D3052) * SUMIFS('📅 Resumen Diario'!$K$5:$K$504, '📅 Resumen Diario'!$B$5:$B$504, B3052, '📅 Resumen Diario'!$C$5:$C$504, D3052), 0))</f>
        <v/>
      </c>
      <c r="M3052" s="31" t="str">
        <f t="shared" si="332"/>
        <v/>
      </c>
      <c r="N3052" s="31" t="str">
        <f t="shared" si="333"/>
        <v/>
      </c>
      <c r="O3052" s="31" t="str">
        <f>IF(OR(B3052="",C3052=""),"",K3052-N3052 + IFERROR(E3052 / SUMIFS('📅 Resumen Diario'!$D$5:$D$504, '📅 Resumen Diario'!$B$5:$B$504, B3052, '📅 Resumen Diario'!$C$5:$C$504, D3052) * (SUMIFS('📋 Detalle Diario'!$E$5:$E$489, '📋 Detalle Diario'!$B$5:$B$489, B3052, '📋 Detalle Diario'!$C$5:$C$489, D3052) * 135 + SUMIFS('📋 Detalle Diario'!$I$5:$I$489, '📋 Detalle Diario'!$B$5:$B$489, B3052, '📋 Detalle Diario'!$C$5:$C$489, D3052) * 200), 0))</f>
        <v/>
      </c>
      <c r="P3052" s="32" t="str">
        <f t="shared" si="334"/>
        <v/>
      </c>
      <c r="Q3052" s="33" t="str">
        <f t="shared" si="335"/>
        <v/>
      </c>
    </row>
    <row r="3053" spans="2:17" ht="18" customHeight="1" x14ac:dyDescent="0.3">
      <c r="B3053" s="26"/>
      <c r="C3053" s="28"/>
      <c r="D3053" s="27"/>
      <c r="E3053" s="29"/>
      <c r="F3053" s="29"/>
      <c r="G3053" s="29"/>
      <c r="H3053" s="30" t="str">
        <f t="shared" si="329"/>
        <v/>
      </c>
      <c r="I3053" s="31" t="str">
        <f>IF(OR(B3053="",C3053=""),"",IFERROR(E3053*IF(E3053="",0,VLOOKUP(C3053,'📦 Precios Proforma'!$B$5:$D$104,IF(D3053="DIA",2,3),FALSE)),0))</f>
        <v/>
      </c>
      <c r="J3053" s="31" t="str">
        <f t="shared" si="330"/>
        <v/>
      </c>
      <c r="K3053" s="31" t="str">
        <f t="shared" si="331"/>
        <v/>
      </c>
      <c r="L3053" s="31" t="str">
        <f>IF(OR(B3053="",C3053=""),"",IFERROR(E3053 / SUMIFS('📅 Resumen Diario'!$D$5:$D$504, '📅 Resumen Diario'!$B$5:$B$504, B3053, '📅 Resumen Diario'!$C$5:$C$504, D3053) * SUMIFS('📅 Resumen Diario'!$K$5:$K$504, '📅 Resumen Diario'!$B$5:$B$504, B3053, '📅 Resumen Diario'!$C$5:$C$504, D3053), 0))</f>
        <v/>
      </c>
      <c r="M3053" s="31" t="str">
        <f t="shared" si="332"/>
        <v/>
      </c>
      <c r="N3053" s="31" t="str">
        <f t="shared" si="333"/>
        <v/>
      </c>
      <c r="O3053" s="31" t="str">
        <f>IF(OR(B3053="",C3053=""),"",K3053-N3053 + IFERROR(E3053 / SUMIFS('📅 Resumen Diario'!$D$5:$D$504, '📅 Resumen Diario'!$B$5:$B$504, B3053, '📅 Resumen Diario'!$C$5:$C$504, D3053) * (SUMIFS('📋 Detalle Diario'!$E$5:$E$489, '📋 Detalle Diario'!$B$5:$B$489, B3053, '📋 Detalle Diario'!$C$5:$C$489, D3053) * 135 + SUMIFS('📋 Detalle Diario'!$I$5:$I$489, '📋 Detalle Diario'!$B$5:$B$489, B3053, '📋 Detalle Diario'!$C$5:$C$489, D3053) * 200), 0))</f>
        <v/>
      </c>
      <c r="P3053" s="32" t="str">
        <f t="shared" si="334"/>
        <v/>
      </c>
      <c r="Q3053" s="33" t="str">
        <f t="shared" si="335"/>
        <v/>
      </c>
    </row>
    <row r="3054" spans="2:17" ht="18" customHeight="1" x14ac:dyDescent="0.3">
      <c r="B3054" s="26"/>
      <c r="C3054" s="17"/>
      <c r="D3054" s="27"/>
      <c r="E3054" s="18"/>
      <c r="F3054" s="18"/>
      <c r="G3054" s="18"/>
      <c r="H3054" s="30" t="str">
        <f t="shared" si="329"/>
        <v/>
      </c>
      <c r="I3054" s="31" t="str">
        <f>IF(OR(B3054="",C3054=""),"",IFERROR(E3054*IF(E3054="",0,VLOOKUP(C3054,'📦 Precios Proforma'!$B$5:$D$104,IF(D3054="DIA",2,3),FALSE)),0))</f>
        <v/>
      </c>
      <c r="J3054" s="31" t="str">
        <f t="shared" si="330"/>
        <v/>
      </c>
      <c r="K3054" s="31" t="str">
        <f t="shared" si="331"/>
        <v/>
      </c>
      <c r="L3054" s="31" t="str">
        <f>IF(OR(B3054="",C3054=""),"",IFERROR(E3054 / SUMIFS('📅 Resumen Diario'!$D$5:$D$504, '📅 Resumen Diario'!$B$5:$B$504, B3054, '📅 Resumen Diario'!$C$5:$C$504, D3054) * SUMIFS('📅 Resumen Diario'!$K$5:$K$504, '📅 Resumen Diario'!$B$5:$B$504, B3054, '📅 Resumen Diario'!$C$5:$C$504, D3054), 0))</f>
        <v/>
      </c>
      <c r="M3054" s="31" t="str">
        <f t="shared" si="332"/>
        <v/>
      </c>
      <c r="N3054" s="31" t="str">
        <f t="shared" si="333"/>
        <v/>
      </c>
      <c r="O3054" s="31" t="str">
        <f>IF(OR(B3054="",C3054=""),"",K3054-N3054 + IFERROR(E3054 / SUMIFS('📅 Resumen Diario'!$D$5:$D$504, '📅 Resumen Diario'!$B$5:$B$504, B3054, '📅 Resumen Diario'!$C$5:$C$504, D3054) * (SUMIFS('📋 Detalle Diario'!$E$5:$E$489, '📋 Detalle Diario'!$B$5:$B$489, B3054, '📋 Detalle Diario'!$C$5:$C$489, D3054) * 135 + SUMIFS('📋 Detalle Diario'!$I$5:$I$489, '📋 Detalle Diario'!$B$5:$B$489, B3054, '📋 Detalle Diario'!$C$5:$C$489, D3054) * 200), 0))</f>
        <v/>
      </c>
      <c r="P3054" s="32" t="str">
        <f t="shared" si="334"/>
        <v/>
      </c>
      <c r="Q3054" s="33" t="str">
        <f t="shared" si="335"/>
        <v/>
      </c>
    </row>
    <row r="3055" spans="2:17" ht="18" customHeight="1" x14ac:dyDescent="0.3">
      <c r="B3055" s="26"/>
      <c r="C3055" s="28"/>
      <c r="D3055" s="27"/>
      <c r="E3055" s="29"/>
      <c r="F3055" s="29"/>
      <c r="G3055" s="29"/>
      <c r="H3055" s="30" t="str">
        <f t="shared" si="329"/>
        <v/>
      </c>
      <c r="I3055" s="31" t="str">
        <f>IF(OR(B3055="",C3055=""),"",IFERROR(E3055*IF(E3055="",0,VLOOKUP(C3055,'📦 Precios Proforma'!$B$5:$D$104,IF(D3055="DIA",2,3),FALSE)),0))</f>
        <v/>
      </c>
      <c r="J3055" s="31" t="str">
        <f t="shared" si="330"/>
        <v/>
      </c>
      <c r="K3055" s="31" t="str">
        <f t="shared" si="331"/>
        <v/>
      </c>
      <c r="L3055" s="31" t="str">
        <f>IF(OR(B3055="",C3055=""),"",IFERROR(E3055 / SUMIFS('📅 Resumen Diario'!$D$5:$D$504, '📅 Resumen Diario'!$B$5:$B$504, B3055, '📅 Resumen Diario'!$C$5:$C$504, D3055) * SUMIFS('📅 Resumen Diario'!$K$5:$K$504, '📅 Resumen Diario'!$B$5:$B$504, B3055, '📅 Resumen Diario'!$C$5:$C$504, D3055), 0))</f>
        <v/>
      </c>
      <c r="M3055" s="31" t="str">
        <f t="shared" si="332"/>
        <v/>
      </c>
      <c r="N3055" s="31" t="str">
        <f t="shared" si="333"/>
        <v/>
      </c>
      <c r="O3055" s="31" t="str">
        <f>IF(OR(B3055="",C3055=""),"",K3055-N3055 + IFERROR(E3055 / SUMIFS('📅 Resumen Diario'!$D$5:$D$504, '📅 Resumen Diario'!$B$5:$B$504, B3055, '📅 Resumen Diario'!$C$5:$C$504, D3055) * (SUMIFS('📋 Detalle Diario'!$E$5:$E$489, '📋 Detalle Diario'!$B$5:$B$489, B3055, '📋 Detalle Diario'!$C$5:$C$489, D3055) * 135 + SUMIFS('📋 Detalle Diario'!$I$5:$I$489, '📋 Detalle Diario'!$B$5:$B$489, B3055, '📋 Detalle Diario'!$C$5:$C$489, D3055) * 200), 0))</f>
        <v/>
      </c>
      <c r="P3055" s="32" t="str">
        <f t="shared" si="334"/>
        <v/>
      </c>
      <c r="Q3055" s="33" t="str">
        <f t="shared" si="335"/>
        <v/>
      </c>
    </row>
    <row r="3056" spans="2:17" ht="18" customHeight="1" x14ac:dyDescent="0.3">
      <c r="B3056" s="26"/>
      <c r="C3056" s="17"/>
      <c r="D3056" s="27"/>
      <c r="E3056" s="18"/>
      <c r="F3056" s="18"/>
      <c r="G3056" s="18"/>
      <c r="H3056" s="30" t="str">
        <f t="shared" si="329"/>
        <v/>
      </c>
      <c r="I3056" s="31" t="str">
        <f>IF(OR(B3056="",C3056=""),"",IFERROR(E3056*IF(E3056="",0,VLOOKUP(C3056,'📦 Precios Proforma'!$B$5:$D$104,IF(D3056="DIA",2,3),FALSE)),0))</f>
        <v/>
      </c>
      <c r="J3056" s="31" t="str">
        <f t="shared" si="330"/>
        <v/>
      </c>
      <c r="K3056" s="31" t="str">
        <f t="shared" si="331"/>
        <v/>
      </c>
      <c r="L3056" s="31" t="str">
        <f>IF(OR(B3056="",C3056=""),"",IFERROR(E3056 / SUMIFS('📅 Resumen Diario'!$D$5:$D$504, '📅 Resumen Diario'!$B$5:$B$504, B3056, '📅 Resumen Diario'!$C$5:$C$504, D3056) * SUMIFS('📅 Resumen Diario'!$K$5:$K$504, '📅 Resumen Diario'!$B$5:$B$504, B3056, '📅 Resumen Diario'!$C$5:$C$504, D3056), 0))</f>
        <v/>
      </c>
      <c r="M3056" s="31" t="str">
        <f t="shared" si="332"/>
        <v/>
      </c>
      <c r="N3056" s="31" t="str">
        <f t="shared" si="333"/>
        <v/>
      </c>
      <c r="O3056" s="31" t="str">
        <f>IF(OR(B3056="",C3056=""),"",K3056-N3056 + IFERROR(E3056 / SUMIFS('📅 Resumen Diario'!$D$5:$D$504, '📅 Resumen Diario'!$B$5:$B$504, B3056, '📅 Resumen Diario'!$C$5:$C$504, D3056) * (SUMIFS('📋 Detalle Diario'!$E$5:$E$489, '📋 Detalle Diario'!$B$5:$B$489, B3056, '📋 Detalle Diario'!$C$5:$C$489, D3056) * 135 + SUMIFS('📋 Detalle Diario'!$I$5:$I$489, '📋 Detalle Diario'!$B$5:$B$489, B3056, '📋 Detalle Diario'!$C$5:$C$489, D3056) * 200), 0))</f>
        <v/>
      </c>
      <c r="P3056" s="32" t="str">
        <f t="shared" si="334"/>
        <v/>
      </c>
      <c r="Q3056" s="33" t="str">
        <f t="shared" si="335"/>
        <v/>
      </c>
    </row>
    <row r="3057" spans="2:17" ht="18" customHeight="1" x14ac:dyDescent="0.3">
      <c r="B3057" s="26"/>
      <c r="C3057" s="28"/>
      <c r="D3057" s="27"/>
      <c r="E3057" s="29"/>
      <c r="F3057" s="29"/>
      <c r="G3057" s="29"/>
      <c r="H3057" s="30" t="str">
        <f t="shared" si="329"/>
        <v/>
      </c>
      <c r="I3057" s="31" t="str">
        <f>IF(OR(B3057="",C3057=""),"",IFERROR(E3057*IF(E3057="",0,VLOOKUP(C3057,'📦 Precios Proforma'!$B$5:$D$104,IF(D3057="DIA",2,3),FALSE)),0))</f>
        <v/>
      </c>
      <c r="J3057" s="31" t="str">
        <f t="shared" si="330"/>
        <v/>
      </c>
      <c r="K3057" s="31" t="str">
        <f t="shared" si="331"/>
        <v/>
      </c>
      <c r="L3057" s="31" t="str">
        <f>IF(OR(B3057="",C3057=""),"",IFERROR(E3057 / SUMIFS('📅 Resumen Diario'!$D$5:$D$504, '📅 Resumen Diario'!$B$5:$B$504, B3057, '📅 Resumen Diario'!$C$5:$C$504, D3057) * SUMIFS('📅 Resumen Diario'!$K$5:$K$504, '📅 Resumen Diario'!$B$5:$B$504, B3057, '📅 Resumen Diario'!$C$5:$C$504, D3057), 0))</f>
        <v/>
      </c>
      <c r="M3057" s="31" t="str">
        <f t="shared" si="332"/>
        <v/>
      </c>
      <c r="N3057" s="31" t="str">
        <f t="shared" si="333"/>
        <v/>
      </c>
      <c r="O3057" s="31" t="str">
        <f>IF(OR(B3057="",C3057=""),"",K3057-N3057 + IFERROR(E3057 / SUMIFS('📅 Resumen Diario'!$D$5:$D$504, '📅 Resumen Diario'!$B$5:$B$504, B3057, '📅 Resumen Diario'!$C$5:$C$504, D3057) * (SUMIFS('📋 Detalle Diario'!$E$5:$E$489, '📋 Detalle Diario'!$B$5:$B$489, B3057, '📋 Detalle Diario'!$C$5:$C$489, D3057) * 135 + SUMIFS('📋 Detalle Diario'!$I$5:$I$489, '📋 Detalle Diario'!$B$5:$B$489, B3057, '📋 Detalle Diario'!$C$5:$C$489, D3057) * 200), 0))</f>
        <v/>
      </c>
      <c r="P3057" s="32" t="str">
        <f t="shared" si="334"/>
        <v/>
      </c>
      <c r="Q3057" s="33" t="str">
        <f t="shared" si="335"/>
        <v/>
      </c>
    </row>
    <row r="3058" spans="2:17" ht="18" customHeight="1" x14ac:dyDescent="0.3">
      <c r="B3058" s="26"/>
      <c r="C3058" s="17"/>
      <c r="D3058" s="27"/>
      <c r="E3058" s="18"/>
      <c r="F3058" s="18"/>
      <c r="G3058" s="18"/>
      <c r="H3058" s="30" t="str">
        <f t="shared" si="329"/>
        <v/>
      </c>
      <c r="I3058" s="31" t="str">
        <f>IF(OR(B3058="",C3058=""),"",IFERROR(E3058*IF(E3058="",0,VLOOKUP(C3058,'📦 Precios Proforma'!$B$5:$D$104,IF(D3058="DIA",2,3),FALSE)),0))</f>
        <v/>
      </c>
      <c r="J3058" s="31" t="str">
        <f t="shared" si="330"/>
        <v/>
      </c>
      <c r="K3058" s="31" t="str">
        <f t="shared" si="331"/>
        <v/>
      </c>
      <c r="L3058" s="31" t="str">
        <f>IF(OR(B3058="",C3058=""),"",IFERROR(E3058 / SUMIFS('📅 Resumen Diario'!$D$5:$D$504, '📅 Resumen Diario'!$B$5:$B$504, B3058, '📅 Resumen Diario'!$C$5:$C$504, D3058) * SUMIFS('📅 Resumen Diario'!$K$5:$K$504, '📅 Resumen Diario'!$B$5:$B$504, B3058, '📅 Resumen Diario'!$C$5:$C$504, D3058), 0))</f>
        <v/>
      </c>
      <c r="M3058" s="31" t="str">
        <f t="shared" si="332"/>
        <v/>
      </c>
      <c r="N3058" s="31" t="str">
        <f t="shared" si="333"/>
        <v/>
      </c>
      <c r="O3058" s="31" t="str">
        <f>IF(OR(B3058="",C3058=""),"",K3058-N3058 + IFERROR(E3058 / SUMIFS('📅 Resumen Diario'!$D$5:$D$504, '📅 Resumen Diario'!$B$5:$B$504, B3058, '📅 Resumen Diario'!$C$5:$C$504, D3058) * (SUMIFS('📋 Detalle Diario'!$E$5:$E$489, '📋 Detalle Diario'!$B$5:$B$489, B3058, '📋 Detalle Diario'!$C$5:$C$489, D3058) * 135 + SUMIFS('📋 Detalle Diario'!$I$5:$I$489, '📋 Detalle Diario'!$B$5:$B$489, B3058, '📋 Detalle Diario'!$C$5:$C$489, D3058) * 200), 0))</f>
        <v/>
      </c>
      <c r="P3058" s="32" t="str">
        <f t="shared" si="334"/>
        <v/>
      </c>
      <c r="Q3058" s="33" t="str">
        <f t="shared" si="335"/>
        <v/>
      </c>
    </row>
    <row r="3059" spans="2:17" ht="18" customHeight="1" x14ac:dyDescent="0.3">
      <c r="B3059" s="26"/>
      <c r="C3059" s="28"/>
      <c r="D3059" s="27"/>
      <c r="E3059" s="29"/>
      <c r="F3059" s="29"/>
      <c r="G3059" s="29"/>
      <c r="H3059" s="30" t="str">
        <f t="shared" si="329"/>
        <v/>
      </c>
      <c r="I3059" s="31" t="str">
        <f>IF(OR(B3059="",C3059=""),"",IFERROR(E3059*IF(E3059="",0,VLOOKUP(C3059,'📦 Precios Proforma'!$B$5:$D$104,IF(D3059="DIA",2,3),FALSE)),0))</f>
        <v/>
      </c>
      <c r="J3059" s="31" t="str">
        <f t="shared" si="330"/>
        <v/>
      </c>
      <c r="K3059" s="31" t="str">
        <f t="shared" si="331"/>
        <v/>
      </c>
      <c r="L3059" s="31" t="str">
        <f>IF(OR(B3059="",C3059=""),"",IFERROR(E3059 / SUMIFS('📅 Resumen Diario'!$D$5:$D$504, '📅 Resumen Diario'!$B$5:$B$504, B3059, '📅 Resumen Diario'!$C$5:$C$504, D3059) * SUMIFS('📅 Resumen Diario'!$K$5:$K$504, '📅 Resumen Diario'!$B$5:$B$504, B3059, '📅 Resumen Diario'!$C$5:$C$504, D3059), 0))</f>
        <v/>
      </c>
      <c r="M3059" s="31" t="str">
        <f t="shared" si="332"/>
        <v/>
      </c>
      <c r="N3059" s="31" t="str">
        <f t="shared" si="333"/>
        <v/>
      </c>
      <c r="O3059" s="31" t="str">
        <f>IF(OR(B3059="",C3059=""),"",K3059-N3059 + IFERROR(E3059 / SUMIFS('📅 Resumen Diario'!$D$5:$D$504, '📅 Resumen Diario'!$B$5:$B$504, B3059, '📅 Resumen Diario'!$C$5:$C$504, D3059) * (SUMIFS('📋 Detalle Diario'!$E$5:$E$489, '📋 Detalle Diario'!$B$5:$B$489, B3059, '📋 Detalle Diario'!$C$5:$C$489, D3059) * 135 + SUMIFS('📋 Detalle Diario'!$I$5:$I$489, '📋 Detalle Diario'!$B$5:$B$489, B3059, '📋 Detalle Diario'!$C$5:$C$489, D3059) * 200), 0))</f>
        <v/>
      </c>
      <c r="P3059" s="32" t="str">
        <f t="shared" si="334"/>
        <v/>
      </c>
      <c r="Q3059" s="33" t="str">
        <f t="shared" si="335"/>
        <v/>
      </c>
    </row>
    <row r="3060" spans="2:17" ht="18" customHeight="1" x14ac:dyDescent="0.3">
      <c r="B3060" s="26"/>
      <c r="C3060" s="17"/>
      <c r="D3060" s="27"/>
      <c r="E3060" s="18"/>
      <c r="F3060" s="18"/>
      <c r="G3060" s="18"/>
      <c r="H3060" s="30" t="str">
        <f t="shared" si="329"/>
        <v/>
      </c>
      <c r="I3060" s="31" t="str">
        <f>IF(OR(B3060="",C3060=""),"",IFERROR(E3060*IF(E3060="",0,VLOOKUP(C3060,'📦 Precios Proforma'!$B$5:$D$104,IF(D3060="DIA",2,3),FALSE)),0))</f>
        <v/>
      </c>
      <c r="J3060" s="31" t="str">
        <f t="shared" si="330"/>
        <v/>
      </c>
      <c r="K3060" s="31" t="str">
        <f t="shared" si="331"/>
        <v/>
      </c>
      <c r="L3060" s="31" t="str">
        <f>IF(OR(B3060="",C3060=""),"",IFERROR(E3060 / SUMIFS('📅 Resumen Diario'!$D$5:$D$504, '📅 Resumen Diario'!$B$5:$B$504, B3060, '📅 Resumen Diario'!$C$5:$C$504, D3060) * SUMIFS('📅 Resumen Diario'!$K$5:$K$504, '📅 Resumen Diario'!$B$5:$B$504, B3060, '📅 Resumen Diario'!$C$5:$C$504, D3060), 0))</f>
        <v/>
      </c>
      <c r="M3060" s="31" t="str">
        <f t="shared" si="332"/>
        <v/>
      </c>
      <c r="N3060" s="31" t="str">
        <f t="shared" si="333"/>
        <v/>
      </c>
      <c r="O3060" s="31" t="str">
        <f>IF(OR(B3060="",C3060=""),"",K3060-N3060 + IFERROR(E3060 / SUMIFS('📅 Resumen Diario'!$D$5:$D$504, '📅 Resumen Diario'!$B$5:$B$504, B3060, '📅 Resumen Diario'!$C$5:$C$504, D3060) * (SUMIFS('📋 Detalle Diario'!$E$5:$E$489, '📋 Detalle Diario'!$B$5:$B$489, B3060, '📋 Detalle Diario'!$C$5:$C$489, D3060) * 135 + SUMIFS('📋 Detalle Diario'!$I$5:$I$489, '📋 Detalle Diario'!$B$5:$B$489, B3060, '📋 Detalle Diario'!$C$5:$C$489, D3060) * 200), 0))</f>
        <v/>
      </c>
      <c r="P3060" s="32" t="str">
        <f t="shared" si="334"/>
        <v/>
      </c>
      <c r="Q3060" s="33" t="str">
        <f t="shared" si="335"/>
        <v/>
      </c>
    </row>
    <row r="3061" spans="2:17" ht="18" customHeight="1" x14ac:dyDescent="0.3">
      <c r="B3061" s="26"/>
      <c r="C3061" s="28"/>
      <c r="D3061" s="27"/>
      <c r="E3061" s="29"/>
      <c r="F3061" s="29"/>
      <c r="G3061" s="29"/>
      <c r="H3061" s="30" t="str">
        <f t="shared" si="329"/>
        <v/>
      </c>
      <c r="I3061" s="31" t="str">
        <f>IF(OR(B3061="",C3061=""),"",IFERROR(E3061*IF(E3061="",0,VLOOKUP(C3061,'📦 Precios Proforma'!$B$5:$D$104,IF(D3061="DIA",2,3),FALSE)),0))</f>
        <v/>
      </c>
      <c r="J3061" s="31" t="str">
        <f t="shared" si="330"/>
        <v/>
      </c>
      <c r="K3061" s="31" t="str">
        <f t="shared" si="331"/>
        <v/>
      </c>
      <c r="L3061" s="31" t="str">
        <f>IF(OR(B3061="",C3061=""),"",IFERROR(E3061 / SUMIFS('📅 Resumen Diario'!$D$5:$D$504, '📅 Resumen Diario'!$B$5:$B$504, B3061, '📅 Resumen Diario'!$C$5:$C$504, D3061) * SUMIFS('📅 Resumen Diario'!$K$5:$K$504, '📅 Resumen Diario'!$B$5:$B$504, B3061, '📅 Resumen Diario'!$C$5:$C$504, D3061), 0))</f>
        <v/>
      </c>
      <c r="M3061" s="31" t="str">
        <f t="shared" si="332"/>
        <v/>
      </c>
      <c r="N3061" s="31" t="str">
        <f t="shared" si="333"/>
        <v/>
      </c>
      <c r="O3061" s="31" t="str">
        <f>IF(OR(B3061="",C3061=""),"",K3061-N3061 + IFERROR(E3061 / SUMIFS('📅 Resumen Diario'!$D$5:$D$504, '📅 Resumen Diario'!$B$5:$B$504, B3061, '📅 Resumen Diario'!$C$5:$C$504, D3061) * (SUMIFS('📋 Detalle Diario'!$E$5:$E$489, '📋 Detalle Diario'!$B$5:$B$489, B3061, '📋 Detalle Diario'!$C$5:$C$489, D3061) * 135 + SUMIFS('📋 Detalle Diario'!$I$5:$I$489, '📋 Detalle Diario'!$B$5:$B$489, B3061, '📋 Detalle Diario'!$C$5:$C$489, D3061) * 200), 0))</f>
        <v/>
      </c>
      <c r="P3061" s="32" t="str">
        <f t="shared" si="334"/>
        <v/>
      </c>
      <c r="Q3061" s="33" t="str">
        <f t="shared" si="335"/>
        <v/>
      </c>
    </row>
    <row r="3062" spans="2:17" ht="18" customHeight="1" x14ac:dyDescent="0.3">
      <c r="B3062" s="26"/>
      <c r="C3062" s="17"/>
      <c r="D3062" s="27"/>
      <c r="E3062" s="18"/>
      <c r="F3062" s="18"/>
      <c r="G3062" s="18"/>
      <c r="H3062" s="30" t="str">
        <f t="shared" si="329"/>
        <v/>
      </c>
      <c r="I3062" s="31" t="str">
        <f>IF(OR(B3062="",C3062=""),"",IFERROR(E3062*IF(E3062="",0,VLOOKUP(C3062,'📦 Precios Proforma'!$B$5:$D$104,IF(D3062="DIA",2,3),FALSE)),0))</f>
        <v/>
      </c>
      <c r="J3062" s="31" t="str">
        <f t="shared" si="330"/>
        <v/>
      </c>
      <c r="K3062" s="31" t="str">
        <f t="shared" si="331"/>
        <v/>
      </c>
      <c r="L3062" s="31" t="str">
        <f>IF(OR(B3062="",C3062=""),"",IFERROR(E3062 / SUMIFS('📅 Resumen Diario'!$D$5:$D$504, '📅 Resumen Diario'!$B$5:$B$504, B3062, '📅 Resumen Diario'!$C$5:$C$504, D3062) * SUMIFS('📅 Resumen Diario'!$K$5:$K$504, '📅 Resumen Diario'!$B$5:$B$504, B3062, '📅 Resumen Diario'!$C$5:$C$504, D3062), 0))</f>
        <v/>
      </c>
      <c r="M3062" s="31" t="str">
        <f t="shared" si="332"/>
        <v/>
      </c>
      <c r="N3062" s="31" t="str">
        <f t="shared" si="333"/>
        <v/>
      </c>
      <c r="O3062" s="31" t="str">
        <f>IF(OR(B3062="",C3062=""),"",K3062-N3062 + IFERROR(E3062 / SUMIFS('📅 Resumen Diario'!$D$5:$D$504, '📅 Resumen Diario'!$B$5:$B$504, B3062, '📅 Resumen Diario'!$C$5:$C$504, D3062) * (SUMIFS('📋 Detalle Diario'!$E$5:$E$489, '📋 Detalle Diario'!$B$5:$B$489, B3062, '📋 Detalle Diario'!$C$5:$C$489, D3062) * 135 + SUMIFS('📋 Detalle Diario'!$I$5:$I$489, '📋 Detalle Diario'!$B$5:$B$489, B3062, '📋 Detalle Diario'!$C$5:$C$489, D3062) * 200), 0))</f>
        <v/>
      </c>
      <c r="P3062" s="32" t="str">
        <f t="shared" si="334"/>
        <v/>
      </c>
      <c r="Q3062" s="33" t="str">
        <f t="shared" si="335"/>
        <v/>
      </c>
    </row>
    <row r="3063" spans="2:17" ht="18" customHeight="1" x14ac:dyDescent="0.3">
      <c r="B3063" s="26"/>
      <c r="C3063" s="28"/>
      <c r="D3063" s="27"/>
      <c r="E3063" s="29"/>
      <c r="F3063" s="29"/>
      <c r="G3063" s="29"/>
      <c r="H3063" s="30" t="str">
        <f t="shared" si="329"/>
        <v/>
      </c>
      <c r="I3063" s="31" t="str">
        <f>IF(OR(B3063="",C3063=""),"",IFERROR(E3063*IF(E3063="",0,VLOOKUP(C3063,'📦 Precios Proforma'!$B$5:$D$104,IF(D3063="DIA",2,3),FALSE)),0))</f>
        <v/>
      </c>
      <c r="J3063" s="31" t="str">
        <f t="shared" si="330"/>
        <v/>
      </c>
      <c r="K3063" s="31" t="str">
        <f t="shared" si="331"/>
        <v/>
      </c>
      <c r="L3063" s="31" t="str">
        <f>IF(OR(B3063="",C3063=""),"",IFERROR(E3063 / SUMIFS('📅 Resumen Diario'!$D$5:$D$504, '📅 Resumen Diario'!$B$5:$B$504, B3063, '📅 Resumen Diario'!$C$5:$C$504, D3063) * SUMIFS('📅 Resumen Diario'!$K$5:$K$504, '📅 Resumen Diario'!$B$5:$B$504, B3063, '📅 Resumen Diario'!$C$5:$C$504, D3063), 0))</f>
        <v/>
      </c>
      <c r="M3063" s="31" t="str">
        <f t="shared" si="332"/>
        <v/>
      </c>
      <c r="N3063" s="31" t="str">
        <f t="shared" si="333"/>
        <v/>
      </c>
      <c r="O3063" s="31" t="str">
        <f>IF(OR(B3063="",C3063=""),"",K3063-N3063 + IFERROR(E3063 / SUMIFS('📅 Resumen Diario'!$D$5:$D$504, '📅 Resumen Diario'!$B$5:$B$504, B3063, '📅 Resumen Diario'!$C$5:$C$504, D3063) * (SUMIFS('📋 Detalle Diario'!$E$5:$E$489, '📋 Detalle Diario'!$B$5:$B$489, B3063, '📋 Detalle Diario'!$C$5:$C$489, D3063) * 135 + SUMIFS('📋 Detalle Diario'!$I$5:$I$489, '📋 Detalle Diario'!$B$5:$B$489, B3063, '📋 Detalle Diario'!$C$5:$C$489, D3063) * 200), 0))</f>
        <v/>
      </c>
      <c r="P3063" s="32" t="str">
        <f t="shared" si="334"/>
        <v/>
      </c>
      <c r="Q3063" s="33" t="str">
        <f t="shared" si="335"/>
        <v/>
      </c>
    </row>
    <row r="3064" spans="2:17" ht="18" customHeight="1" x14ac:dyDescent="0.3">
      <c r="B3064" s="26"/>
      <c r="C3064" s="17"/>
      <c r="D3064" s="27"/>
      <c r="E3064" s="18"/>
      <c r="F3064" s="18"/>
      <c r="G3064" s="18"/>
      <c r="H3064" s="30" t="str">
        <f t="shared" si="329"/>
        <v/>
      </c>
      <c r="I3064" s="31" t="str">
        <f>IF(OR(B3064="",C3064=""),"",IFERROR(E3064*IF(E3064="",0,VLOOKUP(C3064,'📦 Precios Proforma'!$B$5:$D$104,IF(D3064="DIA",2,3),FALSE)),0))</f>
        <v/>
      </c>
      <c r="J3064" s="31" t="str">
        <f t="shared" si="330"/>
        <v/>
      </c>
      <c r="K3064" s="31" t="str">
        <f t="shared" si="331"/>
        <v/>
      </c>
      <c r="L3064" s="31" t="str">
        <f>IF(OR(B3064="",C3064=""),"",IFERROR(E3064 / SUMIFS('📅 Resumen Diario'!$D$5:$D$504, '📅 Resumen Diario'!$B$5:$B$504, B3064, '📅 Resumen Diario'!$C$5:$C$504, D3064) * SUMIFS('📅 Resumen Diario'!$K$5:$K$504, '📅 Resumen Diario'!$B$5:$B$504, B3064, '📅 Resumen Diario'!$C$5:$C$504, D3064), 0))</f>
        <v/>
      </c>
      <c r="M3064" s="31" t="str">
        <f t="shared" si="332"/>
        <v/>
      </c>
      <c r="N3064" s="31" t="str">
        <f t="shared" si="333"/>
        <v/>
      </c>
      <c r="O3064" s="31" t="str">
        <f>IF(OR(B3064="",C3064=""),"",K3064-N3064 + IFERROR(E3064 / SUMIFS('📅 Resumen Diario'!$D$5:$D$504, '📅 Resumen Diario'!$B$5:$B$504, B3064, '📅 Resumen Diario'!$C$5:$C$504, D3064) * (SUMIFS('📋 Detalle Diario'!$E$5:$E$489, '📋 Detalle Diario'!$B$5:$B$489, B3064, '📋 Detalle Diario'!$C$5:$C$489, D3064) * 135 + SUMIFS('📋 Detalle Diario'!$I$5:$I$489, '📋 Detalle Diario'!$B$5:$B$489, B3064, '📋 Detalle Diario'!$C$5:$C$489, D3064) * 200), 0))</f>
        <v/>
      </c>
      <c r="P3064" s="32" t="str">
        <f t="shared" si="334"/>
        <v/>
      </c>
      <c r="Q3064" s="33" t="str">
        <f t="shared" si="335"/>
        <v/>
      </c>
    </row>
    <row r="3065" spans="2:17" ht="18" customHeight="1" x14ac:dyDescent="0.3">
      <c r="B3065" s="26"/>
      <c r="C3065" s="28"/>
      <c r="D3065" s="27"/>
      <c r="E3065" s="29"/>
      <c r="F3065" s="29"/>
      <c r="G3065" s="29"/>
      <c r="H3065" s="30" t="str">
        <f t="shared" si="329"/>
        <v/>
      </c>
      <c r="I3065" s="31" t="str">
        <f>IF(OR(B3065="",C3065=""),"",IFERROR(E3065*IF(E3065="",0,VLOOKUP(C3065,'📦 Precios Proforma'!$B$5:$D$104,IF(D3065="DIA",2,3),FALSE)),0))</f>
        <v/>
      </c>
      <c r="J3065" s="31" t="str">
        <f t="shared" si="330"/>
        <v/>
      </c>
      <c r="K3065" s="31" t="str">
        <f t="shared" si="331"/>
        <v/>
      </c>
      <c r="L3065" s="31" t="str">
        <f>IF(OR(B3065="",C3065=""),"",IFERROR(E3065 / SUMIFS('📅 Resumen Diario'!$D$5:$D$504, '📅 Resumen Diario'!$B$5:$B$504, B3065, '📅 Resumen Diario'!$C$5:$C$504, D3065) * SUMIFS('📅 Resumen Diario'!$K$5:$K$504, '📅 Resumen Diario'!$B$5:$B$504, B3065, '📅 Resumen Diario'!$C$5:$C$504, D3065), 0))</f>
        <v/>
      </c>
      <c r="M3065" s="31" t="str">
        <f t="shared" si="332"/>
        <v/>
      </c>
      <c r="N3065" s="31" t="str">
        <f t="shared" si="333"/>
        <v/>
      </c>
      <c r="O3065" s="31" t="str">
        <f>IF(OR(B3065="",C3065=""),"",K3065-N3065 + IFERROR(E3065 / SUMIFS('📅 Resumen Diario'!$D$5:$D$504, '📅 Resumen Diario'!$B$5:$B$504, B3065, '📅 Resumen Diario'!$C$5:$C$504, D3065) * (SUMIFS('📋 Detalle Diario'!$E$5:$E$489, '📋 Detalle Diario'!$B$5:$B$489, B3065, '📋 Detalle Diario'!$C$5:$C$489, D3065) * 135 + SUMIFS('📋 Detalle Diario'!$I$5:$I$489, '📋 Detalle Diario'!$B$5:$B$489, B3065, '📋 Detalle Diario'!$C$5:$C$489, D3065) * 200), 0))</f>
        <v/>
      </c>
      <c r="P3065" s="32" t="str">
        <f t="shared" si="334"/>
        <v/>
      </c>
      <c r="Q3065" s="33" t="str">
        <f t="shared" si="335"/>
        <v/>
      </c>
    </row>
    <row r="3066" spans="2:17" ht="18" customHeight="1" x14ac:dyDescent="0.3">
      <c r="B3066" s="26"/>
      <c r="C3066" s="17"/>
      <c r="D3066" s="27"/>
      <c r="E3066" s="18"/>
      <c r="F3066" s="18"/>
      <c r="G3066" s="18"/>
      <c r="H3066" s="30" t="str">
        <f t="shared" si="329"/>
        <v/>
      </c>
      <c r="I3066" s="31" t="str">
        <f>IF(OR(B3066="",C3066=""),"",IFERROR(E3066*IF(E3066="",0,VLOOKUP(C3066,'📦 Precios Proforma'!$B$5:$D$104,IF(D3066="DIA",2,3),FALSE)),0))</f>
        <v/>
      </c>
      <c r="J3066" s="31" t="str">
        <f t="shared" si="330"/>
        <v/>
      </c>
      <c r="K3066" s="31" t="str">
        <f t="shared" si="331"/>
        <v/>
      </c>
      <c r="L3066" s="31" t="str">
        <f>IF(OR(B3066="",C3066=""),"",IFERROR(E3066 / SUMIFS('📅 Resumen Diario'!$D$5:$D$504, '📅 Resumen Diario'!$B$5:$B$504, B3066, '📅 Resumen Diario'!$C$5:$C$504, D3066) * SUMIFS('📅 Resumen Diario'!$K$5:$K$504, '📅 Resumen Diario'!$B$5:$B$504, B3066, '📅 Resumen Diario'!$C$5:$C$504, D3066), 0))</f>
        <v/>
      </c>
      <c r="M3066" s="31" t="str">
        <f t="shared" si="332"/>
        <v/>
      </c>
      <c r="N3066" s="31" t="str">
        <f t="shared" si="333"/>
        <v/>
      </c>
      <c r="O3066" s="31" t="str">
        <f>IF(OR(B3066="",C3066=""),"",K3066-N3066 + IFERROR(E3066 / SUMIFS('📅 Resumen Diario'!$D$5:$D$504, '📅 Resumen Diario'!$B$5:$B$504, B3066, '📅 Resumen Diario'!$C$5:$C$504, D3066) * (SUMIFS('📋 Detalle Diario'!$E$5:$E$489, '📋 Detalle Diario'!$B$5:$B$489, B3066, '📋 Detalle Diario'!$C$5:$C$489, D3066) * 135 + SUMIFS('📋 Detalle Diario'!$I$5:$I$489, '📋 Detalle Diario'!$B$5:$B$489, B3066, '📋 Detalle Diario'!$C$5:$C$489, D3066) * 200), 0))</f>
        <v/>
      </c>
      <c r="P3066" s="32" t="str">
        <f t="shared" si="334"/>
        <v/>
      </c>
      <c r="Q3066" s="33" t="str">
        <f t="shared" si="335"/>
        <v/>
      </c>
    </row>
    <row r="3067" spans="2:17" ht="18" customHeight="1" x14ac:dyDescent="0.3">
      <c r="B3067" s="26"/>
      <c r="C3067" s="28"/>
      <c r="D3067" s="27"/>
      <c r="E3067" s="29"/>
      <c r="F3067" s="29"/>
      <c r="G3067" s="29"/>
      <c r="H3067" s="30" t="str">
        <f t="shared" si="329"/>
        <v/>
      </c>
      <c r="I3067" s="31" t="str">
        <f>IF(OR(B3067="",C3067=""),"",IFERROR(E3067*IF(E3067="",0,VLOOKUP(C3067,'📦 Precios Proforma'!$B$5:$D$104,IF(D3067="DIA",2,3),FALSE)),0))</f>
        <v/>
      </c>
      <c r="J3067" s="31" t="str">
        <f t="shared" si="330"/>
        <v/>
      </c>
      <c r="K3067" s="31" t="str">
        <f t="shared" si="331"/>
        <v/>
      </c>
      <c r="L3067" s="31" t="str">
        <f>IF(OR(B3067="",C3067=""),"",IFERROR(E3067 / SUMIFS('📅 Resumen Diario'!$D$5:$D$504, '📅 Resumen Diario'!$B$5:$B$504, B3067, '📅 Resumen Diario'!$C$5:$C$504, D3067) * SUMIFS('📅 Resumen Diario'!$K$5:$K$504, '📅 Resumen Diario'!$B$5:$B$504, B3067, '📅 Resumen Diario'!$C$5:$C$504, D3067), 0))</f>
        <v/>
      </c>
      <c r="M3067" s="31" t="str">
        <f t="shared" si="332"/>
        <v/>
      </c>
      <c r="N3067" s="31" t="str">
        <f t="shared" si="333"/>
        <v/>
      </c>
      <c r="O3067" s="31" t="str">
        <f>IF(OR(B3067="",C3067=""),"",K3067-N3067 + IFERROR(E3067 / SUMIFS('📅 Resumen Diario'!$D$5:$D$504, '📅 Resumen Diario'!$B$5:$B$504, B3067, '📅 Resumen Diario'!$C$5:$C$504, D3067) * (SUMIFS('📋 Detalle Diario'!$E$5:$E$489, '📋 Detalle Diario'!$B$5:$B$489, B3067, '📋 Detalle Diario'!$C$5:$C$489, D3067) * 135 + SUMIFS('📋 Detalle Diario'!$I$5:$I$489, '📋 Detalle Diario'!$B$5:$B$489, B3067, '📋 Detalle Diario'!$C$5:$C$489, D3067) * 200), 0))</f>
        <v/>
      </c>
      <c r="P3067" s="32" t="str">
        <f t="shared" si="334"/>
        <v/>
      </c>
      <c r="Q3067" s="33" t="str">
        <f t="shared" si="335"/>
        <v/>
      </c>
    </row>
    <row r="3068" spans="2:17" ht="18" customHeight="1" x14ac:dyDescent="0.3">
      <c r="B3068" s="26"/>
      <c r="C3068" s="17"/>
      <c r="D3068" s="27"/>
      <c r="E3068" s="18"/>
      <c r="F3068" s="18"/>
      <c r="G3068" s="18"/>
      <c r="H3068" s="30" t="str">
        <f t="shared" si="329"/>
        <v/>
      </c>
      <c r="I3068" s="31" t="str">
        <f>IF(OR(B3068="",C3068=""),"",IFERROR(E3068*IF(E3068="",0,VLOOKUP(C3068,'📦 Precios Proforma'!$B$5:$D$104,IF(D3068="DIA",2,3),FALSE)),0))</f>
        <v/>
      </c>
      <c r="J3068" s="31" t="str">
        <f t="shared" si="330"/>
        <v/>
      </c>
      <c r="K3068" s="31" t="str">
        <f t="shared" si="331"/>
        <v/>
      </c>
      <c r="L3068" s="31" t="str">
        <f>IF(OR(B3068="",C3068=""),"",IFERROR(E3068 / SUMIFS('📅 Resumen Diario'!$D$5:$D$504, '📅 Resumen Diario'!$B$5:$B$504, B3068, '📅 Resumen Diario'!$C$5:$C$504, D3068) * SUMIFS('📅 Resumen Diario'!$K$5:$K$504, '📅 Resumen Diario'!$B$5:$B$504, B3068, '📅 Resumen Diario'!$C$5:$C$504, D3068), 0))</f>
        <v/>
      </c>
      <c r="M3068" s="31" t="str">
        <f t="shared" si="332"/>
        <v/>
      </c>
      <c r="N3068" s="31" t="str">
        <f t="shared" si="333"/>
        <v/>
      </c>
      <c r="O3068" s="31" t="str">
        <f>IF(OR(B3068="",C3068=""),"",K3068-N3068 + IFERROR(E3068 / SUMIFS('📅 Resumen Diario'!$D$5:$D$504, '📅 Resumen Diario'!$B$5:$B$504, B3068, '📅 Resumen Diario'!$C$5:$C$504, D3068) * (SUMIFS('📋 Detalle Diario'!$E$5:$E$489, '📋 Detalle Diario'!$B$5:$B$489, B3068, '📋 Detalle Diario'!$C$5:$C$489, D3068) * 135 + SUMIFS('📋 Detalle Diario'!$I$5:$I$489, '📋 Detalle Diario'!$B$5:$B$489, B3068, '📋 Detalle Diario'!$C$5:$C$489, D3068) * 200), 0))</f>
        <v/>
      </c>
      <c r="P3068" s="32" t="str">
        <f t="shared" si="334"/>
        <v/>
      </c>
      <c r="Q3068" s="33" t="str">
        <f t="shared" si="335"/>
        <v/>
      </c>
    </row>
    <row r="3069" spans="2:17" ht="18" customHeight="1" x14ac:dyDescent="0.3">
      <c r="B3069" s="26"/>
      <c r="C3069" s="28"/>
      <c r="D3069" s="27"/>
      <c r="E3069" s="29"/>
      <c r="F3069" s="29"/>
      <c r="G3069" s="29"/>
      <c r="H3069" s="30" t="str">
        <f t="shared" si="329"/>
        <v/>
      </c>
      <c r="I3069" s="31" t="str">
        <f>IF(OR(B3069="",C3069=""),"",IFERROR(E3069*IF(E3069="",0,VLOOKUP(C3069,'📦 Precios Proforma'!$B$5:$D$104,IF(D3069="DIA",2,3),FALSE)),0))</f>
        <v/>
      </c>
      <c r="J3069" s="31" t="str">
        <f t="shared" si="330"/>
        <v/>
      </c>
      <c r="K3069" s="31" t="str">
        <f t="shared" si="331"/>
        <v/>
      </c>
      <c r="L3069" s="31" t="str">
        <f>IF(OR(B3069="",C3069=""),"",IFERROR(E3069 / SUMIFS('📅 Resumen Diario'!$D$5:$D$504, '📅 Resumen Diario'!$B$5:$B$504, B3069, '📅 Resumen Diario'!$C$5:$C$504, D3069) * SUMIFS('📅 Resumen Diario'!$K$5:$K$504, '📅 Resumen Diario'!$B$5:$B$504, B3069, '📅 Resumen Diario'!$C$5:$C$504, D3069), 0))</f>
        <v/>
      </c>
      <c r="M3069" s="31" t="str">
        <f t="shared" si="332"/>
        <v/>
      </c>
      <c r="N3069" s="31" t="str">
        <f t="shared" si="333"/>
        <v/>
      </c>
      <c r="O3069" s="31" t="str">
        <f>IF(OR(B3069="",C3069=""),"",K3069-N3069 + IFERROR(E3069 / SUMIFS('📅 Resumen Diario'!$D$5:$D$504, '📅 Resumen Diario'!$B$5:$B$504, B3069, '📅 Resumen Diario'!$C$5:$C$504, D3069) * (SUMIFS('📋 Detalle Diario'!$E$5:$E$489, '📋 Detalle Diario'!$B$5:$B$489, B3069, '📋 Detalle Diario'!$C$5:$C$489, D3069) * 135 + SUMIFS('📋 Detalle Diario'!$I$5:$I$489, '📋 Detalle Diario'!$B$5:$B$489, B3069, '📋 Detalle Diario'!$C$5:$C$489, D3069) * 200), 0))</f>
        <v/>
      </c>
      <c r="P3069" s="32" t="str">
        <f t="shared" si="334"/>
        <v/>
      </c>
      <c r="Q3069" s="33" t="str">
        <f t="shared" si="335"/>
        <v/>
      </c>
    </row>
    <row r="3070" spans="2:17" ht="18" customHeight="1" x14ac:dyDescent="0.3">
      <c r="B3070" s="26"/>
      <c r="C3070" s="17"/>
      <c r="D3070" s="27"/>
      <c r="E3070" s="18"/>
      <c r="F3070" s="18"/>
      <c r="G3070" s="18"/>
      <c r="H3070" s="30" t="str">
        <f t="shared" si="329"/>
        <v/>
      </c>
      <c r="I3070" s="31" t="str">
        <f>IF(OR(B3070="",C3070=""),"",IFERROR(E3070*IF(E3070="",0,VLOOKUP(C3070,'📦 Precios Proforma'!$B$5:$D$104,IF(D3070="DIA",2,3),FALSE)),0))</f>
        <v/>
      </c>
      <c r="J3070" s="31" t="str">
        <f t="shared" si="330"/>
        <v/>
      </c>
      <c r="K3070" s="31" t="str">
        <f t="shared" si="331"/>
        <v/>
      </c>
      <c r="L3070" s="31" t="str">
        <f>IF(OR(B3070="",C3070=""),"",IFERROR(E3070 / SUMIFS('📅 Resumen Diario'!$D$5:$D$504, '📅 Resumen Diario'!$B$5:$B$504, B3070, '📅 Resumen Diario'!$C$5:$C$504, D3070) * SUMIFS('📅 Resumen Diario'!$K$5:$K$504, '📅 Resumen Diario'!$B$5:$B$504, B3070, '📅 Resumen Diario'!$C$5:$C$504, D3070), 0))</f>
        <v/>
      </c>
      <c r="M3070" s="31" t="str">
        <f t="shared" si="332"/>
        <v/>
      </c>
      <c r="N3070" s="31" t="str">
        <f t="shared" si="333"/>
        <v/>
      </c>
      <c r="O3070" s="31" t="str">
        <f>IF(OR(B3070="",C3070=""),"",K3070-N3070 + IFERROR(E3070 / SUMIFS('📅 Resumen Diario'!$D$5:$D$504, '📅 Resumen Diario'!$B$5:$B$504, B3070, '📅 Resumen Diario'!$C$5:$C$504, D3070) * (SUMIFS('📋 Detalle Diario'!$E$5:$E$489, '📋 Detalle Diario'!$B$5:$B$489, B3070, '📋 Detalle Diario'!$C$5:$C$489, D3070) * 135 + SUMIFS('📋 Detalle Diario'!$I$5:$I$489, '📋 Detalle Diario'!$B$5:$B$489, B3070, '📋 Detalle Diario'!$C$5:$C$489, D3070) * 200), 0))</f>
        <v/>
      </c>
      <c r="P3070" s="32" t="str">
        <f t="shared" si="334"/>
        <v/>
      </c>
      <c r="Q3070" s="33" t="str">
        <f t="shared" si="335"/>
        <v/>
      </c>
    </row>
    <row r="3071" spans="2:17" ht="18" customHeight="1" x14ac:dyDescent="0.3">
      <c r="B3071" s="26"/>
      <c r="C3071" s="28"/>
      <c r="D3071" s="27"/>
      <c r="E3071" s="29"/>
      <c r="F3071" s="29"/>
      <c r="G3071" s="29"/>
      <c r="H3071" s="30" t="str">
        <f t="shared" si="329"/>
        <v/>
      </c>
      <c r="I3071" s="31" t="str">
        <f>IF(OR(B3071="",C3071=""),"",IFERROR(E3071*IF(E3071="",0,VLOOKUP(C3071,'📦 Precios Proforma'!$B$5:$D$104,IF(D3071="DIA",2,3),FALSE)),0))</f>
        <v/>
      </c>
      <c r="J3071" s="31" t="str">
        <f t="shared" si="330"/>
        <v/>
      </c>
      <c r="K3071" s="31" t="str">
        <f t="shared" si="331"/>
        <v/>
      </c>
      <c r="L3071" s="31" t="str">
        <f>IF(OR(B3071="",C3071=""),"",IFERROR(E3071 / SUMIFS('📅 Resumen Diario'!$D$5:$D$504, '📅 Resumen Diario'!$B$5:$B$504, B3071, '📅 Resumen Diario'!$C$5:$C$504, D3071) * SUMIFS('📅 Resumen Diario'!$K$5:$K$504, '📅 Resumen Diario'!$B$5:$B$504, B3071, '📅 Resumen Diario'!$C$5:$C$504, D3071), 0))</f>
        <v/>
      </c>
      <c r="M3071" s="31" t="str">
        <f t="shared" si="332"/>
        <v/>
      </c>
      <c r="N3071" s="31" t="str">
        <f t="shared" si="333"/>
        <v/>
      </c>
      <c r="O3071" s="31" t="str">
        <f>IF(OR(B3071="",C3071=""),"",K3071-N3071 + IFERROR(E3071 / SUMIFS('📅 Resumen Diario'!$D$5:$D$504, '📅 Resumen Diario'!$B$5:$B$504, B3071, '📅 Resumen Diario'!$C$5:$C$504, D3071) * (SUMIFS('📋 Detalle Diario'!$E$5:$E$489, '📋 Detalle Diario'!$B$5:$B$489, B3071, '📋 Detalle Diario'!$C$5:$C$489, D3071) * 135 + SUMIFS('📋 Detalle Diario'!$I$5:$I$489, '📋 Detalle Diario'!$B$5:$B$489, B3071, '📋 Detalle Diario'!$C$5:$C$489, D3071) * 200), 0))</f>
        <v/>
      </c>
      <c r="P3071" s="32" t="str">
        <f t="shared" si="334"/>
        <v/>
      </c>
      <c r="Q3071" s="33" t="str">
        <f t="shared" si="335"/>
        <v/>
      </c>
    </row>
    <row r="3072" spans="2:17" ht="18" customHeight="1" x14ac:dyDescent="0.3">
      <c r="B3072" s="26"/>
      <c r="C3072" s="17"/>
      <c r="D3072" s="27"/>
      <c r="E3072" s="18"/>
      <c r="F3072" s="18"/>
      <c r="G3072" s="18"/>
      <c r="H3072" s="30" t="str">
        <f t="shared" si="329"/>
        <v/>
      </c>
      <c r="I3072" s="31" t="str">
        <f>IF(OR(B3072="",C3072=""),"",IFERROR(E3072*IF(E3072="",0,VLOOKUP(C3072,'📦 Precios Proforma'!$B$5:$D$104,IF(D3072="DIA",2,3),FALSE)),0))</f>
        <v/>
      </c>
      <c r="J3072" s="31" t="str">
        <f t="shared" si="330"/>
        <v/>
      </c>
      <c r="K3072" s="31" t="str">
        <f t="shared" si="331"/>
        <v/>
      </c>
      <c r="L3072" s="31" t="str">
        <f>IF(OR(B3072="",C3072=""),"",IFERROR(E3072 / SUMIFS('📅 Resumen Diario'!$D$5:$D$504, '📅 Resumen Diario'!$B$5:$B$504, B3072, '📅 Resumen Diario'!$C$5:$C$504, D3072) * SUMIFS('📅 Resumen Diario'!$K$5:$K$504, '📅 Resumen Diario'!$B$5:$B$504, B3072, '📅 Resumen Diario'!$C$5:$C$504, D3072), 0))</f>
        <v/>
      </c>
      <c r="M3072" s="31" t="str">
        <f t="shared" si="332"/>
        <v/>
      </c>
      <c r="N3072" s="31" t="str">
        <f t="shared" si="333"/>
        <v/>
      </c>
      <c r="O3072" s="31" t="str">
        <f>IF(OR(B3072="",C3072=""),"",K3072-N3072 + IFERROR(E3072 / SUMIFS('📅 Resumen Diario'!$D$5:$D$504, '📅 Resumen Diario'!$B$5:$B$504, B3072, '📅 Resumen Diario'!$C$5:$C$504, D3072) * (SUMIFS('📋 Detalle Diario'!$E$5:$E$489, '📋 Detalle Diario'!$B$5:$B$489, B3072, '📋 Detalle Diario'!$C$5:$C$489, D3072) * 135 + SUMIFS('📋 Detalle Diario'!$I$5:$I$489, '📋 Detalle Diario'!$B$5:$B$489, B3072, '📋 Detalle Diario'!$C$5:$C$489, D3072) * 200), 0))</f>
        <v/>
      </c>
      <c r="P3072" s="32" t="str">
        <f t="shared" si="334"/>
        <v/>
      </c>
      <c r="Q3072" s="33" t="str">
        <f t="shared" si="335"/>
        <v/>
      </c>
    </row>
    <row r="3073" spans="2:17" ht="18" customHeight="1" x14ac:dyDescent="0.3">
      <c r="B3073" s="26"/>
      <c r="C3073" s="28"/>
      <c r="D3073" s="27"/>
      <c r="E3073" s="29"/>
      <c r="F3073" s="29"/>
      <c r="G3073" s="29"/>
      <c r="H3073" s="30" t="str">
        <f t="shared" si="329"/>
        <v/>
      </c>
      <c r="I3073" s="31" t="str">
        <f>IF(OR(B3073="",C3073=""),"",IFERROR(E3073*IF(E3073="",0,VLOOKUP(C3073,'📦 Precios Proforma'!$B$5:$D$104,IF(D3073="DIA",2,3),FALSE)),0))</f>
        <v/>
      </c>
      <c r="J3073" s="31" t="str">
        <f t="shared" si="330"/>
        <v/>
      </c>
      <c r="K3073" s="31" t="str">
        <f t="shared" si="331"/>
        <v/>
      </c>
      <c r="L3073" s="31" t="str">
        <f>IF(OR(B3073="",C3073=""),"",IFERROR(E3073 / SUMIFS('📅 Resumen Diario'!$D$5:$D$504, '📅 Resumen Diario'!$B$5:$B$504, B3073, '📅 Resumen Diario'!$C$5:$C$504, D3073) * SUMIFS('📅 Resumen Diario'!$K$5:$K$504, '📅 Resumen Diario'!$B$5:$B$504, B3073, '📅 Resumen Diario'!$C$5:$C$504, D3073), 0))</f>
        <v/>
      </c>
      <c r="M3073" s="31" t="str">
        <f t="shared" si="332"/>
        <v/>
      </c>
      <c r="N3073" s="31" t="str">
        <f t="shared" si="333"/>
        <v/>
      </c>
      <c r="O3073" s="31" t="str">
        <f>IF(OR(B3073="",C3073=""),"",K3073-N3073 + IFERROR(E3073 / SUMIFS('📅 Resumen Diario'!$D$5:$D$504, '📅 Resumen Diario'!$B$5:$B$504, B3073, '📅 Resumen Diario'!$C$5:$C$504, D3073) * (SUMIFS('📋 Detalle Diario'!$E$5:$E$489, '📋 Detalle Diario'!$B$5:$B$489, B3073, '📋 Detalle Diario'!$C$5:$C$489, D3073) * 135 + SUMIFS('📋 Detalle Diario'!$I$5:$I$489, '📋 Detalle Diario'!$B$5:$B$489, B3073, '📋 Detalle Diario'!$C$5:$C$489, D3073) * 200), 0))</f>
        <v/>
      </c>
      <c r="P3073" s="32" t="str">
        <f t="shared" si="334"/>
        <v/>
      </c>
      <c r="Q3073" s="33" t="str">
        <f t="shared" si="335"/>
        <v/>
      </c>
    </row>
    <row r="3074" spans="2:17" ht="18" customHeight="1" x14ac:dyDescent="0.3">
      <c r="B3074" s="26"/>
      <c r="C3074" s="17"/>
      <c r="D3074" s="27"/>
      <c r="E3074" s="18"/>
      <c r="F3074" s="18"/>
      <c r="G3074" s="18"/>
      <c r="H3074" s="30" t="str">
        <f t="shared" si="329"/>
        <v/>
      </c>
      <c r="I3074" s="31" t="str">
        <f>IF(OR(B3074="",C3074=""),"",IFERROR(E3074*IF(E3074="",0,VLOOKUP(C3074,'📦 Precios Proforma'!$B$5:$D$104,IF(D3074="DIA",2,3),FALSE)),0))</f>
        <v/>
      </c>
      <c r="J3074" s="31" t="str">
        <f t="shared" si="330"/>
        <v/>
      </c>
      <c r="K3074" s="31" t="str">
        <f t="shared" si="331"/>
        <v/>
      </c>
      <c r="L3074" s="31" t="str">
        <f>IF(OR(B3074="",C3074=""),"",IFERROR(E3074 / SUMIFS('📅 Resumen Diario'!$D$5:$D$504, '📅 Resumen Diario'!$B$5:$B$504, B3074, '📅 Resumen Diario'!$C$5:$C$504, D3074) * SUMIFS('📅 Resumen Diario'!$K$5:$K$504, '📅 Resumen Diario'!$B$5:$B$504, B3074, '📅 Resumen Diario'!$C$5:$C$504, D3074), 0))</f>
        <v/>
      </c>
      <c r="M3074" s="31" t="str">
        <f t="shared" si="332"/>
        <v/>
      </c>
      <c r="N3074" s="31" t="str">
        <f t="shared" si="333"/>
        <v/>
      </c>
      <c r="O3074" s="31" t="str">
        <f>IF(OR(B3074="",C3074=""),"",K3074-N3074 + IFERROR(E3074 / SUMIFS('📅 Resumen Diario'!$D$5:$D$504, '📅 Resumen Diario'!$B$5:$B$504, B3074, '📅 Resumen Diario'!$C$5:$C$504, D3074) * (SUMIFS('📋 Detalle Diario'!$E$5:$E$489, '📋 Detalle Diario'!$B$5:$B$489, B3074, '📋 Detalle Diario'!$C$5:$C$489, D3074) * 135 + SUMIFS('📋 Detalle Diario'!$I$5:$I$489, '📋 Detalle Diario'!$B$5:$B$489, B3074, '📋 Detalle Diario'!$C$5:$C$489, D3074) * 200), 0))</f>
        <v/>
      </c>
      <c r="P3074" s="32" t="str">
        <f t="shared" si="334"/>
        <v/>
      </c>
      <c r="Q3074" s="33" t="str">
        <f t="shared" si="335"/>
        <v/>
      </c>
    </row>
    <row r="3075" spans="2:17" ht="18" customHeight="1" x14ac:dyDescent="0.3">
      <c r="B3075" s="26"/>
      <c r="C3075" s="28"/>
      <c r="D3075" s="27"/>
      <c r="E3075" s="29"/>
      <c r="F3075" s="29"/>
      <c r="G3075" s="29"/>
      <c r="H3075" s="30" t="str">
        <f t="shared" si="329"/>
        <v/>
      </c>
      <c r="I3075" s="31" t="str">
        <f>IF(OR(B3075="",C3075=""),"",IFERROR(E3075*IF(E3075="",0,VLOOKUP(C3075,'📦 Precios Proforma'!$B$5:$D$104,IF(D3075="DIA",2,3),FALSE)),0))</f>
        <v/>
      </c>
      <c r="J3075" s="31" t="str">
        <f t="shared" si="330"/>
        <v/>
      </c>
      <c r="K3075" s="31" t="str">
        <f t="shared" si="331"/>
        <v/>
      </c>
      <c r="L3075" s="31" t="str">
        <f>IF(OR(B3075="",C3075=""),"",IFERROR(E3075 / SUMIFS('📅 Resumen Diario'!$D$5:$D$504, '📅 Resumen Diario'!$B$5:$B$504, B3075, '📅 Resumen Diario'!$C$5:$C$504, D3075) * SUMIFS('📅 Resumen Diario'!$K$5:$K$504, '📅 Resumen Diario'!$B$5:$B$504, B3075, '📅 Resumen Diario'!$C$5:$C$504, D3075), 0))</f>
        <v/>
      </c>
      <c r="M3075" s="31" t="str">
        <f t="shared" si="332"/>
        <v/>
      </c>
      <c r="N3075" s="31" t="str">
        <f t="shared" si="333"/>
        <v/>
      </c>
      <c r="O3075" s="31" t="str">
        <f>IF(OR(B3075="",C3075=""),"",K3075-N3075 + IFERROR(E3075 / SUMIFS('📅 Resumen Diario'!$D$5:$D$504, '📅 Resumen Diario'!$B$5:$B$504, B3075, '📅 Resumen Diario'!$C$5:$C$504, D3075) * (SUMIFS('📋 Detalle Diario'!$E$5:$E$489, '📋 Detalle Diario'!$B$5:$B$489, B3075, '📋 Detalle Diario'!$C$5:$C$489, D3075) * 135 + SUMIFS('📋 Detalle Diario'!$I$5:$I$489, '📋 Detalle Diario'!$B$5:$B$489, B3075, '📋 Detalle Diario'!$C$5:$C$489, D3075) * 200), 0))</f>
        <v/>
      </c>
      <c r="P3075" s="32" t="str">
        <f t="shared" si="334"/>
        <v/>
      </c>
      <c r="Q3075" s="33" t="str">
        <f t="shared" si="335"/>
        <v/>
      </c>
    </row>
    <row r="3076" spans="2:17" ht="18" customHeight="1" x14ac:dyDescent="0.3">
      <c r="B3076" s="26"/>
      <c r="C3076" s="17"/>
      <c r="D3076" s="27"/>
      <c r="E3076" s="18"/>
      <c r="F3076" s="18"/>
      <c r="G3076" s="18"/>
      <c r="H3076" s="30" t="str">
        <f t="shared" si="329"/>
        <v/>
      </c>
      <c r="I3076" s="31" t="str">
        <f>IF(OR(B3076="",C3076=""),"",IFERROR(E3076*IF(E3076="",0,VLOOKUP(C3076,'📦 Precios Proforma'!$B$5:$D$104,IF(D3076="DIA",2,3),FALSE)),0))</f>
        <v/>
      </c>
      <c r="J3076" s="31" t="str">
        <f t="shared" si="330"/>
        <v/>
      </c>
      <c r="K3076" s="31" t="str">
        <f t="shared" si="331"/>
        <v/>
      </c>
      <c r="L3076" s="31" t="str">
        <f>IF(OR(B3076="",C3076=""),"",IFERROR(E3076 / SUMIFS('📅 Resumen Diario'!$D$5:$D$504, '📅 Resumen Diario'!$B$5:$B$504, B3076, '📅 Resumen Diario'!$C$5:$C$504, D3076) * SUMIFS('📅 Resumen Diario'!$K$5:$K$504, '📅 Resumen Diario'!$B$5:$B$504, B3076, '📅 Resumen Diario'!$C$5:$C$504, D3076), 0))</f>
        <v/>
      </c>
      <c r="M3076" s="31" t="str">
        <f t="shared" si="332"/>
        <v/>
      </c>
      <c r="N3076" s="31" t="str">
        <f t="shared" si="333"/>
        <v/>
      </c>
      <c r="O3076" s="31" t="str">
        <f>IF(OR(B3076="",C3076=""),"",K3076-N3076 + IFERROR(E3076 / SUMIFS('📅 Resumen Diario'!$D$5:$D$504, '📅 Resumen Diario'!$B$5:$B$504, B3076, '📅 Resumen Diario'!$C$5:$C$504, D3076) * (SUMIFS('📋 Detalle Diario'!$E$5:$E$489, '📋 Detalle Diario'!$B$5:$B$489, B3076, '📋 Detalle Diario'!$C$5:$C$489, D3076) * 135 + SUMIFS('📋 Detalle Diario'!$I$5:$I$489, '📋 Detalle Diario'!$B$5:$B$489, B3076, '📋 Detalle Diario'!$C$5:$C$489, D3076) * 200), 0))</f>
        <v/>
      </c>
      <c r="P3076" s="32" t="str">
        <f t="shared" si="334"/>
        <v/>
      </c>
      <c r="Q3076" s="33" t="str">
        <f t="shared" si="335"/>
        <v/>
      </c>
    </row>
    <row r="3077" spans="2:17" ht="18" customHeight="1" x14ac:dyDescent="0.3">
      <c r="B3077" s="26"/>
      <c r="C3077" s="28"/>
      <c r="D3077" s="27"/>
      <c r="E3077" s="29"/>
      <c r="F3077" s="29"/>
      <c r="G3077" s="29"/>
      <c r="H3077" s="30" t="str">
        <f t="shared" si="329"/>
        <v/>
      </c>
      <c r="I3077" s="31" t="str">
        <f>IF(OR(B3077="",C3077=""),"",IFERROR(E3077*IF(E3077="",0,VLOOKUP(C3077,'📦 Precios Proforma'!$B$5:$D$104,IF(D3077="DIA",2,3),FALSE)),0))</f>
        <v/>
      </c>
      <c r="J3077" s="31" t="str">
        <f t="shared" si="330"/>
        <v/>
      </c>
      <c r="K3077" s="31" t="str">
        <f t="shared" si="331"/>
        <v/>
      </c>
      <c r="L3077" s="31" t="str">
        <f>IF(OR(B3077="",C3077=""),"",IFERROR(E3077 / SUMIFS('📅 Resumen Diario'!$D$5:$D$504, '📅 Resumen Diario'!$B$5:$B$504, B3077, '📅 Resumen Diario'!$C$5:$C$504, D3077) * SUMIFS('📅 Resumen Diario'!$K$5:$K$504, '📅 Resumen Diario'!$B$5:$B$504, B3077, '📅 Resumen Diario'!$C$5:$C$504, D3077), 0))</f>
        <v/>
      </c>
      <c r="M3077" s="31" t="str">
        <f t="shared" si="332"/>
        <v/>
      </c>
      <c r="N3077" s="31" t="str">
        <f t="shared" si="333"/>
        <v/>
      </c>
      <c r="O3077" s="31" t="str">
        <f>IF(OR(B3077="",C3077=""),"",K3077-N3077 + IFERROR(E3077 / SUMIFS('📅 Resumen Diario'!$D$5:$D$504, '📅 Resumen Diario'!$B$5:$B$504, B3077, '📅 Resumen Diario'!$C$5:$C$504, D3077) * (SUMIFS('📋 Detalle Diario'!$E$5:$E$489, '📋 Detalle Diario'!$B$5:$B$489, B3077, '📋 Detalle Diario'!$C$5:$C$489, D3077) * 135 + SUMIFS('📋 Detalle Diario'!$I$5:$I$489, '📋 Detalle Diario'!$B$5:$B$489, B3077, '📋 Detalle Diario'!$C$5:$C$489, D3077) * 200), 0))</f>
        <v/>
      </c>
      <c r="P3077" s="32" t="str">
        <f t="shared" si="334"/>
        <v/>
      </c>
      <c r="Q3077" s="33" t="str">
        <f t="shared" si="335"/>
        <v/>
      </c>
    </row>
    <row r="3078" spans="2:17" ht="18" customHeight="1" x14ac:dyDescent="0.3">
      <c r="B3078" s="26"/>
      <c r="C3078" s="17"/>
      <c r="D3078" s="27"/>
      <c r="E3078" s="18"/>
      <c r="F3078" s="18"/>
      <c r="G3078" s="18"/>
      <c r="H3078" s="30" t="str">
        <f t="shared" si="329"/>
        <v/>
      </c>
      <c r="I3078" s="31" t="str">
        <f>IF(OR(B3078="",C3078=""),"",IFERROR(E3078*IF(E3078="",0,VLOOKUP(C3078,'📦 Precios Proforma'!$B$5:$D$104,IF(D3078="DIA",2,3),FALSE)),0))</f>
        <v/>
      </c>
      <c r="J3078" s="31" t="str">
        <f t="shared" si="330"/>
        <v/>
      </c>
      <c r="K3078" s="31" t="str">
        <f t="shared" si="331"/>
        <v/>
      </c>
      <c r="L3078" s="31" t="str">
        <f>IF(OR(B3078="",C3078=""),"",IFERROR(E3078 / SUMIFS('📅 Resumen Diario'!$D$5:$D$504, '📅 Resumen Diario'!$B$5:$B$504, B3078, '📅 Resumen Diario'!$C$5:$C$504, D3078) * SUMIFS('📅 Resumen Diario'!$K$5:$K$504, '📅 Resumen Diario'!$B$5:$B$504, B3078, '📅 Resumen Diario'!$C$5:$C$504, D3078), 0))</f>
        <v/>
      </c>
      <c r="M3078" s="31" t="str">
        <f t="shared" si="332"/>
        <v/>
      </c>
      <c r="N3078" s="31" t="str">
        <f t="shared" si="333"/>
        <v/>
      </c>
      <c r="O3078" s="31" t="str">
        <f>IF(OR(B3078="",C3078=""),"",K3078-N3078 + IFERROR(E3078 / SUMIFS('📅 Resumen Diario'!$D$5:$D$504, '📅 Resumen Diario'!$B$5:$B$504, B3078, '📅 Resumen Diario'!$C$5:$C$504, D3078) * (SUMIFS('📋 Detalle Diario'!$E$5:$E$489, '📋 Detalle Diario'!$B$5:$B$489, B3078, '📋 Detalle Diario'!$C$5:$C$489, D3078) * 135 + SUMIFS('📋 Detalle Diario'!$I$5:$I$489, '📋 Detalle Diario'!$B$5:$B$489, B3078, '📋 Detalle Diario'!$C$5:$C$489, D3078) * 200), 0))</f>
        <v/>
      </c>
      <c r="P3078" s="32" t="str">
        <f t="shared" si="334"/>
        <v/>
      </c>
      <c r="Q3078" s="33" t="str">
        <f t="shared" si="335"/>
        <v/>
      </c>
    </row>
    <row r="3079" spans="2:17" ht="18" customHeight="1" x14ac:dyDescent="0.3">
      <c r="B3079" s="26"/>
      <c r="C3079" s="28"/>
      <c r="D3079" s="27"/>
      <c r="E3079" s="29"/>
      <c r="F3079" s="29"/>
      <c r="G3079" s="29"/>
      <c r="H3079" s="30" t="str">
        <f t="shared" ref="H3079:H3142" si="336">IF(OR(B3079="",C3079=""),"",F3079+G3079)</f>
        <v/>
      </c>
      <c r="I3079" s="31" t="str">
        <f>IF(OR(B3079="",C3079=""),"",IFERROR(E3079*IF(E3079="",0,VLOOKUP(C3079,'📦 Precios Proforma'!$B$5:$D$104,IF(D3079="DIA",2,3),FALSE)),0))</f>
        <v/>
      </c>
      <c r="J3079" s="31" t="str">
        <f t="shared" ref="J3079:J3142" si="337">IF(OR(B3079="",C3079=""),"",IF(D3079="DIA",H3079*1.01,H3079*1.35))</f>
        <v/>
      </c>
      <c r="K3079" s="31" t="str">
        <f t="shared" ref="K3079:K3142" si="338">IF(OR(B3079="",C3079=""),"",I3079+J3079)</f>
        <v/>
      </c>
      <c r="L3079" s="31" t="str">
        <f>IF(OR(B3079="",C3079=""),"",IFERROR(E3079 / SUMIFS('📅 Resumen Diario'!$D$5:$D$504, '📅 Resumen Diario'!$B$5:$B$504, B3079, '📅 Resumen Diario'!$C$5:$C$504, D3079) * SUMIFS('📅 Resumen Diario'!$K$5:$K$504, '📅 Resumen Diario'!$B$5:$B$504, B3079, '📅 Resumen Diario'!$C$5:$C$504, D3079), 0))</f>
        <v/>
      </c>
      <c r="M3079" s="31" t="str">
        <f t="shared" ref="M3079:M3142" si="339">IF(OR(B3079="",C3079=""),"",H3079*0.09)</f>
        <v/>
      </c>
      <c r="N3079" s="31" t="str">
        <f t="shared" ref="N3079:N3142" si="340">IF(OR(B3079="",C3079=""),"",L3079+M3079)</f>
        <v/>
      </c>
      <c r="O3079" s="31" t="str">
        <f>IF(OR(B3079="",C3079=""),"",K3079-N3079 + IFERROR(E3079 / SUMIFS('📅 Resumen Diario'!$D$5:$D$504, '📅 Resumen Diario'!$B$5:$B$504, B3079, '📅 Resumen Diario'!$C$5:$C$504, D3079) * (SUMIFS('📋 Detalle Diario'!$E$5:$E$489, '📋 Detalle Diario'!$B$5:$B$489, B3079, '📋 Detalle Diario'!$C$5:$C$489, D3079) * 135 + SUMIFS('📋 Detalle Diario'!$I$5:$I$489, '📋 Detalle Diario'!$B$5:$B$489, B3079, '📋 Detalle Diario'!$C$5:$C$489, D3079) * 200), 0))</f>
        <v/>
      </c>
      <c r="P3079" s="32" t="str">
        <f t="shared" ref="P3079:P3142" si="341">IF(OR(B3079="",C3079=""),"",IF(K3079=0, 0, O3079/K3079))</f>
        <v/>
      </c>
      <c r="Q3079" s="33" t="str">
        <f t="shared" ref="Q3079:Q3142" si="342">IF(B3079="","",IF(ISNUMBER(B3079),YEAR(B3079)&amp;"-"&amp;IF(MONTH(B3079)&lt;10,"0","")&amp;MONTH(B3079),LEFT(B3079,7)))</f>
        <v/>
      </c>
    </row>
    <row r="3080" spans="2:17" ht="18" customHeight="1" x14ac:dyDescent="0.3">
      <c r="B3080" s="26"/>
      <c r="C3080" s="17"/>
      <c r="D3080" s="27"/>
      <c r="E3080" s="18"/>
      <c r="F3080" s="18"/>
      <c r="G3080" s="18"/>
      <c r="H3080" s="30" t="str">
        <f t="shared" si="336"/>
        <v/>
      </c>
      <c r="I3080" s="31" t="str">
        <f>IF(OR(B3080="",C3080=""),"",IFERROR(E3080*IF(E3080="",0,VLOOKUP(C3080,'📦 Precios Proforma'!$B$5:$D$104,IF(D3080="DIA",2,3),FALSE)),0))</f>
        <v/>
      </c>
      <c r="J3080" s="31" t="str">
        <f t="shared" si="337"/>
        <v/>
      </c>
      <c r="K3080" s="31" t="str">
        <f t="shared" si="338"/>
        <v/>
      </c>
      <c r="L3080" s="31" t="str">
        <f>IF(OR(B3080="",C3080=""),"",IFERROR(E3080 / SUMIFS('📅 Resumen Diario'!$D$5:$D$504, '📅 Resumen Diario'!$B$5:$B$504, B3080, '📅 Resumen Diario'!$C$5:$C$504, D3080) * SUMIFS('📅 Resumen Diario'!$K$5:$K$504, '📅 Resumen Diario'!$B$5:$B$504, B3080, '📅 Resumen Diario'!$C$5:$C$504, D3080), 0))</f>
        <v/>
      </c>
      <c r="M3080" s="31" t="str">
        <f t="shared" si="339"/>
        <v/>
      </c>
      <c r="N3080" s="31" t="str">
        <f t="shared" si="340"/>
        <v/>
      </c>
      <c r="O3080" s="31" t="str">
        <f>IF(OR(B3080="",C3080=""),"",K3080-N3080 + IFERROR(E3080 / SUMIFS('📅 Resumen Diario'!$D$5:$D$504, '📅 Resumen Diario'!$B$5:$B$504, B3080, '📅 Resumen Diario'!$C$5:$C$504, D3080) * (SUMIFS('📋 Detalle Diario'!$E$5:$E$489, '📋 Detalle Diario'!$B$5:$B$489, B3080, '📋 Detalle Diario'!$C$5:$C$489, D3080) * 135 + SUMIFS('📋 Detalle Diario'!$I$5:$I$489, '📋 Detalle Diario'!$B$5:$B$489, B3080, '📋 Detalle Diario'!$C$5:$C$489, D3080) * 200), 0))</f>
        <v/>
      </c>
      <c r="P3080" s="32" t="str">
        <f t="shared" si="341"/>
        <v/>
      </c>
      <c r="Q3080" s="33" t="str">
        <f t="shared" si="342"/>
        <v/>
      </c>
    </row>
    <row r="3081" spans="2:17" ht="18" customHeight="1" x14ac:dyDescent="0.3">
      <c r="B3081" s="26"/>
      <c r="C3081" s="28"/>
      <c r="D3081" s="27"/>
      <c r="E3081" s="29"/>
      <c r="F3081" s="29"/>
      <c r="G3081" s="29"/>
      <c r="H3081" s="30" t="str">
        <f t="shared" si="336"/>
        <v/>
      </c>
      <c r="I3081" s="31" t="str">
        <f>IF(OR(B3081="",C3081=""),"",IFERROR(E3081*IF(E3081="",0,VLOOKUP(C3081,'📦 Precios Proforma'!$B$5:$D$104,IF(D3081="DIA",2,3),FALSE)),0))</f>
        <v/>
      </c>
      <c r="J3081" s="31" t="str">
        <f t="shared" si="337"/>
        <v/>
      </c>
      <c r="K3081" s="31" t="str">
        <f t="shared" si="338"/>
        <v/>
      </c>
      <c r="L3081" s="31" t="str">
        <f>IF(OR(B3081="",C3081=""),"",IFERROR(E3081 / SUMIFS('📅 Resumen Diario'!$D$5:$D$504, '📅 Resumen Diario'!$B$5:$B$504, B3081, '📅 Resumen Diario'!$C$5:$C$504, D3081) * SUMIFS('📅 Resumen Diario'!$K$5:$K$504, '📅 Resumen Diario'!$B$5:$B$504, B3081, '📅 Resumen Diario'!$C$5:$C$504, D3081), 0))</f>
        <v/>
      </c>
      <c r="M3081" s="31" t="str">
        <f t="shared" si="339"/>
        <v/>
      </c>
      <c r="N3081" s="31" t="str">
        <f t="shared" si="340"/>
        <v/>
      </c>
      <c r="O3081" s="31" t="str">
        <f>IF(OR(B3081="",C3081=""),"",K3081-N3081 + IFERROR(E3081 / SUMIFS('📅 Resumen Diario'!$D$5:$D$504, '📅 Resumen Diario'!$B$5:$B$504, B3081, '📅 Resumen Diario'!$C$5:$C$504, D3081) * (SUMIFS('📋 Detalle Diario'!$E$5:$E$489, '📋 Detalle Diario'!$B$5:$B$489, B3081, '📋 Detalle Diario'!$C$5:$C$489, D3081) * 135 + SUMIFS('📋 Detalle Diario'!$I$5:$I$489, '📋 Detalle Diario'!$B$5:$B$489, B3081, '📋 Detalle Diario'!$C$5:$C$489, D3081) * 200), 0))</f>
        <v/>
      </c>
      <c r="P3081" s="32" t="str">
        <f t="shared" si="341"/>
        <v/>
      </c>
      <c r="Q3081" s="33" t="str">
        <f t="shared" si="342"/>
        <v/>
      </c>
    </row>
    <row r="3082" spans="2:17" ht="18" customHeight="1" x14ac:dyDescent="0.3">
      <c r="B3082" s="26"/>
      <c r="C3082" s="17"/>
      <c r="D3082" s="27"/>
      <c r="E3082" s="18"/>
      <c r="F3082" s="18"/>
      <c r="G3082" s="18"/>
      <c r="H3082" s="30" t="str">
        <f t="shared" si="336"/>
        <v/>
      </c>
      <c r="I3082" s="31" t="str">
        <f>IF(OR(B3082="",C3082=""),"",IFERROR(E3082*IF(E3082="",0,VLOOKUP(C3082,'📦 Precios Proforma'!$B$5:$D$104,IF(D3082="DIA",2,3),FALSE)),0))</f>
        <v/>
      </c>
      <c r="J3082" s="31" t="str">
        <f t="shared" si="337"/>
        <v/>
      </c>
      <c r="K3082" s="31" t="str">
        <f t="shared" si="338"/>
        <v/>
      </c>
      <c r="L3082" s="31" t="str">
        <f>IF(OR(B3082="",C3082=""),"",IFERROR(E3082 / SUMIFS('📅 Resumen Diario'!$D$5:$D$504, '📅 Resumen Diario'!$B$5:$B$504, B3082, '📅 Resumen Diario'!$C$5:$C$504, D3082) * SUMIFS('📅 Resumen Diario'!$K$5:$K$504, '📅 Resumen Diario'!$B$5:$B$504, B3082, '📅 Resumen Diario'!$C$5:$C$504, D3082), 0))</f>
        <v/>
      </c>
      <c r="M3082" s="31" t="str">
        <f t="shared" si="339"/>
        <v/>
      </c>
      <c r="N3082" s="31" t="str">
        <f t="shared" si="340"/>
        <v/>
      </c>
      <c r="O3082" s="31" t="str">
        <f>IF(OR(B3082="",C3082=""),"",K3082-N3082 + IFERROR(E3082 / SUMIFS('📅 Resumen Diario'!$D$5:$D$504, '📅 Resumen Diario'!$B$5:$B$504, B3082, '📅 Resumen Diario'!$C$5:$C$504, D3082) * (SUMIFS('📋 Detalle Diario'!$E$5:$E$489, '📋 Detalle Diario'!$B$5:$B$489, B3082, '📋 Detalle Diario'!$C$5:$C$489, D3082) * 135 + SUMIFS('📋 Detalle Diario'!$I$5:$I$489, '📋 Detalle Diario'!$B$5:$B$489, B3082, '📋 Detalle Diario'!$C$5:$C$489, D3082) * 200), 0))</f>
        <v/>
      </c>
      <c r="P3082" s="32" t="str">
        <f t="shared" si="341"/>
        <v/>
      </c>
      <c r="Q3082" s="33" t="str">
        <f t="shared" si="342"/>
        <v/>
      </c>
    </row>
    <row r="3083" spans="2:17" ht="18" customHeight="1" x14ac:dyDescent="0.3">
      <c r="B3083" s="26"/>
      <c r="C3083" s="28"/>
      <c r="D3083" s="27"/>
      <c r="E3083" s="29"/>
      <c r="F3083" s="29"/>
      <c r="G3083" s="29"/>
      <c r="H3083" s="30" t="str">
        <f t="shared" si="336"/>
        <v/>
      </c>
      <c r="I3083" s="31" t="str">
        <f>IF(OR(B3083="",C3083=""),"",IFERROR(E3083*IF(E3083="",0,VLOOKUP(C3083,'📦 Precios Proforma'!$B$5:$D$104,IF(D3083="DIA",2,3),FALSE)),0))</f>
        <v/>
      </c>
      <c r="J3083" s="31" t="str">
        <f t="shared" si="337"/>
        <v/>
      </c>
      <c r="K3083" s="31" t="str">
        <f t="shared" si="338"/>
        <v/>
      </c>
      <c r="L3083" s="31" t="str">
        <f>IF(OR(B3083="",C3083=""),"",IFERROR(E3083 / SUMIFS('📅 Resumen Diario'!$D$5:$D$504, '📅 Resumen Diario'!$B$5:$B$504, B3083, '📅 Resumen Diario'!$C$5:$C$504, D3083) * SUMIFS('📅 Resumen Diario'!$K$5:$K$504, '📅 Resumen Diario'!$B$5:$B$504, B3083, '📅 Resumen Diario'!$C$5:$C$504, D3083), 0))</f>
        <v/>
      </c>
      <c r="M3083" s="31" t="str">
        <f t="shared" si="339"/>
        <v/>
      </c>
      <c r="N3083" s="31" t="str">
        <f t="shared" si="340"/>
        <v/>
      </c>
      <c r="O3083" s="31" t="str">
        <f>IF(OR(B3083="",C3083=""),"",K3083-N3083 + IFERROR(E3083 / SUMIFS('📅 Resumen Diario'!$D$5:$D$504, '📅 Resumen Diario'!$B$5:$B$504, B3083, '📅 Resumen Diario'!$C$5:$C$504, D3083) * (SUMIFS('📋 Detalle Diario'!$E$5:$E$489, '📋 Detalle Diario'!$B$5:$B$489, B3083, '📋 Detalle Diario'!$C$5:$C$489, D3083) * 135 + SUMIFS('📋 Detalle Diario'!$I$5:$I$489, '📋 Detalle Diario'!$B$5:$B$489, B3083, '📋 Detalle Diario'!$C$5:$C$489, D3083) * 200), 0))</f>
        <v/>
      </c>
      <c r="P3083" s="32" t="str">
        <f t="shared" si="341"/>
        <v/>
      </c>
      <c r="Q3083" s="33" t="str">
        <f t="shared" si="342"/>
        <v/>
      </c>
    </row>
    <row r="3084" spans="2:17" ht="18" customHeight="1" x14ac:dyDescent="0.3">
      <c r="B3084" s="26"/>
      <c r="C3084" s="17"/>
      <c r="D3084" s="27"/>
      <c r="E3084" s="18"/>
      <c r="F3084" s="18"/>
      <c r="G3084" s="18"/>
      <c r="H3084" s="30" t="str">
        <f t="shared" si="336"/>
        <v/>
      </c>
      <c r="I3084" s="31" t="str">
        <f>IF(OR(B3084="",C3084=""),"",IFERROR(E3084*IF(E3084="",0,VLOOKUP(C3084,'📦 Precios Proforma'!$B$5:$D$104,IF(D3084="DIA",2,3),FALSE)),0))</f>
        <v/>
      </c>
      <c r="J3084" s="31" t="str">
        <f t="shared" si="337"/>
        <v/>
      </c>
      <c r="K3084" s="31" t="str">
        <f t="shared" si="338"/>
        <v/>
      </c>
      <c r="L3084" s="31" t="str">
        <f>IF(OR(B3084="",C3084=""),"",IFERROR(E3084 / SUMIFS('📅 Resumen Diario'!$D$5:$D$504, '📅 Resumen Diario'!$B$5:$B$504, B3084, '📅 Resumen Diario'!$C$5:$C$504, D3084) * SUMIFS('📅 Resumen Diario'!$K$5:$K$504, '📅 Resumen Diario'!$B$5:$B$504, B3084, '📅 Resumen Diario'!$C$5:$C$504, D3084), 0))</f>
        <v/>
      </c>
      <c r="M3084" s="31" t="str">
        <f t="shared" si="339"/>
        <v/>
      </c>
      <c r="N3084" s="31" t="str">
        <f t="shared" si="340"/>
        <v/>
      </c>
      <c r="O3084" s="31" t="str">
        <f>IF(OR(B3084="",C3084=""),"",K3084-N3084 + IFERROR(E3084 / SUMIFS('📅 Resumen Diario'!$D$5:$D$504, '📅 Resumen Diario'!$B$5:$B$504, B3084, '📅 Resumen Diario'!$C$5:$C$504, D3084) * (SUMIFS('📋 Detalle Diario'!$E$5:$E$489, '📋 Detalle Diario'!$B$5:$B$489, B3084, '📋 Detalle Diario'!$C$5:$C$489, D3084) * 135 + SUMIFS('📋 Detalle Diario'!$I$5:$I$489, '📋 Detalle Diario'!$B$5:$B$489, B3084, '📋 Detalle Diario'!$C$5:$C$489, D3084) * 200), 0))</f>
        <v/>
      </c>
      <c r="P3084" s="32" t="str">
        <f t="shared" si="341"/>
        <v/>
      </c>
      <c r="Q3084" s="33" t="str">
        <f t="shared" si="342"/>
        <v/>
      </c>
    </row>
    <row r="3085" spans="2:17" ht="18" customHeight="1" x14ac:dyDescent="0.3">
      <c r="B3085" s="26"/>
      <c r="C3085" s="28"/>
      <c r="D3085" s="27"/>
      <c r="E3085" s="29"/>
      <c r="F3085" s="29"/>
      <c r="G3085" s="29"/>
      <c r="H3085" s="30" t="str">
        <f t="shared" si="336"/>
        <v/>
      </c>
      <c r="I3085" s="31" t="str">
        <f>IF(OR(B3085="",C3085=""),"",IFERROR(E3085*IF(E3085="",0,VLOOKUP(C3085,'📦 Precios Proforma'!$B$5:$D$104,IF(D3085="DIA",2,3),FALSE)),0))</f>
        <v/>
      </c>
      <c r="J3085" s="31" t="str">
        <f t="shared" si="337"/>
        <v/>
      </c>
      <c r="K3085" s="31" t="str">
        <f t="shared" si="338"/>
        <v/>
      </c>
      <c r="L3085" s="31" t="str">
        <f>IF(OR(B3085="",C3085=""),"",IFERROR(E3085 / SUMIFS('📅 Resumen Diario'!$D$5:$D$504, '📅 Resumen Diario'!$B$5:$B$504, B3085, '📅 Resumen Diario'!$C$5:$C$504, D3085) * SUMIFS('📅 Resumen Diario'!$K$5:$K$504, '📅 Resumen Diario'!$B$5:$B$504, B3085, '📅 Resumen Diario'!$C$5:$C$504, D3085), 0))</f>
        <v/>
      </c>
      <c r="M3085" s="31" t="str">
        <f t="shared" si="339"/>
        <v/>
      </c>
      <c r="N3085" s="31" t="str">
        <f t="shared" si="340"/>
        <v/>
      </c>
      <c r="O3085" s="31" t="str">
        <f>IF(OR(B3085="",C3085=""),"",K3085-N3085 + IFERROR(E3085 / SUMIFS('📅 Resumen Diario'!$D$5:$D$504, '📅 Resumen Diario'!$B$5:$B$504, B3085, '📅 Resumen Diario'!$C$5:$C$504, D3085) * (SUMIFS('📋 Detalle Diario'!$E$5:$E$489, '📋 Detalle Diario'!$B$5:$B$489, B3085, '📋 Detalle Diario'!$C$5:$C$489, D3085) * 135 + SUMIFS('📋 Detalle Diario'!$I$5:$I$489, '📋 Detalle Diario'!$B$5:$B$489, B3085, '📋 Detalle Diario'!$C$5:$C$489, D3085) * 200), 0))</f>
        <v/>
      </c>
      <c r="P3085" s="32" t="str">
        <f t="shared" si="341"/>
        <v/>
      </c>
      <c r="Q3085" s="33" t="str">
        <f t="shared" si="342"/>
        <v/>
      </c>
    </row>
    <row r="3086" spans="2:17" ht="18" customHeight="1" x14ac:dyDescent="0.3">
      <c r="B3086" s="26"/>
      <c r="C3086" s="17"/>
      <c r="D3086" s="27"/>
      <c r="E3086" s="18"/>
      <c r="F3086" s="18"/>
      <c r="G3086" s="18"/>
      <c r="H3086" s="30" t="str">
        <f t="shared" si="336"/>
        <v/>
      </c>
      <c r="I3086" s="31" t="str">
        <f>IF(OR(B3086="",C3086=""),"",IFERROR(E3086*IF(E3086="",0,VLOOKUP(C3086,'📦 Precios Proforma'!$B$5:$D$104,IF(D3086="DIA",2,3),FALSE)),0))</f>
        <v/>
      </c>
      <c r="J3086" s="31" t="str">
        <f t="shared" si="337"/>
        <v/>
      </c>
      <c r="K3086" s="31" t="str">
        <f t="shared" si="338"/>
        <v/>
      </c>
      <c r="L3086" s="31" t="str">
        <f>IF(OR(B3086="",C3086=""),"",IFERROR(E3086 / SUMIFS('📅 Resumen Diario'!$D$5:$D$504, '📅 Resumen Diario'!$B$5:$B$504, B3086, '📅 Resumen Diario'!$C$5:$C$504, D3086) * SUMIFS('📅 Resumen Diario'!$K$5:$K$504, '📅 Resumen Diario'!$B$5:$B$504, B3086, '📅 Resumen Diario'!$C$5:$C$504, D3086), 0))</f>
        <v/>
      </c>
      <c r="M3086" s="31" t="str">
        <f t="shared" si="339"/>
        <v/>
      </c>
      <c r="N3086" s="31" t="str">
        <f t="shared" si="340"/>
        <v/>
      </c>
      <c r="O3086" s="31" t="str">
        <f>IF(OR(B3086="",C3086=""),"",K3086-N3086 + IFERROR(E3086 / SUMIFS('📅 Resumen Diario'!$D$5:$D$504, '📅 Resumen Diario'!$B$5:$B$504, B3086, '📅 Resumen Diario'!$C$5:$C$504, D3086) * (SUMIFS('📋 Detalle Diario'!$E$5:$E$489, '📋 Detalle Diario'!$B$5:$B$489, B3086, '📋 Detalle Diario'!$C$5:$C$489, D3086) * 135 + SUMIFS('📋 Detalle Diario'!$I$5:$I$489, '📋 Detalle Diario'!$B$5:$B$489, B3086, '📋 Detalle Diario'!$C$5:$C$489, D3086) * 200), 0))</f>
        <v/>
      </c>
      <c r="P3086" s="32" t="str">
        <f t="shared" si="341"/>
        <v/>
      </c>
      <c r="Q3086" s="33" t="str">
        <f t="shared" si="342"/>
        <v/>
      </c>
    </row>
    <row r="3087" spans="2:17" ht="18" customHeight="1" x14ac:dyDescent="0.3">
      <c r="B3087" s="26"/>
      <c r="C3087" s="28"/>
      <c r="D3087" s="27"/>
      <c r="E3087" s="29"/>
      <c r="F3087" s="29"/>
      <c r="G3087" s="29"/>
      <c r="H3087" s="30" t="str">
        <f t="shared" si="336"/>
        <v/>
      </c>
      <c r="I3087" s="31" t="str">
        <f>IF(OR(B3087="",C3087=""),"",IFERROR(E3087*IF(E3087="",0,VLOOKUP(C3087,'📦 Precios Proforma'!$B$5:$D$104,IF(D3087="DIA",2,3),FALSE)),0))</f>
        <v/>
      </c>
      <c r="J3087" s="31" t="str">
        <f t="shared" si="337"/>
        <v/>
      </c>
      <c r="K3087" s="31" t="str">
        <f t="shared" si="338"/>
        <v/>
      </c>
      <c r="L3087" s="31" t="str">
        <f>IF(OR(B3087="",C3087=""),"",IFERROR(E3087 / SUMIFS('📅 Resumen Diario'!$D$5:$D$504, '📅 Resumen Diario'!$B$5:$B$504, B3087, '📅 Resumen Diario'!$C$5:$C$504, D3087) * SUMIFS('📅 Resumen Diario'!$K$5:$K$504, '📅 Resumen Diario'!$B$5:$B$504, B3087, '📅 Resumen Diario'!$C$5:$C$504, D3087), 0))</f>
        <v/>
      </c>
      <c r="M3087" s="31" t="str">
        <f t="shared" si="339"/>
        <v/>
      </c>
      <c r="N3087" s="31" t="str">
        <f t="shared" si="340"/>
        <v/>
      </c>
      <c r="O3087" s="31" t="str">
        <f>IF(OR(B3087="",C3087=""),"",K3087-N3087 + IFERROR(E3087 / SUMIFS('📅 Resumen Diario'!$D$5:$D$504, '📅 Resumen Diario'!$B$5:$B$504, B3087, '📅 Resumen Diario'!$C$5:$C$504, D3087) * (SUMIFS('📋 Detalle Diario'!$E$5:$E$489, '📋 Detalle Diario'!$B$5:$B$489, B3087, '📋 Detalle Diario'!$C$5:$C$489, D3087) * 135 + SUMIFS('📋 Detalle Diario'!$I$5:$I$489, '📋 Detalle Diario'!$B$5:$B$489, B3087, '📋 Detalle Diario'!$C$5:$C$489, D3087) * 200), 0))</f>
        <v/>
      </c>
      <c r="P3087" s="32" t="str">
        <f t="shared" si="341"/>
        <v/>
      </c>
      <c r="Q3087" s="33" t="str">
        <f t="shared" si="342"/>
        <v/>
      </c>
    </row>
    <row r="3088" spans="2:17" ht="18" customHeight="1" x14ac:dyDescent="0.3">
      <c r="B3088" s="26"/>
      <c r="C3088" s="17"/>
      <c r="D3088" s="27"/>
      <c r="E3088" s="18"/>
      <c r="F3088" s="18"/>
      <c r="G3088" s="18"/>
      <c r="H3088" s="30" t="str">
        <f t="shared" si="336"/>
        <v/>
      </c>
      <c r="I3088" s="31" t="str">
        <f>IF(OR(B3088="",C3088=""),"",IFERROR(E3088*IF(E3088="",0,VLOOKUP(C3088,'📦 Precios Proforma'!$B$5:$D$104,IF(D3088="DIA",2,3),FALSE)),0))</f>
        <v/>
      </c>
      <c r="J3088" s="31" t="str">
        <f t="shared" si="337"/>
        <v/>
      </c>
      <c r="K3088" s="31" t="str">
        <f t="shared" si="338"/>
        <v/>
      </c>
      <c r="L3088" s="31" t="str">
        <f>IF(OR(B3088="",C3088=""),"",IFERROR(E3088 / SUMIFS('📅 Resumen Diario'!$D$5:$D$504, '📅 Resumen Diario'!$B$5:$B$504, B3088, '📅 Resumen Diario'!$C$5:$C$504, D3088) * SUMIFS('📅 Resumen Diario'!$K$5:$K$504, '📅 Resumen Diario'!$B$5:$B$504, B3088, '📅 Resumen Diario'!$C$5:$C$504, D3088), 0))</f>
        <v/>
      </c>
      <c r="M3088" s="31" t="str">
        <f t="shared" si="339"/>
        <v/>
      </c>
      <c r="N3088" s="31" t="str">
        <f t="shared" si="340"/>
        <v/>
      </c>
      <c r="O3088" s="31" t="str">
        <f>IF(OR(B3088="",C3088=""),"",K3088-N3088 + IFERROR(E3088 / SUMIFS('📅 Resumen Diario'!$D$5:$D$504, '📅 Resumen Diario'!$B$5:$B$504, B3088, '📅 Resumen Diario'!$C$5:$C$504, D3088) * (SUMIFS('📋 Detalle Diario'!$E$5:$E$489, '📋 Detalle Diario'!$B$5:$B$489, B3088, '📋 Detalle Diario'!$C$5:$C$489, D3088) * 135 + SUMIFS('📋 Detalle Diario'!$I$5:$I$489, '📋 Detalle Diario'!$B$5:$B$489, B3088, '📋 Detalle Diario'!$C$5:$C$489, D3088) * 200), 0))</f>
        <v/>
      </c>
      <c r="P3088" s="32" t="str">
        <f t="shared" si="341"/>
        <v/>
      </c>
      <c r="Q3088" s="33" t="str">
        <f t="shared" si="342"/>
        <v/>
      </c>
    </row>
    <row r="3089" spans="2:17" ht="18" customHeight="1" x14ac:dyDescent="0.3">
      <c r="B3089" s="26"/>
      <c r="C3089" s="28"/>
      <c r="D3089" s="27"/>
      <c r="E3089" s="29"/>
      <c r="F3089" s="29"/>
      <c r="G3089" s="29"/>
      <c r="H3089" s="30" t="str">
        <f t="shared" si="336"/>
        <v/>
      </c>
      <c r="I3089" s="31" t="str">
        <f>IF(OR(B3089="",C3089=""),"",IFERROR(E3089*IF(E3089="",0,VLOOKUP(C3089,'📦 Precios Proforma'!$B$5:$D$104,IF(D3089="DIA",2,3),FALSE)),0))</f>
        <v/>
      </c>
      <c r="J3089" s="31" t="str">
        <f t="shared" si="337"/>
        <v/>
      </c>
      <c r="K3089" s="31" t="str">
        <f t="shared" si="338"/>
        <v/>
      </c>
      <c r="L3089" s="31" t="str">
        <f>IF(OR(B3089="",C3089=""),"",IFERROR(E3089 / SUMIFS('📅 Resumen Diario'!$D$5:$D$504, '📅 Resumen Diario'!$B$5:$B$504, B3089, '📅 Resumen Diario'!$C$5:$C$504, D3089) * SUMIFS('📅 Resumen Diario'!$K$5:$K$504, '📅 Resumen Diario'!$B$5:$B$504, B3089, '📅 Resumen Diario'!$C$5:$C$504, D3089), 0))</f>
        <v/>
      </c>
      <c r="M3089" s="31" t="str">
        <f t="shared" si="339"/>
        <v/>
      </c>
      <c r="N3089" s="31" t="str">
        <f t="shared" si="340"/>
        <v/>
      </c>
      <c r="O3089" s="31" t="str">
        <f>IF(OR(B3089="",C3089=""),"",K3089-N3089 + IFERROR(E3089 / SUMIFS('📅 Resumen Diario'!$D$5:$D$504, '📅 Resumen Diario'!$B$5:$B$504, B3089, '📅 Resumen Diario'!$C$5:$C$504, D3089) * (SUMIFS('📋 Detalle Diario'!$E$5:$E$489, '📋 Detalle Diario'!$B$5:$B$489, B3089, '📋 Detalle Diario'!$C$5:$C$489, D3089) * 135 + SUMIFS('📋 Detalle Diario'!$I$5:$I$489, '📋 Detalle Diario'!$B$5:$B$489, B3089, '📋 Detalle Diario'!$C$5:$C$489, D3089) * 200), 0))</f>
        <v/>
      </c>
      <c r="P3089" s="32" t="str">
        <f t="shared" si="341"/>
        <v/>
      </c>
      <c r="Q3089" s="33" t="str">
        <f t="shared" si="342"/>
        <v/>
      </c>
    </row>
    <row r="3090" spans="2:17" ht="18" customHeight="1" x14ac:dyDescent="0.3">
      <c r="B3090" s="26"/>
      <c r="C3090" s="17"/>
      <c r="D3090" s="27"/>
      <c r="E3090" s="18"/>
      <c r="F3090" s="18"/>
      <c r="G3090" s="18"/>
      <c r="H3090" s="30" t="str">
        <f t="shared" si="336"/>
        <v/>
      </c>
      <c r="I3090" s="31" t="str">
        <f>IF(OR(B3090="",C3090=""),"",IFERROR(E3090*IF(E3090="",0,VLOOKUP(C3090,'📦 Precios Proforma'!$B$5:$D$104,IF(D3090="DIA",2,3),FALSE)),0))</f>
        <v/>
      </c>
      <c r="J3090" s="31" t="str">
        <f t="shared" si="337"/>
        <v/>
      </c>
      <c r="K3090" s="31" t="str">
        <f t="shared" si="338"/>
        <v/>
      </c>
      <c r="L3090" s="31" t="str">
        <f>IF(OR(B3090="",C3090=""),"",IFERROR(E3090 / SUMIFS('📅 Resumen Diario'!$D$5:$D$504, '📅 Resumen Diario'!$B$5:$B$504, B3090, '📅 Resumen Diario'!$C$5:$C$504, D3090) * SUMIFS('📅 Resumen Diario'!$K$5:$K$504, '📅 Resumen Diario'!$B$5:$B$504, B3090, '📅 Resumen Diario'!$C$5:$C$504, D3090), 0))</f>
        <v/>
      </c>
      <c r="M3090" s="31" t="str">
        <f t="shared" si="339"/>
        <v/>
      </c>
      <c r="N3090" s="31" t="str">
        <f t="shared" si="340"/>
        <v/>
      </c>
      <c r="O3090" s="31" t="str">
        <f>IF(OR(B3090="",C3090=""),"",K3090-N3090 + IFERROR(E3090 / SUMIFS('📅 Resumen Diario'!$D$5:$D$504, '📅 Resumen Diario'!$B$5:$B$504, B3090, '📅 Resumen Diario'!$C$5:$C$504, D3090) * (SUMIFS('📋 Detalle Diario'!$E$5:$E$489, '📋 Detalle Diario'!$B$5:$B$489, B3090, '📋 Detalle Diario'!$C$5:$C$489, D3090) * 135 + SUMIFS('📋 Detalle Diario'!$I$5:$I$489, '📋 Detalle Diario'!$B$5:$B$489, B3090, '📋 Detalle Diario'!$C$5:$C$489, D3090) * 200), 0))</f>
        <v/>
      </c>
      <c r="P3090" s="32" t="str">
        <f t="shared" si="341"/>
        <v/>
      </c>
      <c r="Q3090" s="33" t="str">
        <f t="shared" si="342"/>
        <v/>
      </c>
    </row>
    <row r="3091" spans="2:17" ht="18" customHeight="1" x14ac:dyDescent="0.3">
      <c r="B3091" s="26"/>
      <c r="C3091" s="28"/>
      <c r="D3091" s="27"/>
      <c r="E3091" s="29"/>
      <c r="F3091" s="29"/>
      <c r="G3091" s="29"/>
      <c r="H3091" s="30" t="str">
        <f t="shared" si="336"/>
        <v/>
      </c>
      <c r="I3091" s="31" t="str">
        <f>IF(OR(B3091="",C3091=""),"",IFERROR(E3091*IF(E3091="",0,VLOOKUP(C3091,'📦 Precios Proforma'!$B$5:$D$104,IF(D3091="DIA",2,3),FALSE)),0))</f>
        <v/>
      </c>
      <c r="J3091" s="31" t="str">
        <f t="shared" si="337"/>
        <v/>
      </c>
      <c r="K3091" s="31" t="str">
        <f t="shared" si="338"/>
        <v/>
      </c>
      <c r="L3091" s="31" t="str">
        <f>IF(OR(B3091="",C3091=""),"",IFERROR(E3091 / SUMIFS('📅 Resumen Diario'!$D$5:$D$504, '📅 Resumen Diario'!$B$5:$B$504, B3091, '📅 Resumen Diario'!$C$5:$C$504, D3091) * SUMIFS('📅 Resumen Diario'!$K$5:$K$504, '📅 Resumen Diario'!$B$5:$B$504, B3091, '📅 Resumen Diario'!$C$5:$C$504, D3091), 0))</f>
        <v/>
      </c>
      <c r="M3091" s="31" t="str">
        <f t="shared" si="339"/>
        <v/>
      </c>
      <c r="N3091" s="31" t="str">
        <f t="shared" si="340"/>
        <v/>
      </c>
      <c r="O3091" s="31" t="str">
        <f>IF(OR(B3091="",C3091=""),"",K3091-N3091 + IFERROR(E3091 / SUMIFS('📅 Resumen Diario'!$D$5:$D$504, '📅 Resumen Diario'!$B$5:$B$504, B3091, '📅 Resumen Diario'!$C$5:$C$504, D3091) * (SUMIFS('📋 Detalle Diario'!$E$5:$E$489, '📋 Detalle Diario'!$B$5:$B$489, B3091, '📋 Detalle Diario'!$C$5:$C$489, D3091) * 135 + SUMIFS('📋 Detalle Diario'!$I$5:$I$489, '📋 Detalle Diario'!$B$5:$B$489, B3091, '📋 Detalle Diario'!$C$5:$C$489, D3091) * 200), 0))</f>
        <v/>
      </c>
      <c r="P3091" s="32" t="str">
        <f t="shared" si="341"/>
        <v/>
      </c>
      <c r="Q3091" s="33" t="str">
        <f t="shared" si="342"/>
        <v/>
      </c>
    </row>
    <row r="3092" spans="2:17" ht="18" customHeight="1" x14ac:dyDescent="0.3">
      <c r="B3092" s="26"/>
      <c r="C3092" s="17"/>
      <c r="D3092" s="27"/>
      <c r="E3092" s="18"/>
      <c r="F3092" s="18"/>
      <c r="G3092" s="18"/>
      <c r="H3092" s="30" t="str">
        <f t="shared" si="336"/>
        <v/>
      </c>
      <c r="I3092" s="31" t="str">
        <f>IF(OR(B3092="",C3092=""),"",IFERROR(E3092*IF(E3092="",0,VLOOKUP(C3092,'📦 Precios Proforma'!$B$5:$D$104,IF(D3092="DIA",2,3),FALSE)),0))</f>
        <v/>
      </c>
      <c r="J3092" s="31" t="str">
        <f t="shared" si="337"/>
        <v/>
      </c>
      <c r="K3092" s="31" t="str">
        <f t="shared" si="338"/>
        <v/>
      </c>
      <c r="L3092" s="31" t="str">
        <f>IF(OR(B3092="",C3092=""),"",IFERROR(E3092 / SUMIFS('📅 Resumen Diario'!$D$5:$D$504, '📅 Resumen Diario'!$B$5:$B$504, B3092, '📅 Resumen Diario'!$C$5:$C$504, D3092) * SUMIFS('📅 Resumen Diario'!$K$5:$K$504, '📅 Resumen Diario'!$B$5:$B$504, B3092, '📅 Resumen Diario'!$C$5:$C$504, D3092), 0))</f>
        <v/>
      </c>
      <c r="M3092" s="31" t="str">
        <f t="shared" si="339"/>
        <v/>
      </c>
      <c r="N3092" s="31" t="str">
        <f t="shared" si="340"/>
        <v/>
      </c>
      <c r="O3092" s="31" t="str">
        <f>IF(OR(B3092="",C3092=""),"",K3092-N3092 + IFERROR(E3092 / SUMIFS('📅 Resumen Diario'!$D$5:$D$504, '📅 Resumen Diario'!$B$5:$B$504, B3092, '📅 Resumen Diario'!$C$5:$C$504, D3092) * (SUMIFS('📋 Detalle Diario'!$E$5:$E$489, '📋 Detalle Diario'!$B$5:$B$489, B3092, '📋 Detalle Diario'!$C$5:$C$489, D3092) * 135 + SUMIFS('📋 Detalle Diario'!$I$5:$I$489, '📋 Detalle Diario'!$B$5:$B$489, B3092, '📋 Detalle Diario'!$C$5:$C$489, D3092) * 200), 0))</f>
        <v/>
      </c>
      <c r="P3092" s="32" t="str">
        <f t="shared" si="341"/>
        <v/>
      </c>
      <c r="Q3092" s="33" t="str">
        <f t="shared" si="342"/>
        <v/>
      </c>
    </row>
    <row r="3093" spans="2:17" ht="18" customHeight="1" x14ac:dyDescent="0.3">
      <c r="B3093" s="26"/>
      <c r="C3093" s="28"/>
      <c r="D3093" s="27"/>
      <c r="E3093" s="29"/>
      <c r="F3093" s="29"/>
      <c r="G3093" s="29"/>
      <c r="H3093" s="30" t="str">
        <f t="shared" si="336"/>
        <v/>
      </c>
      <c r="I3093" s="31" t="str">
        <f>IF(OR(B3093="",C3093=""),"",IFERROR(E3093*IF(E3093="",0,VLOOKUP(C3093,'📦 Precios Proforma'!$B$5:$D$104,IF(D3093="DIA",2,3),FALSE)),0))</f>
        <v/>
      </c>
      <c r="J3093" s="31" t="str">
        <f t="shared" si="337"/>
        <v/>
      </c>
      <c r="K3093" s="31" t="str">
        <f t="shared" si="338"/>
        <v/>
      </c>
      <c r="L3093" s="31" t="str">
        <f>IF(OR(B3093="",C3093=""),"",IFERROR(E3093 / SUMIFS('📅 Resumen Diario'!$D$5:$D$504, '📅 Resumen Diario'!$B$5:$B$504, B3093, '📅 Resumen Diario'!$C$5:$C$504, D3093) * SUMIFS('📅 Resumen Diario'!$K$5:$K$504, '📅 Resumen Diario'!$B$5:$B$504, B3093, '📅 Resumen Diario'!$C$5:$C$504, D3093), 0))</f>
        <v/>
      </c>
      <c r="M3093" s="31" t="str">
        <f t="shared" si="339"/>
        <v/>
      </c>
      <c r="N3093" s="31" t="str">
        <f t="shared" si="340"/>
        <v/>
      </c>
      <c r="O3093" s="31" t="str">
        <f>IF(OR(B3093="",C3093=""),"",K3093-N3093 + IFERROR(E3093 / SUMIFS('📅 Resumen Diario'!$D$5:$D$504, '📅 Resumen Diario'!$B$5:$B$504, B3093, '📅 Resumen Diario'!$C$5:$C$504, D3093) * (SUMIFS('📋 Detalle Diario'!$E$5:$E$489, '📋 Detalle Diario'!$B$5:$B$489, B3093, '📋 Detalle Diario'!$C$5:$C$489, D3093) * 135 + SUMIFS('📋 Detalle Diario'!$I$5:$I$489, '📋 Detalle Diario'!$B$5:$B$489, B3093, '📋 Detalle Diario'!$C$5:$C$489, D3093) * 200), 0))</f>
        <v/>
      </c>
      <c r="P3093" s="32" t="str">
        <f t="shared" si="341"/>
        <v/>
      </c>
      <c r="Q3093" s="33" t="str">
        <f t="shared" si="342"/>
        <v/>
      </c>
    </row>
    <row r="3094" spans="2:17" ht="18" customHeight="1" x14ac:dyDescent="0.3">
      <c r="B3094" s="26"/>
      <c r="C3094" s="17"/>
      <c r="D3094" s="27"/>
      <c r="E3094" s="18"/>
      <c r="F3094" s="18"/>
      <c r="G3094" s="18"/>
      <c r="H3094" s="30" t="str">
        <f t="shared" si="336"/>
        <v/>
      </c>
      <c r="I3094" s="31" t="str">
        <f>IF(OR(B3094="",C3094=""),"",IFERROR(E3094*IF(E3094="",0,VLOOKUP(C3094,'📦 Precios Proforma'!$B$5:$D$104,IF(D3094="DIA",2,3),FALSE)),0))</f>
        <v/>
      </c>
      <c r="J3094" s="31" t="str">
        <f t="shared" si="337"/>
        <v/>
      </c>
      <c r="K3094" s="31" t="str">
        <f t="shared" si="338"/>
        <v/>
      </c>
      <c r="L3094" s="31" t="str">
        <f>IF(OR(B3094="",C3094=""),"",IFERROR(E3094 / SUMIFS('📅 Resumen Diario'!$D$5:$D$504, '📅 Resumen Diario'!$B$5:$B$504, B3094, '📅 Resumen Diario'!$C$5:$C$504, D3094) * SUMIFS('📅 Resumen Diario'!$K$5:$K$504, '📅 Resumen Diario'!$B$5:$B$504, B3094, '📅 Resumen Diario'!$C$5:$C$504, D3094), 0))</f>
        <v/>
      </c>
      <c r="M3094" s="31" t="str">
        <f t="shared" si="339"/>
        <v/>
      </c>
      <c r="N3094" s="31" t="str">
        <f t="shared" si="340"/>
        <v/>
      </c>
      <c r="O3094" s="31" t="str">
        <f>IF(OR(B3094="",C3094=""),"",K3094-N3094 + IFERROR(E3094 / SUMIFS('📅 Resumen Diario'!$D$5:$D$504, '📅 Resumen Diario'!$B$5:$B$504, B3094, '📅 Resumen Diario'!$C$5:$C$504, D3094) * (SUMIFS('📋 Detalle Diario'!$E$5:$E$489, '📋 Detalle Diario'!$B$5:$B$489, B3094, '📋 Detalle Diario'!$C$5:$C$489, D3094) * 135 + SUMIFS('📋 Detalle Diario'!$I$5:$I$489, '📋 Detalle Diario'!$B$5:$B$489, B3094, '📋 Detalle Diario'!$C$5:$C$489, D3094) * 200), 0))</f>
        <v/>
      </c>
      <c r="P3094" s="32" t="str">
        <f t="shared" si="341"/>
        <v/>
      </c>
      <c r="Q3094" s="33" t="str">
        <f t="shared" si="342"/>
        <v/>
      </c>
    </row>
    <row r="3095" spans="2:17" ht="18" customHeight="1" x14ac:dyDescent="0.3">
      <c r="B3095" s="26"/>
      <c r="C3095" s="28"/>
      <c r="D3095" s="27"/>
      <c r="E3095" s="29"/>
      <c r="F3095" s="29"/>
      <c r="G3095" s="29"/>
      <c r="H3095" s="30" t="str">
        <f t="shared" si="336"/>
        <v/>
      </c>
      <c r="I3095" s="31" t="str">
        <f>IF(OR(B3095="",C3095=""),"",IFERROR(E3095*IF(E3095="",0,VLOOKUP(C3095,'📦 Precios Proforma'!$B$5:$D$104,IF(D3095="DIA",2,3),FALSE)),0))</f>
        <v/>
      </c>
      <c r="J3095" s="31" t="str">
        <f t="shared" si="337"/>
        <v/>
      </c>
      <c r="K3095" s="31" t="str">
        <f t="shared" si="338"/>
        <v/>
      </c>
      <c r="L3095" s="31" t="str">
        <f>IF(OR(B3095="",C3095=""),"",IFERROR(E3095 / SUMIFS('📅 Resumen Diario'!$D$5:$D$504, '📅 Resumen Diario'!$B$5:$B$504, B3095, '📅 Resumen Diario'!$C$5:$C$504, D3095) * SUMIFS('📅 Resumen Diario'!$K$5:$K$504, '📅 Resumen Diario'!$B$5:$B$504, B3095, '📅 Resumen Diario'!$C$5:$C$504, D3095), 0))</f>
        <v/>
      </c>
      <c r="M3095" s="31" t="str">
        <f t="shared" si="339"/>
        <v/>
      </c>
      <c r="N3095" s="31" t="str">
        <f t="shared" si="340"/>
        <v/>
      </c>
      <c r="O3095" s="31" t="str">
        <f>IF(OR(B3095="",C3095=""),"",K3095-N3095 + IFERROR(E3095 / SUMIFS('📅 Resumen Diario'!$D$5:$D$504, '📅 Resumen Diario'!$B$5:$B$504, B3095, '📅 Resumen Diario'!$C$5:$C$504, D3095) * (SUMIFS('📋 Detalle Diario'!$E$5:$E$489, '📋 Detalle Diario'!$B$5:$B$489, B3095, '📋 Detalle Diario'!$C$5:$C$489, D3095) * 135 + SUMIFS('📋 Detalle Diario'!$I$5:$I$489, '📋 Detalle Diario'!$B$5:$B$489, B3095, '📋 Detalle Diario'!$C$5:$C$489, D3095) * 200), 0))</f>
        <v/>
      </c>
      <c r="P3095" s="32" t="str">
        <f t="shared" si="341"/>
        <v/>
      </c>
      <c r="Q3095" s="33" t="str">
        <f t="shared" si="342"/>
        <v/>
      </c>
    </row>
    <row r="3096" spans="2:17" ht="18" customHeight="1" x14ac:dyDescent="0.3">
      <c r="B3096" s="26"/>
      <c r="C3096" s="17"/>
      <c r="D3096" s="27"/>
      <c r="E3096" s="18"/>
      <c r="F3096" s="18"/>
      <c r="G3096" s="18"/>
      <c r="H3096" s="30" t="str">
        <f t="shared" si="336"/>
        <v/>
      </c>
      <c r="I3096" s="31" t="str">
        <f>IF(OR(B3096="",C3096=""),"",IFERROR(E3096*IF(E3096="",0,VLOOKUP(C3096,'📦 Precios Proforma'!$B$5:$D$104,IF(D3096="DIA",2,3),FALSE)),0))</f>
        <v/>
      </c>
      <c r="J3096" s="31" t="str">
        <f t="shared" si="337"/>
        <v/>
      </c>
      <c r="K3096" s="31" t="str">
        <f t="shared" si="338"/>
        <v/>
      </c>
      <c r="L3096" s="31" t="str">
        <f>IF(OR(B3096="",C3096=""),"",IFERROR(E3096 / SUMIFS('📅 Resumen Diario'!$D$5:$D$504, '📅 Resumen Diario'!$B$5:$B$504, B3096, '📅 Resumen Diario'!$C$5:$C$504, D3096) * SUMIFS('📅 Resumen Diario'!$K$5:$K$504, '📅 Resumen Diario'!$B$5:$B$504, B3096, '📅 Resumen Diario'!$C$5:$C$504, D3096), 0))</f>
        <v/>
      </c>
      <c r="M3096" s="31" t="str">
        <f t="shared" si="339"/>
        <v/>
      </c>
      <c r="N3096" s="31" t="str">
        <f t="shared" si="340"/>
        <v/>
      </c>
      <c r="O3096" s="31" t="str">
        <f>IF(OR(B3096="",C3096=""),"",K3096-N3096 + IFERROR(E3096 / SUMIFS('📅 Resumen Diario'!$D$5:$D$504, '📅 Resumen Diario'!$B$5:$B$504, B3096, '📅 Resumen Diario'!$C$5:$C$504, D3096) * (SUMIFS('📋 Detalle Diario'!$E$5:$E$489, '📋 Detalle Diario'!$B$5:$B$489, B3096, '📋 Detalle Diario'!$C$5:$C$489, D3096) * 135 + SUMIFS('📋 Detalle Diario'!$I$5:$I$489, '📋 Detalle Diario'!$B$5:$B$489, B3096, '📋 Detalle Diario'!$C$5:$C$489, D3096) * 200), 0))</f>
        <v/>
      </c>
      <c r="P3096" s="32" t="str">
        <f t="shared" si="341"/>
        <v/>
      </c>
      <c r="Q3096" s="33" t="str">
        <f t="shared" si="342"/>
        <v/>
      </c>
    </row>
    <row r="3097" spans="2:17" ht="18" customHeight="1" x14ac:dyDescent="0.3">
      <c r="B3097" s="26"/>
      <c r="C3097" s="28"/>
      <c r="D3097" s="27"/>
      <c r="E3097" s="29"/>
      <c r="F3097" s="29"/>
      <c r="G3097" s="29"/>
      <c r="H3097" s="30" t="str">
        <f t="shared" si="336"/>
        <v/>
      </c>
      <c r="I3097" s="31" t="str">
        <f>IF(OR(B3097="",C3097=""),"",IFERROR(E3097*IF(E3097="",0,VLOOKUP(C3097,'📦 Precios Proforma'!$B$5:$D$104,IF(D3097="DIA",2,3),FALSE)),0))</f>
        <v/>
      </c>
      <c r="J3097" s="31" t="str">
        <f t="shared" si="337"/>
        <v/>
      </c>
      <c r="K3097" s="31" t="str">
        <f t="shared" si="338"/>
        <v/>
      </c>
      <c r="L3097" s="31" t="str">
        <f>IF(OR(B3097="",C3097=""),"",IFERROR(E3097 / SUMIFS('📅 Resumen Diario'!$D$5:$D$504, '📅 Resumen Diario'!$B$5:$B$504, B3097, '📅 Resumen Diario'!$C$5:$C$504, D3097) * SUMIFS('📅 Resumen Diario'!$K$5:$K$504, '📅 Resumen Diario'!$B$5:$B$504, B3097, '📅 Resumen Diario'!$C$5:$C$504, D3097), 0))</f>
        <v/>
      </c>
      <c r="M3097" s="31" t="str">
        <f t="shared" si="339"/>
        <v/>
      </c>
      <c r="N3097" s="31" t="str">
        <f t="shared" si="340"/>
        <v/>
      </c>
      <c r="O3097" s="31" t="str">
        <f>IF(OR(B3097="",C3097=""),"",K3097-N3097 + IFERROR(E3097 / SUMIFS('📅 Resumen Diario'!$D$5:$D$504, '📅 Resumen Diario'!$B$5:$B$504, B3097, '📅 Resumen Diario'!$C$5:$C$504, D3097) * (SUMIFS('📋 Detalle Diario'!$E$5:$E$489, '📋 Detalle Diario'!$B$5:$B$489, B3097, '📋 Detalle Diario'!$C$5:$C$489, D3097) * 135 + SUMIFS('📋 Detalle Diario'!$I$5:$I$489, '📋 Detalle Diario'!$B$5:$B$489, B3097, '📋 Detalle Diario'!$C$5:$C$489, D3097) * 200), 0))</f>
        <v/>
      </c>
      <c r="P3097" s="32" t="str">
        <f t="shared" si="341"/>
        <v/>
      </c>
      <c r="Q3097" s="33" t="str">
        <f t="shared" si="342"/>
        <v/>
      </c>
    </row>
    <row r="3098" spans="2:17" ht="18" customHeight="1" x14ac:dyDescent="0.3">
      <c r="B3098" s="26"/>
      <c r="C3098" s="17"/>
      <c r="D3098" s="27"/>
      <c r="E3098" s="18"/>
      <c r="F3098" s="18"/>
      <c r="G3098" s="18"/>
      <c r="H3098" s="30" t="str">
        <f t="shared" si="336"/>
        <v/>
      </c>
      <c r="I3098" s="31" t="str">
        <f>IF(OR(B3098="",C3098=""),"",IFERROR(E3098*IF(E3098="",0,VLOOKUP(C3098,'📦 Precios Proforma'!$B$5:$D$104,IF(D3098="DIA",2,3),FALSE)),0))</f>
        <v/>
      </c>
      <c r="J3098" s="31" t="str">
        <f t="shared" si="337"/>
        <v/>
      </c>
      <c r="K3098" s="31" t="str">
        <f t="shared" si="338"/>
        <v/>
      </c>
      <c r="L3098" s="31" t="str">
        <f>IF(OR(B3098="",C3098=""),"",IFERROR(E3098 / SUMIFS('📅 Resumen Diario'!$D$5:$D$504, '📅 Resumen Diario'!$B$5:$B$504, B3098, '📅 Resumen Diario'!$C$5:$C$504, D3098) * SUMIFS('📅 Resumen Diario'!$K$5:$K$504, '📅 Resumen Diario'!$B$5:$B$504, B3098, '📅 Resumen Diario'!$C$5:$C$504, D3098), 0))</f>
        <v/>
      </c>
      <c r="M3098" s="31" t="str">
        <f t="shared" si="339"/>
        <v/>
      </c>
      <c r="N3098" s="31" t="str">
        <f t="shared" si="340"/>
        <v/>
      </c>
      <c r="O3098" s="31" t="str">
        <f>IF(OR(B3098="",C3098=""),"",K3098-N3098 + IFERROR(E3098 / SUMIFS('📅 Resumen Diario'!$D$5:$D$504, '📅 Resumen Diario'!$B$5:$B$504, B3098, '📅 Resumen Diario'!$C$5:$C$504, D3098) * (SUMIFS('📋 Detalle Diario'!$E$5:$E$489, '📋 Detalle Diario'!$B$5:$B$489, B3098, '📋 Detalle Diario'!$C$5:$C$489, D3098) * 135 + SUMIFS('📋 Detalle Diario'!$I$5:$I$489, '📋 Detalle Diario'!$B$5:$B$489, B3098, '📋 Detalle Diario'!$C$5:$C$489, D3098) * 200), 0))</f>
        <v/>
      </c>
      <c r="P3098" s="32" t="str">
        <f t="shared" si="341"/>
        <v/>
      </c>
      <c r="Q3098" s="33" t="str">
        <f t="shared" si="342"/>
        <v/>
      </c>
    </row>
    <row r="3099" spans="2:17" ht="18" customHeight="1" x14ac:dyDescent="0.3">
      <c r="B3099" s="26"/>
      <c r="C3099" s="28"/>
      <c r="D3099" s="27"/>
      <c r="E3099" s="29"/>
      <c r="F3099" s="29"/>
      <c r="G3099" s="29"/>
      <c r="H3099" s="30" t="str">
        <f t="shared" si="336"/>
        <v/>
      </c>
      <c r="I3099" s="31" t="str">
        <f>IF(OR(B3099="",C3099=""),"",IFERROR(E3099*IF(E3099="",0,VLOOKUP(C3099,'📦 Precios Proforma'!$B$5:$D$104,IF(D3099="DIA",2,3),FALSE)),0))</f>
        <v/>
      </c>
      <c r="J3099" s="31" t="str">
        <f t="shared" si="337"/>
        <v/>
      </c>
      <c r="K3099" s="31" t="str">
        <f t="shared" si="338"/>
        <v/>
      </c>
      <c r="L3099" s="31" t="str">
        <f>IF(OR(B3099="",C3099=""),"",IFERROR(E3099 / SUMIFS('📅 Resumen Diario'!$D$5:$D$504, '📅 Resumen Diario'!$B$5:$B$504, B3099, '📅 Resumen Diario'!$C$5:$C$504, D3099) * SUMIFS('📅 Resumen Diario'!$K$5:$K$504, '📅 Resumen Diario'!$B$5:$B$504, B3099, '📅 Resumen Diario'!$C$5:$C$504, D3099), 0))</f>
        <v/>
      </c>
      <c r="M3099" s="31" t="str">
        <f t="shared" si="339"/>
        <v/>
      </c>
      <c r="N3099" s="31" t="str">
        <f t="shared" si="340"/>
        <v/>
      </c>
      <c r="O3099" s="31" t="str">
        <f>IF(OR(B3099="",C3099=""),"",K3099-N3099 + IFERROR(E3099 / SUMIFS('📅 Resumen Diario'!$D$5:$D$504, '📅 Resumen Diario'!$B$5:$B$504, B3099, '📅 Resumen Diario'!$C$5:$C$504, D3099) * (SUMIFS('📋 Detalle Diario'!$E$5:$E$489, '📋 Detalle Diario'!$B$5:$B$489, B3099, '📋 Detalle Diario'!$C$5:$C$489, D3099) * 135 + SUMIFS('📋 Detalle Diario'!$I$5:$I$489, '📋 Detalle Diario'!$B$5:$B$489, B3099, '📋 Detalle Diario'!$C$5:$C$489, D3099) * 200), 0))</f>
        <v/>
      </c>
      <c r="P3099" s="32" t="str">
        <f t="shared" si="341"/>
        <v/>
      </c>
      <c r="Q3099" s="33" t="str">
        <f t="shared" si="342"/>
        <v/>
      </c>
    </row>
    <row r="3100" spans="2:17" ht="18" customHeight="1" x14ac:dyDescent="0.3">
      <c r="B3100" s="26"/>
      <c r="C3100" s="17"/>
      <c r="D3100" s="27"/>
      <c r="E3100" s="18"/>
      <c r="F3100" s="18"/>
      <c r="G3100" s="18"/>
      <c r="H3100" s="30" t="str">
        <f t="shared" si="336"/>
        <v/>
      </c>
      <c r="I3100" s="31" t="str">
        <f>IF(OR(B3100="",C3100=""),"",IFERROR(E3100*IF(E3100="",0,VLOOKUP(C3100,'📦 Precios Proforma'!$B$5:$D$104,IF(D3100="DIA",2,3),FALSE)),0))</f>
        <v/>
      </c>
      <c r="J3100" s="31" t="str">
        <f t="shared" si="337"/>
        <v/>
      </c>
      <c r="K3100" s="31" t="str">
        <f t="shared" si="338"/>
        <v/>
      </c>
      <c r="L3100" s="31" t="str">
        <f>IF(OR(B3100="",C3100=""),"",IFERROR(E3100 / SUMIFS('📅 Resumen Diario'!$D$5:$D$504, '📅 Resumen Diario'!$B$5:$B$504, B3100, '📅 Resumen Diario'!$C$5:$C$504, D3100) * SUMIFS('📅 Resumen Diario'!$K$5:$K$504, '📅 Resumen Diario'!$B$5:$B$504, B3100, '📅 Resumen Diario'!$C$5:$C$504, D3100), 0))</f>
        <v/>
      </c>
      <c r="M3100" s="31" t="str">
        <f t="shared" si="339"/>
        <v/>
      </c>
      <c r="N3100" s="31" t="str">
        <f t="shared" si="340"/>
        <v/>
      </c>
      <c r="O3100" s="31" t="str">
        <f>IF(OR(B3100="",C3100=""),"",K3100-N3100 + IFERROR(E3100 / SUMIFS('📅 Resumen Diario'!$D$5:$D$504, '📅 Resumen Diario'!$B$5:$B$504, B3100, '📅 Resumen Diario'!$C$5:$C$504, D3100) * (SUMIFS('📋 Detalle Diario'!$E$5:$E$489, '📋 Detalle Diario'!$B$5:$B$489, B3100, '📋 Detalle Diario'!$C$5:$C$489, D3100) * 135 + SUMIFS('📋 Detalle Diario'!$I$5:$I$489, '📋 Detalle Diario'!$B$5:$B$489, B3100, '📋 Detalle Diario'!$C$5:$C$489, D3100) * 200), 0))</f>
        <v/>
      </c>
      <c r="P3100" s="32" t="str">
        <f t="shared" si="341"/>
        <v/>
      </c>
      <c r="Q3100" s="33" t="str">
        <f t="shared" si="342"/>
        <v/>
      </c>
    </row>
    <row r="3101" spans="2:17" ht="18" customHeight="1" x14ac:dyDescent="0.3">
      <c r="B3101" s="26"/>
      <c r="C3101" s="28"/>
      <c r="D3101" s="27"/>
      <c r="E3101" s="29"/>
      <c r="F3101" s="29"/>
      <c r="G3101" s="29"/>
      <c r="H3101" s="30" t="str">
        <f t="shared" si="336"/>
        <v/>
      </c>
      <c r="I3101" s="31" t="str">
        <f>IF(OR(B3101="",C3101=""),"",IFERROR(E3101*IF(E3101="",0,VLOOKUP(C3101,'📦 Precios Proforma'!$B$5:$D$104,IF(D3101="DIA",2,3),FALSE)),0))</f>
        <v/>
      </c>
      <c r="J3101" s="31" t="str">
        <f t="shared" si="337"/>
        <v/>
      </c>
      <c r="K3101" s="31" t="str">
        <f t="shared" si="338"/>
        <v/>
      </c>
      <c r="L3101" s="31" t="str">
        <f>IF(OR(B3101="",C3101=""),"",IFERROR(E3101 / SUMIFS('📅 Resumen Diario'!$D$5:$D$504, '📅 Resumen Diario'!$B$5:$B$504, B3101, '📅 Resumen Diario'!$C$5:$C$504, D3101) * SUMIFS('📅 Resumen Diario'!$K$5:$K$504, '📅 Resumen Diario'!$B$5:$B$504, B3101, '📅 Resumen Diario'!$C$5:$C$504, D3101), 0))</f>
        <v/>
      </c>
      <c r="M3101" s="31" t="str">
        <f t="shared" si="339"/>
        <v/>
      </c>
      <c r="N3101" s="31" t="str">
        <f t="shared" si="340"/>
        <v/>
      </c>
      <c r="O3101" s="31" t="str">
        <f>IF(OR(B3101="",C3101=""),"",K3101-N3101 + IFERROR(E3101 / SUMIFS('📅 Resumen Diario'!$D$5:$D$504, '📅 Resumen Diario'!$B$5:$B$504, B3101, '📅 Resumen Diario'!$C$5:$C$504, D3101) * (SUMIFS('📋 Detalle Diario'!$E$5:$E$489, '📋 Detalle Diario'!$B$5:$B$489, B3101, '📋 Detalle Diario'!$C$5:$C$489, D3101) * 135 + SUMIFS('📋 Detalle Diario'!$I$5:$I$489, '📋 Detalle Diario'!$B$5:$B$489, B3101, '📋 Detalle Diario'!$C$5:$C$489, D3101) * 200), 0))</f>
        <v/>
      </c>
      <c r="P3101" s="32" t="str">
        <f t="shared" si="341"/>
        <v/>
      </c>
      <c r="Q3101" s="33" t="str">
        <f t="shared" si="342"/>
        <v/>
      </c>
    </row>
    <row r="3102" spans="2:17" ht="18" customHeight="1" x14ac:dyDescent="0.3">
      <c r="B3102" s="26"/>
      <c r="C3102" s="17"/>
      <c r="D3102" s="27"/>
      <c r="E3102" s="18"/>
      <c r="F3102" s="18"/>
      <c r="G3102" s="18"/>
      <c r="H3102" s="30" t="str">
        <f t="shared" si="336"/>
        <v/>
      </c>
      <c r="I3102" s="31" t="str">
        <f>IF(OR(B3102="",C3102=""),"",IFERROR(E3102*IF(E3102="",0,VLOOKUP(C3102,'📦 Precios Proforma'!$B$5:$D$104,IF(D3102="DIA",2,3),FALSE)),0))</f>
        <v/>
      </c>
      <c r="J3102" s="31" t="str">
        <f t="shared" si="337"/>
        <v/>
      </c>
      <c r="K3102" s="31" t="str">
        <f t="shared" si="338"/>
        <v/>
      </c>
      <c r="L3102" s="31" t="str">
        <f>IF(OR(B3102="",C3102=""),"",IFERROR(E3102 / SUMIFS('📅 Resumen Diario'!$D$5:$D$504, '📅 Resumen Diario'!$B$5:$B$504, B3102, '📅 Resumen Diario'!$C$5:$C$504, D3102) * SUMIFS('📅 Resumen Diario'!$K$5:$K$504, '📅 Resumen Diario'!$B$5:$B$504, B3102, '📅 Resumen Diario'!$C$5:$C$504, D3102), 0))</f>
        <v/>
      </c>
      <c r="M3102" s="31" t="str">
        <f t="shared" si="339"/>
        <v/>
      </c>
      <c r="N3102" s="31" t="str">
        <f t="shared" si="340"/>
        <v/>
      </c>
      <c r="O3102" s="31" t="str">
        <f>IF(OR(B3102="",C3102=""),"",K3102-N3102 + IFERROR(E3102 / SUMIFS('📅 Resumen Diario'!$D$5:$D$504, '📅 Resumen Diario'!$B$5:$B$504, B3102, '📅 Resumen Diario'!$C$5:$C$504, D3102) * (SUMIFS('📋 Detalle Diario'!$E$5:$E$489, '📋 Detalle Diario'!$B$5:$B$489, B3102, '📋 Detalle Diario'!$C$5:$C$489, D3102) * 135 + SUMIFS('📋 Detalle Diario'!$I$5:$I$489, '📋 Detalle Diario'!$B$5:$B$489, B3102, '📋 Detalle Diario'!$C$5:$C$489, D3102) * 200), 0))</f>
        <v/>
      </c>
      <c r="P3102" s="32" t="str">
        <f t="shared" si="341"/>
        <v/>
      </c>
      <c r="Q3102" s="33" t="str">
        <f t="shared" si="342"/>
        <v/>
      </c>
    </row>
    <row r="3103" spans="2:17" ht="18" customHeight="1" x14ac:dyDescent="0.3">
      <c r="B3103" s="26"/>
      <c r="C3103" s="28"/>
      <c r="D3103" s="27"/>
      <c r="E3103" s="29"/>
      <c r="F3103" s="29"/>
      <c r="G3103" s="29"/>
      <c r="H3103" s="30" t="str">
        <f t="shared" si="336"/>
        <v/>
      </c>
      <c r="I3103" s="31" t="str">
        <f>IF(OR(B3103="",C3103=""),"",IFERROR(E3103*IF(E3103="",0,VLOOKUP(C3103,'📦 Precios Proforma'!$B$5:$D$104,IF(D3103="DIA",2,3),FALSE)),0))</f>
        <v/>
      </c>
      <c r="J3103" s="31" t="str">
        <f t="shared" si="337"/>
        <v/>
      </c>
      <c r="K3103" s="31" t="str">
        <f t="shared" si="338"/>
        <v/>
      </c>
      <c r="L3103" s="31" t="str">
        <f>IF(OR(B3103="",C3103=""),"",IFERROR(E3103 / SUMIFS('📅 Resumen Diario'!$D$5:$D$504, '📅 Resumen Diario'!$B$5:$B$504, B3103, '📅 Resumen Diario'!$C$5:$C$504, D3103) * SUMIFS('📅 Resumen Diario'!$K$5:$K$504, '📅 Resumen Diario'!$B$5:$B$504, B3103, '📅 Resumen Diario'!$C$5:$C$504, D3103), 0))</f>
        <v/>
      </c>
      <c r="M3103" s="31" t="str">
        <f t="shared" si="339"/>
        <v/>
      </c>
      <c r="N3103" s="31" t="str">
        <f t="shared" si="340"/>
        <v/>
      </c>
      <c r="O3103" s="31" t="str">
        <f>IF(OR(B3103="",C3103=""),"",K3103-N3103 + IFERROR(E3103 / SUMIFS('📅 Resumen Diario'!$D$5:$D$504, '📅 Resumen Diario'!$B$5:$B$504, B3103, '📅 Resumen Diario'!$C$5:$C$504, D3103) * (SUMIFS('📋 Detalle Diario'!$E$5:$E$489, '📋 Detalle Diario'!$B$5:$B$489, B3103, '📋 Detalle Diario'!$C$5:$C$489, D3103) * 135 + SUMIFS('📋 Detalle Diario'!$I$5:$I$489, '📋 Detalle Diario'!$B$5:$B$489, B3103, '📋 Detalle Diario'!$C$5:$C$489, D3103) * 200), 0))</f>
        <v/>
      </c>
      <c r="P3103" s="32" t="str">
        <f t="shared" si="341"/>
        <v/>
      </c>
      <c r="Q3103" s="33" t="str">
        <f t="shared" si="342"/>
        <v/>
      </c>
    </row>
    <row r="3104" spans="2:17" ht="18" customHeight="1" x14ac:dyDescent="0.3">
      <c r="B3104" s="26"/>
      <c r="C3104" s="17"/>
      <c r="D3104" s="27"/>
      <c r="E3104" s="18"/>
      <c r="F3104" s="18"/>
      <c r="G3104" s="18"/>
      <c r="H3104" s="30" t="str">
        <f t="shared" si="336"/>
        <v/>
      </c>
      <c r="I3104" s="31" t="str">
        <f>IF(OR(B3104="",C3104=""),"",IFERROR(E3104*IF(E3104="",0,VLOOKUP(C3104,'📦 Precios Proforma'!$B$5:$D$104,IF(D3104="DIA",2,3),FALSE)),0))</f>
        <v/>
      </c>
      <c r="J3104" s="31" t="str">
        <f t="shared" si="337"/>
        <v/>
      </c>
      <c r="K3104" s="31" t="str">
        <f t="shared" si="338"/>
        <v/>
      </c>
      <c r="L3104" s="31" t="str">
        <f>IF(OR(B3104="",C3104=""),"",IFERROR(E3104 / SUMIFS('📅 Resumen Diario'!$D$5:$D$504, '📅 Resumen Diario'!$B$5:$B$504, B3104, '📅 Resumen Diario'!$C$5:$C$504, D3104) * SUMIFS('📅 Resumen Diario'!$K$5:$K$504, '📅 Resumen Diario'!$B$5:$B$504, B3104, '📅 Resumen Diario'!$C$5:$C$504, D3104), 0))</f>
        <v/>
      </c>
      <c r="M3104" s="31" t="str">
        <f t="shared" si="339"/>
        <v/>
      </c>
      <c r="N3104" s="31" t="str">
        <f t="shared" si="340"/>
        <v/>
      </c>
      <c r="O3104" s="31" t="str">
        <f>IF(OR(B3104="",C3104=""),"",K3104-N3104 + IFERROR(E3104 / SUMIFS('📅 Resumen Diario'!$D$5:$D$504, '📅 Resumen Diario'!$B$5:$B$504, B3104, '📅 Resumen Diario'!$C$5:$C$504, D3104) * (SUMIFS('📋 Detalle Diario'!$E$5:$E$489, '📋 Detalle Diario'!$B$5:$B$489, B3104, '📋 Detalle Diario'!$C$5:$C$489, D3104) * 135 + SUMIFS('📋 Detalle Diario'!$I$5:$I$489, '📋 Detalle Diario'!$B$5:$B$489, B3104, '📋 Detalle Diario'!$C$5:$C$489, D3104) * 200), 0))</f>
        <v/>
      </c>
      <c r="P3104" s="32" t="str">
        <f t="shared" si="341"/>
        <v/>
      </c>
      <c r="Q3104" s="33" t="str">
        <f t="shared" si="342"/>
        <v/>
      </c>
    </row>
    <row r="3105" spans="2:17" ht="18" customHeight="1" x14ac:dyDescent="0.3">
      <c r="B3105" s="26"/>
      <c r="C3105" s="28"/>
      <c r="D3105" s="27"/>
      <c r="E3105" s="29"/>
      <c r="F3105" s="29"/>
      <c r="G3105" s="29"/>
      <c r="H3105" s="30" t="str">
        <f t="shared" si="336"/>
        <v/>
      </c>
      <c r="I3105" s="31" t="str">
        <f>IF(OR(B3105="",C3105=""),"",IFERROR(E3105*IF(E3105="",0,VLOOKUP(C3105,'📦 Precios Proforma'!$B$5:$D$104,IF(D3105="DIA",2,3),FALSE)),0))</f>
        <v/>
      </c>
      <c r="J3105" s="31" t="str">
        <f t="shared" si="337"/>
        <v/>
      </c>
      <c r="K3105" s="31" t="str">
        <f t="shared" si="338"/>
        <v/>
      </c>
      <c r="L3105" s="31" t="str">
        <f>IF(OR(B3105="",C3105=""),"",IFERROR(E3105 / SUMIFS('📅 Resumen Diario'!$D$5:$D$504, '📅 Resumen Diario'!$B$5:$B$504, B3105, '📅 Resumen Diario'!$C$5:$C$504, D3105) * SUMIFS('📅 Resumen Diario'!$K$5:$K$504, '📅 Resumen Diario'!$B$5:$B$504, B3105, '📅 Resumen Diario'!$C$5:$C$504, D3105), 0))</f>
        <v/>
      </c>
      <c r="M3105" s="31" t="str">
        <f t="shared" si="339"/>
        <v/>
      </c>
      <c r="N3105" s="31" t="str">
        <f t="shared" si="340"/>
        <v/>
      </c>
      <c r="O3105" s="31" t="str">
        <f>IF(OR(B3105="",C3105=""),"",K3105-N3105 + IFERROR(E3105 / SUMIFS('📅 Resumen Diario'!$D$5:$D$504, '📅 Resumen Diario'!$B$5:$B$504, B3105, '📅 Resumen Diario'!$C$5:$C$504, D3105) * (SUMIFS('📋 Detalle Diario'!$E$5:$E$489, '📋 Detalle Diario'!$B$5:$B$489, B3105, '📋 Detalle Diario'!$C$5:$C$489, D3105) * 135 + SUMIFS('📋 Detalle Diario'!$I$5:$I$489, '📋 Detalle Diario'!$B$5:$B$489, B3105, '📋 Detalle Diario'!$C$5:$C$489, D3105) * 200), 0))</f>
        <v/>
      </c>
      <c r="P3105" s="32" t="str">
        <f t="shared" si="341"/>
        <v/>
      </c>
      <c r="Q3105" s="33" t="str">
        <f t="shared" si="342"/>
        <v/>
      </c>
    </row>
    <row r="3106" spans="2:17" ht="18" customHeight="1" x14ac:dyDescent="0.3">
      <c r="B3106" s="26"/>
      <c r="C3106" s="17"/>
      <c r="D3106" s="27"/>
      <c r="E3106" s="18"/>
      <c r="F3106" s="18"/>
      <c r="G3106" s="18"/>
      <c r="H3106" s="30" t="str">
        <f t="shared" si="336"/>
        <v/>
      </c>
      <c r="I3106" s="31" t="str">
        <f>IF(OR(B3106="",C3106=""),"",IFERROR(E3106*IF(E3106="",0,VLOOKUP(C3106,'📦 Precios Proforma'!$B$5:$D$104,IF(D3106="DIA",2,3),FALSE)),0))</f>
        <v/>
      </c>
      <c r="J3106" s="31" t="str">
        <f t="shared" si="337"/>
        <v/>
      </c>
      <c r="K3106" s="31" t="str">
        <f t="shared" si="338"/>
        <v/>
      </c>
      <c r="L3106" s="31" t="str">
        <f>IF(OR(B3106="",C3106=""),"",IFERROR(E3106 / SUMIFS('📅 Resumen Diario'!$D$5:$D$504, '📅 Resumen Diario'!$B$5:$B$504, B3106, '📅 Resumen Diario'!$C$5:$C$504, D3106) * SUMIFS('📅 Resumen Diario'!$K$5:$K$504, '📅 Resumen Diario'!$B$5:$B$504, B3106, '📅 Resumen Diario'!$C$5:$C$504, D3106), 0))</f>
        <v/>
      </c>
      <c r="M3106" s="31" t="str">
        <f t="shared" si="339"/>
        <v/>
      </c>
      <c r="N3106" s="31" t="str">
        <f t="shared" si="340"/>
        <v/>
      </c>
      <c r="O3106" s="31" t="str">
        <f>IF(OR(B3106="",C3106=""),"",K3106-N3106 + IFERROR(E3106 / SUMIFS('📅 Resumen Diario'!$D$5:$D$504, '📅 Resumen Diario'!$B$5:$B$504, B3106, '📅 Resumen Diario'!$C$5:$C$504, D3106) * (SUMIFS('📋 Detalle Diario'!$E$5:$E$489, '📋 Detalle Diario'!$B$5:$B$489, B3106, '📋 Detalle Diario'!$C$5:$C$489, D3106) * 135 + SUMIFS('📋 Detalle Diario'!$I$5:$I$489, '📋 Detalle Diario'!$B$5:$B$489, B3106, '📋 Detalle Diario'!$C$5:$C$489, D3106) * 200), 0))</f>
        <v/>
      </c>
      <c r="P3106" s="32" t="str">
        <f t="shared" si="341"/>
        <v/>
      </c>
      <c r="Q3106" s="33" t="str">
        <f t="shared" si="342"/>
        <v/>
      </c>
    </row>
    <row r="3107" spans="2:17" ht="18" customHeight="1" x14ac:dyDescent="0.3">
      <c r="B3107" s="26"/>
      <c r="C3107" s="28"/>
      <c r="D3107" s="27"/>
      <c r="E3107" s="29"/>
      <c r="F3107" s="29"/>
      <c r="G3107" s="29"/>
      <c r="H3107" s="30" t="str">
        <f t="shared" si="336"/>
        <v/>
      </c>
      <c r="I3107" s="31" t="str">
        <f>IF(OR(B3107="",C3107=""),"",IFERROR(E3107*IF(E3107="",0,VLOOKUP(C3107,'📦 Precios Proforma'!$B$5:$D$104,IF(D3107="DIA",2,3),FALSE)),0))</f>
        <v/>
      </c>
      <c r="J3107" s="31" t="str">
        <f t="shared" si="337"/>
        <v/>
      </c>
      <c r="K3107" s="31" t="str">
        <f t="shared" si="338"/>
        <v/>
      </c>
      <c r="L3107" s="31" t="str">
        <f>IF(OR(B3107="",C3107=""),"",IFERROR(E3107 / SUMIFS('📅 Resumen Diario'!$D$5:$D$504, '📅 Resumen Diario'!$B$5:$B$504, B3107, '📅 Resumen Diario'!$C$5:$C$504, D3107) * SUMIFS('📅 Resumen Diario'!$K$5:$K$504, '📅 Resumen Diario'!$B$5:$B$504, B3107, '📅 Resumen Diario'!$C$5:$C$504, D3107), 0))</f>
        <v/>
      </c>
      <c r="M3107" s="31" t="str">
        <f t="shared" si="339"/>
        <v/>
      </c>
      <c r="N3107" s="31" t="str">
        <f t="shared" si="340"/>
        <v/>
      </c>
      <c r="O3107" s="31" t="str">
        <f>IF(OR(B3107="",C3107=""),"",K3107-N3107 + IFERROR(E3107 / SUMIFS('📅 Resumen Diario'!$D$5:$D$504, '📅 Resumen Diario'!$B$5:$B$504, B3107, '📅 Resumen Diario'!$C$5:$C$504, D3107) * (SUMIFS('📋 Detalle Diario'!$E$5:$E$489, '📋 Detalle Diario'!$B$5:$B$489, B3107, '📋 Detalle Diario'!$C$5:$C$489, D3107) * 135 + SUMIFS('📋 Detalle Diario'!$I$5:$I$489, '📋 Detalle Diario'!$B$5:$B$489, B3107, '📋 Detalle Diario'!$C$5:$C$489, D3107) * 200), 0))</f>
        <v/>
      </c>
      <c r="P3107" s="32" t="str">
        <f t="shared" si="341"/>
        <v/>
      </c>
      <c r="Q3107" s="33" t="str">
        <f t="shared" si="342"/>
        <v/>
      </c>
    </row>
    <row r="3108" spans="2:17" ht="18" customHeight="1" x14ac:dyDescent="0.3">
      <c r="B3108" s="26"/>
      <c r="C3108" s="17"/>
      <c r="D3108" s="27"/>
      <c r="E3108" s="18"/>
      <c r="F3108" s="18"/>
      <c r="G3108" s="18"/>
      <c r="H3108" s="30" t="str">
        <f t="shared" si="336"/>
        <v/>
      </c>
      <c r="I3108" s="31" t="str">
        <f>IF(OR(B3108="",C3108=""),"",IFERROR(E3108*IF(E3108="",0,VLOOKUP(C3108,'📦 Precios Proforma'!$B$5:$D$104,IF(D3108="DIA",2,3),FALSE)),0))</f>
        <v/>
      </c>
      <c r="J3108" s="31" t="str">
        <f t="shared" si="337"/>
        <v/>
      </c>
      <c r="K3108" s="31" t="str">
        <f t="shared" si="338"/>
        <v/>
      </c>
      <c r="L3108" s="31" t="str">
        <f>IF(OR(B3108="",C3108=""),"",IFERROR(E3108 / SUMIFS('📅 Resumen Diario'!$D$5:$D$504, '📅 Resumen Diario'!$B$5:$B$504, B3108, '📅 Resumen Diario'!$C$5:$C$504, D3108) * SUMIFS('📅 Resumen Diario'!$K$5:$K$504, '📅 Resumen Diario'!$B$5:$B$504, B3108, '📅 Resumen Diario'!$C$5:$C$504, D3108), 0))</f>
        <v/>
      </c>
      <c r="M3108" s="31" t="str">
        <f t="shared" si="339"/>
        <v/>
      </c>
      <c r="N3108" s="31" t="str">
        <f t="shared" si="340"/>
        <v/>
      </c>
      <c r="O3108" s="31" t="str">
        <f>IF(OR(B3108="",C3108=""),"",K3108-N3108 + IFERROR(E3108 / SUMIFS('📅 Resumen Diario'!$D$5:$D$504, '📅 Resumen Diario'!$B$5:$B$504, B3108, '📅 Resumen Diario'!$C$5:$C$504, D3108) * (SUMIFS('📋 Detalle Diario'!$E$5:$E$489, '📋 Detalle Diario'!$B$5:$B$489, B3108, '📋 Detalle Diario'!$C$5:$C$489, D3108) * 135 + SUMIFS('📋 Detalle Diario'!$I$5:$I$489, '📋 Detalle Diario'!$B$5:$B$489, B3108, '📋 Detalle Diario'!$C$5:$C$489, D3108) * 200), 0))</f>
        <v/>
      </c>
      <c r="P3108" s="32" t="str">
        <f t="shared" si="341"/>
        <v/>
      </c>
      <c r="Q3108" s="33" t="str">
        <f t="shared" si="342"/>
        <v/>
      </c>
    </row>
    <row r="3109" spans="2:17" ht="18" customHeight="1" x14ac:dyDescent="0.3">
      <c r="B3109" s="26"/>
      <c r="C3109" s="28"/>
      <c r="D3109" s="27"/>
      <c r="E3109" s="29"/>
      <c r="F3109" s="29"/>
      <c r="G3109" s="29"/>
      <c r="H3109" s="30" t="str">
        <f t="shared" si="336"/>
        <v/>
      </c>
      <c r="I3109" s="31" t="str">
        <f>IF(OR(B3109="",C3109=""),"",IFERROR(E3109*IF(E3109="",0,VLOOKUP(C3109,'📦 Precios Proforma'!$B$5:$D$104,IF(D3109="DIA",2,3),FALSE)),0))</f>
        <v/>
      </c>
      <c r="J3109" s="31" t="str">
        <f t="shared" si="337"/>
        <v/>
      </c>
      <c r="K3109" s="31" t="str">
        <f t="shared" si="338"/>
        <v/>
      </c>
      <c r="L3109" s="31" t="str">
        <f>IF(OR(B3109="",C3109=""),"",IFERROR(E3109 / SUMIFS('📅 Resumen Diario'!$D$5:$D$504, '📅 Resumen Diario'!$B$5:$B$504, B3109, '📅 Resumen Diario'!$C$5:$C$504, D3109) * SUMIFS('📅 Resumen Diario'!$K$5:$K$504, '📅 Resumen Diario'!$B$5:$B$504, B3109, '📅 Resumen Diario'!$C$5:$C$504, D3109), 0))</f>
        <v/>
      </c>
      <c r="M3109" s="31" t="str">
        <f t="shared" si="339"/>
        <v/>
      </c>
      <c r="N3109" s="31" t="str">
        <f t="shared" si="340"/>
        <v/>
      </c>
      <c r="O3109" s="31" t="str">
        <f>IF(OR(B3109="",C3109=""),"",K3109-N3109 + IFERROR(E3109 / SUMIFS('📅 Resumen Diario'!$D$5:$D$504, '📅 Resumen Diario'!$B$5:$B$504, B3109, '📅 Resumen Diario'!$C$5:$C$504, D3109) * (SUMIFS('📋 Detalle Diario'!$E$5:$E$489, '📋 Detalle Diario'!$B$5:$B$489, B3109, '📋 Detalle Diario'!$C$5:$C$489, D3109) * 135 + SUMIFS('📋 Detalle Diario'!$I$5:$I$489, '📋 Detalle Diario'!$B$5:$B$489, B3109, '📋 Detalle Diario'!$C$5:$C$489, D3109) * 200), 0))</f>
        <v/>
      </c>
      <c r="P3109" s="32" t="str">
        <f t="shared" si="341"/>
        <v/>
      </c>
      <c r="Q3109" s="33" t="str">
        <f t="shared" si="342"/>
        <v/>
      </c>
    </row>
    <row r="3110" spans="2:17" ht="18" customHeight="1" x14ac:dyDescent="0.3">
      <c r="B3110" s="26"/>
      <c r="C3110" s="17"/>
      <c r="D3110" s="27"/>
      <c r="E3110" s="18"/>
      <c r="F3110" s="18"/>
      <c r="G3110" s="18"/>
      <c r="H3110" s="30" t="str">
        <f t="shared" si="336"/>
        <v/>
      </c>
      <c r="I3110" s="31" t="str">
        <f>IF(OR(B3110="",C3110=""),"",IFERROR(E3110*IF(E3110="",0,VLOOKUP(C3110,'📦 Precios Proforma'!$B$5:$D$104,IF(D3110="DIA",2,3),FALSE)),0))</f>
        <v/>
      </c>
      <c r="J3110" s="31" t="str">
        <f t="shared" si="337"/>
        <v/>
      </c>
      <c r="K3110" s="31" t="str">
        <f t="shared" si="338"/>
        <v/>
      </c>
      <c r="L3110" s="31" t="str">
        <f>IF(OR(B3110="",C3110=""),"",IFERROR(E3110 / SUMIFS('📅 Resumen Diario'!$D$5:$D$504, '📅 Resumen Diario'!$B$5:$B$504, B3110, '📅 Resumen Diario'!$C$5:$C$504, D3110) * SUMIFS('📅 Resumen Diario'!$K$5:$K$504, '📅 Resumen Diario'!$B$5:$B$504, B3110, '📅 Resumen Diario'!$C$5:$C$504, D3110), 0))</f>
        <v/>
      </c>
      <c r="M3110" s="31" t="str">
        <f t="shared" si="339"/>
        <v/>
      </c>
      <c r="N3110" s="31" t="str">
        <f t="shared" si="340"/>
        <v/>
      </c>
      <c r="O3110" s="31" t="str">
        <f>IF(OR(B3110="",C3110=""),"",K3110-N3110 + IFERROR(E3110 / SUMIFS('📅 Resumen Diario'!$D$5:$D$504, '📅 Resumen Diario'!$B$5:$B$504, B3110, '📅 Resumen Diario'!$C$5:$C$504, D3110) * (SUMIFS('📋 Detalle Diario'!$E$5:$E$489, '📋 Detalle Diario'!$B$5:$B$489, B3110, '📋 Detalle Diario'!$C$5:$C$489, D3110) * 135 + SUMIFS('📋 Detalle Diario'!$I$5:$I$489, '📋 Detalle Diario'!$B$5:$B$489, B3110, '📋 Detalle Diario'!$C$5:$C$489, D3110) * 200), 0))</f>
        <v/>
      </c>
      <c r="P3110" s="32" t="str">
        <f t="shared" si="341"/>
        <v/>
      </c>
      <c r="Q3110" s="33" t="str">
        <f t="shared" si="342"/>
        <v/>
      </c>
    </row>
    <row r="3111" spans="2:17" ht="18" customHeight="1" x14ac:dyDescent="0.3">
      <c r="B3111" s="26"/>
      <c r="C3111" s="28"/>
      <c r="D3111" s="27"/>
      <c r="E3111" s="29"/>
      <c r="F3111" s="29"/>
      <c r="G3111" s="29"/>
      <c r="H3111" s="30" t="str">
        <f t="shared" si="336"/>
        <v/>
      </c>
      <c r="I3111" s="31" t="str">
        <f>IF(OR(B3111="",C3111=""),"",IFERROR(E3111*IF(E3111="",0,VLOOKUP(C3111,'📦 Precios Proforma'!$B$5:$D$104,IF(D3111="DIA",2,3),FALSE)),0))</f>
        <v/>
      </c>
      <c r="J3111" s="31" t="str">
        <f t="shared" si="337"/>
        <v/>
      </c>
      <c r="K3111" s="31" t="str">
        <f t="shared" si="338"/>
        <v/>
      </c>
      <c r="L3111" s="31" t="str">
        <f>IF(OR(B3111="",C3111=""),"",IFERROR(E3111 / SUMIFS('📅 Resumen Diario'!$D$5:$D$504, '📅 Resumen Diario'!$B$5:$B$504, B3111, '📅 Resumen Diario'!$C$5:$C$504, D3111) * SUMIFS('📅 Resumen Diario'!$K$5:$K$504, '📅 Resumen Diario'!$B$5:$B$504, B3111, '📅 Resumen Diario'!$C$5:$C$504, D3111), 0))</f>
        <v/>
      </c>
      <c r="M3111" s="31" t="str">
        <f t="shared" si="339"/>
        <v/>
      </c>
      <c r="N3111" s="31" t="str">
        <f t="shared" si="340"/>
        <v/>
      </c>
      <c r="O3111" s="31" t="str">
        <f>IF(OR(B3111="",C3111=""),"",K3111-N3111 + IFERROR(E3111 / SUMIFS('📅 Resumen Diario'!$D$5:$D$504, '📅 Resumen Diario'!$B$5:$B$504, B3111, '📅 Resumen Diario'!$C$5:$C$504, D3111) * (SUMIFS('📋 Detalle Diario'!$E$5:$E$489, '📋 Detalle Diario'!$B$5:$B$489, B3111, '📋 Detalle Diario'!$C$5:$C$489, D3111) * 135 + SUMIFS('📋 Detalle Diario'!$I$5:$I$489, '📋 Detalle Diario'!$B$5:$B$489, B3111, '📋 Detalle Diario'!$C$5:$C$489, D3111) * 200), 0))</f>
        <v/>
      </c>
      <c r="P3111" s="32" t="str">
        <f t="shared" si="341"/>
        <v/>
      </c>
      <c r="Q3111" s="33" t="str">
        <f t="shared" si="342"/>
        <v/>
      </c>
    </row>
    <row r="3112" spans="2:17" ht="18" customHeight="1" x14ac:dyDescent="0.3">
      <c r="B3112" s="26"/>
      <c r="C3112" s="17"/>
      <c r="D3112" s="27"/>
      <c r="E3112" s="18"/>
      <c r="F3112" s="18"/>
      <c r="G3112" s="18"/>
      <c r="H3112" s="30" t="str">
        <f t="shared" si="336"/>
        <v/>
      </c>
      <c r="I3112" s="31" t="str">
        <f>IF(OR(B3112="",C3112=""),"",IFERROR(E3112*IF(E3112="",0,VLOOKUP(C3112,'📦 Precios Proforma'!$B$5:$D$104,IF(D3112="DIA",2,3),FALSE)),0))</f>
        <v/>
      </c>
      <c r="J3112" s="31" t="str">
        <f t="shared" si="337"/>
        <v/>
      </c>
      <c r="K3112" s="31" t="str">
        <f t="shared" si="338"/>
        <v/>
      </c>
      <c r="L3112" s="31" t="str">
        <f>IF(OR(B3112="",C3112=""),"",IFERROR(E3112 / SUMIFS('📅 Resumen Diario'!$D$5:$D$504, '📅 Resumen Diario'!$B$5:$B$504, B3112, '📅 Resumen Diario'!$C$5:$C$504, D3112) * SUMIFS('📅 Resumen Diario'!$K$5:$K$504, '📅 Resumen Diario'!$B$5:$B$504, B3112, '📅 Resumen Diario'!$C$5:$C$504, D3112), 0))</f>
        <v/>
      </c>
      <c r="M3112" s="31" t="str">
        <f t="shared" si="339"/>
        <v/>
      </c>
      <c r="N3112" s="31" t="str">
        <f t="shared" si="340"/>
        <v/>
      </c>
      <c r="O3112" s="31" t="str">
        <f>IF(OR(B3112="",C3112=""),"",K3112-N3112 + IFERROR(E3112 / SUMIFS('📅 Resumen Diario'!$D$5:$D$504, '📅 Resumen Diario'!$B$5:$B$504, B3112, '📅 Resumen Diario'!$C$5:$C$504, D3112) * (SUMIFS('📋 Detalle Diario'!$E$5:$E$489, '📋 Detalle Diario'!$B$5:$B$489, B3112, '📋 Detalle Diario'!$C$5:$C$489, D3112) * 135 + SUMIFS('📋 Detalle Diario'!$I$5:$I$489, '📋 Detalle Diario'!$B$5:$B$489, B3112, '📋 Detalle Diario'!$C$5:$C$489, D3112) * 200), 0))</f>
        <v/>
      </c>
      <c r="P3112" s="32" t="str">
        <f t="shared" si="341"/>
        <v/>
      </c>
      <c r="Q3112" s="33" t="str">
        <f t="shared" si="342"/>
        <v/>
      </c>
    </row>
    <row r="3113" spans="2:17" ht="18" customHeight="1" x14ac:dyDescent="0.3">
      <c r="B3113" s="26"/>
      <c r="C3113" s="28"/>
      <c r="D3113" s="27"/>
      <c r="E3113" s="29"/>
      <c r="F3113" s="29"/>
      <c r="G3113" s="29"/>
      <c r="H3113" s="30" t="str">
        <f t="shared" si="336"/>
        <v/>
      </c>
      <c r="I3113" s="31" t="str">
        <f>IF(OR(B3113="",C3113=""),"",IFERROR(E3113*IF(E3113="",0,VLOOKUP(C3113,'📦 Precios Proforma'!$B$5:$D$104,IF(D3113="DIA",2,3),FALSE)),0))</f>
        <v/>
      </c>
      <c r="J3113" s="31" t="str">
        <f t="shared" si="337"/>
        <v/>
      </c>
      <c r="K3113" s="31" t="str">
        <f t="shared" si="338"/>
        <v/>
      </c>
      <c r="L3113" s="31" t="str">
        <f>IF(OR(B3113="",C3113=""),"",IFERROR(E3113 / SUMIFS('📅 Resumen Diario'!$D$5:$D$504, '📅 Resumen Diario'!$B$5:$B$504, B3113, '📅 Resumen Diario'!$C$5:$C$504, D3113) * SUMIFS('📅 Resumen Diario'!$K$5:$K$504, '📅 Resumen Diario'!$B$5:$B$504, B3113, '📅 Resumen Diario'!$C$5:$C$504, D3113), 0))</f>
        <v/>
      </c>
      <c r="M3113" s="31" t="str">
        <f t="shared" si="339"/>
        <v/>
      </c>
      <c r="N3113" s="31" t="str">
        <f t="shared" si="340"/>
        <v/>
      </c>
      <c r="O3113" s="31" t="str">
        <f>IF(OR(B3113="",C3113=""),"",K3113-N3113 + IFERROR(E3113 / SUMIFS('📅 Resumen Diario'!$D$5:$D$504, '📅 Resumen Diario'!$B$5:$B$504, B3113, '📅 Resumen Diario'!$C$5:$C$504, D3113) * (SUMIFS('📋 Detalle Diario'!$E$5:$E$489, '📋 Detalle Diario'!$B$5:$B$489, B3113, '📋 Detalle Diario'!$C$5:$C$489, D3113) * 135 + SUMIFS('📋 Detalle Diario'!$I$5:$I$489, '📋 Detalle Diario'!$B$5:$B$489, B3113, '📋 Detalle Diario'!$C$5:$C$489, D3113) * 200), 0))</f>
        <v/>
      </c>
      <c r="P3113" s="32" t="str">
        <f t="shared" si="341"/>
        <v/>
      </c>
      <c r="Q3113" s="33" t="str">
        <f t="shared" si="342"/>
        <v/>
      </c>
    </row>
    <row r="3114" spans="2:17" ht="18" customHeight="1" x14ac:dyDescent="0.3">
      <c r="B3114" s="26"/>
      <c r="C3114" s="17"/>
      <c r="D3114" s="27"/>
      <c r="E3114" s="18"/>
      <c r="F3114" s="18"/>
      <c r="G3114" s="18"/>
      <c r="H3114" s="30" t="str">
        <f t="shared" si="336"/>
        <v/>
      </c>
      <c r="I3114" s="31" t="str">
        <f>IF(OR(B3114="",C3114=""),"",IFERROR(E3114*IF(E3114="",0,VLOOKUP(C3114,'📦 Precios Proforma'!$B$5:$D$104,IF(D3114="DIA",2,3),FALSE)),0))</f>
        <v/>
      </c>
      <c r="J3114" s="31" t="str">
        <f t="shared" si="337"/>
        <v/>
      </c>
      <c r="K3114" s="31" t="str">
        <f t="shared" si="338"/>
        <v/>
      </c>
      <c r="L3114" s="31" t="str">
        <f>IF(OR(B3114="",C3114=""),"",IFERROR(E3114 / SUMIFS('📅 Resumen Diario'!$D$5:$D$504, '📅 Resumen Diario'!$B$5:$B$504, B3114, '📅 Resumen Diario'!$C$5:$C$504, D3114) * SUMIFS('📅 Resumen Diario'!$K$5:$K$504, '📅 Resumen Diario'!$B$5:$B$504, B3114, '📅 Resumen Diario'!$C$5:$C$504, D3114), 0))</f>
        <v/>
      </c>
      <c r="M3114" s="31" t="str">
        <f t="shared" si="339"/>
        <v/>
      </c>
      <c r="N3114" s="31" t="str">
        <f t="shared" si="340"/>
        <v/>
      </c>
      <c r="O3114" s="31" t="str">
        <f>IF(OR(B3114="",C3114=""),"",K3114-N3114 + IFERROR(E3114 / SUMIFS('📅 Resumen Diario'!$D$5:$D$504, '📅 Resumen Diario'!$B$5:$B$504, B3114, '📅 Resumen Diario'!$C$5:$C$504, D3114) * (SUMIFS('📋 Detalle Diario'!$E$5:$E$489, '📋 Detalle Diario'!$B$5:$B$489, B3114, '📋 Detalle Diario'!$C$5:$C$489, D3114) * 135 + SUMIFS('📋 Detalle Diario'!$I$5:$I$489, '📋 Detalle Diario'!$B$5:$B$489, B3114, '📋 Detalle Diario'!$C$5:$C$489, D3114) * 200), 0))</f>
        <v/>
      </c>
      <c r="P3114" s="32" t="str">
        <f t="shared" si="341"/>
        <v/>
      </c>
      <c r="Q3114" s="33" t="str">
        <f t="shared" si="342"/>
        <v/>
      </c>
    </row>
    <row r="3115" spans="2:17" ht="18" customHeight="1" x14ac:dyDescent="0.3">
      <c r="B3115" s="26"/>
      <c r="C3115" s="28"/>
      <c r="D3115" s="27"/>
      <c r="E3115" s="29"/>
      <c r="F3115" s="29"/>
      <c r="G3115" s="29"/>
      <c r="H3115" s="30" t="str">
        <f t="shared" si="336"/>
        <v/>
      </c>
      <c r="I3115" s="31" t="str">
        <f>IF(OR(B3115="",C3115=""),"",IFERROR(E3115*IF(E3115="",0,VLOOKUP(C3115,'📦 Precios Proforma'!$B$5:$D$104,IF(D3115="DIA",2,3),FALSE)),0))</f>
        <v/>
      </c>
      <c r="J3115" s="31" t="str">
        <f t="shared" si="337"/>
        <v/>
      </c>
      <c r="K3115" s="31" t="str">
        <f t="shared" si="338"/>
        <v/>
      </c>
      <c r="L3115" s="31" t="str">
        <f>IF(OR(B3115="",C3115=""),"",IFERROR(E3115 / SUMIFS('📅 Resumen Diario'!$D$5:$D$504, '📅 Resumen Diario'!$B$5:$B$504, B3115, '📅 Resumen Diario'!$C$5:$C$504, D3115) * SUMIFS('📅 Resumen Diario'!$K$5:$K$504, '📅 Resumen Diario'!$B$5:$B$504, B3115, '📅 Resumen Diario'!$C$5:$C$504, D3115), 0))</f>
        <v/>
      </c>
      <c r="M3115" s="31" t="str">
        <f t="shared" si="339"/>
        <v/>
      </c>
      <c r="N3115" s="31" t="str">
        <f t="shared" si="340"/>
        <v/>
      </c>
      <c r="O3115" s="31" t="str">
        <f>IF(OR(B3115="",C3115=""),"",K3115-N3115 + IFERROR(E3115 / SUMIFS('📅 Resumen Diario'!$D$5:$D$504, '📅 Resumen Diario'!$B$5:$B$504, B3115, '📅 Resumen Diario'!$C$5:$C$504, D3115) * (SUMIFS('📋 Detalle Diario'!$E$5:$E$489, '📋 Detalle Diario'!$B$5:$B$489, B3115, '📋 Detalle Diario'!$C$5:$C$489, D3115) * 135 + SUMIFS('📋 Detalle Diario'!$I$5:$I$489, '📋 Detalle Diario'!$B$5:$B$489, B3115, '📋 Detalle Diario'!$C$5:$C$489, D3115) * 200), 0))</f>
        <v/>
      </c>
      <c r="P3115" s="32" t="str">
        <f t="shared" si="341"/>
        <v/>
      </c>
      <c r="Q3115" s="33" t="str">
        <f t="shared" si="342"/>
        <v/>
      </c>
    </row>
    <row r="3116" spans="2:17" ht="18" customHeight="1" x14ac:dyDescent="0.3">
      <c r="B3116" s="26"/>
      <c r="C3116" s="17"/>
      <c r="D3116" s="27"/>
      <c r="E3116" s="18"/>
      <c r="F3116" s="18"/>
      <c r="G3116" s="18"/>
      <c r="H3116" s="30" t="str">
        <f t="shared" si="336"/>
        <v/>
      </c>
      <c r="I3116" s="31" t="str">
        <f>IF(OR(B3116="",C3116=""),"",IFERROR(E3116*IF(E3116="",0,VLOOKUP(C3116,'📦 Precios Proforma'!$B$5:$D$104,IF(D3116="DIA",2,3),FALSE)),0))</f>
        <v/>
      </c>
      <c r="J3116" s="31" t="str">
        <f t="shared" si="337"/>
        <v/>
      </c>
      <c r="K3116" s="31" t="str">
        <f t="shared" si="338"/>
        <v/>
      </c>
      <c r="L3116" s="31" t="str">
        <f>IF(OR(B3116="",C3116=""),"",IFERROR(E3116 / SUMIFS('📅 Resumen Diario'!$D$5:$D$504, '📅 Resumen Diario'!$B$5:$B$504, B3116, '📅 Resumen Diario'!$C$5:$C$504, D3116) * SUMIFS('📅 Resumen Diario'!$K$5:$K$504, '📅 Resumen Diario'!$B$5:$B$504, B3116, '📅 Resumen Diario'!$C$5:$C$504, D3116), 0))</f>
        <v/>
      </c>
      <c r="M3116" s="31" t="str">
        <f t="shared" si="339"/>
        <v/>
      </c>
      <c r="N3116" s="31" t="str">
        <f t="shared" si="340"/>
        <v/>
      </c>
      <c r="O3116" s="31" t="str">
        <f>IF(OR(B3116="",C3116=""),"",K3116-N3116 + IFERROR(E3116 / SUMIFS('📅 Resumen Diario'!$D$5:$D$504, '📅 Resumen Diario'!$B$5:$B$504, B3116, '📅 Resumen Diario'!$C$5:$C$504, D3116) * (SUMIFS('📋 Detalle Diario'!$E$5:$E$489, '📋 Detalle Diario'!$B$5:$B$489, B3116, '📋 Detalle Diario'!$C$5:$C$489, D3116) * 135 + SUMIFS('📋 Detalle Diario'!$I$5:$I$489, '📋 Detalle Diario'!$B$5:$B$489, B3116, '📋 Detalle Diario'!$C$5:$C$489, D3116) * 200), 0))</f>
        <v/>
      </c>
      <c r="P3116" s="32" t="str">
        <f t="shared" si="341"/>
        <v/>
      </c>
      <c r="Q3116" s="33" t="str">
        <f t="shared" si="342"/>
        <v/>
      </c>
    </row>
    <row r="3117" spans="2:17" ht="18" customHeight="1" x14ac:dyDescent="0.3">
      <c r="B3117" s="26"/>
      <c r="C3117" s="28"/>
      <c r="D3117" s="27"/>
      <c r="E3117" s="29"/>
      <c r="F3117" s="29"/>
      <c r="G3117" s="29"/>
      <c r="H3117" s="30" t="str">
        <f t="shared" si="336"/>
        <v/>
      </c>
      <c r="I3117" s="31" t="str">
        <f>IF(OR(B3117="",C3117=""),"",IFERROR(E3117*IF(E3117="",0,VLOOKUP(C3117,'📦 Precios Proforma'!$B$5:$D$104,IF(D3117="DIA",2,3),FALSE)),0))</f>
        <v/>
      </c>
      <c r="J3117" s="31" t="str">
        <f t="shared" si="337"/>
        <v/>
      </c>
      <c r="K3117" s="31" t="str">
        <f t="shared" si="338"/>
        <v/>
      </c>
      <c r="L3117" s="31" t="str">
        <f>IF(OR(B3117="",C3117=""),"",IFERROR(E3117 / SUMIFS('📅 Resumen Diario'!$D$5:$D$504, '📅 Resumen Diario'!$B$5:$B$504, B3117, '📅 Resumen Diario'!$C$5:$C$504, D3117) * SUMIFS('📅 Resumen Diario'!$K$5:$K$504, '📅 Resumen Diario'!$B$5:$B$504, B3117, '📅 Resumen Diario'!$C$5:$C$504, D3117), 0))</f>
        <v/>
      </c>
      <c r="M3117" s="31" t="str">
        <f t="shared" si="339"/>
        <v/>
      </c>
      <c r="N3117" s="31" t="str">
        <f t="shared" si="340"/>
        <v/>
      </c>
      <c r="O3117" s="31" t="str">
        <f>IF(OR(B3117="",C3117=""),"",K3117-N3117 + IFERROR(E3117 / SUMIFS('📅 Resumen Diario'!$D$5:$D$504, '📅 Resumen Diario'!$B$5:$B$504, B3117, '📅 Resumen Diario'!$C$5:$C$504, D3117) * (SUMIFS('📋 Detalle Diario'!$E$5:$E$489, '📋 Detalle Diario'!$B$5:$B$489, B3117, '📋 Detalle Diario'!$C$5:$C$489, D3117) * 135 + SUMIFS('📋 Detalle Diario'!$I$5:$I$489, '📋 Detalle Diario'!$B$5:$B$489, B3117, '📋 Detalle Diario'!$C$5:$C$489, D3117) * 200), 0))</f>
        <v/>
      </c>
      <c r="P3117" s="32" t="str">
        <f t="shared" si="341"/>
        <v/>
      </c>
      <c r="Q3117" s="33" t="str">
        <f t="shared" si="342"/>
        <v/>
      </c>
    </row>
    <row r="3118" spans="2:17" ht="18" customHeight="1" x14ac:dyDescent="0.3">
      <c r="B3118" s="26"/>
      <c r="C3118" s="17"/>
      <c r="D3118" s="27"/>
      <c r="E3118" s="18"/>
      <c r="F3118" s="18"/>
      <c r="G3118" s="18"/>
      <c r="H3118" s="30" t="str">
        <f t="shared" si="336"/>
        <v/>
      </c>
      <c r="I3118" s="31" t="str">
        <f>IF(OR(B3118="",C3118=""),"",IFERROR(E3118*IF(E3118="",0,VLOOKUP(C3118,'📦 Precios Proforma'!$B$5:$D$104,IF(D3118="DIA",2,3),FALSE)),0))</f>
        <v/>
      </c>
      <c r="J3118" s="31" t="str">
        <f t="shared" si="337"/>
        <v/>
      </c>
      <c r="K3118" s="31" t="str">
        <f t="shared" si="338"/>
        <v/>
      </c>
      <c r="L3118" s="31" t="str">
        <f>IF(OR(B3118="",C3118=""),"",IFERROR(E3118 / SUMIFS('📅 Resumen Diario'!$D$5:$D$504, '📅 Resumen Diario'!$B$5:$B$504, B3118, '📅 Resumen Diario'!$C$5:$C$504, D3118) * SUMIFS('📅 Resumen Diario'!$K$5:$K$504, '📅 Resumen Diario'!$B$5:$B$504, B3118, '📅 Resumen Diario'!$C$5:$C$504, D3118), 0))</f>
        <v/>
      </c>
      <c r="M3118" s="31" t="str">
        <f t="shared" si="339"/>
        <v/>
      </c>
      <c r="N3118" s="31" t="str">
        <f t="shared" si="340"/>
        <v/>
      </c>
      <c r="O3118" s="31" t="str">
        <f>IF(OR(B3118="",C3118=""),"",K3118-N3118 + IFERROR(E3118 / SUMIFS('📅 Resumen Diario'!$D$5:$D$504, '📅 Resumen Diario'!$B$5:$B$504, B3118, '📅 Resumen Diario'!$C$5:$C$504, D3118) * (SUMIFS('📋 Detalle Diario'!$E$5:$E$489, '📋 Detalle Diario'!$B$5:$B$489, B3118, '📋 Detalle Diario'!$C$5:$C$489, D3118) * 135 + SUMIFS('📋 Detalle Diario'!$I$5:$I$489, '📋 Detalle Diario'!$B$5:$B$489, B3118, '📋 Detalle Diario'!$C$5:$C$489, D3118) * 200), 0))</f>
        <v/>
      </c>
      <c r="P3118" s="32" t="str">
        <f t="shared" si="341"/>
        <v/>
      </c>
      <c r="Q3118" s="33" t="str">
        <f t="shared" si="342"/>
        <v/>
      </c>
    </row>
    <row r="3119" spans="2:17" ht="18" customHeight="1" x14ac:dyDescent="0.3">
      <c r="B3119" s="26"/>
      <c r="C3119" s="28"/>
      <c r="D3119" s="27"/>
      <c r="E3119" s="29"/>
      <c r="F3119" s="29"/>
      <c r="G3119" s="29"/>
      <c r="H3119" s="30" t="str">
        <f t="shared" si="336"/>
        <v/>
      </c>
      <c r="I3119" s="31" t="str">
        <f>IF(OR(B3119="",C3119=""),"",IFERROR(E3119*IF(E3119="",0,VLOOKUP(C3119,'📦 Precios Proforma'!$B$5:$D$104,IF(D3119="DIA",2,3),FALSE)),0))</f>
        <v/>
      </c>
      <c r="J3119" s="31" t="str">
        <f t="shared" si="337"/>
        <v/>
      </c>
      <c r="K3119" s="31" t="str">
        <f t="shared" si="338"/>
        <v/>
      </c>
      <c r="L3119" s="31" t="str">
        <f>IF(OR(B3119="",C3119=""),"",IFERROR(E3119 / SUMIFS('📅 Resumen Diario'!$D$5:$D$504, '📅 Resumen Diario'!$B$5:$B$504, B3119, '📅 Resumen Diario'!$C$5:$C$504, D3119) * SUMIFS('📅 Resumen Diario'!$K$5:$K$504, '📅 Resumen Diario'!$B$5:$B$504, B3119, '📅 Resumen Diario'!$C$5:$C$504, D3119), 0))</f>
        <v/>
      </c>
      <c r="M3119" s="31" t="str">
        <f t="shared" si="339"/>
        <v/>
      </c>
      <c r="N3119" s="31" t="str">
        <f t="shared" si="340"/>
        <v/>
      </c>
      <c r="O3119" s="31" t="str">
        <f>IF(OR(B3119="",C3119=""),"",K3119-N3119 + IFERROR(E3119 / SUMIFS('📅 Resumen Diario'!$D$5:$D$504, '📅 Resumen Diario'!$B$5:$B$504, B3119, '📅 Resumen Diario'!$C$5:$C$504, D3119) * (SUMIFS('📋 Detalle Diario'!$E$5:$E$489, '📋 Detalle Diario'!$B$5:$B$489, B3119, '📋 Detalle Diario'!$C$5:$C$489, D3119) * 135 + SUMIFS('📋 Detalle Diario'!$I$5:$I$489, '📋 Detalle Diario'!$B$5:$B$489, B3119, '📋 Detalle Diario'!$C$5:$C$489, D3119) * 200), 0))</f>
        <v/>
      </c>
      <c r="P3119" s="32" t="str">
        <f t="shared" si="341"/>
        <v/>
      </c>
      <c r="Q3119" s="33" t="str">
        <f t="shared" si="342"/>
        <v/>
      </c>
    </row>
    <row r="3120" spans="2:17" ht="18" customHeight="1" x14ac:dyDescent="0.3">
      <c r="B3120" s="26"/>
      <c r="C3120" s="17"/>
      <c r="D3120" s="27"/>
      <c r="E3120" s="18"/>
      <c r="F3120" s="18"/>
      <c r="G3120" s="18"/>
      <c r="H3120" s="30" t="str">
        <f t="shared" si="336"/>
        <v/>
      </c>
      <c r="I3120" s="31" t="str">
        <f>IF(OR(B3120="",C3120=""),"",IFERROR(E3120*IF(E3120="",0,VLOOKUP(C3120,'📦 Precios Proforma'!$B$5:$D$104,IF(D3120="DIA",2,3),FALSE)),0))</f>
        <v/>
      </c>
      <c r="J3120" s="31" t="str">
        <f t="shared" si="337"/>
        <v/>
      </c>
      <c r="K3120" s="31" t="str">
        <f t="shared" si="338"/>
        <v/>
      </c>
      <c r="L3120" s="31" t="str">
        <f>IF(OR(B3120="",C3120=""),"",IFERROR(E3120 / SUMIFS('📅 Resumen Diario'!$D$5:$D$504, '📅 Resumen Diario'!$B$5:$B$504, B3120, '📅 Resumen Diario'!$C$5:$C$504, D3120) * SUMIFS('📅 Resumen Diario'!$K$5:$K$504, '📅 Resumen Diario'!$B$5:$B$504, B3120, '📅 Resumen Diario'!$C$5:$C$504, D3120), 0))</f>
        <v/>
      </c>
      <c r="M3120" s="31" t="str">
        <f t="shared" si="339"/>
        <v/>
      </c>
      <c r="N3120" s="31" t="str">
        <f t="shared" si="340"/>
        <v/>
      </c>
      <c r="O3120" s="31" t="str">
        <f>IF(OR(B3120="",C3120=""),"",K3120-N3120 + IFERROR(E3120 / SUMIFS('📅 Resumen Diario'!$D$5:$D$504, '📅 Resumen Diario'!$B$5:$B$504, B3120, '📅 Resumen Diario'!$C$5:$C$504, D3120) * (SUMIFS('📋 Detalle Diario'!$E$5:$E$489, '📋 Detalle Diario'!$B$5:$B$489, B3120, '📋 Detalle Diario'!$C$5:$C$489, D3120) * 135 + SUMIFS('📋 Detalle Diario'!$I$5:$I$489, '📋 Detalle Diario'!$B$5:$B$489, B3120, '📋 Detalle Diario'!$C$5:$C$489, D3120) * 200), 0))</f>
        <v/>
      </c>
      <c r="P3120" s="32" t="str">
        <f t="shared" si="341"/>
        <v/>
      </c>
      <c r="Q3120" s="33" t="str">
        <f t="shared" si="342"/>
        <v/>
      </c>
    </row>
    <row r="3121" spans="2:17" ht="18" customHeight="1" x14ac:dyDescent="0.3">
      <c r="B3121" s="26"/>
      <c r="C3121" s="28"/>
      <c r="D3121" s="27"/>
      <c r="E3121" s="29"/>
      <c r="F3121" s="29"/>
      <c r="G3121" s="29"/>
      <c r="H3121" s="30" t="str">
        <f t="shared" si="336"/>
        <v/>
      </c>
      <c r="I3121" s="31" t="str">
        <f>IF(OR(B3121="",C3121=""),"",IFERROR(E3121*IF(E3121="",0,VLOOKUP(C3121,'📦 Precios Proforma'!$B$5:$D$104,IF(D3121="DIA",2,3),FALSE)),0))</f>
        <v/>
      </c>
      <c r="J3121" s="31" t="str">
        <f t="shared" si="337"/>
        <v/>
      </c>
      <c r="K3121" s="31" t="str">
        <f t="shared" si="338"/>
        <v/>
      </c>
      <c r="L3121" s="31" t="str">
        <f>IF(OR(B3121="",C3121=""),"",IFERROR(E3121 / SUMIFS('📅 Resumen Diario'!$D$5:$D$504, '📅 Resumen Diario'!$B$5:$B$504, B3121, '📅 Resumen Diario'!$C$5:$C$504, D3121) * SUMIFS('📅 Resumen Diario'!$K$5:$K$504, '📅 Resumen Diario'!$B$5:$B$504, B3121, '📅 Resumen Diario'!$C$5:$C$504, D3121), 0))</f>
        <v/>
      </c>
      <c r="M3121" s="31" t="str">
        <f t="shared" si="339"/>
        <v/>
      </c>
      <c r="N3121" s="31" t="str">
        <f t="shared" si="340"/>
        <v/>
      </c>
      <c r="O3121" s="31" t="str">
        <f>IF(OR(B3121="",C3121=""),"",K3121-N3121 + IFERROR(E3121 / SUMIFS('📅 Resumen Diario'!$D$5:$D$504, '📅 Resumen Diario'!$B$5:$B$504, B3121, '📅 Resumen Diario'!$C$5:$C$504, D3121) * (SUMIFS('📋 Detalle Diario'!$E$5:$E$489, '📋 Detalle Diario'!$B$5:$B$489, B3121, '📋 Detalle Diario'!$C$5:$C$489, D3121) * 135 + SUMIFS('📋 Detalle Diario'!$I$5:$I$489, '📋 Detalle Diario'!$B$5:$B$489, B3121, '📋 Detalle Diario'!$C$5:$C$489, D3121) * 200), 0))</f>
        <v/>
      </c>
      <c r="P3121" s="32" t="str">
        <f t="shared" si="341"/>
        <v/>
      </c>
      <c r="Q3121" s="33" t="str">
        <f t="shared" si="342"/>
        <v/>
      </c>
    </row>
    <row r="3122" spans="2:17" ht="18" customHeight="1" x14ac:dyDescent="0.3">
      <c r="B3122" s="26"/>
      <c r="C3122" s="17"/>
      <c r="D3122" s="27"/>
      <c r="E3122" s="18"/>
      <c r="F3122" s="18"/>
      <c r="G3122" s="18"/>
      <c r="H3122" s="30" t="str">
        <f t="shared" si="336"/>
        <v/>
      </c>
      <c r="I3122" s="31" t="str">
        <f>IF(OR(B3122="",C3122=""),"",IFERROR(E3122*IF(E3122="",0,VLOOKUP(C3122,'📦 Precios Proforma'!$B$5:$D$104,IF(D3122="DIA",2,3),FALSE)),0))</f>
        <v/>
      </c>
      <c r="J3122" s="31" t="str">
        <f t="shared" si="337"/>
        <v/>
      </c>
      <c r="K3122" s="31" t="str">
        <f t="shared" si="338"/>
        <v/>
      </c>
      <c r="L3122" s="31" t="str">
        <f>IF(OR(B3122="",C3122=""),"",IFERROR(E3122 / SUMIFS('📅 Resumen Diario'!$D$5:$D$504, '📅 Resumen Diario'!$B$5:$B$504, B3122, '📅 Resumen Diario'!$C$5:$C$504, D3122) * SUMIFS('📅 Resumen Diario'!$K$5:$K$504, '📅 Resumen Diario'!$B$5:$B$504, B3122, '📅 Resumen Diario'!$C$5:$C$504, D3122), 0))</f>
        <v/>
      </c>
      <c r="M3122" s="31" t="str">
        <f t="shared" si="339"/>
        <v/>
      </c>
      <c r="N3122" s="31" t="str">
        <f t="shared" si="340"/>
        <v/>
      </c>
      <c r="O3122" s="31" t="str">
        <f>IF(OR(B3122="",C3122=""),"",K3122-N3122 + IFERROR(E3122 / SUMIFS('📅 Resumen Diario'!$D$5:$D$504, '📅 Resumen Diario'!$B$5:$B$504, B3122, '📅 Resumen Diario'!$C$5:$C$504, D3122) * (SUMIFS('📋 Detalle Diario'!$E$5:$E$489, '📋 Detalle Diario'!$B$5:$B$489, B3122, '📋 Detalle Diario'!$C$5:$C$489, D3122) * 135 + SUMIFS('📋 Detalle Diario'!$I$5:$I$489, '📋 Detalle Diario'!$B$5:$B$489, B3122, '📋 Detalle Diario'!$C$5:$C$489, D3122) * 200), 0))</f>
        <v/>
      </c>
      <c r="P3122" s="32" t="str">
        <f t="shared" si="341"/>
        <v/>
      </c>
      <c r="Q3122" s="33" t="str">
        <f t="shared" si="342"/>
        <v/>
      </c>
    </row>
    <row r="3123" spans="2:17" ht="18" customHeight="1" x14ac:dyDescent="0.3">
      <c r="B3123" s="26"/>
      <c r="C3123" s="28"/>
      <c r="D3123" s="27"/>
      <c r="E3123" s="29"/>
      <c r="F3123" s="29"/>
      <c r="G3123" s="29"/>
      <c r="H3123" s="30" t="str">
        <f t="shared" si="336"/>
        <v/>
      </c>
      <c r="I3123" s="31" t="str">
        <f>IF(OR(B3123="",C3123=""),"",IFERROR(E3123*IF(E3123="",0,VLOOKUP(C3123,'📦 Precios Proforma'!$B$5:$D$104,IF(D3123="DIA",2,3),FALSE)),0))</f>
        <v/>
      </c>
      <c r="J3123" s="31" t="str">
        <f t="shared" si="337"/>
        <v/>
      </c>
      <c r="K3123" s="31" t="str">
        <f t="shared" si="338"/>
        <v/>
      </c>
      <c r="L3123" s="31" t="str">
        <f>IF(OR(B3123="",C3123=""),"",IFERROR(E3123 / SUMIFS('📅 Resumen Diario'!$D$5:$D$504, '📅 Resumen Diario'!$B$5:$B$504, B3123, '📅 Resumen Diario'!$C$5:$C$504, D3123) * SUMIFS('📅 Resumen Diario'!$K$5:$K$504, '📅 Resumen Diario'!$B$5:$B$504, B3123, '📅 Resumen Diario'!$C$5:$C$504, D3123), 0))</f>
        <v/>
      </c>
      <c r="M3123" s="31" t="str">
        <f t="shared" si="339"/>
        <v/>
      </c>
      <c r="N3123" s="31" t="str">
        <f t="shared" si="340"/>
        <v/>
      </c>
      <c r="O3123" s="31" t="str">
        <f>IF(OR(B3123="",C3123=""),"",K3123-N3123 + IFERROR(E3123 / SUMIFS('📅 Resumen Diario'!$D$5:$D$504, '📅 Resumen Diario'!$B$5:$B$504, B3123, '📅 Resumen Diario'!$C$5:$C$504, D3123) * (SUMIFS('📋 Detalle Diario'!$E$5:$E$489, '📋 Detalle Diario'!$B$5:$B$489, B3123, '📋 Detalle Diario'!$C$5:$C$489, D3123) * 135 + SUMIFS('📋 Detalle Diario'!$I$5:$I$489, '📋 Detalle Diario'!$B$5:$B$489, B3123, '📋 Detalle Diario'!$C$5:$C$489, D3123) * 200), 0))</f>
        <v/>
      </c>
      <c r="P3123" s="32" t="str">
        <f t="shared" si="341"/>
        <v/>
      </c>
      <c r="Q3123" s="33" t="str">
        <f t="shared" si="342"/>
        <v/>
      </c>
    </row>
    <row r="3124" spans="2:17" ht="18" customHeight="1" x14ac:dyDescent="0.3">
      <c r="B3124" s="26"/>
      <c r="C3124" s="17"/>
      <c r="D3124" s="27"/>
      <c r="E3124" s="18"/>
      <c r="F3124" s="18"/>
      <c r="G3124" s="18"/>
      <c r="H3124" s="30" t="str">
        <f t="shared" si="336"/>
        <v/>
      </c>
      <c r="I3124" s="31" t="str">
        <f>IF(OR(B3124="",C3124=""),"",IFERROR(E3124*IF(E3124="",0,VLOOKUP(C3124,'📦 Precios Proforma'!$B$5:$D$104,IF(D3124="DIA",2,3),FALSE)),0))</f>
        <v/>
      </c>
      <c r="J3124" s="31" t="str">
        <f t="shared" si="337"/>
        <v/>
      </c>
      <c r="K3124" s="31" t="str">
        <f t="shared" si="338"/>
        <v/>
      </c>
      <c r="L3124" s="31" t="str">
        <f>IF(OR(B3124="",C3124=""),"",IFERROR(E3124 / SUMIFS('📅 Resumen Diario'!$D$5:$D$504, '📅 Resumen Diario'!$B$5:$B$504, B3124, '📅 Resumen Diario'!$C$5:$C$504, D3124) * SUMIFS('📅 Resumen Diario'!$K$5:$K$504, '📅 Resumen Diario'!$B$5:$B$504, B3124, '📅 Resumen Diario'!$C$5:$C$504, D3124), 0))</f>
        <v/>
      </c>
      <c r="M3124" s="31" t="str">
        <f t="shared" si="339"/>
        <v/>
      </c>
      <c r="N3124" s="31" t="str">
        <f t="shared" si="340"/>
        <v/>
      </c>
      <c r="O3124" s="31" t="str">
        <f>IF(OR(B3124="",C3124=""),"",K3124-N3124 + IFERROR(E3124 / SUMIFS('📅 Resumen Diario'!$D$5:$D$504, '📅 Resumen Diario'!$B$5:$B$504, B3124, '📅 Resumen Diario'!$C$5:$C$504, D3124) * (SUMIFS('📋 Detalle Diario'!$E$5:$E$489, '📋 Detalle Diario'!$B$5:$B$489, B3124, '📋 Detalle Diario'!$C$5:$C$489, D3124) * 135 + SUMIFS('📋 Detalle Diario'!$I$5:$I$489, '📋 Detalle Diario'!$B$5:$B$489, B3124, '📋 Detalle Diario'!$C$5:$C$489, D3124) * 200), 0))</f>
        <v/>
      </c>
      <c r="P3124" s="32" t="str">
        <f t="shared" si="341"/>
        <v/>
      </c>
      <c r="Q3124" s="33" t="str">
        <f t="shared" si="342"/>
        <v/>
      </c>
    </row>
    <row r="3125" spans="2:17" ht="18" customHeight="1" x14ac:dyDescent="0.3">
      <c r="B3125" s="26"/>
      <c r="C3125" s="28"/>
      <c r="D3125" s="27"/>
      <c r="E3125" s="29"/>
      <c r="F3125" s="29"/>
      <c r="G3125" s="29"/>
      <c r="H3125" s="30" t="str">
        <f t="shared" si="336"/>
        <v/>
      </c>
      <c r="I3125" s="31" t="str">
        <f>IF(OR(B3125="",C3125=""),"",IFERROR(E3125*IF(E3125="",0,VLOOKUP(C3125,'📦 Precios Proforma'!$B$5:$D$104,IF(D3125="DIA",2,3),FALSE)),0))</f>
        <v/>
      </c>
      <c r="J3125" s="31" t="str">
        <f t="shared" si="337"/>
        <v/>
      </c>
      <c r="K3125" s="31" t="str">
        <f t="shared" si="338"/>
        <v/>
      </c>
      <c r="L3125" s="31" t="str">
        <f>IF(OR(B3125="",C3125=""),"",IFERROR(E3125 / SUMIFS('📅 Resumen Diario'!$D$5:$D$504, '📅 Resumen Diario'!$B$5:$B$504, B3125, '📅 Resumen Diario'!$C$5:$C$504, D3125) * SUMIFS('📅 Resumen Diario'!$K$5:$K$504, '📅 Resumen Diario'!$B$5:$B$504, B3125, '📅 Resumen Diario'!$C$5:$C$504, D3125), 0))</f>
        <v/>
      </c>
      <c r="M3125" s="31" t="str">
        <f t="shared" si="339"/>
        <v/>
      </c>
      <c r="N3125" s="31" t="str">
        <f t="shared" si="340"/>
        <v/>
      </c>
      <c r="O3125" s="31" t="str">
        <f>IF(OR(B3125="",C3125=""),"",K3125-N3125 + IFERROR(E3125 / SUMIFS('📅 Resumen Diario'!$D$5:$D$504, '📅 Resumen Diario'!$B$5:$B$504, B3125, '📅 Resumen Diario'!$C$5:$C$504, D3125) * (SUMIFS('📋 Detalle Diario'!$E$5:$E$489, '📋 Detalle Diario'!$B$5:$B$489, B3125, '📋 Detalle Diario'!$C$5:$C$489, D3125) * 135 + SUMIFS('📋 Detalle Diario'!$I$5:$I$489, '📋 Detalle Diario'!$B$5:$B$489, B3125, '📋 Detalle Diario'!$C$5:$C$489, D3125) * 200), 0))</f>
        <v/>
      </c>
      <c r="P3125" s="32" t="str">
        <f t="shared" si="341"/>
        <v/>
      </c>
      <c r="Q3125" s="33" t="str">
        <f t="shared" si="342"/>
        <v/>
      </c>
    </row>
    <row r="3126" spans="2:17" ht="18" customHeight="1" x14ac:dyDescent="0.3">
      <c r="B3126" s="26"/>
      <c r="C3126" s="17"/>
      <c r="D3126" s="27"/>
      <c r="E3126" s="18"/>
      <c r="F3126" s="18"/>
      <c r="G3126" s="18"/>
      <c r="H3126" s="30" t="str">
        <f t="shared" si="336"/>
        <v/>
      </c>
      <c r="I3126" s="31" t="str">
        <f>IF(OR(B3126="",C3126=""),"",IFERROR(E3126*IF(E3126="",0,VLOOKUP(C3126,'📦 Precios Proforma'!$B$5:$D$104,IF(D3126="DIA",2,3),FALSE)),0))</f>
        <v/>
      </c>
      <c r="J3126" s="31" t="str">
        <f t="shared" si="337"/>
        <v/>
      </c>
      <c r="K3126" s="31" t="str">
        <f t="shared" si="338"/>
        <v/>
      </c>
      <c r="L3126" s="31" t="str">
        <f>IF(OR(B3126="",C3126=""),"",IFERROR(E3126 / SUMIFS('📅 Resumen Diario'!$D$5:$D$504, '📅 Resumen Diario'!$B$5:$B$504, B3126, '📅 Resumen Diario'!$C$5:$C$504, D3126) * SUMIFS('📅 Resumen Diario'!$K$5:$K$504, '📅 Resumen Diario'!$B$5:$B$504, B3126, '📅 Resumen Diario'!$C$5:$C$504, D3126), 0))</f>
        <v/>
      </c>
      <c r="M3126" s="31" t="str">
        <f t="shared" si="339"/>
        <v/>
      </c>
      <c r="N3126" s="31" t="str">
        <f t="shared" si="340"/>
        <v/>
      </c>
      <c r="O3126" s="31" t="str">
        <f>IF(OR(B3126="",C3126=""),"",K3126-N3126 + IFERROR(E3126 / SUMIFS('📅 Resumen Diario'!$D$5:$D$504, '📅 Resumen Diario'!$B$5:$B$504, B3126, '📅 Resumen Diario'!$C$5:$C$504, D3126) * (SUMIFS('📋 Detalle Diario'!$E$5:$E$489, '📋 Detalle Diario'!$B$5:$B$489, B3126, '📋 Detalle Diario'!$C$5:$C$489, D3126) * 135 + SUMIFS('📋 Detalle Diario'!$I$5:$I$489, '📋 Detalle Diario'!$B$5:$B$489, B3126, '📋 Detalle Diario'!$C$5:$C$489, D3126) * 200), 0))</f>
        <v/>
      </c>
      <c r="P3126" s="32" t="str">
        <f t="shared" si="341"/>
        <v/>
      </c>
      <c r="Q3126" s="33" t="str">
        <f t="shared" si="342"/>
        <v/>
      </c>
    </row>
    <row r="3127" spans="2:17" ht="18" customHeight="1" x14ac:dyDescent="0.3">
      <c r="B3127" s="26"/>
      <c r="C3127" s="28"/>
      <c r="D3127" s="27"/>
      <c r="E3127" s="29"/>
      <c r="F3127" s="29"/>
      <c r="G3127" s="29"/>
      <c r="H3127" s="30" t="str">
        <f t="shared" si="336"/>
        <v/>
      </c>
      <c r="I3127" s="31" t="str">
        <f>IF(OR(B3127="",C3127=""),"",IFERROR(E3127*IF(E3127="",0,VLOOKUP(C3127,'📦 Precios Proforma'!$B$5:$D$104,IF(D3127="DIA",2,3),FALSE)),0))</f>
        <v/>
      </c>
      <c r="J3127" s="31" t="str">
        <f t="shared" si="337"/>
        <v/>
      </c>
      <c r="K3127" s="31" t="str">
        <f t="shared" si="338"/>
        <v/>
      </c>
      <c r="L3127" s="31" t="str">
        <f>IF(OR(B3127="",C3127=""),"",IFERROR(E3127 / SUMIFS('📅 Resumen Diario'!$D$5:$D$504, '📅 Resumen Diario'!$B$5:$B$504, B3127, '📅 Resumen Diario'!$C$5:$C$504, D3127) * SUMIFS('📅 Resumen Diario'!$K$5:$K$504, '📅 Resumen Diario'!$B$5:$B$504, B3127, '📅 Resumen Diario'!$C$5:$C$504, D3127), 0))</f>
        <v/>
      </c>
      <c r="M3127" s="31" t="str">
        <f t="shared" si="339"/>
        <v/>
      </c>
      <c r="N3127" s="31" t="str">
        <f t="shared" si="340"/>
        <v/>
      </c>
      <c r="O3127" s="31" t="str">
        <f>IF(OR(B3127="",C3127=""),"",K3127-N3127 + IFERROR(E3127 / SUMIFS('📅 Resumen Diario'!$D$5:$D$504, '📅 Resumen Diario'!$B$5:$B$504, B3127, '📅 Resumen Diario'!$C$5:$C$504, D3127) * (SUMIFS('📋 Detalle Diario'!$E$5:$E$489, '📋 Detalle Diario'!$B$5:$B$489, B3127, '📋 Detalle Diario'!$C$5:$C$489, D3127) * 135 + SUMIFS('📋 Detalle Diario'!$I$5:$I$489, '📋 Detalle Diario'!$B$5:$B$489, B3127, '📋 Detalle Diario'!$C$5:$C$489, D3127) * 200), 0))</f>
        <v/>
      </c>
      <c r="P3127" s="32" t="str">
        <f t="shared" si="341"/>
        <v/>
      </c>
      <c r="Q3127" s="33" t="str">
        <f t="shared" si="342"/>
        <v/>
      </c>
    </row>
    <row r="3128" spans="2:17" ht="18" customHeight="1" x14ac:dyDescent="0.3">
      <c r="B3128" s="26"/>
      <c r="C3128" s="17"/>
      <c r="D3128" s="27"/>
      <c r="E3128" s="18"/>
      <c r="F3128" s="18"/>
      <c r="G3128" s="18"/>
      <c r="H3128" s="30" t="str">
        <f t="shared" si="336"/>
        <v/>
      </c>
      <c r="I3128" s="31" t="str">
        <f>IF(OR(B3128="",C3128=""),"",IFERROR(E3128*IF(E3128="",0,VLOOKUP(C3128,'📦 Precios Proforma'!$B$5:$D$104,IF(D3128="DIA",2,3),FALSE)),0))</f>
        <v/>
      </c>
      <c r="J3128" s="31" t="str">
        <f t="shared" si="337"/>
        <v/>
      </c>
      <c r="K3128" s="31" t="str">
        <f t="shared" si="338"/>
        <v/>
      </c>
      <c r="L3128" s="31" t="str">
        <f>IF(OR(B3128="",C3128=""),"",IFERROR(E3128 / SUMIFS('📅 Resumen Diario'!$D$5:$D$504, '📅 Resumen Diario'!$B$5:$B$504, B3128, '📅 Resumen Diario'!$C$5:$C$504, D3128) * SUMIFS('📅 Resumen Diario'!$K$5:$K$504, '📅 Resumen Diario'!$B$5:$B$504, B3128, '📅 Resumen Diario'!$C$5:$C$504, D3128), 0))</f>
        <v/>
      </c>
      <c r="M3128" s="31" t="str">
        <f t="shared" si="339"/>
        <v/>
      </c>
      <c r="N3128" s="31" t="str">
        <f t="shared" si="340"/>
        <v/>
      </c>
      <c r="O3128" s="31" t="str">
        <f>IF(OR(B3128="",C3128=""),"",K3128-N3128 + IFERROR(E3128 / SUMIFS('📅 Resumen Diario'!$D$5:$D$504, '📅 Resumen Diario'!$B$5:$B$504, B3128, '📅 Resumen Diario'!$C$5:$C$504, D3128) * (SUMIFS('📋 Detalle Diario'!$E$5:$E$489, '📋 Detalle Diario'!$B$5:$B$489, B3128, '📋 Detalle Diario'!$C$5:$C$489, D3128) * 135 + SUMIFS('📋 Detalle Diario'!$I$5:$I$489, '📋 Detalle Diario'!$B$5:$B$489, B3128, '📋 Detalle Diario'!$C$5:$C$489, D3128) * 200), 0))</f>
        <v/>
      </c>
      <c r="P3128" s="32" t="str">
        <f t="shared" si="341"/>
        <v/>
      </c>
      <c r="Q3128" s="33" t="str">
        <f t="shared" si="342"/>
        <v/>
      </c>
    </row>
    <row r="3129" spans="2:17" ht="18" customHeight="1" x14ac:dyDescent="0.3">
      <c r="B3129" s="26"/>
      <c r="C3129" s="28"/>
      <c r="D3129" s="27"/>
      <c r="E3129" s="29"/>
      <c r="F3129" s="29"/>
      <c r="G3129" s="29"/>
      <c r="H3129" s="30" t="str">
        <f t="shared" si="336"/>
        <v/>
      </c>
      <c r="I3129" s="31" t="str">
        <f>IF(OR(B3129="",C3129=""),"",IFERROR(E3129*IF(E3129="",0,VLOOKUP(C3129,'📦 Precios Proforma'!$B$5:$D$104,IF(D3129="DIA",2,3),FALSE)),0))</f>
        <v/>
      </c>
      <c r="J3129" s="31" t="str">
        <f t="shared" si="337"/>
        <v/>
      </c>
      <c r="K3129" s="31" t="str">
        <f t="shared" si="338"/>
        <v/>
      </c>
      <c r="L3129" s="31" t="str">
        <f>IF(OR(B3129="",C3129=""),"",IFERROR(E3129 / SUMIFS('📅 Resumen Diario'!$D$5:$D$504, '📅 Resumen Diario'!$B$5:$B$504, B3129, '📅 Resumen Diario'!$C$5:$C$504, D3129) * SUMIFS('📅 Resumen Diario'!$K$5:$K$504, '📅 Resumen Diario'!$B$5:$B$504, B3129, '📅 Resumen Diario'!$C$5:$C$504, D3129), 0))</f>
        <v/>
      </c>
      <c r="M3129" s="31" t="str">
        <f t="shared" si="339"/>
        <v/>
      </c>
      <c r="N3129" s="31" t="str">
        <f t="shared" si="340"/>
        <v/>
      </c>
      <c r="O3129" s="31" t="str">
        <f>IF(OR(B3129="",C3129=""),"",K3129-N3129 + IFERROR(E3129 / SUMIFS('📅 Resumen Diario'!$D$5:$D$504, '📅 Resumen Diario'!$B$5:$B$504, B3129, '📅 Resumen Diario'!$C$5:$C$504, D3129) * (SUMIFS('📋 Detalle Diario'!$E$5:$E$489, '📋 Detalle Diario'!$B$5:$B$489, B3129, '📋 Detalle Diario'!$C$5:$C$489, D3129) * 135 + SUMIFS('📋 Detalle Diario'!$I$5:$I$489, '📋 Detalle Diario'!$B$5:$B$489, B3129, '📋 Detalle Diario'!$C$5:$C$489, D3129) * 200), 0))</f>
        <v/>
      </c>
      <c r="P3129" s="32" t="str">
        <f t="shared" si="341"/>
        <v/>
      </c>
      <c r="Q3129" s="33" t="str">
        <f t="shared" si="342"/>
        <v/>
      </c>
    </row>
    <row r="3130" spans="2:17" ht="18" customHeight="1" x14ac:dyDescent="0.3">
      <c r="B3130" s="26"/>
      <c r="C3130" s="17"/>
      <c r="D3130" s="27"/>
      <c r="E3130" s="18"/>
      <c r="F3130" s="18"/>
      <c r="G3130" s="18"/>
      <c r="H3130" s="30" t="str">
        <f t="shared" si="336"/>
        <v/>
      </c>
      <c r="I3130" s="31" t="str">
        <f>IF(OR(B3130="",C3130=""),"",IFERROR(E3130*IF(E3130="",0,VLOOKUP(C3130,'📦 Precios Proforma'!$B$5:$D$104,IF(D3130="DIA",2,3),FALSE)),0))</f>
        <v/>
      </c>
      <c r="J3130" s="31" t="str">
        <f t="shared" si="337"/>
        <v/>
      </c>
      <c r="K3130" s="31" t="str">
        <f t="shared" si="338"/>
        <v/>
      </c>
      <c r="L3130" s="31" t="str">
        <f>IF(OR(B3130="",C3130=""),"",IFERROR(E3130 / SUMIFS('📅 Resumen Diario'!$D$5:$D$504, '📅 Resumen Diario'!$B$5:$B$504, B3130, '📅 Resumen Diario'!$C$5:$C$504, D3130) * SUMIFS('📅 Resumen Diario'!$K$5:$K$504, '📅 Resumen Diario'!$B$5:$B$504, B3130, '📅 Resumen Diario'!$C$5:$C$504, D3130), 0))</f>
        <v/>
      </c>
      <c r="M3130" s="31" t="str">
        <f t="shared" si="339"/>
        <v/>
      </c>
      <c r="N3130" s="31" t="str">
        <f t="shared" si="340"/>
        <v/>
      </c>
      <c r="O3130" s="31" t="str">
        <f>IF(OR(B3130="",C3130=""),"",K3130-N3130 + IFERROR(E3130 / SUMIFS('📅 Resumen Diario'!$D$5:$D$504, '📅 Resumen Diario'!$B$5:$B$504, B3130, '📅 Resumen Diario'!$C$5:$C$504, D3130) * (SUMIFS('📋 Detalle Diario'!$E$5:$E$489, '📋 Detalle Diario'!$B$5:$B$489, B3130, '📋 Detalle Diario'!$C$5:$C$489, D3130) * 135 + SUMIFS('📋 Detalle Diario'!$I$5:$I$489, '📋 Detalle Diario'!$B$5:$B$489, B3130, '📋 Detalle Diario'!$C$5:$C$489, D3130) * 200), 0))</f>
        <v/>
      </c>
      <c r="P3130" s="32" t="str">
        <f t="shared" si="341"/>
        <v/>
      </c>
      <c r="Q3130" s="33" t="str">
        <f t="shared" si="342"/>
        <v/>
      </c>
    </row>
    <row r="3131" spans="2:17" ht="18" customHeight="1" x14ac:dyDescent="0.3">
      <c r="B3131" s="26"/>
      <c r="C3131" s="28"/>
      <c r="D3131" s="27"/>
      <c r="E3131" s="29"/>
      <c r="F3131" s="29"/>
      <c r="G3131" s="29"/>
      <c r="H3131" s="30" t="str">
        <f t="shared" si="336"/>
        <v/>
      </c>
      <c r="I3131" s="31" t="str">
        <f>IF(OR(B3131="",C3131=""),"",IFERROR(E3131*IF(E3131="",0,VLOOKUP(C3131,'📦 Precios Proforma'!$B$5:$D$104,IF(D3131="DIA",2,3),FALSE)),0))</f>
        <v/>
      </c>
      <c r="J3131" s="31" t="str">
        <f t="shared" si="337"/>
        <v/>
      </c>
      <c r="K3131" s="31" t="str">
        <f t="shared" si="338"/>
        <v/>
      </c>
      <c r="L3131" s="31" t="str">
        <f>IF(OR(B3131="",C3131=""),"",IFERROR(E3131 / SUMIFS('📅 Resumen Diario'!$D$5:$D$504, '📅 Resumen Diario'!$B$5:$B$504, B3131, '📅 Resumen Diario'!$C$5:$C$504, D3131) * SUMIFS('📅 Resumen Diario'!$K$5:$K$504, '📅 Resumen Diario'!$B$5:$B$504, B3131, '📅 Resumen Diario'!$C$5:$C$504, D3131), 0))</f>
        <v/>
      </c>
      <c r="M3131" s="31" t="str">
        <f t="shared" si="339"/>
        <v/>
      </c>
      <c r="N3131" s="31" t="str">
        <f t="shared" si="340"/>
        <v/>
      </c>
      <c r="O3131" s="31" t="str">
        <f>IF(OR(B3131="",C3131=""),"",K3131-N3131 + IFERROR(E3131 / SUMIFS('📅 Resumen Diario'!$D$5:$D$504, '📅 Resumen Diario'!$B$5:$B$504, B3131, '📅 Resumen Diario'!$C$5:$C$504, D3131) * (SUMIFS('📋 Detalle Diario'!$E$5:$E$489, '📋 Detalle Diario'!$B$5:$B$489, B3131, '📋 Detalle Diario'!$C$5:$C$489, D3131) * 135 + SUMIFS('📋 Detalle Diario'!$I$5:$I$489, '📋 Detalle Diario'!$B$5:$B$489, B3131, '📋 Detalle Diario'!$C$5:$C$489, D3131) * 200), 0))</f>
        <v/>
      </c>
      <c r="P3131" s="32" t="str">
        <f t="shared" si="341"/>
        <v/>
      </c>
      <c r="Q3131" s="33" t="str">
        <f t="shared" si="342"/>
        <v/>
      </c>
    </row>
    <row r="3132" spans="2:17" ht="18" customHeight="1" x14ac:dyDescent="0.3">
      <c r="B3132" s="26"/>
      <c r="C3132" s="17"/>
      <c r="D3132" s="27"/>
      <c r="E3132" s="18"/>
      <c r="F3132" s="18"/>
      <c r="G3132" s="18"/>
      <c r="H3132" s="30" t="str">
        <f t="shared" si="336"/>
        <v/>
      </c>
      <c r="I3132" s="31" t="str">
        <f>IF(OR(B3132="",C3132=""),"",IFERROR(E3132*IF(E3132="",0,VLOOKUP(C3132,'📦 Precios Proforma'!$B$5:$D$104,IF(D3132="DIA",2,3),FALSE)),0))</f>
        <v/>
      </c>
      <c r="J3132" s="31" t="str">
        <f t="shared" si="337"/>
        <v/>
      </c>
      <c r="K3132" s="31" t="str">
        <f t="shared" si="338"/>
        <v/>
      </c>
      <c r="L3132" s="31" t="str">
        <f>IF(OR(B3132="",C3132=""),"",IFERROR(E3132 / SUMIFS('📅 Resumen Diario'!$D$5:$D$504, '📅 Resumen Diario'!$B$5:$B$504, B3132, '📅 Resumen Diario'!$C$5:$C$504, D3132) * SUMIFS('📅 Resumen Diario'!$K$5:$K$504, '📅 Resumen Diario'!$B$5:$B$504, B3132, '📅 Resumen Diario'!$C$5:$C$504, D3132), 0))</f>
        <v/>
      </c>
      <c r="M3132" s="31" t="str">
        <f t="shared" si="339"/>
        <v/>
      </c>
      <c r="N3132" s="31" t="str">
        <f t="shared" si="340"/>
        <v/>
      </c>
      <c r="O3132" s="31" t="str">
        <f>IF(OR(B3132="",C3132=""),"",K3132-N3132 + IFERROR(E3132 / SUMIFS('📅 Resumen Diario'!$D$5:$D$504, '📅 Resumen Diario'!$B$5:$B$504, B3132, '📅 Resumen Diario'!$C$5:$C$504, D3132) * (SUMIFS('📋 Detalle Diario'!$E$5:$E$489, '📋 Detalle Diario'!$B$5:$B$489, B3132, '📋 Detalle Diario'!$C$5:$C$489, D3132) * 135 + SUMIFS('📋 Detalle Diario'!$I$5:$I$489, '📋 Detalle Diario'!$B$5:$B$489, B3132, '📋 Detalle Diario'!$C$5:$C$489, D3132) * 200), 0))</f>
        <v/>
      </c>
      <c r="P3132" s="32" t="str">
        <f t="shared" si="341"/>
        <v/>
      </c>
      <c r="Q3132" s="33" t="str">
        <f t="shared" si="342"/>
        <v/>
      </c>
    </row>
    <row r="3133" spans="2:17" ht="18" customHeight="1" x14ac:dyDescent="0.3">
      <c r="B3133" s="26"/>
      <c r="C3133" s="28"/>
      <c r="D3133" s="27"/>
      <c r="E3133" s="29"/>
      <c r="F3133" s="29"/>
      <c r="G3133" s="29"/>
      <c r="H3133" s="30" t="str">
        <f t="shared" si="336"/>
        <v/>
      </c>
      <c r="I3133" s="31" t="str">
        <f>IF(OR(B3133="",C3133=""),"",IFERROR(E3133*IF(E3133="",0,VLOOKUP(C3133,'📦 Precios Proforma'!$B$5:$D$104,IF(D3133="DIA",2,3),FALSE)),0))</f>
        <v/>
      </c>
      <c r="J3133" s="31" t="str">
        <f t="shared" si="337"/>
        <v/>
      </c>
      <c r="K3133" s="31" t="str">
        <f t="shared" si="338"/>
        <v/>
      </c>
      <c r="L3133" s="31" t="str">
        <f>IF(OR(B3133="",C3133=""),"",IFERROR(E3133 / SUMIFS('📅 Resumen Diario'!$D$5:$D$504, '📅 Resumen Diario'!$B$5:$B$504, B3133, '📅 Resumen Diario'!$C$5:$C$504, D3133) * SUMIFS('📅 Resumen Diario'!$K$5:$K$504, '📅 Resumen Diario'!$B$5:$B$504, B3133, '📅 Resumen Diario'!$C$5:$C$504, D3133), 0))</f>
        <v/>
      </c>
      <c r="M3133" s="31" t="str">
        <f t="shared" si="339"/>
        <v/>
      </c>
      <c r="N3133" s="31" t="str">
        <f t="shared" si="340"/>
        <v/>
      </c>
      <c r="O3133" s="31" t="str">
        <f>IF(OR(B3133="",C3133=""),"",K3133-N3133 + IFERROR(E3133 / SUMIFS('📅 Resumen Diario'!$D$5:$D$504, '📅 Resumen Diario'!$B$5:$B$504, B3133, '📅 Resumen Diario'!$C$5:$C$504, D3133) * (SUMIFS('📋 Detalle Diario'!$E$5:$E$489, '📋 Detalle Diario'!$B$5:$B$489, B3133, '📋 Detalle Diario'!$C$5:$C$489, D3133) * 135 + SUMIFS('📋 Detalle Diario'!$I$5:$I$489, '📋 Detalle Diario'!$B$5:$B$489, B3133, '📋 Detalle Diario'!$C$5:$C$489, D3133) * 200), 0))</f>
        <v/>
      </c>
      <c r="P3133" s="32" t="str">
        <f t="shared" si="341"/>
        <v/>
      </c>
      <c r="Q3133" s="33" t="str">
        <f t="shared" si="342"/>
        <v/>
      </c>
    </row>
    <row r="3134" spans="2:17" ht="18" customHeight="1" x14ac:dyDescent="0.3">
      <c r="B3134" s="26"/>
      <c r="C3134" s="17"/>
      <c r="D3134" s="27"/>
      <c r="E3134" s="18"/>
      <c r="F3134" s="18"/>
      <c r="G3134" s="18"/>
      <c r="H3134" s="30" t="str">
        <f t="shared" si="336"/>
        <v/>
      </c>
      <c r="I3134" s="31" t="str">
        <f>IF(OR(B3134="",C3134=""),"",IFERROR(E3134*IF(E3134="",0,VLOOKUP(C3134,'📦 Precios Proforma'!$B$5:$D$104,IF(D3134="DIA",2,3),FALSE)),0))</f>
        <v/>
      </c>
      <c r="J3134" s="31" t="str">
        <f t="shared" si="337"/>
        <v/>
      </c>
      <c r="K3134" s="31" t="str">
        <f t="shared" si="338"/>
        <v/>
      </c>
      <c r="L3134" s="31" t="str">
        <f>IF(OR(B3134="",C3134=""),"",IFERROR(E3134 / SUMIFS('📅 Resumen Diario'!$D$5:$D$504, '📅 Resumen Diario'!$B$5:$B$504, B3134, '📅 Resumen Diario'!$C$5:$C$504, D3134) * SUMIFS('📅 Resumen Diario'!$K$5:$K$504, '📅 Resumen Diario'!$B$5:$B$504, B3134, '📅 Resumen Diario'!$C$5:$C$504, D3134), 0))</f>
        <v/>
      </c>
      <c r="M3134" s="31" t="str">
        <f t="shared" si="339"/>
        <v/>
      </c>
      <c r="N3134" s="31" t="str">
        <f t="shared" si="340"/>
        <v/>
      </c>
      <c r="O3134" s="31" t="str">
        <f>IF(OR(B3134="",C3134=""),"",K3134-N3134 + IFERROR(E3134 / SUMIFS('📅 Resumen Diario'!$D$5:$D$504, '📅 Resumen Diario'!$B$5:$B$504, B3134, '📅 Resumen Diario'!$C$5:$C$504, D3134) * (SUMIFS('📋 Detalle Diario'!$E$5:$E$489, '📋 Detalle Diario'!$B$5:$B$489, B3134, '📋 Detalle Diario'!$C$5:$C$489, D3134) * 135 + SUMIFS('📋 Detalle Diario'!$I$5:$I$489, '📋 Detalle Diario'!$B$5:$B$489, B3134, '📋 Detalle Diario'!$C$5:$C$489, D3134) * 200), 0))</f>
        <v/>
      </c>
      <c r="P3134" s="32" t="str">
        <f t="shared" si="341"/>
        <v/>
      </c>
      <c r="Q3134" s="33" t="str">
        <f t="shared" si="342"/>
        <v/>
      </c>
    </row>
    <row r="3135" spans="2:17" ht="18" customHeight="1" x14ac:dyDescent="0.3">
      <c r="B3135" s="26"/>
      <c r="C3135" s="28"/>
      <c r="D3135" s="27"/>
      <c r="E3135" s="29"/>
      <c r="F3135" s="29"/>
      <c r="G3135" s="29"/>
      <c r="H3135" s="30" t="str">
        <f t="shared" si="336"/>
        <v/>
      </c>
      <c r="I3135" s="31" t="str">
        <f>IF(OR(B3135="",C3135=""),"",IFERROR(E3135*IF(E3135="",0,VLOOKUP(C3135,'📦 Precios Proforma'!$B$5:$D$104,IF(D3135="DIA",2,3),FALSE)),0))</f>
        <v/>
      </c>
      <c r="J3135" s="31" t="str">
        <f t="shared" si="337"/>
        <v/>
      </c>
      <c r="K3135" s="31" t="str">
        <f t="shared" si="338"/>
        <v/>
      </c>
      <c r="L3135" s="31" t="str">
        <f>IF(OR(B3135="",C3135=""),"",IFERROR(E3135 / SUMIFS('📅 Resumen Diario'!$D$5:$D$504, '📅 Resumen Diario'!$B$5:$B$504, B3135, '📅 Resumen Diario'!$C$5:$C$504, D3135) * SUMIFS('📅 Resumen Diario'!$K$5:$K$504, '📅 Resumen Diario'!$B$5:$B$504, B3135, '📅 Resumen Diario'!$C$5:$C$504, D3135), 0))</f>
        <v/>
      </c>
      <c r="M3135" s="31" t="str">
        <f t="shared" si="339"/>
        <v/>
      </c>
      <c r="N3135" s="31" t="str">
        <f t="shared" si="340"/>
        <v/>
      </c>
      <c r="O3135" s="31" t="str">
        <f>IF(OR(B3135="",C3135=""),"",K3135-N3135 + IFERROR(E3135 / SUMIFS('📅 Resumen Diario'!$D$5:$D$504, '📅 Resumen Diario'!$B$5:$B$504, B3135, '📅 Resumen Diario'!$C$5:$C$504, D3135) * (SUMIFS('📋 Detalle Diario'!$E$5:$E$489, '📋 Detalle Diario'!$B$5:$B$489, B3135, '📋 Detalle Diario'!$C$5:$C$489, D3135) * 135 + SUMIFS('📋 Detalle Diario'!$I$5:$I$489, '📋 Detalle Diario'!$B$5:$B$489, B3135, '📋 Detalle Diario'!$C$5:$C$489, D3135) * 200), 0))</f>
        <v/>
      </c>
      <c r="P3135" s="32" t="str">
        <f t="shared" si="341"/>
        <v/>
      </c>
      <c r="Q3135" s="33" t="str">
        <f t="shared" si="342"/>
        <v/>
      </c>
    </row>
    <row r="3136" spans="2:17" ht="18" customHeight="1" x14ac:dyDescent="0.3">
      <c r="B3136" s="26"/>
      <c r="C3136" s="17"/>
      <c r="D3136" s="27"/>
      <c r="E3136" s="18"/>
      <c r="F3136" s="18"/>
      <c r="G3136" s="18"/>
      <c r="H3136" s="30" t="str">
        <f t="shared" si="336"/>
        <v/>
      </c>
      <c r="I3136" s="31" t="str">
        <f>IF(OR(B3136="",C3136=""),"",IFERROR(E3136*IF(E3136="",0,VLOOKUP(C3136,'📦 Precios Proforma'!$B$5:$D$104,IF(D3136="DIA",2,3),FALSE)),0))</f>
        <v/>
      </c>
      <c r="J3136" s="31" t="str">
        <f t="shared" si="337"/>
        <v/>
      </c>
      <c r="K3136" s="31" t="str">
        <f t="shared" si="338"/>
        <v/>
      </c>
      <c r="L3136" s="31" t="str">
        <f>IF(OR(B3136="",C3136=""),"",IFERROR(E3136 / SUMIFS('📅 Resumen Diario'!$D$5:$D$504, '📅 Resumen Diario'!$B$5:$B$504, B3136, '📅 Resumen Diario'!$C$5:$C$504, D3136) * SUMIFS('📅 Resumen Diario'!$K$5:$K$504, '📅 Resumen Diario'!$B$5:$B$504, B3136, '📅 Resumen Diario'!$C$5:$C$504, D3136), 0))</f>
        <v/>
      </c>
      <c r="M3136" s="31" t="str">
        <f t="shared" si="339"/>
        <v/>
      </c>
      <c r="N3136" s="31" t="str">
        <f t="shared" si="340"/>
        <v/>
      </c>
      <c r="O3136" s="31" t="str">
        <f>IF(OR(B3136="",C3136=""),"",K3136-N3136 + IFERROR(E3136 / SUMIFS('📅 Resumen Diario'!$D$5:$D$504, '📅 Resumen Diario'!$B$5:$B$504, B3136, '📅 Resumen Diario'!$C$5:$C$504, D3136) * (SUMIFS('📋 Detalle Diario'!$E$5:$E$489, '📋 Detalle Diario'!$B$5:$B$489, B3136, '📋 Detalle Diario'!$C$5:$C$489, D3136) * 135 + SUMIFS('📋 Detalle Diario'!$I$5:$I$489, '📋 Detalle Diario'!$B$5:$B$489, B3136, '📋 Detalle Diario'!$C$5:$C$489, D3136) * 200), 0))</f>
        <v/>
      </c>
      <c r="P3136" s="32" t="str">
        <f t="shared" si="341"/>
        <v/>
      </c>
      <c r="Q3136" s="33" t="str">
        <f t="shared" si="342"/>
        <v/>
      </c>
    </row>
    <row r="3137" spans="2:17" ht="18" customHeight="1" x14ac:dyDescent="0.3">
      <c r="B3137" s="26"/>
      <c r="C3137" s="28"/>
      <c r="D3137" s="27"/>
      <c r="E3137" s="29"/>
      <c r="F3137" s="29"/>
      <c r="G3137" s="29"/>
      <c r="H3137" s="30" t="str">
        <f t="shared" si="336"/>
        <v/>
      </c>
      <c r="I3137" s="31" t="str">
        <f>IF(OR(B3137="",C3137=""),"",IFERROR(E3137*IF(E3137="",0,VLOOKUP(C3137,'📦 Precios Proforma'!$B$5:$D$104,IF(D3137="DIA",2,3),FALSE)),0))</f>
        <v/>
      </c>
      <c r="J3137" s="31" t="str">
        <f t="shared" si="337"/>
        <v/>
      </c>
      <c r="K3137" s="31" t="str">
        <f t="shared" si="338"/>
        <v/>
      </c>
      <c r="L3137" s="31" t="str">
        <f>IF(OR(B3137="",C3137=""),"",IFERROR(E3137 / SUMIFS('📅 Resumen Diario'!$D$5:$D$504, '📅 Resumen Diario'!$B$5:$B$504, B3137, '📅 Resumen Diario'!$C$5:$C$504, D3137) * SUMIFS('📅 Resumen Diario'!$K$5:$K$504, '📅 Resumen Diario'!$B$5:$B$504, B3137, '📅 Resumen Diario'!$C$5:$C$504, D3137), 0))</f>
        <v/>
      </c>
      <c r="M3137" s="31" t="str">
        <f t="shared" si="339"/>
        <v/>
      </c>
      <c r="N3137" s="31" t="str">
        <f t="shared" si="340"/>
        <v/>
      </c>
      <c r="O3137" s="31" t="str">
        <f>IF(OR(B3137="",C3137=""),"",K3137-N3137 + IFERROR(E3137 / SUMIFS('📅 Resumen Diario'!$D$5:$D$504, '📅 Resumen Diario'!$B$5:$B$504, B3137, '📅 Resumen Diario'!$C$5:$C$504, D3137) * (SUMIFS('📋 Detalle Diario'!$E$5:$E$489, '📋 Detalle Diario'!$B$5:$B$489, B3137, '📋 Detalle Diario'!$C$5:$C$489, D3137) * 135 + SUMIFS('📋 Detalle Diario'!$I$5:$I$489, '📋 Detalle Diario'!$B$5:$B$489, B3137, '📋 Detalle Diario'!$C$5:$C$489, D3137) * 200), 0))</f>
        <v/>
      </c>
      <c r="P3137" s="32" t="str">
        <f t="shared" si="341"/>
        <v/>
      </c>
      <c r="Q3137" s="33" t="str">
        <f t="shared" si="342"/>
        <v/>
      </c>
    </row>
    <row r="3138" spans="2:17" ht="18" customHeight="1" x14ac:dyDescent="0.3">
      <c r="B3138" s="26"/>
      <c r="C3138" s="17"/>
      <c r="D3138" s="27"/>
      <c r="E3138" s="18"/>
      <c r="F3138" s="18"/>
      <c r="G3138" s="18"/>
      <c r="H3138" s="30" t="str">
        <f t="shared" si="336"/>
        <v/>
      </c>
      <c r="I3138" s="31" t="str">
        <f>IF(OR(B3138="",C3138=""),"",IFERROR(E3138*IF(E3138="",0,VLOOKUP(C3138,'📦 Precios Proforma'!$B$5:$D$104,IF(D3138="DIA",2,3),FALSE)),0))</f>
        <v/>
      </c>
      <c r="J3138" s="31" t="str">
        <f t="shared" si="337"/>
        <v/>
      </c>
      <c r="K3138" s="31" t="str">
        <f t="shared" si="338"/>
        <v/>
      </c>
      <c r="L3138" s="31" t="str">
        <f>IF(OR(B3138="",C3138=""),"",IFERROR(E3138 / SUMIFS('📅 Resumen Diario'!$D$5:$D$504, '📅 Resumen Diario'!$B$5:$B$504, B3138, '📅 Resumen Diario'!$C$5:$C$504, D3138) * SUMIFS('📅 Resumen Diario'!$K$5:$K$504, '📅 Resumen Diario'!$B$5:$B$504, B3138, '📅 Resumen Diario'!$C$5:$C$504, D3138), 0))</f>
        <v/>
      </c>
      <c r="M3138" s="31" t="str">
        <f t="shared" si="339"/>
        <v/>
      </c>
      <c r="N3138" s="31" t="str">
        <f t="shared" si="340"/>
        <v/>
      </c>
      <c r="O3138" s="31" t="str">
        <f>IF(OR(B3138="",C3138=""),"",K3138-N3138 + IFERROR(E3138 / SUMIFS('📅 Resumen Diario'!$D$5:$D$504, '📅 Resumen Diario'!$B$5:$B$504, B3138, '📅 Resumen Diario'!$C$5:$C$504, D3138) * (SUMIFS('📋 Detalle Diario'!$E$5:$E$489, '📋 Detalle Diario'!$B$5:$B$489, B3138, '📋 Detalle Diario'!$C$5:$C$489, D3138) * 135 + SUMIFS('📋 Detalle Diario'!$I$5:$I$489, '📋 Detalle Diario'!$B$5:$B$489, B3138, '📋 Detalle Diario'!$C$5:$C$489, D3138) * 200), 0))</f>
        <v/>
      </c>
      <c r="P3138" s="32" t="str">
        <f t="shared" si="341"/>
        <v/>
      </c>
      <c r="Q3138" s="33" t="str">
        <f t="shared" si="342"/>
        <v/>
      </c>
    </row>
    <row r="3139" spans="2:17" ht="18" customHeight="1" x14ac:dyDescent="0.3">
      <c r="B3139" s="26"/>
      <c r="C3139" s="28"/>
      <c r="D3139" s="27"/>
      <c r="E3139" s="29"/>
      <c r="F3139" s="29"/>
      <c r="G3139" s="29"/>
      <c r="H3139" s="30" t="str">
        <f t="shared" si="336"/>
        <v/>
      </c>
      <c r="I3139" s="31" t="str">
        <f>IF(OR(B3139="",C3139=""),"",IFERROR(E3139*IF(E3139="",0,VLOOKUP(C3139,'📦 Precios Proforma'!$B$5:$D$104,IF(D3139="DIA",2,3),FALSE)),0))</f>
        <v/>
      </c>
      <c r="J3139" s="31" t="str">
        <f t="shared" si="337"/>
        <v/>
      </c>
      <c r="K3139" s="31" t="str">
        <f t="shared" si="338"/>
        <v/>
      </c>
      <c r="L3139" s="31" t="str">
        <f>IF(OR(B3139="",C3139=""),"",IFERROR(E3139 / SUMIFS('📅 Resumen Diario'!$D$5:$D$504, '📅 Resumen Diario'!$B$5:$B$504, B3139, '📅 Resumen Diario'!$C$5:$C$504, D3139) * SUMIFS('📅 Resumen Diario'!$K$5:$K$504, '📅 Resumen Diario'!$B$5:$B$504, B3139, '📅 Resumen Diario'!$C$5:$C$504, D3139), 0))</f>
        <v/>
      </c>
      <c r="M3139" s="31" t="str">
        <f t="shared" si="339"/>
        <v/>
      </c>
      <c r="N3139" s="31" t="str">
        <f t="shared" si="340"/>
        <v/>
      </c>
      <c r="O3139" s="31" t="str">
        <f>IF(OR(B3139="",C3139=""),"",K3139-N3139 + IFERROR(E3139 / SUMIFS('📅 Resumen Diario'!$D$5:$D$504, '📅 Resumen Diario'!$B$5:$B$504, B3139, '📅 Resumen Diario'!$C$5:$C$504, D3139) * (SUMIFS('📋 Detalle Diario'!$E$5:$E$489, '📋 Detalle Diario'!$B$5:$B$489, B3139, '📋 Detalle Diario'!$C$5:$C$489, D3139) * 135 + SUMIFS('📋 Detalle Diario'!$I$5:$I$489, '📋 Detalle Diario'!$B$5:$B$489, B3139, '📋 Detalle Diario'!$C$5:$C$489, D3139) * 200), 0))</f>
        <v/>
      </c>
      <c r="P3139" s="32" t="str">
        <f t="shared" si="341"/>
        <v/>
      </c>
      <c r="Q3139" s="33" t="str">
        <f t="shared" si="342"/>
        <v/>
      </c>
    </row>
    <row r="3140" spans="2:17" ht="18" customHeight="1" x14ac:dyDescent="0.3">
      <c r="B3140" s="26"/>
      <c r="C3140" s="17"/>
      <c r="D3140" s="27"/>
      <c r="E3140" s="18"/>
      <c r="F3140" s="18"/>
      <c r="G3140" s="18"/>
      <c r="H3140" s="30" t="str">
        <f t="shared" si="336"/>
        <v/>
      </c>
      <c r="I3140" s="31" t="str">
        <f>IF(OR(B3140="",C3140=""),"",IFERROR(E3140*IF(E3140="",0,VLOOKUP(C3140,'📦 Precios Proforma'!$B$5:$D$104,IF(D3140="DIA",2,3),FALSE)),0))</f>
        <v/>
      </c>
      <c r="J3140" s="31" t="str">
        <f t="shared" si="337"/>
        <v/>
      </c>
      <c r="K3140" s="31" t="str">
        <f t="shared" si="338"/>
        <v/>
      </c>
      <c r="L3140" s="31" t="str">
        <f>IF(OR(B3140="",C3140=""),"",IFERROR(E3140 / SUMIFS('📅 Resumen Diario'!$D$5:$D$504, '📅 Resumen Diario'!$B$5:$B$504, B3140, '📅 Resumen Diario'!$C$5:$C$504, D3140) * SUMIFS('📅 Resumen Diario'!$K$5:$K$504, '📅 Resumen Diario'!$B$5:$B$504, B3140, '📅 Resumen Diario'!$C$5:$C$504, D3140), 0))</f>
        <v/>
      </c>
      <c r="M3140" s="31" t="str">
        <f t="shared" si="339"/>
        <v/>
      </c>
      <c r="N3140" s="31" t="str">
        <f t="shared" si="340"/>
        <v/>
      </c>
      <c r="O3140" s="31" t="str">
        <f>IF(OR(B3140="",C3140=""),"",K3140-N3140 + IFERROR(E3140 / SUMIFS('📅 Resumen Diario'!$D$5:$D$504, '📅 Resumen Diario'!$B$5:$B$504, B3140, '📅 Resumen Diario'!$C$5:$C$504, D3140) * (SUMIFS('📋 Detalle Diario'!$E$5:$E$489, '📋 Detalle Diario'!$B$5:$B$489, B3140, '📋 Detalle Diario'!$C$5:$C$489, D3140) * 135 + SUMIFS('📋 Detalle Diario'!$I$5:$I$489, '📋 Detalle Diario'!$B$5:$B$489, B3140, '📋 Detalle Diario'!$C$5:$C$489, D3140) * 200), 0))</f>
        <v/>
      </c>
      <c r="P3140" s="32" t="str">
        <f t="shared" si="341"/>
        <v/>
      </c>
      <c r="Q3140" s="33" t="str">
        <f t="shared" si="342"/>
        <v/>
      </c>
    </row>
    <row r="3141" spans="2:17" ht="18" customHeight="1" x14ac:dyDescent="0.3">
      <c r="B3141" s="26"/>
      <c r="C3141" s="28"/>
      <c r="D3141" s="27"/>
      <c r="E3141" s="29"/>
      <c r="F3141" s="29"/>
      <c r="G3141" s="29"/>
      <c r="H3141" s="30" t="str">
        <f t="shared" si="336"/>
        <v/>
      </c>
      <c r="I3141" s="31" t="str">
        <f>IF(OR(B3141="",C3141=""),"",IFERROR(E3141*IF(E3141="",0,VLOOKUP(C3141,'📦 Precios Proforma'!$B$5:$D$104,IF(D3141="DIA",2,3),FALSE)),0))</f>
        <v/>
      </c>
      <c r="J3141" s="31" t="str">
        <f t="shared" si="337"/>
        <v/>
      </c>
      <c r="K3141" s="31" t="str">
        <f t="shared" si="338"/>
        <v/>
      </c>
      <c r="L3141" s="31" t="str">
        <f>IF(OR(B3141="",C3141=""),"",IFERROR(E3141 / SUMIFS('📅 Resumen Diario'!$D$5:$D$504, '📅 Resumen Diario'!$B$5:$B$504, B3141, '📅 Resumen Diario'!$C$5:$C$504, D3141) * SUMIFS('📅 Resumen Diario'!$K$5:$K$504, '📅 Resumen Diario'!$B$5:$B$504, B3141, '📅 Resumen Diario'!$C$5:$C$504, D3141), 0))</f>
        <v/>
      </c>
      <c r="M3141" s="31" t="str">
        <f t="shared" si="339"/>
        <v/>
      </c>
      <c r="N3141" s="31" t="str">
        <f t="shared" si="340"/>
        <v/>
      </c>
      <c r="O3141" s="31" t="str">
        <f>IF(OR(B3141="",C3141=""),"",K3141-N3141 + IFERROR(E3141 / SUMIFS('📅 Resumen Diario'!$D$5:$D$504, '📅 Resumen Diario'!$B$5:$B$504, B3141, '📅 Resumen Diario'!$C$5:$C$504, D3141) * (SUMIFS('📋 Detalle Diario'!$E$5:$E$489, '📋 Detalle Diario'!$B$5:$B$489, B3141, '📋 Detalle Diario'!$C$5:$C$489, D3141) * 135 + SUMIFS('📋 Detalle Diario'!$I$5:$I$489, '📋 Detalle Diario'!$B$5:$B$489, B3141, '📋 Detalle Diario'!$C$5:$C$489, D3141) * 200), 0))</f>
        <v/>
      </c>
      <c r="P3141" s="32" t="str">
        <f t="shared" si="341"/>
        <v/>
      </c>
      <c r="Q3141" s="33" t="str">
        <f t="shared" si="342"/>
        <v/>
      </c>
    </row>
    <row r="3142" spans="2:17" ht="18" customHeight="1" x14ac:dyDescent="0.3">
      <c r="B3142" s="26"/>
      <c r="C3142" s="17"/>
      <c r="D3142" s="27"/>
      <c r="E3142" s="18"/>
      <c r="F3142" s="18"/>
      <c r="G3142" s="18"/>
      <c r="H3142" s="30" t="str">
        <f t="shared" si="336"/>
        <v/>
      </c>
      <c r="I3142" s="31" t="str">
        <f>IF(OR(B3142="",C3142=""),"",IFERROR(E3142*IF(E3142="",0,VLOOKUP(C3142,'📦 Precios Proforma'!$B$5:$D$104,IF(D3142="DIA",2,3),FALSE)),0))</f>
        <v/>
      </c>
      <c r="J3142" s="31" t="str">
        <f t="shared" si="337"/>
        <v/>
      </c>
      <c r="K3142" s="31" t="str">
        <f t="shared" si="338"/>
        <v/>
      </c>
      <c r="L3142" s="31" t="str">
        <f>IF(OR(B3142="",C3142=""),"",IFERROR(E3142 / SUMIFS('📅 Resumen Diario'!$D$5:$D$504, '📅 Resumen Diario'!$B$5:$B$504, B3142, '📅 Resumen Diario'!$C$5:$C$504, D3142) * SUMIFS('📅 Resumen Diario'!$K$5:$K$504, '📅 Resumen Diario'!$B$5:$B$504, B3142, '📅 Resumen Diario'!$C$5:$C$504, D3142), 0))</f>
        <v/>
      </c>
      <c r="M3142" s="31" t="str">
        <f t="shared" si="339"/>
        <v/>
      </c>
      <c r="N3142" s="31" t="str">
        <f t="shared" si="340"/>
        <v/>
      </c>
      <c r="O3142" s="31" t="str">
        <f>IF(OR(B3142="",C3142=""),"",K3142-N3142 + IFERROR(E3142 / SUMIFS('📅 Resumen Diario'!$D$5:$D$504, '📅 Resumen Diario'!$B$5:$B$504, B3142, '📅 Resumen Diario'!$C$5:$C$504, D3142) * (SUMIFS('📋 Detalle Diario'!$E$5:$E$489, '📋 Detalle Diario'!$B$5:$B$489, B3142, '📋 Detalle Diario'!$C$5:$C$489, D3142) * 135 + SUMIFS('📋 Detalle Diario'!$I$5:$I$489, '📋 Detalle Diario'!$B$5:$B$489, B3142, '📋 Detalle Diario'!$C$5:$C$489, D3142) * 200), 0))</f>
        <v/>
      </c>
      <c r="P3142" s="32" t="str">
        <f t="shared" si="341"/>
        <v/>
      </c>
      <c r="Q3142" s="33" t="str">
        <f t="shared" si="342"/>
        <v/>
      </c>
    </row>
    <row r="3143" spans="2:17" ht="18" customHeight="1" x14ac:dyDescent="0.3">
      <c r="B3143" s="26"/>
      <c r="C3143" s="28"/>
      <c r="D3143" s="27"/>
      <c r="E3143" s="29"/>
      <c r="F3143" s="29"/>
      <c r="G3143" s="29"/>
      <c r="H3143" s="30" t="str">
        <f t="shared" ref="H3143:H3206" si="343">IF(OR(B3143="",C3143=""),"",F3143+G3143)</f>
        <v/>
      </c>
      <c r="I3143" s="31" t="str">
        <f>IF(OR(B3143="",C3143=""),"",IFERROR(E3143*IF(E3143="",0,VLOOKUP(C3143,'📦 Precios Proforma'!$B$5:$D$104,IF(D3143="DIA",2,3),FALSE)),0))</f>
        <v/>
      </c>
      <c r="J3143" s="31" t="str">
        <f t="shared" ref="J3143:J3206" si="344">IF(OR(B3143="",C3143=""),"",IF(D3143="DIA",H3143*1.01,H3143*1.35))</f>
        <v/>
      </c>
      <c r="K3143" s="31" t="str">
        <f t="shared" ref="K3143:K3206" si="345">IF(OR(B3143="",C3143=""),"",I3143+J3143)</f>
        <v/>
      </c>
      <c r="L3143" s="31" t="str">
        <f>IF(OR(B3143="",C3143=""),"",IFERROR(E3143 / SUMIFS('📅 Resumen Diario'!$D$5:$D$504, '📅 Resumen Diario'!$B$5:$B$504, B3143, '📅 Resumen Diario'!$C$5:$C$504, D3143) * SUMIFS('📅 Resumen Diario'!$K$5:$K$504, '📅 Resumen Diario'!$B$5:$B$504, B3143, '📅 Resumen Diario'!$C$5:$C$504, D3143), 0))</f>
        <v/>
      </c>
      <c r="M3143" s="31" t="str">
        <f t="shared" ref="M3143:M3206" si="346">IF(OR(B3143="",C3143=""),"",H3143*0.09)</f>
        <v/>
      </c>
      <c r="N3143" s="31" t="str">
        <f t="shared" ref="N3143:N3206" si="347">IF(OR(B3143="",C3143=""),"",L3143+M3143)</f>
        <v/>
      </c>
      <c r="O3143" s="31" t="str">
        <f>IF(OR(B3143="",C3143=""),"",K3143-N3143 + IFERROR(E3143 / SUMIFS('📅 Resumen Diario'!$D$5:$D$504, '📅 Resumen Diario'!$B$5:$B$504, B3143, '📅 Resumen Diario'!$C$5:$C$504, D3143) * (SUMIFS('📋 Detalle Diario'!$E$5:$E$489, '📋 Detalle Diario'!$B$5:$B$489, B3143, '📋 Detalle Diario'!$C$5:$C$489, D3143) * 135 + SUMIFS('📋 Detalle Diario'!$I$5:$I$489, '📋 Detalle Diario'!$B$5:$B$489, B3143, '📋 Detalle Diario'!$C$5:$C$489, D3143) * 200), 0))</f>
        <v/>
      </c>
      <c r="P3143" s="32" t="str">
        <f t="shared" ref="P3143:P3206" si="348">IF(OR(B3143="",C3143=""),"",IF(K3143=0, 0, O3143/K3143))</f>
        <v/>
      </c>
      <c r="Q3143" s="33" t="str">
        <f t="shared" ref="Q3143:Q3206" si="349">IF(B3143="","",IF(ISNUMBER(B3143),YEAR(B3143)&amp;"-"&amp;IF(MONTH(B3143)&lt;10,"0","")&amp;MONTH(B3143),LEFT(B3143,7)))</f>
        <v/>
      </c>
    </row>
    <row r="3144" spans="2:17" ht="18" customHeight="1" x14ac:dyDescent="0.3">
      <c r="B3144" s="26"/>
      <c r="C3144" s="17"/>
      <c r="D3144" s="27"/>
      <c r="E3144" s="18"/>
      <c r="F3144" s="18"/>
      <c r="G3144" s="18"/>
      <c r="H3144" s="30" t="str">
        <f t="shared" si="343"/>
        <v/>
      </c>
      <c r="I3144" s="31" t="str">
        <f>IF(OR(B3144="",C3144=""),"",IFERROR(E3144*IF(E3144="",0,VLOOKUP(C3144,'📦 Precios Proforma'!$B$5:$D$104,IF(D3144="DIA",2,3),FALSE)),0))</f>
        <v/>
      </c>
      <c r="J3144" s="31" t="str">
        <f t="shared" si="344"/>
        <v/>
      </c>
      <c r="K3144" s="31" t="str">
        <f t="shared" si="345"/>
        <v/>
      </c>
      <c r="L3144" s="31" t="str">
        <f>IF(OR(B3144="",C3144=""),"",IFERROR(E3144 / SUMIFS('📅 Resumen Diario'!$D$5:$D$504, '📅 Resumen Diario'!$B$5:$B$504, B3144, '📅 Resumen Diario'!$C$5:$C$504, D3144) * SUMIFS('📅 Resumen Diario'!$K$5:$K$504, '📅 Resumen Diario'!$B$5:$B$504, B3144, '📅 Resumen Diario'!$C$5:$C$504, D3144), 0))</f>
        <v/>
      </c>
      <c r="M3144" s="31" t="str">
        <f t="shared" si="346"/>
        <v/>
      </c>
      <c r="N3144" s="31" t="str">
        <f t="shared" si="347"/>
        <v/>
      </c>
      <c r="O3144" s="31" t="str">
        <f>IF(OR(B3144="",C3144=""),"",K3144-N3144 + IFERROR(E3144 / SUMIFS('📅 Resumen Diario'!$D$5:$D$504, '📅 Resumen Diario'!$B$5:$B$504, B3144, '📅 Resumen Diario'!$C$5:$C$504, D3144) * (SUMIFS('📋 Detalle Diario'!$E$5:$E$489, '📋 Detalle Diario'!$B$5:$B$489, B3144, '📋 Detalle Diario'!$C$5:$C$489, D3144) * 135 + SUMIFS('📋 Detalle Diario'!$I$5:$I$489, '📋 Detalle Diario'!$B$5:$B$489, B3144, '📋 Detalle Diario'!$C$5:$C$489, D3144) * 200), 0))</f>
        <v/>
      </c>
      <c r="P3144" s="32" t="str">
        <f t="shared" si="348"/>
        <v/>
      </c>
      <c r="Q3144" s="33" t="str">
        <f t="shared" si="349"/>
        <v/>
      </c>
    </row>
    <row r="3145" spans="2:17" ht="18" customHeight="1" x14ac:dyDescent="0.3">
      <c r="B3145" s="26"/>
      <c r="C3145" s="28"/>
      <c r="D3145" s="27"/>
      <c r="E3145" s="29"/>
      <c r="F3145" s="29"/>
      <c r="G3145" s="29"/>
      <c r="H3145" s="30" t="str">
        <f t="shared" si="343"/>
        <v/>
      </c>
      <c r="I3145" s="31" t="str">
        <f>IF(OR(B3145="",C3145=""),"",IFERROR(E3145*IF(E3145="",0,VLOOKUP(C3145,'📦 Precios Proforma'!$B$5:$D$104,IF(D3145="DIA",2,3),FALSE)),0))</f>
        <v/>
      </c>
      <c r="J3145" s="31" t="str">
        <f t="shared" si="344"/>
        <v/>
      </c>
      <c r="K3145" s="31" t="str">
        <f t="shared" si="345"/>
        <v/>
      </c>
      <c r="L3145" s="31" t="str">
        <f>IF(OR(B3145="",C3145=""),"",IFERROR(E3145 / SUMIFS('📅 Resumen Diario'!$D$5:$D$504, '📅 Resumen Diario'!$B$5:$B$504, B3145, '📅 Resumen Diario'!$C$5:$C$504, D3145) * SUMIFS('📅 Resumen Diario'!$K$5:$K$504, '📅 Resumen Diario'!$B$5:$B$504, B3145, '📅 Resumen Diario'!$C$5:$C$504, D3145), 0))</f>
        <v/>
      </c>
      <c r="M3145" s="31" t="str">
        <f t="shared" si="346"/>
        <v/>
      </c>
      <c r="N3145" s="31" t="str">
        <f t="shared" si="347"/>
        <v/>
      </c>
      <c r="O3145" s="31" t="str">
        <f>IF(OR(B3145="",C3145=""),"",K3145-N3145 + IFERROR(E3145 / SUMIFS('📅 Resumen Diario'!$D$5:$D$504, '📅 Resumen Diario'!$B$5:$B$504, B3145, '📅 Resumen Diario'!$C$5:$C$504, D3145) * (SUMIFS('📋 Detalle Diario'!$E$5:$E$489, '📋 Detalle Diario'!$B$5:$B$489, B3145, '📋 Detalle Diario'!$C$5:$C$489, D3145) * 135 + SUMIFS('📋 Detalle Diario'!$I$5:$I$489, '📋 Detalle Diario'!$B$5:$B$489, B3145, '📋 Detalle Diario'!$C$5:$C$489, D3145) * 200), 0))</f>
        <v/>
      </c>
      <c r="P3145" s="32" t="str">
        <f t="shared" si="348"/>
        <v/>
      </c>
      <c r="Q3145" s="33" t="str">
        <f t="shared" si="349"/>
        <v/>
      </c>
    </row>
    <row r="3146" spans="2:17" ht="18" customHeight="1" x14ac:dyDescent="0.3">
      <c r="B3146" s="26"/>
      <c r="C3146" s="17"/>
      <c r="D3146" s="27"/>
      <c r="E3146" s="18"/>
      <c r="F3146" s="18"/>
      <c r="G3146" s="18"/>
      <c r="H3146" s="30" t="str">
        <f t="shared" si="343"/>
        <v/>
      </c>
      <c r="I3146" s="31" t="str">
        <f>IF(OR(B3146="",C3146=""),"",IFERROR(E3146*IF(E3146="",0,VLOOKUP(C3146,'📦 Precios Proforma'!$B$5:$D$104,IF(D3146="DIA",2,3),FALSE)),0))</f>
        <v/>
      </c>
      <c r="J3146" s="31" t="str">
        <f t="shared" si="344"/>
        <v/>
      </c>
      <c r="K3146" s="31" t="str">
        <f t="shared" si="345"/>
        <v/>
      </c>
      <c r="L3146" s="31" t="str">
        <f>IF(OR(B3146="",C3146=""),"",IFERROR(E3146 / SUMIFS('📅 Resumen Diario'!$D$5:$D$504, '📅 Resumen Diario'!$B$5:$B$504, B3146, '📅 Resumen Diario'!$C$5:$C$504, D3146) * SUMIFS('📅 Resumen Diario'!$K$5:$K$504, '📅 Resumen Diario'!$B$5:$B$504, B3146, '📅 Resumen Diario'!$C$5:$C$504, D3146), 0))</f>
        <v/>
      </c>
      <c r="M3146" s="31" t="str">
        <f t="shared" si="346"/>
        <v/>
      </c>
      <c r="N3146" s="31" t="str">
        <f t="shared" si="347"/>
        <v/>
      </c>
      <c r="O3146" s="31" t="str">
        <f>IF(OR(B3146="",C3146=""),"",K3146-N3146 + IFERROR(E3146 / SUMIFS('📅 Resumen Diario'!$D$5:$D$504, '📅 Resumen Diario'!$B$5:$B$504, B3146, '📅 Resumen Diario'!$C$5:$C$504, D3146) * (SUMIFS('📋 Detalle Diario'!$E$5:$E$489, '📋 Detalle Diario'!$B$5:$B$489, B3146, '📋 Detalle Diario'!$C$5:$C$489, D3146) * 135 + SUMIFS('📋 Detalle Diario'!$I$5:$I$489, '📋 Detalle Diario'!$B$5:$B$489, B3146, '📋 Detalle Diario'!$C$5:$C$489, D3146) * 200), 0))</f>
        <v/>
      </c>
      <c r="P3146" s="32" t="str">
        <f t="shared" si="348"/>
        <v/>
      </c>
      <c r="Q3146" s="33" t="str">
        <f t="shared" si="349"/>
        <v/>
      </c>
    </row>
    <row r="3147" spans="2:17" ht="18" customHeight="1" x14ac:dyDescent="0.3">
      <c r="B3147" s="26"/>
      <c r="C3147" s="28"/>
      <c r="D3147" s="27"/>
      <c r="E3147" s="29"/>
      <c r="F3147" s="29"/>
      <c r="G3147" s="29"/>
      <c r="H3147" s="30" t="str">
        <f t="shared" si="343"/>
        <v/>
      </c>
      <c r="I3147" s="31" t="str">
        <f>IF(OR(B3147="",C3147=""),"",IFERROR(E3147*IF(E3147="",0,VLOOKUP(C3147,'📦 Precios Proforma'!$B$5:$D$104,IF(D3147="DIA",2,3),FALSE)),0))</f>
        <v/>
      </c>
      <c r="J3147" s="31" t="str">
        <f t="shared" si="344"/>
        <v/>
      </c>
      <c r="K3147" s="31" t="str">
        <f t="shared" si="345"/>
        <v/>
      </c>
      <c r="L3147" s="31" t="str">
        <f>IF(OR(B3147="",C3147=""),"",IFERROR(E3147 / SUMIFS('📅 Resumen Diario'!$D$5:$D$504, '📅 Resumen Diario'!$B$5:$B$504, B3147, '📅 Resumen Diario'!$C$5:$C$504, D3147) * SUMIFS('📅 Resumen Diario'!$K$5:$K$504, '📅 Resumen Diario'!$B$5:$B$504, B3147, '📅 Resumen Diario'!$C$5:$C$504, D3147), 0))</f>
        <v/>
      </c>
      <c r="M3147" s="31" t="str">
        <f t="shared" si="346"/>
        <v/>
      </c>
      <c r="N3147" s="31" t="str">
        <f t="shared" si="347"/>
        <v/>
      </c>
      <c r="O3147" s="31" t="str">
        <f>IF(OR(B3147="",C3147=""),"",K3147-N3147 + IFERROR(E3147 / SUMIFS('📅 Resumen Diario'!$D$5:$D$504, '📅 Resumen Diario'!$B$5:$B$504, B3147, '📅 Resumen Diario'!$C$5:$C$504, D3147) * (SUMIFS('📋 Detalle Diario'!$E$5:$E$489, '📋 Detalle Diario'!$B$5:$B$489, B3147, '📋 Detalle Diario'!$C$5:$C$489, D3147) * 135 + SUMIFS('📋 Detalle Diario'!$I$5:$I$489, '📋 Detalle Diario'!$B$5:$B$489, B3147, '📋 Detalle Diario'!$C$5:$C$489, D3147) * 200), 0))</f>
        <v/>
      </c>
      <c r="P3147" s="32" t="str">
        <f t="shared" si="348"/>
        <v/>
      </c>
      <c r="Q3147" s="33" t="str">
        <f t="shared" si="349"/>
        <v/>
      </c>
    </row>
    <row r="3148" spans="2:17" ht="18" customHeight="1" x14ac:dyDescent="0.3">
      <c r="B3148" s="26"/>
      <c r="C3148" s="17"/>
      <c r="D3148" s="27"/>
      <c r="E3148" s="18"/>
      <c r="F3148" s="18"/>
      <c r="G3148" s="18"/>
      <c r="H3148" s="30" t="str">
        <f t="shared" si="343"/>
        <v/>
      </c>
      <c r="I3148" s="31" t="str">
        <f>IF(OR(B3148="",C3148=""),"",IFERROR(E3148*IF(E3148="",0,VLOOKUP(C3148,'📦 Precios Proforma'!$B$5:$D$104,IF(D3148="DIA",2,3),FALSE)),0))</f>
        <v/>
      </c>
      <c r="J3148" s="31" t="str">
        <f t="shared" si="344"/>
        <v/>
      </c>
      <c r="K3148" s="31" t="str">
        <f t="shared" si="345"/>
        <v/>
      </c>
      <c r="L3148" s="31" t="str">
        <f>IF(OR(B3148="",C3148=""),"",IFERROR(E3148 / SUMIFS('📅 Resumen Diario'!$D$5:$D$504, '📅 Resumen Diario'!$B$5:$B$504, B3148, '📅 Resumen Diario'!$C$5:$C$504, D3148) * SUMIFS('📅 Resumen Diario'!$K$5:$K$504, '📅 Resumen Diario'!$B$5:$B$504, B3148, '📅 Resumen Diario'!$C$5:$C$504, D3148), 0))</f>
        <v/>
      </c>
      <c r="M3148" s="31" t="str">
        <f t="shared" si="346"/>
        <v/>
      </c>
      <c r="N3148" s="31" t="str">
        <f t="shared" si="347"/>
        <v/>
      </c>
      <c r="O3148" s="31" t="str">
        <f>IF(OR(B3148="",C3148=""),"",K3148-N3148 + IFERROR(E3148 / SUMIFS('📅 Resumen Diario'!$D$5:$D$504, '📅 Resumen Diario'!$B$5:$B$504, B3148, '📅 Resumen Diario'!$C$5:$C$504, D3148) * (SUMIFS('📋 Detalle Diario'!$E$5:$E$489, '📋 Detalle Diario'!$B$5:$B$489, B3148, '📋 Detalle Diario'!$C$5:$C$489, D3148) * 135 + SUMIFS('📋 Detalle Diario'!$I$5:$I$489, '📋 Detalle Diario'!$B$5:$B$489, B3148, '📋 Detalle Diario'!$C$5:$C$489, D3148) * 200), 0))</f>
        <v/>
      </c>
      <c r="P3148" s="32" t="str">
        <f t="shared" si="348"/>
        <v/>
      </c>
      <c r="Q3148" s="33" t="str">
        <f t="shared" si="349"/>
        <v/>
      </c>
    </row>
    <row r="3149" spans="2:17" ht="18" customHeight="1" x14ac:dyDescent="0.3">
      <c r="B3149" s="26"/>
      <c r="C3149" s="28"/>
      <c r="D3149" s="27"/>
      <c r="E3149" s="29"/>
      <c r="F3149" s="29"/>
      <c r="G3149" s="29"/>
      <c r="H3149" s="30" t="str">
        <f t="shared" si="343"/>
        <v/>
      </c>
      <c r="I3149" s="31" t="str">
        <f>IF(OR(B3149="",C3149=""),"",IFERROR(E3149*IF(E3149="",0,VLOOKUP(C3149,'📦 Precios Proforma'!$B$5:$D$104,IF(D3149="DIA",2,3),FALSE)),0))</f>
        <v/>
      </c>
      <c r="J3149" s="31" t="str">
        <f t="shared" si="344"/>
        <v/>
      </c>
      <c r="K3149" s="31" t="str">
        <f t="shared" si="345"/>
        <v/>
      </c>
      <c r="L3149" s="31" t="str">
        <f>IF(OR(B3149="",C3149=""),"",IFERROR(E3149 / SUMIFS('📅 Resumen Diario'!$D$5:$D$504, '📅 Resumen Diario'!$B$5:$B$504, B3149, '📅 Resumen Diario'!$C$5:$C$504, D3149) * SUMIFS('📅 Resumen Diario'!$K$5:$K$504, '📅 Resumen Diario'!$B$5:$B$504, B3149, '📅 Resumen Diario'!$C$5:$C$504, D3149), 0))</f>
        <v/>
      </c>
      <c r="M3149" s="31" t="str">
        <f t="shared" si="346"/>
        <v/>
      </c>
      <c r="N3149" s="31" t="str">
        <f t="shared" si="347"/>
        <v/>
      </c>
      <c r="O3149" s="31" t="str">
        <f>IF(OR(B3149="",C3149=""),"",K3149-N3149 + IFERROR(E3149 / SUMIFS('📅 Resumen Diario'!$D$5:$D$504, '📅 Resumen Diario'!$B$5:$B$504, B3149, '📅 Resumen Diario'!$C$5:$C$504, D3149) * (SUMIFS('📋 Detalle Diario'!$E$5:$E$489, '📋 Detalle Diario'!$B$5:$B$489, B3149, '📋 Detalle Diario'!$C$5:$C$489, D3149) * 135 + SUMIFS('📋 Detalle Diario'!$I$5:$I$489, '📋 Detalle Diario'!$B$5:$B$489, B3149, '📋 Detalle Diario'!$C$5:$C$489, D3149) * 200), 0))</f>
        <v/>
      </c>
      <c r="P3149" s="32" t="str">
        <f t="shared" si="348"/>
        <v/>
      </c>
      <c r="Q3149" s="33" t="str">
        <f t="shared" si="349"/>
        <v/>
      </c>
    </row>
    <row r="3150" spans="2:17" ht="18" customHeight="1" x14ac:dyDescent="0.3">
      <c r="B3150" s="26"/>
      <c r="C3150" s="17"/>
      <c r="D3150" s="27"/>
      <c r="E3150" s="18"/>
      <c r="F3150" s="18"/>
      <c r="G3150" s="18"/>
      <c r="H3150" s="30" t="str">
        <f t="shared" si="343"/>
        <v/>
      </c>
      <c r="I3150" s="31" t="str">
        <f>IF(OR(B3150="",C3150=""),"",IFERROR(E3150*IF(E3150="",0,VLOOKUP(C3150,'📦 Precios Proforma'!$B$5:$D$104,IF(D3150="DIA",2,3),FALSE)),0))</f>
        <v/>
      </c>
      <c r="J3150" s="31" t="str">
        <f t="shared" si="344"/>
        <v/>
      </c>
      <c r="K3150" s="31" t="str">
        <f t="shared" si="345"/>
        <v/>
      </c>
      <c r="L3150" s="31" t="str">
        <f>IF(OR(B3150="",C3150=""),"",IFERROR(E3150 / SUMIFS('📅 Resumen Diario'!$D$5:$D$504, '📅 Resumen Diario'!$B$5:$B$504, B3150, '📅 Resumen Diario'!$C$5:$C$504, D3150) * SUMIFS('📅 Resumen Diario'!$K$5:$K$504, '📅 Resumen Diario'!$B$5:$B$504, B3150, '📅 Resumen Diario'!$C$5:$C$504, D3150), 0))</f>
        <v/>
      </c>
      <c r="M3150" s="31" t="str">
        <f t="shared" si="346"/>
        <v/>
      </c>
      <c r="N3150" s="31" t="str">
        <f t="shared" si="347"/>
        <v/>
      </c>
      <c r="O3150" s="31" t="str">
        <f>IF(OR(B3150="",C3150=""),"",K3150-N3150 + IFERROR(E3150 / SUMIFS('📅 Resumen Diario'!$D$5:$D$504, '📅 Resumen Diario'!$B$5:$B$504, B3150, '📅 Resumen Diario'!$C$5:$C$504, D3150) * (SUMIFS('📋 Detalle Diario'!$E$5:$E$489, '📋 Detalle Diario'!$B$5:$B$489, B3150, '📋 Detalle Diario'!$C$5:$C$489, D3150) * 135 + SUMIFS('📋 Detalle Diario'!$I$5:$I$489, '📋 Detalle Diario'!$B$5:$B$489, B3150, '📋 Detalle Diario'!$C$5:$C$489, D3150) * 200), 0))</f>
        <v/>
      </c>
      <c r="P3150" s="32" t="str">
        <f t="shared" si="348"/>
        <v/>
      </c>
      <c r="Q3150" s="33" t="str">
        <f t="shared" si="349"/>
        <v/>
      </c>
    </row>
    <row r="3151" spans="2:17" ht="18" customHeight="1" x14ac:dyDescent="0.3">
      <c r="B3151" s="26"/>
      <c r="C3151" s="28"/>
      <c r="D3151" s="27"/>
      <c r="E3151" s="29"/>
      <c r="F3151" s="29"/>
      <c r="G3151" s="29"/>
      <c r="H3151" s="30" t="str">
        <f t="shared" si="343"/>
        <v/>
      </c>
      <c r="I3151" s="31" t="str">
        <f>IF(OR(B3151="",C3151=""),"",IFERROR(E3151*IF(E3151="",0,VLOOKUP(C3151,'📦 Precios Proforma'!$B$5:$D$104,IF(D3151="DIA",2,3),FALSE)),0))</f>
        <v/>
      </c>
      <c r="J3151" s="31" t="str">
        <f t="shared" si="344"/>
        <v/>
      </c>
      <c r="K3151" s="31" t="str">
        <f t="shared" si="345"/>
        <v/>
      </c>
      <c r="L3151" s="31" t="str">
        <f>IF(OR(B3151="",C3151=""),"",IFERROR(E3151 / SUMIFS('📅 Resumen Diario'!$D$5:$D$504, '📅 Resumen Diario'!$B$5:$B$504, B3151, '📅 Resumen Diario'!$C$5:$C$504, D3151) * SUMIFS('📅 Resumen Diario'!$K$5:$K$504, '📅 Resumen Diario'!$B$5:$B$504, B3151, '📅 Resumen Diario'!$C$5:$C$504, D3151), 0))</f>
        <v/>
      </c>
      <c r="M3151" s="31" t="str">
        <f t="shared" si="346"/>
        <v/>
      </c>
      <c r="N3151" s="31" t="str">
        <f t="shared" si="347"/>
        <v/>
      </c>
      <c r="O3151" s="31" t="str">
        <f>IF(OR(B3151="",C3151=""),"",K3151-N3151 + IFERROR(E3151 / SUMIFS('📅 Resumen Diario'!$D$5:$D$504, '📅 Resumen Diario'!$B$5:$B$504, B3151, '📅 Resumen Diario'!$C$5:$C$504, D3151) * (SUMIFS('📋 Detalle Diario'!$E$5:$E$489, '📋 Detalle Diario'!$B$5:$B$489, B3151, '📋 Detalle Diario'!$C$5:$C$489, D3151) * 135 + SUMIFS('📋 Detalle Diario'!$I$5:$I$489, '📋 Detalle Diario'!$B$5:$B$489, B3151, '📋 Detalle Diario'!$C$5:$C$489, D3151) * 200), 0))</f>
        <v/>
      </c>
      <c r="P3151" s="32" t="str">
        <f t="shared" si="348"/>
        <v/>
      </c>
      <c r="Q3151" s="33" t="str">
        <f t="shared" si="349"/>
        <v/>
      </c>
    </row>
    <row r="3152" spans="2:17" ht="18" customHeight="1" x14ac:dyDescent="0.3">
      <c r="B3152" s="26"/>
      <c r="C3152" s="17"/>
      <c r="D3152" s="27"/>
      <c r="E3152" s="18"/>
      <c r="F3152" s="18"/>
      <c r="G3152" s="18"/>
      <c r="H3152" s="30" t="str">
        <f t="shared" si="343"/>
        <v/>
      </c>
      <c r="I3152" s="31" t="str">
        <f>IF(OR(B3152="",C3152=""),"",IFERROR(E3152*IF(E3152="",0,VLOOKUP(C3152,'📦 Precios Proforma'!$B$5:$D$104,IF(D3152="DIA",2,3),FALSE)),0))</f>
        <v/>
      </c>
      <c r="J3152" s="31" t="str">
        <f t="shared" si="344"/>
        <v/>
      </c>
      <c r="K3152" s="31" t="str">
        <f t="shared" si="345"/>
        <v/>
      </c>
      <c r="L3152" s="31" t="str">
        <f>IF(OR(B3152="",C3152=""),"",IFERROR(E3152 / SUMIFS('📅 Resumen Diario'!$D$5:$D$504, '📅 Resumen Diario'!$B$5:$B$504, B3152, '📅 Resumen Diario'!$C$5:$C$504, D3152) * SUMIFS('📅 Resumen Diario'!$K$5:$K$504, '📅 Resumen Diario'!$B$5:$B$504, B3152, '📅 Resumen Diario'!$C$5:$C$504, D3152), 0))</f>
        <v/>
      </c>
      <c r="M3152" s="31" t="str">
        <f t="shared" si="346"/>
        <v/>
      </c>
      <c r="N3152" s="31" t="str">
        <f t="shared" si="347"/>
        <v/>
      </c>
      <c r="O3152" s="31" t="str">
        <f>IF(OR(B3152="",C3152=""),"",K3152-N3152 + IFERROR(E3152 / SUMIFS('📅 Resumen Diario'!$D$5:$D$504, '📅 Resumen Diario'!$B$5:$B$504, B3152, '📅 Resumen Diario'!$C$5:$C$504, D3152) * (SUMIFS('📋 Detalle Diario'!$E$5:$E$489, '📋 Detalle Diario'!$B$5:$B$489, B3152, '📋 Detalle Diario'!$C$5:$C$489, D3152) * 135 + SUMIFS('📋 Detalle Diario'!$I$5:$I$489, '📋 Detalle Diario'!$B$5:$B$489, B3152, '📋 Detalle Diario'!$C$5:$C$489, D3152) * 200), 0))</f>
        <v/>
      </c>
      <c r="P3152" s="32" t="str">
        <f t="shared" si="348"/>
        <v/>
      </c>
      <c r="Q3152" s="33" t="str">
        <f t="shared" si="349"/>
        <v/>
      </c>
    </row>
    <row r="3153" spans="2:17" ht="18" customHeight="1" x14ac:dyDescent="0.3">
      <c r="B3153" s="26"/>
      <c r="C3153" s="28"/>
      <c r="D3153" s="27"/>
      <c r="E3153" s="29"/>
      <c r="F3153" s="29"/>
      <c r="G3153" s="29"/>
      <c r="H3153" s="30" t="str">
        <f t="shared" si="343"/>
        <v/>
      </c>
      <c r="I3153" s="31" t="str">
        <f>IF(OR(B3153="",C3153=""),"",IFERROR(E3153*IF(E3153="",0,VLOOKUP(C3153,'📦 Precios Proforma'!$B$5:$D$104,IF(D3153="DIA",2,3),FALSE)),0))</f>
        <v/>
      </c>
      <c r="J3153" s="31" t="str">
        <f t="shared" si="344"/>
        <v/>
      </c>
      <c r="K3153" s="31" t="str">
        <f t="shared" si="345"/>
        <v/>
      </c>
      <c r="L3153" s="31" t="str">
        <f>IF(OR(B3153="",C3153=""),"",IFERROR(E3153 / SUMIFS('📅 Resumen Diario'!$D$5:$D$504, '📅 Resumen Diario'!$B$5:$B$504, B3153, '📅 Resumen Diario'!$C$5:$C$504, D3153) * SUMIFS('📅 Resumen Diario'!$K$5:$K$504, '📅 Resumen Diario'!$B$5:$B$504, B3153, '📅 Resumen Diario'!$C$5:$C$504, D3153), 0))</f>
        <v/>
      </c>
      <c r="M3153" s="31" t="str">
        <f t="shared" si="346"/>
        <v/>
      </c>
      <c r="N3153" s="31" t="str">
        <f t="shared" si="347"/>
        <v/>
      </c>
      <c r="O3153" s="31" t="str">
        <f>IF(OR(B3153="",C3153=""),"",K3153-N3153 + IFERROR(E3153 / SUMIFS('📅 Resumen Diario'!$D$5:$D$504, '📅 Resumen Diario'!$B$5:$B$504, B3153, '📅 Resumen Diario'!$C$5:$C$504, D3153) * (SUMIFS('📋 Detalle Diario'!$E$5:$E$489, '📋 Detalle Diario'!$B$5:$B$489, B3153, '📋 Detalle Diario'!$C$5:$C$489, D3153) * 135 + SUMIFS('📋 Detalle Diario'!$I$5:$I$489, '📋 Detalle Diario'!$B$5:$B$489, B3153, '📋 Detalle Diario'!$C$5:$C$489, D3153) * 200), 0))</f>
        <v/>
      </c>
      <c r="P3153" s="32" t="str">
        <f t="shared" si="348"/>
        <v/>
      </c>
      <c r="Q3153" s="33" t="str">
        <f t="shared" si="349"/>
        <v/>
      </c>
    </row>
    <row r="3154" spans="2:17" ht="18" customHeight="1" x14ac:dyDescent="0.3">
      <c r="B3154" s="26"/>
      <c r="C3154" s="17"/>
      <c r="D3154" s="27"/>
      <c r="E3154" s="18"/>
      <c r="F3154" s="18"/>
      <c r="G3154" s="18"/>
      <c r="H3154" s="30" t="str">
        <f t="shared" si="343"/>
        <v/>
      </c>
      <c r="I3154" s="31" t="str">
        <f>IF(OR(B3154="",C3154=""),"",IFERROR(E3154*IF(E3154="",0,VLOOKUP(C3154,'📦 Precios Proforma'!$B$5:$D$104,IF(D3154="DIA",2,3),FALSE)),0))</f>
        <v/>
      </c>
      <c r="J3154" s="31" t="str">
        <f t="shared" si="344"/>
        <v/>
      </c>
      <c r="K3154" s="31" t="str">
        <f t="shared" si="345"/>
        <v/>
      </c>
      <c r="L3154" s="31" t="str">
        <f>IF(OR(B3154="",C3154=""),"",IFERROR(E3154 / SUMIFS('📅 Resumen Diario'!$D$5:$D$504, '📅 Resumen Diario'!$B$5:$B$504, B3154, '📅 Resumen Diario'!$C$5:$C$504, D3154) * SUMIFS('📅 Resumen Diario'!$K$5:$K$504, '📅 Resumen Diario'!$B$5:$B$504, B3154, '📅 Resumen Diario'!$C$5:$C$504, D3154), 0))</f>
        <v/>
      </c>
      <c r="M3154" s="31" t="str">
        <f t="shared" si="346"/>
        <v/>
      </c>
      <c r="N3154" s="31" t="str">
        <f t="shared" si="347"/>
        <v/>
      </c>
      <c r="O3154" s="31" t="str">
        <f>IF(OR(B3154="",C3154=""),"",K3154-N3154 + IFERROR(E3154 / SUMIFS('📅 Resumen Diario'!$D$5:$D$504, '📅 Resumen Diario'!$B$5:$B$504, B3154, '📅 Resumen Diario'!$C$5:$C$504, D3154) * (SUMIFS('📋 Detalle Diario'!$E$5:$E$489, '📋 Detalle Diario'!$B$5:$B$489, B3154, '📋 Detalle Diario'!$C$5:$C$489, D3154) * 135 + SUMIFS('📋 Detalle Diario'!$I$5:$I$489, '📋 Detalle Diario'!$B$5:$B$489, B3154, '📋 Detalle Diario'!$C$5:$C$489, D3154) * 200), 0))</f>
        <v/>
      </c>
      <c r="P3154" s="32" t="str">
        <f t="shared" si="348"/>
        <v/>
      </c>
      <c r="Q3154" s="33" t="str">
        <f t="shared" si="349"/>
        <v/>
      </c>
    </row>
    <row r="3155" spans="2:17" ht="18" customHeight="1" x14ac:dyDescent="0.3">
      <c r="B3155" s="26"/>
      <c r="C3155" s="28"/>
      <c r="D3155" s="27"/>
      <c r="E3155" s="29"/>
      <c r="F3155" s="29"/>
      <c r="G3155" s="29"/>
      <c r="H3155" s="30" t="str">
        <f t="shared" si="343"/>
        <v/>
      </c>
      <c r="I3155" s="31" t="str">
        <f>IF(OR(B3155="",C3155=""),"",IFERROR(E3155*IF(E3155="",0,VLOOKUP(C3155,'📦 Precios Proforma'!$B$5:$D$104,IF(D3155="DIA",2,3),FALSE)),0))</f>
        <v/>
      </c>
      <c r="J3155" s="31" t="str">
        <f t="shared" si="344"/>
        <v/>
      </c>
      <c r="K3155" s="31" t="str">
        <f t="shared" si="345"/>
        <v/>
      </c>
      <c r="L3155" s="31" t="str">
        <f>IF(OR(B3155="",C3155=""),"",IFERROR(E3155 / SUMIFS('📅 Resumen Diario'!$D$5:$D$504, '📅 Resumen Diario'!$B$5:$B$504, B3155, '📅 Resumen Diario'!$C$5:$C$504, D3155) * SUMIFS('📅 Resumen Diario'!$K$5:$K$504, '📅 Resumen Diario'!$B$5:$B$504, B3155, '📅 Resumen Diario'!$C$5:$C$504, D3155), 0))</f>
        <v/>
      </c>
      <c r="M3155" s="31" t="str">
        <f t="shared" si="346"/>
        <v/>
      </c>
      <c r="N3155" s="31" t="str">
        <f t="shared" si="347"/>
        <v/>
      </c>
      <c r="O3155" s="31" t="str">
        <f>IF(OR(B3155="",C3155=""),"",K3155-N3155 + IFERROR(E3155 / SUMIFS('📅 Resumen Diario'!$D$5:$D$504, '📅 Resumen Diario'!$B$5:$B$504, B3155, '📅 Resumen Diario'!$C$5:$C$504, D3155) * (SUMIFS('📋 Detalle Diario'!$E$5:$E$489, '📋 Detalle Diario'!$B$5:$B$489, B3155, '📋 Detalle Diario'!$C$5:$C$489, D3155) * 135 + SUMIFS('📋 Detalle Diario'!$I$5:$I$489, '📋 Detalle Diario'!$B$5:$B$489, B3155, '📋 Detalle Diario'!$C$5:$C$489, D3155) * 200), 0))</f>
        <v/>
      </c>
      <c r="P3155" s="32" t="str">
        <f t="shared" si="348"/>
        <v/>
      </c>
      <c r="Q3155" s="33" t="str">
        <f t="shared" si="349"/>
        <v/>
      </c>
    </row>
    <row r="3156" spans="2:17" ht="18" customHeight="1" x14ac:dyDescent="0.3">
      <c r="B3156" s="26"/>
      <c r="C3156" s="17"/>
      <c r="D3156" s="27"/>
      <c r="E3156" s="18"/>
      <c r="F3156" s="18"/>
      <c r="G3156" s="18"/>
      <c r="H3156" s="30" t="str">
        <f t="shared" si="343"/>
        <v/>
      </c>
      <c r="I3156" s="31" t="str">
        <f>IF(OR(B3156="",C3156=""),"",IFERROR(E3156*IF(E3156="",0,VLOOKUP(C3156,'📦 Precios Proforma'!$B$5:$D$104,IF(D3156="DIA",2,3),FALSE)),0))</f>
        <v/>
      </c>
      <c r="J3156" s="31" t="str">
        <f t="shared" si="344"/>
        <v/>
      </c>
      <c r="K3156" s="31" t="str">
        <f t="shared" si="345"/>
        <v/>
      </c>
      <c r="L3156" s="31" t="str">
        <f>IF(OR(B3156="",C3156=""),"",IFERROR(E3156 / SUMIFS('📅 Resumen Diario'!$D$5:$D$504, '📅 Resumen Diario'!$B$5:$B$504, B3156, '📅 Resumen Diario'!$C$5:$C$504, D3156) * SUMIFS('📅 Resumen Diario'!$K$5:$K$504, '📅 Resumen Diario'!$B$5:$B$504, B3156, '📅 Resumen Diario'!$C$5:$C$504, D3156), 0))</f>
        <v/>
      </c>
      <c r="M3156" s="31" t="str">
        <f t="shared" si="346"/>
        <v/>
      </c>
      <c r="N3156" s="31" t="str">
        <f t="shared" si="347"/>
        <v/>
      </c>
      <c r="O3156" s="31" t="str">
        <f>IF(OR(B3156="",C3156=""),"",K3156-N3156 + IFERROR(E3156 / SUMIFS('📅 Resumen Diario'!$D$5:$D$504, '📅 Resumen Diario'!$B$5:$B$504, B3156, '📅 Resumen Diario'!$C$5:$C$504, D3156) * (SUMIFS('📋 Detalle Diario'!$E$5:$E$489, '📋 Detalle Diario'!$B$5:$B$489, B3156, '📋 Detalle Diario'!$C$5:$C$489, D3156) * 135 + SUMIFS('📋 Detalle Diario'!$I$5:$I$489, '📋 Detalle Diario'!$B$5:$B$489, B3156, '📋 Detalle Diario'!$C$5:$C$489, D3156) * 200), 0))</f>
        <v/>
      </c>
      <c r="P3156" s="32" t="str">
        <f t="shared" si="348"/>
        <v/>
      </c>
      <c r="Q3156" s="33" t="str">
        <f t="shared" si="349"/>
        <v/>
      </c>
    </row>
    <row r="3157" spans="2:17" ht="18" customHeight="1" x14ac:dyDescent="0.3">
      <c r="B3157" s="26"/>
      <c r="C3157" s="28"/>
      <c r="D3157" s="27"/>
      <c r="E3157" s="29"/>
      <c r="F3157" s="29"/>
      <c r="G3157" s="29"/>
      <c r="H3157" s="30" t="str">
        <f t="shared" si="343"/>
        <v/>
      </c>
      <c r="I3157" s="31" t="str">
        <f>IF(OR(B3157="",C3157=""),"",IFERROR(E3157*IF(E3157="",0,VLOOKUP(C3157,'📦 Precios Proforma'!$B$5:$D$104,IF(D3157="DIA",2,3),FALSE)),0))</f>
        <v/>
      </c>
      <c r="J3157" s="31" t="str">
        <f t="shared" si="344"/>
        <v/>
      </c>
      <c r="K3157" s="31" t="str">
        <f t="shared" si="345"/>
        <v/>
      </c>
      <c r="L3157" s="31" t="str">
        <f>IF(OR(B3157="",C3157=""),"",IFERROR(E3157 / SUMIFS('📅 Resumen Diario'!$D$5:$D$504, '📅 Resumen Diario'!$B$5:$B$504, B3157, '📅 Resumen Diario'!$C$5:$C$504, D3157) * SUMIFS('📅 Resumen Diario'!$K$5:$K$504, '📅 Resumen Diario'!$B$5:$B$504, B3157, '📅 Resumen Diario'!$C$5:$C$504, D3157), 0))</f>
        <v/>
      </c>
      <c r="M3157" s="31" t="str">
        <f t="shared" si="346"/>
        <v/>
      </c>
      <c r="N3157" s="31" t="str">
        <f t="shared" si="347"/>
        <v/>
      </c>
      <c r="O3157" s="31" t="str">
        <f>IF(OR(B3157="",C3157=""),"",K3157-N3157 + IFERROR(E3157 / SUMIFS('📅 Resumen Diario'!$D$5:$D$504, '📅 Resumen Diario'!$B$5:$B$504, B3157, '📅 Resumen Diario'!$C$5:$C$504, D3157) * (SUMIFS('📋 Detalle Diario'!$E$5:$E$489, '📋 Detalle Diario'!$B$5:$B$489, B3157, '📋 Detalle Diario'!$C$5:$C$489, D3157) * 135 + SUMIFS('📋 Detalle Diario'!$I$5:$I$489, '📋 Detalle Diario'!$B$5:$B$489, B3157, '📋 Detalle Diario'!$C$5:$C$489, D3157) * 200), 0))</f>
        <v/>
      </c>
      <c r="P3157" s="32" t="str">
        <f t="shared" si="348"/>
        <v/>
      </c>
      <c r="Q3157" s="33" t="str">
        <f t="shared" si="349"/>
        <v/>
      </c>
    </row>
    <row r="3158" spans="2:17" ht="18" customHeight="1" x14ac:dyDescent="0.3">
      <c r="B3158" s="26"/>
      <c r="C3158" s="17"/>
      <c r="D3158" s="27"/>
      <c r="E3158" s="18"/>
      <c r="F3158" s="18"/>
      <c r="G3158" s="18"/>
      <c r="H3158" s="30" t="str">
        <f t="shared" si="343"/>
        <v/>
      </c>
      <c r="I3158" s="31" t="str">
        <f>IF(OR(B3158="",C3158=""),"",IFERROR(E3158*IF(E3158="",0,VLOOKUP(C3158,'📦 Precios Proforma'!$B$5:$D$104,IF(D3158="DIA",2,3),FALSE)),0))</f>
        <v/>
      </c>
      <c r="J3158" s="31" t="str">
        <f t="shared" si="344"/>
        <v/>
      </c>
      <c r="K3158" s="31" t="str">
        <f t="shared" si="345"/>
        <v/>
      </c>
      <c r="L3158" s="31" t="str">
        <f>IF(OR(B3158="",C3158=""),"",IFERROR(E3158 / SUMIFS('📅 Resumen Diario'!$D$5:$D$504, '📅 Resumen Diario'!$B$5:$B$504, B3158, '📅 Resumen Diario'!$C$5:$C$504, D3158) * SUMIFS('📅 Resumen Diario'!$K$5:$K$504, '📅 Resumen Diario'!$B$5:$B$504, B3158, '📅 Resumen Diario'!$C$5:$C$504, D3158), 0))</f>
        <v/>
      </c>
      <c r="M3158" s="31" t="str">
        <f t="shared" si="346"/>
        <v/>
      </c>
      <c r="N3158" s="31" t="str">
        <f t="shared" si="347"/>
        <v/>
      </c>
      <c r="O3158" s="31" t="str">
        <f>IF(OR(B3158="",C3158=""),"",K3158-N3158 + IFERROR(E3158 / SUMIFS('📅 Resumen Diario'!$D$5:$D$504, '📅 Resumen Diario'!$B$5:$B$504, B3158, '📅 Resumen Diario'!$C$5:$C$504, D3158) * (SUMIFS('📋 Detalle Diario'!$E$5:$E$489, '📋 Detalle Diario'!$B$5:$B$489, B3158, '📋 Detalle Diario'!$C$5:$C$489, D3158) * 135 + SUMIFS('📋 Detalle Diario'!$I$5:$I$489, '📋 Detalle Diario'!$B$5:$B$489, B3158, '📋 Detalle Diario'!$C$5:$C$489, D3158) * 200), 0))</f>
        <v/>
      </c>
      <c r="P3158" s="32" t="str">
        <f t="shared" si="348"/>
        <v/>
      </c>
      <c r="Q3158" s="33" t="str">
        <f t="shared" si="349"/>
        <v/>
      </c>
    </row>
    <row r="3159" spans="2:17" ht="18" customHeight="1" x14ac:dyDescent="0.3">
      <c r="B3159" s="26"/>
      <c r="C3159" s="28"/>
      <c r="D3159" s="27"/>
      <c r="E3159" s="29"/>
      <c r="F3159" s="29"/>
      <c r="G3159" s="29"/>
      <c r="H3159" s="30" t="str">
        <f t="shared" si="343"/>
        <v/>
      </c>
      <c r="I3159" s="31" t="str">
        <f>IF(OR(B3159="",C3159=""),"",IFERROR(E3159*IF(E3159="",0,VLOOKUP(C3159,'📦 Precios Proforma'!$B$5:$D$104,IF(D3159="DIA",2,3),FALSE)),0))</f>
        <v/>
      </c>
      <c r="J3159" s="31" t="str">
        <f t="shared" si="344"/>
        <v/>
      </c>
      <c r="K3159" s="31" t="str">
        <f t="shared" si="345"/>
        <v/>
      </c>
      <c r="L3159" s="31" t="str">
        <f>IF(OR(B3159="",C3159=""),"",IFERROR(E3159 / SUMIFS('📅 Resumen Diario'!$D$5:$D$504, '📅 Resumen Diario'!$B$5:$B$504, B3159, '📅 Resumen Diario'!$C$5:$C$504, D3159) * SUMIFS('📅 Resumen Diario'!$K$5:$K$504, '📅 Resumen Diario'!$B$5:$B$504, B3159, '📅 Resumen Diario'!$C$5:$C$504, D3159), 0))</f>
        <v/>
      </c>
      <c r="M3159" s="31" t="str">
        <f t="shared" si="346"/>
        <v/>
      </c>
      <c r="N3159" s="31" t="str">
        <f t="shared" si="347"/>
        <v/>
      </c>
      <c r="O3159" s="31" t="str">
        <f>IF(OR(B3159="",C3159=""),"",K3159-N3159 + IFERROR(E3159 / SUMIFS('📅 Resumen Diario'!$D$5:$D$504, '📅 Resumen Diario'!$B$5:$B$504, B3159, '📅 Resumen Diario'!$C$5:$C$504, D3159) * (SUMIFS('📋 Detalle Diario'!$E$5:$E$489, '📋 Detalle Diario'!$B$5:$B$489, B3159, '📋 Detalle Diario'!$C$5:$C$489, D3159) * 135 + SUMIFS('📋 Detalle Diario'!$I$5:$I$489, '📋 Detalle Diario'!$B$5:$B$489, B3159, '📋 Detalle Diario'!$C$5:$C$489, D3159) * 200), 0))</f>
        <v/>
      </c>
      <c r="P3159" s="32" t="str">
        <f t="shared" si="348"/>
        <v/>
      </c>
      <c r="Q3159" s="33" t="str">
        <f t="shared" si="349"/>
        <v/>
      </c>
    </row>
    <row r="3160" spans="2:17" ht="18" customHeight="1" x14ac:dyDescent="0.3">
      <c r="B3160" s="26"/>
      <c r="C3160" s="17"/>
      <c r="D3160" s="27"/>
      <c r="E3160" s="18"/>
      <c r="F3160" s="18"/>
      <c r="G3160" s="18"/>
      <c r="H3160" s="30" t="str">
        <f t="shared" si="343"/>
        <v/>
      </c>
      <c r="I3160" s="31" t="str">
        <f>IF(OR(B3160="",C3160=""),"",IFERROR(E3160*IF(E3160="",0,VLOOKUP(C3160,'📦 Precios Proforma'!$B$5:$D$104,IF(D3160="DIA",2,3),FALSE)),0))</f>
        <v/>
      </c>
      <c r="J3160" s="31" t="str">
        <f t="shared" si="344"/>
        <v/>
      </c>
      <c r="K3160" s="31" t="str">
        <f t="shared" si="345"/>
        <v/>
      </c>
      <c r="L3160" s="31" t="str">
        <f>IF(OR(B3160="",C3160=""),"",IFERROR(E3160 / SUMIFS('📅 Resumen Diario'!$D$5:$D$504, '📅 Resumen Diario'!$B$5:$B$504, B3160, '📅 Resumen Diario'!$C$5:$C$504, D3160) * SUMIFS('📅 Resumen Diario'!$K$5:$K$504, '📅 Resumen Diario'!$B$5:$B$504, B3160, '📅 Resumen Diario'!$C$5:$C$504, D3160), 0))</f>
        <v/>
      </c>
      <c r="M3160" s="31" t="str">
        <f t="shared" si="346"/>
        <v/>
      </c>
      <c r="N3160" s="31" t="str">
        <f t="shared" si="347"/>
        <v/>
      </c>
      <c r="O3160" s="31" t="str">
        <f>IF(OR(B3160="",C3160=""),"",K3160-N3160 + IFERROR(E3160 / SUMIFS('📅 Resumen Diario'!$D$5:$D$504, '📅 Resumen Diario'!$B$5:$B$504, B3160, '📅 Resumen Diario'!$C$5:$C$504, D3160) * (SUMIFS('📋 Detalle Diario'!$E$5:$E$489, '📋 Detalle Diario'!$B$5:$B$489, B3160, '📋 Detalle Diario'!$C$5:$C$489, D3160) * 135 + SUMIFS('📋 Detalle Diario'!$I$5:$I$489, '📋 Detalle Diario'!$B$5:$B$489, B3160, '📋 Detalle Diario'!$C$5:$C$489, D3160) * 200), 0))</f>
        <v/>
      </c>
      <c r="P3160" s="32" t="str">
        <f t="shared" si="348"/>
        <v/>
      </c>
      <c r="Q3160" s="33" t="str">
        <f t="shared" si="349"/>
        <v/>
      </c>
    </row>
    <row r="3161" spans="2:17" ht="18" customHeight="1" x14ac:dyDescent="0.3">
      <c r="B3161" s="26"/>
      <c r="C3161" s="28"/>
      <c r="D3161" s="27"/>
      <c r="E3161" s="29"/>
      <c r="F3161" s="29"/>
      <c r="G3161" s="29"/>
      <c r="H3161" s="30" t="str">
        <f t="shared" si="343"/>
        <v/>
      </c>
      <c r="I3161" s="31" t="str">
        <f>IF(OR(B3161="",C3161=""),"",IFERROR(E3161*IF(E3161="",0,VLOOKUP(C3161,'📦 Precios Proforma'!$B$5:$D$104,IF(D3161="DIA",2,3),FALSE)),0))</f>
        <v/>
      </c>
      <c r="J3161" s="31" t="str">
        <f t="shared" si="344"/>
        <v/>
      </c>
      <c r="K3161" s="31" t="str">
        <f t="shared" si="345"/>
        <v/>
      </c>
      <c r="L3161" s="31" t="str">
        <f>IF(OR(B3161="",C3161=""),"",IFERROR(E3161 / SUMIFS('📅 Resumen Diario'!$D$5:$D$504, '📅 Resumen Diario'!$B$5:$B$504, B3161, '📅 Resumen Diario'!$C$5:$C$504, D3161) * SUMIFS('📅 Resumen Diario'!$K$5:$K$504, '📅 Resumen Diario'!$B$5:$B$504, B3161, '📅 Resumen Diario'!$C$5:$C$504, D3161), 0))</f>
        <v/>
      </c>
      <c r="M3161" s="31" t="str">
        <f t="shared" si="346"/>
        <v/>
      </c>
      <c r="N3161" s="31" t="str">
        <f t="shared" si="347"/>
        <v/>
      </c>
      <c r="O3161" s="31" t="str">
        <f>IF(OR(B3161="",C3161=""),"",K3161-N3161 + IFERROR(E3161 / SUMIFS('📅 Resumen Diario'!$D$5:$D$504, '📅 Resumen Diario'!$B$5:$B$504, B3161, '📅 Resumen Diario'!$C$5:$C$504, D3161) * (SUMIFS('📋 Detalle Diario'!$E$5:$E$489, '📋 Detalle Diario'!$B$5:$B$489, B3161, '📋 Detalle Diario'!$C$5:$C$489, D3161) * 135 + SUMIFS('📋 Detalle Diario'!$I$5:$I$489, '📋 Detalle Diario'!$B$5:$B$489, B3161, '📋 Detalle Diario'!$C$5:$C$489, D3161) * 200), 0))</f>
        <v/>
      </c>
      <c r="P3161" s="32" t="str">
        <f t="shared" si="348"/>
        <v/>
      </c>
      <c r="Q3161" s="33" t="str">
        <f t="shared" si="349"/>
        <v/>
      </c>
    </row>
    <row r="3162" spans="2:17" ht="18" customHeight="1" x14ac:dyDescent="0.3">
      <c r="B3162" s="26"/>
      <c r="C3162" s="17"/>
      <c r="D3162" s="27"/>
      <c r="E3162" s="18"/>
      <c r="F3162" s="18"/>
      <c r="G3162" s="18"/>
      <c r="H3162" s="30" t="str">
        <f t="shared" si="343"/>
        <v/>
      </c>
      <c r="I3162" s="31" t="str">
        <f>IF(OR(B3162="",C3162=""),"",IFERROR(E3162*IF(E3162="",0,VLOOKUP(C3162,'📦 Precios Proforma'!$B$5:$D$104,IF(D3162="DIA",2,3),FALSE)),0))</f>
        <v/>
      </c>
      <c r="J3162" s="31" t="str">
        <f t="shared" si="344"/>
        <v/>
      </c>
      <c r="K3162" s="31" t="str">
        <f t="shared" si="345"/>
        <v/>
      </c>
      <c r="L3162" s="31" t="str">
        <f>IF(OR(B3162="",C3162=""),"",IFERROR(E3162 / SUMIFS('📅 Resumen Diario'!$D$5:$D$504, '📅 Resumen Diario'!$B$5:$B$504, B3162, '📅 Resumen Diario'!$C$5:$C$504, D3162) * SUMIFS('📅 Resumen Diario'!$K$5:$K$504, '📅 Resumen Diario'!$B$5:$B$504, B3162, '📅 Resumen Diario'!$C$5:$C$504, D3162), 0))</f>
        <v/>
      </c>
      <c r="M3162" s="31" t="str">
        <f t="shared" si="346"/>
        <v/>
      </c>
      <c r="N3162" s="31" t="str">
        <f t="shared" si="347"/>
        <v/>
      </c>
      <c r="O3162" s="31" t="str">
        <f>IF(OR(B3162="",C3162=""),"",K3162-N3162 + IFERROR(E3162 / SUMIFS('📅 Resumen Diario'!$D$5:$D$504, '📅 Resumen Diario'!$B$5:$B$504, B3162, '📅 Resumen Diario'!$C$5:$C$504, D3162) * (SUMIFS('📋 Detalle Diario'!$E$5:$E$489, '📋 Detalle Diario'!$B$5:$B$489, B3162, '📋 Detalle Diario'!$C$5:$C$489, D3162) * 135 + SUMIFS('📋 Detalle Diario'!$I$5:$I$489, '📋 Detalle Diario'!$B$5:$B$489, B3162, '📋 Detalle Diario'!$C$5:$C$489, D3162) * 200), 0))</f>
        <v/>
      </c>
      <c r="P3162" s="32" t="str">
        <f t="shared" si="348"/>
        <v/>
      </c>
      <c r="Q3162" s="33" t="str">
        <f t="shared" si="349"/>
        <v/>
      </c>
    </row>
    <row r="3163" spans="2:17" ht="18" customHeight="1" x14ac:dyDescent="0.3">
      <c r="B3163" s="26"/>
      <c r="C3163" s="28"/>
      <c r="D3163" s="27"/>
      <c r="E3163" s="29"/>
      <c r="F3163" s="29"/>
      <c r="G3163" s="29"/>
      <c r="H3163" s="30" t="str">
        <f t="shared" si="343"/>
        <v/>
      </c>
      <c r="I3163" s="31" t="str">
        <f>IF(OR(B3163="",C3163=""),"",IFERROR(E3163*IF(E3163="",0,VLOOKUP(C3163,'📦 Precios Proforma'!$B$5:$D$104,IF(D3163="DIA",2,3),FALSE)),0))</f>
        <v/>
      </c>
      <c r="J3163" s="31" t="str">
        <f t="shared" si="344"/>
        <v/>
      </c>
      <c r="K3163" s="31" t="str">
        <f t="shared" si="345"/>
        <v/>
      </c>
      <c r="L3163" s="31" t="str">
        <f>IF(OR(B3163="",C3163=""),"",IFERROR(E3163 / SUMIFS('📅 Resumen Diario'!$D$5:$D$504, '📅 Resumen Diario'!$B$5:$B$504, B3163, '📅 Resumen Diario'!$C$5:$C$504, D3163) * SUMIFS('📅 Resumen Diario'!$K$5:$K$504, '📅 Resumen Diario'!$B$5:$B$504, B3163, '📅 Resumen Diario'!$C$5:$C$504, D3163), 0))</f>
        <v/>
      </c>
      <c r="M3163" s="31" t="str">
        <f t="shared" si="346"/>
        <v/>
      </c>
      <c r="N3163" s="31" t="str">
        <f t="shared" si="347"/>
        <v/>
      </c>
      <c r="O3163" s="31" t="str">
        <f>IF(OR(B3163="",C3163=""),"",K3163-N3163 + IFERROR(E3163 / SUMIFS('📅 Resumen Diario'!$D$5:$D$504, '📅 Resumen Diario'!$B$5:$B$504, B3163, '📅 Resumen Diario'!$C$5:$C$504, D3163) * (SUMIFS('📋 Detalle Diario'!$E$5:$E$489, '📋 Detalle Diario'!$B$5:$B$489, B3163, '📋 Detalle Diario'!$C$5:$C$489, D3163) * 135 + SUMIFS('📋 Detalle Diario'!$I$5:$I$489, '📋 Detalle Diario'!$B$5:$B$489, B3163, '📋 Detalle Diario'!$C$5:$C$489, D3163) * 200), 0))</f>
        <v/>
      </c>
      <c r="P3163" s="32" t="str">
        <f t="shared" si="348"/>
        <v/>
      </c>
      <c r="Q3163" s="33" t="str">
        <f t="shared" si="349"/>
        <v/>
      </c>
    </row>
    <row r="3164" spans="2:17" ht="18" customHeight="1" x14ac:dyDescent="0.3">
      <c r="B3164" s="26"/>
      <c r="C3164" s="17"/>
      <c r="D3164" s="27"/>
      <c r="E3164" s="18"/>
      <c r="F3164" s="18"/>
      <c r="G3164" s="18"/>
      <c r="H3164" s="30" t="str">
        <f t="shared" si="343"/>
        <v/>
      </c>
      <c r="I3164" s="31" t="str">
        <f>IF(OR(B3164="",C3164=""),"",IFERROR(E3164*IF(E3164="",0,VLOOKUP(C3164,'📦 Precios Proforma'!$B$5:$D$104,IF(D3164="DIA",2,3),FALSE)),0))</f>
        <v/>
      </c>
      <c r="J3164" s="31" t="str">
        <f t="shared" si="344"/>
        <v/>
      </c>
      <c r="K3164" s="31" t="str">
        <f t="shared" si="345"/>
        <v/>
      </c>
      <c r="L3164" s="31" t="str">
        <f>IF(OR(B3164="",C3164=""),"",IFERROR(E3164 / SUMIFS('📅 Resumen Diario'!$D$5:$D$504, '📅 Resumen Diario'!$B$5:$B$504, B3164, '📅 Resumen Diario'!$C$5:$C$504, D3164) * SUMIFS('📅 Resumen Diario'!$K$5:$K$504, '📅 Resumen Diario'!$B$5:$B$504, B3164, '📅 Resumen Diario'!$C$5:$C$504, D3164), 0))</f>
        <v/>
      </c>
      <c r="M3164" s="31" t="str">
        <f t="shared" si="346"/>
        <v/>
      </c>
      <c r="N3164" s="31" t="str">
        <f t="shared" si="347"/>
        <v/>
      </c>
      <c r="O3164" s="31" t="str">
        <f>IF(OR(B3164="",C3164=""),"",K3164-N3164 + IFERROR(E3164 / SUMIFS('📅 Resumen Diario'!$D$5:$D$504, '📅 Resumen Diario'!$B$5:$B$504, B3164, '📅 Resumen Diario'!$C$5:$C$504, D3164) * (SUMIFS('📋 Detalle Diario'!$E$5:$E$489, '📋 Detalle Diario'!$B$5:$B$489, B3164, '📋 Detalle Diario'!$C$5:$C$489, D3164) * 135 + SUMIFS('📋 Detalle Diario'!$I$5:$I$489, '📋 Detalle Diario'!$B$5:$B$489, B3164, '📋 Detalle Diario'!$C$5:$C$489, D3164) * 200), 0))</f>
        <v/>
      </c>
      <c r="P3164" s="32" t="str">
        <f t="shared" si="348"/>
        <v/>
      </c>
      <c r="Q3164" s="33" t="str">
        <f t="shared" si="349"/>
        <v/>
      </c>
    </row>
    <row r="3165" spans="2:17" ht="18" customHeight="1" x14ac:dyDescent="0.3">
      <c r="B3165" s="26"/>
      <c r="C3165" s="28"/>
      <c r="D3165" s="27"/>
      <c r="E3165" s="29"/>
      <c r="F3165" s="29"/>
      <c r="G3165" s="29"/>
      <c r="H3165" s="30" t="str">
        <f t="shared" si="343"/>
        <v/>
      </c>
      <c r="I3165" s="31" t="str">
        <f>IF(OR(B3165="",C3165=""),"",IFERROR(E3165*IF(E3165="",0,VLOOKUP(C3165,'📦 Precios Proforma'!$B$5:$D$104,IF(D3165="DIA",2,3),FALSE)),0))</f>
        <v/>
      </c>
      <c r="J3165" s="31" t="str">
        <f t="shared" si="344"/>
        <v/>
      </c>
      <c r="K3165" s="31" t="str">
        <f t="shared" si="345"/>
        <v/>
      </c>
      <c r="L3165" s="31" t="str">
        <f>IF(OR(B3165="",C3165=""),"",IFERROR(E3165 / SUMIFS('📅 Resumen Diario'!$D$5:$D$504, '📅 Resumen Diario'!$B$5:$B$504, B3165, '📅 Resumen Diario'!$C$5:$C$504, D3165) * SUMIFS('📅 Resumen Diario'!$K$5:$K$504, '📅 Resumen Diario'!$B$5:$B$504, B3165, '📅 Resumen Diario'!$C$5:$C$504, D3165), 0))</f>
        <v/>
      </c>
      <c r="M3165" s="31" t="str">
        <f t="shared" si="346"/>
        <v/>
      </c>
      <c r="N3165" s="31" t="str">
        <f t="shared" si="347"/>
        <v/>
      </c>
      <c r="O3165" s="31" t="str">
        <f>IF(OR(B3165="",C3165=""),"",K3165-N3165 + IFERROR(E3165 / SUMIFS('📅 Resumen Diario'!$D$5:$D$504, '📅 Resumen Diario'!$B$5:$B$504, B3165, '📅 Resumen Diario'!$C$5:$C$504, D3165) * (SUMIFS('📋 Detalle Diario'!$E$5:$E$489, '📋 Detalle Diario'!$B$5:$B$489, B3165, '📋 Detalle Diario'!$C$5:$C$489, D3165) * 135 + SUMIFS('📋 Detalle Diario'!$I$5:$I$489, '📋 Detalle Diario'!$B$5:$B$489, B3165, '📋 Detalle Diario'!$C$5:$C$489, D3165) * 200), 0))</f>
        <v/>
      </c>
      <c r="P3165" s="32" t="str">
        <f t="shared" si="348"/>
        <v/>
      </c>
      <c r="Q3165" s="33" t="str">
        <f t="shared" si="349"/>
        <v/>
      </c>
    </row>
    <row r="3166" spans="2:17" ht="18" customHeight="1" x14ac:dyDescent="0.3">
      <c r="B3166" s="26"/>
      <c r="C3166" s="17"/>
      <c r="D3166" s="27"/>
      <c r="E3166" s="18"/>
      <c r="F3166" s="18"/>
      <c r="G3166" s="18"/>
      <c r="H3166" s="30" t="str">
        <f t="shared" si="343"/>
        <v/>
      </c>
      <c r="I3166" s="31" t="str">
        <f>IF(OR(B3166="",C3166=""),"",IFERROR(E3166*IF(E3166="",0,VLOOKUP(C3166,'📦 Precios Proforma'!$B$5:$D$104,IF(D3166="DIA",2,3),FALSE)),0))</f>
        <v/>
      </c>
      <c r="J3166" s="31" t="str">
        <f t="shared" si="344"/>
        <v/>
      </c>
      <c r="K3166" s="31" t="str">
        <f t="shared" si="345"/>
        <v/>
      </c>
      <c r="L3166" s="31" t="str">
        <f>IF(OR(B3166="",C3166=""),"",IFERROR(E3166 / SUMIFS('📅 Resumen Diario'!$D$5:$D$504, '📅 Resumen Diario'!$B$5:$B$504, B3166, '📅 Resumen Diario'!$C$5:$C$504, D3166) * SUMIFS('📅 Resumen Diario'!$K$5:$K$504, '📅 Resumen Diario'!$B$5:$B$504, B3166, '📅 Resumen Diario'!$C$5:$C$504, D3166), 0))</f>
        <v/>
      </c>
      <c r="M3166" s="31" t="str">
        <f t="shared" si="346"/>
        <v/>
      </c>
      <c r="N3166" s="31" t="str">
        <f t="shared" si="347"/>
        <v/>
      </c>
      <c r="O3166" s="31" t="str">
        <f>IF(OR(B3166="",C3166=""),"",K3166-N3166 + IFERROR(E3166 / SUMIFS('📅 Resumen Diario'!$D$5:$D$504, '📅 Resumen Diario'!$B$5:$B$504, B3166, '📅 Resumen Diario'!$C$5:$C$504, D3166) * (SUMIFS('📋 Detalle Diario'!$E$5:$E$489, '📋 Detalle Diario'!$B$5:$B$489, B3166, '📋 Detalle Diario'!$C$5:$C$489, D3166) * 135 + SUMIFS('📋 Detalle Diario'!$I$5:$I$489, '📋 Detalle Diario'!$B$5:$B$489, B3166, '📋 Detalle Diario'!$C$5:$C$489, D3166) * 200), 0))</f>
        <v/>
      </c>
      <c r="P3166" s="32" t="str">
        <f t="shared" si="348"/>
        <v/>
      </c>
      <c r="Q3166" s="33" t="str">
        <f t="shared" si="349"/>
        <v/>
      </c>
    </row>
    <row r="3167" spans="2:17" ht="18" customHeight="1" x14ac:dyDescent="0.3">
      <c r="B3167" s="26"/>
      <c r="C3167" s="28"/>
      <c r="D3167" s="27"/>
      <c r="E3167" s="29"/>
      <c r="F3167" s="29"/>
      <c r="G3167" s="29"/>
      <c r="H3167" s="30" t="str">
        <f t="shared" si="343"/>
        <v/>
      </c>
      <c r="I3167" s="31" t="str">
        <f>IF(OR(B3167="",C3167=""),"",IFERROR(E3167*IF(E3167="",0,VLOOKUP(C3167,'📦 Precios Proforma'!$B$5:$D$104,IF(D3167="DIA",2,3),FALSE)),0))</f>
        <v/>
      </c>
      <c r="J3167" s="31" t="str">
        <f t="shared" si="344"/>
        <v/>
      </c>
      <c r="K3167" s="31" t="str">
        <f t="shared" si="345"/>
        <v/>
      </c>
      <c r="L3167" s="31" t="str">
        <f>IF(OR(B3167="",C3167=""),"",IFERROR(E3167 / SUMIFS('📅 Resumen Diario'!$D$5:$D$504, '📅 Resumen Diario'!$B$5:$B$504, B3167, '📅 Resumen Diario'!$C$5:$C$504, D3167) * SUMIFS('📅 Resumen Diario'!$K$5:$K$504, '📅 Resumen Diario'!$B$5:$B$504, B3167, '📅 Resumen Diario'!$C$5:$C$504, D3167), 0))</f>
        <v/>
      </c>
      <c r="M3167" s="31" t="str">
        <f t="shared" si="346"/>
        <v/>
      </c>
      <c r="N3167" s="31" t="str">
        <f t="shared" si="347"/>
        <v/>
      </c>
      <c r="O3167" s="31" t="str">
        <f>IF(OR(B3167="",C3167=""),"",K3167-N3167 + IFERROR(E3167 / SUMIFS('📅 Resumen Diario'!$D$5:$D$504, '📅 Resumen Diario'!$B$5:$B$504, B3167, '📅 Resumen Diario'!$C$5:$C$504, D3167) * (SUMIFS('📋 Detalle Diario'!$E$5:$E$489, '📋 Detalle Diario'!$B$5:$B$489, B3167, '📋 Detalle Diario'!$C$5:$C$489, D3167) * 135 + SUMIFS('📋 Detalle Diario'!$I$5:$I$489, '📋 Detalle Diario'!$B$5:$B$489, B3167, '📋 Detalle Diario'!$C$5:$C$489, D3167) * 200), 0))</f>
        <v/>
      </c>
      <c r="P3167" s="32" t="str">
        <f t="shared" si="348"/>
        <v/>
      </c>
      <c r="Q3167" s="33" t="str">
        <f t="shared" si="349"/>
        <v/>
      </c>
    </row>
    <row r="3168" spans="2:17" ht="18" customHeight="1" x14ac:dyDescent="0.3">
      <c r="B3168" s="26"/>
      <c r="C3168" s="17"/>
      <c r="D3168" s="27"/>
      <c r="E3168" s="18"/>
      <c r="F3168" s="18"/>
      <c r="G3168" s="18"/>
      <c r="H3168" s="30" t="str">
        <f t="shared" si="343"/>
        <v/>
      </c>
      <c r="I3168" s="31" t="str">
        <f>IF(OR(B3168="",C3168=""),"",IFERROR(E3168*IF(E3168="",0,VLOOKUP(C3168,'📦 Precios Proforma'!$B$5:$D$104,IF(D3168="DIA",2,3),FALSE)),0))</f>
        <v/>
      </c>
      <c r="J3168" s="31" t="str">
        <f t="shared" si="344"/>
        <v/>
      </c>
      <c r="K3168" s="31" t="str">
        <f t="shared" si="345"/>
        <v/>
      </c>
      <c r="L3168" s="31" t="str">
        <f>IF(OR(B3168="",C3168=""),"",IFERROR(E3168 / SUMIFS('📅 Resumen Diario'!$D$5:$D$504, '📅 Resumen Diario'!$B$5:$B$504, B3168, '📅 Resumen Diario'!$C$5:$C$504, D3168) * SUMIFS('📅 Resumen Diario'!$K$5:$K$504, '📅 Resumen Diario'!$B$5:$B$504, B3168, '📅 Resumen Diario'!$C$5:$C$504, D3168), 0))</f>
        <v/>
      </c>
      <c r="M3168" s="31" t="str">
        <f t="shared" si="346"/>
        <v/>
      </c>
      <c r="N3168" s="31" t="str">
        <f t="shared" si="347"/>
        <v/>
      </c>
      <c r="O3168" s="31" t="str">
        <f>IF(OR(B3168="",C3168=""),"",K3168-N3168 + IFERROR(E3168 / SUMIFS('📅 Resumen Diario'!$D$5:$D$504, '📅 Resumen Diario'!$B$5:$B$504, B3168, '📅 Resumen Diario'!$C$5:$C$504, D3168) * (SUMIFS('📋 Detalle Diario'!$E$5:$E$489, '📋 Detalle Diario'!$B$5:$B$489, B3168, '📋 Detalle Diario'!$C$5:$C$489, D3168) * 135 + SUMIFS('📋 Detalle Diario'!$I$5:$I$489, '📋 Detalle Diario'!$B$5:$B$489, B3168, '📋 Detalle Diario'!$C$5:$C$489, D3168) * 200), 0))</f>
        <v/>
      </c>
      <c r="P3168" s="32" t="str">
        <f t="shared" si="348"/>
        <v/>
      </c>
      <c r="Q3168" s="33" t="str">
        <f t="shared" si="349"/>
        <v/>
      </c>
    </row>
    <row r="3169" spans="2:17" ht="18" customHeight="1" x14ac:dyDescent="0.3">
      <c r="B3169" s="26"/>
      <c r="C3169" s="28"/>
      <c r="D3169" s="27"/>
      <c r="E3169" s="29"/>
      <c r="F3169" s="29"/>
      <c r="G3169" s="29"/>
      <c r="H3169" s="30" t="str">
        <f t="shared" si="343"/>
        <v/>
      </c>
      <c r="I3169" s="31" t="str">
        <f>IF(OR(B3169="",C3169=""),"",IFERROR(E3169*IF(E3169="",0,VLOOKUP(C3169,'📦 Precios Proforma'!$B$5:$D$104,IF(D3169="DIA",2,3),FALSE)),0))</f>
        <v/>
      </c>
      <c r="J3169" s="31" t="str">
        <f t="shared" si="344"/>
        <v/>
      </c>
      <c r="K3169" s="31" t="str">
        <f t="shared" si="345"/>
        <v/>
      </c>
      <c r="L3169" s="31" t="str">
        <f>IF(OR(B3169="",C3169=""),"",IFERROR(E3169 / SUMIFS('📅 Resumen Diario'!$D$5:$D$504, '📅 Resumen Diario'!$B$5:$B$504, B3169, '📅 Resumen Diario'!$C$5:$C$504, D3169) * SUMIFS('📅 Resumen Diario'!$K$5:$K$504, '📅 Resumen Diario'!$B$5:$B$504, B3169, '📅 Resumen Diario'!$C$5:$C$504, D3169), 0))</f>
        <v/>
      </c>
      <c r="M3169" s="31" t="str">
        <f t="shared" si="346"/>
        <v/>
      </c>
      <c r="N3169" s="31" t="str">
        <f t="shared" si="347"/>
        <v/>
      </c>
      <c r="O3169" s="31" t="str">
        <f>IF(OR(B3169="",C3169=""),"",K3169-N3169 + IFERROR(E3169 / SUMIFS('📅 Resumen Diario'!$D$5:$D$504, '📅 Resumen Diario'!$B$5:$B$504, B3169, '📅 Resumen Diario'!$C$5:$C$504, D3169) * (SUMIFS('📋 Detalle Diario'!$E$5:$E$489, '📋 Detalle Diario'!$B$5:$B$489, B3169, '📋 Detalle Diario'!$C$5:$C$489, D3169) * 135 + SUMIFS('📋 Detalle Diario'!$I$5:$I$489, '📋 Detalle Diario'!$B$5:$B$489, B3169, '📋 Detalle Diario'!$C$5:$C$489, D3169) * 200), 0))</f>
        <v/>
      </c>
      <c r="P3169" s="32" t="str">
        <f t="shared" si="348"/>
        <v/>
      </c>
      <c r="Q3169" s="33" t="str">
        <f t="shared" si="349"/>
        <v/>
      </c>
    </row>
    <row r="3170" spans="2:17" ht="18" customHeight="1" x14ac:dyDescent="0.3">
      <c r="B3170" s="26"/>
      <c r="C3170" s="17"/>
      <c r="D3170" s="27"/>
      <c r="E3170" s="18"/>
      <c r="F3170" s="18"/>
      <c r="G3170" s="18"/>
      <c r="H3170" s="30" t="str">
        <f t="shared" si="343"/>
        <v/>
      </c>
      <c r="I3170" s="31" t="str">
        <f>IF(OR(B3170="",C3170=""),"",IFERROR(E3170*IF(E3170="",0,VLOOKUP(C3170,'📦 Precios Proforma'!$B$5:$D$104,IF(D3170="DIA",2,3),FALSE)),0))</f>
        <v/>
      </c>
      <c r="J3170" s="31" t="str">
        <f t="shared" si="344"/>
        <v/>
      </c>
      <c r="K3170" s="31" t="str">
        <f t="shared" si="345"/>
        <v/>
      </c>
      <c r="L3170" s="31" t="str">
        <f>IF(OR(B3170="",C3170=""),"",IFERROR(E3170 / SUMIFS('📅 Resumen Diario'!$D$5:$D$504, '📅 Resumen Diario'!$B$5:$B$504, B3170, '📅 Resumen Diario'!$C$5:$C$504, D3170) * SUMIFS('📅 Resumen Diario'!$K$5:$K$504, '📅 Resumen Diario'!$B$5:$B$504, B3170, '📅 Resumen Diario'!$C$5:$C$504, D3170), 0))</f>
        <v/>
      </c>
      <c r="M3170" s="31" t="str">
        <f t="shared" si="346"/>
        <v/>
      </c>
      <c r="N3170" s="31" t="str">
        <f t="shared" si="347"/>
        <v/>
      </c>
      <c r="O3170" s="31" t="str">
        <f>IF(OR(B3170="",C3170=""),"",K3170-N3170 + IFERROR(E3170 / SUMIFS('📅 Resumen Diario'!$D$5:$D$504, '📅 Resumen Diario'!$B$5:$B$504, B3170, '📅 Resumen Diario'!$C$5:$C$504, D3170) * (SUMIFS('📋 Detalle Diario'!$E$5:$E$489, '📋 Detalle Diario'!$B$5:$B$489, B3170, '📋 Detalle Diario'!$C$5:$C$489, D3170) * 135 + SUMIFS('📋 Detalle Diario'!$I$5:$I$489, '📋 Detalle Diario'!$B$5:$B$489, B3170, '📋 Detalle Diario'!$C$5:$C$489, D3170) * 200), 0))</f>
        <v/>
      </c>
      <c r="P3170" s="32" t="str">
        <f t="shared" si="348"/>
        <v/>
      </c>
      <c r="Q3170" s="33" t="str">
        <f t="shared" si="349"/>
        <v/>
      </c>
    </row>
    <row r="3171" spans="2:17" ht="18" customHeight="1" x14ac:dyDescent="0.3">
      <c r="B3171" s="26"/>
      <c r="C3171" s="28"/>
      <c r="D3171" s="27"/>
      <c r="E3171" s="29"/>
      <c r="F3171" s="29"/>
      <c r="G3171" s="29"/>
      <c r="H3171" s="30" t="str">
        <f t="shared" si="343"/>
        <v/>
      </c>
      <c r="I3171" s="31" t="str">
        <f>IF(OR(B3171="",C3171=""),"",IFERROR(E3171*IF(E3171="",0,VLOOKUP(C3171,'📦 Precios Proforma'!$B$5:$D$104,IF(D3171="DIA",2,3),FALSE)),0))</f>
        <v/>
      </c>
      <c r="J3171" s="31" t="str">
        <f t="shared" si="344"/>
        <v/>
      </c>
      <c r="K3171" s="31" t="str">
        <f t="shared" si="345"/>
        <v/>
      </c>
      <c r="L3171" s="31" t="str">
        <f>IF(OR(B3171="",C3171=""),"",IFERROR(E3171 / SUMIFS('📅 Resumen Diario'!$D$5:$D$504, '📅 Resumen Diario'!$B$5:$B$504, B3171, '📅 Resumen Diario'!$C$5:$C$504, D3171) * SUMIFS('📅 Resumen Diario'!$K$5:$K$504, '📅 Resumen Diario'!$B$5:$B$504, B3171, '📅 Resumen Diario'!$C$5:$C$504, D3171), 0))</f>
        <v/>
      </c>
      <c r="M3171" s="31" t="str">
        <f t="shared" si="346"/>
        <v/>
      </c>
      <c r="N3171" s="31" t="str">
        <f t="shared" si="347"/>
        <v/>
      </c>
      <c r="O3171" s="31" t="str">
        <f>IF(OR(B3171="",C3171=""),"",K3171-N3171 + IFERROR(E3171 / SUMIFS('📅 Resumen Diario'!$D$5:$D$504, '📅 Resumen Diario'!$B$5:$B$504, B3171, '📅 Resumen Diario'!$C$5:$C$504, D3171) * (SUMIFS('📋 Detalle Diario'!$E$5:$E$489, '📋 Detalle Diario'!$B$5:$B$489, B3171, '📋 Detalle Diario'!$C$5:$C$489, D3171) * 135 + SUMIFS('📋 Detalle Diario'!$I$5:$I$489, '📋 Detalle Diario'!$B$5:$B$489, B3171, '📋 Detalle Diario'!$C$5:$C$489, D3171) * 200), 0))</f>
        <v/>
      </c>
      <c r="P3171" s="32" t="str">
        <f t="shared" si="348"/>
        <v/>
      </c>
      <c r="Q3171" s="33" t="str">
        <f t="shared" si="349"/>
        <v/>
      </c>
    </row>
    <row r="3172" spans="2:17" ht="18" customHeight="1" x14ac:dyDescent="0.3">
      <c r="B3172" s="26"/>
      <c r="C3172" s="17"/>
      <c r="D3172" s="27"/>
      <c r="E3172" s="18"/>
      <c r="F3172" s="18"/>
      <c r="G3172" s="18"/>
      <c r="H3172" s="30" t="str">
        <f t="shared" si="343"/>
        <v/>
      </c>
      <c r="I3172" s="31" t="str">
        <f>IF(OR(B3172="",C3172=""),"",IFERROR(E3172*IF(E3172="",0,VLOOKUP(C3172,'📦 Precios Proforma'!$B$5:$D$104,IF(D3172="DIA",2,3),FALSE)),0))</f>
        <v/>
      </c>
      <c r="J3172" s="31" t="str">
        <f t="shared" si="344"/>
        <v/>
      </c>
      <c r="K3172" s="31" t="str">
        <f t="shared" si="345"/>
        <v/>
      </c>
      <c r="L3172" s="31" t="str">
        <f>IF(OR(B3172="",C3172=""),"",IFERROR(E3172 / SUMIFS('📅 Resumen Diario'!$D$5:$D$504, '📅 Resumen Diario'!$B$5:$B$504, B3172, '📅 Resumen Diario'!$C$5:$C$504, D3172) * SUMIFS('📅 Resumen Diario'!$K$5:$K$504, '📅 Resumen Diario'!$B$5:$B$504, B3172, '📅 Resumen Diario'!$C$5:$C$504, D3172), 0))</f>
        <v/>
      </c>
      <c r="M3172" s="31" t="str">
        <f t="shared" si="346"/>
        <v/>
      </c>
      <c r="N3172" s="31" t="str">
        <f t="shared" si="347"/>
        <v/>
      </c>
      <c r="O3172" s="31" t="str">
        <f>IF(OR(B3172="",C3172=""),"",K3172-N3172 + IFERROR(E3172 / SUMIFS('📅 Resumen Diario'!$D$5:$D$504, '📅 Resumen Diario'!$B$5:$B$504, B3172, '📅 Resumen Diario'!$C$5:$C$504, D3172) * (SUMIFS('📋 Detalle Diario'!$E$5:$E$489, '📋 Detalle Diario'!$B$5:$B$489, B3172, '📋 Detalle Diario'!$C$5:$C$489, D3172) * 135 + SUMIFS('📋 Detalle Diario'!$I$5:$I$489, '📋 Detalle Diario'!$B$5:$B$489, B3172, '📋 Detalle Diario'!$C$5:$C$489, D3172) * 200), 0))</f>
        <v/>
      </c>
      <c r="P3172" s="32" t="str">
        <f t="shared" si="348"/>
        <v/>
      </c>
      <c r="Q3172" s="33" t="str">
        <f t="shared" si="349"/>
        <v/>
      </c>
    </row>
    <row r="3173" spans="2:17" ht="18" customHeight="1" x14ac:dyDescent="0.3">
      <c r="B3173" s="26"/>
      <c r="C3173" s="28"/>
      <c r="D3173" s="27"/>
      <c r="E3173" s="29"/>
      <c r="F3173" s="29"/>
      <c r="G3173" s="29"/>
      <c r="H3173" s="30" t="str">
        <f t="shared" si="343"/>
        <v/>
      </c>
      <c r="I3173" s="31" t="str">
        <f>IF(OR(B3173="",C3173=""),"",IFERROR(E3173*IF(E3173="",0,VLOOKUP(C3173,'📦 Precios Proforma'!$B$5:$D$104,IF(D3173="DIA",2,3),FALSE)),0))</f>
        <v/>
      </c>
      <c r="J3173" s="31" t="str">
        <f t="shared" si="344"/>
        <v/>
      </c>
      <c r="K3173" s="31" t="str">
        <f t="shared" si="345"/>
        <v/>
      </c>
      <c r="L3173" s="31" t="str">
        <f>IF(OR(B3173="",C3173=""),"",IFERROR(E3173 / SUMIFS('📅 Resumen Diario'!$D$5:$D$504, '📅 Resumen Diario'!$B$5:$B$504, B3173, '📅 Resumen Diario'!$C$5:$C$504, D3173) * SUMIFS('📅 Resumen Diario'!$K$5:$K$504, '📅 Resumen Diario'!$B$5:$B$504, B3173, '📅 Resumen Diario'!$C$5:$C$504, D3173), 0))</f>
        <v/>
      </c>
      <c r="M3173" s="31" t="str">
        <f t="shared" si="346"/>
        <v/>
      </c>
      <c r="N3173" s="31" t="str">
        <f t="shared" si="347"/>
        <v/>
      </c>
      <c r="O3173" s="31" t="str">
        <f>IF(OR(B3173="",C3173=""),"",K3173-N3173 + IFERROR(E3173 / SUMIFS('📅 Resumen Diario'!$D$5:$D$504, '📅 Resumen Diario'!$B$5:$B$504, B3173, '📅 Resumen Diario'!$C$5:$C$504, D3173) * (SUMIFS('📋 Detalle Diario'!$E$5:$E$489, '📋 Detalle Diario'!$B$5:$B$489, B3173, '📋 Detalle Diario'!$C$5:$C$489, D3173) * 135 + SUMIFS('📋 Detalle Diario'!$I$5:$I$489, '📋 Detalle Diario'!$B$5:$B$489, B3173, '📋 Detalle Diario'!$C$5:$C$489, D3173) * 200), 0))</f>
        <v/>
      </c>
      <c r="P3173" s="32" t="str">
        <f t="shared" si="348"/>
        <v/>
      </c>
      <c r="Q3173" s="33" t="str">
        <f t="shared" si="349"/>
        <v/>
      </c>
    </row>
    <row r="3174" spans="2:17" ht="18" customHeight="1" x14ac:dyDescent="0.3">
      <c r="B3174" s="26"/>
      <c r="C3174" s="17"/>
      <c r="D3174" s="27"/>
      <c r="E3174" s="18"/>
      <c r="F3174" s="18"/>
      <c r="G3174" s="18"/>
      <c r="H3174" s="30" t="str">
        <f t="shared" si="343"/>
        <v/>
      </c>
      <c r="I3174" s="31" t="str">
        <f>IF(OR(B3174="",C3174=""),"",IFERROR(E3174*IF(E3174="",0,VLOOKUP(C3174,'📦 Precios Proforma'!$B$5:$D$104,IF(D3174="DIA",2,3),FALSE)),0))</f>
        <v/>
      </c>
      <c r="J3174" s="31" t="str">
        <f t="shared" si="344"/>
        <v/>
      </c>
      <c r="K3174" s="31" t="str">
        <f t="shared" si="345"/>
        <v/>
      </c>
      <c r="L3174" s="31" t="str">
        <f>IF(OR(B3174="",C3174=""),"",IFERROR(E3174 / SUMIFS('📅 Resumen Diario'!$D$5:$D$504, '📅 Resumen Diario'!$B$5:$B$504, B3174, '📅 Resumen Diario'!$C$5:$C$504, D3174) * SUMIFS('📅 Resumen Diario'!$K$5:$K$504, '📅 Resumen Diario'!$B$5:$B$504, B3174, '📅 Resumen Diario'!$C$5:$C$504, D3174), 0))</f>
        <v/>
      </c>
      <c r="M3174" s="31" t="str">
        <f t="shared" si="346"/>
        <v/>
      </c>
      <c r="N3174" s="31" t="str">
        <f t="shared" si="347"/>
        <v/>
      </c>
      <c r="O3174" s="31" t="str">
        <f>IF(OR(B3174="",C3174=""),"",K3174-N3174 + IFERROR(E3174 / SUMIFS('📅 Resumen Diario'!$D$5:$D$504, '📅 Resumen Diario'!$B$5:$B$504, B3174, '📅 Resumen Diario'!$C$5:$C$504, D3174) * (SUMIFS('📋 Detalle Diario'!$E$5:$E$489, '📋 Detalle Diario'!$B$5:$B$489, B3174, '📋 Detalle Diario'!$C$5:$C$489, D3174) * 135 + SUMIFS('📋 Detalle Diario'!$I$5:$I$489, '📋 Detalle Diario'!$B$5:$B$489, B3174, '📋 Detalle Diario'!$C$5:$C$489, D3174) * 200), 0))</f>
        <v/>
      </c>
      <c r="P3174" s="32" t="str">
        <f t="shared" si="348"/>
        <v/>
      </c>
      <c r="Q3174" s="33" t="str">
        <f t="shared" si="349"/>
        <v/>
      </c>
    </row>
    <row r="3175" spans="2:17" ht="18" customHeight="1" x14ac:dyDescent="0.3">
      <c r="B3175" s="26"/>
      <c r="C3175" s="28"/>
      <c r="D3175" s="27"/>
      <c r="E3175" s="29"/>
      <c r="F3175" s="29"/>
      <c r="G3175" s="29"/>
      <c r="H3175" s="30" t="str">
        <f t="shared" si="343"/>
        <v/>
      </c>
      <c r="I3175" s="31" t="str">
        <f>IF(OR(B3175="",C3175=""),"",IFERROR(E3175*IF(E3175="",0,VLOOKUP(C3175,'📦 Precios Proforma'!$B$5:$D$104,IF(D3175="DIA",2,3),FALSE)),0))</f>
        <v/>
      </c>
      <c r="J3175" s="31" t="str">
        <f t="shared" si="344"/>
        <v/>
      </c>
      <c r="K3175" s="31" t="str">
        <f t="shared" si="345"/>
        <v/>
      </c>
      <c r="L3175" s="31" t="str">
        <f>IF(OR(B3175="",C3175=""),"",IFERROR(E3175 / SUMIFS('📅 Resumen Diario'!$D$5:$D$504, '📅 Resumen Diario'!$B$5:$B$504, B3175, '📅 Resumen Diario'!$C$5:$C$504, D3175) * SUMIFS('📅 Resumen Diario'!$K$5:$K$504, '📅 Resumen Diario'!$B$5:$B$504, B3175, '📅 Resumen Diario'!$C$5:$C$504, D3175), 0))</f>
        <v/>
      </c>
      <c r="M3175" s="31" t="str">
        <f t="shared" si="346"/>
        <v/>
      </c>
      <c r="N3175" s="31" t="str">
        <f t="shared" si="347"/>
        <v/>
      </c>
      <c r="O3175" s="31" t="str">
        <f>IF(OR(B3175="",C3175=""),"",K3175-N3175 + IFERROR(E3175 / SUMIFS('📅 Resumen Diario'!$D$5:$D$504, '📅 Resumen Diario'!$B$5:$B$504, B3175, '📅 Resumen Diario'!$C$5:$C$504, D3175) * (SUMIFS('📋 Detalle Diario'!$E$5:$E$489, '📋 Detalle Diario'!$B$5:$B$489, B3175, '📋 Detalle Diario'!$C$5:$C$489, D3175) * 135 + SUMIFS('📋 Detalle Diario'!$I$5:$I$489, '📋 Detalle Diario'!$B$5:$B$489, B3175, '📋 Detalle Diario'!$C$5:$C$489, D3175) * 200), 0))</f>
        <v/>
      </c>
      <c r="P3175" s="32" t="str">
        <f t="shared" si="348"/>
        <v/>
      </c>
      <c r="Q3175" s="33" t="str">
        <f t="shared" si="349"/>
        <v/>
      </c>
    </row>
    <row r="3176" spans="2:17" ht="18" customHeight="1" x14ac:dyDescent="0.3">
      <c r="B3176" s="26"/>
      <c r="C3176" s="17"/>
      <c r="D3176" s="27"/>
      <c r="E3176" s="18"/>
      <c r="F3176" s="18"/>
      <c r="G3176" s="18"/>
      <c r="H3176" s="30" t="str">
        <f t="shared" si="343"/>
        <v/>
      </c>
      <c r="I3176" s="31" t="str">
        <f>IF(OR(B3176="",C3176=""),"",IFERROR(E3176*IF(E3176="",0,VLOOKUP(C3176,'📦 Precios Proforma'!$B$5:$D$104,IF(D3176="DIA",2,3),FALSE)),0))</f>
        <v/>
      </c>
      <c r="J3176" s="31" t="str">
        <f t="shared" si="344"/>
        <v/>
      </c>
      <c r="K3176" s="31" t="str">
        <f t="shared" si="345"/>
        <v/>
      </c>
      <c r="L3176" s="31" t="str">
        <f>IF(OR(B3176="",C3176=""),"",IFERROR(E3176 / SUMIFS('📅 Resumen Diario'!$D$5:$D$504, '📅 Resumen Diario'!$B$5:$B$504, B3176, '📅 Resumen Diario'!$C$5:$C$504, D3176) * SUMIFS('📅 Resumen Diario'!$K$5:$K$504, '📅 Resumen Diario'!$B$5:$B$504, B3176, '📅 Resumen Diario'!$C$5:$C$504, D3176), 0))</f>
        <v/>
      </c>
      <c r="M3176" s="31" t="str">
        <f t="shared" si="346"/>
        <v/>
      </c>
      <c r="N3176" s="31" t="str">
        <f t="shared" si="347"/>
        <v/>
      </c>
      <c r="O3176" s="31" t="str">
        <f>IF(OR(B3176="",C3176=""),"",K3176-N3176 + IFERROR(E3176 / SUMIFS('📅 Resumen Diario'!$D$5:$D$504, '📅 Resumen Diario'!$B$5:$B$504, B3176, '📅 Resumen Diario'!$C$5:$C$504, D3176) * (SUMIFS('📋 Detalle Diario'!$E$5:$E$489, '📋 Detalle Diario'!$B$5:$B$489, B3176, '📋 Detalle Diario'!$C$5:$C$489, D3176) * 135 + SUMIFS('📋 Detalle Diario'!$I$5:$I$489, '📋 Detalle Diario'!$B$5:$B$489, B3176, '📋 Detalle Diario'!$C$5:$C$489, D3176) * 200), 0))</f>
        <v/>
      </c>
      <c r="P3176" s="32" t="str">
        <f t="shared" si="348"/>
        <v/>
      </c>
      <c r="Q3176" s="33" t="str">
        <f t="shared" si="349"/>
        <v/>
      </c>
    </row>
    <row r="3177" spans="2:17" ht="18" customHeight="1" x14ac:dyDescent="0.3">
      <c r="B3177" s="26"/>
      <c r="C3177" s="28"/>
      <c r="D3177" s="27"/>
      <c r="E3177" s="29"/>
      <c r="F3177" s="29"/>
      <c r="G3177" s="29"/>
      <c r="H3177" s="30" t="str">
        <f t="shared" si="343"/>
        <v/>
      </c>
      <c r="I3177" s="31" t="str">
        <f>IF(OR(B3177="",C3177=""),"",IFERROR(E3177*IF(E3177="",0,VLOOKUP(C3177,'📦 Precios Proforma'!$B$5:$D$104,IF(D3177="DIA",2,3),FALSE)),0))</f>
        <v/>
      </c>
      <c r="J3177" s="31" t="str">
        <f t="shared" si="344"/>
        <v/>
      </c>
      <c r="K3177" s="31" t="str">
        <f t="shared" si="345"/>
        <v/>
      </c>
      <c r="L3177" s="31" t="str">
        <f>IF(OR(B3177="",C3177=""),"",IFERROR(E3177 / SUMIFS('📅 Resumen Diario'!$D$5:$D$504, '📅 Resumen Diario'!$B$5:$B$504, B3177, '📅 Resumen Diario'!$C$5:$C$504, D3177) * SUMIFS('📅 Resumen Diario'!$K$5:$K$504, '📅 Resumen Diario'!$B$5:$B$504, B3177, '📅 Resumen Diario'!$C$5:$C$504, D3177), 0))</f>
        <v/>
      </c>
      <c r="M3177" s="31" t="str">
        <f t="shared" si="346"/>
        <v/>
      </c>
      <c r="N3177" s="31" t="str">
        <f t="shared" si="347"/>
        <v/>
      </c>
      <c r="O3177" s="31" t="str">
        <f>IF(OR(B3177="",C3177=""),"",K3177-N3177 + IFERROR(E3177 / SUMIFS('📅 Resumen Diario'!$D$5:$D$504, '📅 Resumen Diario'!$B$5:$B$504, B3177, '📅 Resumen Diario'!$C$5:$C$504, D3177) * (SUMIFS('📋 Detalle Diario'!$E$5:$E$489, '📋 Detalle Diario'!$B$5:$B$489, B3177, '📋 Detalle Diario'!$C$5:$C$489, D3177) * 135 + SUMIFS('📋 Detalle Diario'!$I$5:$I$489, '📋 Detalle Diario'!$B$5:$B$489, B3177, '📋 Detalle Diario'!$C$5:$C$489, D3177) * 200), 0))</f>
        <v/>
      </c>
      <c r="P3177" s="32" t="str">
        <f t="shared" si="348"/>
        <v/>
      </c>
      <c r="Q3177" s="33" t="str">
        <f t="shared" si="349"/>
        <v/>
      </c>
    </row>
    <row r="3178" spans="2:17" ht="18" customHeight="1" x14ac:dyDescent="0.3">
      <c r="B3178" s="26"/>
      <c r="C3178" s="17"/>
      <c r="D3178" s="27"/>
      <c r="E3178" s="18"/>
      <c r="F3178" s="18"/>
      <c r="G3178" s="18"/>
      <c r="H3178" s="30" t="str">
        <f t="shared" si="343"/>
        <v/>
      </c>
      <c r="I3178" s="31" t="str">
        <f>IF(OR(B3178="",C3178=""),"",IFERROR(E3178*IF(E3178="",0,VLOOKUP(C3178,'📦 Precios Proforma'!$B$5:$D$104,IF(D3178="DIA",2,3),FALSE)),0))</f>
        <v/>
      </c>
      <c r="J3178" s="31" t="str">
        <f t="shared" si="344"/>
        <v/>
      </c>
      <c r="K3178" s="31" t="str">
        <f t="shared" si="345"/>
        <v/>
      </c>
      <c r="L3178" s="31" t="str">
        <f>IF(OR(B3178="",C3178=""),"",IFERROR(E3178 / SUMIFS('📅 Resumen Diario'!$D$5:$D$504, '📅 Resumen Diario'!$B$5:$B$504, B3178, '📅 Resumen Diario'!$C$5:$C$504, D3178) * SUMIFS('📅 Resumen Diario'!$K$5:$K$504, '📅 Resumen Diario'!$B$5:$B$504, B3178, '📅 Resumen Diario'!$C$5:$C$504, D3178), 0))</f>
        <v/>
      </c>
      <c r="M3178" s="31" t="str">
        <f t="shared" si="346"/>
        <v/>
      </c>
      <c r="N3178" s="31" t="str">
        <f t="shared" si="347"/>
        <v/>
      </c>
      <c r="O3178" s="31" t="str">
        <f>IF(OR(B3178="",C3178=""),"",K3178-N3178 + IFERROR(E3178 / SUMIFS('📅 Resumen Diario'!$D$5:$D$504, '📅 Resumen Diario'!$B$5:$B$504, B3178, '📅 Resumen Diario'!$C$5:$C$504, D3178) * (SUMIFS('📋 Detalle Diario'!$E$5:$E$489, '📋 Detalle Diario'!$B$5:$B$489, B3178, '📋 Detalle Diario'!$C$5:$C$489, D3178) * 135 + SUMIFS('📋 Detalle Diario'!$I$5:$I$489, '📋 Detalle Diario'!$B$5:$B$489, B3178, '📋 Detalle Diario'!$C$5:$C$489, D3178) * 200), 0))</f>
        <v/>
      </c>
      <c r="P3178" s="32" t="str">
        <f t="shared" si="348"/>
        <v/>
      </c>
      <c r="Q3178" s="33" t="str">
        <f t="shared" si="349"/>
        <v/>
      </c>
    </row>
    <row r="3179" spans="2:17" ht="18" customHeight="1" x14ac:dyDescent="0.3">
      <c r="B3179" s="26"/>
      <c r="C3179" s="28"/>
      <c r="D3179" s="27"/>
      <c r="E3179" s="29"/>
      <c r="F3179" s="29"/>
      <c r="G3179" s="29"/>
      <c r="H3179" s="30" t="str">
        <f t="shared" si="343"/>
        <v/>
      </c>
      <c r="I3179" s="31" t="str">
        <f>IF(OR(B3179="",C3179=""),"",IFERROR(E3179*IF(E3179="",0,VLOOKUP(C3179,'📦 Precios Proforma'!$B$5:$D$104,IF(D3179="DIA",2,3),FALSE)),0))</f>
        <v/>
      </c>
      <c r="J3179" s="31" t="str">
        <f t="shared" si="344"/>
        <v/>
      </c>
      <c r="K3179" s="31" t="str">
        <f t="shared" si="345"/>
        <v/>
      </c>
      <c r="L3179" s="31" t="str">
        <f>IF(OR(B3179="",C3179=""),"",IFERROR(E3179 / SUMIFS('📅 Resumen Diario'!$D$5:$D$504, '📅 Resumen Diario'!$B$5:$B$504, B3179, '📅 Resumen Diario'!$C$5:$C$504, D3179) * SUMIFS('📅 Resumen Diario'!$K$5:$K$504, '📅 Resumen Diario'!$B$5:$B$504, B3179, '📅 Resumen Diario'!$C$5:$C$504, D3179), 0))</f>
        <v/>
      </c>
      <c r="M3179" s="31" t="str">
        <f t="shared" si="346"/>
        <v/>
      </c>
      <c r="N3179" s="31" t="str">
        <f t="shared" si="347"/>
        <v/>
      </c>
      <c r="O3179" s="31" t="str">
        <f>IF(OR(B3179="",C3179=""),"",K3179-N3179 + IFERROR(E3179 / SUMIFS('📅 Resumen Diario'!$D$5:$D$504, '📅 Resumen Diario'!$B$5:$B$504, B3179, '📅 Resumen Diario'!$C$5:$C$504, D3179) * (SUMIFS('📋 Detalle Diario'!$E$5:$E$489, '📋 Detalle Diario'!$B$5:$B$489, B3179, '📋 Detalle Diario'!$C$5:$C$489, D3179) * 135 + SUMIFS('📋 Detalle Diario'!$I$5:$I$489, '📋 Detalle Diario'!$B$5:$B$489, B3179, '📋 Detalle Diario'!$C$5:$C$489, D3179) * 200), 0))</f>
        <v/>
      </c>
      <c r="P3179" s="32" t="str">
        <f t="shared" si="348"/>
        <v/>
      </c>
      <c r="Q3179" s="33" t="str">
        <f t="shared" si="349"/>
        <v/>
      </c>
    </row>
    <row r="3180" spans="2:17" ht="18" customHeight="1" x14ac:dyDescent="0.3">
      <c r="B3180" s="26"/>
      <c r="C3180" s="17"/>
      <c r="D3180" s="27"/>
      <c r="E3180" s="18"/>
      <c r="F3180" s="18"/>
      <c r="G3180" s="18"/>
      <c r="H3180" s="30" t="str">
        <f t="shared" si="343"/>
        <v/>
      </c>
      <c r="I3180" s="31" t="str">
        <f>IF(OR(B3180="",C3180=""),"",IFERROR(E3180*IF(E3180="",0,VLOOKUP(C3180,'📦 Precios Proforma'!$B$5:$D$104,IF(D3180="DIA",2,3),FALSE)),0))</f>
        <v/>
      </c>
      <c r="J3180" s="31" t="str">
        <f t="shared" si="344"/>
        <v/>
      </c>
      <c r="K3180" s="31" t="str">
        <f t="shared" si="345"/>
        <v/>
      </c>
      <c r="L3180" s="31" t="str">
        <f>IF(OR(B3180="",C3180=""),"",IFERROR(E3180 / SUMIFS('📅 Resumen Diario'!$D$5:$D$504, '📅 Resumen Diario'!$B$5:$B$504, B3180, '📅 Resumen Diario'!$C$5:$C$504, D3180) * SUMIFS('📅 Resumen Diario'!$K$5:$K$504, '📅 Resumen Diario'!$B$5:$B$504, B3180, '📅 Resumen Diario'!$C$5:$C$504, D3180), 0))</f>
        <v/>
      </c>
      <c r="M3180" s="31" t="str">
        <f t="shared" si="346"/>
        <v/>
      </c>
      <c r="N3180" s="31" t="str">
        <f t="shared" si="347"/>
        <v/>
      </c>
      <c r="O3180" s="31" t="str">
        <f>IF(OR(B3180="",C3180=""),"",K3180-N3180 + IFERROR(E3180 / SUMIFS('📅 Resumen Diario'!$D$5:$D$504, '📅 Resumen Diario'!$B$5:$B$504, B3180, '📅 Resumen Diario'!$C$5:$C$504, D3180) * (SUMIFS('📋 Detalle Diario'!$E$5:$E$489, '📋 Detalle Diario'!$B$5:$B$489, B3180, '📋 Detalle Diario'!$C$5:$C$489, D3180) * 135 + SUMIFS('📋 Detalle Diario'!$I$5:$I$489, '📋 Detalle Diario'!$B$5:$B$489, B3180, '📋 Detalle Diario'!$C$5:$C$489, D3180) * 200), 0))</f>
        <v/>
      </c>
      <c r="P3180" s="32" t="str">
        <f t="shared" si="348"/>
        <v/>
      </c>
      <c r="Q3180" s="33" t="str">
        <f t="shared" si="349"/>
        <v/>
      </c>
    </row>
    <row r="3181" spans="2:17" ht="18" customHeight="1" x14ac:dyDescent="0.3">
      <c r="B3181" s="26"/>
      <c r="C3181" s="28"/>
      <c r="D3181" s="27"/>
      <c r="E3181" s="29"/>
      <c r="F3181" s="29"/>
      <c r="G3181" s="29"/>
      <c r="H3181" s="30" t="str">
        <f t="shared" si="343"/>
        <v/>
      </c>
      <c r="I3181" s="31" t="str">
        <f>IF(OR(B3181="",C3181=""),"",IFERROR(E3181*IF(E3181="",0,VLOOKUP(C3181,'📦 Precios Proforma'!$B$5:$D$104,IF(D3181="DIA",2,3),FALSE)),0))</f>
        <v/>
      </c>
      <c r="J3181" s="31" t="str">
        <f t="shared" si="344"/>
        <v/>
      </c>
      <c r="K3181" s="31" t="str">
        <f t="shared" si="345"/>
        <v/>
      </c>
      <c r="L3181" s="31" t="str">
        <f>IF(OR(B3181="",C3181=""),"",IFERROR(E3181 / SUMIFS('📅 Resumen Diario'!$D$5:$D$504, '📅 Resumen Diario'!$B$5:$B$504, B3181, '📅 Resumen Diario'!$C$5:$C$504, D3181) * SUMIFS('📅 Resumen Diario'!$K$5:$K$504, '📅 Resumen Diario'!$B$5:$B$504, B3181, '📅 Resumen Diario'!$C$5:$C$504, D3181), 0))</f>
        <v/>
      </c>
      <c r="M3181" s="31" t="str">
        <f t="shared" si="346"/>
        <v/>
      </c>
      <c r="N3181" s="31" t="str">
        <f t="shared" si="347"/>
        <v/>
      </c>
      <c r="O3181" s="31" t="str">
        <f>IF(OR(B3181="",C3181=""),"",K3181-N3181 + IFERROR(E3181 / SUMIFS('📅 Resumen Diario'!$D$5:$D$504, '📅 Resumen Diario'!$B$5:$B$504, B3181, '📅 Resumen Diario'!$C$5:$C$504, D3181) * (SUMIFS('📋 Detalle Diario'!$E$5:$E$489, '📋 Detalle Diario'!$B$5:$B$489, B3181, '📋 Detalle Diario'!$C$5:$C$489, D3181) * 135 + SUMIFS('📋 Detalle Diario'!$I$5:$I$489, '📋 Detalle Diario'!$B$5:$B$489, B3181, '📋 Detalle Diario'!$C$5:$C$489, D3181) * 200), 0))</f>
        <v/>
      </c>
      <c r="P3181" s="32" t="str">
        <f t="shared" si="348"/>
        <v/>
      </c>
      <c r="Q3181" s="33" t="str">
        <f t="shared" si="349"/>
        <v/>
      </c>
    </row>
    <row r="3182" spans="2:17" ht="18" customHeight="1" x14ac:dyDescent="0.3">
      <c r="B3182" s="26"/>
      <c r="C3182" s="17"/>
      <c r="D3182" s="27"/>
      <c r="E3182" s="18"/>
      <c r="F3182" s="18"/>
      <c r="G3182" s="18"/>
      <c r="H3182" s="30" t="str">
        <f t="shared" si="343"/>
        <v/>
      </c>
      <c r="I3182" s="31" t="str">
        <f>IF(OR(B3182="",C3182=""),"",IFERROR(E3182*IF(E3182="",0,VLOOKUP(C3182,'📦 Precios Proforma'!$B$5:$D$104,IF(D3182="DIA",2,3),FALSE)),0))</f>
        <v/>
      </c>
      <c r="J3182" s="31" t="str">
        <f t="shared" si="344"/>
        <v/>
      </c>
      <c r="K3182" s="31" t="str">
        <f t="shared" si="345"/>
        <v/>
      </c>
      <c r="L3182" s="31" t="str">
        <f>IF(OR(B3182="",C3182=""),"",IFERROR(E3182 / SUMIFS('📅 Resumen Diario'!$D$5:$D$504, '📅 Resumen Diario'!$B$5:$B$504, B3182, '📅 Resumen Diario'!$C$5:$C$504, D3182) * SUMIFS('📅 Resumen Diario'!$K$5:$K$504, '📅 Resumen Diario'!$B$5:$B$504, B3182, '📅 Resumen Diario'!$C$5:$C$504, D3182), 0))</f>
        <v/>
      </c>
      <c r="M3182" s="31" t="str">
        <f t="shared" si="346"/>
        <v/>
      </c>
      <c r="N3182" s="31" t="str">
        <f t="shared" si="347"/>
        <v/>
      </c>
      <c r="O3182" s="31" t="str">
        <f>IF(OR(B3182="",C3182=""),"",K3182-N3182 + IFERROR(E3182 / SUMIFS('📅 Resumen Diario'!$D$5:$D$504, '📅 Resumen Diario'!$B$5:$B$504, B3182, '📅 Resumen Diario'!$C$5:$C$504, D3182) * (SUMIFS('📋 Detalle Diario'!$E$5:$E$489, '📋 Detalle Diario'!$B$5:$B$489, B3182, '📋 Detalle Diario'!$C$5:$C$489, D3182) * 135 + SUMIFS('📋 Detalle Diario'!$I$5:$I$489, '📋 Detalle Diario'!$B$5:$B$489, B3182, '📋 Detalle Diario'!$C$5:$C$489, D3182) * 200), 0))</f>
        <v/>
      </c>
      <c r="P3182" s="32" t="str">
        <f t="shared" si="348"/>
        <v/>
      </c>
      <c r="Q3182" s="33" t="str">
        <f t="shared" si="349"/>
        <v/>
      </c>
    </row>
    <row r="3183" spans="2:17" ht="18" customHeight="1" x14ac:dyDescent="0.3">
      <c r="B3183" s="26"/>
      <c r="C3183" s="28"/>
      <c r="D3183" s="27"/>
      <c r="E3183" s="29"/>
      <c r="F3183" s="29"/>
      <c r="G3183" s="29"/>
      <c r="H3183" s="30" t="str">
        <f t="shared" si="343"/>
        <v/>
      </c>
      <c r="I3183" s="31" t="str">
        <f>IF(OR(B3183="",C3183=""),"",IFERROR(E3183*IF(E3183="",0,VLOOKUP(C3183,'📦 Precios Proforma'!$B$5:$D$104,IF(D3183="DIA",2,3),FALSE)),0))</f>
        <v/>
      </c>
      <c r="J3183" s="31" t="str">
        <f t="shared" si="344"/>
        <v/>
      </c>
      <c r="K3183" s="31" t="str">
        <f t="shared" si="345"/>
        <v/>
      </c>
      <c r="L3183" s="31" t="str">
        <f>IF(OR(B3183="",C3183=""),"",IFERROR(E3183 / SUMIFS('📅 Resumen Diario'!$D$5:$D$504, '📅 Resumen Diario'!$B$5:$B$504, B3183, '📅 Resumen Diario'!$C$5:$C$504, D3183) * SUMIFS('📅 Resumen Diario'!$K$5:$K$504, '📅 Resumen Diario'!$B$5:$B$504, B3183, '📅 Resumen Diario'!$C$5:$C$504, D3183), 0))</f>
        <v/>
      </c>
      <c r="M3183" s="31" t="str">
        <f t="shared" si="346"/>
        <v/>
      </c>
      <c r="N3183" s="31" t="str">
        <f t="shared" si="347"/>
        <v/>
      </c>
      <c r="O3183" s="31" t="str">
        <f>IF(OR(B3183="",C3183=""),"",K3183-N3183 + IFERROR(E3183 / SUMIFS('📅 Resumen Diario'!$D$5:$D$504, '📅 Resumen Diario'!$B$5:$B$504, B3183, '📅 Resumen Diario'!$C$5:$C$504, D3183) * (SUMIFS('📋 Detalle Diario'!$E$5:$E$489, '📋 Detalle Diario'!$B$5:$B$489, B3183, '📋 Detalle Diario'!$C$5:$C$489, D3183) * 135 + SUMIFS('📋 Detalle Diario'!$I$5:$I$489, '📋 Detalle Diario'!$B$5:$B$489, B3183, '📋 Detalle Diario'!$C$5:$C$489, D3183) * 200), 0))</f>
        <v/>
      </c>
      <c r="P3183" s="32" t="str">
        <f t="shared" si="348"/>
        <v/>
      </c>
      <c r="Q3183" s="33" t="str">
        <f t="shared" si="349"/>
        <v/>
      </c>
    </row>
    <row r="3184" spans="2:17" ht="18" customHeight="1" x14ac:dyDescent="0.3">
      <c r="B3184" s="26"/>
      <c r="C3184" s="17"/>
      <c r="D3184" s="27"/>
      <c r="E3184" s="18"/>
      <c r="F3184" s="18"/>
      <c r="G3184" s="18"/>
      <c r="H3184" s="30" t="str">
        <f t="shared" si="343"/>
        <v/>
      </c>
      <c r="I3184" s="31" t="str">
        <f>IF(OR(B3184="",C3184=""),"",IFERROR(E3184*IF(E3184="",0,VLOOKUP(C3184,'📦 Precios Proforma'!$B$5:$D$104,IF(D3184="DIA",2,3),FALSE)),0))</f>
        <v/>
      </c>
      <c r="J3184" s="31" t="str">
        <f t="shared" si="344"/>
        <v/>
      </c>
      <c r="K3184" s="31" t="str">
        <f t="shared" si="345"/>
        <v/>
      </c>
      <c r="L3184" s="31" t="str">
        <f>IF(OR(B3184="",C3184=""),"",IFERROR(E3184 / SUMIFS('📅 Resumen Diario'!$D$5:$D$504, '📅 Resumen Diario'!$B$5:$B$504, B3184, '📅 Resumen Diario'!$C$5:$C$504, D3184) * SUMIFS('📅 Resumen Diario'!$K$5:$K$504, '📅 Resumen Diario'!$B$5:$B$504, B3184, '📅 Resumen Diario'!$C$5:$C$504, D3184), 0))</f>
        <v/>
      </c>
      <c r="M3184" s="31" t="str">
        <f t="shared" si="346"/>
        <v/>
      </c>
      <c r="N3184" s="31" t="str">
        <f t="shared" si="347"/>
        <v/>
      </c>
      <c r="O3184" s="31" t="str">
        <f>IF(OR(B3184="",C3184=""),"",K3184-N3184 + IFERROR(E3184 / SUMIFS('📅 Resumen Diario'!$D$5:$D$504, '📅 Resumen Diario'!$B$5:$B$504, B3184, '📅 Resumen Diario'!$C$5:$C$504, D3184) * (SUMIFS('📋 Detalle Diario'!$E$5:$E$489, '📋 Detalle Diario'!$B$5:$B$489, B3184, '📋 Detalle Diario'!$C$5:$C$489, D3184) * 135 + SUMIFS('📋 Detalle Diario'!$I$5:$I$489, '📋 Detalle Diario'!$B$5:$B$489, B3184, '📋 Detalle Diario'!$C$5:$C$489, D3184) * 200), 0))</f>
        <v/>
      </c>
      <c r="P3184" s="32" t="str">
        <f t="shared" si="348"/>
        <v/>
      </c>
      <c r="Q3184" s="33" t="str">
        <f t="shared" si="349"/>
        <v/>
      </c>
    </row>
    <row r="3185" spans="2:17" ht="18" customHeight="1" x14ac:dyDescent="0.3">
      <c r="B3185" s="26"/>
      <c r="C3185" s="28"/>
      <c r="D3185" s="27"/>
      <c r="E3185" s="29"/>
      <c r="F3185" s="29"/>
      <c r="G3185" s="29"/>
      <c r="H3185" s="30" t="str">
        <f t="shared" si="343"/>
        <v/>
      </c>
      <c r="I3185" s="31" t="str">
        <f>IF(OR(B3185="",C3185=""),"",IFERROR(E3185*IF(E3185="",0,VLOOKUP(C3185,'📦 Precios Proforma'!$B$5:$D$104,IF(D3185="DIA",2,3),FALSE)),0))</f>
        <v/>
      </c>
      <c r="J3185" s="31" t="str">
        <f t="shared" si="344"/>
        <v/>
      </c>
      <c r="K3185" s="31" t="str">
        <f t="shared" si="345"/>
        <v/>
      </c>
      <c r="L3185" s="31" t="str">
        <f>IF(OR(B3185="",C3185=""),"",IFERROR(E3185 / SUMIFS('📅 Resumen Diario'!$D$5:$D$504, '📅 Resumen Diario'!$B$5:$B$504, B3185, '📅 Resumen Diario'!$C$5:$C$504, D3185) * SUMIFS('📅 Resumen Diario'!$K$5:$K$504, '📅 Resumen Diario'!$B$5:$B$504, B3185, '📅 Resumen Diario'!$C$5:$C$504, D3185), 0))</f>
        <v/>
      </c>
      <c r="M3185" s="31" t="str">
        <f t="shared" si="346"/>
        <v/>
      </c>
      <c r="N3185" s="31" t="str">
        <f t="shared" si="347"/>
        <v/>
      </c>
      <c r="O3185" s="31" t="str">
        <f>IF(OR(B3185="",C3185=""),"",K3185-N3185 + IFERROR(E3185 / SUMIFS('📅 Resumen Diario'!$D$5:$D$504, '📅 Resumen Diario'!$B$5:$B$504, B3185, '📅 Resumen Diario'!$C$5:$C$504, D3185) * (SUMIFS('📋 Detalle Diario'!$E$5:$E$489, '📋 Detalle Diario'!$B$5:$B$489, B3185, '📋 Detalle Diario'!$C$5:$C$489, D3185) * 135 + SUMIFS('📋 Detalle Diario'!$I$5:$I$489, '📋 Detalle Diario'!$B$5:$B$489, B3185, '📋 Detalle Diario'!$C$5:$C$489, D3185) * 200), 0))</f>
        <v/>
      </c>
      <c r="P3185" s="32" t="str">
        <f t="shared" si="348"/>
        <v/>
      </c>
      <c r="Q3185" s="33" t="str">
        <f t="shared" si="349"/>
        <v/>
      </c>
    </row>
    <row r="3186" spans="2:17" ht="18" customHeight="1" x14ac:dyDescent="0.3">
      <c r="B3186" s="26"/>
      <c r="C3186" s="17"/>
      <c r="D3186" s="27"/>
      <c r="E3186" s="18"/>
      <c r="F3186" s="18"/>
      <c r="G3186" s="18"/>
      <c r="H3186" s="30" t="str">
        <f t="shared" si="343"/>
        <v/>
      </c>
      <c r="I3186" s="31" t="str">
        <f>IF(OR(B3186="",C3186=""),"",IFERROR(E3186*IF(E3186="",0,VLOOKUP(C3186,'📦 Precios Proforma'!$B$5:$D$104,IF(D3186="DIA",2,3),FALSE)),0))</f>
        <v/>
      </c>
      <c r="J3186" s="31" t="str">
        <f t="shared" si="344"/>
        <v/>
      </c>
      <c r="K3186" s="31" t="str">
        <f t="shared" si="345"/>
        <v/>
      </c>
      <c r="L3186" s="31" t="str">
        <f>IF(OR(B3186="",C3186=""),"",IFERROR(E3186 / SUMIFS('📅 Resumen Diario'!$D$5:$D$504, '📅 Resumen Diario'!$B$5:$B$504, B3186, '📅 Resumen Diario'!$C$5:$C$504, D3186) * SUMIFS('📅 Resumen Diario'!$K$5:$K$504, '📅 Resumen Diario'!$B$5:$B$504, B3186, '📅 Resumen Diario'!$C$5:$C$504, D3186), 0))</f>
        <v/>
      </c>
      <c r="M3186" s="31" t="str">
        <f t="shared" si="346"/>
        <v/>
      </c>
      <c r="N3186" s="31" t="str">
        <f t="shared" si="347"/>
        <v/>
      </c>
      <c r="O3186" s="31" t="str">
        <f>IF(OR(B3186="",C3186=""),"",K3186-N3186 + IFERROR(E3186 / SUMIFS('📅 Resumen Diario'!$D$5:$D$504, '📅 Resumen Diario'!$B$5:$B$504, B3186, '📅 Resumen Diario'!$C$5:$C$504, D3186) * (SUMIFS('📋 Detalle Diario'!$E$5:$E$489, '📋 Detalle Diario'!$B$5:$B$489, B3186, '📋 Detalle Diario'!$C$5:$C$489, D3186) * 135 + SUMIFS('📋 Detalle Diario'!$I$5:$I$489, '📋 Detalle Diario'!$B$5:$B$489, B3186, '📋 Detalle Diario'!$C$5:$C$489, D3186) * 200), 0))</f>
        <v/>
      </c>
      <c r="P3186" s="32" t="str">
        <f t="shared" si="348"/>
        <v/>
      </c>
      <c r="Q3186" s="33" t="str">
        <f t="shared" si="349"/>
        <v/>
      </c>
    </row>
    <row r="3187" spans="2:17" ht="18" customHeight="1" x14ac:dyDescent="0.3">
      <c r="B3187" s="26"/>
      <c r="C3187" s="28"/>
      <c r="D3187" s="27"/>
      <c r="E3187" s="29"/>
      <c r="F3187" s="29"/>
      <c r="G3187" s="29"/>
      <c r="H3187" s="30" t="str">
        <f t="shared" si="343"/>
        <v/>
      </c>
      <c r="I3187" s="31" t="str">
        <f>IF(OR(B3187="",C3187=""),"",IFERROR(E3187*IF(E3187="",0,VLOOKUP(C3187,'📦 Precios Proforma'!$B$5:$D$104,IF(D3187="DIA",2,3),FALSE)),0))</f>
        <v/>
      </c>
      <c r="J3187" s="31" t="str">
        <f t="shared" si="344"/>
        <v/>
      </c>
      <c r="K3187" s="31" t="str">
        <f t="shared" si="345"/>
        <v/>
      </c>
      <c r="L3187" s="31" t="str">
        <f>IF(OR(B3187="",C3187=""),"",IFERROR(E3187 / SUMIFS('📅 Resumen Diario'!$D$5:$D$504, '📅 Resumen Diario'!$B$5:$B$504, B3187, '📅 Resumen Diario'!$C$5:$C$504, D3187) * SUMIFS('📅 Resumen Diario'!$K$5:$K$504, '📅 Resumen Diario'!$B$5:$B$504, B3187, '📅 Resumen Diario'!$C$5:$C$504, D3187), 0))</f>
        <v/>
      </c>
      <c r="M3187" s="31" t="str">
        <f t="shared" si="346"/>
        <v/>
      </c>
      <c r="N3187" s="31" t="str">
        <f t="shared" si="347"/>
        <v/>
      </c>
      <c r="O3187" s="31" t="str">
        <f>IF(OR(B3187="",C3187=""),"",K3187-N3187 + IFERROR(E3187 / SUMIFS('📅 Resumen Diario'!$D$5:$D$504, '📅 Resumen Diario'!$B$5:$B$504, B3187, '📅 Resumen Diario'!$C$5:$C$504, D3187) * (SUMIFS('📋 Detalle Diario'!$E$5:$E$489, '📋 Detalle Diario'!$B$5:$B$489, B3187, '📋 Detalle Diario'!$C$5:$C$489, D3187) * 135 + SUMIFS('📋 Detalle Diario'!$I$5:$I$489, '📋 Detalle Diario'!$B$5:$B$489, B3187, '📋 Detalle Diario'!$C$5:$C$489, D3187) * 200), 0))</f>
        <v/>
      </c>
      <c r="P3187" s="32" t="str">
        <f t="shared" si="348"/>
        <v/>
      </c>
      <c r="Q3187" s="33" t="str">
        <f t="shared" si="349"/>
        <v/>
      </c>
    </row>
    <row r="3188" spans="2:17" ht="18" customHeight="1" x14ac:dyDescent="0.3">
      <c r="B3188" s="26"/>
      <c r="C3188" s="17"/>
      <c r="D3188" s="27"/>
      <c r="E3188" s="18"/>
      <c r="F3188" s="18"/>
      <c r="G3188" s="18"/>
      <c r="H3188" s="30" t="str">
        <f t="shared" si="343"/>
        <v/>
      </c>
      <c r="I3188" s="31" t="str">
        <f>IF(OR(B3188="",C3188=""),"",IFERROR(E3188*IF(E3188="",0,VLOOKUP(C3188,'📦 Precios Proforma'!$B$5:$D$104,IF(D3188="DIA",2,3),FALSE)),0))</f>
        <v/>
      </c>
      <c r="J3188" s="31" t="str">
        <f t="shared" si="344"/>
        <v/>
      </c>
      <c r="K3188" s="31" t="str">
        <f t="shared" si="345"/>
        <v/>
      </c>
      <c r="L3188" s="31" t="str">
        <f>IF(OR(B3188="",C3188=""),"",IFERROR(E3188 / SUMIFS('📅 Resumen Diario'!$D$5:$D$504, '📅 Resumen Diario'!$B$5:$B$504, B3188, '📅 Resumen Diario'!$C$5:$C$504, D3188) * SUMIFS('📅 Resumen Diario'!$K$5:$K$504, '📅 Resumen Diario'!$B$5:$B$504, B3188, '📅 Resumen Diario'!$C$5:$C$504, D3188), 0))</f>
        <v/>
      </c>
      <c r="M3188" s="31" t="str">
        <f t="shared" si="346"/>
        <v/>
      </c>
      <c r="N3188" s="31" t="str">
        <f t="shared" si="347"/>
        <v/>
      </c>
      <c r="O3188" s="31" t="str">
        <f>IF(OR(B3188="",C3188=""),"",K3188-N3188 + IFERROR(E3188 / SUMIFS('📅 Resumen Diario'!$D$5:$D$504, '📅 Resumen Diario'!$B$5:$B$504, B3188, '📅 Resumen Diario'!$C$5:$C$504, D3188) * (SUMIFS('📋 Detalle Diario'!$E$5:$E$489, '📋 Detalle Diario'!$B$5:$B$489, B3188, '📋 Detalle Diario'!$C$5:$C$489, D3188) * 135 + SUMIFS('📋 Detalle Diario'!$I$5:$I$489, '📋 Detalle Diario'!$B$5:$B$489, B3188, '📋 Detalle Diario'!$C$5:$C$489, D3188) * 200), 0))</f>
        <v/>
      </c>
      <c r="P3188" s="32" t="str">
        <f t="shared" si="348"/>
        <v/>
      </c>
      <c r="Q3188" s="33" t="str">
        <f t="shared" si="349"/>
        <v/>
      </c>
    </row>
    <row r="3189" spans="2:17" ht="18" customHeight="1" x14ac:dyDescent="0.3">
      <c r="B3189" s="26"/>
      <c r="C3189" s="28"/>
      <c r="D3189" s="27"/>
      <c r="E3189" s="29"/>
      <c r="F3189" s="29"/>
      <c r="G3189" s="29"/>
      <c r="H3189" s="30" t="str">
        <f t="shared" si="343"/>
        <v/>
      </c>
      <c r="I3189" s="31" t="str">
        <f>IF(OR(B3189="",C3189=""),"",IFERROR(E3189*IF(E3189="",0,VLOOKUP(C3189,'📦 Precios Proforma'!$B$5:$D$104,IF(D3189="DIA",2,3),FALSE)),0))</f>
        <v/>
      </c>
      <c r="J3189" s="31" t="str">
        <f t="shared" si="344"/>
        <v/>
      </c>
      <c r="K3189" s="31" t="str">
        <f t="shared" si="345"/>
        <v/>
      </c>
      <c r="L3189" s="31" t="str">
        <f>IF(OR(B3189="",C3189=""),"",IFERROR(E3189 / SUMIFS('📅 Resumen Diario'!$D$5:$D$504, '📅 Resumen Diario'!$B$5:$B$504, B3189, '📅 Resumen Diario'!$C$5:$C$504, D3189) * SUMIFS('📅 Resumen Diario'!$K$5:$K$504, '📅 Resumen Diario'!$B$5:$B$504, B3189, '📅 Resumen Diario'!$C$5:$C$504, D3189), 0))</f>
        <v/>
      </c>
      <c r="M3189" s="31" t="str">
        <f t="shared" si="346"/>
        <v/>
      </c>
      <c r="N3189" s="31" t="str">
        <f t="shared" si="347"/>
        <v/>
      </c>
      <c r="O3189" s="31" t="str">
        <f>IF(OR(B3189="",C3189=""),"",K3189-N3189 + IFERROR(E3189 / SUMIFS('📅 Resumen Diario'!$D$5:$D$504, '📅 Resumen Diario'!$B$5:$B$504, B3189, '📅 Resumen Diario'!$C$5:$C$504, D3189) * (SUMIFS('📋 Detalle Diario'!$E$5:$E$489, '📋 Detalle Diario'!$B$5:$B$489, B3189, '📋 Detalle Diario'!$C$5:$C$489, D3189) * 135 + SUMIFS('📋 Detalle Diario'!$I$5:$I$489, '📋 Detalle Diario'!$B$5:$B$489, B3189, '📋 Detalle Diario'!$C$5:$C$489, D3189) * 200), 0))</f>
        <v/>
      </c>
      <c r="P3189" s="32" t="str">
        <f t="shared" si="348"/>
        <v/>
      </c>
      <c r="Q3189" s="33" t="str">
        <f t="shared" si="349"/>
        <v/>
      </c>
    </row>
    <row r="3190" spans="2:17" ht="18" customHeight="1" x14ac:dyDescent="0.3">
      <c r="B3190" s="26"/>
      <c r="C3190" s="17"/>
      <c r="D3190" s="27"/>
      <c r="E3190" s="18"/>
      <c r="F3190" s="18"/>
      <c r="G3190" s="18"/>
      <c r="H3190" s="30" t="str">
        <f t="shared" si="343"/>
        <v/>
      </c>
      <c r="I3190" s="31" t="str">
        <f>IF(OR(B3190="",C3190=""),"",IFERROR(E3190*IF(E3190="",0,VLOOKUP(C3190,'📦 Precios Proforma'!$B$5:$D$104,IF(D3190="DIA",2,3),FALSE)),0))</f>
        <v/>
      </c>
      <c r="J3190" s="31" t="str">
        <f t="shared" si="344"/>
        <v/>
      </c>
      <c r="K3190" s="31" t="str">
        <f t="shared" si="345"/>
        <v/>
      </c>
      <c r="L3190" s="31" t="str">
        <f>IF(OR(B3190="",C3190=""),"",IFERROR(E3190 / SUMIFS('📅 Resumen Diario'!$D$5:$D$504, '📅 Resumen Diario'!$B$5:$B$504, B3190, '📅 Resumen Diario'!$C$5:$C$504, D3190) * SUMIFS('📅 Resumen Diario'!$K$5:$K$504, '📅 Resumen Diario'!$B$5:$B$504, B3190, '📅 Resumen Diario'!$C$5:$C$504, D3190), 0))</f>
        <v/>
      </c>
      <c r="M3190" s="31" t="str">
        <f t="shared" si="346"/>
        <v/>
      </c>
      <c r="N3190" s="31" t="str">
        <f t="shared" si="347"/>
        <v/>
      </c>
      <c r="O3190" s="31" t="str">
        <f>IF(OR(B3190="",C3190=""),"",K3190-N3190 + IFERROR(E3190 / SUMIFS('📅 Resumen Diario'!$D$5:$D$504, '📅 Resumen Diario'!$B$5:$B$504, B3190, '📅 Resumen Diario'!$C$5:$C$504, D3190) * (SUMIFS('📋 Detalle Diario'!$E$5:$E$489, '📋 Detalle Diario'!$B$5:$B$489, B3190, '📋 Detalle Diario'!$C$5:$C$489, D3190) * 135 + SUMIFS('📋 Detalle Diario'!$I$5:$I$489, '📋 Detalle Diario'!$B$5:$B$489, B3190, '📋 Detalle Diario'!$C$5:$C$489, D3190) * 200), 0))</f>
        <v/>
      </c>
      <c r="P3190" s="32" t="str">
        <f t="shared" si="348"/>
        <v/>
      </c>
      <c r="Q3190" s="33" t="str">
        <f t="shared" si="349"/>
        <v/>
      </c>
    </row>
    <row r="3191" spans="2:17" ht="18" customHeight="1" x14ac:dyDescent="0.3">
      <c r="B3191" s="26"/>
      <c r="C3191" s="28"/>
      <c r="D3191" s="27"/>
      <c r="E3191" s="29"/>
      <c r="F3191" s="29"/>
      <c r="G3191" s="29"/>
      <c r="H3191" s="30" t="str">
        <f t="shared" si="343"/>
        <v/>
      </c>
      <c r="I3191" s="31" t="str">
        <f>IF(OR(B3191="",C3191=""),"",IFERROR(E3191*IF(E3191="",0,VLOOKUP(C3191,'📦 Precios Proforma'!$B$5:$D$104,IF(D3191="DIA",2,3),FALSE)),0))</f>
        <v/>
      </c>
      <c r="J3191" s="31" t="str">
        <f t="shared" si="344"/>
        <v/>
      </c>
      <c r="K3191" s="31" t="str">
        <f t="shared" si="345"/>
        <v/>
      </c>
      <c r="L3191" s="31" t="str">
        <f>IF(OR(B3191="",C3191=""),"",IFERROR(E3191 / SUMIFS('📅 Resumen Diario'!$D$5:$D$504, '📅 Resumen Diario'!$B$5:$B$504, B3191, '📅 Resumen Diario'!$C$5:$C$504, D3191) * SUMIFS('📅 Resumen Diario'!$K$5:$K$504, '📅 Resumen Diario'!$B$5:$B$504, B3191, '📅 Resumen Diario'!$C$5:$C$504, D3191), 0))</f>
        <v/>
      </c>
      <c r="M3191" s="31" t="str">
        <f t="shared" si="346"/>
        <v/>
      </c>
      <c r="N3191" s="31" t="str">
        <f t="shared" si="347"/>
        <v/>
      </c>
      <c r="O3191" s="31" t="str">
        <f>IF(OR(B3191="",C3191=""),"",K3191-N3191 + IFERROR(E3191 / SUMIFS('📅 Resumen Diario'!$D$5:$D$504, '📅 Resumen Diario'!$B$5:$B$504, B3191, '📅 Resumen Diario'!$C$5:$C$504, D3191) * (SUMIFS('📋 Detalle Diario'!$E$5:$E$489, '📋 Detalle Diario'!$B$5:$B$489, B3191, '📋 Detalle Diario'!$C$5:$C$489, D3191) * 135 + SUMIFS('📋 Detalle Diario'!$I$5:$I$489, '📋 Detalle Diario'!$B$5:$B$489, B3191, '📋 Detalle Diario'!$C$5:$C$489, D3191) * 200), 0))</f>
        <v/>
      </c>
      <c r="P3191" s="32" t="str">
        <f t="shared" si="348"/>
        <v/>
      </c>
      <c r="Q3191" s="33" t="str">
        <f t="shared" si="349"/>
        <v/>
      </c>
    </row>
    <row r="3192" spans="2:17" ht="18" customHeight="1" x14ac:dyDescent="0.3">
      <c r="B3192" s="26"/>
      <c r="C3192" s="17"/>
      <c r="D3192" s="27"/>
      <c r="E3192" s="18"/>
      <c r="F3192" s="18"/>
      <c r="G3192" s="18"/>
      <c r="H3192" s="30" t="str">
        <f t="shared" si="343"/>
        <v/>
      </c>
      <c r="I3192" s="31" t="str">
        <f>IF(OR(B3192="",C3192=""),"",IFERROR(E3192*IF(E3192="",0,VLOOKUP(C3192,'📦 Precios Proforma'!$B$5:$D$104,IF(D3192="DIA",2,3),FALSE)),0))</f>
        <v/>
      </c>
      <c r="J3192" s="31" t="str">
        <f t="shared" si="344"/>
        <v/>
      </c>
      <c r="K3192" s="31" t="str">
        <f t="shared" si="345"/>
        <v/>
      </c>
      <c r="L3192" s="31" t="str">
        <f>IF(OR(B3192="",C3192=""),"",IFERROR(E3192 / SUMIFS('📅 Resumen Diario'!$D$5:$D$504, '📅 Resumen Diario'!$B$5:$B$504, B3192, '📅 Resumen Diario'!$C$5:$C$504, D3192) * SUMIFS('📅 Resumen Diario'!$K$5:$K$504, '📅 Resumen Diario'!$B$5:$B$504, B3192, '📅 Resumen Diario'!$C$5:$C$504, D3192), 0))</f>
        <v/>
      </c>
      <c r="M3192" s="31" t="str">
        <f t="shared" si="346"/>
        <v/>
      </c>
      <c r="N3192" s="31" t="str">
        <f t="shared" si="347"/>
        <v/>
      </c>
      <c r="O3192" s="31" t="str">
        <f>IF(OR(B3192="",C3192=""),"",K3192-N3192 + IFERROR(E3192 / SUMIFS('📅 Resumen Diario'!$D$5:$D$504, '📅 Resumen Diario'!$B$5:$B$504, B3192, '📅 Resumen Diario'!$C$5:$C$504, D3192) * (SUMIFS('📋 Detalle Diario'!$E$5:$E$489, '📋 Detalle Diario'!$B$5:$B$489, B3192, '📋 Detalle Diario'!$C$5:$C$489, D3192) * 135 + SUMIFS('📋 Detalle Diario'!$I$5:$I$489, '📋 Detalle Diario'!$B$5:$B$489, B3192, '📋 Detalle Diario'!$C$5:$C$489, D3192) * 200), 0))</f>
        <v/>
      </c>
      <c r="P3192" s="32" t="str">
        <f t="shared" si="348"/>
        <v/>
      </c>
      <c r="Q3192" s="33" t="str">
        <f t="shared" si="349"/>
        <v/>
      </c>
    </row>
    <row r="3193" spans="2:17" ht="18" customHeight="1" x14ac:dyDescent="0.3">
      <c r="B3193" s="26"/>
      <c r="C3193" s="28"/>
      <c r="D3193" s="27"/>
      <c r="E3193" s="29"/>
      <c r="F3193" s="29"/>
      <c r="G3193" s="29"/>
      <c r="H3193" s="30" t="str">
        <f t="shared" si="343"/>
        <v/>
      </c>
      <c r="I3193" s="31" t="str">
        <f>IF(OR(B3193="",C3193=""),"",IFERROR(E3193*IF(E3193="",0,VLOOKUP(C3193,'📦 Precios Proforma'!$B$5:$D$104,IF(D3193="DIA",2,3),FALSE)),0))</f>
        <v/>
      </c>
      <c r="J3193" s="31" t="str">
        <f t="shared" si="344"/>
        <v/>
      </c>
      <c r="K3193" s="31" t="str">
        <f t="shared" si="345"/>
        <v/>
      </c>
      <c r="L3193" s="31" t="str">
        <f>IF(OR(B3193="",C3193=""),"",IFERROR(E3193 / SUMIFS('📅 Resumen Diario'!$D$5:$D$504, '📅 Resumen Diario'!$B$5:$B$504, B3193, '📅 Resumen Diario'!$C$5:$C$504, D3193) * SUMIFS('📅 Resumen Diario'!$K$5:$K$504, '📅 Resumen Diario'!$B$5:$B$504, B3193, '📅 Resumen Diario'!$C$5:$C$504, D3193), 0))</f>
        <v/>
      </c>
      <c r="M3193" s="31" t="str">
        <f t="shared" si="346"/>
        <v/>
      </c>
      <c r="N3193" s="31" t="str">
        <f t="shared" si="347"/>
        <v/>
      </c>
      <c r="O3193" s="31" t="str">
        <f>IF(OR(B3193="",C3193=""),"",K3193-N3193 + IFERROR(E3193 / SUMIFS('📅 Resumen Diario'!$D$5:$D$504, '📅 Resumen Diario'!$B$5:$B$504, B3193, '📅 Resumen Diario'!$C$5:$C$504, D3193) * (SUMIFS('📋 Detalle Diario'!$E$5:$E$489, '📋 Detalle Diario'!$B$5:$B$489, B3193, '📋 Detalle Diario'!$C$5:$C$489, D3193) * 135 + SUMIFS('📋 Detalle Diario'!$I$5:$I$489, '📋 Detalle Diario'!$B$5:$B$489, B3193, '📋 Detalle Diario'!$C$5:$C$489, D3193) * 200), 0))</f>
        <v/>
      </c>
      <c r="P3193" s="32" t="str">
        <f t="shared" si="348"/>
        <v/>
      </c>
      <c r="Q3193" s="33" t="str">
        <f t="shared" si="349"/>
        <v/>
      </c>
    </row>
    <row r="3194" spans="2:17" ht="18" customHeight="1" x14ac:dyDescent="0.3">
      <c r="B3194" s="26"/>
      <c r="C3194" s="17"/>
      <c r="D3194" s="27"/>
      <c r="E3194" s="18"/>
      <c r="F3194" s="18"/>
      <c r="G3194" s="18"/>
      <c r="H3194" s="30" t="str">
        <f t="shared" si="343"/>
        <v/>
      </c>
      <c r="I3194" s="31" t="str">
        <f>IF(OR(B3194="",C3194=""),"",IFERROR(E3194*IF(E3194="",0,VLOOKUP(C3194,'📦 Precios Proforma'!$B$5:$D$104,IF(D3194="DIA",2,3),FALSE)),0))</f>
        <v/>
      </c>
      <c r="J3194" s="31" t="str">
        <f t="shared" si="344"/>
        <v/>
      </c>
      <c r="K3194" s="31" t="str">
        <f t="shared" si="345"/>
        <v/>
      </c>
      <c r="L3194" s="31" t="str">
        <f>IF(OR(B3194="",C3194=""),"",IFERROR(E3194 / SUMIFS('📅 Resumen Diario'!$D$5:$D$504, '📅 Resumen Diario'!$B$5:$B$504, B3194, '📅 Resumen Diario'!$C$5:$C$504, D3194) * SUMIFS('📅 Resumen Diario'!$K$5:$K$504, '📅 Resumen Diario'!$B$5:$B$504, B3194, '📅 Resumen Diario'!$C$5:$C$504, D3194), 0))</f>
        <v/>
      </c>
      <c r="M3194" s="31" t="str">
        <f t="shared" si="346"/>
        <v/>
      </c>
      <c r="N3194" s="31" t="str">
        <f t="shared" si="347"/>
        <v/>
      </c>
      <c r="O3194" s="31" t="str">
        <f>IF(OR(B3194="",C3194=""),"",K3194-N3194 + IFERROR(E3194 / SUMIFS('📅 Resumen Diario'!$D$5:$D$504, '📅 Resumen Diario'!$B$5:$B$504, B3194, '📅 Resumen Diario'!$C$5:$C$504, D3194) * (SUMIFS('📋 Detalle Diario'!$E$5:$E$489, '📋 Detalle Diario'!$B$5:$B$489, B3194, '📋 Detalle Diario'!$C$5:$C$489, D3194) * 135 + SUMIFS('📋 Detalle Diario'!$I$5:$I$489, '📋 Detalle Diario'!$B$5:$B$489, B3194, '📋 Detalle Diario'!$C$5:$C$489, D3194) * 200), 0))</f>
        <v/>
      </c>
      <c r="P3194" s="32" t="str">
        <f t="shared" si="348"/>
        <v/>
      </c>
      <c r="Q3194" s="33" t="str">
        <f t="shared" si="349"/>
        <v/>
      </c>
    </row>
    <row r="3195" spans="2:17" ht="18" customHeight="1" x14ac:dyDescent="0.3">
      <c r="B3195" s="26"/>
      <c r="C3195" s="28"/>
      <c r="D3195" s="27"/>
      <c r="E3195" s="29"/>
      <c r="F3195" s="29"/>
      <c r="G3195" s="29"/>
      <c r="H3195" s="30" t="str">
        <f t="shared" si="343"/>
        <v/>
      </c>
      <c r="I3195" s="31" t="str">
        <f>IF(OR(B3195="",C3195=""),"",IFERROR(E3195*IF(E3195="",0,VLOOKUP(C3195,'📦 Precios Proforma'!$B$5:$D$104,IF(D3195="DIA",2,3),FALSE)),0))</f>
        <v/>
      </c>
      <c r="J3195" s="31" t="str">
        <f t="shared" si="344"/>
        <v/>
      </c>
      <c r="K3195" s="31" t="str">
        <f t="shared" si="345"/>
        <v/>
      </c>
      <c r="L3195" s="31" t="str">
        <f>IF(OR(B3195="",C3195=""),"",IFERROR(E3195 / SUMIFS('📅 Resumen Diario'!$D$5:$D$504, '📅 Resumen Diario'!$B$5:$B$504, B3195, '📅 Resumen Diario'!$C$5:$C$504, D3195) * SUMIFS('📅 Resumen Diario'!$K$5:$K$504, '📅 Resumen Diario'!$B$5:$B$504, B3195, '📅 Resumen Diario'!$C$5:$C$504, D3195), 0))</f>
        <v/>
      </c>
      <c r="M3195" s="31" t="str">
        <f t="shared" si="346"/>
        <v/>
      </c>
      <c r="N3195" s="31" t="str">
        <f t="shared" si="347"/>
        <v/>
      </c>
      <c r="O3195" s="31" t="str">
        <f>IF(OR(B3195="",C3195=""),"",K3195-N3195 + IFERROR(E3195 / SUMIFS('📅 Resumen Diario'!$D$5:$D$504, '📅 Resumen Diario'!$B$5:$B$504, B3195, '📅 Resumen Diario'!$C$5:$C$504, D3195) * (SUMIFS('📋 Detalle Diario'!$E$5:$E$489, '📋 Detalle Diario'!$B$5:$B$489, B3195, '📋 Detalle Diario'!$C$5:$C$489, D3195) * 135 + SUMIFS('📋 Detalle Diario'!$I$5:$I$489, '📋 Detalle Diario'!$B$5:$B$489, B3195, '📋 Detalle Diario'!$C$5:$C$489, D3195) * 200), 0))</f>
        <v/>
      </c>
      <c r="P3195" s="32" t="str">
        <f t="shared" si="348"/>
        <v/>
      </c>
      <c r="Q3195" s="33" t="str">
        <f t="shared" si="349"/>
        <v/>
      </c>
    </row>
    <row r="3196" spans="2:17" ht="18" customHeight="1" x14ac:dyDescent="0.3">
      <c r="B3196" s="26"/>
      <c r="C3196" s="17"/>
      <c r="D3196" s="27"/>
      <c r="E3196" s="18"/>
      <c r="F3196" s="18"/>
      <c r="G3196" s="18"/>
      <c r="H3196" s="30" t="str">
        <f t="shared" si="343"/>
        <v/>
      </c>
      <c r="I3196" s="31" t="str">
        <f>IF(OR(B3196="",C3196=""),"",IFERROR(E3196*IF(E3196="",0,VLOOKUP(C3196,'📦 Precios Proforma'!$B$5:$D$104,IF(D3196="DIA",2,3),FALSE)),0))</f>
        <v/>
      </c>
      <c r="J3196" s="31" t="str">
        <f t="shared" si="344"/>
        <v/>
      </c>
      <c r="K3196" s="31" t="str">
        <f t="shared" si="345"/>
        <v/>
      </c>
      <c r="L3196" s="31" t="str">
        <f>IF(OR(B3196="",C3196=""),"",IFERROR(E3196 / SUMIFS('📅 Resumen Diario'!$D$5:$D$504, '📅 Resumen Diario'!$B$5:$B$504, B3196, '📅 Resumen Diario'!$C$5:$C$504, D3196) * SUMIFS('📅 Resumen Diario'!$K$5:$K$504, '📅 Resumen Diario'!$B$5:$B$504, B3196, '📅 Resumen Diario'!$C$5:$C$504, D3196), 0))</f>
        <v/>
      </c>
      <c r="M3196" s="31" t="str">
        <f t="shared" si="346"/>
        <v/>
      </c>
      <c r="N3196" s="31" t="str">
        <f t="shared" si="347"/>
        <v/>
      </c>
      <c r="O3196" s="31" t="str">
        <f>IF(OR(B3196="",C3196=""),"",K3196-N3196 + IFERROR(E3196 / SUMIFS('📅 Resumen Diario'!$D$5:$D$504, '📅 Resumen Diario'!$B$5:$B$504, B3196, '📅 Resumen Diario'!$C$5:$C$504, D3196) * (SUMIFS('📋 Detalle Diario'!$E$5:$E$489, '📋 Detalle Diario'!$B$5:$B$489, B3196, '📋 Detalle Diario'!$C$5:$C$489, D3196) * 135 + SUMIFS('📋 Detalle Diario'!$I$5:$I$489, '📋 Detalle Diario'!$B$5:$B$489, B3196, '📋 Detalle Diario'!$C$5:$C$489, D3196) * 200), 0))</f>
        <v/>
      </c>
      <c r="P3196" s="32" t="str">
        <f t="shared" si="348"/>
        <v/>
      </c>
      <c r="Q3196" s="33" t="str">
        <f t="shared" si="349"/>
        <v/>
      </c>
    </row>
    <row r="3197" spans="2:17" ht="18" customHeight="1" x14ac:dyDescent="0.3">
      <c r="B3197" s="26"/>
      <c r="C3197" s="28"/>
      <c r="D3197" s="27"/>
      <c r="E3197" s="29"/>
      <c r="F3197" s="29"/>
      <c r="G3197" s="29"/>
      <c r="H3197" s="30" t="str">
        <f t="shared" si="343"/>
        <v/>
      </c>
      <c r="I3197" s="31" t="str">
        <f>IF(OR(B3197="",C3197=""),"",IFERROR(E3197*IF(E3197="",0,VLOOKUP(C3197,'📦 Precios Proforma'!$B$5:$D$104,IF(D3197="DIA",2,3),FALSE)),0))</f>
        <v/>
      </c>
      <c r="J3197" s="31" t="str">
        <f t="shared" si="344"/>
        <v/>
      </c>
      <c r="K3197" s="31" t="str">
        <f t="shared" si="345"/>
        <v/>
      </c>
      <c r="L3197" s="31" t="str">
        <f>IF(OR(B3197="",C3197=""),"",IFERROR(E3197 / SUMIFS('📅 Resumen Diario'!$D$5:$D$504, '📅 Resumen Diario'!$B$5:$B$504, B3197, '📅 Resumen Diario'!$C$5:$C$504, D3197) * SUMIFS('📅 Resumen Diario'!$K$5:$K$504, '📅 Resumen Diario'!$B$5:$B$504, B3197, '📅 Resumen Diario'!$C$5:$C$504, D3197), 0))</f>
        <v/>
      </c>
      <c r="M3197" s="31" t="str">
        <f t="shared" si="346"/>
        <v/>
      </c>
      <c r="N3197" s="31" t="str">
        <f t="shared" si="347"/>
        <v/>
      </c>
      <c r="O3197" s="31" t="str">
        <f>IF(OR(B3197="",C3197=""),"",K3197-N3197 + IFERROR(E3197 / SUMIFS('📅 Resumen Diario'!$D$5:$D$504, '📅 Resumen Diario'!$B$5:$B$504, B3197, '📅 Resumen Diario'!$C$5:$C$504, D3197) * (SUMIFS('📋 Detalle Diario'!$E$5:$E$489, '📋 Detalle Diario'!$B$5:$B$489, B3197, '📋 Detalle Diario'!$C$5:$C$489, D3197) * 135 + SUMIFS('📋 Detalle Diario'!$I$5:$I$489, '📋 Detalle Diario'!$B$5:$B$489, B3197, '📋 Detalle Diario'!$C$5:$C$489, D3197) * 200), 0))</f>
        <v/>
      </c>
      <c r="P3197" s="32" t="str">
        <f t="shared" si="348"/>
        <v/>
      </c>
      <c r="Q3197" s="33" t="str">
        <f t="shared" si="349"/>
        <v/>
      </c>
    </row>
    <row r="3198" spans="2:17" ht="18" customHeight="1" x14ac:dyDescent="0.3">
      <c r="B3198" s="26"/>
      <c r="C3198" s="17"/>
      <c r="D3198" s="27"/>
      <c r="E3198" s="18"/>
      <c r="F3198" s="18"/>
      <c r="G3198" s="18"/>
      <c r="H3198" s="30" t="str">
        <f t="shared" si="343"/>
        <v/>
      </c>
      <c r="I3198" s="31" t="str">
        <f>IF(OR(B3198="",C3198=""),"",IFERROR(E3198*IF(E3198="",0,VLOOKUP(C3198,'📦 Precios Proforma'!$B$5:$D$104,IF(D3198="DIA",2,3),FALSE)),0))</f>
        <v/>
      </c>
      <c r="J3198" s="31" t="str">
        <f t="shared" si="344"/>
        <v/>
      </c>
      <c r="K3198" s="31" t="str">
        <f t="shared" si="345"/>
        <v/>
      </c>
      <c r="L3198" s="31" t="str">
        <f>IF(OR(B3198="",C3198=""),"",IFERROR(E3198 / SUMIFS('📅 Resumen Diario'!$D$5:$D$504, '📅 Resumen Diario'!$B$5:$B$504, B3198, '📅 Resumen Diario'!$C$5:$C$504, D3198) * SUMIFS('📅 Resumen Diario'!$K$5:$K$504, '📅 Resumen Diario'!$B$5:$B$504, B3198, '📅 Resumen Diario'!$C$5:$C$504, D3198), 0))</f>
        <v/>
      </c>
      <c r="M3198" s="31" t="str">
        <f t="shared" si="346"/>
        <v/>
      </c>
      <c r="N3198" s="31" t="str">
        <f t="shared" si="347"/>
        <v/>
      </c>
      <c r="O3198" s="31" t="str">
        <f>IF(OR(B3198="",C3198=""),"",K3198-N3198 + IFERROR(E3198 / SUMIFS('📅 Resumen Diario'!$D$5:$D$504, '📅 Resumen Diario'!$B$5:$B$504, B3198, '📅 Resumen Diario'!$C$5:$C$504, D3198) * (SUMIFS('📋 Detalle Diario'!$E$5:$E$489, '📋 Detalle Diario'!$B$5:$B$489, B3198, '📋 Detalle Diario'!$C$5:$C$489, D3198) * 135 + SUMIFS('📋 Detalle Diario'!$I$5:$I$489, '📋 Detalle Diario'!$B$5:$B$489, B3198, '📋 Detalle Diario'!$C$5:$C$489, D3198) * 200), 0))</f>
        <v/>
      </c>
      <c r="P3198" s="32" t="str">
        <f t="shared" si="348"/>
        <v/>
      </c>
      <c r="Q3198" s="33" t="str">
        <f t="shared" si="349"/>
        <v/>
      </c>
    </row>
    <row r="3199" spans="2:17" ht="18" customHeight="1" x14ac:dyDescent="0.3">
      <c r="B3199" s="26"/>
      <c r="C3199" s="28"/>
      <c r="D3199" s="27"/>
      <c r="E3199" s="29"/>
      <c r="F3199" s="29"/>
      <c r="G3199" s="29"/>
      <c r="H3199" s="30" t="str">
        <f t="shared" si="343"/>
        <v/>
      </c>
      <c r="I3199" s="31" t="str">
        <f>IF(OR(B3199="",C3199=""),"",IFERROR(E3199*IF(E3199="",0,VLOOKUP(C3199,'📦 Precios Proforma'!$B$5:$D$104,IF(D3199="DIA",2,3),FALSE)),0))</f>
        <v/>
      </c>
      <c r="J3199" s="31" t="str">
        <f t="shared" si="344"/>
        <v/>
      </c>
      <c r="K3199" s="31" t="str">
        <f t="shared" si="345"/>
        <v/>
      </c>
      <c r="L3199" s="31" t="str">
        <f>IF(OR(B3199="",C3199=""),"",IFERROR(E3199 / SUMIFS('📅 Resumen Diario'!$D$5:$D$504, '📅 Resumen Diario'!$B$5:$B$504, B3199, '📅 Resumen Diario'!$C$5:$C$504, D3199) * SUMIFS('📅 Resumen Diario'!$K$5:$K$504, '📅 Resumen Diario'!$B$5:$B$504, B3199, '📅 Resumen Diario'!$C$5:$C$504, D3199), 0))</f>
        <v/>
      </c>
      <c r="M3199" s="31" t="str">
        <f t="shared" si="346"/>
        <v/>
      </c>
      <c r="N3199" s="31" t="str">
        <f t="shared" si="347"/>
        <v/>
      </c>
      <c r="O3199" s="31" t="str">
        <f>IF(OR(B3199="",C3199=""),"",K3199-N3199 + IFERROR(E3199 / SUMIFS('📅 Resumen Diario'!$D$5:$D$504, '📅 Resumen Diario'!$B$5:$B$504, B3199, '📅 Resumen Diario'!$C$5:$C$504, D3199) * (SUMIFS('📋 Detalle Diario'!$E$5:$E$489, '📋 Detalle Diario'!$B$5:$B$489, B3199, '📋 Detalle Diario'!$C$5:$C$489, D3199) * 135 + SUMIFS('📋 Detalle Diario'!$I$5:$I$489, '📋 Detalle Diario'!$B$5:$B$489, B3199, '📋 Detalle Diario'!$C$5:$C$489, D3199) * 200), 0))</f>
        <v/>
      </c>
      <c r="P3199" s="32" t="str">
        <f t="shared" si="348"/>
        <v/>
      </c>
      <c r="Q3199" s="33" t="str">
        <f t="shared" si="349"/>
        <v/>
      </c>
    </row>
    <row r="3200" spans="2:17" ht="18" customHeight="1" x14ac:dyDescent="0.3">
      <c r="B3200" s="26"/>
      <c r="C3200" s="17"/>
      <c r="D3200" s="27"/>
      <c r="E3200" s="18"/>
      <c r="F3200" s="18"/>
      <c r="G3200" s="18"/>
      <c r="H3200" s="30" t="str">
        <f t="shared" si="343"/>
        <v/>
      </c>
      <c r="I3200" s="31" t="str">
        <f>IF(OR(B3200="",C3200=""),"",IFERROR(E3200*IF(E3200="",0,VLOOKUP(C3200,'📦 Precios Proforma'!$B$5:$D$104,IF(D3200="DIA",2,3),FALSE)),0))</f>
        <v/>
      </c>
      <c r="J3200" s="31" t="str">
        <f t="shared" si="344"/>
        <v/>
      </c>
      <c r="K3200" s="31" t="str">
        <f t="shared" si="345"/>
        <v/>
      </c>
      <c r="L3200" s="31" t="str">
        <f>IF(OR(B3200="",C3200=""),"",IFERROR(E3200 / SUMIFS('📅 Resumen Diario'!$D$5:$D$504, '📅 Resumen Diario'!$B$5:$B$504, B3200, '📅 Resumen Diario'!$C$5:$C$504, D3200) * SUMIFS('📅 Resumen Diario'!$K$5:$K$504, '📅 Resumen Diario'!$B$5:$B$504, B3200, '📅 Resumen Diario'!$C$5:$C$504, D3200), 0))</f>
        <v/>
      </c>
      <c r="M3200" s="31" t="str">
        <f t="shared" si="346"/>
        <v/>
      </c>
      <c r="N3200" s="31" t="str">
        <f t="shared" si="347"/>
        <v/>
      </c>
      <c r="O3200" s="31" t="str">
        <f>IF(OR(B3200="",C3200=""),"",K3200-N3200 + IFERROR(E3200 / SUMIFS('📅 Resumen Diario'!$D$5:$D$504, '📅 Resumen Diario'!$B$5:$B$504, B3200, '📅 Resumen Diario'!$C$5:$C$504, D3200) * (SUMIFS('📋 Detalle Diario'!$E$5:$E$489, '📋 Detalle Diario'!$B$5:$B$489, B3200, '📋 Detalle Diario'!$C$5:$C$489, D3200) * 135 + SUMIFS('📋 Detalle Diario'!$I$5:$I$489, '📋 Detalle Diario'!$B$5:$B$489, B3200, '📋 Detalle Diario'!$C$5:$C$489, D3200) * 200), 0))</f>
        <v/>
      </c>
      <c r="P3200" s="32" t="str">
        <f t="shared" si="348"/>
        <v/>
      </c>
      <c r="Q3200" s="33" t="str">
        <f t="shared" si="349"/>
        <v/>
      </c>
    </row>
    <row r="3201" spans="2:17" ht="18" customHeight="1" x14ac:dyDescent="0.3">
      <c r="B3201" s="26"/>
      <c r="C3201" s="28"/>
      <c r="D3201" s="27"/>
      <c r="E3201" s="29"/>
      <c r="F3201" s="29"/>
      <c r="G3201" s="29"/>
      <c r="H3201" s="30" t="str">
        <f t="shared" si="343"/>
        <v/>
      </c>
      <c r="I3201" s="31" t="str">
        <f>IF(OR(B3201="",C3201=""),"",IFERROR(E3201*IF(E3201="",0,VLOOKUP(C3201,'📦 Precios Proforma'!$B$5:$D$104,IF(D3201="DIA",2,3),FALSE)),0))</f>
        <v/>
      </c>
      <c r="J3201" s="31" t="str">
        <f t="shared" si="344"/>
        <v/>
      </c>
      <c r="K3201" s="31" t="str">
        <f t="shared" si="345"/>
        <v/>
      </c>
      <c r="L3201" s="31" t="str">
        <f>IF(OR(B3201="",C3201=""),"",IFERROR(E3201 / SUMIFS('📅 Resumen Diario'!$D$5:$D$504, '📅 Resumen Diario'!$B$5:$B$504, B3201, '📅 Resumen Diario'!$C$5:$C$504, D3201) * SUMIFS('📅 Resumen Diario'!$K$5:$K$504, '📅 Resumen Diario'!$B$5:$B$504, B3201, '📅 Resumen Diario'!$C$5:$C$504, D3201), 0))</f>
        <v/>
      </c>
      <c r="M3201" s="31" t="str">
        <f t="shared" si="346"/>
        <v/>
      </c>
      <c r="N3201" s="31" t="str">
        <f t="shared" si="347"/>
        <v/>
      </c>
      <c r="O3201" s="31" t="str">
        <f>IF(OR(B3201="",C3201=""),"",K3201-N3201 + IFERROR(E3201 / SUMIFS('📅 Resumen Diario'!$D$5:$D$504, '📅 Resumen Diario'!$B$5:$B$504, B3201, '📅 Resumen Diario'!$C$5:$C$504, D3201) * (SUMIFS('📋 Detalle Diario'!$E$5:$E$489, '📋 Detalle Diario'!$B$5:$B$489, B3201, '📋 Detalle Diario'!$C$5:$C$489, D3201) * 135 + SUMIFS('📋 Detalle Diario'!$I$5:$I$489, '📋 Detalle Diario'!$B$5:$B$489, B3201, '📋 Detalle Diario'!$C$5:$C$489, D3201) * 200), 0))</f>
        <v/>
      </c>
      <c r="P3201" s="32" t="str">
        <f t="shared" si="348"/>
        <v/>
      </c>
      <c r="Q3201" s="33" t="str">
        <f t="shared" si="349"/>
        <v/>
      </c>
    </row>
    <row r="3202" spans="2:17" ht="18" customHeight="1" x14ac:dyDescent="0.3">
      <c r="B3202" s="26"/>
      <c r="C3202" s="17"/>
      <c r="D3202" s="27"/>
      <c r="E3202" s="18"/>
      <c r="F3202" s="18"/>
      <c r="G3202" s="18"/>
      <c r="H3202" s="30" t="str">
        <f t="shared" si="343"/>
        <v/>
      </c>
      <c r="I3202" s="31" t="str">
        <f>IF(OR(B3202="",C3202=""),"",IFERROR(E3202*IF(E3202="",0,VLOOKUP(C3202,'📦 Precios Proforma'!$B$5:$D$104,IF(D3202="DIA",2,3),FALSE)),0))</f>
        <v/>
      </c>
      <c r="J3202" s="31" t="str">
        <f t="shared" si="344"/>
        <v/>
      </c>
      <c r="K3202" s="31" t="str">
        <f t="shared" si="345"/>
        <v/>
      </c>
      <c r="L3202" s="31" t="str">
        <f>IF(OR(B3202="",C3202=""),"",IFERROR(E3202 / SUMIFS('📅 Resumen Diario'!$D$5:$D$504, '📅 Resumen Diario'!$B$5:$B$504, B3202, '📅 Resumen Diario'!$C$5:$C$504, D3202) * SUMIFS('📅 Resumen Diario'!$K$5:$K$504, '📅 Resumen Diario'!$B$5:$B$504, B3202, '📅 Resumen Diario'!$C$5:$C$504, D3202), 0))</f>
        <v/>
      </c>
      <c r="M3202" s="31" t="str">
        <f t="shared" si="346"/>
        <v/>
      </c>
      <c r="N3202" s="31" t="str">
        <f t="shared" si="347"/>
        <v/>
      </c>
      <c r="O3202" s="31" t="str">
        <f>IF(OR(B3202="",C3202=""),"",K3202-N3202 + IFERROR(E3202 / SUMIFS('📅 Resumen Diario'!$D$5:$D$504, '📅 Resumen Diario'!$B$5:$B$504, B3202, '📅 Resumen Diario'!$C$5:$C$504, D3202) * (SUMIFS('📋 Detalle Diario'!$E$5:$E$489, '📋 Detalle Diario'!$B$5:$B$489, B3202, '📋 Detalle Diario'!$C$5:$C$489, D3202) * 135 + SUMIFS('📋 Detalle Diario'!$I$5:$I$489, '📋 Detalle Diario'!$B$5:$B$489, B3202, '📋 Detalle Diario'!$C$5:$C$489, D3202) * 200), 0))</f>
        <v/>
      </c>
      <c r="P3202" s="32" t="str">
        <f t="shared" si="348"/>
        <v/>
      </c>
      <c r="Q3202" s="33" t="str">
        <f t="shared" si="349"/>
        <v/>
      </c>
    </row>
    <row r="3203" spans="2:17" ht="18" customHeight="1" x14ac:dyDescent="0.3">
      <c r="B3203" s="26"/>
      <c r="C3203" s="28"/>
      <c r="D3203" s="27"/>
      <c r="E3203" s="29"/>
      <c r="F3203" s="29"/>
      <c r="G3203" s="29"/>
      <c r="H3203" s="30" t="str">
        <f t="shared" si="343"/>
        <v/>
      </c>
      <c r="I3203" s="31" t="str">
        <f>IF(OR(B3203="",C3203=""),"",IFERROR(E3203*IF(E3203="",0,VLOOKUP(C3203,'📦 Precios Proforma'!$B$5:$D$104,IF(D3203="DIA",2,3),FALSE)),0))</f>
        <v/>
      </c>
      <c r="J3203" s="31" t="str">
        <f t="shared" si="344"/>
        <v/>
      </c>
      <c r="K3203" s="31" t="str">
        <f t="shared" si="345"/>
        <v/>
      </c>
      <c r="L3203" s="31" t="str">
        <f>IF(OR(B3203="",C3203=""),"",IFERROR(E3203 / SUMIFS('📅 Resumen Diario'!$D$5:$D$504, '📅 Resumen Diario'!$B$5:$B$504, B3203, '📅 Resumen Diario'!$C$5:$C$504, D3203) * SUMIFS('📅 Resumen Diario'!$K$5:$K$504, '📅 Resumen Diario'!$B$5:$B$504, B3203, '📅 Resumen Diario'!$C$5:$C$504, D3203), 0))</f>
        <v/>
      </c>
      <c r="M3203" s="31" t="str">
        <f t="shared" si="346"/>
        <v/>
      </c>
      <c r="N3203" s="31" t="str">
        <f t="shared" si="347"/>
        <v/>
      </c>
      <c r="O3203" s="31" t="str">
        <f>IF(OR(B3203="",C3203=""),"",K3203-N3203 + IFERROR(E3203 / SUMIFS('📅 Resumen Diario'!$D$5:$D$504, '📅 Resumen Diario'!$B$5:$B$504, B3203, '📅 Resumen Diario'!$C$5:$C$504, D3203) * (SUMIFS('📋 Detalle Diario'!$E$5:$E$489, '📋 Detalle Diario'!$B$5:$B$489, B3203, '📋 Detalle Diario'!$C$5:$C$489, D3203) * 135 + SUMIFS('📋 Detalle Diario'!$I$5:$I$489, '📋 Detalle Diario'!$B$5:$B$489, B3203, '📋 Detalle Diario'!$C$5:$C$489, D3203) * 200), 0))</f>
        <v/>
      </c>
      <c r="P3203" s="32" t="str">
        <f t="shared" si="348"/>
        <v/>
      </c>
      <c r="Q3203" s="33" t="str">
        <f t="shared" si="349"/>
        <v/>
      </c>
    </row>
    <row r="3204" spans="2:17" ht="18" customHeight="1" x14ac:dyDescent="0.3">
      <c r="B3204" s="26"/>
      <c r="C3204" s="17"/>
      <c r="D3204" s="27"/>
      <c r="E3204" s="18"/>
      <c r="F3204" s="18"/>
      <c r="G3204" s="18"/>
      <c r="H3204" s="30" t="str">
        <f t="shared" si="343"/>
        <v/>
      </c>
      <c r="I3204" s="31" t="str">
        <f>IF(OR(B3204="",C3204=""),"",IFERROR(E3204*IF(E3204="",0,VLOOKUP(C3204,'📦 Precios Proforma'!$B$5:$D$104,IF(D3204="DIA",2,3),FALSE)),0))</f>
        <v/>
      </c>
      <c r="J3204" s="31" t="str">
        <f t="shared" si="344"/>
        <v/>
      </c>
      <c r="K3204" s="31" t="str">
        <f t="shared" si="345"/>
        <v/>
      </c>
      <c r="L3204" s="31" t="str">
        <f>IF(OR(B3204="",C3204=""),"",IFERROR(E3204 / SUMIFS('📅 Resumen Diario'!$D$5:$D$504, '📅 Resumen Diario'!$B$5:$B$504, B3204, '📅 Resumen Diario'!$C$5:$C$504, D3204) * SUMIFS('📅 Resumen Diario'!$K$5:$K$504, '📅 Resumen Diario'!$B$5:$B$504, B3204, '📅 Resumen Diario'!$C$5:$C$504, D3204), 0))</f>
        <v/>
      </c>
      <c r="M3204" s="31" t="str">
        <f t="shared" si="346"/>
        <v/>
      </c>
      <c r="N3204" s="31" t="str">
        <f t="shared" si="347"/>
        <v/>
      </c>
      <c r="O3204" s="31" t="str">
        <f>IF(OR(B3204="",C3204=""),"",K3204-N3204 + IFERROR(E3204 / SUMIFS('📅 Resumen Diario'!$D$5:$D$504, '📅 Resumen Diario'!$B$5:$B$504, B3204, '📅 Resumen Diario'!$C$5:$C$504, D3204) * (SUMIFS('📋 Detalle Diario'!$E$5:$E$489, '📋 Detalle Diario'!$B$5:$B$489, B3204, '📋 Detalle Diario'!$C$5:$C$489, D3204) * 135 + SUMIFS('📋 Detalle Diario'!$I$5:$I$489, '📋 Detalle Diario'!$B$5:$B$489, B3204, '📋 Detalle Diario'!$C$5:$C$489, D3204) * 200), 0))</f>
        <v/>
      </c>
      <c r="P3204" s="32" t="str">
        <f t="shared" si="348"/>
        <v/>
      </c>
      <c r="Q3204" s="33" t="str">
        <f t="shared" si="349"/>
        <v/>
      </c>
    </row>
    <row r="3205" spans="2:17" ht="18" customHeight="1" x14ac:dyDescent="0.3">
      <c r="B3205" s="26"/>
      <c r="C3205" s="28"/>
      <c r="D3205" s="27"/>
      <c r="E3205" s="29"/>
      <c r="F3205" s="29"/>
      <c r="G3205" s="29"/>
      <c r="H3205" s="30" t="str">
        <f t="shared" si="343"/>
        <v/>
      </c>
      <c r="I3205" s="31" t="str">
        <f>IF(OR(B3205="",C3205=""),"",IFERROR(E3205*IF(E3205="",0,VLOOKUP(C3205,'📦 Precios Proforma'!$B$5:$D$104,IF(D3205="DIA",2,3),FALSE)),0))</f>
        <v/>
      </c>
      <c r="J3205" s="31" t="str">
        <f t="shared" si="344"/>
        <v/>
      </c>
      <c r="K3205" s="31" t="str">
        <f t="shared" si="345"/>
        <v/>
      </c>
      <c r="L3205" s="31" t="str">
        <f>IF(OR(B3205="",C3205=""),"",IFERROR(E3205 / SUMIFS('📅 Resumen Diario'!$D$5:$D$504, '📅 Resumen Diario'!$B$5:$B$504, B3205, '📅 Resumen Diario'!$C$5:$C$504, D3205) * SUMIFS('📅 Resumen Diario'!$K$5:$K$504, '📅 Resumen Diario'!$B$5:$B$504, B3205, '📅 Resumen Diario'!$C$5:$C$504, D3205), 0))</f>
        <v/>
      </c>
      <c r="M3205" s="31" t="str">
        <f t="shared" si="346"/>
        <v/>
      </c>
      <c r="N3205" s="31" t="str">
        <f t="shared" si="347"/>
        <v/>
      </c>
      <c r="O3205" s="31" t="str">
        <f>IF(OR(B3205="",C3205=""),"",K3205-N3205 + IFERROR(E3205 / SUMIFS('📅 Resumen Diario'!$D$5:$D$504, '📅 Resumen Diario'!$B$5:$B$504, B3205, '📅 Resumen Diario'!$C$5:$C$504, D3205) * (SUMIFS('📋 Detalle Diario'!$E$5:$E$489, '📋 Detalle Diario'!$B$5:$B$489, B3205, '📋 Detalle Diario'!$C$5:$C$489, D3205) * 135 + SUMIFS('📋 Detalle Diario'!$I$5:$I$489, '📋 Detalle Diario'!$B$5:$B$489, B3205, '📋 Detalle Diario'!$C$5:$C$489, D3205) * 200), 0))</f>
        <v/>
      </c>
      <c r="P3205" s="32" t="str">
        <f t="shared" si="348"/>
        <v/>
      </c>
      <c r="Q3205" s="33" t="str">
        <f t="shared" si="349"/>
        <v/>
      </c>
    </row>
    <row r="3206" spans="2:17" ht="18" customHeight="1" x14ac:dyDescent="0.3">
      <c r="B3206" s="26"/>
      <c r="C3206" s="17"/>
      <c r="D3206" s="27"/>
      <c r="E3206" s="18"/>
      <c r="F3206" s="18"/>
      <c r="G3206" s="18"/>
      <c r="H3206" s="30" t="str">
        <f t="shared" si="343"/>
        <v/>
      </c>
      <c r="I3206" s="31" t="str">
        <f>IF(OR(B3206="",C3206=""),"",IFERROR(E3206*IF(E3206="",0,VLOOKUP(C3206,'📦 Precios Proforma'!$B$5:$D$104,IF(D3206="DIA",2,3),FALSE)),0))</f>
        <v/>
      </c>
      <c r="J3206" s="31" t="str">
        <f t="shared" si="344"/>
        <v/>
      </c>
      <c r="K3206" s="31" t="str">
        <f t="shared" si="345"/>
        <v/>
      </c>
      <c r="L3206" s="31" t="str">
        <f>IF(OR(B3206="",C3206=""),"",IFERROR(E3206 / SUMIFS('📅 Resumen Diario'!$D$5:$D$504, '📅 Resumen Diario'!$B$5:$B$504, B3206, '📅 Resumen Diario'!$C$5:$C$504, D3206) * SUMIFS('📅 Resumen Diario'!$K$5:$K$504, '📅 Resumen Diario'!$B$5:$B$504, B3206, '📅 Resumen Diario'!$C$5:$C$504, D3206), 0))</f>
        <v/>
      </c>
      <c r="M3206" s="31" t="str">
        <f t="shared" si="346"/>
        <v/>
      </c>
      <c r="N3206" s="31" t="str">
        <f t="shared" si="347"/>
        <v/>
      </c>
      <c r="O3206" s="31" t="str">
        <f>IF(OR(B3206="",C3206=""),"",K3206-N3206 + IFERROR(E3206 / SUMIFS('📅 Resumen Diario'!$D$5:$D$504, '📅 Resumen Diario'!$B$5:$B$504, B3206, '📅 Resumen Diario'!$C$5:$C$504, D3206) * (SUMIFS('📋 Detalle Diario'!$E$5:$E$489, '📋 Detalle Diario'!$B$5:$B$489, B3206, '📋 Detalle Diario'!$C$5:$C$489, D3206) * 135 + SUMIFS('📋 Detalle Diario'!$I$5:$I$489, '📋 Detalle Diario'!$B$5:$B$489, B3206, '📋 Detalle Diario'!$C$5:$C$489, D3206) * 200), 0))</f>
        <v/>
      </c>
      <c r="P3206" s="32" t="str">
        <f t="shared" si="348"/>
        <v/>
      </c>
      <c r="Q3206" s="33" t="str">
        <f t="shared" si="349"/>
        <v/>
      </c>
    </row>
    <row r="3207" spans="2:17" ht="18" customHeight="1" x14ac:dyDescent="0.3">
      <c r="B3207" s="26"/>
      <c r="C3207" s="28"/>
      <c r="D3207" s="27"/>
      <c r="E3207" s="29"/>
      <c r="F3207" s="29"/>
      <c r="G3207" s="29"/>
      <c r="H3207" s="30" t="str">
        <f t="shared" ref="H3207:H3270" si="350">IF(OR(B3207="",C3207=""),"",F3207+G3207)</f>
        <v/>
      </c>
      <c r="I3207" s="31" t="str">
        <f>IF(OR(B3207="",C3207=""),"",IFERROR(E3207*IF(E3207="",0,VLOOKUP(C3207,'📦 Precios Proforma'!$B$5:$D$104,IF(D3207="DIA",2,3),FALSE)),0))</f>
        <v/>
      </c>
      <c r="J3207" s="31" t="str">
        <f t="shared" ref="J3207:J3270" si="351">IF(OR(B3207="",C3207=""),"",IF(D3207="DIA",H3207*1.01,H3207*1.35))</f>
        <v/>
      </c>
      <c r="K3207" s="31" t="str">
        <f t="shared" ref="K3207:K3270" si="352">IF(OR(B3207="",C3207=""),"",I3207+J3207)</f>
        <v/>
      </c>
      <c r="L3207" s="31" t="str">
        <f>IF(OR(B3207="",C3207=""),"",IFERROR(E3207 / SUMIFS('📅 Resumen Diario'!$D$5:$D$504, '📅 Resumen Diario'!$B$5:$B$504, B3207, '📅 Resumen Diario'!$C$5:$C$504, D3207) * SUMIFS('📅 Resumen Diario'!$K$5:$K$504, '📅 Resumen Diario'!$B$5:$B$504, B3207, '📅 Resumen Diario'!$C$5:$C$504, D3207), 0))</f>
        <v/>
      </c>
      <c r="M3207" s="31" t="str">
        <f t="shared" ref="M3207:M3270" si="353">IF(OR(B3207="",C3207=""),"",H3207*0.09)</f>
        <v/>
      </c>
      <c r="N3207" s="31" t="str">
        <f t="shared" ref="N3207:N3270" si="354">IF(OR(B3207="",C3207=""),"",L3207+M3207)</f>
        <v/>
      </c>
      <c r="O3207" s="31" t="str">
        <f>IF(OR(B3207="",C3207=""),"",K3207-N3207 + IFERROR(E3207 / SUMIFS('📅 Resumen Diario'!$D$5:$D$504, '📅 Resumen Diario'!$B$5:$B$504, B3207, '📅 Resumen Diario'!$C$5:$C$504, D3207) * (SUMIFS('📋 Detalle Diario'!$E$5:$E$489, '📋 Detalle Diario'!$B$5:$B$489, B3207, '📋 Detalle Diario'!$C$5:$C$489, D3207) * 135 + SUMIFS('📋 Detalle Diario'!$I$5:$I$489, '📋 Detalle Diario'!$B$5:$B$489, B3207, '📋 Detalle Diario'!$C$5:$C$489, D3207) * 200), 0))</f>
        <v/>
      </c>
      <c r="P3207" s="32" t="str">
        <f t="shared" ref="P3207:P3270" si="355">IF(OR(B3207="",C3207=""),"",IF(K3207=0, 0, O3207/K3207))</f>
        <v/>
      </c>
      <c r="Q3207" s="33" t="str">
        <f t="shared" ref="Q3207:Q3270" si="356">IF(B3207="","",IF(ISNUMBER(B3207),YEAR(B3207)&amp;"-"&amp;IF(MONTH(B3207)&lt;10,"0","")&amp;MONTH(B3207),LEFT(B3207,7)))</f>
        <v/>
      </c>
    </row>
    <row r="3208" spans="2:17" ht="18" customHeight="1" x14ac:dyDescent="0.3">
      <c r="B3208" s="26"/>
      <c r="C3208" s="17"/>
      <c r="D3208" s="27"/>
      <c r="E3208" s="18"/>
      <c r="F3208" s="18"/>
      <c r="G3208" s="18"/>
      <c r="H3208" s="30" t="str">
        <f t="shared" si="350"/>
        <v/>
      </c>
      <c r="I3208" s="31" t="str">
        <f>IF(OR(B3208="",C3208=""),"",IFERROR(E3208*IF(E3208="",0,VLOOKUP(C3208,'📦 Precios Proforma'!$B$5:$D$104,IF(D3208="DIA",2,3),FALSE)),0))</f>
        <v/>
      </c>
      <c r="J3208" s="31" t="str">
        <f t="shared" si="351"/>
        <v/>
      </c>
      <c r="K3208" s="31" t="str">
        <f t="shared" si="352"/>
        <v/>
      </c>
      <c r="L3208" s="31" t="str">
        <f>IF(OR(B3208="",C3208=""),"",IFERROR(E3208 / SUMIFS('📅 Resumen Diario'!$D$5:$D$504, '📅 Resumen Diario'!$B$5:$B$504, B3208, '📅 Resumen Diario'!$C$5:$C$504, D3208) * SUMIFS('📅 Resumen Diario'!$K$5:$K$504, '📅 Resumen Diario'!$B$5:$B$504, B3208, '📅 Resumen Diario'!$C$5:$C$504, D3208), 0))</f>
        <v/>
      </c>
      <c r="M3208" s="31" t="str">
        <f t="shared" si="353"/>
        <v/>
      </c>
      <c r="N3208" s="31" t="str">
        <f t="shared" si="354"/>
        <v/>
      </c>
      <c r="O3208" s="31" t="str">
        <f>IF(OR(B3208="",C3208=""),"",K3208-N3208 + IFERROR(E3208 / SUMIFS('📅 Resumen Diario'!$D$5:$D$504, '📅 Resumen Diario'!$B$5:$B$504, B3208, '📅 Resumen Diario'!$C$5:$C$504, D3208) * (SUMIFS('📋 Detalle Diario'!$E$5:$E$489, '📋 Detalle Diario'!$B$5:$B$489, B3208, '📋 Detalle Diario'!$C$5:$C$489, D3208) * 135 + SUMIFS('📋 Detalle Diario'!$I$5:$I$489, '📋 Detalle Diario'!$B$5:$B$489, B3208, '📋 Detalle Diario'!$C$5:$C$489, D3208) * 200), 0))</f>
        <v/>
      </c>
      <c r="P3208" s="32" t="str">
        <f t="shared" si="355"/>
        <v/>
      </c>
      <c r="Q3208" s="33" t="str">
        <f t="shared" si="356"/>
        <v/>
      </c>
    </row>
    <row r="3209" spans="2:17" ht="18" customHeight="1" x14ac:dyDescent="0.3">
      <c r="B3209" s="26"/>
      <c r="C3209" s="28"/>
      <c r="D3209" s="27"/>
      <c r="E3209" s="29"/>
      <c r="F3209" s="29"/>
      <c r="G3209" s="29"/>
      <c r="H3209" s="30" t="str">
        <f t="shared" si="350"/>
        <v/>
      </c>
      <c r="I3209" s="31" t="str">
        <f>IF(OR(B3209="",C3209=""),"",IFERROR(E3209*IF(E3209="",0,VLOOKUP(C3209,'📦 Precios Proforma'!$B$5:$D$104,IF(D3209="DIA",2,3),FALSE)),0))</f>
        <v/>
      </c>
      <c r="J3209" s="31" t="str">
        <f t="shared" si="351"/>
        <v/>
      </c>
      <c r="K3209" s="31" t="str">
        <f t="shared" si="352"/>
        <v/>
      </c>
      <c r="L3209" s="31" t="str">
        <f>IF(OR(B3209="",C3209=""),"",IFERROR(E3209 / SUMIFS('📅 Resumen Diario'!$D$5:$D$504, '📅 Resumen Diario'!$B$5:$B$504, B3209, '📅 Resumen Diario'!$C$5:$C$504, D3209) * SUMIFS('📅 Resumen Diario'!$K$5:$K$504, '📅 Resumen Diario'!$B$5:$B$504, B3209, '📅 Resumen Diario'!$C$5:$C$504, D3209), 0))</f>
        <v/>
      </c>
      <c r="M3209" s="31" t="str">
        <f t="shared" si="353"/>
        <v/>
      </c>
      <c r="N3209" s="31" t="str">
        <f t="shared" si="354"/>
        <v/>
      </c>
      <c r="O3209" s="31" t="str">
        <f>IF(OR(B3209="",C3209=""),"",K3209-N3209 + IFERROR(E3209 / SUMIFS('📅 Resumen Diario'!$D$5:$D$504, '📅 Resumen Diario'!$B$5:$B$504, B3209, '📅 Resumen Diario'!$C$5:$C$504, D3209) * (SUMIFS('📋 Detalle Diario'!$E$5:$E$489, '📋 Detalle Diario'!$B$5:$B$489, B3209, '📋 Detalle Diario'!$C$5:$C$489, D3209) * 135 + SUMIFS('📋 Detalle Diario'!$I$5:$I$489, '📋 Detalle Diario'!$B$5:$B$489, B3209, '📋 Detalle Diario'!$C$5:$C$489, D3209) * 200), 0))</f>
        <v/>
      </c>
      <c r="P3209" s="32" t="str">
        <f t="shared" si="355"/>
        <v/>
      </c>
      <c r="Q3209" s="33" t="str">
        <f t="shared" si="356"/>
        <v/>
      </c>
    </row>
    <row r="3210" spans="2:17" ht="18" customHeight="1" x14ac:dyDescent="0.3">
      <c r="B3210" s="26"/>
      <c r="C3210" s="17"/>
      <c r="D3210" s="27"/>
      <c r="E3210" s="18"/>
      <c r="F3210" s="18"/>
      <c r="G3210" s="18"/>
      <c r="H3210" s="30" t="str">
        <f t="shared" si="350"/>
        <v/>
      </c>
      <c r="I3210" s="31" t="str">
        <f>IF(OR(B3210="",C3210=""),"",IFERROR(E3210*IF(E3210="",0,VLOOKUP(C3210,'📦 Precios Proforma'!$B$5:$D$104,IF(D3210="DIA",2,3),FALSE)),0))</f>
        <v/>
      </c>
      <c r="J3210" s="31" t="str">
        <f t="shared" si="351"/>
        <v/>
      </c>
      <c r="K3210" s="31" t="str">
        <f t="shared" si="352"/>
        <v/>
      </c>
      <c r="L3210" s="31" t="str">
        <f>IF(OR(B3210="",C3210=""),"",IFERROR(E3210 / SUMIFS('📅 Resumen Diario'!$D$5:$D$504, '📅 Resumen Diario'!$B$5:$B$504, B3210, '📅 Resumen Diario'!$C$5:$C$504, D3210) * SUMIFS('📅 Resumen Diario'!$K$5:$K$504, '📅 Resumen Diario'!$B$5:$B$504, B3210, '📅 Resumen Diario'!$C$5:$C$504, D3210), 0))</f>
        <v/>
      </c>
      <c r="M3210" s="31" t="str">
        <f t="shared" si="353"/>
        <v/>
      </c>
      <c r="N3210" s="31" t="str">
        <f t="shared" si="354"/>
        <v/>
      </c>
      <c r="O3210" s="31" t="str">
        <f>IF(OR(B3210="",C3210=""),"",K3210-N3210 + IFERROR(E3210 / SUMIFS('📅 Resumen Diario'!$D$5:$D$504, '📅 Resumen Diario'!$B$5:$B$504, B3210, '📅 Resumen Diario'!$C$5:$C$504, D3210) * (SUMIFS('📋 Detalle Diario'!$E$5:$E$489, '📋 Detalle Diario'!$B$5:$B$489, B3210, '📋 Detalle Diario'!$C$5:$C$489, D3210) * 135 + SUMIFS('📋 Detalle Diario'!$I$5:$I$489, '📋 Detalle Diario'!$B$5:$B$489, B3210, '📋 Detalle Diario'!$C$5:$C$489, D3210) * 200), 0))</f>
        <v/>
      </c>
      <c r="P3210" s="32" t="str">
        <f t="shared" si="355"/>
        <v/>
      </c>
      <c r="Q3210" s="33" t="str">
        <f t="shared" si="356"/>
        <v/>
      </c>
    </row>
    <row r="3211" spans="2:17" ht="18" customHeight="1" x14ac:dyDescent="0.3">
      <c r="B3211" s="26"/>
      <c r="C3211" s="28"/>
      <c r="D3211" s="27"/>
      <c r="E3211" s="29"/>
      <c r="F3211" s="29"/>
      <c r="G3211" s="29"/>
      <c r="H3211" s="30" t="str">
        <f t="shared" si="350"/>
        <v/>
      </c>
      <c r="I3211" s="31" t="str">
        <f>IF(OR(B3211="",C3211=""),"",IFERROR(E3211*IF(E3211="",0,VLOOKUP(C3211,'📦 Precios Proforma'!$B$5:$D$104,IF(D3211="DIA",2,3),FALSE)),0))</f>
        <v/>
      </c>
      <c r="J3211" s="31" t="str">
        <f t="shared" si="351"/>
        <v/>
      </c>
      <c r="K3211" s="31" t="str">
        <f t="shared" si="352"/>
        <v/>
      </c>
      <c r="L3211" s="31" t="str">
        <f>IF(OR(B3211="",C3211=""),"",IFERROR(E3211 / SUMIFS('📅 Resumen Diario'!$D$5:$D$504, '📅 Resumen Diario'!$B$5:$B$504, B3211, '📅 Resumen Diario'!$C$5:$C$504, D3211) * SUMIFS('📅 Resumen Diario'!$K$5:$K$504, '📅 Resumen Diario'!$B$5:$B$504, B3211, '📅 Resumen Diario'!$C$5:$C$504, D3211), 0))</f>
        <v/>
      </c>
      <c r="M3211" s="31" t="str">
        <f t="shared" si="353"/>
        <v/>
      </c>
      <c r="N3211" s="31" t="str">
        <f t="shared" si="354"/>
        <v/>
      </c>
      <c r="O3211" s="31" t="str">
        <f>IF(OR(B3211="",C3211=""),"",K3211-N3211 + IFERROR(E3211 / SUMIFS('📅 Resumen Diario'!$D$5:$D$504, '📅 Resumen Diario'!$B$5:$B$504, B3211, '📅 Resumen Diario'!$C$5:$C$504, D3211) * (SUMIFS('📋 Detalle Diario'!$E$5:$E$489, '📋 Detalle Diario'!$B$5:$B$489, B3211, '📋 Detalle Diario'!$C$5:$C$489, D3211) * 135 + SUMIFS('📋 Detalle Diario'!$I$5:$I$489, '📋 Detalle Diario'!$B$5:$B$489, B3211, '📋 Detalle Diario'!$C$5:$C$489, D3211) * 200), 0))</f>
        <v/>
      </c>
      <c r="P3211" s="32" t="str">
        <f t="shared" si="355"/>
        <v/>
      </c>
      <c r="Q3211" s="33" t="str">
        <f t="shared" si="356"/>
        <v/>
      </c>
    </row>
    <row r="3212" spans="2:17" ht="18" customHeight="1" x14ac:dyDescent="0.3">
      <c r="B3212" s="26"/>
      <c r="C3212" s="17"/>
      <c r="D3212" s="27"/>
      <c r="E3212" s="18"/>
      <c r="F3212" s="18"/>
      <c r="G3212" s="18"/>
      <c r="H3212" s="30" t="str">
        <f t="shared" si="350"/>
        <v/>
      </c>
      <c r="I3212" s="31" t="str">
        <f>IF(OR(B3212="",C3212=""),"",IFERROR(E3212*IF(E3212="",0,VLOOKUP(C3212,'📦 Precios Proforma'!$B$5:$D$104,IF(D3212="DIA",2,3),FALSE)),0))</f>
        <v/>
      </c>
      <c r="J3212" s="31" t="str">
        <f t="shared" si="351"/>
        <v/>
      </c>
      <c r="K3212" s="31" t="str">
        <f t="shared" si="352"/>
        <v/>
      </c>
      <c r="L3212" s="31" t="str">
        <f>IF(OR(B3212="",C3212=""),"",IFERROR(E3212 / SUMIFS('📅 Resumen Diario'!$D$5:$D$504, '📅 Resumen Diario'!$B$5:$B$504, B3212, '📅 Resumen Diario'!$C$5:$C$504, D3212) * SUMIFS('📅 Resumen Diario'!$K$5:$K$504, '📅 Resumen Diario'!$B$5:$B$504, B3212, '📅 Resumen Diario'!$C$5:$C$504, D3212), 0))</f>
        <v/>
      </c>
      <c r="M3212" s="31" t="str">
        <f t="shared" si="353"/>
        <v/>
      </c>
      <c r="N3212" s="31" t="str">
        <f t="shared" si="354"/>
        <v/>
      </c>
      <c r="O3212" s="31" t="str">
        <f>IF(OR(B3212="",C3212=""),"",K3212-N3212 + IFERROR(E3212 / SUMIFS('📅 Resumen Diario'!$D$5:$D$504, '📅 Resumen Diario'!$B$5:$B$504, B3212, '📅 Resumen Diario'!$C$5:$C$504, D3212) * (SUMIFS('📋 Detalle Diario'!$E$5:$E$489, '📋 Detalle Diario'!$B$5:$B$489, B3212, '📋 Detalle Diario'!$C$5:$C$489, D3212) * 135 + SUMIFS('📋 Detalle Diario'!$I$5:$I$489, '📋 Detalle Diario'!$B$5:$B$489, B3212, '📋 Detalle Diario'!$C$5:$C$489, D3212) * 200), 0))</f>
        <v/>
      </c>
      <c r="P3212" s="32" t="str">
        <f t="shared" si="355"/>
        <v/>
      </c>
      <c r="Q3212" s="33" t="str">
        <f t="shared" si="356"/>
        <v/>
      </c>
    </row>
    <row r="3213" spans="2:17" ht="18" customHeight="1" x14ac:dyDescent="0.3">
      <c r="B3213" s="26"/>
      <c r="C3213" s="28"/>
      <c r="D3213" s="27"/>
      <c r="E3213" s="29"/>
      <c r="F3213" s="29"/>
      <c r="G3213" s="29"/>
      <c r="H3213" s="30" t="str">
        <f t="shared" si="350"/>
        <v/>
      </c>
      <c r="I3213" s="31" t="str">
        <f>IF(OR(B3213="",C3213=""),"",IFERROR(E3213*IF(E3213="",0,VLOOKUP(C3213,'📦 Precios Proforma'!$B$5:$D$104,IF(D3213="DIA",2,3),FALSE)),0))</f>
        <v/>
      </c>
      <c r="J3213" s="31" t="str">
        <f t="shared" si="351"/>
        <v/>
      </c>
      <c r="K3213" s="31" t="str">
        <f t="shared" si="352"/>
        <v/>
      </c>
      <c r="L3213" s="31" t="str">
        <f>IF(OR(B3213="",C3213=""),"",IFERROR(E3213 / SUMIFS('📅 Resumen Diario'!$D$5:$D$504, '📅 Resumen Diario'!$B$5:$B$504, B3213, '📅 Resumen Diario'!$C$5:$C$504, D3213) * SUMIFS('📅 Resumen Diario'!$K$5:$K$504, '📅 Resumen Diario'!$B$5:$B$504, B3213, '📅 Resumen Diario'!$C$5:$C$504, D3213), 0))</f>
        <v/>
      </c>
      <c r="M3213" s="31" t="str">
        <f t="shared" si="353"/>
        <v/>
      </c>
      <c r="N3213" s="31" t="str">
        <f t="shared" si="354"/>
        <v/>
      </c>
      <c r="O3213" s="31" t="str">
        <f>IF(OR(B3213="",C3213=""),"",K3213-N3213 + IFERROR(E3213 / SUMIFS('📅 Resumen Diario'!$D$5:$D$504, '📅 Resumen Diario'!$B$5:$B$504, B3213, '📅 Resumen Diario'!$C$5:$C$504, D3213) * (SUMIFS('📋 Detalle Diario'!$E$5:$E$489, '📋 Detalle Diario'!$B$5:$B$489, B3213, '📋 Detalle Diario'!$C$5:$C$489, D3213) * 135 + SUMIFS('📋 Detalle Diario'!$I$5:$I$489, '📋 Detalle Diario'!$B$5:$B$489, B3213, '📋 Detalle Diario'!$C$5:$C$489, D3213) * 200), 0))</f>
        <v/>
      </c>
      <c r="P3213" s="32" t="str">
        <f t="shared" si="355"/>
        <v/>
      </c>
      <c r="Q3213" s="33" t="str">
        <f t="shared" si="356"/>
        <v/>
      </c>
    </row>
    <row r="3214" spans="2:17" ht="18" customHeight="1" x14ac:dyDescent="0.3">
      <c r="B3214" s="26"/>
      <c r="C3214" s="17"/>
      <c r="D3214" s="27"/>
      <c r="E3214" s="18"/>
      <c r="F3214" s="18"/>
      <c r="G3214" s="18"/>
      <c r="H3214" s="30" t="str">
        <f t="shared" si="350"/>
        <v/>
      </c>
      <c r="I3214" s="31" t="str">
        <f>IF(OR(B3214="",C3214=""),"",IFERROR(E3214*IF(E3214="",0,VLOOKUP(C3214,'📦 Precios Proforma'!$B$5:$D$104,IF(D3214="DIA",2,3),FALSE)),0))</f>
        <v/>
      </c>
      <c r="J3214" s="31" t="str">
        <f t="shared" si="351"/>
        <v/>
      </c>
      <c r="K3214" s="31" t="str">
        <f t="shared" si="352"/>
        <v/>
      </c>
      <c r="L3214" s="31" t="str">
        <f>IF(OR(B3214="",C3214=""),"",IFERROR(E3214 / SUMIFS('📅 Resumen Diario'!$D$5:$D$504, '📅 Resumen Diario'!$B$5:$B$504, B3214, '📅 Resumen Diario'!$C$5:$C$504, D3214) * SUMIFS('📅 Resumen Diario'!$K$5:$K$504, '📅 Resumen Diario'!$B$5:$B$504, B3214, '📅 Resumen Diario'!$C$5:$C$504, D3214), 0))</f>
        <v/>
      </c>
      <c r="M3214" s="31" t="str">
        <f t="shared" si="353"/>
        <v/>
      </c>
      <c r="N3214" s="31" t="str">
        <f t="shared" si="354"/>
        <v/>
      </c>
      <c r="O3214" s="31" t="str">
        <f>IF(OR(B3214="",C3214=""),"",K3214-N3214 + IFERROR(E3214 / SUMIFS('📅 Resumen Diario'!$D$5:$D$504, '📅 Resumen Diario'!$B$5:$B$504, B3214, '📅 Resumen Diario'!$C$5:$C$504, D3214) * (SUMIFS('📋 Detalle Diario'!$E$5:$E$489, '📋 Detalle Diario'!$B$5:$B$489, B3214, '📋 Detalle Diario'!$C$5:$C$489, D3214) * 135 + SUMIFS('📋 Detalle Diario'!$I$5:$I$489, '📋 Detalle Diario'!$B$5:$B$489, B3214, '📋 Detalle Diario'!$C$5:$C$489, D3214) * 200), 0))</f>
        <v/>
      </c>
      <c r="P3214" s="32" t="str">
        <f t="shared" si="355"/>
        <v/>
      </c>
      <c r="Q3214" s="33" t="str">
        <f t="shared" si="356"/>
        <v/>
      </c>
    </row>
    <row r="3215" spans="2:17" ht="18" customHeight="1" x14ac:dyDescent="0.3">
      <c r="B3215" s="26"/>
      <c r="C3215" s="28"/>
      <c r="D3215" s="27"/>
      <c r="E3215" s="29"/>
      <c r="F3215" s="29"/>
      <c r="G3215" s="29"/>
      <c r="H3215" s="30" t="str">
        <f t="shared" si="350"/>
        <v/>
      </c>
      <c r="I3215" s="31" t="str">
        <f>IF(OR(B3215="",C3215=""),"",IFERROR(E3215*IF(E3215="",0,VLOOKUP(C3215,'📦 Precios Proforma'!$B$5:$D$104,IF(D3215="DIA",2,3),FALSE)),0))</f>
        <v/>
      </c>
      <c r="J3215" s="31" t="str">
        <f t="shared" si="351"/>
        <v/>
      </c>
      <c r="K3215" s="31" t="str">
        <f t="shared" si="352"/>
        <v/>
      </c>
      <c r="L3215" s="31" t="str">
        <f>IF(OR(B3215="",C3215=""),"",IFERROR(E3215 / SUMIFS('📅 Resumen Diario'!$D$5:$D$504, '📅 Resumen Diario'!$B$5:$B$504, B3215, '📅 Resumen Diario'!$C$5:$C$504, D3215) * SUMIFS('📅 Resumen Diario'!$K$5:$K$504, '📅 Resumen Diario'!$B$5:$B$504, B3215, '📅 Resumen Diario'!$C$5:$C$504, D3215), 0))</f>
        <v/>
      </c>
      <c r="M3215" s="31" t="str">
        <f t="shared" si="353"/>
        <v/>
      </c>
      <c r="N3215" s="31" t="str">
        <f t="shared" si="354"/>
        <v/>
      </c>
      <c r="O3215" s="31" t="str">
        <f>IF(OR(B3215="",C3215=""),"",K3215-N3215 + IFERROR(E3215 / SUMIFS('📅 Resumen Diario'!$D$5:$D$504, '📅 Resumen Diario'!$B$5:$B$504, B3215, '📅 Resumen Diario'!$C$5:$C$504, D3215) * (SUMIFS('📋 Detalle Diario'!$E$5:$E$489, '📋 Detalle Diario'!$B$5:$B$489, B3215, '📋 Detalle Diario'!$C$5:$C$489, D3215) * 135 + SUMIFS('📋 Detalle Diario'!$I$5:$I$489, '📋 Detalle Diario'!$B$5:$B$489, B3215, '📋 Detalle Diario'!$C$5:$C$489, D3215) * 200), 0))</f>
        <v/>
      </c>
      <c r="P3215" s="32" t="str">
        <f t="shared" si="355"/>
        <v/>
      </c>
      <c r="Q3215" s="33" t="str">
        <f t="shared" si="356"/>
        <v/>
      </c>
    </row>
    <row r="3216" spans="2:17" ht="18" customHeight="1" x14ac:dyDescent="0.3">
      <c r="B3216" s="26"/>
      <c r="C3216" s="17"/>
      <c r="D3216" s="27"/>
      <c r="E3216" s="18"/>
      <c r="F3216" s="18"/>
      <c r="G3216" s="18"/>
      <c r="H3216" s="30" t="str">
        <f t="shared" si="350"/>
        <v/>
      </c>
      <c r="I3216" s="31" t="str">
        <f>IF(OR(B3216="",C3216=""),"",IFERROR(E3216*IF(E3216="",0,VLOOKUP(C3216,'📦 Precios Proforma'!$B$5:$D$104,IF(D3216="DIA",2,3),FALSE)),0))</f>
        <v/>
      </c>
      <c r="J3216" s="31" t="str">
        <f t="shared" si="351"/>
        <v/>
      </c>
      <c r="K3216" s="31" t="str">
        <f t="shared" si="352"/>
        <v/>
      </c>
      <c r="L3216" s="31" t="str">
        <f>IF(OR(B3216="",C3216=""),"",IFERROR(E3216 / SUMIFS('📅 Resumen Diario'!$D$5:$D$504, '📅 Resumen Diario'!$B$5:$B$504, B3216, '📅 Resumen Diario'!$C$5:$C$504, D3216) * SUMIFS('📅 Resumen Diario'!$K$5:$K$504, '📅 Resumen Diario'!$B$5:$B$504, B3216, '📅 Resumen Diario'!$C$5:$C$504, D3216), 0))</f>
        <v/>
      </c>
      <c r="M3216" s="31" t="str">
        <f t="shared" si="353"/>
        <v/>
      </c>
      <c r="N3216" s="31" t="str">
        <f t="shared" si="354"/>
        <v/>
      </c>
      <c r="O3216" s="31" t="str">
        <f>IF(OR(B3216="",C3216=""),"",K3216-N3216 + IFERROR(E3216 / SUMIFS('📅 Resumen Diario'!$D$5:$D$504, '📅 Resumen Diario'!$B$5:$B$504, B3216, '📅 Resumen Diario'!$C$5:$C$504, D3216) * (SUMIFS('📋 Detalle Diario'!$E$5:$E$489, '📋 Detalle Diario'!$B$5:$B$489, B3216, '📋 Detalle Diario'!$C$5:$C$489, D3216) * 135 + SUMIFS('📋 Detalle Diario'!$I$5:$I$489, '📋 Detalle Diario'!$B$5:$B$489, B3216, '📋 Detalle Diario'!$C$5:$C$489, D3216) * 200), 0))</f>
        <v/>
      </c>
      <c r="P3216" s="32" t="str">
        <f t="shared" si="355"/>
        <v/>
      </c>
      <c r="Q3216" s="33" t="str">
        <f t="shared" si="356"/>
        <v/>
      </c>
    </row>
    <row r="3217" spans="2:17" ht="18" customHeight="1" x14ac:dyDescent="0.3">
      <c r="B3217" s="26"/>
      <c r="C3217" s="28"/>
      <c r="D3217" s="27"/>
      <c r="E3217" s="29"/>
      <c r="F3217" s="29"/>
      <c r="G3217" s="29"/>
      <c r="H3217" s="30" t="str">
        <f t="shared" si="350"/>
        <v/>
      </c>
      <c r="I3217" s="31" t="str">
        <f>IF(OR(B3217="",C3217=""),"",IFERROR(E3217*IF(E3217="",0,VLOOKUP(C3217,'📦 Precios Proforma'!$B$5:$D$104,IF(D3217="DIA",2,3),FALSE)),0))</f>
        <v/>
      </c>
      <c r="J3217" s="31" t="str">
        <f t="shared" si="351"/>
        <v/>
      </c>
      <c r="K3217" s="31" t="str">
        <f t="shared" si="352"/>
        <v/>
      </c>
      <c r="L3217" s="31" t="str">
        <f>IF(OR(B3217="",C3217=""),"",IFERROR(E3217 / SUMIFS('📅 Resumen Diario'!$D$5:$D$504, '📅 Resumen Diario'!$B$5:$B$504, B3217, '📅 Resumen Diario'!$C$5:$C$504, D3217) * SUMIFS('📅 Resumen Diario'!$K$5:$K$504, '📅 Resumen Diario'!$B$5:$B$504, B3217, '📅 Resumen Diario'!$C$5:$C$504, D3217), 0))</f>
        <v/>
      </c>
      <c r="M3217" s="31" t="str">
        <f t="shared" si="353"/>
        <v/>
      </c>
      <c r="N3217" s="31" t="str">
        <f t="shared" si="354"/>
        <v/>
      </c>
      <c r="O3217" s="31" t="str">
        <f>IF(OR(B3217="",C3217=""),"",K3217-N3217 + IFERROR(E3217 / SUMIFS('📅 Resumen Diario'!$D$5:$D$504, '📅 Resumen Diario'!$B$5:$B$504, B3217, '📅 Resumen Diario'!$C$5:$C$504, D3217) * (SUMIFS('📋 Detalle Diario'!$E$5:$E$489, '📋 Detalle Diario'!$B$5:$B$489, B3217, '📋 Detalle Diario'!$C$5:$C$489, D3217) * 135 + SUMIFS('📋 Detalle Diario'!$I$5:$I$489, '📋 Detalle Diario'!$B$5:$B$489, B3217, '📋 Detalle Diario'!$C$5:$C$489, D3217) * 200), 0))</f>
        <v/>
      </c>
      <c r="P3217" s="32" t="str">
        <f t="shared" si="355"/>
        <v/>
      </c>
      <c r="Q3217" s="33" t="str">
        <f t="shared" si="356"/>
        <v/>
      </c>
    </row>
    <row r="3218" spans="2:17" ht="18" customHeight="1" x14ac:dyDescent="0.3">
      <c r="B3218" s="26"/>
      <c r="C3218" s="17"/>
      <c r="D3218" s="27"/>
      <c r="E3218" s="18"/>
      <c r="F3218" s="18"/>
      <c r="G3218" s="18"/>
      <c r="H3218" s="30" t="str">
        <f t="shared" si="350"/>
        <v/>
      </c>
      <c r="I3218" s="31" t="str">
        <f>IF(OR(B3218="",C3218=""),"",IFERROR(E3218*IF(E3218="",0,VLOOKUP(C3218,'📦 Precios Proforma'!$B$5:$D$104,IF(D3218="DIA",2,3),FALSE)),0))</f>
        <v/>
      </c>
      <c r="J3218" s="31" t="str">
        <f t="shared" si="351"/>
        <v/>
      </c>
      <c r="K3218" s="31" t="str">
        <f t="shared" si="352"/>
        <v/>
      </c>
      <c r="L3218" s="31" t="str">
        <f>IF(OR(B3218="",C3218=""),"",IFERROR(E3218 / SUMIFS('📅 Resumen Diario'!$D$5:$D$504, '📅 Resumen Diario'!$B$5:$B$504, B3218, '📅 Resumen Diario'!$C$5:$C$504, D3218) * SUMIFS('📅 Resumen Diario'!$K$5:$K$504, '📅 Resumen Diario'!$B$5:$B$504, B3218, '📅 Resumen Diario'!$C$5:$C$504, D3218), 0))</f>
        <v/>
      </c>
      <c r="M3218" s="31" t="str">
        <f t="shared" si="353"/>
        <v/>
      </c>
      <c r="N3218" s="31" t="str">
        <f t="shared" si="354"/>
        <v/>
      </c>
      <c r="O3218" s="31" t="str">
        <f>IF(OR(B3218="",C3218=""),"",K3218-N3218 + IFERROR(E3218 / SUMIFS('📅 Resumen Diario'!$D$5:$D$504, '📅 Resumen Diario'!$B$5:$B$504, B3218, '📅 Resumen Diario'!$C$5:$C$504, D3218) * (SUMIFS('📋 Detalle Diario'!$E$5:$E$489, '📋 Detalle Diario'!$B$5:$B$489, B3218, '📋 Detalle Diario'!$C$5:$C$489, D3218) * 135 + SUMIFS('📋 Detalle Diario'!$I$5:$I$489, '📋 Detalle Diario'!$B$5:$B$489, B3218, '📋 Detalle Diario'!$C$5:$C$489, D3218) * 200), 0))</f>
        <v/>
      </c>
      <c r="P3218" s="32" t="str">
        <f t="shared" si="355"/>
        <v/>
      </c>
      <c r="Q3218" s="33" t="str">
        <f t="shared" si="356"/>
        <v/>
      </c>
    </row>
    <row r="3219" spans="2:17" ht="18" customHeight="1" x14ac:dyDescent="0.3">
      <c r="B3219" s="26"/>
      <c r="C3219" s="28"/>
      <c r="D3219" s="27"/>
      <c r="E3219" s="29"/>
      <c r="F3219" s="29"/>
      <c r="G3219" s="29"/>
      <c r="H3219" s="30" t="str">
        <f t="shared" si="350"/>
        <v/>
      </c>
      <c r="I3219" s="31" t="str">
        <f>IF(OR(B3219="",C3219=""),"",IFERROR(E3219*IF(E3219="",0,VLOOKUP(C3219,'📦 Precios Proforma'!$B$5:$D$104,IF(D3219="DIA",2,3),FALSE)),0))</f>
        <v/>
      </c>
      <c r="J3219" s="31" t="str">
        <f t="shared" si="351"/>
        <v/>
      </c>
      <c r="K3219" s="31" t="str">
        <f t="shared" si="352"/>
        <v/>
      </c>
      <c r="L3219" s="31" t="str">
        <f>IF(OR(B3219="",C3219=""),"",IFERROR(E3219 / SUMIFS('📅 Resumen Diario'!$D$5:$D$504, '📅 Resumen Diario'!$B$5:$B$504, B3219, '📅 Resumen Diario'!$C$5:$C$504, D3219) * SUMIFS('📅 Resumen Diario'!$K$5:$K$504, '📅 Resumen Diario'!$B$5:$B$504, B3219, '📅 Resumen Diario'!$C$5:$C$504, D3219), 0))</f>
        <v/>
      </c>
      <c r="M3219" s="31" t="str">
        <f t="shared" si="353"/>
        <v/>
      </c>
      <c r="N3219" s="31" t="str">
        <f t="shared" si="354"/>
        <v/>
      </c>
      <c r="O3219" s="31" t="str">
        <f>IF(OR(B3219="",C3219=""),"",K3219-N3219 + IFERROR(E3219 / SUMIFS('📅 Resumen Diario'!$D$5:$D$504, '📅 Resumen Diario'!$B$5:$B$504, B3219, '📅 Resumen Diario'!$C$5:$C$504, D3219) * (SUMIFS('📋 Detalle Diario'!$E$5:$E$489, '📋 Detalle Diario'!$B$5:$B$489, B3219, '📋 Detalle Diario'!$C$5:$C$489, D3219) * 135 + SUMIFS('📋 Detalle Diario'!$I$5:$I$489, '📋 Detalle Diario'!$B$5:$B$489, B3219, '📋 Detalle Diario'!$C$5:$C$489, D3219) * 200), 0))</f>
        <v/>
      </c>
      <c r="P3219" s="32" t="str">
        <f t="shared" si="355"/>
        <v/>
      </c>
      <c r="Q3219" s="33" t="str">
        <f t="shared" si="356"/>
        <v/>
      </c>
    </row>
    <row r="3220" spans="2:17" ht="18" customHeight="1" x14ac:dyDescent="0.3">
      <c r="B3220" s="26"/>
      <c r="C3220" s="17"/>
      <c r="D3220" s="27"/>
      <c r="E3220" s="18"/>
      <c r="F3220" s="18"/>
      <c r="G3220" s="18"/>
      <c r="H3220" s="30" t="str">
        <f t="shared" si="350"/>
        <v/>
      </c>
      <c r="I3220" s="31" t="str">
        <f>IF(OR(B3220="",C3220=""),"",IFERROR(E3220*IF(E3220="",0,VLOOKUP(C3220,'📦 Precios Proforma'!$B$5:$D$104,IF(D3220="DIA",2,3),FALSE)),0))</f>
        <v/>
      </c>
      <c r="J3220" s="31" t="str">
        <f t="shared" si="351"/>
        <v/>
      </c>
      <c r="K3220" s="31" t="str">
        <f t="shared" si="352"/>
        <v/>
      </c>
      <c r="L3220" s="31" t="str">
        <f>IF(OR(B3220="",C3220=""),"",IFERROR(E3220 / SUMIFS('📅 Resumen Diario'!$D$5:$D$504, '📅 Resumen Diario'!$B$5:$B$504, B3220, '📅 Resumen Diario'!$C$5:$C$504, D3220) * SUMIFS('📅 Resumen Diario'!$K$5:$K$504, '📅 Resumen Diario'!$B$5:$B$504, B3220, '📅 Resumen Diario'!$C$5:$C$504, D3220), 0))</f>
        <v/>
      </c>
      <c r="M3220" s="31" t="str">
        <f t="shared" si="353"/>
        <v/>
      </c>
      <c r="N3220" s="31" t="str">
        <f t="shared" si="354"/>
        <v/>
      </c>
      <c r="O3220" s="31" t="str">
        <f>IF(OR(B3220="",C3220=""),"",K3220-N3220 + IFERROR(E3220 / SUMIFS('📅 Resumen Diario'!$D$5:$D$504, '📅 Resumen Diario'!$B$5:$B$504, B3220, '📅 Resumen Diario'!$C$5:$C$504, D3220) * (SUMIFS('📋 Detalle Diario'!$E$5:$E$489, '📋 Detalle Diario'!$B$5:$B$489, B3220, '📋 Detalle Diario'!$C$5:$C$489, D3220) * 135 + SUMIFS('📋 Detalle Diario'!$I$5:$I$489, '📋 Detalle Diario'!$B$5:$B$489, B3220, '📋 Detalle Diario'!$C$5:$C$489, D3220) * 200), 0))</f>
        <v/>
      </c>
      <c r="P3220" s="32" t="str">
        <f t="shared" si="355"/>
        <v/>
      </c>
      <c r="Q3220" s="33" t="str">
        <f t="shared" si="356"/>
        <v/>
      </c>
    </row>
    <row r="3221" spans="2:17" ht="18" customHeight="1" x14ac:dyDescent="0.3">
      <c r="B3221" s="26"/>
      <c r="C3221" s="28"/>
      <c r="D3221" s="27"/>
      <c r="E3221" s="29"/>
      <c r="F3221" s="29"/>
      <c r="G3221" s="29"/>
      <c r="H3221" s="30" t="str">
        <f t="shared" si="350"/>
        <v/>
      </c>
      <c r="I3221" s="31" t="str">
        <f>IF(OR(B3221="",C3221=""),"",IFERROR(E3221*IF(E3221="",0,VLOOKUP(C3221,'📦 Precios Proforma'!$B$5:$D$104,IF(D3221="DIA",2,3),FALSE)),0))</f>
        <v/>
      </c>
      <c r="J3221" s="31" t="str">
        <f t="shared" si="351"/>
        <v/>
      </c>
      <c r="K3221" s="31" t="str">
        <f t="shared" si="352"/>
        <v/>
      </c>
      <c r="L3221" s="31" t="str">
        <f>IF(OR(B3221="",C3221=""),"",IFERROR(E3221 / SUMIFS('📅 Resumen Diario'!$D$5:$D$504, '📅 Resumen Diario'!$B$5:$B$504, B3221, '📅 Resumen Diario'!$C$5:$C$504, D3221) * SUMIFS('📅 Resumen Diario'!$K$5:$K$504, '📅 Resumen Diario'!$B$5:$B$504, B3221, '📅 Resumen Diario'!$C$5:$C$504, D3221), 0))</f>
        <v/>
      </c>
      <c r="M3221" s="31" t="str">
        <f t="shared" si="353"/>
        <v/>
      </c>
      <c r="N3221" s="31" t="str">
        <f t="shared" si="354"/>
        <v/>
      </c>
      <c r="O3221" s="31" t="str">
        <f>IF(OR(B3221="",C3221=""),"",K3221-N3221 + IFERROR(E3221 / SUMIFS('📅 Resumen Diario'!$D$5:$D$504, '📅 Resumen Diario'!$B$5:$B$504, B3221, '📅 Resumen Diario'!$C$5:$C$504, D3221) * (SUMIFS('📋 Detalle Diario'!$E$5:$E$489, '📋 Detalle Diario'!$B$5:$B$489, B3221, '📋 Detalle Diario'!$C$5:$C$489, D3221) * 135 + SUMIFS('📋 Detalle Diario'!$I$5:$I$489, '📋 Detalle Diario'!$B$5:$B$489, B3221, '📋 Detalle Diario'!$C$5:$C$489, D3221) * 200), 0))</f>
        <v/>
      </c>
      <c r="P3221" s="32" t="str">
        <f t="shared" si="355"/>
        <v/>
      </c>
      <c r="Q3221" s="33" t="str">
        <f t="shared" si="356"/>
        <v/>
      </c>
    </row>
    <row r="3222" spans="2:17" ht="18" customHeight="1" x14ac:dyDescent="0.3">
      <c r="B3222" s="26"/>
      <c r="C3222" s="17"/>
      <c r="D3222" s="27"/>
      <c r="E3222" s="18"/>
      <c r="F3222" s="18"/>
      <c r="G3222" s="18"/>
      <c r="H3222" s="30" t="str">
        <f t="shared" si="350"/>
        <v/>
      </c>
      <c r="I3222" s="31" t="str">
        <f>IF(OR(B3222="",C3222=""),"",IFERROR(E3222*IF(E3222="",0,VLOOKUP(C3222,'📦 Precios Proforma'!$B$5:$D$104,IF(D3222="DIA",2,3),FALSE)),0))</f>
        <v/>
      </c>
      <c r="J3222" s="31" t="str">
        <f t="shared" si="351"/>
        <v/>
      </c>
      <c r="K3222" s="31" t="str">
        <f t="shared" si="352"/>
        <v/>
      </c>
      <c r="L3222" s="31" t="str">
        <f>IF(OR(B3222="",C3222=""),"",IFERROR(E3222 / SUMIFS('📅 Resumen Diario'!$D$5:$D$504, '📅 Resumen Diario'!$B$5:$B$504, B3222, '📅 Resumen Diario'!$C$5:$C$504, D3222) * SUMIFS('📅 Resumen Diario'!$K$5:$K$504, '📅 Resumen Diario'!$B$5:$B$504, B3222, '📅 Resumen Diario'!$C$5:$C$504, D3222), 0))</f>
        <v/>
      </c>
      <c r="M3222" s="31" t="str">
        <f t="shared" si="353"/>
        <v/>
      </c>
      <c r="N3222" s="31" t="str">
        <f t="shared" si="354"/>
        <v/>
      </c>
      <c r="O3222" s="31" t="str">
        <f>IF(OR(B3222="",C3222=""),"",K3222-N3222 + IFERROR(E3222 / SUMIFS('📅 Resumen Diario'!$D$5:$D$504, '📅 Resumen Diario'!$B$5:$B$504, B3222, '📅 Resumen Diario'!$C$5:$C$504, D3222) * (SUMIFS('📋 Detalle Diario'!$E$5:$E$489, '📋 Detalle Diario'!$B$5:$B$489, B3222, '📋 Detalle Diario'!$C$5:$C$489, D3222) * 135 + SUMIFS('📋 Detalle Diario'!$I$5:$I$489, '📋 Detalle Diario'!$B$5:$B$489, B3222, '📋 Detalle Diario'!$C$5:$C$489, D3222) * 200), 0))</f>
        <v/>
      </c>
      <c r="P3222" s="32" t="str">
        <f t="shared" si="355"/>
        <v/>
      </c>
      <c r="Q3222" s="33" t="str">
        <f t="shared" si="356"/>
        <v/>
      </c>
    </row>
    <row r="3223" spans="2:17" ht="18" customHeight="1" x14ac:dyDescent="0.3">
      <c r="B3223" s="26"/>
      <c r="C3223" s="28"/>
      <c r="D3223" s="27"/>
      <c r="E3223" s="29"/>
      <c r="F3223" s="29"/>
      <c r="G3223" s="29"/>
      <c r="H3223" s="30" t="str">
        <f t="shared" si="350"/>
        <v/>
      </c>
      <c r="I3223" s="31" t="str">
        <f>IF(OR(B3223="",C3223=""),"",IFERROR(E3223*IF(E3223="",0,VLOOKUP(C3223,'📦 Precios Proforma'!$B$5:$D$104,IF(D3223="DIA",2,3),FALSE)),0))</f>
        <v/>
      </c>
      <c r="J3223" s="31" t="str">
        <f t="shared" si="351"/>
        <v/>
      </c>
      <c r="K3223" s="31" t="str">
        <f t="shared" si="352"/>
        <v/>
      </c>
      <c r="L3223" s="31" t="str">
        <f>IF(OR(B3223="",C3223=""),"",IFERROR(E3223 / SUMIFS('📅 Resumen Diario'!$D$5:$D$504, '📅 Resumen Diario'!$B$5:$B$504, B3223, '📅 Resumen Diario'!$C$5:$C$504, D3223) * SUMIFS('📅 Resumen Diario'!$K$5:$K$504, '📅 Resumen Diario'!$B$5:$B$504, B3223, '📅 Resumen Diario'!$C$5:$C$504, D3223), 0))</f>
        <v/>
      </c>
      <c r="M3223" s="31" t="str">
        <f t="shared" si="353"/>
        <v/>
      </c>
      <c r="N3223" s="31" t="str">
        <f t="shared" si="354"/>
        <v/>
      </c>
      <c r="O3223" s="31" t="str">
        <f>IF(OR(B3223="",C3223=""),"",K3223-N3223 + IFERROR(E3223 / SUMIFS('📅 Resumen Diario'!$D$5:$D$504, '📅 Resumen Diario'!$B$5:$B$504, B3223, '📅 Resumen Diario'!$C$5:$C$504, D3223) * (SUMIFS('📋 Detalle Diario'!$E$5:$E$489, '📋 Detalle Diario'!$B$5:$B$489, B3223, '📋 Detalle Diario'!$C$5:$C$489, D3223) * 135 + SUMIFS('📋 Detalle Diario'!$I$5:$I$489, '📋 Detalle Diario'!$B$5:$B$489, B3223, '📋 Detalle Diario'!$C$5:$C$489, D3223) * 200), 0))</f>
        <v/>
      </c>
      <c r="P3223" s="32" t="str">
        <f t="shared" si="355"/>
        <v/>
      </c>
      <c r="Q3223" s="33" t="str">
        <f t="shared" si="356"/>
        <v/>
      </c>
    </row>
    <row r="3224" spans="2:17" ht="18" customHeight="1" x14ac:dyDescent="0.3">
      <c r="B3224" s="26"/>
      <c r="C3224" s="17"/>
      <c r="D3224" s="27"/>
      <c r="E3224" s="18"/>
      <c r="F3224" s="18"/>
      <c r="G3224" s="18"/>
      <c r="H3224" s="30" t="str">
        <f t="shared" si="350"/>
        <v/>
      </c>
      <c r="I3224" s="31" t="str">
        <f>IF(OR(B3224="",C3224=""),"",IFERROR(E3224*IF(E3224="",0,VLOOKUP(C3224,'📦 Precios Proforma'!$B$5:$D$104,IF(D3224="DIA",2,3),FALSE)),0))</f>
        <v/>
      </c>
      <c r="J3224" s="31" t="str">
        <f t="shared" si="351"/>
        <v/>
      </c>
      <c r="K3224" s="31" t="str">
        <f t="shared" si="352"/>
        <v/>
      </c>
      <c r="L3224" s="31" t="str">
        <f>IF(OR(B3224="",C3224=""),"",IFERROR(E3224 / SUMIFS('📅 Resumen Diario'!$D$5:$D$504, '📅 Resumen Diario'!$B$5:$B$504, B3224, '📅 Resumen Diario'!$C$5:$C$504, D3224) * SUMIFS('📅 Resumen Diario'!$K$5:$K$504, '📅 Resumen Diario'!$B$5:$B$504, B3224, '📅 Resumen Diario'!$C$5:$C$504, D3224), 0))</f>
        <v/>
      </c>
      <c r="M3224" s="31" t="str">
        <f t="shared" si="353"/>
        <v/>
      </c>
      <c r="N3224" s="31" t="str">
        <f t="shared" si="354"/>
        <v/>
      </c>
      <c r="O3224" s="31" t="str">
        <f>IF(OR(B3224="",C3224=""),"",K3224-N3224 + IFERROR(E3224 / SUMIFS('📅 Resumen Diario'!$D$5:$D$504, '📅 Resumen Diario'!$B$5:$B$504, B3224, '📅 Resumen Diario'!$C$5:$C$504, D3224) * (SUMIFS('📋 Detalle Diario'!$E$5:$E$489, '📋 Detalle Diario'!$B$5:$B$489, B3224, '📋 Detalle Diario'!$C$5:$C$489, D3224) * 135 + SUMIFS('📋 Detalle Diario'!$I$5:$I$489, '📋 Detalle Diario'!$B$5:$B$489, B3224, '📋 Detalle Diario'!$C$5:$C$489, D3224) * 200), 0))</f>
        <v/>
      </c>
      <c r="P3224" s="32" t="str">
        <f t="shared" si="355"/>
        <v/>
      </c>
      <c r="Q3224" s="33" t="str">
        <f t="shared" si="356"/>
        <v/>
      </c>
    </row>
    <row r="3225" spans="2:17" ht="18" customHeight="1" x14ac:dyDescent="0.3">
      <c r="B3225" s="26"/>
      <c r="C3225" s="28"/>
      <c r="D3225" s="27"/>
      <c r="E3225" s="29"/>
      <c r="F3225" s="29"/>
      <c r="G3225" s="29"/>
      <c r="H3225" s="30" t="str">
        <f t="shared" si="350"/>
        <v/>
      </c>
      <c r="I3225" s="31" t="str">
        <f>IF(OR(B3225="",C3225=""),"",IFERROR(E3225*IF(E3225="",0,VLOOKUP(C3225,'📦 Precios Proforma'!$B$5:$D$104,IF(D3225="DIA",2,3),FALSE)),0))</f>
        <v/>
      </c>
      <c r="J3225" s="31" t="str">
        <f t="shared" si="351"/>
        <v/>
      </c>
      <c r="K3225" s="31" t="str">
        <f t="shared" si="352"/>
        <v/>
      </c>
      <c r="L3225" s="31" t="str">
        <f>IF(OR(B3225="",C3225=""),"",IFERROR(E3225 / SUMIFS('📅 Resumen Diario'!$D$5:$D$504, '📅 Resumen Diario'!$B$5:$B$504, B3225, '📅 Resumen Diario'!$C$5:$C$504, D3225) * SUMIFS('📅 Resumen Diario'!$K$5:$K$504, '📅 Resumen Diario'!$B$5:$B$504, B3225, '📅 Resumen Diario'!$C$5:$C$504, D3225), 0))</f>
        <v/>
      </c>
      <c r="M3225" s="31" t="str">
        <f t="shared" si="353"/>
        <v/>
      </c>
      <c r="N3225" s="31" t="str">
        <f t="shared" si="354"/>
        <v/>
      </c>
      <c r="O3225" s="31" t="str">
        <f>IF(OR(B3225="",C3225=""),"",K3225-N3225 + IFERROR(E3225 / SUMIFS('📅 Resumen Diario'!$D$5:$D$504, '📅 Resumen Diario'!$B$5:$B$504, B3225, '📅 Resumen Diario'!$C$5:$C$504, D3225) * (SUMIFS('📋 Detalle Diario'!$E$5:$E$489, '📋 Detalle Diario'!$B$5:$B$489, B3225, '📋 Detalle Diario'!$C$5:$C$489, D3225) * 135 + SUMIFS('📋 Detalle Diario'!$I$5:$I$489, '📋 Detalle Diario'!$B$5:$B$489, B3225, '📋 Detalle Diario'!$C$5:$C$489, D3225) * 200), 0))</f>
        <v/>
      </c>
      <c r="P3225" s="32" t="str">
        <f t="shared" si="355"/>
        <v/>
      </c>
      <c r="Q3225" s="33" t="str">
        <f t="shared" si="356"/>
        <v/>
      </c>
    </row>
    <row r="3226" spans="2:17" ht="18" customHeight="1" x14ac:dyDescent="0.3">
      <c r="B3226" s="26"/>
      <c r="C3226" s="17"/>
      <c r="D3226" s="27"/>
      <c r="E3226" s="18"/>
      <c r="F3226" s="18"/>
      <c r="G3226" s="18"/>
      <c r="H3226" s="30" t="str">
        <f t="shared" si="350"/>
        <v/>
      </c>
      <c r="I3226" s="31" t="str">
        <f>IF(OR(B3226="",C3226=""),"",IFERROR(E3226*IF(E3226="",0,VLOOKUP(C3226,'📦 Precios Proforma'!$B$5:$D$104,IF(D3226="DIA",2,3),FALSE)),0))</f>
        <v/>
      </c>
      <c r="J3226" s="31" t="str">
        <f t="shared" si="351"/>
        <v/>
      </c>
      <c r="K3226" s="31" t="str">
        <f t="shared" si="352"/>
        <v/>
      </c>
      <c r="L3226" s="31" t="str">
        <f>IF(OR(B3226="",C3226=""),"",IFERROR(E3226 / SUMIFS('📅 Resumen Diario'!$D$5:$D$504, '📅 Resumen Diario'!$B$5:$B$504, B3226, '📅 Resumen Diario'!$C$5:$C$504, D3226) * SUMIFS('📅 Resumen Diario'!$K$5:$K$504, '📅 Resumen Diario'!$B$5:$B$504, B3226, '📅 Resumen Diario'!$C$5:$C$504, D3226), 0))</f>
        <v/>
      </c>
      <c r="M3226" s="31" t="str">
        <f t="shared" si="353"/>
        <v/>
      </c>
      <c r="N3226" s="31" t="str">
        <f t="shared" si="354"/>
        <v/>
      </c>
      <c r="O3226" s="31" t="str">
        <f>IF(OR(B3226="",C3226=""),"",K3226-N3226 + IFERROR(E3226 / SUMIFS('📅 Resumen Diario'!$D$5:$D$504, '📅 Resumen Diario'!$B$5:$B$504, B3226, '📅 Resumen Diario'!$C$5:$C$504, D3226) * (SUMIFS('📋 Detalle Diario'!$E$5:$E$489, '📋 Detalle Diario'!$B$5:$B$489, B3226, '📋 Detalle Diario'!$C$5:$C$489, D3226) * 135 + SUMIFS('📋 Detalle Diario'!$I$5:$I$489, '📋 Detalle Diario'!$B$5:$B$489, B3226, '📋 Detalle Diario'!$C$5:$C$489, D3226) * 200), 0))</f>
        <v/>
      </c>
      <c r="P3226" s="32" t="str">
        <f t="shared" si="355"/>
        <v/>
      </c>
      <c r="Q3226" s="33" t="str">
        <f t="shared" si="356"/>
        <v/>
      </c>
    </row>
    <row r="3227" spans="2:17" ht="18" customHeight="1" x14ac:dyDescent="0.3">
      <c r="B3227" s="26"/>
      <c r="C3227" s="28"/>
      <c r="D3227" s="27"/>
      <c r="E3227" s="29"/>
      <c r="F3227" s="29"/>
      <c r="G3227" s="29"/>
      <c r="H3227" s="30" t="str">
        <f t="shared" si="350"/>
        <v/>
      </c>
      <c r="I3227" s="31" t="str">
        <f>IF(OR(B3227="",C3227=""),"",IFERROR(E3227*IF(E3227="",0,VLOOKUP(C3227,'📦 Precios Proforma'!$B$5:$D$104,IF(D3227="DIA",2,3),FALSE)),0))</f>
        <v/>
      </c>
      <c r="J3227" s="31" t="str">
        <f t="shared" si="351"/>
        <v/>
      </c>
      <c r="K3227" s="31" t="str">
        <f t="shared" si="352"/>
        <v/>
      </c>
      <c r="L3227" s="31" t="str">
        <f>IF(OR(B3227="",C3227=""),"",IFERROR(E3227 / SUMIFS('📅 Resumen Diario'!$D$5:$D$504, '📅 Resumen Diario'!$B$5:$B$504, B3227, '📅 Resumen Diario'!$C$5:$C$504, D3227) * SUMIFS('📅 Resumen Diario'!$K$5:$K$504, '📅 Resumen Diario'!$B$5:$B$504, B3227, '📅 Resumen Diario'!$C$5:$C$504, D3227), 0))</f>
        <v/>
      </c>
      <c r="M3227" s="31" t="str">
        <f t="shared" si="353"/>
        <v/>
      </c>
      <c r="N3227" s="31" t="str">
        <f t="shared" si="354"/>
        <v/>
      </c>
      <c r="O3227" s="31" t="str">
        <f>IF(OR(B3227="",C3227=""),"",K3227-N3227 + IFERROR(E3227 / SUMIFS('📅 Resumen Diario'!$D$5:$D$504, '📅 Resumen Diario'!$B$5:$B$504, B3227, '📅 Resumen Diario'!$C$5:$C$504, D3227) * (SUMIFS('📋 Detalle Diario'!$E$5:$E$489, '📋 Detalle Diario'!$B$5:$B$489, B3227, '📋 Detalle Diario'!$C$5:$C$489, D3227) * 135 + SUMIFS('📋 Detalle Diario'!$I$5:$I$489, '📋 Detalle Diario'!$B$5:$B$489, B3227, '📋 Detalle Diario'!$C$5:$C$489, D3227) * 200), 0))</f>
        <v/>
      </c>
      <c r="P3227" s="32" t="str">
        <f t="shared" si="355"/>
        <v/>
      </c>
      <c r="Q3227" s="33" t="str">
        <f t="shared" si="356"/>
        <v/>
      </c>
    </row>
    <row r="3228" spans="2:17" ht="18" customHeight="1" x14ac:dyDescent="0.3">
      <c r="B3228" s="26"/>
      <c r="C3228" s="17"/>
      <c r="D3228" s="27"/>
      <c r="E3228" s="18"/>
      <c r="F3228" s="18"/>
      <c r="G3228" s="18"/>
      <c r="H3228" s="30" t="str">
        <f t="shared" si="350"/>
        <v/>
      </c>
      <c r="I3228" s="31" t="str">
        <f>IF(OR(B3228="",C3228=""),"",IFERROR(E3228*IF(E3228="",0,VLOOKUP(C3228,'📦 Precios Proforma'!$B$5:$D$104,IF(D3228="DIA",2,3),FALSE)),0))</f>
        <v/>
      </c>
      <c r="J3228" s="31" t="str">
        <f t="shared" si="351"/>
        <v/>
      </c>
      <c r="K3228" s="31" t="str">
        <f t="shared" si="352"/>
        <v/>
      </c>
      <c r="L3228" s="31" t="str">
        <f>IF(OR(B3228="",C3228=""),"",IFERROR(E3228 / SUMIFS('📅 Resumen Diario'!$D$5:$D$504, '📅 Resumen Diario'!$B$5:$B$504, B3228, '📅 Resumen Diario'!$C$5:$C$504, D3228) * SUMIFS('📅 Resumen Diario'!$K$5:$K$504, '📅 Resumen Diario'!$B$5:$B$504, B3228, '📅 Resumen Diario'!$C$5:$C$504, D3228), 0))</f>
        <v/>
      </c>
      <c r="M3228" s="31" t="str">
        <f t="shared" si="353"/>
        <v/>
      </c>
      <c r="N3228" s="31" t="str">
        <f t="shared" si="354"/>
        <v/>
      </c>
      <c r="O3228" s="31" t="str">
        <f>IF(OR(B3228="",C3228=""),"",K3228-N3228 + IFERROR(E3228 / SUMIFS('📅 Resumen Diario'!$D$5:$D$504, '📅 Resumen Diario'!$B$5:$B$504, B3228, '📅 Resumen Diario'!$C$5:$C$504, D3228) * (SUMIFS('📋 Detalle Diario'!$E$5:$E$489, '📋 Detalle Diario'!$B$5:$B$489, B3228, '📋 Detalle Diario'!$C$5:$C$489, D3228) * 135 + SUMIFS('📋 Detalle Diario'!$I$5:$I$489, '📋 Detalle Diario'!$B$5:$B$489, B3228, '📋 Detalle Diario'!$C$5:$C$489, D3228) * 200), 0))</f>
        <v/>
      </c>
      <c r="P3228" s="32" t="str">
        <f t="shared" si="355"/>
        <v/>
      </c>
      <c r="Q3228" s="33" t="str">
        <f t="shared" si="356"/>
        <v/>
      </c>
    </row>
    <row r="3229" spans="2:17" ht="18" customHeight="1" x14ac:dyDescent="0.3">
      <c r="B3229" s="26"/>
      <c r="C3229" s="28"/>
      <c r="D3229" s="27"/>
      <c r="E3229" s="29"/>
      <c r="F3229" s="29"/>
      <c r="G3229" s="29"/>
      <c r="H3229" s="30" t="str">
        <f t="shared" si="350"/>
        <v/>
      </c>
      <c r="I3229" s="31" t="str">
        <f>IF(OR(B3229="",C3229=""),"",IFERROR(E3229*IF(E3229="",0,VLOOKUP(C3229,'📦 Precios Proforma'!$B$5:$D$104,IF(D3229="DIA",2,3),FALSE)),0))</f>
        <v/>
      </c>
      <c r="J3229" s="31" t="str">
        <f t="shared" si="351"/>
        <v/>
      </c>
      <c r="K3229" s="31" t="str">
        <f t="shared" si="352"/>
        <v/>
      </c>
      <c r="L3229" s="31" t="str">
        <f>IF(OR(B3229="",C3229=""),"",IFERROR(E3229 / SUMIFS('📅 Resumen Diario'!$D$5:$D$504, '📅 Resumen Diario'!$B$5:$B$504, B3229, '📅 Resumen Diario'!$C$5:$C$504, D3229) * SUMIFS('📅 Resumen Diario'!$K$5:$K$504, '📅 Resumen Diario'!$B$5:$B$504, B3229, '📅 Resumen Diario'!$C$5:$C$504, D3229), 0))</f>
        <v/>
      </c>
      <c r="M3229" s="31" t="str">
        <f t="shared" si="353"/>
        <v/>
      </c>
      <c r="N3229" s="31" t="str">
        <f t="shared" si="354"/>
        <v/>
      </c>
      <c r="O3229" s="31" t="str">
        <f>IF(OR(B3229="",C3229=""),"",K3229-N3229 + IFERROR(E3229 / SUMIFS('📅 Resumen Diario'!$D$5:$D$504, '📅 Resumen Diario'!$B$5:$B$504, B3229, '📅 Resumen Diario'!$C$5:$C$504, D3229) * (SUMIFS('📋 Detalle Diario'!$E$5:$E$489, '📋 Detalle Diario'!$B$5:$B$489, B3229, '📋 Detalle Diario'!$C$5:$C$489, D3229) * 135 + SUMIFS('📋 Detalle Diario'!$I$5:$I$489, '📋 Detalle Diario'!$B$5:$B$489, B3229, '📋 Detalle Diario'!$C$5:$C$489, D3229) * 200), 0))</f>
        <v/>
      </c>
      <c r="P3229" s="32" t="str">
        <f t="shared" si="355"/>
        <v/>
      </c>
      <c r="Q3229" s="33" t="str">
        <f t="shared" si="356"/>
        <v/>
      </c>
    </row>
    <row r="3230" spans="2:17" ht="18" customHeight="1" x14ac:dyDescent="0.3">
      <c r="B3230" s="26"/>
      <c r="C3230" s="17"/>
      <c r="D3230" s="27"/>
      <c r="E3230" s="18"/>
      <c r="F3230" s="18"/>
      <c r="G3230" s="18"/>
      <c r="H3230" s="30" t="str">
        <f t="shared" si="350"/>
        <v/>
      </c>
      <c r="I3230" s="31" t="str">
        <f>IF(OR(B3230="",C3230=""),"",IFERROR(E3230*IF(E3230="",0,VLOOKUP(C3230,'📦 Precios Proforma'!$B$5:$D$104,IF(D3230="DIA",2,3),FALSE)),0))</f>
        <v/>
      </c>
      <c r="J3230" s="31" t="str">
        <f t="shared" si="351"/>
        <v/>
      </c>
      <c r="K3230" s="31" t="str">
        <f t="shared" si="352"/>
        <v/>
      </c>
      <c r="L3230" s="31" t="str">
        <f>IF(OR(B3230="",C3230=""),"",IFERROR(E3230 / SUMIFS('📅 Resumen Diario'!$D$5:$D$504, '📅 Resumen Diario'!$B$5:$B$504, B3230, '📅 Resumen Diario'!$C$5:$C$504, D3230) * SUMIFS('📅 Resumen Diario'!$K$5:$K$504, '📅 Resumen Diario'!$B$5:$B$504, B3230, '📅 Resumen Diario'!$C$5:$C$504, D3230), 0))</f>
        <v/>
      </c>
      <c r="M3230" s="31" t="str">
        <f t="shared" si="353"/>
        <v/>
      </c>
      <c r="N3230" s="31" t="str">
        <f t="shared" si="354"/>
        <v/>
      </c>
      <c r="O3230" s="31" t="str">
        <f>IF(OR(B3230="",C3230=""),"",K3230-N3230 + IFERROR(E3230 / SUMIFS('📅 Resumen Diario'!$D$5:$D$504, '📅 Resumen Diario'!$B$5:$B$504, B3230, '📅 Resumen Diario'!$C$5:$C$504, D3230) * (SUMIFS('📋 Detalle Diario'!$E$5:$E$489, '📋 Detalle Diario'!$B$5:$B$489, B3230, '📋 Detalle Diario'!$C$5:$C$489, D3230) * 135 + SUMIFS('📋 Detalle Diario'!$I$5:$I$489, '📋 Detalle Diario'!$B$5:$B$489, B3230, '📋 Detalle Diario'!$C$5:$C$489, D3230) * 200), 0))</f>
        <v/>
      </c>
      <c r="P3230" s="32" t="str">
        <f t="shared" si="355"/>
        <v/>
      </c>
      <c r="Q3230" s="33" t="str">
        <f t="shared" si="356"/>
        <v/>
      </c>
    </row>
    <row r="3231" spans="2:17" ht="18" customHeight="1" x14ac:dyDescent="0.3">
      <c r="B3231" s="26"/>
      <c r="C3231" s="28"/>
      <c r="D3231" s="27"/>
      <c r="E3231" s="29"/>
      <c r="F3231" s="29"/>
      <c r="G3231" s="29"/>
      <c r="H3231" s="30" t="str">
        <f t="shared" si="350"/>
        <v/>
      </c>
      <c r="I3231" s="31" t="str">
        <f>IF(OR(B3231="",C3231=""),"",IFERROR(E3231*IF(E3231="",0,VLOOKUP(C3231,'📦 Precios Proforma'!$B$5:$D$104,IF(D3231="DIA",2,3),FALSE)),0))</f>
        <v/>
      </c>
      <c r="J3231" s="31" t="str">
        <f t="shared" si="351"/>
        <v/>
      </c>
      <c r="K3231" s="31" t="str">
        <f t="shared" si="352"/>
        <v/>
      </c>
      <c r="L3231" s="31" t="str">
        <f>IF(OR(B3231="",C3231=""),"",IFERROR(E3231 / SUMIFS('📅 Resumen Diario'!$D$5:$D$504, '📅 Resumen Diario'!$B$5:$B$504, B3231, '📅 Resumen Diario'!$C$5:$C$504, D3231) * SUMIFS('📅 Resumen Diario'!$K$5:$K$504, '📅 Resumen Diario'!$B$5:$B$504, B3231, '📅 Resumen Diario'!$C$5:$C$504, D3231), 0))</f>
        <v/>
      </c>
      <c r="M3231" s="31" t="str">
        <f t="shared" si="353"/>
        <v/>
      </c>
      <c r="N3231" s="31" t="str">
        <f t="shared" si="354"/>
        <v/>
      </c>
      <c r="O3231" s="31" t="str">
        <f>IF(OR(B3231="",C3231=""),"",K3231-N3231 + IFERROR(E3231 / SUMIFS('📅 Resumen Diario'!$D$5:$D$504, '📅 Resumen Diario'!$B$5:$B$504, B3231, '📅 Resumen Diario'!$C$5:$C$504, D3231) * (SUMIFS('📋 Detalle Diario'!$E$5:$E$489, '📋 Detalle Diario'!$B$5:$B$489, B3231, '📋 Detalle Diario'!$C$5:$C$489, D3231) * 135 + SUMIFS('📋 Detalle Diario'!$I$5:$I$489, '📋 Detalle Diario'!$B$5:$B$489, B3231, '📋 Detalle Diario'!$C$5:$C$489, D3231) * 200), 0))</f>
        <v/>
      </c>
      <c r="P3231" s="32" t="str">
        <f t="shared" si="355"/>
        <v/>
      </c>
      <c r="Q3231" s="33" t="str">
        <f t="shared" si="356"/>
        <v/>
      </c>
    </row>
    <row r="3232" spans="2:17" ht="18" customHeight="1" x14ac:dyDescent="0.3">
      <c r="B3232" s="26"/>
      <c r="C3232" s="17"/>
      <c r="D3232" s="27"/>
      <c r="E3232" s="18"/>
      <c r="F3232" s="18"/>
      <c r="G3232" s="18"/>
      <c r="H3232" s="30" t="str">
        <f t="shared" si="350"/>
        <v/>
      </c>
      <c r="I3232" s="31" t="str">
        <f>IF(OR(B3232="",C3232=""),"",IFERROR(E3232*IF(E3232="",0,VLOOKUP(C3232,'📦 Precios Proforma'!$B$5:$D$104,IF(D3232="DIA",2,3),FALSE)),0))</f>
        <v/>
      </c>
      <c r="J3232" s="31" t="str">
        <f t="shared" si="351"/>
        <v/>
      </c>
      <c r="K3232" s="31" t="str">
        <f t="shared" si="352"/>
        <v/>
      </c>
      <c r="L3232" s="31" t="str">
        <f>IF(OR(B3232="",C3232=""),"",IFERROR(E3232 / SUMIFS('📅 Resumen Diario'!$D$5:$D$504, '📅 Resumen Diario'!$B$5:$B$504, B3232, '📅 Resumen Diario'!$C$5:$C$504, D3232) * SUMIFS('📅 Resumen Diario'!$K$5:$K$504, '📅 Resumen Diario'!$B$5:$B$504, B3232, '📅 Resumen Diario'!$C$5:$C$504, D3232), 0))</f>
        <v/>
      </c>
      <c r="M3232" s="31" t="str">
        <f t="shared" si="353"/>
        <v/>
      </c>
      <c r="N3232" s="31" t="str">
        <f t="shared" si="354"/>
        <v/>
      </c>
      <c r="O3232" s="31" t="str">
        <f>IF(OR(B3232="",C3232=""),"",K3232-N3232 + IFERROR(E3232 / SUMIFS('📅 Resumen Diario'!$D$5:$D$504, '📅 Resumen Diario'!$B$5:$B$504, B3232, '📅 Resumen Diario'!$C$5:$C$504, D3232) * (SUMIFS('📋 Detalle Diario'!$E$5:$E$489, '📋 Detalle Diario'!$B$5:$B$489, B3232, '📋 Detalle Diario'!$C$5:$C$489, D3232) * 135 + SUMIFS('📋 Detalle Diario'!$I$5:$I$489, '📋 Detalle Diario'!$B$5:$B$489, B3232, '📋 Detalle Diario'!$C$5:$C$489, D3232) * 200), 0))</f>
        <v/>
      </c>
      <c r="P3232" s="32" t="str">
        <f t="shared" si="355"/>
        <v/>
      </c>
      <c r="Q3232" s="33" t="str">
        <f t="shared" si="356"/>
        <v/>
      </c>
    </row>
    <row r="3233" spans="2:17" ht="18" customHeight="1" x14ac:dyDescent="0.3">
      <c r="B3233" s="26"/>
      <c r="C3233" s="28"/>
      <c r="D3233" s="27"/>
      <c r="E3233" s="29"/>
      <c r="F3233" s="29"/>
      <c r="G3233" s="29"/>
      <c r="H3233" s="30" t="str">
        <f t="shared" si="350"/>
        <v/>
      </c>
      <c r="I3233" s="31" t="str">
        <f>IF(OR(B3233="",C3233=""),"",IFERROR(E3233*IF(E3233="",0,VLOOKUP(C3233,'📦 Precios Proforma'!$B$5:$D$104,IF(D3233="DIA",2,3),FALSE)),0))</f>
        <v/>
      </c>
      <c r="J3233" s="31" t="str">
        <f t="shared" si="351"/>
        <v/>
      </c>
      <c r="K3233" s="31" t="str">
        <f t="shared" si="352"/>
        <v/>
      </c>
      <c r="L3233" s="31" t="str">
        <f>IF(OR(B3233="",C3233=""),"",IFERROR(E3233 / SUMIFS('📅 Resumen Diario'!$D$5:$D$504, '📅 Resumen Diario'!$B$5:$B$504, B3233, '📅 Resumen Diario'!$C$5:$C$504, D3233) * SUMIFS('📅 Resumen Diario'!$K$5:$K$504, '📅 Resumen Diario'!$B$5:$B$504, B3233, '📅 Resumen Diario'!$C$5:$C$504, D3233), 0))</f>
        <v/>
      </c>
      <c r="M3233" s="31" t="str">
        <f t="shared" si="353"/>
        <v/>
      </c>
      <c r="N3233" s="31" t="str">
        <f t="shared" si="354"/>
        <v/>
      </c>
      <c r="O3233" s="31" t="str">
        <f>IF(OR(B3233="",C3233=""),"",K3233-N3233 + IFERROR(E3233 / SUMIFS('📅 Resumen Diario'!$D$5:$D$504, '📅 Resumen Diario'!$B$5:$B$504, B3233, '📅 Resumen Diario'!$C$5:$C$504, D3233) * (SUMIFS('📋 Detalle Diario'!$E$5:$E$489, '📋 Detalle Diario'!$B$5:$B$489, B3233, '📋 Detalle Diario'!$C$5:$C$489, D3233) * 135 + SUMIFS('📋 Detalle Diario'!$I$5:$I$489, '📋 Detalle Diario'!$B$5:$B$489, B3233, '📋 Detalle Diario'!$C$5:$C$489, D3233) * 200), 0))</f>
        <v/>
      </c>
      <c r="P3233" s="32" t="str">
        <f t="shared" si="355"/>
        <v/>
      </c>
      <c r="Q3233" s="33" t="str">
        <f t="shared" si="356"/>
        <v/>
      </c>
    </row>
    <row r="3234" spans="2:17" ht="18" customHeight="1" x14ac:dyDescent="0.3">
      <c r="B3234" s="26"/>
      <c r="C3234" s="17"/>
      <c r="D3234" s="27"/>
      <c r="E3234" s="18"/>
      <c r="F3234" s="18"/>
      <c r="G3234" s="18"/>
      <c r="H3234" s="30" t="str">
        <f t="shared" si="350"/>
        <v/>
      </c>
      <c r="I3234" s="31" t="str">
        <f>IF(OR(B3234="",C3234=""),"",IFERROR(E3234*IF(E3234="",0,VLOOKUP(C3234,'📦 Precios Proforma'!$B$5:$D$104,IF(D3234="DIA",2,3),FALSE)),0))</f>
        <v/>
      </c>
      <c r="J3234" s="31" t="str">
        <f t="shared" si="351"/>
        <v/>
      </c>
      <c r="K3234" s="31" t="str">
        <f t="shared" si="352"/>
        <v/>
      </c>
      <c r="L3234" s="31" t="str">
        <f>IF(OR(B3234="",C3234=""),"",IFERROR(E3234 / SUMIFS('📅 Resumen Diario'!$D$5:$D$504, '📅 Resumen Diario'!$B$5:$B$504, B3234, '📅 Resumen Diario'!$C$5:$C$504, D3234) * SUMIFS('📅 Resumen Diario'!$K$5:$K$504, '📅 Resumen Diario'!$B$5:$B$504, B3234, '📅 Resumen Diario'!$C$5:$C$504, D3234), 0))</f>
        <v/>
      </c>
      <c r="M3234" s="31" t="str">
        <f t="shared" si="353"/>
        <v/>
      </c>
      <c r="N3234" s="31" t="str">
        <f t="shared" si="354"/>
        <v/>
      </c>
      <c r="O3234" s="31" t="str">
        <f>IF(OR(B3234="",C3234=""),"",K3234-N3234 + IFERROR(E3234 / SUMIFS('📅 Resumen Diario'!$D$5:$D$504, '📅 Resumen Diario'!$B$5:$B$504, B3234, '📅 Resumen Diario'!$C$5:$C$504, D3234) * (SUMIFS('📋 Detalle Diario'!$E$5:$E$489, '📋 Detalle Diario'!$B$5:$B$489, B3234, '📋 Detalle Diario'!$C$5:$C$489, D3234) * 135 + SUMIFS('📋 Detalle Diario'!$I$5:$I$489, '📋 Detalle Diario'!$B$5:$B$489, B3234, '📋 Detalle Diario'!$C$5:$C$489, D3234) * 200), 0))</f>
        <v/>
      </c>
      <c r="P3234" s="32" t="str">
        <f t="shared" si="355"/>
        <v/>
      </c>
      <c r="Q3234" s="33" t="str">
        <f t="shared" si="356"/>
        <v/>
      </c>
    </row>
    <row r="3235" spans="2:17" ht="18" customHeight="1" x14ac:dyDescent="0.3">
      <c r="B3235" s="26"/>
      <c r="C3235" s="28"/>
      <c r="D3235" s="27"/>
      <c r="E3235" s="29"/>
      <c r="F3235" s="29"/>
      <c r="G3235" s="29"/>
      <c r="H3235" s="30" t="str">
        <f t="shared" si="350"/>
        <v/>
      </c>
      <c r="I3235" s="31" t="str">
        <f>IF(OR(B3235="",C3235=""),"",IFERROR(E3235*IF(E3235="",0,VLOOKUP(C3235,'📦 Precios Proforma'!$B$5:$D$104,IF(D3235="DIA",2,3),FALSE)),0))</f>
        <v/>
      </c>
      <c r="J3235" s="31" t="str">
        <f t="shared" si="351"/>
        <v/>
      </c>
      <c r="K3235" s="31" t="str">
        <f t="shared" si="352"/>
        <v/>
      </c>
      <c r="L3235" s="31" t="str">
        <f>IF(OR(B3235="",C3235=""),"",IFERROR(E3235 / SUMIFS('📅 Resumen Diario'!$D$5:$D$504, '📅 Resumen Diario'!$B$5:$B$504, B3235, '📅 Resumen Diario'!$C$5:$C$504, D3235) * SUMIFS('📅 Resumen Diario'!$K$5:$K$504, '📅 Resumen Diario'!$B$5:$B$504, B3235, '📅 Resumen Diario'!$C$5:$C$504, D3235), 0))</f>
        <v/>
      </c>
      <c r="M3235" s="31" t="str">
        <f t="shared" si="353"/>
        <v/>
      </c>
      <c r="N3235" s="31" t="str">
        <f t="shared" si="354"/>
        <v/>
      </c>
      <c r="O3235" s="31" t="str">
        <f>IF(OR(B3235="",C3235=""),"",K3235-N3235 + IFERROR(E3235 / SUMIFS('📅 Resumen Diario'!$D$5:$D$504, '📅 Resumen Diario'!$B$5:$B$504, B3235, '📅 Resumen Diario'!$C$5:$C$504, D3235) * (SUMIFS('📋 Detalle Diario'!$E$5:$E$489, '📋 Detalle Diario'!$B$5:$B$489, B3235, '📋 Detalle Diario'!$C$5:$C$489, D3235) * 135 + SUMIFS('📋 Detalle Diario'!$I$5:$I$489, '📋 Detalle Diario'!$B$5:$B$489, B3235, '📋 Detalle Diario'!$C$5:$C$489, D3235) * 200), 0))</f>
        <v/>
      </c>
      <c r="P3235" s="32" t="str">
        <f t="shared" si="355"/>
        <v/>
      </c>
      <c r="Q3235" s="33" t="str">
        <f t="shared" si="356"/>
        <v/>
      </c>
    </row>
    <row r="3236" spans="2:17" ht="18" customHeight="1" x14ac:dyDescent="0.3">
      <c r="B3236" s="26"/>
      <c r="C3236" s="17"/>
      <c r="D3236" s="27"/>
      <c r="E3236" s="18"/>
      <c r="F3236" s="18"/>
      <c r="G3236" s="18"/>
      <c r="H3236" s="30" t="str">
        <f t="shared" si="350"/>
        <v/>
      </c>
      <c r="I3236" s="31" t="str">
        <f>IF(OR(B3236="",C3236=""),"",IFERROR(E3236*IF(E3236="",0,VLOOKUP(C3236,'📦 Precios Proforma'!$B$5:$D$104,IF(D3236="DIA",2,3),FALSE)),0))</f>
        <v/>
      </c>
      <c r="J3236" s="31" t="str">
        <f t="shared" si="351"/>
        <v/>
      </c>
      <c r="K3236" s="31" t="str">
        <f t="shared" si="352"/>
        <v/>
      </c>
      <c r="L3236" s="31" t="str">
        <f>IF(OR(B3236="",C3236=""),"",IFERROR(E3236 / SUMIFS('📅 Resumen Diario'!$D$5:$D$504, '📅 Resumen Diario'!$B$5:$B$504, B3236, '📅 Resumen Diario'!$C$5:$C$504, D3236) * SUMIFS('📅 Resumen Diario'!$K$5:$K$504, '📅 Resumen Diario'!$B$5:$B$504, B3236, '📅 Resumen Diario'!$C$5:$C$504, D3236), 0))</f>
        <v/>
      </c>
      <c r="M3236" s="31" t="str">
        <f t="shared" si="353"/>
        <v/>
      </c>
      <c r="N3236" s="31" t="str">
        <f t="shared" si="354"/>
        <v/>
      </c>
      <c r="O3236" s="31" t="str">
        <f>IF(OR(B3236="",C3236=""),"",K3236-N3236 + IFERROR(E3236 / SUMIFS('📅 Resumen Diario'!$D$5:$D$504, '📅 Resumen Diario'!$B$5:$B$504, B3236, '📅 Resumen Diario'!$C$5:$C$504, D3236) * (SUMIFS('📋 Detalle Diario'!$E$5:$E$489, '📋 Detalle Diario'!$B$5:$B$489, B3236, '📋 Detalle Diario'!$C$5:$C$489, D3236) * 135 + SUMIFS('📋 Detalle Diario'!$I$5:$I$489, '📋 Detalle Diario'!$B$5:$B$489, B3236, '📋 Detalle Diario'!$C$5:$C$489, D3236) * 200), 0))</f>
        <v/>
      </c>
      <c r="P3236" s="32" t="str">
        <f t="shared" si="355"/>
        <v/>
      </c>
      <c r="Q3236" s="33" t="str">
        <f t="shared" si="356"/>
        <v/>
      </c>
    </row>
    <row r="3237" spans="2:17" ht="18" customHeight="1" x14ac:dyDescent="0.3">
      <c r="B3237" s="26"/>
      <c r="C3237" s="28"/>
      <c r="D3237" s="27"/>
      <c r="E3237" s="29"/>
      <c r="F3237" s="29"/>
      <c r="G3237" s="29"/>
      <c r="H3237" s="30" t="str">
        <f t="shared" si="350"/>
        <v/>
      </c>
      <c r="I3237" s="31" t="str">
        <f>IF(OR(B3237="",C3237=""),"",IFERROR(E3237*IF(E3237="",0,VLOOKUP(C3237,'📦 Precios Proforma'!$B$5:$D$104,IF(D3237="DIA",2,3),FALSE)),0))</f>
        <v/>
      </c>
      <c r="J3237" s="31" t="str">
        <f t="shared" si="351"/>
        <v/>
      </c>
      <c r="K3237" s="31" t="str">
        <f t="shared" si="352"/>
        <v/>
      </c>
      <c r="L3237" s="31" t="str">
        <f>IF(OR(B3237="",C3237=""),"",IFERROR(E3237 / SUMIFS('📅 Resumen Diario'!$D$5:$D$504, '📅 Resumen Diario'!$B$5:$B$504, B3237, '📅 Resumen Diario'!$C$5:$C$504, D3237) * SUMIFS('📅 Resumen Diario'!$K$5:$K$504, '📅 Resumen Diario'!$B$5:$B$504, B3237, '📅 Resumen Diario'!$C$5:$C$504, D3237), 0))</f>
        <v/>
      </c>
      <c r="M3237" s="31" t="str">
        <f t="shared" si="353"/>
        <v/>
      </c>
      <c r="N3237" s="31" t="str">
        <f t="shared" si="354"/>
        <v/>
      </c>
      <c r="O3237" s="31" t="str">
        <f>IF(OR(B3237="",C3237=""),"",K3237-N3237 + IFERROR(E3237 / SUMIFS('📅 Resumen Diario'!$D$5:$D$504, '📅 Resumen Diario'!$B$5:$B$504, B3237, '📅 Resumen Diario'!$C$5:$C$504, D3237) * (SUMIFS('📋 Detalle Diario'!$E$5:$E$489, '📋 Detalle Diario'!$B$5:$B$489, B3237, '📋 Detalle Diario'!$C$5:$C$489, D3237) * 135 + SUMIFS('📋 Detalle Diario'!$I$5:$I$489, '📋 Detalle Diario'!$B$5:$B$489, B3237, '📋 Detalle Diario'!$C$5:$C$489, D3237) * 200), 0))</f>
        <v/>
      </c>
      <c r="P3237" s="32" t="str">
        <f t="shared" si="355"/>
        <v/>
      </c>
      <c r="Q3237" s="33" t="str">
        <f t="shared" si="356"/>
        <v/>
      </c>
    </row>
    <row r="3238" spans="2:17" ht="18" customHeight="1" x14ac:dyDescent="0.3">
      <c r="B3238" s="26"/>
      <c r="C3238" s="17"/>
      <c r="D3238" s="27"/>
      <c r="E3238" s="18"/>
      <c r="F3238" s="18"/>
      <c r="G3238" s="18"/>
      <c r="H3238" s="30" t="str">
        <f t="shared" si="350"/>
        <v/>
      </c>
      <c r="I3238" s="31" t="str">
        <f>IF(OR(B3238="",C3238=""),"",IFERROR(E3238*IF(E3238="",0,VLOOKUP(C3238,'📦 Precios Proforma'!$B$5:$D$104,IF(D3238="DIA",2,3),FALSE)),0))</f>
        <v/>
      </c>
      <c r="J3238" s="31" t="str">
        <f t="shared" si="351"/>
        <v/>
      </c>
      <c r="K3238" s="31" t="str">
        <f t="shared" si="352"/>
        <v/>
      </c>
      <c r="L3238" s="31" t="str">
        <f>IF(OR(B3238="",C3238=""),"",IFERROR(E3238 / SUMIFS('📅 Resumen Diario'!$D$5:$D$504, '📅 Resumen Diario'!$B$5:$B$504, B3238, '📅 Resumen Diario'!$C$5:$C$504, D3238) * SUMIFS('📅 Resumen Diario'!$K$5:$K$504, '📅 Resumen Diario'!$B$5:$B$504, B3238, '📅 Resumen Diario'!$C$5:$C$504, D3238), 0))</f>
        <v/>
      </c>
      <c r="M3238" s="31" t="str">
        <f t="shared" si="353"/>
        <v/>
      </c>
      <c r="N3238" s="31" t="str">
        <f t="shared" si="354"/>
        <v/>
      </c>
      <c r="O3238" s="31" t="str">
        <f>IF(OR(B3238="",C3238=""),"",K3238-N3238 + IFERROR(E3238 / SUMIFS('📅 Resumen Diario'!$D$5:$D$504, '📅 Resumen Diario'!$B$5:$B$504, B3238, '📅 Resumen Diario'!$C$5:$C$504, D3238) * (SUMIFS('📋 Detalle Diario'!$E$5:$E$489, '📋 Detalle Diario'!$B$5:$B$489, B3238, '📋 Detalle Diario'!$C$5:$C$489, D3238) * 135 + SUMIFS('📋 Detalle Diario'!$I$5:$I$489, '📋 Detalle Diario'!$B$5:$B$489, B3238, '📋 Detalle Diario'!$C$5:$C$489, D3238) * 200), 0))</f>
        <v/>
      </c>
      <c r="P3238" s="32" t="str">
        <f t="shared" si="355"/>
        <v/>
      </c>
      <c r="Q3238" s="33" t="str">
        <f t="shared" si="356"/>
        <v/>
      </c>
    </row>
    <row r="3239" spans="2:17" ht="18" customHeight="1" x14ac:dyDescent="0.3">
      <c r="B3239" s="26"/>
      <c r="C3239" s="28"/>
      <c r="D3239" s="27"/>
      <c r="E3239" s="29"/>
      <c r="F3239" s="29"/>
      <c r="G3239" s="29"/>
      <c r="H3239" s="30" t="str">
        <f t="shared" si="350"/>
        <v/>
      </c>
      <c r="I3239" s="31" t="str">
        <f>IF(OR(B3239="",C3239=""),"",IFERROR(E3239*IF(E3239="",0,VLOOKUP(C3239,'📦 Precios Proforma'!$B$5:$D$104,IF(D3239="DIA",2,3),FALSE)),0))</f>
        <v/>
      </c>
      <c r="J3239" s="31" t="str">
        <f t="shared" si="351"/>
        <v/>
      </c>
      <c r="K3239" s="31" t="str">
        <f t="shared" si="352"/>
        <v/>
      </c>
      <c r="L3239" s="31" t="str">
        <f>IF(OR(B3239="",C3239=""),"",IFERROR(E3239 / SUMIFS('📅 Resumen Diario'!$D$5:$D$504, '📅 Resumen Diario'!$B$5:$B$504, B3239, '📅 Resumen Diario'!$C$5:$C$504, D3239) * SUMIFS('📅 Resumen Diario'!$K$5:$K$504, '📅 Resumen Diario'!$B$5:$B$504, B3239, '📅 Resumen Diario'!$C$5:$C$504, D3239), 0))</f>
        <v/>
      </c>
      <c r="M3239" s="31" t="str">
        <f t="shared" si="353"/>
        <v/>
      </c>
      <c r="N3239" s="31" t="str">
        <f t="shared" si="354"/>
        <v/>
      </c>
      <c r="O3239" s="31" t="str">
        <f>IF(OR(B3239="",C3239=""),"",K3239-N3239 + IFERROR(E3239 / SUMIFS('📅 Resumen Diario'!$D$5:$D$504, '📅 Resumen Diario'!$B$5:$B$504, B3239, '📅 Resumen Diario'!$C$5:$C$504, D3239) * (SUMIFS('📋 Detalle Diario'!$E$5:$E$489, '📋 Detalle Diario'!$B$5:$B$489, B3239, '📋 Detalle Diario'!$C$5:$C$489, D3239) * 135 + SUMIFS('📋 Detalle Diario'!$I$5:$I$489, '📋 Detalle Diario'!$B$5:$B$489, B3239, '📋 Detalle Diario'!$C$5:$C$489, D3239) * 200), 0))</f>
        <v/>
      </c>
      <c r="P3239" s="32" t="str">
        <f t="shared" si="355"/>
        <v/>
      </c>
      <c r="Q3239" s="33" t="str">
        <f t="shared" si="356"/>
        <v/>
      </c>
    </row>
    <row r="3240" spans="2:17" ht="18" customHeight="1" x14ac:dyDescent="0.3">
      <c r="B3240" s="26"/>
      <c r="C3240" s="17"/>
      <c r="D3240" s="27"/>
      <c r="E3240" s="18"/>
      <c r="F3240" s="18"/>
      <c r="G3240" s="18"/>
      <c r="H3240" s="30" t="str">
        <f t="shared" si="350"/>
        <v/>
      </c>
      <c r="I3240" s="31" t="str">
        <f>IF(OR(B3240="",C3240=""),"",IFERROR(E3240*IF(E3240="",0,VLOOKUP(C3240,'📦 Precios Proforma'!$B$5:$D$104,IF(D3240="DIA",2,3),FALSE)),0))</f>
        <v/>
      </c>
      <c r="J3240" s="31" t="str">
        <f t="shared" si="351"/>
        <v/>
      </c>
      <c r="K3240" s="31" t="str">
        <f t="shared" si="352"/>
        <v/>
      </c>
      <c r="L3240" s="31" t="str">
        <f>IF(OR(B3240="",C3240=""),"",IFERROR(E3240 / SUMIFS('📅 Resumen Diario'!$D$5:$D$504, '📅 Resumen Diario'!$B$5:$B$504, B3240, '📅 Resumen Diario'!$C$5:$C$504, D3240) * SUMIFS('📅 Resumen Diario'!$K$5:$K$504, '📅 Resumen Diario'!$B$5:$B$504, B3240, '📅 Resumen Diario'!$C$5:$C$504, D3240), 0))</f>
        <v/>
      </c>
      <c r="M3240" s="31" t="str">
        <f t="shared" si="353"/>
        <v/>
      </c>
      <c r="N3240" s="31" t="str">
        <f t="shared" si="354"/>
        <v/>
      </c>
      <c r="O3240" s="31" t="str">
        <f>IF(OR(B3240="",C3240=""),"",K3240-N3240 + IFERROR(E3240 / SUMIFS('📅 Resumen Diario'!$D$5:$D$504, '📅 Resumen Diario'!$B$5:$B$504, B3240, '📅 Resumen Diario'!$C$5:$C$504, D3240) * (SUMIFS('📋 Detalle Diario'!$E$5:$E$489, '📋 Detalle Diario'!$B$5:$B$489, B3240, '📋 Detalle Diario'!$C$5:$C$489, D3240) * 135 + SUMIFS('📋 Detalle Diario'!$I$5:$I$489, '📋 Detalle Diario'!$B$5:$B$489, B3240, '📋 Detalle Diario'!$C$5:$C$489, D3240) * 200), 0))</f>
        <v/>
      </c>
      <c r="P3240" s="32" t="str">
        <f t="shared" si="355"/>
        <v/>
      </c>
      <c r="Q3240" s="33" t="str">
        <f t="shared" si="356"/>
        <v/>
      </c>
    </row>
    <row r="3241" spans="2:17" ht="18" customHeight="1" x14ac:dyDescent="0.3">
      <c r="B3241" s="26"/>
      <c r="C3241" s="28"/>
      <c r="D3241" s="27"/>
      <c r="E3241" s="29"/>
      <c r="F3241" s="29"/>
      <c r="G3241" s="29"/>
      <c r="H3241" s="30" t="str">
        <f t="shared" si="350"/>
        <v/>
      </c>
      <c r="I3241" s="31" t="str">
        <f>IF(OR(B3241="",C3241=""),"",IFERROR(E3241*IF(E3241="",0,VLOOKUP(C3241,'📦 Precios Proforma'!$B$5:$D$104,IF(D3241="DIA",2,3),FALSE)),0))</f>
        <v/>
      </c>
      <c r="J3241" s="31" t="str">
        <f t="shared" si="351"/>
        <v/>
      </c>
      <c r="K3241" s="31" t="str">
        <f t="shared" si="352"/>
        <v/>
      </c>
      <c r="L3241" s="31" t="str">
        <f>IF(OR(B3241="",C3241=""),"",IFERROR(E3241 / SUMIFS('📅 Resumen Diario'!$D$5:$D$504, '📅 Resumen Diario'!$B$5:$B$504, B3241, '📅 Resumen Diario'!$C$5:$C$504, D3241) * SUMIFS('📅 Resumen Diario'!$K$5:$K$504, '📅 Resumen Diario'!$B$5:$B$504, B3241, '📅 Resumen Diario'!$C$5:$C$504, D3241), 0))</f>
        <v/>
      </c>
      <c r="M3241" s="31" t="str">
        <f t="shared" si="353"/>
        <v/>
      </c>
      <c r="N3241" s="31" t="str">
        <f t="shared" si="354"/>
        <v/>
      </c>
      <c r="O3241" s="31" t="str">
        <f>IF(OR(B3241="",C3241=""),"",K3241-N3241 + IFERROR(E3241 / SUMIFS('📅 Resumen Diario'!$D$5:$D$504, '📅 Resumen Diario'!$B$5:$B$504, B3241, '📅 Resumen Diario'!$C$5:$C$504, D3241) * (SUMIFS('📋 Detalle Diario'!$E$5:$E$489, '📋 Detalle Diario'!$B$5:$B$489, B3241, '📋 Detalle Diario'!$C$5:$C$489, D3241) * 135 + SUMIFS('📋 Detalle Diario'!$I$5:$I$489, '📋 Detalle Diario'!$B$5:$B$489, B3241, '📋 Detalle Diario'!$C$5:$C$489, D3241) * 200), 0))</f>
        <v/>
      </c>
      <c r="P3241" s="32" t="str">
        <f t="shared" si="355"/>
        <v/>
      </c>
      <c r="Q3241" s="33" t="str">
        <f t="shared" si="356"/>
        <v/>
      </c>
    </row>
    <row r="3242" spans="2:17" ht="18" customHeight="1" x14ac:dyDescent="0.3">
      <c r="B3242" s="26"/>
      <c r="C3242" s="17"/>
      <c r="D3242" s="27"/>
      <c r="E3242" s="18"/>
      <c r="F3242" s="18"/>
      <c r="G3242" s="18"/>
      <c r="H3242" s="30" t="str">
        <f t="shared" si="350"/>
        <v/>
      </c>
      <c r="I3242" s="31" t="str">
        <f>IF(OR(B3242="",C3242=""),"",IFERROR(E3242*IF(E3242="",0,VLOOKUP(C3242,'📦 Precios Proforma'!$B$5:$D$104,IF(D3242="DIA",2,3),FALSE)),0))</f>
        <v/>
      </c>
      <c r="J3242" s="31" t="str">
        <f t="shared" si="351"/>
        <v/>
      </c>
      <c r="K3242" s="31" t="str">
        <f t="shared" si="352"/>
        <v/>
      </c>
      <c r="L3242" s="31" t="str">
        <f>IF(OR(B3242="",C3242=""),"",IFERROR(E3242 / SUMIFS('📅 Resumen Diario'!$D$5:$D$504, '📅 Resumen Diario'!$B$5:$B$504, B3242, '📅 Resumen Diario'!$C$5:$C$504, D3242) * SUMIFS('📅 Resumen Diario'!$K$5:$K$504, '📅 Resumen Diario'!$B$5:$B$504, B3242, '📅 Resumen Diario'!$C$5:$C$504, D3242), 0))</f>
        <v/>
      </c>
      <c r="M3242" s="31" t="str">
        <f t="shared" si="353"/>
        <v/>
      </c>
      <c r="N3242" s="31" t="str">
        <f t="shared" si="354"/>
        <v/>
      </c>
      <c r="O3242" s="31" t="str">
        <f>IF(OR(B3242="",C3242=""),"",K3242-N3242 + IFERROR(E3242 / SUMIFS('📅 Resumen Diario'!$D$5:$D$504, '📅 Resumen Diario'!$B$5:$B$504, B3242, '📅 Resumen Diario'!$C$5:$C$504, D3242) * (SUMIFS('📋 Detalle Diario'!$E$5:$E$489, '📋 Detalle Diario'!$B$5:$B$489, B3242, '📋 Detalle Diario'!$C$5:$C$489, D3242) * 135 + SUMIFS('📋 Detalle Diario'!$I$5:$I$489, '📋 Detalle Diario'!$B$5:$B$489, B3242, '📋 Detalle Diario'!$C$5:$C$489, D3242) * 200), 0))</f>
        <v/>
      </c>
      <c r="P3242" s="32" t="str">
        <f t="shared" si="355"/>
        <v/>
      </c>
      <c r="Q3242" s="33" t="str">
        <f t="shared" si="356"/>
        <v/>
      </c>
    </row>
    <row r="3243" spans="2:17" ht="18" customHeight="1" x14ac:dyDescent="0.3">
      <c r="B3243" s="26"/>
      <c r="C3243" s="28"/>
      <c r="D3243" s="27"/>
      <c r="E3243" s="29"/>
      <c r="F3243" s="29"/>
      <c r="G3243" s="29"/>
      <c r="H3243" s="30" t="str">
        <f t="shared" si="350"/>
        <v/>
      </c>
      <c r="I3243" s="31" t="str">
        <f>IF(OR(B3243="",C3243=""),"",IFERROR(E3243*IF(E3243="",0,VLOOKUP(C3243,'📦 Precios Proforma'!$B$5:$D$104,IF(D3243="DIA",2,3),FALSE)),0))</f>
        <v/>
      </c>
      <c r="J3243" s="31" t="str">
        <f t="shared" si="351"/>
        <v/>
      </c>
      <c r="K3243" s="31" t="str">
        <f t="shared" si="352"/>
        <v/>
      </c>
      <c r="L3243" s="31" t="str">
        <f>IF(OR(B3243="",C3243=""),"",IFERROR(E3243 / SUMIFS('📅 Resumen Diario'!$D$5:$D$504, '📅 Resumen Diario'!$B$5:$B$504, B3243, '📅 Resumen Diario'!$C$5:$C$504, D3243) * SUMIFS('📅 Resumen Diario'!$K$5:$K$504, '📅 Resumen Diario'!$B$5:$B$504, B3243, '📅 Resumen Diario'!$C$5:$C$504, D3243), 0))</f>
        <v/>
      </c>
      <c r="M3243" s="31" t="str">
        <f t="shared" si="353"/>
        <v/>
      </c>
      <c r="N3243" s="31" t="str">
        <f t="shared" si="354"/>
        <v/>
      </c>
      <c r="O3243" s="31" t="str">
        <f>IF(OR(B3243="",C3243=""),"",K3243-N3243 + IFERROR(E3243 / SUMIFS('📅 Resumen Diario'!$D$5:$D$504, '📅 Resumen Diario'!$B$5:$B$504, B3243, '📅 Resumen Diario'!$C$5:$C$504, D3243) * (SUMIFS('📋 Detalle Diario'!$E$5:$E$489, '📋 Detalle Diario'!$B$5:$B$489, B3243, '📋 Detalle Diario'!$C$5:$C$489, D3243) * 135 + SUMIFS('📋 Detalle Diario'!$I$5:$I$489, '📋 Detalle Diario'!$B$5:$B$489, B3243, '📋 Detalle Diario'!$C$5:$C$489, D3243) * 200), 0))</f>
        <v/>
      </c>
      <c r="P3243" s="32" t="str">
        <f t="shared" si="355"/>
        <v/>
      </c>
      <c r="Q3243" s="33" t="str">
        <f t="shared" si="356"/>
        <v/>
      </c>
    </row>
    <row r="3244" spans="2:17" ht="18" customHeight="1" x14ac:dyDescent="0.3">
      <c r="B3244" s="26"/>
      <c r="C3244" s="17"/>
      <c r="D3244" s="27"/>
      <c r="E3244" s="18"/>
      <c r="F3244" s="18"/>
      <c r="G3244" s="18"/>
      <c r="H3244" s="30" t="str">
        <f t="shared" si="350"/>
        <v/>
      </c>
      <c r="I3244" s="31" t="str">
        <f>IF(OR(B3244="",C3244=""),"",IFERROR(E3244*IF(E3244="",0,VLOOKUP(C3244,'📦 Precios Proforma'!$B$5:$D$104,IF(D3244="DIA",2,3),FALSE)),0))</f>
        <v/>
      </c>
      <c r="J3244" s="31" t="str">
        <f t="shared" si="351"/>
        <v/>
      </c>
      <c r="K3244" s="31" t="str">
        <f t="shared" si="352"/>
        <v/>
      </c>
      <c r="L3244" s="31" t="str">
        <f>IF(OR(B3244="",C3244=""),"",IFERROR(E3244 / SUMIFS('📅 Resumen Diario'!$D$5:$D$504, '📅 Resumen Diario'!$B$5:$B$504, B3244, '📅 Resumen Diario'!$C$5:$C$504, D3244) * SUMIFS('📅 Resumen Diario'!$K$5:$K$504, '📅 Resumen Diario'!$B$5:$B$504, B3244, '📅 Resumen Diario'!$C$5:$C$504, D3244), 0))</f>
        <v/>
      </c>
      <c r="M3244" s="31" t="str">
        <f t="shared" si="353"/>
        <v/>
      </c>
      <c r="N3244" s="31" t="str">
        <f t="shared" si="354"/>
        <v/>
      </c>
      <c r="O3244" s="31" t="str">
        <f>IF(OR(B3244="",C3244=""),"",K3244-N3244 + IFERROR(E3244 / SUMIFS('📅 Resumen Diario'!$D$5:$D$504, '📅 Resumen Diario'!$B$5:$B$504, B3244, '📅 Resumen Diario'!$C$5:$C$504, D3244) * (SUMIFS('📋 Detalle Diario'!$E$5:$E$489, '📋 Detalle Diario'!$B$5:$B$489, B3244, '📋 Detalle Diario'!$C$5:$C$489, D3244) * 135 + SUMIFS('📋 Detalle Diario'!$I$5:$I$489, '📋 Detalle Diario'!$B$5:$B$489, B3244, '📋 Detalle Diario'!$C$5:$C$489, D3244) * 200), 0))</f>
        <v/>
      </c>
      <c r="P3244" s="32" t="str">
        <f t="shared" si="355"/>
        <v/>
      </c>
      <c r="Q3244" s="33" t="str">
        <f t="shared" si="356"/>
        <v/>
      </c>
    </row>
    <row r="3245" spans="2:17" ht="18" customHeight="1" x14ac:dyDescent="0.3">
      <c r="B3245" s="26"/>
      <c r="C3245" s="28"/>
      <c r="D3245" s="27"/>
      <c r="E3245" s="29"/>
      <c r="F3245" s="29"/>
      <c r="G3245" s="29"/>
      <c r="H3245" s="30" t="str">
        <f t="shared" si="350"/>
        <v/>
      </c>
      <c r="I3245" s="31" t="str">
        <f>IF(OR(B3245="",C3245=""),"",IFERROR(E3245*IF(E3245="",0,VLOOKUP(C3245,'📦 Precios Proforma'!$B$5:$D$104,IF(D3245="DIA",2,3),FALSE)),0))</f>
        <v/>
      </c>
      <c r="J3245" s="31" t="str">
        <f t="shared" si="351"/>
        <v/>
      </c>
      <c r="K3245" s="31" t="str">
        <f t="shared" si="352"/>
        <v/>
      </c>
      <c r="L3245" s="31" t="str">
        <f>IF(OR(B3245="",C3245=""),"",IFERROR(E3245 / SUMIFS('📅 Resumen Diario'!$D$5:$D$504, '📅 Resumen Diario'!$B$5:$B$504, B3245, '📅 Resumen Diario'!$C$5:$C$504, D3245) * SUMIFS('📅 Resumen Diario'!$K$5:$K$504, '📅 Resumen Diario'!$B$5:$B$504, B3245, '📅 Resumen Diario'!$C$5:$C$504, D3245), 0))</f>
        <v/>
      </c>
      <c r="M3245" s="31" t="str">
        <f t="shared" si="353"/>
        <v/>
      </c>
      <c r="N3245" s="31" t="str">
        <f t="shared" si="354"/>
        <v/>
      </c>
      <c r="O3245" s="31" t="str">
        <f>IF(OR(B3245="",C3245=""),"",K3245-N3245 + IFERROR(E3245 / SUMIFS('📅 Resumen Diario'!$D$5:$D$504, '📅 Resumen Diario'!$B$5:$B$504, B3245, '📅 Resumen Diario'!$C$5:$C$504, D3245) * (SUMIFS('📋 Detalle Diario'!$E$5:$E$489, '📋 Detalle Diario'!$B$5:$B$489, B3245, '📋 Detalle Diario'!$C$5:$C$489, D3245) * 135 + SUMIFS('📋 Detalle Diario'!$I$5:$I$489, '📋 Detalle Diario'!$B$5:$B$489, B3245, '📋 Detalle Diario'!$C$5:$C$489, D3245) * 200), 0))</f>
        <v/>
      </c>
      <c r="P3245" s="32" t="str">
        <f t="shared" si="355"/>
        <v/>
      </c>
      <c r="Q3245" s="33" t="str">
        <f t="shared" si="356"/>
        <v/>
      </c>
    </row>
    <row r="3246" spans="2:17" ht="18" customHeight="1" x14ac:dyDescent="0.3">
      <c r="B3246" s="26"/>
      <c r="C3246" s="17"/>
      <c r="D3246" s="27"/>
      <c r="E3246" s="18"/>
      <c r="F3246" s="18"/>
      <c r="G3246" s="18"/>
      <c r="H3246" s="30" t="str">
        <f t="shared" si="350"/>
        <v/>
      </c>
      <c r="I3246" s="31" t="str">
        <f>IF(OR(B3246="",C3246=""),"",IFERROR(E3246*IF(E3246="",0,VLOOKUP(C3246,'📦 Precios Proforma'!$B$5:$D$104,IF(D3246="DIA",2,3),FALSE)),0))</f>
        <v/>
      </c>
      <c r="J3246" s="31" t="str">
        <f t="shared" si="351"/>
        <v/>
      </c>
      <c r="K3246" s="31" t="str">
        <f t="shared" si="352"/>
        <v/>
      </c>
      <c r="L3246" s="31" t="str">
        <f>IF(OR(B3246="",C3246=""),"",IFERROR(E3246 / SUMIFS('📅 Resumen Diario'!$D$5:$D$504, '📅 Resumen Diario'!$B$5:$B$504, B3246, '📅 Resumen Diario'!$C$5:$C$504, D3246) * SUMIFS('📅 Resumen Diario'!$K$5:$K$504, '📅 Resumen Diario'!$B$5:$B$504, B3246, '📅 Resumen Diario'!$C$5:$C$504, D3246), 0))</f>
        <v/>
      </c>
      <c r="M3246" s="31" t="str">
        <f t="shared" si="353"/>
        <v/>
      </c>
      <c r="N3246" s="31" t="str">
        <f t="shared" si="354"/>
        <v/>
      </c>
      <c r="O3246" s="31" t="str">
        <f>IF(OR(B3246="",C3246=""),"",K3246-N3246 + IFERROR(E3246 / SUMIFS('📅 Resumen Diario'!$D$5:$D$504, '📅 Resumen Diario'!$B$5:$B$504, B3246, '📅 Resumen Diario'!$C$5:$C$504, D3246) * (SUMIFS('📋 Detalle Diario'!$E$5:$E$489, '📋 Detalle Diario'!$B$5:$B$489, B3246, '📋 Detalle Diario'!$C$5:$C$489, D3246) * 135 + SUMIFS('📋 Detalle Diario'!$I$5:$I$489, '📋 Detalle Diario'!$B$5:$B$489, B3246, '📋 Detalle Diario'!$C$5:$C$489, D3246) * 200), 0))</f>
        <v/>
      </c>
      <c r="P3246" s="32" t="str">
        <f t="shared" si="355"/>
        <v/>
      </c>
      <c r="Q3246" s="33" t="str">
        <f t="shared" si="356"/>
        <v/>
      </c>
    </row>
    <row r="3247" spans="2:17" ht="18" customHeight="1" x14ac:dyDescent="0.3">
      <c r="B3247" s="26"/>
      <c r="C3247" s="28"/>
      <c r="D3247" s="27"/>
      <c r="E3247" s="29"/>
      <c r="F3247" s="29"/>
      <c r="G3247" s="29"/>
      <c r="H3247" s="30" t="str">
        <f t="shared" si="350"/>
        <v/>
      </c>
      <c r="I3247" s="31" t="str">
        <f>IF(OR(B3247="",C3247=""),"",IFERROR(E3247*IF(E3247="",0,VLOOKUP(C3247,'📦 Precios Proforma'!$B$5:$D$104,IF(D3247="DIA",2,3),FALSE)),0))</f>
        <v/>
      </c>
      <c r="J3247" s="31" t="str">
        <f t="shared" si="351"/>
        <v/>
      </c>
      <c r="K3247" s="31" t="str">
        <f t="shared" si="352"/>
        <v/>
      </c>
      <c r="L3247" s="31" t="str">
        <f>IF(OR(B3247="",C3247=""),"",IFERROR(E3247 / SUMIFS('📅 Resumen Diario'!$D$5:$D$504, '📅 Resumen Diario'!$B$5:$B$504, B3247, '📅 Resumen Diario'!$C$5:$C$504, D3247) * SUMIFS('📅 Resumen Diario'!$K$5:$K$504, '📅 Resumen Diario'!$B$5:$B$504, B3247, '📅 Resumen Diario'!$C$5:$C$504, D3247), 0))</f>
        <v/>
      </c>
      <c r="M3247" s="31" t="str">
        <f t="shared" si="353"/>
        <v/>
      </c>
      <c r="N3247" s="31" t="str">
        <f t="shared" si="354"/>
        <v/>
      </c>
      <c r="O3247" s="31" t="str">
        <f>IF(OR(B3247="",C3247=""),"",K3247-N3247 + IFERROR(E3247 / SUMIFS('📅 Resumen Diario'!$D$5:$D$504, '📅 Resumen Diario'!$B$5:$B$504, B3247, '📅 Resumen Diario'!$C$5:$C$504, D3247) * (SUMIFS('📋 Detalle Diario'!$E$5:$E$489, '📋 Detalle Diario'!$B$5:$B$489, B3247, '📋 Detalle Diario'!$C$5:$C$489, D3247) * 135 + SUMIFS('📋 Detalle Diario'!$I$5:$I$489, '📋 Detalle Diario'!$B$5:$B$489, B3247, '📋 Detalle Diario'!$C$5:$C$489, D3247) * 200), 0))</f>
        <v/>
      </c>
      <c r="P3247" s="32" t="str">
        <f t="shared" si="355"/>
        <v/>
      </c>
      <c r="Q3247" s="33" t="str">
        <f t="shared" si="356"/>
        <v/>
      </c>
    </row>
    <row r="3248" spans="2:17" ht="18" customHeight="1" x14ac:dyDescent="0.3">
      <c r="B3248" s="26"/>
      <c r="C3248" s="17"/>
      <c r="D3248" s="27"/>
      <c r="E3248" s="18"/>
      <c r="F3248" s="18"/>
      <c r="G3248" s="18"/>
      <c r="H3248" s="30" t="str">
        <f t="shared" si="350"/>
        <v/>
      </c>
      <c r="I3248" s="31" t="str">
        <f>IF(OR(B3248="",C3248=""),"",IFERROR(E3248*IF(E3248="",0,VLOOKUP(C3248,'📦 Precios Proforma'!$B$5:$D$104,IF(D3248="DIA",2,3),FALSE)),0))</f>
        <v/>
      </c>
      <c r="J3248" s="31" t="str">
        <f t="shared" si="351"/>
        <v/>
      </c>
      <c r="K3248" s="31" t="str">
        <f t="shared" si="352"/>
        <v/>
      </c>
      <c r="L3248" s="31" t="str">
        <f>IF(OR(B3248="",C3248=""),"",IFERROR(E3248 / SUMIFS('📅 Resumen Diario'!$D$5:$D$504, '📅 Resumen Diario'!$B$5:$B$504, B3248, '📅 Resumen Diario'!$C$5:$C$504, D3248) * SUMIFS('📅 Resumen Diario'!$K$5:$K$504, '📅 Resumen Diario'!$B$5:$B$504, B3248, '📅 Resumen Diario'!$C$5:$C$504, D3248), 0))</f>
        <v/>
      </c>
      <c r="M3248" s="31" t="str">
        <f t="shared" si="353"/>
        <v/>
      </c>
      <c r="N3248" s="31" t="str">
        <f t="shared" si="354"/>
        <v/>
      </c>
      <c r="O3248" s="31" t="str">
        <f>IF(OR(B3248="",C3248=""),"",K3248-N3248 + IFERROR(E3248 / SUMIFS('📅 Resumen Diario'!$D$5:$D$504, '📅 Resumen Diario'!$B$5:$B$504, B3248, '📅 Resumen Diario'!$C$5:$C$504, D3248) * (SUMIFS('📋 Detalle Diario'!$E$5:$E$489, '📋 Detalle Diario'!$B$5:$B$489, B3248, '📋 Detalle Diario'!$C$5:$C$489, D3248) * 135 + SUMIFS('📋 Detalle Diario'!$I$5:$I$489, '📋 Detalle Diario'!$B$5:$B$489, B3248, '📋 Detalle Diario'!$C$5:$C$489, D3248) * 200), 0))</f>
        <v/>
      </c>
      <c r="P3248" s="32" t="str">
        <f t="shared" si="355"/>
        <v/>
      </c>
      <c r="Q3248" s="33" t="str">
        <f t="shared" si="356"/>
        <v/>
      </c>
    </row>
    <row r="3249" spans="2:17" ht="18" customHeight="1" x14ac:dyDescent="0.3">
      <c r="B3249" s="26"/>
      <c r="C3249" s="28"/>
      <c r="D3249" s="27"/>
      <c r="E3249" s="29"/>
      <c r="F3249" s="29"/>
      <c r="G3249" s="29"/>
      <c r="H3249" s="30" t="str">
        <f t="shared" si="350"/>
        <v/>
      </c>
      <c r="I3249" s="31" t="str">
        <f>IF(OR(B3249="",C3249=""),"",IFERROR(E3249*IF(E3249="",0,VLOOKUP(C3249,'📦 Precios Proforma'!$B$5:$D$104,IF(D3249="DIA",2,3),FALSE)),0))</f>
        <v/>
      </c>
      <c r="J3249" s="31" t="str">
        <f t="shared" si="351"/>
        <v/>
      </c>
      <c r="K3249" s="31" t="str">
        <f t="shared" si="352"/>
        <v/>
      </c>
      <c r="L3249" s="31" t="str">
        <f>IF(OR(B3249="",C3249=""),"",IFERROR(E3249 / SUMIFS('📅 Resumen Diario'!$D$5:$D$504, '📅 Resumen Diario'!$B$5:$B$504, B3249, '📅 Resumen Diario'!$C$5:$C$504, D3249) * SUMIFS('📅 Resumen Diario'!$K$5:$K$504, '📅 Resumen Diario'!$B$5:$B$504, B3249, '📅 Resumen Diario'!$C$5:$C$504, D3249), 0))</f>
        <v/>
      </c>
      <c r="M3249" s="31" t="str">
        <f t="shared" si="353"/>
        <v/>
      </c>
      <c r="N3249" s="31" t="str">
        <f t="shared" si="354"/>
        <v/>
      </c>
      <c r="O3249" s="31" t="str">
        <f>IF(OR(B3249="",C3249=""),"",K3249-N3249 + IFERROR(E3249 / SUMIFS('📅 Resumen Diario'!$D$5:$D$504, '📅 Resumen Diario'!$B$5:$B$504, B3249, '📅 Resumen Diario'!$C$5:$C$504, D3249) * (SUMIFS('📋 Detalle Diario'!$E$5:$E$489, '📋 Detalle Diario'!$B$5:$B$489, B3249, '📋 Detalle Diario'!$C$5:$C$489, D3249) * 135 + SUMIFS('📋 Detalle Diario'!$I$5:$I$489, '📋 Detalle Diario'!$B$5:$B$489, B3249, '📋 Detalle Diario'!$C$5:$C$489, D3249) * 200), 0))</f>
        <v/>
      </c>
      <c r="P3249" s="32" t="str">
        <f t="shared" si="355"/>
        <v/>
      </c>
      <c r="Q3249" s="33" t="str">
        <f t="shared" si="356"/>
        <v/>
      </c>
    </row>
    <row r="3250" spans="2:17" ht="18" customHeight="1" x14ac:dyDescent="0.3">
      <c r="B3250" s="26"/>
      <c r="C3250" s="17"/>
      <c r="D3250" s="27"/>
      <c r="E3250" s="18"/>
      <c r="F3250" s="18"/>
      <c r="G3250" s="18"/>
      <c r="H3250" s="30" t="str">
        <f t="shared" si="350"/>
        <v/>
      </c>
      <c r="I3250" s="31" t="str">
        <f>IF(OR(B3250="",C3250=""),"",IFERROR(E3250*IF(E3250="",0,VLOOKUP(C3250,'📦 Precios Proforma'!$B$5:$D$104,IF(D3250="DIA",2,3),FALSE)),0))</f>
        <v/>
      </c>
      <c r="J3250" s="31" t="str">
        <f t="shared" si="351"/>
        <v/>
      </c>
      <c r="K3250" s="31" t="str">
        <f t="shared" si="352"/>
        <v/>
      </c>
      <c r="L3250" s="31" t="str">
        <f>IF(OR(B3250="",C3250=""),"",IFERROR(E3250 / SUMIFS('📅 Resumen Diario'!$D$5:$D$504, '📅 Resumen Diario'!$B$5:$B$504, B3250, '📅 Resumen Diario'!$C$5:$C$504, D3250) * SUMIFS('📅 Resumen Diario'!$K$5:$K$504, '📅 Resumen Diario'!$B$5:$B$504, B3250, '📅 Resumen Diario'!$C$5:$C$504, D3250), 0))</f>
        <v/>
      </c>
      <c r="M3250" s="31" t="str">
        <f t="shared" si="353"/>
        <v/>
      </c>
      <c r="N3250" s="31" t="str">
        <f t="shared" si="354"/>
        <v/>
      </c>
      <c r="O3250" s="31" t="str">
        <f>IF(OR(B3250="",C3250=""),"",K3250-N3250 + IFERROR(E3250 / SUMIFS('📅 Resumen Diario'!$D$5:$D$504, '📅 Resumen Diario'!$B$5:$B$504, B3250, '📅 Resumen Diario'!$C$5:$C$504, D3250) * (SUMIFS('📋 Detalle Diario'!$E$5:$E$489, '📋 Detalle Diario'!$B$5:$B$489, B3250, '📋 Detalle Diario'!$C$5:$C$489, D3250) * 135 + SUMIFS('📋 Detalle Diario'!$I$5:$I$489, '📋 Detalle Diario'!$B$5:$B$489, B3250, '📋 Detalle Diario'!$C$5:$C$489, D3250) * 200), 0))</f>
        <v/>
      </c>
      <c r="P3250" s="32" t="str">
        <f t="shared" si="355"/>
        <v/>
      </c>
      <c r="Q3250" s="33" t="str">
        <f t="shared" si="356"/>
        <v/>
      </c>
    </row>
    <row r="3251" spans="2:17" ht="18" customHeight="1" x14ac:dyDescent="0.3">
      <c r="B3251" s="26"/>
      <c r="C3251" s="28"/>
      <c r="D3251" s="27"/>
      <c r="E3251" s="29"/>
      <c r="F3251" s="29"/>
      <c r="G3251" s="29"/>
      <c r="H3251" s="30" t="str">
        <f t="shared" si="350"/>
        <v/>
      </c>
      <c r="I3251" s="31" t="str">
        <f>IF(OR(B3251="",C3251=""),"",IFERROR(E3251*IF(E3251="",0,VLOOKUP(C3251,'📦 Precios Proforma'!$B$5:$D$104,IF(D3251="DIA",2,3),FALSE)),0))</f>
        <v/>
      </c>
      <c r="J3251" s="31" t="str">
        <f t="shared" si="351"/>
        <v/>
      </c>
      <c r="K3251" s="31" t="str">
        <f t="shared" si="352"/>
        <v/>
      </c>
      <c r="L3251" s="31" t="str">
        <f>IF(OR(B3251="",C3251=""),"",IFERROR(E3251 / SUMIFS('📅 Resumen Diario'!$D$5:$D$504, '📅 Resumen Diario'!$B$5:$B$504, B3251, '📅 Resumen Diario'!$C$5:$C$504, D3251) * SUMIFS('📅 Resumen Diario'!$K$5:$K$504, '📅 Resumen Diario'!$B$5:$B$504, B3251, '📅 Resumen Diario'!$C$5:$C$504, D3251), 0))</f>
        <v/>
      </c>
      <c r="M3251" s="31" t="str">
        <f t="shared" si="353"/>
        <v/>
      </c>
      <c r="N3251" s="31" t="str">
        <f t="shared" si="354"/>
        <v/>
      </c>
      <c r="O3251" s="31" t="str">
        <f>IF(OR(B3251="",C3251=""),"",K3251-N3251 + IFERROR(E3251 / SUMIFS('📅 Resumen Diario'!$D$5:$D$504, '📅 Resumen Diario'!$B$5:$B$504, B3251, '📅 Resumen Diario'!$C$5:$C$504, D3251) * (SUMIFS('📋 Detalle Diario'!$E$5:$E$489, '📋 Detalle Diario'!$B$5:$B$489, B3251, '📋 Detalle Diario'!$C$5:$C$489, D3251) * 135 + SUMIFS('📋 Detalle Diario'!$I$5:$I$489, '📋 Detalle Diario'!$B$5:$B$489, B3251, '📋 Detalle Diario'!$C$5:$C$489, D3251) * 200), 0))</f>
        <v/>
      </c>
      <c r="P3251" s="32" t="str">
        <f t="shared" si="355"/>
        <v/>
      </c>
      <c r="Q3251" s="33" t="str">
        <f t="shared" si="356"/>
        <v/>
      </c>
    </row>
    <row r="3252" spans="2:17" ht="18" customHeight="1" x14ac:dyDescent="0.3">
      <c r="B3252" s="26"/>
      <c r="C3252" s="17"/>
      <c r="D3252" s="27"/>
      <c r="E3252" s="18"/>
      <c r="F3252" s="18"/>
      <c r="G3252" s="18"/>
      <c r="H3252" s="30" t="str">
        <f t="shared" si="350"/>
        <v/>
      </c>
      <c r="I3252" s="31" t="str">
        <f>IF(OR(B3252="",C3252=""),"",IFERROR(E3252*IF(E3252="",0,VLOOKUP(C3252,'📦 Precios Proforma'!$B$5:$D$104,IF(D3252="DIA",2,3),FALSE)),0))</f>
        <v/>
      </c>
      <c r="J3252" s="31" t="str">
        <f t="shared" si="351"/>
        <v/>
      </c>
      <c r="K3252" s="31" t="str">
        <f t="shared" si="352"/>
        <v/>
      </c>
      <c r="L3252" s="31" t="str">
        <f>IF(OR(B3252="",C3252=""),"",IFERROR(E3252 / SUMIFS('📅 Resumen Diario'!$D$5:$D$504, '📅 Resumen Diario'!$B$5:$B$504, B3252, '📅 Resumen Diario'!$C$5:$C$504, D3252) * SUMIFS('📅 Resumen Diario'!$K$5:$K$504, '📅 Resumen Diario'!$B$5:$B$504, B3252, '📅 Resumen Diario'!$C$5:$C$504, D3252), 0))</f>
        <v/>
      </c>
      <c r="M3252" s="31" t="str">
        <f t="shared" si="353"/>
        <v/>
      </c>
      <c r="N3252" s="31" t="str">
        <f t="shared" si="354"/>
        <v/>
      </c>
      <c r="O3252" s="31" t="str">
        <f>IF(OR(B3252="",C3252=""),"",K3252-N3252 + IFERROR(E3252 / SUMIFS('📅 Resumen Diario'!$D$5:$D$504, '📅 Resumen Diario'!$B$5:$B$504, B3252, '📅 Resumen Diario'!$C$5:$C$504, D3252) * (SUMIFS('📋 Detalle Diario'!$E$5:$E$489, '📋 Detalle Diario'!$B$5:$B$489, B3252, '📋 Detalle Diario'!$C$5:$C$489, D3252) * 135 + SUMIFS('📋 Detalle Diario'!$I$5:$I$489, '📋 Detalle Diario'!$B$5:$B$489, B3252, '📋 Detalle Diario'!$C$5:$C$489, D3252) * 200), 0))</f>
        <v/>
      </c>
      <c r="P3252" s="32" t="str">
        <f t="shared" si="355"/>
        <v/>
      </c>
      <c r="Q3252" s="33" t="str">
        <f t="shared" si="356"/>
        <v/>
      </c>
    </row>
    <row r="3253" spans="2:17" ht="18" customHeight="1" x14ac:dyDescent="0.3">
      <c r="B3253" s="26"/>
      <c r="C3253" s="28"/>
      <c r="D3253" s="27"/>
      <c r="E3253" s="29"/>
      <c r="F3253" s="29"/>
      <c r="G3253" s="29"/>
      <c r="H3253" s="30" t="str">
        <f t="shared" si="350"/>
        <v/>
      </c>
      <c r="I3253" s="31" t="str">
        <f>IF(OR(B3253="",C3253=""),"",IFERROR(E3253*IF(E3253="",0,VLOOKUP(C3253,'📦 Precios Proforma'!$B$5:$D$104,IF(D3253="DIA",2,3),FALSE)),0))</f>
        <v/>
      </c>
      <c r="J3253" s="31" t="str">
        <f t="shared" si="351"/>
        <v/>
      </c>
      <c r="K3253" s="31" t="str">
        <f t="shared" si="352"/>
        <v/>
      </c>
      <c r="L3253" s="31" t="str">
        <f>IF(OR(B3253="",C3253=""),"",IFERROR(E3253 / SUMIFS('📅 Resumen Diario'!$D$5:$D$504, '📅 Resumen Diario'!$B$5:$B$504, B3253, '📅 Resumen Diario'!$C$5:$C$504, D3253) * SUMIFS('📅 Resumen Diario'!$K$5:$K$504, '📅 Resumen Diario'!$B$5:$B$504, B3253, '📅 Resumen Diario'!$C$5:$C$504, D3253), 0))</f>
        <v/>
      </c>
      <c r="M3253" s="31" t="str">
        <f t="shared" si="353"/>
        <v/>
      </c>
      <c r="N3253" s="31" t="str">
        <f t="shared" si="354"/>
        <v/>
      </c>
      <c r="O3253" s="31" t="str">
        <f>IF(OR(B3253="",C3253=""),"",K3253-N3253 + IFERROR(E3253 / SUMIFS('📅 Resumen Diario'!$D$5:$D$504, '📅 Resumen Diario'!$B$5:$B$504, B3253, '📅 Resumen Diario'!$C$5:$C$504, D3253) * (SUMIFS('📋 Detalle Diario'!$E$5:$E$489, '📋 Detalle Diario'!$B$5:$B$489, B3253, '📋 Detalle Diario'!$C$5:$C$489, D3253) * 135 + SUMIFS('📋 Detalle Diario'!$I$5:$I$489, '📋 Detalle Diario'!$B$5:$B$489, B3253, '📋 Detalle Diario'!$C$5:$C$489, D3253) * 200), 0))</f>
        <v/>
      </c>
      <c r="P3253" s="32" t="str">
        <f t="shared" si="355"/>
        <v/>
      </c>
      <c r="Q3253" s="33" t="str">
        <f t="shared" si="356"/>
        <v/>
      </c>
    </row>
    <row r="3254" spans="2:17" ht="18" customHeight="1" x14ac:dyDescent="0.3">
      <c r="B3254" s="26"/>
      <c r="C3254" s="17"/>
      <c r="D3254" s="27"/>
      <c r="E3254" s="18"/>
      <c r="F3254" s="18"/>
      <c r="G3254" s="18"/>
      <c r="H3254" s="30" t="str">
        <f t="shared" si="350"/>
        <v/>
      </c>
      <c r="I3254" s="31" t="str">
        <f>IF(OR(B3254="",C3254=""),"",IFERROR(E3254*IF(E3254="",0,VLOOKUP(C3254,'📦 Precios Proforma'!$B$5:$D$104,IF(D3254="DIA",2,3),FALSE)),0))</f>
        <v/>
      </c>
      <c r="J3254" s="31" t="str">
        <f t="shared" si="351"/>
        <v/>
      </c>
      <c r="K3254" s="31" t="str">
        <f t="shared" si="352"/>
        <v/>
      </c>
      <c r="L3254" s="31" t="str">
        <f>IF(OR(B3254="",C3254=""),"",IFERROR(E3254 / SUMIFS('📅 Resumen Diario'!$D$5:$D$504, '📅 Resumen Diario'!$B$5:$B$504, B3254, '📅 Resumen Diario'!$C$5:$C$504, D3254) * SUMIFS('📅 Resumen Diario'!$K$5:$K$504, '📅 Resumen Diario'!$B$5:$B$504, B3254, '📅 Resumen Diario'!$C$5:$C$504, D3254), 0))</f>
        <v/>
      </c>
      <c r="M3254" s="31" t="str">
        <f t="shared" si="353"/>
        <v/>
      </c>
      <c r="N3254" s="31" t="str">
        <f t="shared" si="354"/>
        <v/>
      </c>
      <c r="O3254" s="31" t="str">
        <f>IF(OR(B3254="",C3254=""),"",K3254-N3254 + IFERROR(E3254 / SUMIFS('📅 Resumen Diario'!$D$5:$D$504, '📅 Resumen Diario'!$B$5:$B$504, B3254, '📅 Resumen Diario'!$C$5:$C$504, D3254) * (SUMIFS('📋 Detalle Diario'!$E$5:$E$489, '📋 Detalle Diario'!$B$5:$B$489, B3254, '📋 Detalle Diario'!$C$5:$C$489, D3254) * 135 + SUMIFS('📋 Detalle Diario'!$I$5:$I$489, '📋 Detalle Diario'!$B$5:$B$489, B3254, '📋 Detalle Diario'!$C$5:$C$489, D3254) * 200), 0))</f>
        <v/>
      </c>
      <c r="P3254" s="32" t="str">
        <f t="shared" si="355"/>
        <v/>
      </c>
      <c r="Q3254" s="33" t="str">
        <f t="shared" si="356"/>
        <v/>
      </c>
    </row>
    <row r="3255" spans="2:17" ht="18" customHeight="1" x14ac:dyDescent="0.3">
      <c r="B3255" s="26"/>
      <c r="C3255" s="28"/>
      <c r="D3255" s="27"/>
      <c r="E3255" s="29"/>
      <c r="F3255" s="29"/>
      <c r="G3255" s="29"/>
      <c r="H3255" s="30" t="str">
        <f t="shared" si="350"/>
        <v/>
      </c>
      <c r="I3255" s="31" t="str">
        <f>IF(OR(B3255="",C3255=""),"",IFERROR(E3255*IF(E3255="",0,VLOOKUP(C3255,'📦 Precios Proforma'!$B$5:$D$104,IF(D3255="DIA",2,3),FALSE)),0))</f>
        <v/>
      </c>
      <c r="J3255" s="31" t="str">
        <f t="shared" si="351"/>
        <v/>
      </c>
      <c r="K3255" s="31" t="str">
        <f t="shared" si="352"/>
        <v/>
      </c>
      <c r="L3255" s="31" t="str">
        <f>IF(OR(B3255="",C3255=""),"",IFERROR(E3255 / SUMIFS('📅 Resumen Diario'!$D$5:$D$504, '📅 Resumen Diario'!$B$5:$B$504, B3255, '📅 Resumen Diario'!$C$5:$C$504, D3255) * SUMIFS('📅 Resumen Diario'!$K$5:$K$504, '📅 Resumen Diario'!$B$5:$B$504, B3255, '📅 Resumen Diario'!$C$5:$C$504, D3255), 0))</f>
        <v/>
      </c>
      <c r="M3255" s="31" t="str">
        <f t="shared" si="353"/>
        <v/>
      </c>
      <c r="N3255" s="31" t="str">
        <f t="shared" si="354"/>
        <v/>
      </c>
      <c r="O3255" s="31" t="str">
        <f>IF(OR(B3255="",C3255=""),"",K3255-N3255 + IFERROR(E3255 / SUMIFS('📅 Resumen Diario'!$D$5:$D$504, '📅 Resumen Diario'!$B$5:$B$504, B3255, '📅 Resumen Diario'!$C$5:$C$504, D3255) * (SUMIFS('📋 Detalle Diario'!$E$5:$E$489, '📋 Detalle Diario'!$B$5:$B$489, B3255, '📋 Detalle Diario'!$C$5:$C$489, D3255) * 135 + SUMIFS('📋 Detalle Diario'!$I$5:$I$489, '📋 Detalle Diario'!$B$5:$B$489, B3255, '📋 Detalle Diario'!$C$5:$C$489, D3255) * 200), 0))</f>
        <v/>
      </c>
      <c r="P3255" s="32" t="str">
        <f t="shared" si="355"/>
        <v/>
      </c>
      <c r="Q3255" s="33" t="str">
        <f t="shared" si="356"/>
        <v/>
      </c>
    </row>
    <row r="3256" spans="2:17" ht="18" customHeight="1" x14ac:dyDescent="0.3">
      <c r="B3256" s="26"/>
      <c r="C3256" s="17"/>
      <c r="D3256" s="27"/>
      <c r="E3256" s="18"/>
      <c r="F3256" s="18"/>
      <c r="G3256" s="18"/>
      <c r="H3256" s="30" t="str">
        <f t="shared" si="350"/>
        <v/>
      </c>
      <c r="I3256" s="31" t="str">
        <f>IF(OR(B3256="",C3256=""),"",IFERROR(E3256*IF(E3256="",0,VLOOKUP(C3256,'📦 Precios Proforma'!$B$5:$D$104,IF(D3256="DIA",2,3),FALSE)),0))</f>
        <v/>
      </c>
      <c r="J3256" s="31" t="str">
        <f t="shared" si="351"/>
        <v/>
      </c>
      <c r="K3256" s="31" t="str">
        <f t="shared" si="352"/>
        <v/>
      </c>
      <c r="L3256" s="31" t="str">
        <f>IF(OR(B3256="",C3256=""),"",IFERROR(E3256 / SUMIFS('📅 Resumen Diario'!$D$5:$D$504, '📅 Resumen Diario'!$B$5:$B$504, B3256, '📅 Resumen Diario'!$C$5:$C$504, D3256) * SUMIFS('📅 Resumen Diario'!$K$5:$K$504, '📅 Resumen Diario'!$B$5:$B$504, B3256, '📅 Resumen Diario'!$C$5:$C$504, D3256), 0))</f>
        <v/>
      </c>
      <c r="M3256" s="31" t="str">
        <f t="shared" si="353"/>
        <v/>
      </c>
      <c r="N3256" s="31" t="str">
        <f t="shared" si="354"/>
        <v/>
      </c>
      <c r="O3256" s="31" t="str">
        <f>IF(OR(B3256="",C3256=""),"",K3256-N3256 + IFERROR(E3256 / SUMIFS('📅 Resumen Diario'!$D$5:$D$504, '📅 Resumen Diario'!$B$5:$B$504, B3256, '📅 Resumen Diario'!$C$5:$C$504, D3256) * (SUMIFS('📋 Detalle Diario'!$E$5:$E$489, '📋 Detalle Diario'!$B$5:$B$489, B3256, '📋 Detalle Diario'!$C$5:$C$489, D3256) * 135 + SUMIFS('📋 Detalle Diario'!$I$5:$I$489, '📋 Detalle Diario'!$B$5:$B$489, B3256, '📋 Detalle Diario'!$C$5:$C$489, D3256) * 200), 0))</f>
        <v/>
      </c>
      <c r="P3256" s="32" t="str">
        <f t="shared" si="355"/>
        <v/>
      </c>
      <c r="Q3256" s="33" t="str">
        <f t="shared" si="356"/>
        <v/>
      </c>
    </row>
    <row r="3257" spans="2:17" ht="18" customHeight="1" x14ac:dyDescent="0.3">
      <c r="B3257" s="26"/>
      <c r="C3257" s="28"/>
      <c r="D3257" s="27"/>
      <c r="E3257" s="29"/>
      <c r="F3257" s="29"/>
      <c r="G3257" s="29"/>
      <c r="H3257" s="30" t="str">
        <f t="shared" si="350"/>
        <v/>
      </c>
      <c r="I3257" s="31" t="str">
        <f>IF(OR(B3257="",C3257=""),"",IFERROR(E3257*IF(E3257="",0,VLOOKUP(C3257,'📦 Precios Proforma'!$B$5:$D$104,IF(D3257="DIA",2,3),FALSE)),0))</f>
        <v/>
      </c>
      <c r="J3257" s="31" t="str">
        <f t="shared" si="351"/>
        <v/>
      </c>
      <c r="K3257" s="31" t="str">
        <f t="shared" si="352"/>
        <v/>
      </c>
      <c r="L3257" s="31" t="str">
        <f>IF(OR(B3257="",C3257=""),"",IFERROR(E3257 / SUMIFS('📅 Resumen Diario'!$D$5:$D$504, '📅 Resumen Diario'!$B$5:$B$504, B3257, '📅 Resumen Diario'!$C$5:$C$504, D3257) * SUMIFS('📅 Resumen Diario'!$K$5:$K$504, '📅 Resumen Diario'!$B$5:$B$504, B3257, '📅 Resumen Diario'!$C$5:$C$504, D3257), 0))</f>
        <v/>
      </c>
      <c r="M3257" s="31" t="str">
        <f t="shared" si="353"/>
        <v/>
      </c>
      <c r="N3257" s="31" t="str">
        <f t="shared" si="354"/>
        <v/>
      </c>
      <c r="O3257" s="31" t="str">
        <f>IF(OR(B3257="",C3257=""),"",K3257-N3257 + IFERROR(E3257 / SUMIFS('📅 Resumen Diario'!$D$5:$D$504, '📅 Resumen Diario'!$B$5:$B$504, B3257, '📅 Resumen Diario'!$C$5:$C$504, D3257) * (SUMIFS('📋 Detalle Diario'!$E$5:$E$489, '📋 Detalle Diario'!$B$5:$B$489, B3257, '📋 Detalle Diario'!$C$5:$C$489, D3257) * 135 + SUMIFS('📋 Detalle Diario'!$I$5:$I$489, '📋 Detalle Diario'!$B$5:$B$489, B3257, '📋 Detalle Diario'!$C$5:$C$489, D3257) * 200), 0))</f>
        <v/>
      </c>
      <c r="P3257" s="32" t="str">
        <f t="shared" si="355"/>
        <v/>
      </c>
      <c r="Q3257" s="33" t="str">
        <f t="shared" si="356"/>
        <v/>
      </c>
    </row>
    <row r="3258" spans="2:17" ht="18" customHeight="1" x14ac:dyDescent="0.3">
      <c r="B3258" s="26"/>
      <c r="C3258" s="17"/>
      <c r="D3258" s="27"/>
      <c r="E3258" s="18"/>
      <c r="F3258" s="18"/>
      <c r="G3258" s="18"/>
      <c r="H3258" s="30" t="str">
        <f t="shared" si="350"/>
        <v/>
      </c>
      <c r="I3258" s="31" t="str">
        <f>IF(OR(B3258="",C3258=""),"",IFERROR(E3258*IF(E3258="",0,VLOOKUP(C3258,'📦 Precios Proforma'!$B$5:$D$104,IF(D3258="DIA",2,3),FALSE)),0))</f>
        <v/>
      </c>
      <c r="J3258" s="31" t="str">
        <f t="shared" si="351"/>
        <v/>
      </c>
      <c r="K3258" s="31" t="str">
        <f t="shared" si="352"/>
        <v/>
      </c>
      <c r="L3258" s="31" t="str">
        <f>IF(OR(B3258="",C3258=""),"",IFERROR(E3258 / SUMIFS('📅 Resumen Diario'!$D$5:$D$504, '📅 Resumen Diario'!$B$5:$B$504, B3258, '📅 Resumen Diario'!$C$5:$C$504, D3258) * SUMIFS('📅 Resumen Diario'!$K$5:$K$504, '📅 Resumen Diario'!$B$5:$B$504, B3258, '📅 Resumen Diario'!$C$5:$C$504, D3258), 0))</f>
        <v/>
      </c>
      <c r="M3258" s="31" t="str">
        <f t="shared" si="353"/>
        <v/>
      </c>
      <c r="N3258" s="31" t="str">
        <f t="shared" si="354"/>
        <v/>
      </c>
      <c r="O3258" s="31" t="str">
        <f>IF(OR(B3258="",C3258=""),"",K3258-N3258 + IFERROR(E3258 / SUMIFS('📅 Resumen Diario'!$D$5:$D$504, '📅 Resumen Diario'!$B$5:$B$504, B3258, '📅 Resumen Diario'!$C$5:$C$504, D3258) * (SUMIFS('📋 Detalle Diario'!$E$5:$E$489, '📋 Detalle Diario'!$B$5:$B$489, B3258, '📋 Detalle Diario'!$C$5:$C$489, D3258) * 135 + SUMIFS('📋 Detalle Diario'!$I$5:$I$489, '📋 Detalle Diario'!$B$5:$B$489, B3258, '📋 Detalle Diario'!$C$5:$C$489, D3258) * 200), 0))</f>
        <v/>
      </c>
      <c r="P3258" s="32" t="str">
        <f t="shared" si="355"/>
        <v/>
      </c>
      <c r="Q3258" s="33" t="str">
        <f t="shared" si="356"/>
        <v/>
      </c>
    </row>
    <row r="3259" spans="2:17" ht="18" customHeight="1" x14ac:dyDescent="0.3">
      <c r="B3259" s="26"/>
      <c r="C3259" s="28"/>
      <c r="D3259" s="27"/>
      <c r="E3259" s="29"/>
      <c r="F3259" s="29"/>
      <c r="G3259" s="29"/>
      <c r="H3259" s="30" t="str">
        <f t="shared" si="350"/>
        <v/>
      </c>
      <c r="I3259" s="31" t="str">
        <f>IF(OR(B3259="",C3259=""),"",IFERROR(E3259*IF(E3259="",0,VLOOKUP(C3259,'📦 Precios Proforma'!$B$5:$D$104,IF(D3259="DIA",2,3),FALSE)),0))</f>
        <v/>
      </c>
      <c r="J3259" s="31" t="str">
        <f t="shared" si="351"/>
        <v/>
      </c>
      <c r="K3259" s="31" t="str">
        <f t="shared" si="352"/>
        <v/>
      </c>
      <c r="L3259" s="31" t="str">
        <f>IF(OR(B3259="",C3259=""),"",IFERROR(E3259 / SUMIFS('📅 Resumen Diario'!$D$5:$D$504, '📅 Resumen Diario'!$B$5:$B$504, B3259, '📅 Resumen Diario'!$C$5:$C$504, D3259) * SUMIFS('📅 Resumen Diario'!$K$5:$K$504, '📅 Resumen Diario'!$B$5:$B$504, B3259, '📅 Resumen Diario'!$C$5:$C$504, D3259), 0))</f>
        <v/>
      </c>
      <c r="M3259" s="31" t="str">
        <f t="shared" si="353"/>
        <v/>
      </c>
      <c r="N3259" s="31" t="str">
        <f t="shared" si="354"/>
        <v/>
      </c>
      <c r="O3259" s="31" t="str">
        <f>IF(OR(B3259="",C3259=""),"",K3259-N3259 + IFERROR(E3259 / SUMIFS('📅 Resumen Diario'!$D$5:$D$504, '📅 Resumen Diario'!$B$5:$B$504, B3259, '📅 Resumen Diario'!$C$5:$C$504, D3259) * (SUMIFS('📋 Detalle Diario'!$E$5:$E$489, '📋 Detalle Diario'!$B$5:$B$489, B3259, '📋 Detalle Diario'!$C$5:$C$489, D3259) * 135 + SUMIFS('📋 Detalle Diario'!$I$5:$I$489, '📋 Detalle Diario'!$B$5:$B$489, B3259, '📋 Detalle Diario'!$C$5:$C$489, D3259) * 200), 0))</f>
        <v/>
      </c>
      <c r="P3259" s="32" t="str">
        <f t="shared" si="355"/>
        <v/>
      </c>
      <c r="Q3259" s="33" t="str">
        <f t="shared" si="356"/>
        <v/>
      </c>
    </row>
    <row r="3260" spans="2:17" ht="18" customHeight="1" x14ac:dyDescent="0.3">
      <c r="B3260" s="26"/>
      <c r="C3260" s="17"/>
      <c r="D3260" s="27"/>
      <c r="E3260" s="18"/>
      <c r="F3260" s="18"/>
      <c r="G3260" s="18"/>
      <c r="H3260" s="30" t="str">
        <f t="shared" si="350"/>
        <v/>
      </c>
      <c r="I3260" s="31" t="str">
        <f>IF(OR(B3260="",C3260=""),"",IFERROR(E3260*IF(E3260="",0,VLOOKUP(C3260,'📦 Precios Proforma'!$B$5:$D$104,IF(D3260="DIA",2,3),FALSE)),0))</f>
        <v/>
      </c>
      <c r="J3260" s="31" t="str">
        <f t="shared" si="351"/>
        <v/>
      </c>
      <c r="K3260" s="31" t="str">
        <f t="shared" si="352"/>
        <v/>
      </c>
      <c r="L3260" s="31" t="str">
        <f>IF(OR(B3260="",C3260=""),"",IFERROR(E3260 / SUMIFS('📅 Resumen Diario'!$D$5:$D$504, '📅 Resumen Diario'!$B$5:$B$504, B3260, '📅 Resumen Diario'!$C$5:$C$504, D3260) * SUMIFS('📅 Resumen Diario'!$K$5:$K$504, '📅 Resumen Diario'!$B$5:$B$504, B3260, '📅 Resumen Diario'!$C$5:$C$504, D3260), 0))</f>
        <v/>
      </c>
      <c r="M3260" s="31" t="str">
        <f t="shared" si="353"/>
        <v/>
      </c>
      <c r="N3260" s="31" t="str">
        <f t="shared" si="354"/>
        <v/>
      </c>
      <c r="O3260" s="31" t="str">
        <f>IF(OR(B3260="",C3260=""),"",K3260-N3260 + IFERROR(E3260 / SUMIFS('📅 Resumen Diario'!$D$5:$D$504, '📅 Resumen Diario'!$B$5:$B$504, B3260, '📅 Resumen Diario'!$C$5:$C$504, D3260) * (SUMIFS('📋 Detalle Diario'!$E$5:$E$489, '📋 Detalle Diario'!$B$5:$B$489, B3260, '📋 Detalle Diario'!$C$5:$C$489, D3260) * 135 + SUMIFS('📋 Detalle Diario'!$I$5:$I$489, '📋 Detalle Diario'!$B$5:$B$489, B3260, '📋 Detalle Diario'!$C$5:$C$489, D3260) * 200), 0))</f>
        <v/>
      </c>
      <c r="P3260" s="32" t="str">
        <f t="shared" si="355"/>
        <v/>
      </c>
      <c r="Q3260" s="33" t="str">
        <f t="shared" si="356"/>
        <v/>
      </c>
    </row>
    <row r="3261" spans="2:17" ht="18" customHeight="1" x14ac:dyDescent="0.3">
      <c r="B3261" s="26"/>
      <c r="C3261" s="28"/>
      <c r="D3261" s="27"/>
      <c r="E3261" s="29"/>
      <c r="F3261" s="29"/>
      <c r="G3261" s="29"/>
      <c r="H3261" s="30" t="str">
        <f t="shared" si="350"/>
        <v/>
      </c>
      <c r="I3261" s="31" t="str">
        <f>IF(OR(B3261="",C3261=""),"",IFERROR(E3261*IF(E3261="",0,VLOOKUP(C3261,'📦 Precios Proforma'!$B$5:$D$104,IF(D3261="DIA",2,3),FALSE)),0))</f>
        <v/>
      </c>
      <c r="J3261" s="31" t="str">
        <f t="shared" si="351"/>
        <v/>
      </c>
      <c r="K3261" s="31" t="str">
        <f t="shared" si="352"/>
        <v/>
      </c>
      <c r="L3261" s="31" t="str">
        <f>IF(OR(B3261="",C3261=""),"",IFERROR(E3261 / SUMIFS('📅 Resumen Diario'!$D$5:$D$504, '📅 Resumen Diario'!$B$5:$B$504, B3261, '📅 Resumen Diario'!$C$5:$C$504, D3261) * SUMIFS('📅 Resumen Diario'!$K$5:$K$504, '📅 Resumen Diario'!$B$5:$B$504, B3261, '📅 Resumen Diario'!$C$5:$C$504, D3261), 0))</f>
        <v/>
      </c>
      <c r="M3261" s="31" t="str">
        <f t="shared" si="353"/>
        <v/>
      </c>
      <c r="N3261" s="31" t="str">
        <f t="shared" si="354"/>
        <v/>
      </c>
      <c r="O3261" s="31" t="str">
        <f>IF(OR(B3261="",C3261=""),"",K3261-N3261 + IFERROR(E3261 / SUMIFS('📅 Resumen Diario'!$D$5:$D$504, '📅 Resumen Diario'!$B$5:$B$504, B3261, '📅 Resumen Diario'!$C$5:$C$504, D3261) * (SUMIFS('📋 Detalle Diario'!$E$5:$E$489, '📋 Detalle Diario'!$B$5:$B$489, B3261, '📋 Detalle Diario'!$C$5:$C$489, D3261) * 135 + SUMIFS('📋 Detalle Diario'!$I$5:$I$489, '📋 Detalle Diario'!$B$5:$B$489, B3261, '📋 Detalle Diario'!$C$5:$C$489, D3261) * 200), 0))</f>
        <v/>
      </c>
      <c r="P3261" s="32" t="str">
        <f t="shared" si="355"/>
        <v/>
      </c>
      <c r="Q3261" s="33" t="str">
        <f t="shared" si="356"/>
        <v/>
      </c>
    </row>
    <row r="3262" spans="2:17" ht="18" customHeight="1" x14ac:dyDescent="0.3">
      <c r="B3262" s="26"/>
      <c r="C3262" s="17"/>
      <c r="D3262" s="27"/>
      <c r="E3262" s="18"/>
      <c r="F3262" s="18"/>
      <c r="G3262" s="18"/>
      <c r="H3262" s="30" t="str">
        <f t="shared" si="350"/>
        <v/>
      </c>
      <c r="I3262" s="31" t="str">
        <f>IF(OR(B3262="",C3262=""),"",IFERROR(E3262*IF(E3262="",0,VLOOKUP(C3262,'📦 Precios Proforma'!$B$5:$D$104,IF(D3262="DIA",2,3),FALSE)),0))</f>
        <v/>
      </c>
      <c r="J3262" s="31" t="str">
        <f t="shared" si="351"/>
        <v/>
      </c>
      <c r="K3262" s="31" t="str">
        <f t="shared" si="352"/>
        <v/>
      </c>
      <c r="L3262" s="31" t="str">
        <f>IF(OR(B3262="",C3262=""),"",IFERROR(E3262 / SUMIFS('📅 Resumen Diario'!$D$5:$D$504, '📅 Resumen Diario'!$B$5:$B$504, B3262, '📅 Resumen Diario'!$C$5:$C$504, D3262) * SUMIFS('📅 Resumen Diario'!$K$5:$K$504, '📅 Resumen Diario'!$B$5:$B$504, B3262, '📅 Resumen Diario'!$C$5:$C$504, D3262), 0))</f>
        <v/>
      </c>
      <c r="M3262" s="31" t="str">
        <f t="shared" si="353"/>
        <v/>
      </c>
      <c r="N3262" s="31" t="str">
        <f t="shared" si="354"/>
        <v/>
      </c>
      <c r="O3262" s="31" t="str">
        <f>IF(OR(B3262="",C3262=""),"",K3262-N3262 + IFERROR(E3262 / SUMIFS('📅 Resumen Diario'!$D$5:$D$504, '📅 Resumen Diario'!$B$5:$B$504, B3262, '📅 Resumen Diario'!$C$5:$C$504, D3262) * (SUMIFS('📋 Detalle Diario'!$E$5:$E$489, '📋 Detalle Diario'!$B$5:$B$489, B3262, '📋 Detalle Diario'!$C$5:$C$489, D3262) * 135 + SUMIFS('📋 Detalle Diario'!$I$5:$I$489, '📋 Detalle Diario'!$B$5:$B$489, B3262, '📋 Detalle Diario'!$C$5:$C$489, D3262) * 200), 0))</f>
        <v/>
      </c>
      <c r="P3262" s="32" t="str">
        <f t="shared" si="355"/>
        <v/>
      </c>
      <c r="Q3262" s="33" t="str">
        <f t="shared" si="356"/>
        <v/>
      </c>
    </row>
    <row r="3263" spans="2:17" ht="18" customHeight="1" x14ac:dyDescent="0.3">
      <c r="B3263" s="26"/>
      <c r="C3263" s="28"/>
      <c r="D3263" s="27"/>
      <c r="E3263" s="29"/>
      <c r="F3263" s="29"/>
      <c r="G3263" s="29"/>
      <c r="H3263" s="30" t="str">
        <f t="shared" si="350"/>
        <v/>
      </c>
      <c r="I3263" s="31" t="str">
        <f>IF(OR(B3263="",C3263=""),"",IFERROR(E3263*IF(E3263="",0,VLOOKUP(C3263,'📦 Precios Proforma'!$B$5:$D$104,IF(D3263="DIA",2,3),FALSE)),0))</f>
        <v/>
      </c>
      <c r="J3263" s="31" t="str">
        <f t="shared" si="351"/>
        <v/>
      </c>
      <c r="K3263" s="31" t="str">
        <f t="shared" si="352"/>
        <v/>
      </c>
      <c r="L3263" s="31" t="str">
        <f>IF(OR(B3263="",C3263=""),"",IFERROR(E3263 / SUMIFS('📅 Resumen Diario'!$D$5:$D$504, '📅 Resumen Diario'!$B$5:$B$504, B3263, '📅 Resumen Diario'!$C$5:$C$504, D3263) * SUMIFS('📅 Resumen Diario'!$K$5:$K$504, '📅 Resumen Diario'!$B$5:$B$504, B3263, '📅 Resumen Diario'!$C$5:$C$504, D3263), 0))</f>
        <v/>
      </c>
      <c r="M3263" s="31" t="str">
        <f t="shared" si="353"/>
        <v/>
      </c>
      <c r="N3263" s="31" t="str">
        <f t="shared" si="354"/>
        <v/>
      </c>
      <c r="O3263" s="31" t="str">
        <f>IF(OR(B3263="",C3263=""),"",K3263-N3263 + IFERROR(E3263 / SUMIFS('📅 Resumen Diario'!$D$5:$D$504, '📅 Resumen Diario'!$B$5:$B$504, B3263, '📅 Resumen Diario'!$C$5:$C$504, D3263) * (SUMIFS('📋 Detalle Diario'!$E$5:$E$489, '📋 Detalle Diario'!$B$5:$B$489, B3263, '📋 Detalle Diario'!$C$5:$C$489, D3263) * 135 + SUMIFS('📋 Detalle Diario'!$I$5:$I$489, '📋 Detalle Diario'!$B$5:$B$489, B3263, '📋 Detalle Diario'!$C$5:$C$489, D3263) * 200), 0))</f>
        <v/>
      </c>
      <c r="P3263" s="32" t="str">
        <f t="shared" si="355"/>
        <v/>
      </c>
      <c r="Q3263" s="33" t="str">
        <f t="shared" si="356"/>
        <v/>
      </c>
    </row>
    <row r="3264" spans="2:17" ht="18" customHeight="1" x14ac:dyDescent="0.3">
      <c r="B3264" s="26"/>
      <c r="C3264" s="17"/>
      <c r="D3264" s="27"/>
      <c r="E3264" s="18"/>
      <c r="F3264" s="18"/>
      <c r="G3264" s="18"/>
      <c r="H3264" s="30" t="str">
        <f t="shared" si="350"/>
        <v/>
      </c>
      <c r="I3264" s="31" t="str">
        <f>IF(OR(B3264="",C3264=""),"",IFERROR(E3264*IF(E3264="",0,VLOOKUP(C3264,'📦 Precios Proforma'!$B$5:$D$104,IF(D3264="DIA",2,3),FALSE)),0))</f>
        <v/>
      </c>
      <c r="J3264" s="31" t="str">
        <f t="shared" si="351"/>
        <v/>
      </c>
      <c r="K3264" s="31" t="str">
        <f t="shared" si="352"/>
        <v/>
      </c>
      <c r="L3264" s="31" t="str">
        <f>IF(OR(B3264="",C3264=""),"",IFERROR(E3264 / SUMIFS('📅 Resumen Diario'!$D$5:$D$504, '📅 Resumen Diario'!$B$5:$B$504, B3264, '📅 Resumen Diario'!$C$5:$C$504, D3264) * SUMIFS('📅 Resumen Diario'!$K$5:$K$504, '📅 Resumen Diario'!$B$5:$B$504, B3264, '📅 Resumen Diario'!$C$5:$C$504, D3264), 0))</f>
        <v/>
      </c>
      <c r="M3264" s="31" t="str">
        <f t="shared" si="353"/>
        <v/>
      </c>
      <c r="N3264" s="31" t="str">
        <f t="shared" si="354"/>
        <v/>
      </c>
      <c r="O3264" s="31" t="str">
        <f>IF(OR(B3264="",C3264=""),"",K3264-N3264 + IFERROR(E3264 / SUMIFS('📅 Resumen Diario'!$D$5:$D$504, '📅 Resumen Diario'!$B$5:$B$504, B3264, '📅 Resumen Diario'!$C$5:$C$504, D3264) * (SUMIFS('📋 Detalle Diario'!$E$5:$E$489, '📋 Detalle Diario'!$B$5:$B$489, B3264, '📋 Detalle Diario'!$C$5:$C$489, D3264) * 135 + SUMIFS('📋 Detalle Diario'!$I$5:$I$489, '📋 Detalle Diario'!$B$5:$B$489, B3264, '📋 Detalle Diario'!$C$5:$C$489, D3264) * 200), 0))</f>
        <v/>
      </c>
      <c r="P3264" s="32" t="str">
        <f t="shared" si="355"/>
        <v/>
      </c>
      <c r="Q3264" s="33" t="str">
        <f t="shared" si="356"/>
        <v/>
      </c>
    </row>
    <row r="3265" spans="2:17" ht="18" customHeight="1" x14ac:dyDescent="0.3">
      <c r="B3265" s="26"/>
      <c r="C3265" s="28"/>
      <c r="D3265" s="27"/>
      <c r="E3265" s="29"/>
      <c r="F3265" s="29"/>
      <c r="G3265" s="29"/>
      <c r="H3265" s="30" t="str">
        <f t="shared" si="350"/>
        <v/>
      </c>
      <c r="I3265" s="31" t="str">
        <f>IF(OR(B3265="",C3265=""),"",IFERROR(E3265*IF(E3265="",0,VLOOKUP(C3265,'📦 Precios Proforma'!$B$5:$D$104,IF(D3265="DIA",2,3),FALSE)),0))</f>
        <v/>
      </c>
      <c r="J3265" s="31" t="str">
        <f t="shared" si="351"/>
        <v/>
      </c>
      <c r="K3265" s="31" t="str">
        <f t="shared" si="352"/>
        <v/>
      </c>
      <c r="L3265" s="31" t="str">
        <f>IF(OR(B3265="",C3265=""),"",IFERROR(E3265 / SUMIFS('📅 Resumen Diario'!$D$5:$D$504, '📅 Resumen Diario'!$B$5:$B$504, B3265, '📅 Resumen Diario'!$C$5:$C$504, D3265) * SUMIFS('📅 Resumen Diario'!$K$5:$K$504, '📅 Resumen Diario'!$B$5:$B$504, B3265, '📅 Resumen Diario'!$C$5:$C$504, D3265), 0))</f>
        <v/>
      </c>
      <c r="M3265" s="31" t="str">
        <f t="shared" si="353"/>
        <v/>
      </c>
      <c r="N3265" s="31" t="str">
        <f t="shared" si="354"/>
        <v/>
      </c>
      <c r="O3265" s="31" t="str">
        <f>IF(OR(B3265="",C3265=""),"",K3265-N3265 + IFERROR(E3265 / SUMIFS('📅 Resumen Diario'!$D$5:$D$504, '📅 Resumen Diario'!$B$5:$B$504, B3265, '📅 Resumen Diario'!$C$5:$C$504, D3265) * (SUMIFS('📋 Detalle Diario'!$E$5:$E$489, '📋 Detalle Diario'!$B$5:$B$489, B3265, '📋 Detalle Diario'!$C$5:$C$489, D3265) * 135 + SUMIFS('📋 Detalle Diario'!$I$5:$I$489, '📋 Detalle Diario'!$B$5:$B$489, B3265, '📋 Detalle Diario'!$C$5:$C$489, D3265) * 200), 0))</f>
        <v/>
      </c>
      <c r="P3265" s="32" t="str">
        <f t="shared" si="355"/>
        <v/>
      </c>
      <c r="Q3265" s="33" t="str">
        <f t="shared" si="356"/>
        <v/>
      </c>
    </row>
    <row r="3266" spans="2:17" ht="18" customHeight="1" x14ac:dyDescent="0.3">
      <c r="B3266" s="26"/>
      <c r="C3266" s="17"/>
      <c r="D3266" s="27"/>
      <c r="E3266" s="18"/>
      <c r="F3266" s="18"/>
      <c r="G3266" s="18"/>
      <c r="H3266" s="30" t="str">
        <f t="shared" si="350"/>
        <v/>
      </c>
      <c r="I3266" s="31" t="str">
        <f>IF(OR(B3266="",C3266=""),"",IFERROR(E3266*IF(E3266="",0,VLOOKUP(C3266,'📦 Precios Proforma'!$B$5:$D$104,IF(D3266="DIA",2,3),FALSE)),0))</f>
        <v/>
      </c>
      <c r="J3266" s="31" t="str">
        <f t="shared" si="351"/>
        <v/>
      </c>
      <c r="K3266" s="31" t="str">
        <f t="shared" si="352"/>
        <v/>
      </c>
      <c r="L3266" s="31" t="str">
        <f>IF(OR(B3266="",C3266=""),"",IFERROR(E3266 / SUMIFS('📅 Resumen Diario'!$D$5:$D$504, '📅 Resumen Diario'!$B$5:$B$504, B3266, '📅 Resumen Diario'!$C$5:$C$504, D3266) * SUMIFS('📅 Resumen Diario'!$K$5:$K$504, '📅 Resumen Diario'!$B$5:$B$504, B3266, '📅 Resumen Diario'!$C$5:$C$504, D3266), 0))</f>
        <v/>
      </c>
      <c r="M3266" s="31" t="str">
        <f t="shared" si="353"/>
        <v/>
      </c>
      <c r="N3266" s="31" t="str">
        <f t="shared" si="354"/>
        <v/>
      </c>
      <c r="O3266" s="31" t="str">
        <f>IF(OR(B3266="",C3266=""),"",K3266-N3266 + IFERROR(E3266 / SUMIFS('📅 Resumen Diario'!$D$5:$D$504, '📅 Resumen Diario'!$B$5:$B$504, B3266, '📅 Resumen Diario'!$C$5:$C$504, D3266) * (SUMIFS('📋 Detalle Diario'!$E$5:$E$489, '📋 Detalle Diario'!$B$5:$B$489, B3266, '📋 Detalle Diario'!$C$5:$C$489, D3266) * 135 + SUMIFS('📋 Detalle Diario'!$I$5:$I$489, '📋 Detalle Diario'!$B$5:$B$489, B3266, '📋 Detalle Diario'!$C$5:$C$489, D3266) * 200), 0))</f>
        <v/>
      </c>
      <c r="P3266" s="32" t="str">
        <f t="shared" si="355"/>
        <v/>
      </c>
      <c r="Q3266" s="33" t="str">
        <f t="shared" si="356"/>
        <v/>
      </c>
    </row>
    <row r="3267" spans="2:17" ht="18" customHeight="1" x14ac:dyDescent="0.3">
      <c r="B3267" s="26"/>
      <c r="C3267" s="28"/>
      <c r="D3267" s="27"/>
      <c r="E3267" s="29"/>
      <c r="F3267" s="29"/>
      <c r="G3267" s="29"/>
      <c r="H3267" s="30" t="str">
        <f t="shared" si="350"/>
        <v/>
      </c>
      <c r="I3267" s="31" t="str">
        <f>IF(OR(B3267="",C3267=""),"",IFERROR(E3267*IF(E3267="",0,VLOOKUP(C3267,'📦 Precios Proforma'!$B$5:$D$104,IF(D3267="DIA",2,3),FALSE)),0))</f>
        <v/>
      </c>
      <c r="J3267" s="31" t="str">
        <f t="shared" si="351"/>
        <v/>
      </c>
      <c r="K3267" s="31" t="str">
        <f t="shared" si="352"/>
        <v/>
      </c>
      <c r="L3267" s="31" t="str">
        <f>IF(OR(B3267="",C3267=""),"",IFERROR(E3267 / SUMIFS('📅 Resumen Diario'!$D$5:$D$504, '📅 Resumen Diario'!$B$5:$B$504, B3267, '📅 Resumen Diario'!$C$5:$C$504, D3267) * SUMIFS('📅 Resumen Diario'!$K$5:$K$504, '📅 Resumen Diario'!$B$5:$B$504, B3267, '📅 Resumen Diario'!$C$5:$C$504, D3267), 0))</f>
        <v/>
      </c>
      <c r="M3267" s="31" t="str">
        <f t="shared" si="353"/>
        <v/>
      </c>
      <c r="N3267" s="31" t="str">
        <f t="shared" si="354"/>
        <v/>
      </c>
      <c r="O3267" s="31" t="str">
        <f>IF(OR(B3267="",C3267=""),"",K3267-N3267 + IFERROR(E3267 / SUMIFS('📅 Resumen Diario'!$D$5:$D$504, '📅 Resumen Diario'!$B$5:$B$504, B3267, '📅 Resumen Diario'!$C$5:$C$504, D3267) * (SUMIFS('📋 Detalle Diario'!$E$5:$E$489, '📋 Detalle Diario'!$B$5:$B$489, B3267, '📋 Detalle Diario'!$C$5:$C$489, D3267) * 135 + SUMIFS('📋 Detalle Diario'!$I$5:$I$489, '📋 Detalle Diario'!$B$5:$B$489, B3267, '📋 Detalle Diario'!$C$5:$C$489, D3267) * 200), 0))</f>
        <v/>
      </c>
      <c r="P3267" s="32" t="str">
        <f t="shared" si="355"/>
        <v/>
      </c>
      <c r="Q3267" s="33" t="str">
        <f t="shared" si="356"/>
        <v/>
      </c>
    </row>
    <row r="3268" spans="2:17" ht="18" customHeight="1" x14ac:dyDescent="0.3">
      <c r="B3268" s="26"/>
      <c r="C3268" s="17"/>
      <c r="D3268" s="27"/>
      <c r="E3268" s="18"/>
      <c r="F3268" s="18"/>
      <c r="G3268" s="18"/>
      <c r="H3268" s="30" t="str">
        <f t="shared" si="350"/>
        <v/>
      </c>
      <c r="I3268" s="31" t="str">
        <f>IF(OR(B3268="",C3268=""),"",IFERROR(E3268*IF(E3268="",0,VLOOKUP(C3268,'📦 Precios Proforma'!$B$5:$D$104,IF(D3268="DIA",2,3),FALSE)),0))</f>
        <v/>
      </c>
      <c r="J3268" s="31" t="str">
        <f t="shared" si="351"/>
        <v/>
      </c>
      <c r="K3268" s="31" t="str">
        <f t="shared" si="352"/>
        <v/>
      </c>
      <c r="L3268" s="31" t="str">
        <f>IF(OR(B3268="",C3268=""),"",IFERROR(E3268 / SUMIFS('📅 Resumen Diario'!$D$5:$D$504, '📅 Resumen Diario'!$B$5:$B$504, B3268, '📅 Resumen Diario'!$C$5:$C$504, D3268) * SUMIFS('📅 Resumen Diario'!$K$5:$K$504, '📅 Resumen Diario'!$B$5:$B$504, B3268, '📅 Resumen Diario'!$C$5:$C$504, D3268), 0))</f>
        <v/>
      </c>
      <c r="M3268" s="31" t="str">
        <f t="shared" si="353"/>
        <v/>
      </c>
      <c r="N3268" s="31" t="str">
        <f t="shared" si="354"/>
        <v/>
      </c>
      <c r="O3268" s="31" t="str">
        <f>IF(OR(B3268="",C3268=""),"",K3268-N3268 + IFERROR(E3268 / SUMIFS('📅 Resumen Diario'!$D$5:$D$504, '📅 Resumen Diario'!$B$5:$B$504, B3268, '📅 Resumen Diario'!$C$5:$C$504, D3268) * (SUMIFS('📋 Detalle Diario'!$E$5:$E$489, '📋 Detalle Diario'!$B$5:$B$489, B3268, '📋 Detalle Diario'!$C$5:$C$489, D3268) * 135 + SUMIFS('📋 Detalle Diario'!$I$5:$I$489, '📋 Detalle Diario'!$B$5:$B$489, B3268, '📋 Detalle Diario'!$C$5:$C$489, D3268) * 200), 0))</f>
        <v/>
      </c>
      <c r="P3268" s="32" t="str">
        <f t="shared" si="355"/>
        <v/>
      </c>
      <c r="Q3268" s="33" t="str">
        <f t="shared" si="356"/>
        <v/>
      </c>
    </row>
    <row r="3269" spans="2:17" ht="18" customHeight="1" x14ac:dyDescent="0.3">
      <c r="B3269" s="26"/>
      <c r="C3269" s="28"/>
      <c r="D3269" s="27"/>
      <c r="E3269" s="29"/>
      <c r="F3269" s="29"/>
      <c r="G3269" s="29"/>
      <c r="H3269" s="30" t="str">
        <f t="shared" si="350"/>
        <v/>
      </c>
      <c r="I3269" s="31" t="str">
        <f>IF(OR(B3269="",C3269=""),"",IFERROR(E3269*IF(E3269="",0,VLOOKUP(C3269,'📦 Precios Proforma'!$B$5:$D$104,IF(D3269="DIA",2,3),FALSE)),0))</f>
        <v/>
      </c>
      <c r="J3269" s="31" t="str">
        <f t="shared" si="351"/>
        <v/>
      </c>
      <c r="K3269" s="31" t="str">
        <f t="shared" si="352"/>
        <v/>
      </c>
      <c r="L3269" s="31" t="str">
        <f>IF(OR(B3269="",C3269=""),"",IFERROR(E3269 / SUMIFS('📅 Resumen Diario'!$D$5:$D$504, '📅 Resumen Diario'!$B$5:$B$504, B3269, '📅 Resumen Diario'!$C$5:$C$504, D3269) * SUMIFS('📅 Resumen Diario'!$K$5:$K$504, '📅 Resumen Diario'!$B$5:$B$504, B3269, '📅 Resumen Diario'!$C$5:$C$504, D3269), 0))</f>
        <v/>
      </c>
      <c r="M3269" s="31" t="str">
        <f t="shared" si="353"/>
        <v/>
      </c>
      <c r="N3269" s="31" t="str">
        <f t="shared" si="354"/>
        <v/>
      </c>
      <c r="O3269" s="31" t="str">
        <f>IF(OR(B3269="",C3269=""),"",K3269-N3269 + IFERROR(E3269 / SUMIFS('📅 Resumen Diario'!$D$5:$D$504, '📅 Resumen Diario'!$B$5:$B$504, B3269, '📅 Resumen Diario'!$C$5:$C$504, D3269) * (SUMIFS('📋 Detalle Diario'!$E$5:$E$489, '📋 Detalle Diario'!$B$5:$B$489, B3269, '📋 Detalle Diario'!$C$5:$C$489, D3269) * 135 + SUMIFS('📋 Detalle Diario'!$I$5:$I$489, '📋 Detalle Diario'!$B$5:$B$489, B3269, '📋 Detalle Diario'!$C$5:$C$489, D3269) * 200), 0))</f>
        <v/>
      </c>
      <c r="P3269" s="32" t="str">
        <f t="shared" si="355"/>
        <v/>
      </c>
      <c r="Q3269" s="33" t="str">
        <f t="shared" si="356"/>
        <v/>
      </c>
    </row>
    <row r="3270" spans="2:17" ht="18" customHeight="1" x14ac:dyDescent="0.3">
      <c r="B3270" s="26"/>
      <c r="C3270" s="17"/>
      <c r="D3270" s="27"/>
      <c r="E3270" s="18"/>
      <c r="F3270" s="18"/>
      <c r="G3270" s="18"/>
      <c r="H3270" s="30" t="str">
        <f t="shared" si="350"/>
        <v/>
      </c>
      <c r="I3270" s="31" t="str">
        <f>IF(OR(B3270="",C3270=""),"",IFERROR(E3270*IF(E3270="",0,VLOOKUP(C3270,'📦 Precios Proforma'!$B$5:$D$104,IF(D3270="DIA",2,3),FALSE)),0))</f>
        <v/>
      </c>
      <c r="J3270" s="31" t="str">
        <f t="shared" si="351"/>
        <v/>
      </c>
      <c r="K3270" s="31" t="str">
        <f t="shared" si="352"/>
        <v/>
      </c>
      <c r="L3270" s="31" t="str">
        <f>IF(OR(B3270="",C3270=""),"",IFERROR(E3270 / SUMIFS('📅 Resumen Diario'!$D$5:$D$504, '📅 Resumen Diario'!$B$5:$B$504, B3270, '📅 Resumen Diario'!$C$5:$C$504, D3270) * SUMIFS('📅 Resumen Diario'!$K$5:$K$504, '📅 Resumen Diario'!$B$5:$B$504, B3270, '📅 Resumen Diario'!$C$5:$C$504, D3270), 0))</f>
        <v/>
      </c>
      <c r="M3270" s="31" t="str">
        <f t="shared" si="353"/>
        <v/>
      </c>
      <c r="N3270" s="31" t="str">
        <f t="shared" si="354"/>
        <v/>
      </c>
      <c r="O3270" s="31" t="str">
        <f>IF(OR(B3270="",C3270=""),"",K3270-N3270 + IFERROR(E3270 / SUMIFS('📅 Resumen Diario'!$D$5:$D$504, '📅 Resumen Diario'!$B$5:$B$504, B3270, '📅 Resumen Diario'!$C$5:$C$504, D3270) * (SUMIFS('📋 Detalle Diario'!$E$5:$E$489, '📋 Detalle Diario'!$B$5:$B$489, B3270, '📋 Detalle Diario'!$C$5:$C$489, D3270) * 135 + SUMIFS('📋 Detalle Diario'!$I$5:$I$489, '📋 Detalle Diario'!$B$5:$B$489, B3270, '📋 Detalle Diario'!$C$5:$C$489, D3270) * 200), 0))</f>
        <v/>
      </c>
      <c r="P3270" s="32" t="str">
        <f t="shared" si="355"/>
        <v/>
      </c>
      <c r="Q3270" s="33" t="str">
        <f t="shared" si="356"/>
        <v/>
      </c>
    </row>
    <row r="3271" spans="2:17" ht="18" customHeight="1" x14ac:dyDescent="0.3">
      <c r="B3271" s="26"/>
      <c r="C3271" s="28"/>
      <c r="D3271" s="27"/>
      <c r="E3271" s="29"/>
      <c r="F3271" s="29"/>
      <c r="G3271" s="29"/>
      <c r="H3271" s="30" t="str">
        <f t="shared" ref="H3271:H3334" si="357">IF(OR(B3271="",C3271=""),"",F3271+G3271)</f>
        <v/>
      </c>
      <c r="I3271" s="31" t="str">
        <f>IF(OR(B3271="",C3271=""),"",IFERROR(E3271*IF(E3271="",0,VLOOKUP(C3271,'📦 Precios Proforma'!$B$5:$D$104,IF(D3271="DIA",2,3),FALSE)),0))</f>
        <v/>
      </c>
      <c r="J3271" s="31" t="str">
        <f t="shared" ref="J3271:J3334" si="358">IF(OR(B3271="",C3271=""),"",IF(D3271="DIA",H3271*1.01,H3271*1.35))</f>
        <v/>
      </c>
      <c r="K3271" s="31" t="str">
        <f t="shared" ref="K3271:K3334" si="359">IF(OR(B3271="",C3271=""),"",I3271+J3271)</f>
        <v/>
      </c>
      <c r="L3271" s="31" t="str">
        <f>IF(OR(B3271="",C3271=""),"",IFERROR(E3271 / SUMIFS('📅 Resumen Diario'!$D$5:$D$504, '📅 Resumen Diario'!$B$5:$B$504, B3271, '📅 Resumen Diario'!$C$5:$C$504, D3271) * SUMIFS('📅 Resumen Diario'!$K$5:$K$504, '📅 Resumen Diario'!$B$5:$B$504, B3271, '📅 Resumen Diario'!$C$5:$C$504, D3271), 0))</f>
        <v/>
      </c>
      <c r="M3271" s="31" t="str">
        <f t="shared" ref="M3271:M3334" si="360">IF(OR(B3271="",C3271=""),"",H3271*0.09)</f>
        <v/>
      </c>
      <c r="N3271" s="31" t="str">
        <f t="shared" ref="N3271:N3334" si="361">IF(OR(B3271="",C3271=""),"",L3271+M3271)</f>
        <v/>
      </c>
      <c r="O3271" s="31" t="str">
        <f>IF(OR(B3271="",C3271=""),"",K3271-N3271 + IFERROR(E3271 / SUMIFS('📅 Resumen Diario'!$D$5:$D$504, '📅 Resumen Diario'!$B$5:$B$504, B3271, '📅 Resumen Diario'!$C$5:$C$504, D3271) * (SUMIFS('📋 Detalle Diario'!$E$5:$E$489, '📋 Detalle Diario'!$B$5:$B$489, B3271, '📋 Detalle Diario'!$C$5:$C$489, D3271) * 135 + SUMIFS('📋 Detalle Diario'!$I$5:$I$489, '📋 Detalle Diario'!$B$5:$B$489, B3271, '📋 Detalle Diario'!$C$5:$C$489, D3271) * 200), 0))</f>
        <v/>
      </c>
      <c r="P3271" s="32" t="str">
        <f t="shared" ref="P3271:P3334" si="362">IF(OR(B3271="",C3271=""),"",IF(K3271=0, 0, O3271/K3271))</f>
        <v/>
      </c>
      <c r="Q3271" s="33" t="str">
        <f t="shared" ref="Q3271:Q3334" si="363">IF(B3271="","",IF(ISNUMBER(B3271),YEAR(B3271)&amp;"-"&amp;IF(MONTH(B3271)&lt;10,"0","")&amp;MONTH(B3271),LEFT(B3271,7)))</f>
        <v/>
      </c>
    </row>
    <row r="3272" spans="2:17" ht="18" customHeight="1" x14ac:dyDescent="0.3">
      <c r="B3272" s="26"/>
      <c r="C3272" s="17"/>
      <c r="D3272" s="27"/>
      <c r="E3272" s="18"/>
      <c r="F3272" s="18"/>
      <c r="G3272" s="18"/>
      <c r="H3272" s="30" t="str">
        <f t="shared" si="357"/>
        <v/>
      </c>
      <c r="I3272" s="31" t="str">
        <f>IF(OR(B3272="",C3272=""),"",IFERROR(E3272*IF(E3272="",0,VLOOKUP(C3272,'📦 Precios Proforma'!$B$5:$D$104,IF(D3272="DIA",2,3),FALSE)),0))</f>
        <v/>
      </c>
      <c r="J3272" s="31" t="str">
        <f t="shared" si="358"/>
        <v/>
      </c>
      <c r="K3272" s="31" t="str">
        <f t="shared" si="359"/>
        <v/>
      </c>
      <c r="L3272" s="31" t="str">
        <f>IF(OR(B3272="",C3272=""),"",IFERROR(E3272 / SUMIFS('📅 Resumen Diario'!$D$5:$D$504, '📅 Resumen Diario'!$B$5:$B$504, B3272, '📅 Resumen Diario'!$C$5:$C$504, D3272) * SUMIFS('📅 Resumen Diario'!$K$5:$K$504, '📅 Resumen Diario'!$B$5:$B$504, B3272, '📅 Resumen Diario'!$C$5:$C$504, D3272), 0))</f>
        <v/>
      </c>
      <c r="M3272" s="31" t="str">
        <f t="shared" si="360"/>
        <v/>
      </c>
      <c r="N3272" s="31" t="str">
        <f t="shared" si="361"/>
        <v/>
      </c>
      <c r="O3272" s="31" t="str">
        <f>IF(OR(B3272="",C3272=""),"",K3272-N3272 + IFERROR(E3272 / SUMIFS('📅 Resumen Diario'!$D$5:$D$504, '📅 Resumen Diario'!$B$5:$B$504, B3272, '📅 Resumen Diario'!$C$5:$C$504, D3272) * (SUMIFS('📋 Detalle Diario'!$E$5:$E$489, '📋 Detalle Diario'!$B$5:$B$489, B3272, '📋 Detalle Diario'!$C$5:$C$489, D3272) * 135 + SUMIFS('📋 Detalle Diario'!$I$5:$I$489, '📋 Detalle Diario'!$B$5:$B$489, B3272, '📋 Detalle Diario'!$C$5:$C$489, D3272) * 200), 0))</f>
        <v/>
      </c>
      <c r="P3272" s="32" t="str">
        <f t="shared" si="362"/>
        <v/>
      </c>
      <c r="Q3272" s="33" t="str">
        <f t="shared" si="363"/>
        <v/>
      </c>
    </row>
    <row r="3273" spans="2:17" ht="18" customHeight="1" x14ac:dyDescent="0.3">
      <c r="B3273" s="26"/>
      <c r="C3273" s="28"/>
      <c r="D3273" s="27"/>
      <c r="E3273" s="29"/>
      <c r="F3273" s="29"/>
      <c r="G3273" s="29"/>
      <c r="H3273" s="30" t="str">
        <f t="shared" si="357"/>
        <v/>
      </c>
      <c r="I3273" s="31" t="str">
        <f>IF(OR(B3273="",C3273=""),"",IFERROR(E3273*IF(E3273="",0,VLOOKUP(C3273,'📦 Precios Proforma'!$B$5:$D$104,IF(D3273="DIA",2,3),FALSE)),0))</f>
        <v/>
      </c>
      <c r="J3273" s="31" t="str">
        <f t="shared" si="358"/>
        <v/>
      </c>
      <c r="K3273" s="31" t="str">
        <f t="shared" si="359"/>
        <v/>
      </c>
      <c r="L3273" s="31" t="str">
        <f>IF(OR(B3273="",C3273=""),"",IFERROR(E3273 / SUMIFS('📅 Resumen Diario'!$D$5:$D$504, '📅 Resumen Diario'!$B$5:$B$504, B3273, '📅 Resumen Diario'!$C$5:$C$504, D3273) * SUMIFS('📅 Resumen Diario'!$K$5:$K$504, '📅 Resumen Diario'!$B$5:$B$504, B3273, '📅 Resumen Diario'!$C$5:$C$504, D3273), 0))</f>
        <v/>
      </c>
      <c r="M3273" s="31" t="str">
        <f t="shared" si="360"/>
        <v/>
      </c>
      <c r="N3273" s="31" t="str">
        <f t="shared" si="361"/>
        <v/>
      </c>
      <c r="O3273" s="31" t="str">
        <f>IF(OR(B3273="",C3273=""),"",K3273-N3273 + IFERROR(E3273 / SUMIFS('📅 Resumen Diario'!$D$5:$D$504, '📅 Resumen Diario'!$B$5:$B$504, B3273, '📅 Resumen Diario'!$C$5:$C$504, D3273) * (SUMIFS('📋 Detalle Diario'!$E$5:$E$489, '📋 Detalle Diario'!$B$5:$B$489, B3273, '📋 Detalle Diario'!$C$5:$C$489, D3273) * 135 + SUMIFS('📋 Detalle Diario'!$I$5:$I$489, '📋 Detalle Diario'!$B$5:$B$489, B3273, '📋 Detalle Diario'!$C$5:$C$489, D3273) * 200), 0))</f>
        <v/>
      </c>
      <c r="P3273" s="32" t="str">
        <f t="shared" si="362"/>
        <v/>
      </c>
      <c r="Q3273" s="33" t="str">
        <f t="shared" si="363"/>
        <v/>
      </c>
    </row>
    <row r="3274" spans="2:17" ht="18" customHeight="1" x14ac:dyDescent="0.3">
      <c r="B3274" s="26"/>
      <c r="C3274" s="17"/>
      <c r="D3274" s="27"/>
      <c r="E3274" s="18"/>
      <c r="F3274" s="18"/>
      <c r="G3274" s="18"/>
      <c r="H3274" s="30" t="str">
        <f t="shared" si="357"/>
        <v/>
      </c>
      <c r="I3274" s="31" t="str">
        <f>IF(OR(B3274="",C3274=""),"",IFERROR(E3274*IF(E3274="",0,VLOOKUP(C3274,'📦 Precios Proforma'!$B$5:$D$104,IF(D3274="DIA",2,3),FALSE)),0))</f>
        <v/>
      </c>
      <c r="J3274" s="31" t="str">
        <f t="shared" si="358"/>
        <v/>
      </c>
      <c r="K3274" s="31" t="str">
        <f t="shared" si="359"/>
        <v/>
      </c>
      <c r="L3274" s="31" t="str">
        <f>IF(OR(B3274="",C3274=""),"",IFERROR(E3274 / SUMIFS('📅 Resumen Diario'!$D$5:$D$504, '📅 Resumen Diario'!$B$5:$B$504, B3274, '📅 Resumen Diario'!$C$5:$C$504, D3274) * SUMIFS('📅 Resumen Diario'!$K$5:$K$504, '📅 Resumen Diario'!$B$5:$B$504, B3274, '📅 Resumen Diario'!$C$5:$C$504, D3274), 0))</f>
        <v/>
      </c>
      <c r="M3274" s="31" t="str">
        <f t="shared" si="360"/>
        <v/>
      </c>
      <c r="N3274" s="31" t="str">
        <f t="shared" si="361"/>
        <v/>
      </c>
      <c r="O3274" s="31" t="str">
        <f>IF(OR(B3274="",C3274=""),"",K3274-N3274 + IFERROR(E3274 / SUMIFS('📅 Resumen Diario'!$D$5:$D$504, '📅 Resumen Diario'!$B$5:$B$504, B3274, '📅 Resumen Diario'!$C$5:$C$504, D3274) * (SUMIFS('📋 Detalle Diario'!$E$5:$E$489, '📋 Detalle Diario'!$B$5:$B$489, B3274, '📋 Detalle Diario'!$C$5:$C$489, D3274) * 135 + SUMIFS('📋 Detalle Diario'!$I$5:$I$489, '📋 Detalle Diario'!$B$5:$B$489, B3274, '📋 Detalle Diario'!$C$5:$C$489, D3274) * 200), 0))</f>
        <v/>
      </c>
      <c r="P3274" s="32" t="str">
        <f t="shared" si="362"/>
        <v/>
      </c>
      <c r="Q3274" s="33" t="str">
        <f t="shared" si="363"/>
        <v/>
      </c>
    </row>
    <row r="3275" spans="2:17" ht="18" customHeight="1" x14ac:dyDescent="0.3">
      <c r="B3275" s="26"/>
      <c r="C3275" s="28"/>
      <c r="D3275" s="27"/>
      <c r="E3275" s="29"/>
      <c r="F3275" s="29"/>
      <c r="G3275" s="29"/>
      <c r="H3275" s="30" t="str">
        <f t="shared" si="357"/>
        <v/>
      </c>
      <c r="I3275" s="31" t="str">
        <f>IF(OR(B3275="",C3275=""),"",IFERROR(E3275*IF(E3275="",0,VLOOKUP(C3275,'📦 Precios Proforma'!$B$5:$D$104,IF(D3275="DIA",2,3),FALSE)),0))</f>
        <v/>
      </c>
      <c r="J3275" s="31" t="str">
        <f t="shared" si="358"/>
        <v/>
      </c>
      <c r="K3275" s="31" t="str">
        <f t="shared" si="359"/>
        <v/>
      </c>
      <c r="L3275" s="31" t="str">
        <f>IF(OR(B3275="",C3275=""),"",IFERROR(E3275 / SUMIFS('📅 Resumen Diario'!$D$5:$D$504, '📅 Resumen Diario'!$B$5:$B$504, B3275, '📅 Resumen Diario'!$C$5:$C$504, D3275) * SUMIFS('📅 Resumen Diario'!$K$5:$K$504, '📅 Resumen Diario'!$B$5:$B$504, B3275, '📅 Resumen Diario'!$C$5:$C$504, D3275), 0))</f>
        <v/>
      </c>
      <c r="M3275" s="31" t="str">
        <f t="shared" si="360"/>
        <v/>
      </c>
      <c r="N3275" s="31" t="str">
        <f t="shared" si="361"/>
        <v/>
      </c>
      <c r="O3275" s="31" t="str">
        <f>IF(OR(B3275="",C3275=""),"",K3275-N3275 + IFERROR(E3275 / SUMIFS('📅 Resumen Diario'!$D$5:$D$504, '📅 Resumen Diario'!$B$5:$B$504, B3275, '📅 Resumen Diario'!$C$5:$C$504, D3275) * (SUMIFS('📋 Detalle Diario'!$E$5:$E$489, '📋 Detalle Diario'!$B$5:$B$489, B3275, '📋 Detalle Diario'!$C$5:$C$489, D3275) * 135 + SUMIFS('📋 Detalle Diario'!$I$5:$I$489, '📋 Detalle Diario'!$B$5:$B$489, B3275, '📋 Detalle Diario'!$C$5:$C$489, D3275) * 200), 0))</f>
        <v/>
      </c>
      <c r="P3275" s="32" t="str">
        <f t="shared" si="362"/>
        <v/>
      </c>
      <c r="Q3275" s="33" t="str">
        <f t="shared" si="363"/>
        <v/>
      </c>
    </row>
    <row r="3276" spans="2:17" ht="18" customHeight="1" x14ac:dyDescent="0.3">
      <c r="B3276" s="26"/>
      <c r="C3276" s="17"/>
      <c r="D3276" s="27"/>
      <c r="E3276" s="18"/>
      <c r="F3276" s="18"/>
      <c r="G3276" s="18"/>
      <c r="H3276" s="30" t="str">
        <f t="shared" si="357"/>
        <v/>
      </c>
      <c r="I3276" s="31" t="str">
        <f>IF(OR(B3276="",C3276=""),"",IFERROR(E3276*IF(E3276="",0,VLOOKUP(C3276,'📦 Precios Proforma'!$B$5:$D$104,IF(D3276="DIA",2,3),FALSE)),0))</f>
        <v/>
      </c>
      <c r="J3276" s="31" t="str">
        <f t="shared" si="358"/>
        <v/>
      </c>
      <c r="K3276" s="31" t="str">
        <f t="shared" si="359"/>
        <v/>
      </c>
      <c r="L3276" s="31" t="str">
        <f>IF(OR(B3276="",C3276=""),"",IFERROR(E3276 / SUMIFS('📅 Resumen Diario'!$D$5:$D$504, '📅 Resumen Diario'!$B$5:$B$504, B3276, '📅 Resumen Diario'!$C$5:$C$504, D3276) * SUMIFS('📅 Resumen Diario'!$K$5:$K$504, '📅 Resumen Diario'!$B$5:$B$504, B3276, '📅 Resumen Diario'!$C$5:$C$504, D3276), 0))</f>
        <v/>
      </c>
      <c r="M3276" s="31" t="str">
        <f t="shared" si="360"/>
        <v/>
      </c>
      <c r="N3276" s="31" t="str">
        <f t="shared" si="361"/>
        <v/>
      </c>
      <c r="O3276" s="31" t="str">
        <f>IF(OR(B3276="",C3276=""),"",K3276-N3276 + IFERROR(E3276 / SUMIFS('📅 Resumen Diario'!$D$5:$D$504, '📅 Resumen Diario'!$B$5:$B$504, B3276, '📅 Resumen Diario'!$C$5:$C$504, D3276) * (SUMIFS('📋 Detalle Diario'!$E$5:$E$489, '📋 Detalle Diario'!$B$5:$B$489, B3276, '📋 Detalle Diario'!$C$5:$C$489, D3276) * 135 + SUMIFS('📋 Detalle Diario'!$I$5:$I$489, '📋 Detalle Diario'!$B$5:$B$489, B3276, '📋 Detalle Diario'!$C$5:$C$489, D3276) * 200), 0))</f>
        <v/>
      </c>
      <c r="P3276" s="32" t="str">
        <f t="shared" si="362"/>
        <v/>
      </c>
      <c r="Q3276" s="33" t="str">
        <f t="shared" si="363"/>
        <v/>
      </c>
    </row>
    <row r="3277" spans="2:17" ht="18" customHeight="1" x14ac:dyDescent="0.3">
      <c r="B3277" s="26"/>
      <c r="C3277" s="28"/>
      <c r="D3277" s="27"/>
      <c r="E3277" s="29"/>
      <c r="F3277" s="29"/>
      <c r="G3277" s="29"/>
      <c r="H3277" s="30" t="str">
        <f t="shared" si="357"/>
        <v/>
      </c>
      <c r="I3277" s="31" t="str">
        <f>IF(OR(B3277="",C3277=""),"",IFERROR(E3277*IF(E3277="",0,VLOOKUP(C3277,'📦 Precios Proforma'!$B$5:$D$104,IF(D3277="DIA",2,3),FALSE)),0))</f>
        <v/>
      </c>
      <c r="J3277" s="31" t="str">
        <f t="shared" si="358"/>
        <v/>
      </c>
      <c r="K3277" s="31" t="str">
        <f t="shared" si="359"/>
        <v/>
      </c>
      <c r="L3277" s="31" t="str">
        <f>IF(OR(B3277="",C3277=""),"",IFERROR(E3277 / SUMIFS('📅 Resumen Diario'!$D$5:$D$504, '📅 Resumen Diario'!$B$5:$B$504, B3277, '📅 Resumen Diario'!$C$5:$C$504, D3277) * SUMIFS('📅 Resumen Diario'!$K$5:$K$504, '📅 Resumen Diario'!$B$5:$B$504, B3277, '📅 Resumen Diario'!$C$5:$C$504, D3277), 0))</f>
        <v/>
      </c>
      <c r="M3277" s="31" t="str">
        <f t="shared" si="360"/>
        <v/>
      </c>
      <c r="N3277" s="31" t="str">
        <f t="shared" si="361"/>
        <v/>
      </c>
      <c r="O3277" s="31" t="str">
        <f>IF(OR(B3277="",C3277=""),"",K3277-N3277 + IFERROR(E3277 / SUMIFS('📅 Resumen Diario'!$D$5:$D$504, '📅 Resumen Diario'!$B$5:$B$504, B3277, '📅 Resumen Diario'!$C$5:$C$504, D3277) * (SUMIFS('📋 Detalle Diario'!$E$5:$E$489, '📋 Detalle Diario'!$B$5:$B$489, B3277, '📋 Detalle Diario'!$C$5:$C$489, D3277) * 135 + SUMIFS('📋 Detalle Diario'!$I$5:$I$489, '📋 Detalle Diario'!$B$5:$B$489, B3277, '📋 Detalle Diario'!$C$5:$C$489, D3277) * 200), 0))</f>
        <v/>
      </c>
      <c r="P3277" s="32" t="str">
        <f t="shared" si="362"/>
        <v/>
      </c>
      <c r="Q3277" s="33" t="str">
        <f t="shared" si="363"/>
        <v/>
      </c>
    </row>
    <row r="3278" spans="2:17" ht="18" customHeight="1" x14ac:dyDescent="0.3">
      <c r="B3278" s="26"/>
      <c r="C3278" s="17"/>
      <c r="D3278" s="27"/>
      <c r="E3278" s="18"/>
      <c r="F3278" s="18"/>
      <c r="G3278" s="18"/>
      <c r="H3278" s="30" t="str">
        <f t="shared" si="357"/>
        <v/>
      </c>
      <c r="I3278" s="31" t="str">
        <f>IF(OR(B3278="",C3278=""),"",IFERROR(E3278*IF(E3278="",0,VLOOKUP(C3278,'📦 Precios Proforma'!$B$5:$D$104,IF(D3278="DIA",2,3),FALSE)),0))</f>
        <v/>
      </c>
      <c r="J3278" s="31" t="str">
        <f t="shared" si="358"/>
        <v/>
      </c>
      <c r="K3278" s="31" t="str">
        <f t="shared" si="359"/>
        <v/>
      </c>
      <c r="L3278" s="31" t="str">
        <f>IF(OR(B3278="",C3278=""),"",IFERROR(E3278 / SUMIFS('📅 Resumen Diario'!$D$5:$D$504, '📅 Resumen Diario'!$B$5:$B$504, B3278, '📅 Resumen Diario'!$C$5:$C$504, D3278) * SUMIFS('📅 Resumen Diario'!$K$5:$K$504, '📅 Resumen Diario'!$B$5:$B$504, B3278, '📅 Resumen Diario'!$C$5:$C$504, D3278), 0))</f>
        <v/>
      </c>
      <c r="M3278" s="31" t="str">
        <f t="shared" si="360"/>
        <v/>
      </c>
      <c r="N3278" s="31" t="str">
        <f t="shared" si="361"/>
        <v/>
      </c>
      <c r="O3278" s="31" t="str">
        <f>IF(OR(B3278="",C3278=""),"",K3278-N3278 + IFERROR(E3278 / SUMIFS('📅 Resumen Diario'!$D$5:$D$504, '📅 Resumen Diario'!$B$5:$B$504, B3278, '📅 Resumen Diario'!$C$5:$C$504, D3278) * (SUMIFS('📋 Detalle Diario'!$E$5:$E$489, '📋 Detalle Diario'!$B$5:$B$489, B3278, '📋 Detalle Diario'!$C$5:$C$489, D3278) * 135 + SUMIFS('📋 Detalle Diario'!$I$5:$I$489, '📋 Detalle Diario'!$B$5:$B$489, B3278, '📋 Detalle Diario'!$C$5:$C$489, D3278) * 200), 0))</f>
        <v/>
      </c>
      <c r="P3278" s="32" t="str">
        <f t="shared" si="362"/>
        <v/>
      </c>
      <c r="Q3278" s="33" t="str">
        <f t="shared" si="363"/>
        <v/>
      </c>
    </row>
    <row r="3279" spans="2:17" ht="18" customHeight="1" x14ac:dyDescent="0.3">
      <c r="B3279" s="26"/>
      <c r="C3279" s="28"/>
      <c r="D3279" s="27"/>
      <c r="E3279" s="29"/>
      <c r="F3279" s="29"/>
      <c r="G3279" s="29"/>
      <c r="H3279" s="30" t="str">
        <f t="shared" si="357"/>
        <v/>
      </c>
      <c r="I3279" s="31" t="str">
        <f>IF(OR(B3279="",C3279=""),"",IFERROR(E3279*IF(E3279="",0,VLOOKUP(C3279,'📦 Precios Proforma'!$B$5:$D$104,IF(D3279="DIA",2,3),FALSE)),0))</f>
        <v/>
      </c>
      <c r="J3279" s="31" t="str">
        <f t="shared" si="358"/>
        <v/>
      </c>
      <c r="K3279" s="31" t="str">
        <f t="shared" si="359"/>
        <v/>
      </c>
      <c r="L3279" s="31" t="str">
        <f>IF(OR(B3279="",C3279=""),"",IFERROR(E3279 / SUMIFS('📅 Resumen Diario'!$D$5:$D$504, '📅 Resumen Diario'!$B$5:$B$504, B3279, '📅 Resumen Diario'!$C$5:$C$504, D3279) * SUMIFS('📅 Resumen Diario'!$K$5:$K$504, '📅 Resumen Diario'!$B$5:$B$504, B3279, '📅 Resumen Diario'!$C$5:$C$504, D3279), 0))</f>
        <v/>
      </c>
      <c r="M3279" s="31" t="str">
        <f t="shared" si="360"/>
        <v/>
      </c>
      <c r="N3279" s="31" t="str">
        <f t="shared" si="361"/>
        <v/>
      </c>
      <c r="O3279" s="31" t="str">
        <f>IF(OR(B3279="",C3279=""),"",K3279-N3279 + IFERROR(E3279 / SUMIFS('📅 Resumen Diario'!$D$5:$D$504, '📅 Resumen Diario'!$B$5:$B$504, B3279, '📅 Resumen Diario'!$C$5:$C$504, D3279) * (SUMIFS('📋 Detalle Diario'!$E$5:$E$489, '📋 Detalle Diario'!$B$5:$B$489, B3279, '📋 Detalle Diario'!$C$5:$C$489, D3279) * 135 + SUMIFS('📋 Detalle Diario'!$I$5:$I$489, '📋 Detalle Diario'!$B$5:$B$489, B3279, '📋 Detalle Diario'!$C$5:$C$489, D3279) * 200), 0))</f>
        <v/>
      </c>
      <c r="P3279" s="32" t="str">
        <f t="shared" si="362"/>
        <v/>
      </c>
      <c r="Q3279" s="33" t="str">
        <f t="shared" si="363"/>
        <v/>
      </c>
    </row>
    <row r="3280" spans="2:17" ht="18" customHeight="1" x14ac:dyDescent="0.3">
      <c r="B3280" s="26"/>
      <c r="C3280" s="17"/>
      <c r="D3280" s="27"/>
      <c r="E3280" s="18"/>
      <c r="F3280" s="18"/>
      <c r="G3280" s="18"/>
      <c r="H3280" s="30" t="str">
        <f t="shared" si="357"/>
        <v/>
      </c>
      <c r="I3280" s="31" t="str">
        <f>IF(OR(B3280="",C3280=""),"",IFERROR(E3280*IF(E3280="",0,VLOOKUP(C3280,'📦 Precios Proforma'!$B$5:$D$104,IF(D3280="DIA",2,3),FALSE)),0))</f>
        <v/>
      </c>
      <c r="J3280" s="31" t="str">
        <f t="shared" si="358"/>
        <v/>
      </c>
      <c r="K3280" s="31" t="str">
        <f t="shared" si="359"/>
        <v/>
      </c>
      <c r="L3280" s="31" t="str">
        <f>IF(OR(B3280="",C3280=""),"",IFERROR(E3280 / SUMIFS('📅 Resumen Diario'!$D$5:$D$504, '📅 Resumen Diario'!$B$5:$B$504, B3280, '📅 Resumen Diario'!$C$5:$C$504, D3280) * SUMIFS('📅 Resumen Diario'!$K$5:$K$504, '📅 Resumen Diario'!$B$5:$B$504, B3280, '📅 Resumen Diario'!$C$5:$C$504, D3280), 0))</f>
        <v/>
      </c>
      <c r="M3280" s="31" t="str">
        <f t="shared" si="360"/>
        <v/>
      </c>
      <c r="N3280" s="31" t="str">
        <f t="shared" si="361"/>
        <v/>
      </c>
      <c r="O3280" s="31" t="str">
        <f>IF(OR(B3280="",C3280=""),"",K3280-N3280 + IFERROR(E3280 / SUMIFS('📅 Resumen Diario'!$D$5:$D$504, '📅 Resumen Diario'!$B$5:$B$504, B3280, '📅 Resumen Diario'!$C$5:$C$504, D3280) * (SUMIFS('📋 Detalle Diario'!$E$5:$E$489, '📋 Detalle Diario'!$B$5:$B$489, B3280, '📋 Detalle Diario'!$C$5:$C$489, D3280) * 135 + SUMIFS('📋 Detalle Diario'!$I$5:$I$489, '📋 Detalle Diario'!$B$5:$B$489, B3280, '📋 Detalle Diario'!$C$5:$C$489, D3280) * 200), 0))</f>
        <v/>
      </c>
      <c r="P3280" s="32" t="str">
        <f t="shared" si="362"/>
        <v/>
      </c>
      <c r="Q3280" s="33" t="str">
        <f t="shared" si="363"/>
        <v/>
      </c>
    </row>
    <row r="3281" spans="2:17" ht="18" customHeight="1" x14ac:dyDescent="0.3">
      <c r="B3281" s="26"/>
      <c r="C3281" s="28"/>
      <c r="D3281" s="27"/>
      <c r="E3281" s="29"/>
      <c r="F3281" s="29"/>
      <c r="G3281" s="29"/>
      <c r="H3281" s="30" t="str">
        <f t="shared" si="357"/>
        <v/>
      </c>
      <c r="I3281" s="31" t="str">
        <f>IF(OR(B3281="",C3281=""),"",IFERROR(E3281*IF(E3281="",0,VLOOKUP(C3281,'📦 Precios Proforma'!$B$5:$D$104,IF(D3281="DIA",2,3),FALSE)),0))</f>
        <v/>
      </c>
      <c r="J3281" s="31" t="str">
        <f t="shared" si="358"/>
        <v/>
      </c>
      <c r="K3281" s="31" t="str">
        <f t="shared" si="359"/>
        <v/>
      </c>
      <c r="L3281" s="31" t="str">
        <f>IF(OR(B3281="",C3281=""),"",IFERROR(E3281 / SUMIFS('📅 Resumen Diario'!$D$5:$D$504, '📅 Resumen Diario'!$B$5:$B$504, B3281, '📅 Resumen Diario'!$C$5:$C$504, D3281) * SUMIFS('📅 Resumen Diario'!$K$5:$K$504, '📅 Resumen Diario'!$B$5:$B$504, B3281, '📅 Resumen Diario'!$C$5:$C$504, D3281), 0))</f>
        <v/>
      </c>
      <c r="M3281" s="31" t="str">
        <f t="shared" si="360"/>
        <v/>
      </c>
      <c r="N3281" s="31" t="str">
        <f t="shared" si="361"/>
        <v/>
      </c>
      <c r="O3281" s="31" t="str">
        <f>IF(OR(B3281="",C3281=""),"",K3281-N3281 + IFERROR(E3281 / SUMIFS('📅 Resumen Diario'!$D$5:$D$504, '📅 Resumen Diario'!$B$5:$B$504, B3281, '📅 Resumen Diario'!$C$5:$C$504, D3281) * (SUMIFS('📋 Detalle Diario'!$E$5:$E$489, '📋 Detalle Diario'!$B$5:$B$489, B3281, '📋 Detalle Diario'!$C$5:$C$489, D3281) * 135 + SUMIFS('📋 Detalle Diario'!$I$5:$I$489, '📋 Detalle Diario'!$B$5:$B$489, B3281, '📋 Detalle Diario'!$C$5:$C$489, D3281) * 200), 0))</f>
        <v/>
      </c>
      <c r="P3281" s="32" t="str">
        <f t="shared" si="362"/>
        <v/>
      </c>
      <c r="Q3281" s="33" t="str">
        <f t="shared" si="363"/>
        <v/>
      </c>
    </row>
    <row r="3282" spans="2:17" ht="18" customHeight="1" x14ac:dyDescent="0.3">
      <c r="B3282" s="26"/>
      <c r="C3282" s="17"/>
      <c r="D3282" s="27"/>
      <c r="E3282" s="18"/>
      <c r="F3282" s="18"/>
      <c r="G3282" s="18"/>
      <c r="H3282" s="30" t="str">
        <f t="shared" si="357"/>
        <v/>
      </c>
      <c r="I3282" s="31" t="str">
        <f>IF(OR(B3282="",C3282=""),"",IFERROR(E3282*IF(E3282="",0,VLOOKUP(C3282,'📦 Precios Proforma'!$B$5:$D$104,IF(D3282="DIA",2,3),FALSE)),0))</f>
        <v/>
      </c>
      <c r="J3282" s="31" t="str">
        <f t="shared" si="358"/>
        <v/>
      </c>
      <c r="K3282" s="31" t="str">
        <f t="shared" si="359"/>
        <v/>
      </c>
      <c r="L3282" s="31" t="str">
        <f>IF(OR(B3282="",C3282=""),"",IFERROR(E3282 / SUMIFS('📅 Resumen Diario'!$D$5:$D$504, '📅 Resumen Diario'!$B$5:$B$504, B3282, '📅 Resumen Diario'!$C$5:$C$504, D3282) * SUMIFS('📅 Resumen Diario'!$K$5:$K$504, '📅 Resumen Diario'!$B$5:$B$504, B3282, '📅 Resumen Diario'!$C$5:$C$504, D3282), 0))</f>
        <v/>
      </c>
      <c r="M3282" s="31" t="str">
        <f t="shared" si="360"/>
        <v/>
      </c>
      <c r="N3282" s="31" t="str">
        <f t="shared" si="361"/>
        <v/>
      </c>
      <c r="O3282" s="31" t="str">
        <f>IF(OR(B3282="",C3282=""),"",K3282-N3282 + IFERROR(E3282 / SUMIFS('📅 Resumen Diario'!$D$5:$D$504, '📅 Resumen Diario'!$B$5:$B$504, B3282, '📅 Resumen Diario'!$C$5:$C$504, D3282) * (SUMIFS('📋 Detalle Diario'!$E$5:$E$489, '📋 Detalle Diario'!$B$5:$B$489, B3282, '📋 Detalle Diario'!$C$5:$C$489, D3282) * 135 + SUMIFS('📋 Detalle Diario'!$I$5:$I$489, '📋 Detalle Diario'!$B$5:$B$489, B3282, '📋 Detalle Diario'!$C$5:$C$489, D3282) * 200), 0))</f>
        <v/>
      </c>
      <c r="P3282" s="32" t="str">
        <f t="shared" si="362"/>
        <v/>
      </c>
      <c r="Q3282" s="33" t="str">
        <f t="shared" si="363"/>
        <v/>
      </c>
    </row>
    <row r="3283" spans="2:17" ht="18" customHeight="1" x14ac:dyDescent="0.3">
      <c r="B3283" s="26"/>
      <c r="C3283" s="28"/>
      <c r="D3283" s="27"/>
      <c r="E3283" s="29"/>
      <c r="F3283" s="29"/>
      <c r="G3283" s="29"/>
      <c r="H3283" s="30" t="str">
        <f t="shared" si="357"/>
        <v/>
      </c>
      <c r="I3283" s="31" t="str">
        <f>IF(OR(B3283="",C3283=""),"",IFERROR(E3283*IF(E3283="",0,VLOOKUP(C3283,'📦 Precios Proforma'!$B$5:$D$104,IF(D3283="DIA",2,3),FALSE)),0))</f>
        <v/>
      </c>
      <c r="J3283" s="31" t="str">
        <f t="shared" si="358"/>
        <v/>
      </c>
      <c r="K3283" s="31" t="str">
        <f t="shared" si="359"/>
        <v/>
      </c>
      <c r="L3283" s="31" t="str">
        <f>IF(OR(B3283="",C3283=""),"",IFERROR(E3283 / SUMIFS('📅 Resumen Diario'!$D$5:$D$504, '📅 Resumen Diario'!$B$5:$B$504, B3283, '📅 Resumen Diario'!$C$5:$C$504, D3283) * SUMIFS('📅 Resumen Diario'!$K$5:$K$504, '📅 Resumen Diario'!$B$5:$B$504, B3283, '📅 Resumen Diario'!$C$5:$C$504, D3283), 0))</f>
        <v/>
      </c>
      <c r="M3283" s="31" t="str">
        <f t="shared" si="360"/>
        <v/>
      </c>
      <c r="N3283" s="31" t="str">
        <f t="shared" si="361"/>
        <v/>
      </c>
      <c r="O3283" s="31" t="str">
        <f>IF(OR(B3283="",C3283=""),"",K3283-N3283 + IFERROR(E3283 / SUMIFS('📅 Resumen Diario'!$D$5:$D$504, '📅 Resumen Diario'!$B$5:$B$504, B3283, '📅 Resumen Diario'!$C$5:$C$504, D3283) * (SUMIFS('📋 Detalle Diario'!$E$5:$E$489, '📋 Detalle Diario'!$B$5:$B$489, B3283, '📋 Detalle Diario'!$C$5:$C$489, D3283) * 135 + SUMIFS('📋 Detalle Diario'!$I$5:$I$489, '📋 Detalle Diario'!$B$5:$B$489, B3283, '📋 Detalle Diario'!$C$5:$C$489, D3283) * 200), 0))</f>
        <v/>
      </c>
      <c r="P3283" s="32" t="str">
        <f t="shared" si="362"/>
        <v/>
      </c>
      <c r="Q3283" s="33" t="str">
        <f t="shared" si="363"/>
        <v/>
      </c>
    </row>
    <row r="3284" spans="2:17" ht="18" customHeight="1" x14ac:dyDescent="0.3">
      <c r="B3284" s="26"/>
      <c r="C3284" s="17"/>
      <c r="D3284" s="27"/>
      <c r="E3284" s="18"/>
      <c r="F3284" s="18"/>
      <c r="G3284" s="18"/>
      <c r="H3284" s="30" t="str">
        <f t="shared" si="357"/>
        <v/>
      </c>
      <c r="I3284" s="31" t="str">
        <f>IF(OR(B3284="",C3284=""),"",IFERROR(E3284*IF(E3284="",0,VLOOKUP(C3284,'📦 Precios Proforma'!$B$5:$D$104,IF(D3284="DIA",2,3),FALSE)),0))</f>
        <v/>
      </c>
      <c r="J3284" s="31" t="str">
        <f t="shared" si="358"/>
        <v/>
      </c>
      <c r="K3284" s="31" t="str">
        <f t="shared" si="359"/>
        <v/>
      </c>
      <c r="L3284" s="31" t="str">
        <f>IF(OR(B3284="",C3284=""),"",IFERROR(E3284 / SUMIFS('📅 Resumen Diario'!$D$5:$D$504, '📅 Resumen Diario'!$B$5:$B$504, B3284, '📅 Resumen Diario'!$C$5:$C$504, D3284) * SUMIFS('📅 Resumen Diario'!$K$5:$K$504, '📅 Resumen Diario'!$B$5:$B$504, B3284, '📅 Resumen Diario'!$C$5:$C$504, D3284), 0))</f>
        <v/>
      </c>
      <c r="M3284" s="31" t="str">
        <f t="shared" si="360"/>
        <v/>
      </c>
      <c r="N3284" s="31" t="str">
        <f t="shared" si="361"/>
        <v/>
      </c>
      <c r="O3284" s="31" t="str">
        <f>IF(OR(B3284="",C3284=""),"",K3284-N3284 + IFERROR(E3284 / SUMIFS('📅 Resumen Diario'!$D$5:$D$504, '📅 Resumen Diario'!$B$5:$B$504, B3284, '📅 Resumen Diario'!$C$5:$C$504, D3284) * (SUMIFS('📋 Detalle Diario'!$E$5:$E$489, '📋 Detalle Diario'!$B$5:$B$489, B3284, '📋 Detalle Diario'!$C$5:$C$489, D3284) * 135 + SUMIFS('📋 Detalle Diario'!$I$5:$I$489, '📋 Detalle Diario'!$B$5:$B$489, B3284, '📋 Detalle Diario'!$C$5:$C$489, D3284) * 200), 0))</f>
        <v/>
      </c>
      <c r="P3284" s="32" t="str">
        <f t="shared" si="362"/>
        <v/>
      </c>
      <c r="Q3284" s="33" t="str">
        <f t="shared" si="363"/>
        <v/>
      </c>
    </row>
    <row r="3285" spans="2:17" ht="18" customHeight="1" x14ac:dyDescent="0.3">
      <c r="B3285" s="26"/>
      <c r="C3285" s="28"/>
      <c r="D3285" s="27"/>
      <c r="E3285" s="29"/>
      <c r="F3285" s="29"/>
      <c r="G3285" s="29"/>
      <c r="H3285" s="30" t="str">
        <f t="shared" si="357"/>
        <v/>
      </c>
      <c r="I3285" s="31" t="str">
        <f>IF(OR(B3285="",C3285=""),"",IFERROR(E3285*IF(E3285="",0,VLOOKUP(C3285,'📦 Precios Proforma'!$B$5:$D$104,IF(D3285="DIA",2,3),FALSE)),0))</f>
        <v/>
      </c>
      <c r="J3285" s="31" t="str">
        <f t="shared" si="358"/>
        <v/>
      </c>
      <c r="K3285" s="31" t="str">
        <f t="shared" si="359"/>
        <v/>
      </c>
      <c r="L3285" s="31" t="str">
        <f>IF(OR(B3285="",C3285=""),"",IFERROR(E3285 / SUMIFS('📅 Resumen Diario'!$D$5:$D$504, '📅 Resumen Diario'!$B$5:$B$504, B3285, '📅 Resumen Diario'!$C$5:$C$504, D3285) * SUMIFS('📅 Resumen Diario'!$K$5:$K$504, '📅 Resumen Diario'!$B$5:$B$504, B3285, '📅 Resumen Diario'!$C$5:$C$504, D3285), 0))</f>
        <v/>
      </c>
      <c r="M3285" s="31" t="str">
        <f t="shared" si="360"/>
        <v/>
      </c>
      <c r="N3285" s="31" t="str">
        <f t="shared" si="361"/>
        <v/>
      </c>
      <c r="O3285" s="31" t="str">
        <f>IF(OR(B3285="",C3285=""),"",K3285-N3285 + IFERROR(E3285 / SUMIFS('📅 Resumen Diario'!$D$5:$D$504, '📅 Resumen Diario'!$B$5:$B$504, B3285, '📅 Resumen Diario'!$C$5:$C$504, D3285) * (SUMIFS('📋 Detalle Diario'!$E$5:$E$489, '📋 Detalle Diario'!$B$5:$B$489, B3285, '📋 Detalle Diario'!$C$5:$C$489, D3285) * 135 + SUMIFS('📋 Detalle Diario'!$I$5:$I$489, '📋 Detalle Diario'!$B$5:$B$489, B3285, '📋 Detalle Diario'!$C$5:$C$489, D3285) * 200), 0))</f>
        <v/>
      </c>
      <c r="P3285" s="32" t="str">
        <f t="shared" si="362"/>
        <v/>
      </c>
      <c r="Q3285" s="33" t="str">
        <f t="shared" si="363"/>
        <v/>
      </c>
    </row>
    <row r="3286" spans="2:17" ht="18" customHeight="1" x14ac:dyDescent="0.3">
      <c r="B3286" s="26"/>
      <c r="C3286" s="17"/>
      <c r="D3286" s="27"/>
      <c r="E3286" s="18"/>
      <c r="F3286" s="18"/>
      <c r="G3286" s="18"/>
      <c r="H3286" s="30" t="str">
        <f t="shared" si="357"/>
        <v/>
      </c>
      <c r="I3286" s="31" t="str">
        <f>IF(OR(B3286="",C3286=""),"",IFERROR(E3286*IF(E3286="",0,VLOOKUP(C3286,'📦 Precios Proforma'!$B$5:$D$104,IF(D3286="DIA",2,3),FALSE)),0))</f>
        <v/>
      </c>
      <c r="J3286" s="31" t="str">
        <f t="shared" si="358"/>
        <v/>
      </c>
      <c r="K3286" s="31" t="str">
        <f t="shared" si="359"/>
        <v/>
      </c>
      <c r="L3286" s="31" t="str">
        <f>IF(OR(B3286="",C3286=""),"",IFERROR(E3286 / SUMIFS('📅 Resumen Diario'!$D$5:$D$504, '📅 Resumen Diario'!$B$5:$B$504, B3286, '📅 Resumen Diario'!$C$5:$C$504, D3286) * SUMIFS('📅 Resumen Diario'!$K$5:$K$504, '📅 Resumen Diario'!$B$5:$B$504, B3286, '📅 Resumen Diario'!$C$5:$C$504, D3286), 0))</f>
        <v/>
      </c>
      <c r="M3286" s="31" t="str">
        <f t="shared" si="360"/>
        <v/>
      </c>
      <c r="N3286" s="31" t="str">
        <f t="shared" si="361"/>
        <v/>
      </c>
      <c r="O3286" s="31" t="str">
        <f>IF(OR(B3286="",C3286=""),"",K3286-N3286 + IFERROR(E3286 / SUMIFS('📅 Resumen Diario'!$D$5:$D$504, '📅 Resumen Diario'!$B$5:$B$504, B3286, '📅 Resumen Diario'!$C$5:$C$504, D3286) * (SUMIFS('📋 Detalle Diario'!$E$5:$E$489, '📋 Detalle Diario'!$B$5:$B$489, B3286, '📋 Detalle Diario'!$C$5:$C$489, D3286) * 135 + SUMIFS('📋 Detalle Diario'!$I$5:$I$489, '📋 Detalle Diario'!$B$5:$B$489, B3286, '📋 Detalle Diario'!$C$5:$C$489, D3286) * 200), 0))</f>
        <v/>
      </c>
      <c r="P3286" s="32" t="str">
        <f t="shared" si="362"/>
        <v/>
      </c>
      <c r="Q3286" s="33" t="str">
        <f t="shared" si="363"/>
        <v/>
      </c>
    </row>
    <row r="3287" spans="2:17" ht="18" customHeight="1" x14ac:dyDescent="0.3">
      <c r="B3287" s="26"/>
      <c r="C3287" s="28"/>
      <c r="D3287" s="27"/>
      <c r="E3287" s="29"/>
      <c r="F3287" s="29"/>
      <c r="G3287" s="29"/>
      <c r="H3287" s="30" t="str">
        <f t="shared" si="357"/>
        <v/>
      </c>
      <c r="I3287" s="31" t="str">
        <f>IF(OR(B3287="",C3287=""),"",IFERROR(E3287*IF(E3287="",0,VLOOKUP(C3287,'📦 Precios Proforma'!$B$5:$D$104,IF(D3287="DIA",2,3),FALSE)),0))</f>
        <v/>
      </c>
      <c r="J3287" s="31" t="str">
        <f t="shared" si="358"/>
        <v/>
      </c>
      <c r="K3287" s="31" t="str">
        <f t="shared" si="359"/>
        <v/>
      </c>
      <c r="L3287" s="31" t="str">
        <f>IF(OR(B3287="",C3287=""),"",IFERROR(E3287 / SUMIFS('📅 Resumen Diario'!$D$5:$D$504, '📅 Resumen Diario'!$B$5:$B$504, B3287, '📅 Resumen Diario'!$C$5:$C$504, D3287) * SUMIFS('📅 Resumen Diario'!$K$5:$K$504, '📅 Resumen Diario'!$B$5:$B$504, B3287, '📅 Resumen Diario'!$C$5:$C$504, D3287), 0))</f>
        <v/>
      </c>
      <c r="M3287" s="31" t="str">
        <f t="shared" si="360"/>
        <v/>
      </c>
      <c r="N3287" s="31" t="str">
        <f t="shared" si="361"/>
        <v/>
      </c>
      <c r="O3287" s="31" t="str">
        <f>IF(OR(B3287="",C3287=""),"",K3287-N3287 + IFERROR(E3287 / SUMIFS('📅 Resumen Diario'!$D$5:$D$504, '📅 Resumen Diario'!$B$5:$B$504, B3287, '📅 Resumen Diario'!$C$5:$C$504, D3287) * (SUMIFS('📋 Detalle Diario'!$E$5:$E$489, '📋 Detalle Diario'!$B$5:$B$489, B3287, '📋 Detalle Diario'!$C$5:$C$489, D3287) * 135 + SUMIFS('📋 Detalle Diario'!$I$5:$I$489, '📋 Detalle Diario'!$B$5:$B$489, B3287, '📋 Detalle Diario'!$C$5:$C$489, D3287) * 200), 0))</f>
        <v/>
      </c>
      <c r="P3287" s="32" t="str">
        <f t="shared" si="362"/>
        <v/>
      </c>
      <c r="Q3287" s="33" t="str">
        <f t="shared" si="363"/>
        <v/>
      </c>
    </row>
    <row r="3288" spans="2:17" ht="18" customHeight="1" x14ac:dyDescent="0.3">
      <c r="B3288" s="26"/>
      <c r="C3288" s="17"/>
      <c r="D3288" s="27"/>
      <c r="E3288" s="18"/>
      <c r="F3288" s="18"/>
      <c r="G3288" s="18"/>
      <c r="H3288" s="30" t="str">
        <f t="shared" si="357"/>
        <v/>
      </c>
      <c r="I3288" s="31" t="str">
        <f>IF(OR(B3288="",C3288=""),"",IFERROR(E3288*IF(E3288="",0,VLOOKUP(C3288,'📦 Precios Proforma'!$B$5:$D$104,IF(D3288="DIA",2,3),FALSE)),0))</f>
        <v/>
      </c>
      <c r="J3288" s="31" t="str">
        <f t="shared" si="358"/>
        <v/>
      </c>
      <c r="K3288" s="31" t="str">
        <f t="shared" si="359"/>
        <v/>
      </c>
      <c r="L3288" s="31" t="str">
        <f>IF(OR(B3288="",C3288=""),"",IFERROR(E3288 / SUMIFS('📅 Resumen Diario'!$D$5:$D$504, '📅 Resumen Diario'!$B$5:$B$504, B3288, '📅 Resumen Diario'!$C$5:$C$504, D3288) * SUMIFS('📅 Resumen Diario'!$K$5:$K$504, '📅 Resumen Diario'!$B$5:$B$504, B3288, '📅 Resumen Diario'!$C$5:$C$504, D3288), 0))</f>
        <v/>
      </c>
      <c r="M3288" s="31" t="str">
        <f t="shared" si="360"/>
        <v/>
      </c>
      <c r="N3288" s="31" t="str">
        <f t="shared" si="361"/>
        <v/>
      </c>
      <c r="O3288" s="31" t="str">
        <f>IF(OR(B3288="",C3288=""),"",K3288-N3288 + IFERROR(E3288 / SUMIFS('📅 Resumen Diario'!$D$5:$D$504, '📅 Resumen Diario'!$B$5:$B$504, B3288, '📅 Resumen Diario'!$C$5:$C$504, D3288) * (SUMIFS('📋 Detalle Diario'!$E$5:$E$489, '📋 Detalle Diario'!$B$5:$B$489, B3288, '📋 Detalle Diario'!$C$5:$C$489, D3288) * 135 + SUMIFS('📋 Detalle Diario'!$I$5:$I$489, '📋 Detalle Diario'!$B$5:$B$489, B3288, '📋 Detalle Diario'!$C$5:$C$489, D3288) * 200), 0))</f>
        <v/>
      </c>
      <c r="P3288" s="32" t="str">
        <f t="shared" si="362"/>
        <v/>
      </c>
      <c r="Q3288" s="33" t="str">
        <f t="shared" si="363"/>
        <v/>
      </c>
    </row>
    <row r="3289" spans="2:17" ht="18" customHeight="1" x14ac:dyDescent="0.3">
      <c r="B3289" s="26"/>
      <c r="C3289" s="28"/>
      <c r="D3289" s="27"/>
      <c r="E3289" s="29"/>
      <c r="F3289" s="29"/>
      <c r="G3289" s="29"/>
      <c r="H3289" s="30" t="str">
        <f t="shared" si="357"/>
        <v/>
      </c>
      <c r="I3289" s="31" t="str">
        <f>IF(OR(B3289="",C3289=""),"",IFERROR(E3289*IF(E3289="",0,VLOOKUP(C3289,'📦 Precios Proforma'!$B$5:$D$104,IF(D3289="DIA",2,3),FALSE)),0))</f>
        <v/>
      </c>
      <c r="J3289" s="31" t="str">
        <f t="shared" si="358"/>
        <v/>
      </c>
      <c r="K3289" s="31" t="str">
        <f t="shared" si="359"/>
        <v/>
      </c>
      <c r="L3289" s="31" t="str">
        <f>IF(OR(B3289="",C3289=""),"",IFERROR(E3289 / SUMIFS('📅 Resumen Diario'!$D$5:$D$504, '📅 Resumen Diario'!$B$5:$B$504, B3289, '📅 Resumen Diario'!$C$5:$C$504, D3289) * SUMIFS('📅 Resumen Diario'!$K$5:$K$504, '📅 Resumen Diario'!$B$5:$B$504, B3289, '📅 Resumen Diario'!$C$5:$C$504, D3289), 0))</f>
        <v/>
      </c>
      <c r="M3289" s="31" t="str">
        <f t="shared" si="360"/>
        <v/>
      </c>
      <c r="N3289" s="31" t="str">
        <f t="shared" si="361"/>
        <v/>
      </c>
      <c r="O3289" s="31" t="str">
        <f>IF(OR(B3289="",C3289=""),"",K3289-N3289 + IFERROR(E3289 / SUMIFS('📅 Resumen Diario'!$D$5:$D$504, '📅 Resumen Diario'!$B$5:$B$504, B3289, '📅 Resumen Diario'!$C$5:$C$504, D3289) * (SUMIFS('📋 Detalle Diario'!$E$5:$E$489, '📋 Detalle Diario'!$B$5:$B$489, B3289, '📋 Detalle Diario'!$C$5:$C$489, D3289) * 135 + SUMIFS('📋 Detalle Diario'!$I$5:$I$489, '📋 Detalle Diario'!$B$5:$B$489, B3289, '📋 Detalle Diario'!$C$5:$C$489, D3289) * 200), 0))</f>
        <v/>
      </c>
      <c r="P3289" s="32" t="str">
        <f t="shared" si="362"/>
        <v/>
      </c>
      <c r="Q3289" s="33" t="str">
        <f t="shared" si="363"/>
        <v/>
      </c>
    </row>
    <row r="3290" spans="2:17" ht="18" customHeight="1" x14ac:dyDescent="0.3">
      <c r="B3290" s="26"/>
      <c r="C3290" s="17"/>
      <c r="D3290" s="27"/>
      <c r="E3290" s="18"/>
      <c r="F3290" s="18"/>
      <c r="G3290" s="18"/>
      <c r="H3290" s="30" t="str">
        <f t="shared" si="357"/>
        <v/>
      </c>
      <c r="I3290" s="31" t="str">
        <f>IF(OR(B3290="",C3290=""),"",IFERROR(E3290*IF(E3290="",0,VLOOKUP(C3290,'📦 Precios Proforma'!$B$5:$D$104,IF(D3290="DIA",2,3),FALSE)),0))</f>
        <v/>
      </c>
      <c r="J3290" s="31" t="str">
        <f t="shared" si="358"/>
        <v/>
      </c>
      <c r="K3290" s="31" t="str">
        <f t="shared" si="359"/>
        <v/>
      </c>
      <c r="L3290" s="31" t="str">
        <f>IF(OR(B3290="",C3290=""),"",IFERROR(E3290 / SUMIFS('📅 Resumen Diario'!$D$5:$D$504, '📅 Resumen Diario'!$B$5:$B$504, B3290, '📅 Resumen Diario'!$C$5:$C$504, D3290) * SUMIFS('📅 Resumen Diario'!$K$5:$K$504, '📅 Resumen Diario'!$B$5:$B$504, B3290, '📅 Resumen Diario'!$C$5:$C$504, D3290), 0))</f>
        <v/>
      </c>
      <c r="M3290" s="31" t="str">
        <f t="shared" si="360"/>
        <v/>
      </c>
      <c r="N3290" s="31" t="str">
        <f t="shared" si="361"/>
        <v/>
      </c>
      <c r="O3290" s="31" t="str">
        <f>IF(OR(B3290="",C3290=""),"",K3290-N3290 + IFERROR(E3290 / SUMIFS('📅 Resumen Diario'!$D$5:$D$504, '📅 Resumen Diario'!$B$5:$B$504, B3290, '📅 Resumen Diario'!$C$5:$C$504, D3290) * (SUMIFS('📋 Detalle Diario'!$E$5:$E$489, '📋 Detalle Diario'!$B$5:$B$489, B3290, '📋 Detalle Diario'!$C$5:$C$489, D3290) * 135 + SUMIFS('📋 Detalle Diario'!$I$5:$I$489, '📋 Detalle Diario'!$B$5:$B$489, B3290, '📋 Detalle Diario'!$C$5:$C$489, D3290) * 200), 0))</f>
        <v/>
      </c>
      <c r="P3290" s="32" t="str">
        <f t="shared" si="362"/>
        <v/>
      </c>
      <c r="Q3290" s="33" t="str">
        <f t="shared" si="363"/>
        <v/>
      </c>
    </row>
    <row r="3291" spans="2:17" ht="18" customHeight="1" x14ac:dyDescent="0.3">
      <c r="B3291" s="26"/>
      <c r="C3291" s="28"/>
      <c r="D3291" s="27"/>
      <c r="E3291" s="29"/>
      <c r="F3291" s="29"/>
      <c r="G3291" s="29"/>
      <c r="H3291" s="30" t="str">
        <f t="shared" si="357"/>
        <v/>
      </c>
      <c r="I3291" s="31" t="str">
        <f>IF(OR(B3291="",C3291=""),"",IFERROR(E3291*IF(E3291="",0,VLOOKUP(C3291,'📦 Precios Proforma'!$B$5:$D$104,IF(D3291="DIA",2,3),FALSE)),0))</f>
        <v/>
      </c>
      <c r="J3291" s="31" t="str">
        <f t="shared" si="358"/>
        <v/>
      </c>
      <c r="K3291" s="31" t="str">
        <f t="shared" si="359"/>
        <v/>
      </c>
      <c r="L3291" s="31" t="str">
        <f>IF(OR(B3291="",C3291=""),"",IFERROR(E3291 / SUMIFS('📅 Resumen Diario'!$D$5:$D$504, '📅 Resumen Diario'!$B$5:$B$504, B3291, '📅 Resumen Diario'!$C$5:$C$504, D3291) * SUMIFS('📅 Resumen Diario'!$K$5:$K$504, '📅 Resumen Diario'!$B$5:$B$504, B3291, '📅 Resumen Diario'!$C$5:$C$504, D3291), 0))</f>
        <v/>
      </c>
      <c r="M3291" s="31" t="str">
        <f t="shared" si="360"/>
        <v/>
      </c>
      <c r="N3291" s="31" t="str">
        <f t="shared" si="361"/>
        <v/>
      </c>
      <c r="O3291" s="31" t="str">
        <f>IF(OR(B3291="",C3291=""),"",K3291-N3291 + IFERROR(E3291 / SUMIFS('📅 Resumen Diario'!$D$5:$D$504, '📅 Resumen Diario'!$B$5:$B$504, B3291, '📅 Resumen Diario'!$C$5:$C$504, D3291) * (SUMIFS('📋 Detalle Diario'!$E$5:$E$489, '📋 Detalle Diario'!$B$5:$B$489, B3291, '📋 Detalle Diario'!$C$5:$C$489, D3291) * 135 + SUMIFS('📋 Detalle Diario'!$I$5:$I$489, '📋 Detalle Diario'!$B$5:$B$489, B3291, '📋 Detalle Diario'!$C$5:$C$489, D3291) * 200), 0))</f>
        <v/>
      </c>
      <c r="P3291" s="32" t="str">
        <f t="shared" si="362"/>
        <v/>
      </c>
      <c r="Q3291" s="33" t="str">
        <f t="shared" si="363"/>
        <v/>
      </c>
    </row>
    <row r="3292" spans="2:17" ht="18" customHeight="1" x14ac:dyDescent="0.3">
      <c r="B3292" s="26"/>
      <c r="C3292" s="17"/>
      <c r="D3292" s="27"/>
      <c r="E3292" s="18"/>
      <c r="F3292" s="18"/>
      <c r="G3292" s="18"/>
      <c r="H3292" s="30" t="str">
        <f t="shared" si="357"/>
        <v/>
      </c>
      <c r="I3292" s="31" t="str">
        <f>IF(OR(B3292="",C3292=""),"",IFERROR(E3292*IF(E3292="",0,VLOOKUP(C3292,'📦 Precios Proforma'!$B$5:$D$104,IF(D3292="DIA",2,3),FALSE)),0))</f>
        <v/>
      </c>
      <c r="J3292" s="31" t="str">
        <f t="shared" si="358"/>
        <v/>
      </c>
      <c r="K3292" s="31" t="str">
        <f t="shared" si="359"/>
        <v/>
      </c>
      <c r="L3292" s="31" t="str">
        <f>IF(OR(B3292="",C3292=""),"",IFERROR(E3292 / SUMIFS('📅 Resumen Diario'!$D$5:$D$504, '📅 Resumen Diario'!$B$5:$B$504, B3292, '📅 Resumen Diario'!$C$5:$C$504, D3292) * SUMIFS('📅 Resumen Diario'!$K$5:$K$504, '📅 Resumen Diario'!$B$5:$B$504, B3292, '📅 Resumen Diario'!$C$5:$C$504, D3292), 0))</f>
        <v/>
      </c>
      <c r="M3292" s="31" t="str">
        <f t="shared" si="360"/>
        <v/>
      </c>
      <c r="N3292" s="31" t="str">
        <f t="shared" si="361"/>
        <v/>
      </c>
      <c r="O3292" s="31" t="str">
        <f>IF(OR(B3292="",C3292=""),"",K3292-N3292 + IFERROR(E3292 / SUMIFS('📅 Resumen Diario'!$D$5:$D$504, '📅 Resumen Diario'!$B$5:$B$504, B3292, '📅 Resumen Diario'!$C$5:$C$504, D3292) * (SUMIFS('📋 Detalle Diario'!$E$5:$E$489, '📋 Detalle Diario'!$B$5:$B$489, B3292, '📋 Detalle Diario'!$C$5:$C$489, D3292) * 135 + SUMIFS('📋 Detalle Diario'!$I$5:$I$489, '📋 Detalle Diario'!$B$5:$B$489, B3292, '📋 Detalle Diario'!$C$5:$C$489, D3292) * 200), 0))</f>
        <v/>
      </c>
      <c r="P3292" s="32" t="str">
        <f t="shared" si="362"/>
        <v/>
      </c>
      <c r="Q3292" s="33" t="str">
        <f t="shared" si="363"/>
        <v/>
      </c>
    </row>
    <row r="3293" spans="2:17" ht="18" customHeight="1" x14ac:dyDescent="0.3">
      <c r="B3293" s="26"/>
      <c r="C3293" s="28"/>
      <c r="D3293" s="27"/>
      <c r="E3293" s="29"/>
      <c r="F3293" s="29"/>
      <c r="G3293" s="29"/>
      <c r="H3293" s="30" t="str">
        <f t="shared" si="357"/>
        <v/>
      </c>
      <c r="I3293" s="31" t="str">
        <f>IF(OR(B3293="",C3293=""),"",IFERROR(E3293*IF(E3293="",0,VLOOKUP(C3293,'📦 Precios Proforma'!$B$5:$D$104,IF(D3293="DIA",2,3),FALSE)),0))</f>
        <v/>
      </c>
      <c r="J3293" s="31" t="str">
        <f t="shared" si="358"/>
        <v/>
      </c>
      <c r="K3293" s="31" t="str">
        <f t="shared" si="359"/>
        <v/>
      </c>
      <c r="L3293" s="31" t="str">
        <f>IF(OR(B3293="",C3293=""),"",IFERROR(E3293 / SUMIFS('📅 Resumen Diario'!$D$5:$D$504, '📅 Resumen Diario'!$B$5:$B$504, B3293, '📅 Resumen Diario'!$C$5:$C$504, D3293) * SUMIFS('📅 Resumen Diario'!$K$5:$K$504, '📅 Resumen Diario'!$B$5:$B$504, B3293, '📅 Resumen Diario'!$C$5:$C$504, D3293), 0))</f>
        <v/>
      </c>
      <c r="M3293" s="31" t="str">
        <f t="shared" si="360"/>
        <v/>
      </c>
      <c r="N3293" s="31" t="str">
        <f t="shared" si="361"/>
        <v/>
      </c>
      <c r="O3293" s="31" t="str">
        <f>IF(OR(B3293="",C3293=""),"",K3293-N3293 + IFERROR(E3293 / SUMIFS('📅 Resumen Diario'!$D$5:$D$504, '📅 Resumen Diario'!$B$5:$B$504, B3293, '📅 Resumen Diario'!$C$5:$C$504, D3293) * (SUMIFS('📋 Detalle Diario'!$E$5:$E$489, '📋 Detalle Diario'!$B$5:$B$489, B3293, '📋 Detalle Diario'!$C$5:$C$489, D3293) * 135 + SUMIFS('📋 Detalle Diario'!$I$5:$I$489, '📋 Detalle Diario'!$B$5:$B$489, B3293, '📋 Detalle Diario'!$C$5:$C$489, D3293) * 200), 0))</f>
        <v/>
      </c>
      <c r="P3293" s="32" t="str">
        <f t="shared" si="362"/>
        <v/>
      </c>
      <c r="Q3293" s="33" t="str">
        <f t="shared" si="363"/>
        <v/>
      </c>
    </row>
    <row r="3294" spans="2:17" ht="18" customHeight="1" x14ac:dyDescent="0.3">
      <c r="B3294" s="26"/>
      <c r="C3294" s="17"/>
      <c r="D3294" s="27"/>
      <c r="E3294" s="18"/>
      <c r="F3294" s="18"/>
      <c r="G3294" s="18"/>
      <c r="H3294" s="30" t="str">
        <f t="shared" si="357"/>
        <v/>
      </c>
      <c r="I3294" s="31" t="str">
        <f>IF(OR(B3294="",C3294=""),"",IFERROR(E3294*IF(E3294="",0,VLOOKUP(C3294,'📦 Precios Proforma'!$B$5:$D$104,IF(D3294="DIA",2,3),FALSE)),0))</f>
        <v/>
      </c>
      <c r="J3294" s="31" t="str">
        <f t="shared" si="358"/>
        <v/>
      </c>
      <c r="K3294" s="31" t="str">
        <f t="shared" si="359"/>
        <v/>
      </c>
      <c r="L3294" s="31" t="str">
        <f>IF(OR(B3294="",C3294=""),"",IFERROR(E3294 / SUMIFS('📅 Resumen Diario'!$D$5:$D$504, '📅 Resumen Diario'!$B$5:$B$504, B3294, '📅 Resumen Diario'!$C$5:$C$504, D3294) * SUMIFS('📅 Resumen Diario'!$K$5:$K$504, '📅 Resumen Diario'!$B$5:$B$504, B3294, '📅 Resumen Diario'!$C$5:$C$504, D3294), 0))</f>
        <v/>
      </c>
      <c r="M3294" s="31" t="str">
        <f t="shared" si="360"/>
        <v/>
      </c>
      <c r="N3294" s="31" t="str">
        <f t="shared" si="361"/>
        <v/>
      </c>
      <c r="O3294" s="31" t="str">
        <f>IF(OR(B3294="",C3294=""),"",K3294-N3294 + IFERROR(E3294 / SUMIFS('📅 Resumen Diario'!$D$5:$D$504, '📅 Resumen Diario'!$B$5:$B$504, B3294, '📅 Resumen Diario'!$C$5:$C$504, D3294) * (SUMIFS('📋 Detalle Diario'!$E$5:$E$489, '📋 Detalle Diario'!$B$5:$B$489, B3294, '📋 Detalle Diario'!$C$5:$C$489, D3294) * 135 + SUMIFS('📋 Detalle Diario'!$I$5:$I$489, '📋 Detalle Diario'!$B$5:$B$489, B3294, '📋 Detalle Diario'!$C$5:$C$489, D3294) * 200), 0))</f>
        <v/>
      </c>
      <c r="P3294" s="32" t="str">
        <f t="shared" si="362"/>
        <v/>
      </c>
      <c r="Q3294" s="33" t="str">
        <f t="shared" si="363"/>
        <v/>
      </c>
    </row>
    <row r="3295" spans="2:17" ht="18" customHeight="1" x14ac:dyDescent="0.3">
      <c r="B3295" s="26"/>
      <c r="C3295" s="28"/>
      <c r="D3295" s="27"/>
      <c r="E3295" s="29"/>
      <c r="F3295" s="29"/>
      <c r="G3295" s="29"/>
      <c r="H3295" s="30" t="str">
        <f t="shared" si="357"/>
        <v/>
      </c>
      <c r="I3295" s="31" t="str">
        <f>IF(OR(B3295="",C3295=""),"",IFERROR(E3295*IF(E3295="",0,VLOOKUP(C3295,'📦 Precios Proforma'!$B$5:$D$104,IF(D3295="DIA",2,3),FALSE)),0))</f>
        <v/>
      </c>
      <c r="J3295" s="31" t="str">
        <f t="shared" si="358"/>
        <v/>
      </c>
      <c r="K3295" s="31" t="str">
        <f t="shared" si="359"/>
        <v/>
      </c>
      <c r="L3295" s="31" t="str">
        <f>IF(OR(B3295="",C3295=""),"",IFERROR(E3295 / SUMIFS('📅 Resumen Diario'!$D$5:$D$504, '📅 Resumen Diario'!$B$5:$B$504, B3295, '📅 Resumen Diario'!$C$5:$C$504, D3295) * SUMIFS('📅 Resumen Diario'!$K$5:$K$504, '📅 Resumen Diario'!$B$5:$B$504, B3295, '📅 Resumen Diario'!$C$5:$C$504, D3295), 0))</f>
        <v/>
      </c>
      <c r="M3295" s="31" t="str">
        <f t="shared" si="360"/>
        <v/>
      </c>
      <c r="N3295" s="31" t="str">
        <f t="shared" si="361"/>
        <v/>
      </c>
      <c r="O3295" s="31" t="str">
        <f>IF(OR(B3295="",C3295=""),"",K3295-N3295 + IFERROR(E3295 / SUMIFS('📅 Resumen Diario'!$D$5:$D$504, '📅 Resumen Diario'!$B$5:$B$504, B3295, '📅 Resumen Diario'!$C$5:$C$504, D3295) * (SUMIFS('📋 Detalle Diario'!$E$5:$E$489, '📋 Detalle Diario'!$B$5:$B$489, B3295, '📋 Detalle Diario'!$C$5:$C$489, D3295) * 135 + SUMIFS('📋 Detalle Diario'!$I$5:$I$489, '📋 Detalle Diario'!$B$5:$B$489, B3295, '📋 Detalle Diario'!$C$5:$C$489, D3295) * 200), 0))</f>
        <v/>
      </c>
      <c r="P3295" s="32" t="str">
        <f t="shared" si="362"/>
        <v/>
      </c>
      <c r="Q3295" s="33" t="str">
        <f t="shared" si="363"/>
        <v/>
      </c>
    </row>
    <row r="3296" spans="2:17" ht="18" customHeight="1" x14ac:dyDescent="0.3">
      <c r="B3296" s="26"/>
      <c r="C3296" s="17"/>
      <c r="D3296" s="27"/>
      <c r="E3296" s="18"/>
      <c r="F3296" s="18"/>
      <c r="G3296" s="18"/>
      <c r="H3296" s="30" t="str">
        <f t="shared" si="357"/>
        <v/>
      </c>
      <c r="I3296" s="31" t="str">
        <f>IF(OR(B3296="",C3296=""),"",IFERROR(E3296*IF(E3296="",0,VLOOKUP(C3296,'📦 Precios Proforma'!$B$5:$D$104,IF(D3296="DIA",2,3),FALSE)),0))</f>
        <v/>
      </c>
      <c r="J3296" s="31" t="str">
        <f t="shared" si="358"/>
        <v/>
      </c>
      <c r="K3296" s="31" t="str">
        <f t="shared" si="359"/>
        <v/>
      </c>
      <c r="L3296" s="31" t="str">
        <f>IF(OR(B3296="",C3296=""),"",IFERROR(E3296 / SUMIFS('📅 Resumen Diario'!$D$5:$D$504, '📅 Resumen Diario'!$B$5:$B$504, B3296, '📅 Resumen Diario'!$C$5:$C$504, D3296) * SUMIFS('📅 Resumen Diario'!$K$5:$K$504, '📅 Resumen Diario'!$B$5:$B$504, B3296, '📅 Resumen Diario'!$C$5:$C$504, D3296), 0))</f>
        <v/>
      </c>
      <c r="M3296" s="31" t="str">
        <f t="shared" si="360"/>
        <v/>
      </c>
      <c r="N3296" s="31" t="str">
        <f t="shared" si="361"/>
        <v/>
      </c>
      <c r="O3296" s="31" t="str">
        <f>IF(OR(B3296="",C3296=""),"",K3296-N3296 + IFERROR(E3296 / SUMIFS('📅 Resumen Diario'!$D$5:$D$504, '📅 Resumen Diario'!$B$5:$B$504, B3296, '📅 Resumen Diario'!$C$5:$C$504, D3296) * (SUMIFS('📋 Detalle Diario'!$E$5:$E$489, '📋 Detalle Diario'!$B$5:$B$489, B3296, '📋 Detalle Diario'!$C$5:$C$489, D3296) * 135 + SUMIFS('📋 Detalle Diario'!$I$5:$I$489, '📋 Detalle Diario'!$B$5:$B$489, B3296, '📋 Detalle Diario'!$C$5:$C$489, D3296) * 200), 0))</f>
        <v/>
      </c>
      <c r="P3296" s="32" t="str">
        <f t="shared" si="362"/>
        <v/>
      </c>
      <c r="Q3296" s="33" t="str">
        <f t="shared" si="363"/>
        <v/>
      </c>
    </row>
    <row r="3297" spans="2:17" ht="18" customHeight="1" x14ac:dyDescent="0.3">
      <c r="B3297" s="26"/>
      <c r="C3297" s="28"/>
      <c r="D3297" s="27"/>
      <c r="E3297" s="29"/>
      <c r="F3297" s="29"/>
      <c r="G3297" s="29"/>
      <c r="H3297" s="30" t="str">
        <f t="shared" si="357"/>
        <v/>
      </c>
      <c r="I3297" s="31" t="str">
        <f>IF(OR(B3297="",C3297=""),"",IFERROR(E3297*IF(E3297="",0,VLOOKUP(C3297,'📦 Precios Proforma'!$B$5:$D$104,IF(D3297="DIA",2,3),FALSE)),0))</f>
        <v/>
      </c>
      <c r="J3297" s="31" t="str">
        <f t="shared" si="358"/>
        <v/>
      </c>
      <c r="K3297" s="31" t="str">
        <f t="shared" si="359"/>
        <v/>
      </c>
      <c r="L3297" s="31" t="str">
        <f>IF(OR(B3297="",C3297=""),"",IFERROR(E3297 / SUMIFS('📅 Resumen Diario'!$D$5:$D$504, '📅 Resumen Diario'!$B$5:$B$504, B3297, '📅 Resumen Diario'!$C$5:$C$504, D3297) * SUMIFS('📅 Resumen Diario'!$K$5:$K$504, '📅 Resumen Diario'!$B$5:$B$504, B3297, '📅 Resumen Diario'!$C$5:$C$504, D3297), 0))</f>
        <v/>
      </c>
      <c r="M3297" s="31" t="str">
        <f t="shared" si="360"/>
        <v/>
      </c>
      <c r="N3297" s="31" t="str">
        <f t="shared" si="361"/>
        <v/>
      </c>
      <c r="O3297" s="31" t="str">
        <f>IF(OR(B3297="",C3297=""),"",K3297-N3297 + IFERROR(E3297 / SUMIFS('📅 Resumen Diario'!$D$5:$D$504, '📅 Resumen Diario'!$B$5:$B$504, B3297, '📅 Resumen Diario'!$C$5:$C$504, D3297) * (SUMIFS('📋 Detalle Diario'!$E$5:$E$489, '📋 Detalle Diario'!$B$5:$B$489, B3297, '📋 Detalle Diario'!$C$5:$C$489, D3297) * 135 + SUMIFS('📋 Detalle Diario'!$I$5:$I$489, '📋 Detalle Diario'!$B$5:$B$489, B3297, '📋 Detalle Diario'!$C$5:$C$489, D3297) * 200), 0))</f>
        <v/>
      </c>
      <c r="P3297" s="32" t="str">
        <f t="shared" si="362"/>
        <v/>
      </c>
      <c r="Q3297" s="33" t="str">
        <f t="shared" si="363"/>
        <v/>
      </c>
    </row>
    <row r="3298" spans="2:17" ht="18" customHeight="1" x14ac:dyDescent="0.3">
      <c r="B3298" s="26"/>
      <c r="C3298" s="17"/>
      <c r="D3298" s="27"/>
      <c r="E3298" s="18"/>
      <c r="F3298" s="18"/>
      <c r="G3298" s="18"/>
      <c r="H3298" s="30" t="str">
        <f t="shared" si="357"/>
        <v/>
      </c>
      <c r="I3298" s="31" t="str">
        <f>IF(OR(B3298="",C3298=""),"",IFERROR(E3298*IF(E3298="",0,VLOOKUP(C3298,'📦 Precios Proforma'!$B$5:$D$104,IF(D3298="DIA",2,3),FALSE)),0))</f>
        <v/>
      </c>
      <c r="J3298" s="31" t="str">
        <f t="shared" si="358"/>
        <v/>
      </c>
      <c r="K3298" s="31" t="str">
        <f t="shared" si="359"/>
        <v/>
      </c>
      <c r="L3298" s="31" t="str">
        <f>IF(OR(B3298="",C3298=""),"",IFERROR(E3298 / SUMIFS('📅 Resumen Diario'!$D$5:$D$504, '📅 Resumen Diario'!$B$5:$B$504, B3298, '📅 Resumen Diario'!$C$5:$C$504, D3298) * SUMIFS('📅 Resumen Diario'!$K$5:$K$504, '📅 Resumen Diario'!$B$5:$B$504, B3298, '📅 Resumen Diario'!$C$5:$C$504, D3298), 0))</f>
        <v/>
      </c>
      <c r="M3298" s="31" t="str">
        <f t="shared" si="360"/>
        <v/>
      </c>
      <c r="N3298" s="31" t="str">
        <f t="shared" si="361"/>
        <v/>
      </c>
      <c r="O3298" s="31" t="str">
        <f>IF(OR(B3298="",C3298=""),"",K3298-N3298 + IFERROR(E3298 / SUMIFS('📅 Resumen Diario'!$D$5:$D$504, '📅 Resumen Diario'!$B$5:$B$504, B3298, '📅 Resumen Diario'!$C$5:$C$504, D3298) * (SUMIFS('📋 Detalle Diario'!$E$5:$E$489, '📋 Detalle Diario'!$B$5:$B$489, B3298, '📋 Detalle Diario'!$C$5:$C$489, D3298) * 135 + SUMIFS('📋 Detalle Diario'!$I$5:$I$489, '📋 Detalle Diario'!$B$5:$B$489, B3298, '📋 Detalle Diario'!$C$5:$C$489, D3298) * 200), 0))</f>
        <v/>
      </c>
      <c r="P3298" s="32" t="str">
        <f t="shared" si="362"/>
        <v/>
      </c>
      <c r="Q3298" s="33" t="str">
        <f t="shared" si="363"/>
        <v/>
      </c>
    </row>
    <row r="3299" spans="2:17" ht="18" customHeight="1" x14ac:dyDescent="0.3">
      <c r="B3299" s="26"/>
      <c r="C3299" s="28"/>
      <c r="D3299" s="27"/>
      <c r="E3299" s="29"/>
      <c r="F3299" s="29"/>
      <c r="G3299" s="29"/>
      <c r="H3299" s="30" t="str">
        <f t="shared" si="357"/>
        <v/>
      </c>
      <c r="I3299" s="31" t="str">
        <f>IF(OR(B3299="",C3299=""),"",IFERROR(E3299*IF(E3299="",0,VLOOKUP(C3299,'📦 Precios Proforma'!$B$5:$D$104,IF(D3299="DIA",2,3),FALSE)),0))</f>
        <v/>
      </c>
      <c r="J3299" s="31" t="str">
        <f t="shared" si="358"/>
        <v/>
      </c>
      <c r="K3299" s="31" t="str">
        <f t="shared" si="359"/>
        <v/>
      </c>
      <c r="L3299" s="31" t="str">
        <f>IF(OR(B3299="",C3299=""),"",IFERROR(E3299 / SUMIFS('📅 Resumen Diario'!$D$5:$D$504, '📅 Resumen Diario'!$B$5:$B$504, B3299, '📅 Resumen Diario'!$C$5:$C$504, D3299) * SUMIFS('📅 Resumen Diario'!$K$5:$K$504, '📅 Resumen Diario'!$B$5:$B$504, B3299, '📅 Resumen Diario'!$C$5:$C$504, D3299), 0))</f>
        <v/>
      </c>
      <c r="M3299" s="31" t="str">
        <f t="shared" si="360"/>
        <v/>
      </c>
      <c r="N3299" s="31" t="str">
        <f t="shared" si="361"/>
        <v/>
      </c>
      <c r="O3299" s="31" t="str">
        <f>IF(OR(B3299="",C3299=""),"",K3299-N3299 + IFERROR(E3299 / SUMIFS('📅 Resumen Diario'!$D$5:$D$504, '📅 Resumen Diario'!$B$5:$B$504, B3299, '📅 Resumen Diario'!$C$5:$C$504, D3299) * (SUMIFS('📋 Detalle Diario'!$E$5:$E$489, '📋 Detalle Diario'!$B$5:$B$489, B3299, '📋 Detalle Diario'!$C$5:$C$489, D3299) * 135 + SUMIFS('📋 Detalle Diario'!$I$5:$I$489, '📋 Detalle Diario'!$B$5:$B$489, B3299, '📋 Detalle Diario'!$C$5:$C$489, D3299) * 200), 0))</f>
        <v/>
      </c>
      <c r="P3299" s="32" t="str">
        <f t="shared" si="362"/>
        <v/>
      </c>
      <c r="Q3299" s="33" t="str">
        <f t="shared" si="363"/>
        <v/>
      </c>
    </row>
    <row r="3300" spans="2:17" ht="18" customHeight="1" x14ac:dyDescent="0.3">
      <c r="B3300" s="26"/>
      <c r="C3300" s="17"/>
      <c r="D3300" s="27"/>
      <c r="E3300" s="18"/>
      <c r="F3300" s="18"/>
      <c r="G3300" s="18"/>
      <c r="H3300" s="30" t="str">
        <f t="shared" si="357"/>
        <v/>
      </c>
      <c r="I3300" s="31" t="str">
        <f>IF(OR(B3300="",C3300=""),"",IFERROR(E3300*IF(E3300="",0,VLOOKUP(C3300,'📦 Precios Proforma'!$B$5:$D$104,IF(D3300="DIA",2,3),FALSE)),0))</f>
        <v/>
      </c>
      <c r="J3300" s="31" t="str">
        <f t="shared" si="358"/>
        <v/>
      </c>
      <c r="K3300" s="31" t="str">
        <f t="shared" si="359"/>
        <v/>
      </c>
      <c r="L3300" s="31" t="str">
        <f>IF(OR(B3300="",C3300=""),"",IFERROR(E3300 / SUMIFS('📅 Resumen Diario'!$D$5:$D$504, '📅 Resumen Diario'!$B$5:$B$504, B3300, '📅 Resumen Diario'!$C$5:$C$504, D3300) * SUMIFS('📅 Resumen Diario'!$K$5:$K$504, '📅 Resumen Diario'!$B$5:$B$504, B3300, '📅 Resumen Diario'!$C$5:$C$504, D3300), 0))</f>
        <v/>
      </c>
      <c r="M3300" s="31" t="str">
        <f t="shared" si="360"/>
        <v/>
      </c>
      <c r="N3300" s="31" t="str">
        <f t="shared" si="361"/>
        <v/>
      </c>
      <c r="O3300" s="31" t="str">
        <f>IF(OR(B3300="",C3300=""),"",K3300-N3300 + IFERROR(E3300 / SUMIFS('📅 Resumen Diario'!$D$5:$D$504, '📅 Resumen Diario'!$B$5:$B$504, B3300, '📅 Resumen Diario'!$C$5:$C$504, D3300) * (SUMIFS('📋 Detalle Diario'!$E$5:$E$489, '📋 Detalle Diario'!$B$5:$B$489, B3300, '📋 Detalle Diario'!$C$5:$C$489, D3300) * 135 + SUMIFS('📋 Detalle Diario'!$I$5:$I$489, '📋 Detalle Diario'!$B$5:$B$489, B3300, '📋 Detalle Diario'!$C$5:$C$489, D3300) * 200), 0))</f>
        <v/>
      </c>
      <c r="P3300" s="32" t="str">
        <f t="shared" si="362"/>
        <v/>
      </c>
      <c r="Q3300" s="33" t="str">
        <f t="shared" si="363"/>
        <v/>
      </c>
    </row>
    <row r="3301" spans="2:17" ht="18" customHeight="1" x14ac:dyDescent="0.3">
      <c r="B3301" s="26"/>
      <c r="C3301" s="28"/>
      <c r="D3301" s="27"/>
      <c r="E3301" s="29"/>
      <c r="F3301" s="29"/>
      <c r="G3301" s="29"/>
      <c r="H3301" s="30" t="str">
        <f t="shared" si="357"/>
        <v/>
      </c>
      <c r="I3301" s="31" t="str">
        <f>IF(OR(B3301="",C3301=""),"",IFERROR(E3301*IF(E3301="",0,VLOOKUP(C3301,'📦 Precios Proforma'!$B$5:$D$104,IF(D3301="DIA",2,3),FALSE)),0))</f>
        <v/>
      </c>
      <c r="J3301" s="31" t="str">
        <f t="shared" si="358"/>
        <v/>
      </c>
      <c r="K3301" s="31" t="str">
        <f t="shared" si="359"/>
        <v/>
      </c>
      <c r="L3301" s="31" t="str">
        <f>IF(OR(B3301="",C3301=""),"",IFERROR(E3301 / SUMIFS('📅 Resumen Diario'!$D$5:$D$504, '📅 Resumen Diario'!$B$5:$B$504, B3301, '📅 Resumen Diario'!$C$5:$C$504, D3301) * SUMIFS('📅 Resumen Diario'!$K$5:$K$504, '📅 Resumen Diario'!$B$5:$B$504, B3301, '📅 Resumen Diario'!$C$5:$C$504, D3301), 0))</f>
        <v/>
      </c>
      <c r="M3301" s="31" t="str">
        <f t="shared" si="360"/>
        <v/>
      </c>
      <c r="N3301" s="31" t="str">
        <f t="shared" si="361"/>
        <v/>
      </c>
      <c r="O3301" s="31" t="str">
        <f>IF(OR(B3301="",C3301=""),"",K3301-N3301 + IFERROR(E3301 / SUMIFS('📅 Resumen Diario'!$D$5:$D$504, '📅 Resumen Diario'!$B$5:$B$504, B3301, '📅 Resumen Diario'!$C$5:$C$504, D3301) * (SUMIFS('📋 Detalle Diario'!$E$5:$E$489, '📋 Detalle Diario'!$B$5:$B$489, B3301, '📋 Detalle Diario'!$C$5:$C$489, D3301) * 135 + SUMIFS('📋 Detalle Diario'!$I$5:$I$489, '📋 Detalle Diario'!$B$5:$B$489, B3301, '📋 Detalle Diario'!$C$5:$C$489, D3301) * 200), 0))</f>
        <v/>
      </c>
      <c r="P3301" s="32" t="str">
        <f t="shared" si="362"/>
        <v/>
      </c>
      <c r="Q3301" s="33" t="str">
        <f t="shared" si="363"/>
        <v/>
      </c>
    </row>
    <row r="3302" spans="2:17" ht="18" customHeight="1" x14ac:dyDescent="0.3">
      <c r="B3302" s="26"/>
      <c r="C3302" s="17"/>
      <c r="D3302" s="27"/>
      <c r="E3302" s="18"/>
      <c r="F3302" s="18"/>
      <c r="G3302" s="18"/>
      <c r="H3302" s="30" t="str">
        <f t="shared" si="357"/>
        <v/>
      </c>
      <c r="I3302" s="31" t="str">
        <f>IF(OR(B3302="",C3302=""),"",IFERROR(E3302*IF(E3302="",0,VLOOKUP(C3302,'📦 Precios Proforma'!$B$5:$D$104,IF(D3302="DIA",2,3),FALSE)),0))</f>
        <v/>
      </c>
      <c r="J3302" s="31" t="str">
        <f t="shared" si="358"/>
        <v/>
      </c>
      <c r="K3302" s="31" t="str">
        <f t="shared" si="359"/>
        <v/>
      </c>
      <c r="L3302" s="31" t="str">
        <f>IF(OR(B3302="",C3302=""),"",IFERROR(E3302 / SUMIFS('📅 Resumen Diario'!$D$5:$D$504, '📅 Resumen Diario'!$B$5:$B$504, B3302, '📅 Resumen Diario'!$C$5:$C$504, D3302) * SUMIFS('📅 Resumen Diario'!$K$5:$K$504, '📅 Resumen Diario'!$B$5:$B$504, B3302, '📅 Resumen Diario'!$C$5:$C$504, D3302), 0))</f>
        <v/>
      </c>
      <c r="M3302" s="31" t="str">
        <f t="shared" si="360"/>
        <v/>
      </c>
      <c r="N3302" s="31" t="str">
        <f t="shared" si="361"/>
        <v/>
      </c>
      <c r="O3302" s="31" t="str">
        <f>IF(OR(B3302="",C3302=""),"",K3302-N3302 + IFERROR(E3302 / SUMIFS('📅 Resumen Diario'!$D$5:$D$504, '📅 Resumen Diario'!$B$5:$B$504, B3302, '📅 Resumen Diario'!$C$5:$C$504, D3302) * (SUMIFS('📋 Detalle Diario'!$E$5:$E$489, '📋 Detalle Diario'!$B$5:$B$489, B3302, '📋 Detalle Diario'!$C$5:$C$489, D3302) * 135 + SUMIFS('📋 Detalle Diario'!$I$5:$I$489, '📋 Detalle Diario'!$B$5:$B$489, B3302, '📋 Detalle Diario'!$C$5:$C$489, D3302) * 200), 0))</f>
        <v/>
      </c>
      <c r="P3302" s="32" t="str">
        <f t="shared" si="362"/>
        <v/>
      </c>
      <c r="Q3302" s="33" t="str">
        <f t="shared" si="363"/>
        <v/>
      </c>
    </row>
    <row r="3303" spans="2:17" ht="18" customHeight="1" x14ac:dyDescent="0.3">
      <c r="B3303" s="26"/>
      <c r="C3303" s="28"/>
      <c r="D3303" s="27"/>
      <c r="E3303" s="29"/>
      <c r="F3303" s="29"/>
      <c r="G3303" s="29"/>
      <c r="H3303" s="30" t="str">
        <f t="shared" si="357"/>
        <v/>
      </c>
      <c r="I3303" s="31" t="str">
        <f>IF(OR(B3303="",C3303=""),"",IFERROR(E3303*IF(E3303="",0,VLOOKUP(C3303,'📦 Precios Proforma'!$B$5:$D$104,IF(D3303="DIA",2,3),FALSE)),0))</f>
        <v/>
      </c>
      <c r="J3303" s="31" t="str">
        <f t="shared" si="358"/>
        <v/>
      </c>
      <c r="K3303" s="31" t="str">
        <f t="shared" si="359"/>
        <v/>
      </c>
      <c r="L3303" s="31" t="str">
        <f>IF(OR(B3303="",C3303=""),"",IFERROR(E3303 / SUMIFS('📅 Resumen Diario'!$D$5:$D$504, '📅 Resumen Diario'!$B$5:$B$504, B3303, '📅 Resumen Diario'!$C$5:$C$504, D3303) * SUMIFS('📅 Resumen Diario'!$K$5:$K$504, '📅 Resumen Diario'!$B$5:$B$504, B3303, '📅 Resumen Diario'!$C$5:$C$504, D3303), 0))</f>
        <v/>
      </c>
      <c r="M3303" s="31" t="str">
        <f t="shared" si="360"/>
        <v/>
      </c>
      <c r="N3303" s="31" t="str">
        <f t="shared" si="361"/>
        <v/>
      </c>
      <c r="O3303" s="31" t="str">
        <f>IF(OR(B3303="",C3303=""),"",K3303-N3303 + IFERROR(E3303 / SUMIFS('📅 Resumen Diario'!$D$5:$D$504, '📅 Resumen Diario'!$B$5:$B$504, B3303, '📅 Resumen Diario'!$C$5:$C$504, D3303) * (SUMIFS('📋 Detalle Diario'!$E$5:$E$489, '📋 Detalle Diario'!$B$5:$B$489, B3303, '📋 Detalle Diario'!$C$5:$C$489, D3303) * 135 + SUMIFS('📋 Detalle Diario'!$I$5:$I$489, '📋 Detalle Diario'!$B$5:$B$489, B3303, '📋 Detalle Diario'!$C$5:$C$489, D3303) * 200), 0))</f>
        <v/>
      </c>
      <c r="P3303" s="32" t="str">
        <f t="shared" si="362"/>
        <v/>
      </c>
      <c r="Q3303" s="33" t="str">
        <f t="shared" si="363"/>
        <v/>
      </c>
    </row>
    <row r="3304" spans="2:17" ht="18" customHeight="1" x14ac:dyDescent="0.3">
      <c r="B3304" s="26"/>
      <c r="C3304" s="17"/>
      <c r="D3304" s="27"/>
      <c r="E3304" s="18"/>
      <c r="F3304" s="18"/>
      <c r="G3304" s="18"/>
      <c r="H3304" s="30" t="str">
        <f t="shared" si="357"/>
        <v/>
      </c>
      <c r="I3304" s="31" t="str">
        <f>IF(OR(B3304="",C3304=""),"",IFERROR(E3304*IF(E3304="",0,VLOOKUP(C3304,'📦 Precios Proforma'!$B$5:$D$104,IF(D3304="DIA",2,3),FALSE)),0))</f>
        <v/>
      </c>
      <c r="J3304" s="31" t="str">
        <f t="shared" si="358"/>
        <v/>
      </c>
      <c r="K3304" s="31" t="str">
        <f t="shared" si="359"/>
        <v/>
      </c>
      <c r="L3304" s="31" t="str">
        <f>IF(OR(B3304="",C3304=""),"",IFERROR(E3304 / SUMIFS('📅 Resumen Diario'!$D$5:$D$504, '📅 Resumen Diario'!$B$5:$B$504, B3304, '📅 Resumen Diario'!$C$5:$C$504, D3304) * SUMIFS('📅 Resumen Diario'!$K$5:$K$504, '📅 Resumen Diario'!$B$5:$B$504, B3304, '📅 Resumen Diario'!$C$5:$C$504, D3304), 0))</f>
        <v/>
      </c>
      <c r="M3304" s="31" t="str">
        <f t="shared" si="360"/>
        <v/>
      </c>
      <c r="N3304" s="31" t="str">
        <f t="shared" si="361"/>
        <v/>
      </c>
      <c r="O3304" s="31" t="str">
        <f>IF(OR(B3304="",C3304=""),"",K3304-N3304 + IFERROR(E3304 / SUMIFS('📅 Resumen Diario'!$D$5:$D$504, '📅 Resumen Diario'!$B$5:$B$504, B3304, '📅 Resumen Diario'!$C$5:$C$504, D3304) * (SUMIFS('📋 Detalle Diario'!$E$5:$E$489, '📋 Detalle Diario'!$B$5:$B$489, B3304, '📋 Detalle Diario'!$C$5:$C$489, D3304) * 135 + SUMIFS('📋 Detalle Diario'!$I$5:$I$489, '📋 Detalle Diario'!$B$5:$B$489, B3304, '📋 Detalle Diario'!$C$5:$C$489, D3304) * 200), 0))</f>
        <v/>
      </c>
      <c r="P3304" s="32" t="str">
        <f t="shared" si="362"/>
        <v/>
      </c>
      <c r="Q3304" s="33" t="str">
        <f t="shared" si="363"/>
        <v/>
      </c>
    </row>
    <row r="3305" spans="2:17" ht="18" customHeight="1" x14ac:dyDescent="0.3">
      <c r="B3305" s="26"/>
      <c r="C3305" s="28"/>
      <c r="D3305" s="27"/>
      <c r="E3305" s="29"/>
      <c r="F3305" s="29"/>
      <c r="G3305" s="29"/>
      <c r="H3305" s="30" t="str">
        <f t="shared" si="357"/>
        <v/>
      </c>
      <c r="I3305" s="31" t="str">
        <f>IF(OR(B3305="",C3305=""),"",IFERROR(E3305*IF(E3305="",0,VLOOKUP(C3305,'📦 Precios Proforma'!$B$5:$D$104,IF(D3305="DIA",2,3),FALSE)),0))</f>
        <v/>
      </c>
      <c r="J3305" s="31" t="str">
        <f t="shared" si="358"/>
        <v/>
      </c>
      <c r="K3305" s="31" t="str">
        <f t="shared" si="359"/>
        <v/>
      </c>
      <c r="L3305" s="31" t="str">
        <f>IF(OR(B3305="",C3305=""),"",IFERROR(E3305 / SUMIFS('📅 Resumen Diario'!$D$5:$D$504, '📅 Resumen Diario'!$B$5:$B$504, B3305, '📅 Resumen Diario'!$C$5:$C$504, D3305) * SUMIFS('📅 Resumen Diario'!$K$5:$K$504, '📅 Resumen Diario'!$B$5:$B$504, B3305, '📅 Resumen Diario'!$C$5:$C$504, D3305), 0))</f>
        <v/>
      </c>
      <c r="M3305" s="31" t="str">
        <f t="shared" si="360"/>
        <v/>
      </c>
      <c r="N3305" s="31" t="str">
        <f t="shared" si="361"/>
        <v/>
      </c>
      <c r="O3305" s="31" t="str">
        <f>IF(OR(B3305="",C3305=""),"",K3305-N3305 + IFERROR(E3305 / SUMIFS('📅 Resumen Diario'!$D$5:$D$504, '📅 Resumen Diario'!$B$5:$B$504, B3305, '📅 Resumen Diario'!$C$5:$C$504, D3305) * (SUMIFS('📋 Detalle Diario'!$E$5:$E$489, '📋 Detalle Diario'!$B$5:$B$489, B3305, '📋 Detalle Diario'!$C$5:$C$489, D3305) * 135 + SUMIFS('📋 Detalle Diario'!$I$5:$I$489, '📋 Detalle Diario'!$B$5:$B$489, B3305, '📋 Detalle Diario'!$C$5:$C$489, D3305) * 200), 0))</f>
        <v/>
      </c>
      <c r="P3305" s="32" t="str">
        <f t="shared" si="362"/>
        <v/>
      </c>
      <c r="Q3305" s="33" t="str">
        <f t="shared" si="363"/>
        <v/>
      </c>
    </row>
    <row r="3306" spans="2:17" ht="18" customHeight="1" x14ac:dyDescent="0.3">
      <c r="B3306" s="26"/>
      <c r="C3306" s="17"/>
      <c r="D3306" s="27"/>
      <c r="E3306" s="18"/>
      <c r="F3306" s="18"/>
      <c r="G3306" s="18"/>
      <c r="H3306" s="30" t="str">
        <f t="shared" si="357"/>
        <v/>
      </c>
      <c r="I3306" s="31" t="str">
        <f>IF(OR(B3306="",C3306=""),"",IFERROR(E3306*IF(E3306="",0,VLOOKUP(C3306,'📦 Precios Proforma'!$B$5:$D$104,IF(D3306="DIA",2,3),FALSE)),0))</f>
        <v/>
      </c>
      <c r="J3306" s="31" t="str">
        <f t="shared" si="358"/>
        <v/>
      </c>
      <c r="K3306" s="31" t="str">
        <f t="shared" si="359"/>
        <v/>
      </c>
      <c r="L3306" s="31" t="str">
        <f>IF(OR(B3306="",C3306=""),"",IFERROR(E3306 / SUMIFS('📅 Resumen Diario'!$D$5:$D$504, '📅 Resumen Diario'!$B$5:$B$504, B3306, '📅 Resumen Diario'!$C$5:$C$504, D3306) * SUMIFS('📅 Resumen Diario'!$K$5:$K$504, '📅 Resumen Diario'!$B$5:$B$504, B3306, '📅 Resumen Diario'!$C$5:$C$504, D3306), 0))</f>
        <v/>
      </c>
      <c r="M3306" s="31" t="str">
        <f t="shared" si="360"/>
        <v/>
      </c>
      <c r="N3306" s="31" t="str">
        <f t="shared" si="361"/>
        <v/>
      </c>
      <c r="O3306" s="31" t="str">
        <f>IF(OR(B3306="",C3306=""),"",K3306-N3306 + IFERROR(E3306 / SUMIFS('📅 Resumen Diario'!$D$5:$D$504, '📅 Resumen Diario'!$B$5:$B$504, B3306, '📅 Resumen Diario'!$C$5:$C$504, D3306) * (SUMIFS('📋 Detalle Diario'!$E$5:$E$489, '📋 Detalle Diario'!$B$5:$B$489, B3306, '📋 Detalle Diario'!$C$5:$C$489, D3306) * 135 + SUMIFS('📋 Detalle Diario'!$I$5:$I$489, '📋 Detalle Diario'!$B$5:$B$489, B3306, '📋 Detalle Diario'!$C$5:$C$489, D3306) * 200), 0))</f>
        <v/>
      </c>
      <c r="P3306" s="32" t="str">
        <f t="shared" si="362"/>
        <v/>
      </c>
      <c r="Q3306" s="33" t="str">
        <f t="shared" si="363"/>
        <v/>
      </c>
    </row>
    <row r="3307" spans="2:17" ht="18" customHeight="1" x14ac:dyDescent="0.3">
      <c r="B3307" s="26"/>
      <c r="C3307" s="28"/>
      <c r="D3307" s="27"/>
      <c r="E3307" s="29"/>
      <c r="F3307" s="29"/>
      <c r="G3307" s="29"/>
      <c r="H3307" s="30" t="str">
        <f t="shared" si="357"/>
        <v/>
      </c>
      <c r="I3307" s="31" t="str">
        <f>IF(OR(B3307="",C3307=""),"",IFERROR(E3307*IF(E3307="",0,VLOOKUP(C3307,'📦 Precios Proforma'!$B$5:$D$104,IF(D3307="DIA",2,3),FALSE)),0))</f>
        <v/>
      </c>
      <c r="J3307" s="31" t="str">
        <f t="shared" si="358"/>
        <v/>
      </c>
      <c r="K3307" s="31" t="str">
        <f t="shared" si="359"/>
        <v/>
      </c>
      <c r="L3307" s="31" t="str">
        <f>IF(OR(B3307="",C3307=""),"",IFERROR(E3307 / SUMIFS('📅 Resumen Diario'!$D$5:$D$504, '📅 Resumen Diario'!$B$5:$B$504, B3307, '📅 Resumen Diario'!$C$5:$C$504, D3307) * SUMIFS('📅 Resumen Diario'!$K$5:$K$504, '📅 Resumen Diario'!$B$5:$B$504, B3307, '📅 Resumen Diario'!$C$5:$C$504, D3307), 0))</f>
        <v/>
      </c>
      <c r="M3307" s="31" t="str">
        <f t="shared" si="360"/>
        <v/>
      </c>
      <c r="N3307" s="31" t="str">
        <f t="shared" si="361"/>
        <v/>
      </c>
      <c r="O3307" s="31" t="str">
        <f>IF(OR(B3307="",C3307=""),"",K3307-N3307 + IFERROR(E3307 / SUMIFS('📅 Resumen Diario'!$D$5:$D$504, '📅 Resumen Diario'!$B$5:$B$504, B3307, '📅 Resumen Diario'!$C$5:$C$504, D3307) * (SUMIFS('📋 Detalle Diario'!$E$5:$E$489, '📋 Detalle Diario'!$B$5:$B$489, B3307, '📋 Detalle Diario'!$C$5:$C$489, D3307) * 135 + SUMIFS('📋 Detalle Diario'!$I$5:$I$489, '📋 Detalle Diario'!$B$5:$B$489, B3307, '📋 Detalle Diario'!$C$5:$C$489, D3307) * 200), 0))</f>
        <v/>
      </c>
      <c r="P3307" s="32" t="str">
        <f t="shared" si="362"/>
        <v/>
      </c>
      <c r="Q3307" s="33" t="str">
        <f t="shared" si="363"/>
        <v/>
      </c>
    </row>
    <row r="3308" spans="2:17" ht="18" customHeight="1" x14ac:dyDescent="0.3">
      <c r="B3308" s="26"/>
      <c r="C3308" s="17"/>
      <c r="D3308" s="27"/>
      <c r="E3308" s="18"/>
      <c r="F3308" s="18"/>
      <c r="G3308" s="18"/>
      <c r="H3308" s="30" t="str">
        <f t="shared" si="357"/>
        <v/>
      </c>
      <c r="I3308" s="31" t="str">
        <f>IF(OR(B3308="",C3308=""),"",IFERROR(E3308*IF(E3308="",0,VLOOKUP(C3308,'📦 Precios Proforma'!$B$5:$D$104,IF(D3308="DIA",2,3),FALSE)),0))</f>
        <v/>
      </c>
      <c r="J3308" s="31" t="str">
        <f t="shared" si="358"/>
        <v/>
      </c>
      <c r="K3308" s="31" t="str">
        <f t="shared" si="359"/>
        <v/>
      </c>
      <c r="L3308" s="31" t="str">
        <f>IF(OR(B3308="",C3308=""),"",IFERROR(E3308 / SUMIFS('📅 Resumen Diario'!$D$5:$D$504, '📅 Resumen Diario'!$B$5:$B$504, B3308, '📅 Resumen Diario'!$C$5:$C$504, D3308) * SUMIFS('📅 Resumen Diario'!$K$5:$K$504, '📅 Resumen Diario'!$B$5:$B$504, B3308, '📅 Resumen Diario'!$C$5:$C$504, D3308), 0))</f>
        <v/>
      </c>
      <c r="M3308" s="31" t="str">
        <f t="shared" si="360"/>
        <v/>
      </c>
      <c r="N3308" s="31" t="str">
        <f t="shared" si="361"/>
        <v/>
      </c>
      <c r="O3308" s="31" t="str">
        <f>IF(OR(B3308="",C3308=""),"",K3308-N3308 + IFERROR(E3308 / SUMIFS('📅 Resumen Diario'!$D$5:$D$504, '📅 Resumen Diario'!$B$5:$B$504, B3308, '📅 Resumen Diario'!$C$5:$C$504, D3308) * (SUMIFS('📋 Detalle Diario'!$E$5:$E$489, '📋 Detalle Diario'!$B$5:$B$489, B3308, '📋 Detalle Diario'!$C$5:$C$489, D3308) * 135 + SUMIFS('📋 Detalle Diario'!$I$5:$I$489, '📋 Detalle Diario'!$B$5:$B$489, B3308, '📋 Detalle Diario'!$C$5:$C$489, D3308) * 200), 0))</f>
        <v/>
      </c>
      <c r="P3308" s="32" t="str">
        <f t="shared" si="362"/>
        <v/>
      </c>
      <c r="Q3308" s="33" t="str">
        <f t="shared" si="363"/>
        <v/>
      </c>
    </row>
    <row r="3309" spans="2:17" ht="18" customHeight="1" x14ac:dyDescent="0.3">
      <c r="B3309" s="26"/>
      <c r="C3309" s="28"/>
      <c r="D3309" s="27"/>
      <c r="E3309" s="29"/>
      <c r="F3309" s="29"/>
      <c r="G3309" s="29"/>
      <c r="H3309" s="30" t="str">
        <f t="shared" si="357"/>
        <v/>
      </c>
      <c r="I3309" s="31" t="str">
        <f>IF(OR(B3309="",C3309=""),"",IFERROR(E3309*IF(E3309="",0,VLOOKUP(C3309,'📦 Precios Proforma'!$B$5:$D$104,IF(D3309="DIA",2,3),FALSE)),0))</f>
        <v/>
      </c>
      <c r="J3309" s="31" t="str">
        <f t="shared" si="358"/>
        <v/>
      </c>
      <c r="K3309" s="31" t="str">
        <f t="shared" si="359"/>
        <v/>
      </c>
      <c r="L3309" s="31" t="str">
        <f>IF(OR(B3309="",C3309=""),"",IFERROR(E3309 / SUMIFS('📅 Resumen Diario'!$D$5:$D$504, '📅 Resumen Diario'!$B$5:$B$504, B3309, '📅 Resumen Diario'!$C$5:$C$504, D3309) * SUMIFS('📅 Resumen Diario'!$K$5:$K$504, '📅 Resumen Diario'!$B$5:$B$504, B3309, '📅 Resumen Diario'!$C$5:$C$504, D3309), 0))</f>
        <v/>
      </c>
      <c r="M3309" s="31" t="str">
        <f t="shared" si="360"/>
        <v/>
      </c>
      <c r="N3309" s="31" t="str">
        <f t="shared" si="361"/>
        <v/>
      </c>
      <c r="O3309" s="31" t="str">
        <f>IF(OR(B3309="",C3309=""),"",K3309-N3309 + IFERROR(E3309 / SUMIFS('📅 Resumen Diario'!$D$5:$D$504, '📅 Resumen Diario'!$B$5:$B$504, B3309, '📅 Resumen Diario'!$C$5:$C$504, D3309) * (SUMIFS('📋 Detalle Diario'!$E$5:$E$489, '📋 Detalle Diario'!$B$5:$B$489, B3309, '📋 Detalle Diario'!$C$5:$C$489, D3309) * 135 + SUMIFS('📋 Detalle Diario'!$I$5:$I$489, '📋 Detalle Diario'!$B$5:$B$489, B3309, '📋 Detalle Diario'!$C$5:$C$489, D3309) * 200), 0))</f>
        <v/>
      </c>
      <c r="P3309" s="32" t="str">
        <f t="shared" si="362"/>
        <v/>
      </c>
      <c r="Q3309" s="33" t="str">
        <f t="shared" si="363"/>
        <v/>
      </c>
    </row>
    <row r="3310" spans="2:17" ht="18" customHeight="1" x14ac:dyDescent="0.3">
      <c r="B3310" s="26"/>
      <c r="C3310" s="17"/>
      <c r="D3310" s="27"/>
      <c r="E3310" s="18"/>
      <c r="F3310" s="18"/>
      <c r="G3310" s="18"/>
      <c r="H3310" s="30" t="str">
        <f t="shared" si="357"/>
        <v/>
      </c>
      <c r="I3310" s="31" t="str">
        <f>IF(OR(B3310="",C3310=""),"",IFERROR(E3310*IF(E3310="",0,VLOOKUP(C3310,'📦 Precios Proforma'!$B$5:$D$104,IF(D3310="DIA",2,3),FALSE)),0))</f>
        <v/>
      </c>
      <c r="J3310" s="31" t="str">
        <f t="shared" si="358"/>
        <v/>
      </c>
      <c r="K3310" s="31" t="str">
        <f t="shared" si="359"/>
        <v/>
      </c>
      <c r="L3310" s="31" t="str">
        <f>IF(OR(B3310="",C3310=""),"",IFERROR(E3310 / SUMIFS('📅 Resumen Diario'!$D$5:$D$504, '📅 Resumen Diario'!$B$5:$B$504, B3310, '📅 Resumen Diario'!$C$5:$C$504, D3310) * SUMIFS('📅 Resumen Diario'!$K$5:$K$504, '📅 Resumen Diario'!$B$5:$B$504, B3310, '📅 Resumen Diario'!$C$5:$C$504, D3310), 0))</f>
        <v/>
      </c>
      <c r="M3310" s="31" t="str">
        <f t="shared" si="360"/>
        <v/>
      </c>
      <c r="N3310" s="31" t="str">
        <f t="shared" si="361"/>
        <v/>
      </c>
      <c r="O3310" s="31" t="str">
        <f>IF(OR(B3310="",C3310=""),"",K3310-N3310 + IFERROR(E3310 / SUMIFS('📅 Resumen Diario'!$D$5:$D$504, '📅 Resumen Diario'!$B$5:$B$504, B3310, '📅 Resumen Diario'!$C$5:$C$504, D3310) * (SUMIFS('📋 Detalle Diario'!$E$5:$E$489, '📋 Detalle Diario'!$B$5:$B$489, B3310, '📋 Detalle Diario'!$C$5:$C$489, D3310) * 135 + SUMIFS('📋 Detalle Diario'!$I$5:$I$489, '📋 Detalle Diario'!$B$5:$B$489, B3310, '📋 Detalle Diario'!$C$5:$C$489, D3310) * 200), 0))</f>
        <v/>
      </c>
      <c r="P3310" s="32" t="str">
        <f t="shared" si="362"/>
        <v/>
      </c>
      <c r="Q3310" s="33" t="str">
        <f t="shared" si="363"/>
        <v/>
      </c>
    </row>
    <row r="3311" spans="2:17" ht="18" customHeight="1" x14ac:dyDescent="0.3">
      <c r="B3311" s="26"/>
      <c r="C3311" s="28"/>
      <c r="D3311" s="27"/>
      <c r="E3311" s="29"/>
      <c r="F3311" s="29"/>
      <c r="G3311" s="29"/>
      <c r="H3311" s="30" t="str">
        <f t="shared" si="357"/>
        <v/>
      </c>
      <c r="I3311" s="31" t="str">
        <f>IF(OR(B3311="",C3311=""),"",IFERROR(E3311*IF(E3311="",0,VLOOKUP(C3311,'📦 Precios Proforma'!$B$5:$D$104,IF(D3311="DIA",2,3),FALSE)),0))</f>
        <v/>
      </c>
      <c r="J3311" s="31" t="str">
        <f t="shared" si="358"/>
        <v/>
      </c>
      <c r="K3311" s="31" t="str">
        <f t="shared" si="359"/>
        <v/>
      </c>
      <c r="L3311" s="31" t="str">
        <f>IF(OR(B3311="",C3311=""),"",IFERROR(E3311 / SUMIFS('📅 Resumen Diario'!$D$5:$D$504, '📅 Resumen Diario'!$B$5:$B$504, B3311, '📅 Resumen Diario'!$C$5:$C$504, D3311) * SUMIFS('📅 Resumen Diario'!$K$5:$K$504, '📅 Resumen Diario'!$B$5:$B$504, B3311, '📅 Resumen Diario'!$C$5:$C$504, D3311), 0))</f>
        <v/>
      </c>
      <c r="M3311" s="31" t="str">
        <f t="shared" si="360"/>
        <v/>
      </c>
      <c r="N3311" s="31" t="str">
        <f t="shared" si="361"/>
        <v/>
      </c>
      <c r="O3311" s="31" t="str">
        <f>IF(OR(B3311="",C3311=""),"",K3311-N3311 + IFERROR(E3311 / SUMIFS('📅 Resumen Diario'!$D$5:$D$504, '📅 Resumen Diario'!$B$5:$B$504, B3311, '📅 Resumen Diario'!$C$5:$C$504, D3311) * (SUMIFS('📋 Detalle Diario'!$E$5:$E$489, '📋 Detalle Diario'!$B$5:$B$489, B3311, '📋 Detalle Diario'!$C$5:$C$489, D3311) * 135 + SUMIFS('📋 Detalle Diario'!$I$5:$I$489, '📋 Detalle Diario'!$B$5:$B$489, B3311, '📋 Detalle Diario'!$C$5:$C$489, D3311) * 200), 0))</f>
        <v/>
      </c>
      <c r="P3311" s="32" t="str">
        <f t="shared" si="362"/>
        <v/>
      </c>
      <c r="Q3311" s="33" t="str">
        <f t="shared" si="363"/>
        <v/>
      </c>
    </row>
    <row r="3312" spans="2:17" ht="18" customHeight="1" x14ac:dyDescent="0.3">
      <c r="B3312" s="26"/>
      <c r="C3312" s="17"/>
      <c r="D3312" s="27"/>
      <c r="E3312" s="18"/>
      <c r="F3312" s="18"/>
      <c r="G3312" s="18"/>
      <c r="H3312" s="30" t="str">
        <f t="shared" si="357"/>
        <v/>
      </c>
      <c r="I3312" s="31" t="str">
        <f>IF(OR(B3312="",C3312=""),"",IFERROR(E3312*IF(E3312="",0,VLOOKUP(C3312,'📦 Precios Proforma'!$B$5:$D$104,IF(D3312="DIA",2,3),FALSE)),0))</f>
        <v/>
      </c>
      <c r="J3312" s="31" t="str">
        <f t="shared" si="358"/>
        <v/>
      </c>
      <c r="K3312" s="31" t="str">
        <f t="shared" si="359"/>
        <v/>
      </c>
      <c r="L3312" s="31" t="str">
        <f>IF(OR(B3312="",C3312=""),"",IFERROR(E3312 / SUMIFS('📅 Resumen Diario'!$D$5:$D$504, '📅 Resumen Diario'!$B$5:$B$504, B3312, '📅 Resumen Diario'!$C$5:$C$504, D3312) * SUMIFS('📅 Resumen Diario'!$K$5:$K$504, '📅 Resumen Diario'!$B$5:$B$504, B3312, '📅 Resumen Diario'!$C$5:$C$504, D3312), 0))</f>
        <v/>
      </c>
      <c r="M3312" s="31" t="str">
        <f t="shared" si="360"/>
        <v/>
      </c>
      <c r="N3312" s="31" t="str">
        <f t="shared" si="361"/>
        <v/>
      </c>
      <c r="O3312" s="31" t="str">
        <f>IF(OR(B3312="",C3312=""),"",K3312-N3312 + IFERROR(E3312 / SUMIFS('📅 Resumen Diario'!$D$5:$D$504, '📅 Resumen Diario'!$B$5:$B$504, B3312, '📅 Resumen Diario'!$C$5:$C$504, D3312) * (SUMIFS('📋 Detalle Diario'!$E$5:$E$489, '📋 Detalle Diario'!$B$5:$B$489, B3312, '📋 Detalle Diario'!$C$5:$C$489, D3312) * 135 + SUMIFS('📋 Detalle Diario'!$I$5:$I$489, '📋 Detalle Diario'!$B$5:$B$489, B3312, '📋 Detalle Diario'!$C$5:$C$489, D3312) * 200), 0))</f>
        <v/>
      </c>
      <c r="P3312" s="32" t="str">
        <f t="shared" si="362"/>
        <v/>
      </c>
      <c r="Q3312" s="33" t="str">
        <f t="shared" si="363"/>
        <v/>
      </c>
    </row>
    <row r="3313" spans="2:17" ht="18" customHeight="1" x14ac:dyDescent="0.3">
      <c r="B3313" s="26"/>
      <c r="C3313" s="28"/>
      <c r="D3313" s="27"/>
      <c r="E3313" s="29"/>
      <c r="F3313" s="29"/>
      <c r="G3313" s="29"/>
      <c r="H3313" s="30" t="str">
        <f t="shared" si="357"/>
        <v/>
      </c>
      <c r="I3313" s="31" t="str">
        <f>IF(OR(B3313="",C3313=""),"",IFERROR(E3313*IF(E3313="",0,VLOOKUP(C3313,'📦 Precios Proforma'!$B$5:$D$104,IF(D3313="DIA",2,3),FALSE)),0))</f>
        <v/>
      </c>
      <c r="J3313" s="31" t="str">
        <f t="shared" si="358"/>
        <v/>
      </c>
      <c r="K3313" s="31" t="str">
        <f t="shared" si="359"/>
        <v/>
      </c>
      <c r="L3313" s="31" t="str">
        <f>IF(OR(B3313="",C3313=""),"",IFERROR(E3313 / SUMIFS('📅 Resumen Diario'!$D$5:$D$504, '📅 Resumen Diario'!$B$5:$B$504, B3313, '📅 Resumen Diario'!$C$5:$C$504, D3313) * SUMIFS('📅 Resumen Diario'!$K$5:$K$504, '📅 Resumen Diario'!$B$5:$B$504, B3313, '📅 Resumen Diario'!$C$5:$C$504, D3313), 0))</f>
        <v/>
      </c>
      <c r="M3313" s="31" t="str">
        <f t="shared" si="360"/>
        <v/>
      </c>
      <c r="N3313" s="31" t="str">
        <f t="shared" si="361"/>
        <v/>
      </c>
      <c r="O3313" s="31" t="str">
        <f>IF(OR(B3313="",C3313=""),"",K3313-N3313 + IFERROR(E3313 / SUMIFS('📅 Resumen Diario'!$D$5:$D$504, '📅 Resumen Diario'!$B$5:$B$504, B3313, '📅 Resumen Diario'!$C$5:$C$504, D3313) * (SUMIFS('📋 Detalle Diario'!$E$5:$E$489, '📋 Detalle Diario'!$B$5:$B$489, B3313, '📋 Detalle Diario'!$C$5:$C$489, D3313) * 135 + SUMIFS('📋 Detalle Diario'!$I$5:$I$489, '📋 Detalle Diario'!$B$5:$B$489, B3313, '📋 Detalle Diario'!$C$5:$C$489, D3313) * 200), 0))</f>
        <v/>
      </c>
      <c r="P3313" s="32" t="str">
        <f t="shared" si="362"/>
        <v/>
      </c>
      <c r="Q3313" s="33" t="str">
        <f t="shared" si="363"/>
        <v/>
      </c>
    </row>
    <row r="3314" spans="2:17" ht="18" customHeight="1" x14ac:dyDescent="0.3">
      <c r="B3314" s="26"/>
      <c r="C3314" s="17"/>
      <c r="D3314" s="27"/>
      <c r="E3314" s="18"/>
      <c r="F3314" s="18"/>
      <c r="G3314" s="18"/>
      <c r="H3314" s="30" t="str">
        <f t="shared" si="357"/>
        <v/>
      </c>
      <c r="I3314" s="31" t="str">
        <f>IF(OR(B3314="",C3314=""),"",IFERROR(E3314*IF(E3314="",0,VLOOKUP(C3314,'📦 Precios Proforma'!$B$5:$D$104,IF(D3314="DIA",2,3),FALSE)),0))</f>
        <v/>
      </c>
      <c r="J3314" s="31" t="str">
        <f t="shared" si="358"/>
        <v/>
      </c>
      <c r="K3314" s="31" t="str">
        <f t="shared" si="359"/>
        <v/>
      </c>
      <c r="L3314" s="31" t="str">
        <f>IF(OR(B3314="",C3314=""),"",IFERROR(E3314 / SUMIFS('📅 Resumen Diario'!$D$5:$D$504, '📅 Resumen Diario'!$B$5:$B$504, B3314, '📅 Resumen Diario'!$C$5:$C$504, D3314) * SUMIFS('📅 Resumen Diario'!$K$5:$K$504, '📅 Resumen Diario'!$B$5:$B$504, B3314, '📅 Resumen Diario'!$C$5:$C$504, D3314), 0))</f>
        <v/>
      </c>
      <c r="M3314" s="31" t="str">
        <f t="shared" si="360"/>
        <v/>
      </c>
      <c r="N3314" s="31" t="str">
        <f t="shared" si="361"/>
        <v/>
      </c>
      <c r="O3314" s="31" t="str">
        <f>IF(OR(B3314="",C3314=""),"",K3314-N3314 + IFERROR(E3314 / SUMIFS('📅 Resumen Diario'!$D$5:$D$504, '📅 Resumen Diario'!$B$5:$B$504, B3314, '📅 Resumen Diario'!$C$5:$C$504, D3314) * (SUMIFS('📋 Detalle Diario'!$E$5:$E$489, '📋 Detalle Diario'!$B$5:$B$489, B3314, '📋 Detalle Diario'!$C$5:$C$489, D3314) * 135 + SUMIFS('📋 Detalle Diario'!$I$5:$I$489, '📋 Detalle Diario'!$B$5:$B$489, B3314, '📋 Detalle Diario'!$C$5:$C$489, D3314) * 200), 0))</f>
        <v/>
      </c>
      <c r="P3314" s="32" t="str">
        <f t="shared" si="362"/>
        <v/>
      </c>
      <c r="Q3314" s="33" t="str">
        <f t="shared" si="363"/>
        <v/>
      </c>
    </row>
    <row r="3315" spans="2:17" ht="18" customHeight="1" x14ac:dyDescent="0.3">
      <c r="B3315" s="26"/>
      <c r="C3315" s="28"/>
      <c r="D3315" s="27"/>
      <c r="E3315" s="29"/>
      <c r="F3315" s="29"/>
      <c r="G3315" s="29"/>
      <c r="H3315" s="30" t="str">
        <f t="shared" si="357"/>
        <v/>
      </c>
      <c r="I3315" s="31" t="str">
        <f>IF(OR(B3315="",C3315=""),"",IFERROR(E3315*IF(E3315="",0,VLOOKUP(C3315,'📦 Precios Proforma'!$B$5:$D$104,IF(D3315="DIA",2,3),FALSE)),0))</f>
        <v/>
      </c>
      <c r="J3315" s="31" t="str">
        <f t="shared" si="358"/>
        <v/>
      </c>
      <c r="K3315" s="31" t="str">
        <f t="shared" si="359"/>
        <v/>
      </c>
      <c r="L3315" s="31" t="str">
        <f>IF(OR(B3315="",C3315=""),"",IFERROR(E3315 / SUMIFS('📅 Resumen Diario'!$D$5:$D$504, '📅 Resumen Diario'!$B$5:$B$504, B3315, '📅 Resumen Diario'!$C$5:$C$504, D3315) * SUMIFS('📅 Resumen Diario'!$K$5:$K$504, '📅 Resumen Diario'!$B$5:$B$504, B3315, '📅 Resumen Diario'!$C$5:$C$504, D3315), 0))</f>
        <v/>
      </c>
      <c r="M3315" s="31" t="str">
        <f t="shared" si="360"/>
        <v/>
      </c>
      <c r="N3315" s="31" t="str">
        <f t="shared" si="361"/>
        <v/>
      </c>
      <c r="O3315" s="31" t="str">
        <f>IF(OR(B3315="",C3315=""),"",K3315-N3315 + IFERROR(E3315 / SUMIFS('📅 Resumen Diario'!$D$5:$D$504, '📅 Resumen Diario'!$B$5:$B$504, B3315, '📅 Resumen Diario'!$C$5:$C$504, D3315) * (SUMIFS('📋 Detalle Diario'!$E$5:$E$489, '📋 Detalle Diario'!$B$5:$B$489, B3315, '📋 Detalle Diario'!$C$5:$C$489, D3315) * 135 + SUMIFS('📋 Detalle Diario'!$I$5:$I$489, '📋 Detalle Diario'!$B$5:$B$489, B3315, '📋 Detalle Diario'!$C$5:$C$489, D3315) * 200), 0))</f>
        <v/>
      </c>
      <c r="P3315" s="32" t="str">
        <f t="shared" si="362"/>
        <v/>
      </c>
      <c r="Q3315" s="33" t="str">
        <f t="shared" si="363"/>
        <v/>
      </c>
    </row>
    <row r="3316" spans="2:17" ht="18" customHeight="1" x14ac:dyDescent="0.3">
      <c r="B3316" s="26"/>
      <c r="C3316" s="17"/>
      <c r="D3316" s="27"/>
      <c r="E3316" s="18"/>
      <c r="F3316" s="18"/>
      <c r="G3316" s="18"/>
      <c r="H3316" s="30" t="str">
        <f t="shared" si="357"/>
        <v/>
      </c>
      <c r="I3316" s="31" t="str">
        <f>IF(OR(B3316="",C3316=""),"",IFERROR(E3316*IF(E3316="",0,VLOOKUP(C3316,'📦 Precios Proforma'!$B$5:$D$104,IF(D3316="DIA",2,3),FALSE)),0))</f>
        <v/>
      </c>
      <c r="J3316" s="31" t="str">
        <f t="shared" si="358"/>
        <v/>
      </c>
      <c r="K3316" s="31" t="str">
        <f t="shared" si="359"/>
        <v/>
      </c>
      <c r="L3316" s="31" t="str">
        <f>IF(OR(B3316="",C3316=""),"",IFERROR(E3316 / SUMIFS('📅 Resumen Diario'!$D$5:$D$504, '📅 Resumen Diario'!$B$5:$B$504, B3316, '📅 Resumen Diario'!$C$5:$C$504, D3316) * SUMIFS('📅 Resumen Diario'!$K$5:$K$504, '📅 Resumen Diario'!$B$5:$B$504, B3316, '📅 Resumen Diario'!$C$5:$C$504, D3316), 0))</f>
        <v/>
      </c>
      <c r="M3316" s="31" t="str">
        <f t="shared" si="360"/>
        <v/>
      </c>
      <c r="N3316" s="31" t="str">
        <f t="shared" si="361"/>
        <v/>
      </c>
      <c r="O3316" s="31" t="str">
        <f>IF(OR(B3316="",C3316=""),"",K3316-N3316 + IFERROR(E3316 / SUMIFS('📅 Resumen Diario'!$D$5:$D$504, '📅 Resumen Diario'!$B$5:$B$504, B3316, '📅 Resumen Diario'!$C$5:$C$504, D3316) * (SUMIFS('📋 Detalle Diario'!$E$5:$E$489, '📋 Detalle Diario'!$B$5:$B$489, B3316, '📋 Detalle Diario'!$C$5:$C$489, D3316) * 135 + SUMIFS('📋 Detalle Diario'!$I$5:$I$489, '📋 Detalle Diario'!$B$5:$B$489, B3316, '📋 Detalle Diario'!$C$5:$C$489, D3316) * 200), 0))</f>
        <v/>
      </c>
      <c r="P3316" s="32" t="str">
        <f t="shared" si="362"/>
        <v/>
      </c>
      <c r="Q3316" s="33" t="str">
        <f t="shared" si="363"/>
        <v/>
      </c>
    </row>
    <row r="3317" spans="2:17" ht="18" customHeight="1" x14ac:dyDescent="0.3">
      <c r="B3317" s="26"/>
      <c r="C3317" s="28"/>
      <c r="D3317" s="27"/>
      <c r="E3317" s="29"/>
      <c r="F3317" s="29"/>
      <c r="G3317" s="29"/>
      <c r="H3317" s="30" t="str">
        <f t="shared" si="357"/>
        <v/>
      </c>
      <c r="I3317" s="31" t="str">
        <f>IF(OR(B3317="",C3317=""),"",IFERROR(E3317*IF(E3317="",0,VLOOKUP(C3317,'📦 Precios Proforma'!$B$5:$D$104,IF(D3317="DIA",2,3),FALSE)),0))</f>
        <v/>
      </c>
      <c r="J3317" s="31" t="str">
        <f t="shared" si="358"/>
        <v/>
      </c>
      <c r="K3317" s="31" t="str">
        <f t="shared" si="359"/>
        <v/>
      </c>
      <c r="L3317" s="31" t="str">
        <f>IF(OR(B3317="",C3317=""),"",IFERROR(E3317 / SUMIFS('📅 Resumen Diario'!$D$5:$D$504, '📅 Resumen Diario'!$B$5:$B$504, B3317, '📅 Resumen Diario'!$C$5:$C$504, D3317) * SUMIFS('📅 Resumen Diario'!$K$5:$K$504, '📅 Resumen Diario'!$B$5:$B$504, B3317, '📅 Resumen Diario'!$C$5:$C$504, D3317), 0))</f>
        <v/>
      </c>
      <c r="M3317" s="31" t="str">
        <f t="shared" si="360"/>
        <v/>
      </c>
      <c r="N3317" s="31" t="str">
        <f t="shared" si="361"/>
        <v/>
      </c>
      <c r="O3317" s="31" t="str">
        <f>IF(OR(B3317="",C3317=""),"",K3317-N3317 + IFERROR(E3317 / SUMIFS('📅 Resumen Diario'!$D$5:$D$504, '📅 Resumen Diario'!$B$5:$B$504, B3317, '📅 Resumen Diario'!$C$5:$C$504, D3317) * (SUMIFS('📋 Detalle Diario'!$E$5:$E$489, '📋 Detalle Diario'!$B$5:$B$489, B3317, '📋 Detalle Diario'!$C$5:$C$489, D3317) * 135 + SUMIFS('📋 Detalle Diario'!$I$5:$I$489, '📋 Detalle Diario'!$B$5:$B$489, B3317, '📋 Detalle Diario'!$C$5:$C$489, D3317) * 200), 0))</f>
        <v/>
      </c>
      <c r="P3317" s="32" t="str">
        <f t="shared" si="362"/>
        <v/>
      </c>
      <c r="Q3317" s="33" t="str">
        <f t="shared" si="363"/>
        <v/>
      </c>
    </row>
    <row r="3318" spans="2:17" ht="18" customHeight="1" x14ac:dyDescent="0.3">
      <c r="B3318" s="26"/>
      <c r="C3318" s="17"/>
      <c r="D3318" s="27"/>
      <c r="E3318" s="18"/>
      <c r="F3318" s="18"/>
      <c r="G3318" s="18"/>
      <c r="H3318" s="30" t="str">
        <f t="shared" si="357"/>
        <v/>
      </c>
      <c r="I3318" s="31" t="str">
        <f>IF(OR(B3318="",C3318=""),"",IFERROR(E3318*IF(E3318="",0,VLOOKUP(C3318,'📦 Precios Proforma'!$B$5:$D$104,IF(D3318="DIA",2,3),FALSE)),0))</f>
        <v/>
      </c>
      <c r="J3318" s="31" t="str">
        <f t="shared" si="358"/>
        <v/>
      </c>
      <c r="K3318" s="31" t="str">
        <f t="shared" si="359"/>
        <v/>
      </c>
      <c r="L3318" s="31" t="str">
        <f>IF(OR(B3318="",C3318=""),"",IFERROR(E3318 / SUMIFS('📅 Resumen Diario'!$D$5:$D$504, '📅 Resumen Diario'!$B$5:$B$504, B3318, '📅 Resumen Diario'!$C$5:$C$504, D3318) * SUMIFS('📅 Resumen Diario'!$K$5:$K$504, '📅 Resumen Diario'!$B$5:$B$504, B3318, '📅 Resumen Diario'!$C$5:$C$504, D3318), 0))</f>
        <v/>
      </c>
      <c r="M3318" s="31" t="str">
        <f t="shared" si="360"/>
        <v/>
      </c>
      <c r="N3318" s="31" t="str">
        <f t="shared" si="361"/>
        <v/>
      </c>
      <c r="O3318" s="31" t="str">
        <f>IF(OR(B3318="",C3318=""),"",K3318-N3318 + IFERROR(E3318 / SUMIFS('📅 Resumen Diario'!$D$5:$D$504, '📅 Resumen Diario'!$B$5:$B$504, B3318, '📅 Resumen Diario'!$C$5:$C$504, D3318) * (SUMIFS('📋 Detalle Diario'!$E$5:$E$489, '📋 Detalle Diario'!$B$5:$B$489, B3318, '📋 Detalle Diario'!$C$5:$C$489, D3318) * 135 + SUMIFS('📋 Detalle Diario'!$I$5:$I$489, '📋 Detalle Diario'!$B$5:$B$489, B3318, '📋 Detalle Diario'!$C$5:$C$489, D3318) * 200), 0))</f>
        <v/>
      </c>
      <c r="P3318" s="32" t="str">
        <f t="shared" si="362"/>
        <v/>
      </c>
      <c r="Q3318" s="33" t="str">
        <f t="shared" si="363"/>
        <v/>
      </c>
    </row>
    <row r="3319" spans="2:17" ht="18" customHeight="1" x14ac:dyDescent="0.3">
      <c r="B3319" s="26"/>
      <c r="C3319" s="28"/>
      <c r="D3319" s="27"/>
      <c r="E3319" s="29"/>
      <c r="F3319" s="29"/>
      <c r="G3319" s="29"/>
      <c r="H3319" s="30" t="str">
        <f t="shared" si="357"/>
        <v/>
      </c>
      <c r="I3319" s="31" t="str">
        <f>IF(OR(B3319="",C3319=""),"",IFERROR(E3319*IF(E3319="",0,VLOOKUP(C3319,'📦 Precios Proforma'!$B$5:$D$104,IF(D3319="DIA",2,3),FALSE)),0))</f>
        <v/>
      </c>
      <c r="J3319" s="31" t="str">
        <f t="shared" si="358"/>
        <v/>
      </c>
      <c r="K3319" s="31" t="str">
        <f t="shared" si="359"/>
        <v/>
      </c>
      <c r="L3319" s="31" t="str">
        <f>IF(OR(B3319="",C3319=""),"",IFERROR(E3319 / SUMIFS('📅 Resumen Diario'!$D$5:$D$504, '📅 Resumen Diario'!$B$5:$B$504, B3319, '📅 Resumen Diario'!$C$5:$C$504, D3319) * SUMIFS('📅 Resumen Diario'!$K$5:$K$504, '📅 Resumen Diario'!$B$5:$B$504, B3319, '📅 Resumen Diario'!$C$5:$C$504, D3319), 0))</f>
        <v/>
      </c>
      <c r="M3319" s="31" t="str">
        <f t="shared" si="360"/>
        <v/>
      </c>
      <c r="N3319" s="31" t="str">
        <f t="shared" si="361"/>
        <v/>
      </c>
      <c r="O3319" s="31" t="str">
        <f>IF(OR(B3319="",C3319=""),"",K3319-N3319 + IFERROR(E3319 / SUMIFS('📅 Resumen Diario'!$D$5:$D$504, '📅 Resumen Diario'!$B$5:$B$504, B3319, '📅 Resumen Diario'!$C$5:$C$504, D3319) * (SUMIFS('📋 Detalle Diario'!$E$5:$E$489, '📋 Detalle Diario'!$B$5:$B$489, B3319, '📋 Detalle Diario'!$C$5:$C$489, D3319) * 135 + SUMIFS('📋 Detalle Diario'!$I$5:$I$489, '📋 Detalle Diario'!$B$5:$B$489, B3319, '📋 Detalle Diario'!$C$5:$C$489, D3319) * 200), 0))</f>
        <v/>
      </c>
      <c r="P3319" s="32" t="str">
        <f t="shared" si="362"/>
        <v/>
      </c>
      <c r="Q3319" s="33" t="str">
        <f t="shared" si="363"/>
        <v/>
      </c>
    </row>
    <row r="3320" spans="2:17" ht="18" customHeight="1" x14ac:dyDescent="0.3">
      <c r="B3320" s="26"/>
      <c r="C3320" s="17"/>
      <c r="D3320" s="27"/>
      <c r="E3320" s="18"/>
      <c r="F3320" s="18"/>
      <c r="G3320" s="18"/>
      <c r="H3320" s="30" t="str">
        <f t="shared" si="357"/>
        <v/>
      </c>
      <c r="I3320" s="31" t="str">
        <f>IF(OR(B3320="",C3320=""),"",IFERROR(E3320*IF(E3320="",0,VLOOKUP(C3320,'📦 Precios Proforma'!$B$5:$D$104,IF(D3320="DIA",2,3),FALSE)),0))</f>
        <v/>
      </c>
      <c r="J3320" s="31" t="str">
        <f t="shared" si="358"/>
        <v/>
      </c>
      <c r="K3320" s="31" t="str">
        <f t="shared" si="359"/>
        <v/>
      </c>
      <c r="L3320" s="31" t="str">
        <f>IF(OR(B3320="",C3320=""),"",IFERROR(E3320 / SUMIFS('📅 Resumen Diario'!$D$5:$D$504, '📅 Resumen Diario'!$B$5:$B$504, B3320, '📅 Resumen Diario'!$C$5:$C$504, D3320) * SUMIFS('📅 Resumen Diario'!$K$5:$K$504, '📅 Resumen Diario'!$B$5:$B$504, B3320, '📅 Resumen Diario'!$C$5:$C$504, D3320), 0))</f>
        <v/>
      </c>
      <c r="M3320" s="31" t="str">
        <f t="shared" si="360"/>
        <v/>
      </c>
      <c r="N3320" s="31" t="str">
        <f t="shared" si="361"/>
        <v/>
      </c>
      <c r="O3320" s="31" t="str">
        <f>IF(OR(B3320="",C3320=""),"",K3320-N3320 + IFERROR(E3320 / SUMIFS('📅 Resumen Diario'!$D$5:$D$504, '📅 Resumen Diario'!$B$5:$B$504, B3320, '📅 Resumen Diario'!$C$5:$C$504, D3320) * (SUMIFS('📋 Detalle Diario'!$E$5:$E$489, '📋 Detalle Diario'!$B$5:$B$489, B3320, '📋 Detalle Diario'!$C$5:$C$489, D3320) * 135 + SUMIFS('📋 Detalle Diario'!$I$5:$I$489, '📋 Detalle Diario'!$B$5:$B$489, B3320, '📋 Detalle Diario'!$C$5:$C$489, D3320) * 200), 0))</f>
        <v/>
      </c>
      <c r="P3320" s="32" t="str">
        <f t="shared" si="362"/>
        <v/>
      </c>
      <c r="Q3320" s="33" t="str">
        <f t="shared" si="363"/>
        <v/>
      </c>
    </row>
    <row r="3321" spans="2:17" ht="18" customHeight="1" x14ac:dyDescent="0.3">
      <c r="B3321" s="26"/>
      <c r="C3321" s="28"/>
      <c r="D3321" s="27"/>
      <c r="E3321" s="29"/>
      <c r="F3321" s="29"/>
      <c r="G3321" s="29"/>
      <c r="H3321" s="30" t="str">
        <f t="shared" si="357"/>
        <v/>
      </c>
      <c r="I3321" s="31" t="str">
        <f>IF(OR(B3321="",C3321=""),"",IFERROR(E3321*IF(E3321="",0,VLOOKUP(C3321,'📦 Precios Proforma'!$B$5:$D$104,IF(D3321="DIA",2,3),FALSE)),0))</f>
        <v/>
      </c>
      <c r="J3321" s="31" t="str">
        <f t="shared" si="358"/>
        <v/>
      </c>
      <c r="K3321" s="31" t="str">
        <f t="shared" si="359"/>
        <v/>
      </c>
      <c r="L3321" s="31" t="str">
        <f>IF(OR(B3321="",C3321=""),"",IFERROR(E3321 / SUMIFS('📅 Resumen Diario'!$D$5:$D$504, '📅 Resumen Diario'!$B$5:$B$504, B3321, '📅 Resumen Diario'!$C$5:$C$504, D3321) * SUMIFS('📅 Resumen Diario'!$K$5:$K$504, '📅 Resumen Diario'!$B$5:$B$504, B3321, '📅 Resumen Diario'!$C$5:$C$504, D3321), 0))</f>
        <v/>
      </c>
      <c r="M3321" s="31" t="str">
        <f t="shared" si="360"/>
        <v/>
      </c>
      <c r="N3321" s="31" t="str">
        <f t="shared" si="361"/>
        <v/>
      </c>
      <c r="O3321" s="31" t="str">
        <f>IF(OR(B3321="",C3321=""),"",K3321-N3321 + IFERROR(E3321 / SUMIFS('📅 Resumen Diario'!$D$5:$D$504, '📅 Resumen Diario'!$B$5:$B$504, B3321, '📅 Resumen Diario'!$C$5:$C$504, D3321) * (SUMIFS('📋 Detalle Diario'!$E$5:$E$489, '📋 Detalle Diario'!$B$5:$B$489, B3321, '📋 Detalle Diario'!$C$5:$C$489, D3321) * 135 + SUMIFS('📋 Detalle Diario'!$I$5:$I$489, '📋 Detalle Diario'!$B$5:$B$489, B3321, '📋 Detalle Diario'!$C$5:$C$489, D3321) * 200), 0))</f>
        <v/>
      </c>
      <c r="P3321" s="32" t="str">
        <f t="shared" si="362"/>
        <v/>
      </c>
      <c r="Q3321" s="33" t="str">
        <f t="shared" si="363"/>
        <v/>
      </c>
    </row>
    <row r="3322" spans="2:17" ht="18" customHeight="1" x14ac:dyDescent="0.3">
      <c r="B3322" s="26"/>
      <c r="C3322" s="17"/>
      <c r="D3322" s="27"/>
      <c r="E3322" s="18"/>
      <c r="F3322" s="18"/>
      <c r="G3322" s="18"/>
      <c r="H3322" s="30" t="str">
        <f t="shared" si="357"/>
        <v/>
      </c>
      <c r="I3322" s="31" t="str">
        <f>IF(OR(B3322="",C3322=""),"",IFERROR(E3322*IF(E3322="",0,VLOOKUP(C3322,'📦 Precios Proforma'!$B$5:$D$104,IF(D3322="DIA",2,3),FALSE)),0))</f>
        <v/>
      </c>
      <c r="J3322" s="31" t="str">
        <f t="shared" si="358"/>
        <v/>
      </c>
      <c r="K3322" s="31" t="str">
        <f t="shared" si="359"/>
        <v/>
      </c>
      <c r="L3322" s="31" t="str">
        <f>IF(OR(B3322="",C3322=""),"",IFERROR(E3322 / SUMIFS('📅 Resumen Diario'!$D$5:$D$504, '📅 Resumen Diario'!$B$5:$B$504, B3322, '📅 Resumen Diario'!$C$5:$C$504, D3322) * SUMIFS('📅 Resumen Diario'!$K$5:$K$504, '📅 Resumen Diario'!$B$5:$B$504, B3322, '📅 Resumen Diario'!$C$5:$C$504, D3322), 0))</f>
        <v/>
      </c>
      <c r="M3322" s="31" t="str">
        <f t="shared" si="360"/>
        <v/>
      </c>
      <c r="N3322" s="31" t="str">
        <f t="shared" si="361"/>
        <v/>
      </c>
      <c r="O3322" s="31" t="str">
        <f>IF(OR(B3322="",C3322=""),"",K3322-N3322 + IFERROR(E3322 / SUMIFS('📅 Resumen Diario'!$D$5:$D$504, '📅 Resumen Diario'!$B$5:$B$504, B3322, '📅 Resumen Diario'!$C$5:$C$504, D3322) * (SUMIFS('📋 Detalle Diario'!$E$5:$E$489, '📋 Detalle Diario'!$B$5:$B$489, B3322, '📋 Detalle Diario'!$C$5:$C$489, D3322) * 135 + SUMIFS('📋 Detalle Diario'!$I$5:$I$489, '📋 Detalle Diario'!$B$5:$B$489, B3322, '📋 Detalle Diario'!$C$5:$C$489, D3322) * 200), 0))</f>
        <v/>
      </c>
      <c r="P3322" s="32" t="str">
        <f t="shared" si="362"/>
        <v/>
      </c>
      <c r="Q3322" s="33" t="str">
        <f t="shared" si="363"/>
        <v/>
      </c>
    </row>
    <row r="3323" spans="2:17" ht="18" customHeight="1" x14ac:dyDescent="0.3">
      <c r="B3323" s="26"/>
      <c r="C3323" s="28"/>
      <c r="D3323" s="27"/>
      <c r="E3323" s="29"/>
      <c r="F3323" s="29"/>
      <c r="G3323" s="29"/>
      <c r="H3323" s="30" t="str">
        <f t="shared" si="357"/>
        <v/>
      </c>
      <c r="I3323" s="31" t="str">
        <f>IF(OR(B3323="",C3323=""),"",IFERROR(E3323*IF(E3323="",0,VLOOKUP(C3323,'📦 Precios Proforma'!$B$5:$D$104,IF(D3323="DIA",2,3),FALSE)),0))</f>
        <v/>
      </c>
      <c r="J3323" s="31" t="str">
        <f t="shared" si="358"/>
        <v/>
      </c>
      <c r="K3323" s="31" t="str">
        <f t="shared" si="359"/>
        <v/>
      </c>
      <c r="L3323" s="31" t="str">
        <f>IF(OR(B3323="",C3323=""),"",IFERROR(E3323 / SUMIFS('📅 Resumen Diario'!$D$5:$D$504, '📅 Resumen Diario'!$B$5:$B$504, B3323, '📅 Resumen Diario'!$C$5:$C$504, D3323) * SUMIFS('📅 Resumen Diario'!$K$5:$K$504, '📅 Resumen Diario'!$B$5:$B$504, B3323, '📅 Resumen Diario'!$C$5:$C$504, D3323), 0))</f>
        <v/>
      </c>
      <c r="M3323" s="31" t="str">
        <f t="shared" si="360"/>
        <v/>
      </c>
      <c r="N3323" s="31" t="str">
        <f t="shared" si="361"/>
        <v/>
      </c>
      <c r="O3323" s="31" t="str">
        <f>IF(OR(B3323="",C3323=""),"",K3323-N3323 + IFERROR(E3323 / SUMIFS('📅 Resumen Diario'!$D$5:$D$504, '📅 Resumen Diario'!$B$5:$B$504, B3323, '📅 Resumen Diario'!$C$5:$C$504, D3323) * (SUMIFS('📋 Detalle Diario'!$E$5:$E$489, '📋 Detalle Diario'!$B$5:$B$489, B3323, '📋 Detalle Diario'!$C$5:$C$489, D3323) * 135 + SUMIFS('📋 Detalle Diario'!$I$5:$I$489, '📋 Detalle Diario'!$B$5:$B$489, B3323, '📋 Detalle Diario'!$C$5:$C$489, D3323) * 200), 0))</f>
        <v/>
      </c>
      <c r="P3323" s="32" t="str">
        <f t="shared" si="362"/>
        <v/>
      </c>
      <c r="Q3323" s="33" t="str">
        <f t="shared" si="363"/>
        <v/>
      </c>
    </row>
    <row r="3324" spans="2:17" ht="18" customHeight="1" x14ac:dyDescent="0.3">
      <c r="B3324" s="26"/>
      <c r="C3324" s="17"/>
      <c r="D3324" s="27"/>
      <c r="E3324" s="18"/>
      <c r="F3324" s="18"/>
      <c r="G3324" s="18"/>
      <c r="H3324" s="30" t="str">
        <f t="shared" si="357"/>
        <v/>
      </c>
      <c r="I3324" s="31" t="str">
        <f>IF(OR(B3324="",C3324=""),"",IFERROR(E3324*IF(E3324="",0,VLOOKUP(C3324,'📦 Precios Proforma'!$B$5:$D$104,IF(D3324="DIA",2,3),FALSE)),0))</f>
        <v/>
      </c>
      <c r="J3324" s="31" t="str">
        <f t="shared" si="358"/>
        <v/>
      </c>
      <c r="K3324" s="31" t="str">
        <f t="shared" si="359"/>
        <v/>
      </c>
      <c r="L3324" s="31" t="str">
        <f>IF(OR(B3324="",C3324=""),"",IFERROR(E3324 / SUMIFS('📅 Resumen Diario'!$D$5:$D$504, '📅 Resumen Diario'!$B$5:$B$504, B3324, '📅 Resumen Diario'!$C$5:$C$504, D3324) * SUMIFS('📅 Resumen Diario'!$K$5:$K$504, '📅 Resumen Diario'!$B$5:$B$504, B3324, '📅 Resumen Diario'!$C$5:$C$504, D3324), 0))</f>
        <v/>
      </c>
      <c r="M3324" s="31" t="str">
        <f t="shared" si="360"/>
        <v/>
      </c>
      <c r="N3324" s="31" t="str">
        <f t="shared" si="361"/>
        <v/>
      </c>
      <c r="O3324" s="31" t="str">
        <f>IF(OR(B3324="",C3324=""),"",K3324-N3324 + IFERROR(E3324 / SUMIFS('📅 Resumen Diario'!$D$5:$D$504, '📅 Resumen Diario'!$B$5:$B$504, B3324, '📅 Resumen Diario'!$C$5:$C$504, D3324) * (SUMIFS('📋 Detalle Diario'!$E$5:$E$489, '📋 Detalle Diario'!$B$5:$B$489, B3324, '📋 Detalle Diario'!$C$5:$C$489, D3324) * 135 + SUMIFS('📋 Detalle Diario'!$I$5:$I$489, '📋 Detalle Diario'!$B$5:$B$489, B3324, '📋 Detalle Diario'!$C$5:$C$489, D3324) * 200), 0))</f>
        <v/>
      </c>
      <c r="P3324" s="32" t="str">
        <f t="shared" si="362"/>
        <v/>
      </c>
      <c r="Q3324" s="33" t="str">
        <f t="shared" si="363"/>
        <v/>
      </c>
    </row>
    <row r="3325" spans="2:17" ht="18" customHeight="1" x14ac:dyDescent="0.3">
      <c r="B3325" s="26"/>
      <c r="C3325" s="28"/>
      <c r="D3325" s="27"/>
      <c r="E3325" s="29"/>
      <c r="F3325" s="29"/>
      <c r="G3325" s="29"/>
      <c r="H3325" s="30" t="str">
        <f t="shared" si="357"/>
        <v/>
      </c>
      <c r="I3325" s="31" t="str">
        <f>IF(OR(B3325="",C3325=""),"",IFERROR(E3325*IF(E3325="",0,VLOOKUP(C3325,'📦 Precios Proforma'!$B$5:$D$104,IF(D3325="DIA",2,3),FALSE)),0))</f>
        <v/>
      </c>
      <c r="J3325" s="31" t="str">
        <f t="shared" si="358"/>
        <v/>
      </c>
      <c r="K3325" s="31" t="str">
        <f t="shared" si="359"/>
        <v/>
      </c>
      <c r="L3325" s="31" t="str">
        <f>IF(OR(B3325="",C3325=""),"",IFERROR(E3325 / SUMIFS('📅 Resumen Diario'!$D$5:$D$504, '📅 Resumen Diario'!$B$5:$B$504, B3325, '📅 Resumen Diario'!$C$5:$C$504, D3325) * SUMIFS('📅 Resumen Diario'!$K$5:$K$504, '📅 Resumen Diario'!$B$5:$B$504, B3325, '📅 Resumen Diario'!$C$5:$C$504, D3325), 0))</f>
        <v/>
      </c>
      <c r="M3325" s="31" t="str">
        <f t="shared" si="360"/>
        <v/>
      </c>
      <c r="N3325" s="31" t="str">
        <f t="shared" si="361"/>
        <v/>
      </c>
      <c r="O3325" s="31" t="str">
        <f>IF(OR(B3325="",C3325=""),"",K3325-N3325 + IFERROR(E3325 / SUMIFS('📅 Resumen Diario'!$D$5:$D$504, '📅 Resumen Diario'!$B$5:$B$504, B3325, '📅 Resumen Diario'!$C$5:$C$504, D3325) * (SUMIFS('📋 Detalle Diario'!$E$5:$E$489, '📋 Detalle Diario'!$B$5:$B$489, B3325, '📋 Detalle Diario'!$C$5:$C$489, D3325) * 135 + SUMIFS('📋 Detalle Diario'!$I$5:$I$489, '📋 Detalle Diario'!$B$5:$B$489, B3325, '📋 Detalle Diario'!$C$5:$C$489, D3325) * 200), 0))</f>
        <v/>
      </c>
      <c r="P3325" s="32" t="str">
        <f t="shared" si="362"/>
        <v/>
      </c>
      <c r="Q3325" s="33" t="str">
        <f t="shared" si="363"/>
        <v/>
      </c>
    </row>
    <row r="3326" spans="2:17" ht="18" customHeight="1" x14ac:dyDescent="0.3">
      <c r="B3326" s="26"/>
      <c r="C3326" s="17"/>
      <c r="D3326" s="27"/>
      <c r="E3326" s="18"/>
      <c r="F3326" s="18"/>
      <c r="G3326" s="18"/>
      <c r="H3326" s="30" t="str">
        <f t="shared" si="357"/>
        <v/>
      </c>
      <c r="I3326" s="31" t="str">
        <f>IF(OR(B3326="",C3326=""),"",IFERROR(E3326*IF(E3326="",0,VLOOKUP(C3326,'📦 Precios Proforma'!$B$5:$D$104,IF(D3326="DIA",2,3),FALSE)),0))</f>
        <v/>
      </c>
      <c r="J3326" s="31" t="str">
        <f t="shared" si="358"/>
        <v/>
      </c>
      <c r="K3326" s="31" t="str">
        <f t="shared" si="359"/>
        <v/>
      </c>
      <c r="L3326" s="31" t="str">
        <f>IF(OR(B3326="",C3326=""),"",IFERROR(E3326 / SUMIFS('📅 Resumen Diario'!$D$5:$D$504, '📅 Resumen Diario'!$B$5:$B$504, B3326, '📅 Resumen Diario'!$C$5:$C$504, D3326) * SUMIFS('📅 Resumen Diario'!$K$5:$K$504, '📅 Resumen Diario'!$B$5:$B$504, B3326, '📅 Resumen Diario'!$C$5:$C$504, D3326), 0))</f>
        <v/>
      </c>
      <c r="M3326" s="31" t="str">
        <f t="shared" si="360"/>
        <v/>
      </c>
      <c r="N3326" s="31" t="str">
        <f t="shared" si="361"/>
        <v/>
      </c>
      <c r="O3326" s="31" t="str">
        <f>IF(OR(B3326="",C3326=""),"",K3326-N3326 + IFERROR(E3326 / SUMIFS('📅 Resumen Diario'!$D$5:$D$504, '📅 Resumen Diario'!$B$5:$B$504, B3326, '📅 Resumen Diario'!$C$5:$C$504, D3326) * (SUMIFS('📋 Detalle Diario'!$E$5:$E$489, '📋 Detalle Diario'!$B$5:$B$489, B3326, '📋 Detalle Diario'!$C$5:$C$489, D3326) * 135 + SUMIFS('📋 Detalle Diario'!$I$5:$I$489, '📋 Detalle Diario'!$B$5:$B$489, B3326, '📋 Detalle Diario'!$C$5:$C$489, D3326) * 200), 0))</f>
        <v/>
      </c>
      <c r="P3326" s="32" t="str">
        <f t="shared" si="362"/>
        <v/>
      </c>
      <c r="Q3326" s="33" t="str">
        <f t="shared" si="363"/>
        <v/>
      </c>
    </row>
    <row r="3327" spans="2:17" ht="18" customHeight="1" x14ac:dyDescent="0.3">
      <c r="B3327" s="26"/>
      <c r="C3327" s="28"/>
      <c r="D3327" s="27"/>
      <c r="E3327" s="29"/>
      <c r="F3327" s="29"/>
      <c r="G3327" s="29"/>
      <c r="H3327" s="30" t="str">
        <f t="shared" si="357"/>
        <v/>
      </c>
      <c r="I3327" s="31" t="str">
        <f>IF(OR(B3327="",C3327=""),"",IFERROR(E3327*IF(E3327="",0,VLOOKUP(C3327,'📦 Precios Proforma'!$B$5:$D$104,IF(D3327="DIA",2,3),FALSE)),0))</f>
        <v/>
      </c>
      <c r="J3327" s="31" t="str">
        <f t="shared" si="358"/>
        <v/>
      </c>
      <c r="K3327" s="31" t="str">
        <f t="shared" si="359"/>
        <v/>
      </c>
      <c r="L3327" s="31" t="str">
        <f>IF(OR(B3327="",C3327=""),"",IFERROR(E3327 / SUMIFS('📅 Resumen Diario'!$D$5:$D$504, '📅 Resumen Diario'!$B$5:$B$504, B3327, '📅 Resumen Diario'!$C$5:$C$504, D3327) * SUMIFS('📅 Resumen Diario'!$K$5:$K$504, '📅 Resumen Diario'!$B$5:$B$504, B3327, '📅 Resumen Diario'!$C$5:$C$504, D3327), 0))</f>
        <v/>
      </c>
      <c r="M3327" s="31" t="str">
        <f t="shared" si="360"/>
        <v/>
      </c>
      <c r="N3327" s="31" t="str">
        <f t="shared" si="361"/>
        <v/>
      </c>
      <c r="O3327" s="31" t="str">
        <f>IF(OR(B3327="",C3327=""),"",K3327-N3327 + IFERROR(E3327 / SUMIFS('📅 Resumen Diario'!$D$5:$D$504, '📅 Resumen Diario'!$B$5:$B$504, B3327, '📅 Resumen Diario'!$C$5:$C$504, D3327) * (SUMIFS('📋 Detalle Diario'!$E$5:$E$489, '📋 Detalle Diario'!$B$5:$B$489, B3327, '📋 Detalle Diario'!$C$5:$C$489, D3327) * 135 + SUMIFS('📋 Detalle Diario'!$I$5:$I$489, '📋 Detalle Diario'!$B$5:$B$489, B3327, '📋 Detalle Diario'!$C$5:$C$489, D3327) * 200), 0))</f>
        <v/>
      </c>
      <c r="P3327" s="32" t="str">
        <f t="shared" si="362"/>
        <v/>
      </c>
      <c r="Q3327" s="33" t="str">
        <f t="shared" si="363"/>
        <v/>
      </c>
    </row>
    <row r="3328" spans="2:17" ht="18" customHeight="1" x14ac:dyDescent="0.3">
      <c r="B3328" s="26"/>
      <c r="C3328" s="17"/>
      <c r="D3328" s="27"/>
      <c r="E3328" s="18"/>
      <c r="F3328" s="18"/>
      <c r="G3328" s="18"/>
      <c r="H3328" s="30" t="str">
        <f t="shared" si="357"/>
        <v/>
      </c>
      <c r="I3328" s="31" t="str">
        <f>IF(OR(B3328="",C3328=""),"",IFERROR(E3328*IF(E3328="",0,VLOOKUP(C3328,'📦 Precios Proforma'!$B$5:$D$104,IF(D3328="DIA",2,3),FALSE)),0))</f>
        <v/>
      </c>
      <c r="J3328" s="31" t="str">
        <f t="shared" si="358"/>
        <v/>
      </c>
      <c r="K3328" s="31" t="str">
        <f t="shared" si="359"/>
        <v/>
      </c>
      <c r="L3328" s="31" t="str">
        <f>IF(OR(B3328="",C3328=""),"",IFERROR(E3328 / SUMIFS('📅 Resumen Diario'!$D$5:$D$504, '📅 Resumen Diario'!$B$5:$B$504, B3328, '📅 Resumen Diario'!$C$5:$C$504, D3328) * SUMIFS('📅 Resumen Diario'!$K$5:$K$504, '📅 Resumen Diario'!$B$5:$B$504, B3328, '📅 Resumen Diario'!$C$5:$C$504, D3328), 0))</f>
        <v/>
      </c>
      <c r="M3328" s="31" t="str">
        <f t="shared" si="360"/>
        <v/>
      </c>
      <c r="N3328" s="31" t="str">
        <f t="shared" si="361"/>
        <v/>
      </c>
      <c r="O3328" s="31" t="str">
        <f>IF(OR(B3328="",C3328=""),"",K3328-N3328 + IFERROR(E3328 / SUMIFS('📅 Resumen Diario'!$D$5:$D$504, '📅 Resumen Diario'!$B$5:$B$504, B3328, '📅 Resumen Diario'!$C$5:$C$504, D3328) * (SUMIFS('📋 Detalle Diario'!$E$5:$E$489, '📋 Detalle Diario'!$B$5:$B$489, B3328, '📋 Detalle Diario'!$C$5:$C$489, D3328) * 135 + SUMIFS('📋 Detalle Diario'!$I$5:$I$489, '📋 Detalle Diario'!$B$5:$B$489, B3328, '📋 Detalle Diario'!$C$5:$C$489, D3328) * 200), 0))</f>
        <v/>
      </c>
      <c r="P3328" s="32" t="str">
        <f t="shared" si="362"/>
        <v/>
      </c>
      <c r="Q3328" s="33" t="str">
        <f t="shared" si="363"/>
        <v/>
      </c>
    </row>
    <row r="3329" spans="2:17" ht="18" customHeight="1" x14ac:dyDescent="0.3">
      <c r="B3329" s="26"/>
      <c r="C3329" s="28"/>
      <c r="D3329" s="27"/>
      <c r="E3329" s="29"/>
      <c r="F3329" s="29"/>
      <c r="G3329" s="29"/>
      <c r="H3329" s="30" t="str">
        <f t="shared" si="357"/>
        <v/>
      </c>
      <c r="I3329" s="31" t="str">
        <f>IF(OR(B3329="",C3329=""),"",IFERROR(E3329*IF(E3329="",0,VLOOKUP(C3329,'📦 Precios Proforma'!$B$5:$D$104,IF(D3329="DIA",2,3),FALSE)),0))</f>
        <v/>
      </c>
      <c r="J3329" s="31" t="str">
        <f t="shared" si="358"/>
        <v/>
      </c>
      <c r="K3329" s="31" t="str">
        <f t="shared" si="359"/>
        <v/>
      </c>
      <c r="L3329" s="31" t="str">
        <f>IF(OR(B3329="",C3329=""),"",IFERROR(E3329 / SUMIFS('📅 Resumen Diario'!$D$5:$D$504, '📅 Resumen Diario'!$B$5:$B$504, B3329, '📅 Resumen Diario'!$C$5:$C$504, D3329) * SUMIFS('📅 Resumen Diario'!$K$5:$K$504, '📅 Resumen Diario'!$B$5:$B$504, B3329, '📅 Resumen Diario'!$C$5:$C$504, D3329), 0))</f>
        <v/>
      </c>
      <c r="M3329" s="31" t="str">
        <f t="shared" si="360"/>
        <v/>
      </c>
      <c r="N3329" s="31" t="str">
        <f t="shared" si="361"/>
        <v/>
      </c>
      <c r="O3329" s="31" t="str">
        <f>IF(OR(B3329="",C3329=""),"",K3329-N3329 + IFERROR(E3329 / SUMIFS('📅 Resumen Diario'!$D$5:$D$504, '📅 Resumen Diario'!$B$5:$B$504, B3329, '📅 Resumen Diario'!$C$5:$C$504, D3329) * (SUMIFS('📋 Detalle Diario'!$E$5:$E$489, '📋 Detalle Diario'!$B$5:$B$489, B3329, '📋 Detalle Diario'!$C$5:$C$489, D3329) * 135 + SUMIFS('📋 Detalle Diario'!$I$5:$I$489, '📋 Detalle Diario'!$B$5:$B$489, B3329, '📋 Detalle Diario'!$C$5:$C$489, D3329) * 200), 0))</f>
        <v/>
      </c>
      <c r="P3329" s="32" t="str">
        <f t="shared" si="362"/>
        <v/>
      </c>
      <c r="Q3329" s="33" t="str">
        <f t="shared" si="363"/>
        <v/>
      </c>
    </row>
    <row r="3330" spans="2:17" ht="18" customHeight="1" x14ac:dyDescent="0.3">
      <c r="B3330" s="26"/>
      <c r="C3330" s="17"/>
      <c r="D3330" s="27"/>
      <c r="E3330" s="18"/>
      <c r="F3330" s="18"/>
      <c r="G3330" s="18"/>
      <c r="H3330" s="30" t="str">
        <f t="shared" si="357"/>
        <v/>
      </c>
      <c r="I3330" s="31" t="str">
        <f>IF(OR(B3330="",C3330=""),"",IFERROR(E3330*IF(E3330="",0,VLOOKUP(C3330,'📦 Precios Proforma'!$B$5:$D$104,IF(D3330="DIA",2,3),FALSE)),0))</f>
        <v/>
      </c>
      <c r="J3330" s="31" t="str">
        <f t="shared" si="358"/>
        <v/>
      </c>
      <c r="K3330" s="31" t="str">
        <f t="shared" si="359"/>
        <v/>
      </c>
      <c r="L3330" s="31" t="str">
        <f>IF(OR(B3330="",C3330=""),"",IFERROR(E3330 / SUMIFS('📅 Resumen Diario'!$D$5:$D$504, '📅 Resumen Diario'!$B$5:$B$504, B3330, '📅 Resumen Diario'!$C$5:$C$504, D3330) * SUMIFS('📅 Resumen Diario'!$K$5:$K$504, '📅 Resumen Diario'!$B$5:$B$504, B3330, '📅 Resumen Diario'!$C$5:$C$504, D3330), 0))</f>
        <v/>
      </c>
      <c r="M3330" s="31" t="str">
        <f t="shared" si="360"/>
        <v/>
      </c>
      <c r="N3330" s="31" t="str">
        <f t="shared" si="361"/>
        <v/>
      </c>
      <c r="O3330" s="31" t="str">
        <f>IF(OR(B3330="",C3330=""),"",K3330-N3330 + IFERROR(E3330 / SUMIFS('📅 Resumen Diario'!$D$5:$D$504, '📅 Resumen Diario'!$B$5:$B$504, B3330, '📅 Resumen Diario'!$C$5:$C$504, D3330) * (SUMIFS('📋 Detalle Diario'!$E$5:$E$489, '📋 Detalle Diario'!$B$5:$B$489, B3330, '📋 Detalle Diario'!$C$5:$C$489, D3330) * 135 + SUMIFS('📋 Detalle Diario'!$I$5:$I$489, '📋 Detalle Diario'!$B$5:$B$489, B3330, '📋 Detalle Diario'!$C$5:$C$489, D3330) * 200), 0))</f>
        <v/>
      </c>
      <c r="P3330" s="32" t="str">
        <f t="shared" si="362"/>
        <v/>
      </c>
      <c r="Q3330" s="33" t="str">
        <f t="shared" si="363"/>
        <v/>
      </c>
    </row>
    <row r="3331" spans="2:17" ht="18" customHeight="1" x14ac:dyDescent="0.3">
      <c r="B3331" s="26"/>
      <c r="C3331" s="28"/>
      <c r="D3331" s="27"/>
      <c r="E3331" s="29"/>
      <c r="F3331" s="29"/>
      <c r="G3331" s="29"/>
      <c r="H3331" s="30" t="str">
        <f t="shared" si="357"/>
        <v/>
      </c>
      <c r="I3331" s="31" t="str">
        <f>IF(OR(B3331="",C3331=""),"",IFERROR(E3331*IF(E3331="",0,VLOOKUP(C3331,'📦 Precios Proforma'!$B$5:$D$104,IF(D3331="DIA",2,3),FALSE)),0))</f>
        <v/>
      </c>
      <c r="J3331" s="31" t="str">
        <f t="shared" si="358"/>
        <v/>
      </c>
      <c r="K3331" s="31" t="str">
        <f t="shared" si="359"/>
        <v/>
      </c>
      <c r="L3331" s="31" t="str">
        <f>IF(OR(B3331="",C3331=""),"",IFERROR(E3331 / SUMIFS('📅 Resumen Diario'!$D$5:$D$504, '📅 Resumen Diario'!$B$5:$B$504, B3331, '📅 Resumen Diario'!$C$5:$C$504, D3331) * SUMIFS('📅 Resumen Diario'!$K$5:$K$504, '📅 Resumen Diario'!$B$5:$B$504, B3331, '📅 Resumen Diario'!$C$5:$C$504, D3331), 0))</f>
        <v/>
      </c>
      <c r="M3331" s="31" t="str">
        <f t="shared" si="360"/>
        <v/>
      </c>
      <c r="N3331" s="31" t="str">
        <f t="shared" si="361"/>
        <v/>
      </c>
      <c r="O3331" s="31" t="str">
        <f>IF(OR(B3331="",C3331=""),"",K3331-N3331 + IFERROR(E3331 / SUMIFS('📅 Resumen Diario'!$D$5:$D$504, '📅 Resumen Diario'!$B$5:$B$504, B3331, '📅 Resumen Diario'!$C$5:$C$504, D3331) * (SUMIFS('📋 Detalle Diario'!$E$5:$E$489, '📋 Detalle Diario'!$B$5:$B$489, B3331, '📋 Detalle Diario'!$C$5:$C$489, D3331) * 135 + SUMIFS('📋 Detalle Diario'!$I$5:$I$489, '📋 Detalle Diario'!$B$5:$B$489, B3331, '📋 Detalle Diario'!$C$5:$C$489, D3331) * 200), 0))</f>
        <v/>
      </c>
      <c r="P3331" s="32" t="str">
        <f t="shared" si="362"/>
        <v/>
      </c>
      <c r="Q3331" s="33" t="str">
        <f t="shared" si="363"/>
        <v/>
      </c>
    </row>
    <row r="3332" spans="2:17" ht="18" customHeight="1" x14ac:dyDescent="0.3">
      <c r="B3332" s="26"/>
      <c r="C3332" s="17"/>
      <c r="D3332" s="27"/>
      <c r="E3332" s="18"/>
      <c r="F3332" s="18"/>
      <c r="G3332" s="18"/>
      <c r="H3332" s="30" t="str">
        <f t="shared" si="357"/>
        <v/>
      </c>
      <c r="I3332" s="31" t="str">
        <f>IF(OR(B3332="",C3332=""),"",IFERROR(E3332*IF(E3332="",0,VLOOKUP(C3332,'📦 Precios Proforma'!$B$5:$D$104,IF(D3332="DIA",2,3),FALSE)),0))</f>
        <v/>
      </c>
      <c r="J3332" s="31" t="str">
        <f t="shared" si="358"/>
        <v/>
      </c>
      <c r="K3332" s="31" t="str">
        <f t="shared" si="359"/>
        <v/>
      </c>
      <c r="L3332" s="31" t="str">
        <f>IF(OR(B3332="",C3332=""),"",IFERROR(E3332 / SUMIFS('📅 Resumen Diario'!$D$5:$D$504, '📅 Resumen Diario'!$B$5:$B$504, B3332, '📅 Resumen Diario'!$C$5:$C$504, D3332) * SUMIFS('📅 Resumen Diario'!$K$5:$K$504, '📅 Resumen Diario'!$B$5:$B$504, B3332, '📅 Resumen Diario'!$C$5:$C$504, D3332), 0))</f>
        <v/>
      </c>
      <c r="M3332" s="31" t="str">
        <f t="shared" si="360"/>
        <v/>
      </c>
      <c r="N3332" s="31" t="str">
        <f t="shared" si="361"/>
        <v/>
      </c>
      <c r="O3332" s="31" t="str">
        <f>IF(OR(B3332="",C3332=""),"",K3332-N3332 + IFERROR(E3332 / SUMIFS('📅 Resumen Diario'!$D$5:$D$504, '📅 Resumen Diario'!$B$5:$B$504, B3332, '📅 Resumen Diario'!$C$5:$C$504, D3332) * (SUMIFS('📋 Detalle Diario'!$E$5:$E$489, '📋 Detalle Diario'!$B$5:$B$489, B3332, '📋 Detalle Diario'!$C$5:$C$489, D3332) * 135 + SUMIFS('📋 Detalle Diario'!$I$5:$I$489, '📋 Detalle Diario'!$B$5:$B$489, B3332, '📋 Detalle Diario'!$C$5:$C$489, D3332) * 200), 0))</f>
        <v/>
      </c>
      <c r="P3332" s="32" t="str">
        <f t="shared" si="362"/>
        <v/>
      </c>
      <c r="Q3332" s="33" t="str">
        <f t="shared" si="363"/>
        <v/>
      </c>
    </row>
    <row r="3333" spans="2:17" ht="18" customHeight="1" x14ac:dyDescent="0.3">
      <c r="B3333" s="26"/>
      <c r="C3333" s="28"/>
      <c r="D3333" s="27"/>
      <c r="E3333" s="29"/>
      <c r="F3333" s="29"/>
      <c r="G3333" s="29"/>
      <c r="H3333" s="30" t="str">
        <f t="shared" si="357"/>
        <v/>
      </c>
      <c r="I3333" s="31" t="str">
        <f>IF(OR(B3333="",C3333=""),"",IFERROR(E3333*IF(E3333="",0,VLOOKUP(C3333,'📦 Precios Proforma'!$B$5:$D$104,IF(D3333="DIA",2,3),FALSE)),0))</f>
        <v/>
      </c>
      <c r="J3333" s="31" t="str">
        <f t="shared" si="358"/>
        <v/>
      </c>
      <c r="K3333" s="31" t="str">
        <f t="shared" si="359"/>
        <v/>
      </c>
      <c r="L3333" s="31" t="str">
        <f>IF(OR(B3333="",C3333=""),"",IFERROR(E3333 / SUMIFS('📅 Resumen Diario'!$D$5:$D$504, '📅 Resumen Diario'!$B$5:$B$504, B3333, '📅 Resumen Diario'!$C$5:$C$504, D3333) * SUMIFS('📅 Resumen Diario'!$K$5:$K$504, '📅 Resumen Diario'!$B$5:$B$504, B3333, '📅 Resumen Diario'!$C$5:$C$504, D3333), 0))</f>
        <v/>
      </c>
      <c r="M3333" s="31" t="str">
        <f t="shared" si="360"/>
        <v/>
      </c>
      <c r="N3333" s="31" t="str">
        <f t="shared" si="361"/>
        <v/>
      </c>
      <c r="O3333" s="31" t="str">
        <f>IF(OR(B3333="",C3333=""),"",K3333-N3333 + IFERROR(E3333 / SUMIFS('📅 Resumen Diario'!$D$5:$D$504, '📅 Resumen Diario'!$B$5:$B$504, B3333, '📅 Resumen Diario'!$C$5:$C$504, D3333) * (SUMIFS('📋 Detalle Diario'!$E$5:$E$489, '📋 Detalle Diario'!$B$5:$B$489, B3333, '📋 Detalle Diario'!$C$5:$C$489, D3333) * 135 + SUMIFS('📋 Detalle Diario'!$I$5:$I$489, '📋 Detalle Diario'!$B$5:$B$489, B3333, '📋 Detalle Diario'!$C$5:$C$489, D3333) * 200), 0))</f>
        <v/>
      </c>
      <c r="P3333" s="32" t="str">
        <f t="shared" si="362"/>
        <v/>
      </c>
      <c r="Q3333" s="33" t="str">
        <f t="shared" si="363"/>
        <v/>
      </c>
    </row>
    <row r="3334" spans="2:17" ht="18" customHeight="1" x14ac:dyDescent="0.3">
      <c r="B3334" s="26"/>
      <c r="C3334" s="17"/>
      <c r="D3334" s="27"/>
      <c r="E3334" s="18"/>
      <c r="F3334" s="18"/>
      <c r="G3334" s="18"/>
      <c r="H3334" s="30" t="str">
        <f t="shared" si="357"/>
        <v/>
      </c>
      <c r="I3334" s="31" t="str">
        <f>IF(OR(B3334="",C3334=""),"",IFERROR(E3334*IF(E3334="",0,VLOOKUP(C3334,'📦 Precios Proforma'!$B$5:$D$104,IF(D3334="DIA",2,3),FALSE)),0))</f>
        <v/>
      </c>
      <c r="J3334" s="31" t="str">
        <f t="shared" si="358"/>
        <v/>
      </c>
      <c r="K3334" s="31" t="str">
        <f t="shared" si="359"/>
        <v/>
      </c>
      <c r="L3334" s="31" t="str">
        <f>IF(OR(B3334="",C3334=""),"",IFERROR(E3334 / SUMIFS('📅 Resumen Diario'!$D$5:$D$504, '📅 Resumen Diario'!$B$5:$B$504, B3334, '📅 Resumen Diario'!$C$5:$C$504, D3334) * SUMIFS('📅 Resumen Diario'!$K$5:$K$504, '📅 Resumen Diario'!$B$5:$B$504, B3334, '📅 Resumen Diario'!$C$5:$C$504, D3334), 0))</f>
        <v/>
      </c>
      <c r="M3334" s="31" t="str">
        <f t="shared" si="360"/>
        <v/>
      </c>
      <c r="N3334" s="31" t="str">
        <f t="shared" si="361"/>
        <v/>
      </c>
      <c r="O3334" s="31" t="str">
        <f>IF(OR(B3334="",C3334=""),"",K3334-N3334 + IFERROR(E3334 / SUMIFS('📅 Resumen Diario'!$D$5:$D$504, '📅 Resumen Diario'!$B$5:$B$504, B3334, '📅 Resumen Diario'!$C$5:$C$504, D3334) * (SUMIFS('📋 Detalle Diario'!$E$5:$E$489, '📋 Detalle Diario'!$B$5:$B$489, B3334, '📋 Detalle Diario'!$C$5:$C$489, D3334) * 135 + SUMIFS('📋 Detalle Diario'!$I$5:$I$489, '📋 Detalle Diario'!$B$5:$B$489, B3334, '📋 Detalle Diario'!$C$5:$C$489, D3334) * 200), 0))</f>
        <v/>
      </c>
      <c r="P3334" s="32" t="str">
        <f t="shared" si="362"/>
        <v/>
      </c>
      <c r="Q3334" s="33" t="str">
        <f t="shared" si="363"/>
        <v/>
      </c>
    </row>
    <row r="3335" spans="2:17" ht="18" customHeight="1" x14ac:dyDescent="0.3">
      <c r="B3335" s="26"/>
      <c r="C3335" s="28"/>
      <c r="D3335" s="27"/>
      <c r="E3335" s="29"/>
      <c r="F3335" s="29"/>
      <c r="G3335" s="29"/>
      <c r="H3335" s="30" t="str">
        <f t="shared" ref="H3335:H3398" si="364">IF(OR(B3335="",C3335=""),"",F3335+G3335)</f>
        <v/>
      </c>
      <c r="I3335" s="31" t="str">
        <f>IF(OR(B3335="",C3335=""),"",IFERROR(E3335*IF(E3335="",0,VLOOKUP(C3335,'📦 Precios Proforma'!$B$5:$D$104,IF(D3335="DIA",2,3),FALSE)),0))</f>
        <v/>
      </c>
      <c r="J3335" s="31" t="str">
        <f t="shared" ref="J3335:J3398" si="365">IF(OR(B3335="",C3335=""),"",IF(D3335="DIA",H3335*1.01,H3335*1.35))</f>
        <v/>
      </c>
      <c r="K3335" s="31" t="str">
        <f t="shared" ref="K3335:K3398" si="366">IF(OR(B3335="",C3335=""),"",I3335+J3335)</f>
        <v/>
      </c>
      <c r="L3335" s="31" t="str">
        <f>IF(OR(B3335="",C3335=""),"",IFERROR(E3335 / SUMIFS('📅 Resumen Diario'!$D$5:$D$504, '📅 Resumen Diario'!$B$5:$B$504, B3335, '📅 Resumen Diario'!$C$5:$C$504, D3335) * SUMIFS('📅 Resumen Diario'!$K$5:$K$504, '📅 Resumen Diario'!$B$5:$B$504, B3335, '📅 Resumen Diario'!$C$5:$C$504, D3335), 0))</f>
        <v/>
      </c>
      <c r="M3335" s="31" t="str">
        <f t="shared" ref="M3335:M3398" si="367">IF(OR(B3335="",C3335=""),"",H3335*0.09)</f>
        <v/>
      </c>
      <c r="N3335" s="31" t="str">
        <f t="shared" ref="N3335:N3398" si="368">IF(OR(B3335="",C3335=""),"",L3335+M3335)</f>
        <v/>
      </c>
      <c r="O3335" s="31" t="str">
        <f>IF(OR(B3335="",C3335=""),"",K3335-N3335 + IFERROR(E3335 / SUMIFS('📅 Resumen Diario'!$D$5:$D$504, '📅 Resumen Diario'!$B$5:$B$504, B3335, '📅 Resumen Diario'!$C$5:$C$504, D3335) * (SUMIFS('📋 Detalle Diario'!$E$5:$E$489, '📋 Detalle Diario'!$B$5:$B$489, B3335, '📋 Detalle Diario'!$C$5:$C$489, D3335) * 135 + SUMIFS('📋 Detalle Diario'!$I$5:$I$489, '📋 Detalle Diario'!$B$5:$B$489, B3335, '📋 Detalle Diario'!$C$5:$C$489, D3335) * 200), 0))</f>
        <v/>
      </c>
      <c r="P3335" s="32" t="str">
        <f t="shared" ref="P3335:P3398" si="369">IF(OR(B3335="",C3335=""),"",IF(K3335=0, 0, O3335/K3335))</f>
        <v/>
      </c>
      <c r="Q3335" s="33" t="str">
        <f t="shared" ref="Q3335:Q3398" si="370">IF(B3335="","",IF(ISNUMBER(B3335),YEAR(B3335)&amp;"-"&amp;IF(MONTH(B3335)&lt;10,"0","")&amp;MONTH(B3335),LEFT(B3335,7)))</f>
        <v/>
      </c>
    </row>
    <row r="3336" spans="2:17" ht="18" customHeight="1" x14ac:dyDescent="0.3">
      <c r="B3336" s="26"/>
      <c r="C3336" s="17"/>
      <c r="D3336" s="27"/>
      <c r="E3336" s="18"/>
      <c r="F3336" s="18"/>
      <c r="G3336" s="18"/>
      <c r="H3336" s="30" t="str">
        <f t="shared" si="364"/>
        <v/>
      </c>
      <c r="I3336" s="31" t="str">
        <f>IF(OR(B3336="",C3336=""),"",IFERROR(E3336*IF(E3336="",0,VLOOKUP(C3336,'📦 Precios Proforma'!$B$5:$D$104,IF(D3336="DIA",2,3),FALSE)),0))</f>
        <v/>
      </c>
      <c r="J3336" s="31" t="str">
        <f t="shared" si="365"/>
        <v/>
      </c>
      <c r="K3336" s="31" t="str">
        <f t="shared" si="366"/>
        <v/>
      </c>
      <c r="L3336" s="31" t="str">
        <f>IF(OR(B3336="",C3336=""),"",IFERROR(E3336 / SUMIFS('📅 Resumen Diario'!$D$5:$D$504, '📅 Resumen Diario'!$B$5:$B$504, B3336, '📅 Resumen Diario'!$C$5:$C$504, D3336) * SUMIFS('📅 Resumen Diario'!$K$5:$K$504, '📅 Resumen Diario'!$B$5:$B$504, B3336, '📅 Resumen Diario'!$C$5:$C$504, D3336), 0))</f>
        <v/>
      </c>
      <c r="M3336" s="31" t="str">
        <f t="shared" si="367"/>
        <v/>
      </c>
      <c r="N3336" s="31" t="str">
        <f t="shared" si="368"/>
        <v/>
      </c>
      <c r="O3336" s="31" t="str">
        <f>IF(OR(B3336="",C3336=""),"",K3336-N3336 + IFERROR(E3336 / SUMIFS('📅 Resumen Diario'!$D$5:$D$504, '📅 Resumen Diario'!$B$5:$B$504, B3336, '📅 Resumen Diario'!$C$5:$C$504, D3336) * (SUMIFS('📋 Detalle Diario'!$E$5:$E$489, '📋 Detalle Diario'!$B$5:$B$489, B3336, '📋 Detalle Diario'!$C$5:$C$489, D3336) * 135 + SUMIFS('📋 Detalle Diario'!$I$5:$I$489, '📋 Detalle Diario'!$B$5:$B$489, B3336, '📋 Detalle Diario'!$C$5:$C$489, D3336) * 200), 0))</f>
        <v/>
      </c>
      <c r="P3336" s="32" t="str">
        <f t="shared" si="369"/>
        <v/>
      </c>
      <c r="Q3336" s="33" t="str">
        <f t="shared" si="370"/>
        <v/>
      </c>
    </row>
    <row r="3337" spans="2:17" ht="18" customHeight="1" x14ac:dyDescent="0.3">
      <c r="B3337" s="26"/>
      <c r="C3337" s="28"/>
      <c r="D3337" s="27"/>
      <c r="E3337" s="29"/>
      <c r="F3337" s="29"/>
      <c r="G3337" s="29"/>
      <c r="H3337" s="30" t="str">
        <f t="shared" si="364"/>
        <v/>
      </c>
      <c r="I3337" s="31" t="str">
        <f>IF(OR(B3337="",C3337=""),"",IFERROR(E3337*IF(E3337="",0,VLOOKUP(C3337,'📦 Precios Proforma'!$B$5:$D$104,IF(D3337="DIA",2,3),FALSE)),0))</f>
        <v/>
      </c>
      <c r="J3337" s="31" t="str">
        <f t="shared" si="365"/>
        <v/>
      </c>
      <c r="K3337" s="31" t="str">
        <f t="shared" si="366"/>
        <v/>
      </c>
      <c r="L3337" s="31" t="str">
        <f>IF(OR(B3337="",C3337=""),"",IFERROR(E3337 / SUMIFS('📅 Resumen Diario'!$D$5:$D$504, '📅 Resumen Diario'!$B$5:$B$504, B3337, '📅 Resumen Diario'!$C$5:$C$504, D3337) * SUMIFS('📅 Resumen Diario'!$K$5:$K$504, '📅 Resumen Diario'!$B$5:$B$504, B3337, '📅 Resumen Diario'!$C$5:$C$504, D3337), 0))</f>
        <v/>
      </c>
      <c r="M3337" s="31" t="str">
        <f t="shared" si="367"/>
        <v/>
      </c>
      <c r="N3337" s="31" t="str">
        <f t="shared" si="368"/>
        <v/>
      </c>
      <c r="O3337" s="31" t="str">
        <f>IF(OR(B3337="",C3337=""),"",K3337-N3337 + IFERROR(E3337 / SUMIFS('📅 Resumen Diario'!$D$5:$D$504, '📅 Resumen Diario'!$B$5:$B$504, B3337, '📅 Resumen Diario'!$C$5:$C$504, D3337) * (SUMIFS('📋 Detalle Diario'!$E$5:$E$489, '📋 Detalle Diario'!$B$5:$B$489, B3337, '📋 Detalle Diario'!$C$5:$C$489, D3337) * 135 + SUMIFS('📋 Detalle Diario'!$I$5:$I$489, '📋 Detalle Diario'!$B$5:$B$489, B3337, '📋 Detalle Diario'!$C$5:$C$489, D3337) * 200), 0))</f>
        <v/>
      </c>
      <c r="P3337" s="32" t="str">
        <f t="shared" si="369"/>
        <v/>
      </c>
      <c r="Q3337" s="33" t="str">
        <f t="shared" si="370"/>
        <v/>
      </c>
    </row>
    <row r="3338" spans="2:17" ht="18" customHeight="1" x14ac:dyDescent="0.3">
      <c r="B3338" s="26"/>
      <c r="C3338" s="17"/>
      <c r="D3338" s="27"/>
      <c r="E3338" s="18"/>
      <c r="F3338" s="18"/>
      <c r="G3338" s="18"/>
      <c r="H3338" s="30" t="str">
        <f t="shared" si="364"/>
        <v/>
      </c>
      <c r="I3338" s="31" t="str">
        <f>IF(OR(B3338="",C3338=""),"",IFERROR(E3338*IF(E3338="",0,VLOOKUP(C3338,'📦 Precios Proforma'!$B$5:$D$104,IF(D3338="DIA",2,3),FALSE)),0))</f>
        <v/>
      </c>
      <c r="J3338" s="31" t="str">
        <f t="shared" si="365"/>
        <v/>
      </c>
      <c r="K3338" s="31" t="str">
        <f t="shared" si="366"/>
        <v/>
      </c>
      <c r="L3338" s="31" t="str">
        <f>IF(OR(B3338="",C3338=""),"",IFERROR(E3338 / SUMIFS('📅 Resumen Diario'!$D$5:$D$504, '📅 Resumen Diario'!$B$5:$B$504, B3338, '📅 Resumen Diario'!$C$5:$C$504, D3338) * SUMIFS('📅 Resumen Diario'!$K$5:$K$504, '📅 Resumen Diario'!$B$5:$B$504, B3338, '📅 Resumen Diario'!$C$5:$C$504, D3338), 0))</f>
        <v/>
      </c>
      <c r="M3338" s="31" t="str">
        <f t="shared" si="367"/>
        <v/>
      </c>
      <c r="N3338" s="31" t="str">
        <f t="shared" si="368"/>
        <v/>
      </c>
      <c r="O3338" s="31" t="str">
        <f>IF(OR(B3338="",C3338=""),"",K3338-N3338 + IFERROR(E3338 / SUMIFS('📅 Resumen Diario'!$D$5:$D$504, '📅 Resumen Diario'!$B$5:$B$504, B3338, '📅 Resumen Diario'!$C$5:$C$504, D3338) * (SUMIFS('📋 Detalle Diario'!$E$5:$E$489, '📋 Detalle Diario'!$B$5:$B$489, B3338, '📋 Detalle Diario'!$C$5:$C$489, D3338) * 135 + SUMIFS('📋 Detalle Diario'!$I$5:$I$489, '📋 Detalle Diario'!$B$5:$B$489, B3338, '📋 Detalle Diario'!$C$5:$C$489, D3338) * 200), 0))</f>
        <v/>
      </c>
      <c r="P3338" s="32" t="str">
        <f t="shared" si="369"/>
        <v/>
      </c>
      <c r="Q3338" s="33" t="str">
        <f t="shared" si="370"/>
        <v/>
      </c>
    </row>
    <row r="3339" spans="2:17" ht="18" customHeight="1" x14ac:dyDescent="0.3">
      <c r="B3339" s="26"/>
      <c r="C3339" s="28"/>
      <c r="D3339" s="27"/>
      <c r="E3339" s="29"/>
      <c r="F3339" s="29"/>
      <c r="G3339" s="29"/>
      <c r="H3339" s="30" t="str">
        <f t="shared" si="364"/>
        <v/>
      </c>
      <c r="I3339" s="31" t="str">
        <f>IF(OR(B3339="",C3339=""),"",IFERROR(E3339*IF(E3339="",0,VLOOKUP(C3339,'📦 Precios Proforma'!$B$5:$D$104,IF(D3339="DIA",2,3),FALSE)),0))</f>
        <v/>
      </c>
      <c r="J3339" s="31" t="str">
        <f t="shared" si="365"/>
        <v/>
      </c>
      <c r="K3339" s="31" t="str">
        <f t="shared" si="366"/>
        <v/>
      </c>
      <c r="L3339" s="31" t="str">
        <f>IF(OR(B3339="",C3339=""),"",IFERROR(E3339 / SUMIFS('📅 Resumen Diario'!$D$5:$D$504, '📅 Resumen Diario'!$B$5:$B$504, B3339, '📅 Resumen Diario'!$C$5:$C$504, D3339) * SUMIFS('📅 Resumen Diario'!$K$5:$K$504, '📅 Resumen Diario'!$B$5:$B$504, B3339, '📅 Resumen Diario'!$C$5:$C$504, D3339), 0))</f>
        <v/>
      </c>
      <c r="M3339" s="31" t="str">
        <f t="shared" si="367"/>
        <v/>
      </c>
      <c r="N3339" s="31" t="str">
        <f t="shared" si="368"/>
        <v/>
      </c>
      <c r="O3339" s="31" t="str">
        <f>IF(OR(B3339="",C3339=""),"",K3339-N3339 + IFERROR(E3339 / SUMIFS('📅 Resumen Diario'!$D$5:$D$504, '📅 Resumen Diario'!$B$5:$B$504, B3339, '📅 Resumen Diario'!$C$5:$C$504, D3339) * (SUMIFS('📋 Detalle Diario'!$E$5:$E$489, '📋 Detalle Diario'!$B$5:$B$489, B3339, '📋 Detalle Diario'!$C$5:$C$489, D3339) * 135 + SUMIFS('📋 Detalle Diario'!$I$5:$I$489, '📋 Detalle Diario'!$B$5:$B$489, B3339, '📋 Detalle Diario'!$C$5:$C$489, D3339) * 200), 0))</f>
        <v/>
      </c>
      <c r="P3339" s="32" t="str">
        <f t="shared" si="369"/>
        <v/>
      </c>
      <c r="Q3339" s="33" t="str">
        <f t="shared" si="370"/>
        <v/>
      </c>
    </row>
    <row r="3340" spans="2:17" ht="18" customHeight="1" x14ac:dyDescent="0.3">
      <c r="B3340" s="26"/>
      <c r="C3340" s="17"/>
      <c r="D3340" s="27"/>
      <c r="E3340" s="18"/>
      <c r="F3340" s="18"/>
      <c r="G3340" s="18"/>
      <c r="H3340" s="30" t="str">
        <f t="shared" si="364"/>
        <v/>
      </c>
      <c r="I3340" s="31" t="str">
        <f>IF(OR(B3340="",C3340=""),"",IFERROR(E3340*IF(E3340="",0,VLOOKUP(C3340,'📦 Precios Proforma'!$B$5:$D$104,IF(D3340="DIA",2,3),FALSE)),0))</f>
        <v/>
      </c>
      <c r="J3340" s="31" t="str">
        <f t="shared" si="365"/>
        <v/>
      </c>
      <c r="K3340" s="31" t="str">
        <f t="shared" si="366"/>
        <v/>
      </c>
      <c r="L3340" s="31" t="str">
        <f>IF(OR(B3340="",C3340=""),"",IFERROR(E3340 / SUMIFS('📅 Resumen Diario'!$D$5:$D$504, '📅 Resumen Diario'!$B$5:$B$504, B3340, '📅 Resumen Diario'!$C$5:$C$504, D3340) * SUMIFS('📅 Resumen Diario'!$K$5:$K$504, '📅 Resumen Diario'!$B$5:$B$504, B3340, '📅 Resumen Diario'!$C$5:$C$504, D3340), 0))</f>
        <v/>
      </c>
      <c r="M3340" s="31" t="str">
        <f t="shared" si="367"/>
        <v/>
      </c>
      <c r="N3340" s="31" t="str">
        <f t="shared" si="368"/>
        <v/>
      </c>
      <c r="O3340" s="31" t="str">
        <f>IF(OR(B3340="",C3340=""),"",K3340-N3340 + IFERROR(E3340 / SUMIFS('📅 Resumen Diario'!$D$5:$D$504, '📅 Resumen Diario'!$B$5:$B$504, B3340, '📅 Resumen Diario'!$C$5:$C$504, D3340) * (SUMIFS('📋 Detalle Diario'!$E$5:$E$489, '📋 Detalle Diario'!$B$5:$B$489, B3340, '📋 Detalle Diario'!$C$5:$C$489, D3340) * 135 + SUMIFS('📋 Detalle Diario'!$I$5:$I$489, '📋 Detalle Diario'!$B$5:$B$489, B3340, '📋 Detalle Diario'!$C$5:$C$489, D3340) * 200), 0))</f>
        <v/>
      </c>
      <c r="P3340" s="32" t="str">
        <f t="shared" si="369"/>
        <v/>
      </c>
      <c r="Q3340" s="33" t="str">
        <f t="shared" si="370"/>
        <v/>
      </c>
    </row>
    <row r="3341" spans="2:17" ht="18" customHeight="1" x14ac:dyDescent="0.3">
      <c r="B3341" s="26"/>
      <c r="C3341" s="28"/>
      <c r="D3341" s="27"/>
      <c r="E3341" s="29"/>
      <c r="F3341" s="29"/>
      <c r="G3341" s="29"/>
      <c r="H3341" s="30" t="str">
        <f t="shared" si="364"/>
        <v/>
      </c>
      <c r="I3341" s="31" t="str">
        <f>IF(OR(B3341="",C3341=""),"",IFERROR(E3341*IF(E3341="",0,VLOOKUP(C3341,'📦 Precios Proforma'!$B$5:$D$104,IF(D3341="DIA",2,3),FALSE)),0))</f>
        <v/>
      </c>
      <c r="J3341" s="31" t="str">
        <f t="shared" si="365"/>
        <v/>
      </c>
      <c r="K3341" s="31" t="str">
        <f t="shared" si="366"/>
        <v/>
      </c>
      <c r="L3341" s="31" t="str">
        <f>IF(OR(B3341="",C3341=""),"",IFERROR(E3341 / SUMIFS('📅 Resumen Diario'!$D$5:$D$504, '📅 Resumen Diario'!$B$5:$B$504, B3341, '📅 Resumen Diario'!$C$5:$C$504, D3341) * SUMIFS('📅 Resumen Diario'!$K$5:$K$504, '📅 Resumen Diario'!$B$5:$B$504, B3341, '📅 Resumen Diario'!$C$5:$C$504, D3341), 0))</f>
        <v/>
      </c>
      <c r="M3341" s="31" t="str">
        <f t="shared" si="367"/>
        <v/>
      </c>
      <c r="N3341" s="31" t="str">
        <f t="shared" si="368"/>
        <v/>
      </c>
      <c r="O3341" s="31" t="str">
        <f>IF(OR(B3341="",C3341=""),"",K3341-N3341 + IFERROR(E3341 / SUMIFS('📅 Resumen Diario'!$D$5:$D$504, '📅 Resumen Diario'!$B$5:$B$504, B3341, '📅 Resumen Diario'!$C$5:$C$504, D3341) * (SUMIFS('📋 Detalle Diario'!$E$5:$E$489, '📋 Detalle Diario'!$B$5:$B$489, B3341, '📋 Detalle Diario'!$C$5:$C$489, D3341) * 135 + SUMIFS('📋 Detalle Diario'!$I$5:$I$489, '📋 Detalle Diario'!$B$5:$B$489, B3341, '📋 Detalle Diario'!$C$5:$C$489, D3341) * 200), 0))</f>
        <v/>
      </c>
      <c r="P3341" s="32" t="str">
        <f t="shared" si="369"/>
        <v/>
      </c>
      <c r="Q3341" s="33" t="str">
        <f t="shared" si="370"/>
        <v/>
      </c>
    </row>
    <row r="3342" spans="2:17" ht="18" customHeight="1" x14ac:dyDescent="0.3">
      <c r="B3342" s="26"/>
      <c r="C3342" s="17"/>
      <c r="D3342" s="27"/>
      <c r="E3342" s="18"/>
      <c r="F3342" s="18"/>
      <c r="G3342" s="18"/>
      <c r="H3342" s="30" t="str">
        <f t="shared" si="364"/>
        <v/>
      </c>
      <c r="I3342" s="31" t="str">
        <f>IF(OR(B3342="",C3342=""),"",IFERROR(E3342*IF(E3342="",0,VLOOKUP(C3342,'📦 Precios Proforma'!$B$5:$D$104,IF(D3342="DIA",2,3),FALSE)),0))</f>
        <v/>
      </c>
      <c r="J3342" s="31" t="str">
        <f t="shared" si="365"/>
        <v/>
      </c>
      <c r="K3342" s="31" t="str">
        <f t="shared" si="366"/>
        <v/>
      </c>
      <c r="L3342" s="31" t="str">
        <f>IF(OR(B3342="",C3342=""),"",IFERROR(E3342 / SUMIFS('📅 Resumen Diario'!$D$5:$D$504, '📅 Resumen Diario'!$B$5:$B$504, B3342, '📅 Resumen Diario'!$C$5:$C$504, D3342) * SUMIFS('📅 Resumen Diario'!$K$5:$K$504, '📅 Resumen Diario'!$B$5:$B$504, B3342, '📅 Resumen Diario'!$C$5:$C$504, D3342), 0))</f>
        <v/>
      </c>
      <c r="M3342" s="31" t="str">
        <f t="shared" si="367"/>
        <v/>
      </c>
      <c r="N3342" s="31" t="str">
        <f t="shared" si="368"/>
        <v/>
      </c>
      <c r="O3342" s="31" t="str">
        <f>IF(OR(B3342="",C3342=""),"",K3342-N3342 + IFERROR(E3342 / SUMIFS('📅 Resumen Diario'!$D$5:$D$504, '📅 Resumen Diario'!$B$5:$B$504, B3342, '📅 Resumen Diario'!$C$5:$C$504, D3342) * (SUMIFS('📋 Detalle Diario'!$E$5:$E$489, '📋 Detalle Diario'!$B$5:$B$489, B3342, '📋 Detalle Diario'!$C$5:$C$489, D3342) * 135 + SUMIFS('📋 Detalle Diario'!$I$5:$I$489, '📋 Detalle Diario'!$B$5:$B$489, B3342, '📋 Detalle Diario'!$C$5:$C$489, D3342) * 200), 0))</f>
        <v/>
      </c>
      <c r="P3342" s="32" t="str">
        <f t="shared" si="369"/>
        <v/>
      </c>
      <c r="Q3342" s="33" t="str">
        <f t="shared" si="370"/>
        <v/>
      </c>
    </row>
    <row r="3343" spans="2:17" ht="18" customHeight="1" x14ac:dyDescent="0.3">
      <c r="B3343" s="26"/>
      <c r="C3343" s="28"/>
      <c r="D3343" s="27"/>
      <c r="E3343" s="29"/>
      <c r="F3343" s="29"/>
      <c r="G3343" s="29"/>
      <c r="H3343" s="30" t="str">
        <f t="shared" si="364"/>
        <v/>
      </c>
      <c r="I3343" s="31" t="str">
        <f>IF(OR(B3343="",C3343=""),"",IFERROR(E3343*IF(E3343="",0,VLOOKUP(C3343,'📦 Precios Proforma'!$B$5:$D$104,IF(D3343="DIA",2,3),FALSE)),0))</f>
        <v/>
      </c>
      <c r="J3343" s="31" t="str">
        <f t="shared" si="365"/>
        <v/>
      </c>
      <c r="K3343" s="31" t="str">
        <f t="shared" si="366"/>
        <v/>
      </c>
      <c r="L3343" s="31" t="str">
        <f>IF(OR(B3343="",C3343=""),"",IFERROR(E3343 / SUMIFS('📅 Resumen Diario'!$D$5:$D$504, '📅 Resumen Diario'!$B$5:$B$504, B3343, '📅 Resumen Diario'!$C$5:$C$504, D3343) * SUMIFS('📅 Resumen Diario'!$K$5:$K$504, '📅 Resumen Diario'!$B$5:$B$504, B3343, '📅 Resumen Diario'!$C$5:$C$504, D3343), 0))</f>
        <v/>
      </c>
      <c r="M3343" s="31" t="str">
        <f t="shared" si="367"/>
        <v/>
      </c>
      <c r="N3343" s="31" t="str">
        <f t="shared" si="368"/>
        <v/>
      </c>
      <c r="O3343" s="31" t="str">
        <f>IF(OR(B3343="",C3343=""),"",K3343-N3343 + IFERROR(E3343 / SUMIFS('📅 Resumen Diario'!$D$5:$D$504, '📅 Resumen Diario'!$B$5:$B$504, B3343, '📅 Resumen Diario'!$C$5:$C$504, D3343) * (SUMIFS('📋 Detalle Diario'!$E$5:$E$489, '📋 Detalle Diario'!$B$5:$B$489, B3343, '📋 Detalle Diario'!$C$5:$C$489, D3343) * 135 + SUMIFS('📋 Detalle Diario'!$I$5:$I$489, '📋 Detalle Diario'!$B$5:$B$489, B3343, '📋 Detalle Diario'!$C$5:$C$489, D3343) * 200), 0))</f>
        <v/>
      </c>
      <c r="P3343" s="32" t="str">
        <f t="shared" si="369"/>
        <v/>
      </c>
      <c r="Q3343" s="33" t="str">
        <f t="shared" si="370"/>
        <v/>
      </c>
    </row>
    <row r="3344" spans="2:17" ht="18" customHeight="1" x14ac:dyDescent="0.3">
      <c r="B3344" s="26"/>
      <c r="C3344" s="17"/>
      <c r="D3344" s="27"/>
      <c r="E3344" s="18"/>
      <c r="F3344" s="18"/>
      <c r="G3344" s="18"/>
      <c r="H3344" s="30" t="str">
        <f t="shared" si="364"/>
        <v/>
      </c>
      <c r="I3344" s="31" t="str">
        <f>IF(OR(B3344="",C3344=""),"",IFERROR(E3344*IF(E3344="",0,VLOOKUP(C3344,'📦 Precios Proforma'!$B$5:$D$104,IF(D3344="DIA",2,3),FALSE)),0))</f>
        <v/>
      </c>
      <c r="J3344" s="31" t="str">
        <f t="shared" si="365"/>
        <v/>
      </c>
      <c r="K3344" s="31" t="str">
        <f t="shared" si="366"/>
        <v/>
      </c>
      <c r="L3344" s="31" t="str">
        <f>IF(OR(B3344="",C3344=""),"",IFERROR(E3344 / SUMIFS('📅 Resumen Diario'!$D$5:$D$504, '📅 Resumen Diario'!$B$5:$B$504, B3344, '📅 Resumen Diario'!$C$5:$C$504, D3344) * SUMIFS('📅 Resumen Diario'!$K$5:$K$504, '📅 Resumen Diario'!$B$5:$B$504, B3344, '📅 Resumen Diario'!$C$5:$C$504, D3344), 0))</f>
        <v/>
      </c>
      <c r="M3344" s="31" t="str">
        <f t="shared" si="367"/>
        <v/>
      </c>
      <c r="N3344" s="31" t="str">
        <f t="shared" si="368"/>
        <v/>
      </c>
      <c r="O3344" s="31" t="str">
        <f>IF(OR(B3344="",C3344=""),"",K3344-N3344 + IFERROR(E3344 / SUMIFS('📅 Resumen Diario'!$D$5:$D$504, '📅 Resumen Diario'!$B$5:$B$504, B3344, '📅 Resumen Diario'!$C$5:$C$504, D3344) * (SUMIFS('📋 Detalle Diario'!$E$5:$E$489, '📋 Detalle Diario'!$B$5:$B$489, B3344, '📋 Detalle Diario'!$C$5:$C$489, D3344) * 135 + SUMIFS('📋 Detalle Diario'!$I$5:$I$489, '📋 Detalle Diario'!$B$5:$B$489, B3344, '📋 Detalle Diario'!$C$5:$C$489, D3344) * 200), 0))</f>
        <v/>
      </c>
      <c r="P3344" s="32" t="str">
        <f t="shared" si="369"/>
        <v/>
      </c>
      <c r="Q3344" s="33" t="str">
        <f t="shared" si="370"/>
        <v/>
      </c>
    </row>
    <row r="3345" spans="2:17" ht="18" customHeight="1" x14ac:dyDescent="0.3">
      <c r="B3345" s="26"/>
      <c r="C3345" s="28"/>
      <c r="D3345" s="27"/>
      <c r="E3345" s="29"/>
      <c r="F3345" s="29"/>
      <c r="G3345" s="29"/>
      <c r="H3345" s="30" t="str">
        <f t="shared" si="364"/>
        <v/>
      </c>
      <c r="I3345" s="31" t="str">
        <f>IF(OR(B3345="",C3345=""),"",IFERROR(E3345*IF(E3345="",0,VLOOKUP(C3345,'📦 Precios Proforma'!$B$5:$D$104,IF(D3345="DIA",2,3),FALSE)),0))</f>
        <v/>
      </c>
      <c r="J3345" s="31" t="str">
        <f t="shared" si="365"/>
        <v/>
      </c>
      <c r="K3345" s="31" t="str">
        <f t="shared" si="366"/>
        <v/>
      </c>
      <c r="L3345" s="31" t="str">
        <f>IF(OR(B3345="",C3345=""),"",IFERROR(E3345 / SUMIFS('📅 Resumen Diario'!$D$5:$D$504, '📅 Resumen Diario'!$B$5:$B$504, B3345, '📅 Resumen Diario'!$C$5:$C$504, D3345) * SUMIFS('📅 Resumen Diario'!$K$5:$K$504, '📅 Resumen Diario'!$B$5:$B$504, B3345, '📅 Resumen Diario'!$C$5:$C$504, D3345), 0))</f>
        <v/>
      </c>
      <c r="M3345" s="31" t="str">
        <f t="shared" si="367"/>
        <v/>
      </c>
      <c r="N3345" s="31" t="str">
        <f t="shared" si="368"/>
        <v/>
      </c>
      <c r="O3345" s="31" t="str">
        <f>IF(OR(B3345="",C3345=""),"",K3345-N3345 + IFERROR(E3345 / SUMIFS('📅 Resumen Diario'!$D$5:$D$504, '📅 Resumen Diario'!$B$5:$B$504, B3345, '📅 Resumen Diario'!$C$5:$C$504, D3345) * (SUMIFS('📋 Detalle Diario'!$E$5:$E$489, '📋 Detalle Diario'!$B$5:$B$489, B3345, '📋 Detalle Diario'!$C$5:$C$489, D3345) * 135 + SUMIFS('📋 Detalle Diario'!$I$5:$I$489, '📋 Detalle Diario'!$B$5:$B$489, B3345, '📋 Detalle Diario'!$C$5:$C$489, D3345) * 200), 0))</f>
        <v/>
      </c>
      <c r="P3345" s="32" t="str">
        <f t="shared" si="369"/>
        <v/>
      </c>
      <c r="Q3345" s="33" t="str">
        <f t="shared" si="370"/>
        <v/>
      </c>
    </row>
    <row r="3346" spans="2:17" ht="18" customHeight="1" x14ac:dyDescent="0.3">
      <c r="B3346" s="26"/>
      <c r="C3346" s="17"/>
      <c r="D3346" s="27"/>
      <c r="E3346" s="18"/>
      <c r="F3346" s="18"/>
      <c r="G3346" s="18"/>
      <c r="H3346" s="30" t="str">
        <f t="shared" si="364"/>
        <v/>
      </c>
      <c r="I3346" s="31" t="str">
        <f>IF(OR(B3346="",C3346=""),"",IFERROR(E3346*IF(E3346="",0,VLOOKUP(C3346,'📦 Precios Proforma'!$B$5:$D$104,IF(D3346="DIA",2,3),FALSE)),0))</f>
        <v/>
      </c>
      <c r="J3346" s="31" t="str">
        <f t="shared" si="365"/>
        <v/>
      </c>
      <c r="K3346" s="31" t="str">
        <f t="shared" si="366"/>
        <v/>
      </c>
      <c r="L3346" s="31" t="str">
        <f>IF(OR(B3346="",C3346=""),"",IFERROR(E3346 / SUMIFS('📅 Resumen Diario'!$D$5:$D$504, '📅 Resumen Diario'!$B$5:$B$504, B3346, '📅 Resumen Diario'!$C$5:$C$504, D3346) * SUMIFS('📅 Resumen Diario'!$K$5:$K$504, '📅 Resumen Diario'!$B$5:$B$504, B3346, '📅 Resumen Diario'!$C$5:$C$504, D3346), 0))</f>
        <v/>
      </c>
      <c r="M3346" s="31" t="str">
        <f t="shared" si="367"/>
        <v/>
      </c>
      <c r="N3346" s="31" t="str">
        <f t="shared" si="368"/>
        <v/>
      </c>
      <c r="O3346" s="31" t="str">
        <f>IF(OR(B3346="",C3346=""),"",K3346-N3346 + IFERROR(E3346 / SUMIFS('📅 Resumen Diario'!$D$5:$D$504, '📅 Resumen Diario'!$B$5:$B$504, B3346, '📅 Resumen Diario'!$C$5:$C$504, D3346) * (SUMIFS('📋 Detalle Diario'!$E$5:$E$489, '📋 Detalle Diario'!$B$5:$B$489, B3346, '📋 Detalle Diario'!$C$5:$C$489, D3346) * 135 + SUMIFS('📋 Detalle Diario'!$I$5:$I$489, '📋 Detalle Diario'!$B$5:$B$489, B3346, '📋 Detalle Diario'!$C$5:$C$489, D3346) * 200), 0))</f>
        <v/>
      </c>
      <c r="P3346" s="32" t="str">
        <f t="shared" si="369"/>
        <v/>
      </c>
      <c r="Q3346" s="33" t="str">
        <f t="shared" si="370"/>
        <v/>
      </c>
    </row>
    <row r="3347" spans="2:17" ht="18" customHeight="1" x14ac:dyDescent="0.3">
      <c r="B3347" s="26"/>
      <c r="C3347" s="28"/>
      <c r="D3347" s="27"/>
      <c r="E3347" s="29"/>
      <c r="F3347" s="29"/>
      <c r="G3347" s="29"/>
      <c r="H3347" s="30" t="str">
        <f t="shared" si="364"/>
        <v/>
      </c>
      <c r="I3347" s="31" t="str">
        <f>IF(OR(B3347="",C3347=""),"",IFERROR(E3347*IF(E3347="",0,VLOOKUP(C3347,'📦 Precios Proforma'!$B$5:$D$104,IF(D3347="DIA",2,3),FALSE)),0))</f>
        <v/>
      </c>
      <c r="J3347" s="31" t="str">
        <f t="shared" si="365"/>
        <v/>
      </c>
      <c r="K3347" s="31" t="str">
        <f t="shared" si="366"/>
        <v/>
      </c>
      <c r="L3347" s="31" t="str">
        <f>IF(OR(B3347="",C3347=""),"",IFERROR(E3347 / SUMIFS('📅 Resumen Diario'!$D$5:$D$504, '📅 Resumen Diario'!$B$5:$B$504, B3347, '📅 Resumen Diario'!$C$5:$C$504, D3347) * SUMIFS('📅 Resumen Diario'!$K$5:$K$504, '📅 Resumen Diario'!$B$5:$B$504, B3347, '📅 Resumen Diario'!$C$5:$C$504, D3347), 0))</f>
        <v/>
      </c>
      <c r="M3347" s="31" t="str">
        <f t="shared" si="367"/>
        <v/>
      </c>
      <c r="N3347" s="31" t="str">
        <f t="shared" si="368"/>
        <v/>
      </c>
      <c r="O3347" s="31" t="str">
        <f>IF(OR(B3347="",C3347=""),"",K3347-N3347 + IFERROR(E3347 / SUMIFS('📅 Resumen Diario'!$D$5:$D$504, '📅 Resumen Diario'!$B$5:$B$504, B3347, '📅 Resumen Diario'!$C$5:$C$504, D3347) * (SUMIFS('📋 Detalle Diario'!$E$5:$E$489, '📋 Detalle Diario'!$B$5:$B$489, B3347, '📋 Detalle Diario'!$C$5:$C$489, D3347) * 135 + SUMIFS('📋 Detalle Diario'!$I$5:$I$489, '📋 Detalle Diario'!$B$5:$B$489, B3347, '📋 Detalle Diario'!$C$5:$C$489, D3347) * 200), 0))</f>
        <v/>
      </c>
      <c r="P3347" s="32" t="str">
        <f t="shared" si="369"/>
        <v/>
      </c>
      <c r="Q3347" s="33" t="str">
        <f t="shared" si="370"/>
        <v/>
      </c>
    </row>
    <row r="3348" spans="2:17" ht="18" customHeight="1" x14ac:dyDescent="0.3">
      <c r="B3348" s="26"/>
      <c r="C3348" s="17"/>
      <c r="D3348" s="27"/>
      <c r="E3348" s="18"/>
      <c r="F3348" s="18"/>
      <c r="G3348" s="18"/>
      <c r="H3348" s="30" t="str">
        <f t="shared" si="364"/>
        <v/>
      </c>
      <c r="I3348" s="31" t="str">
        <f>IF(OR(B3348="",C3348=""),"",IFERROR(E3348*IF(E3348="",0,VLOOKUP(C3348,'📦 Precios Proforma'!$B$5:$D$104,IF(D3348="DIA",2,3),FALSE)),0))</f>
        <v/>
      </c>
      <c r="J3348" s="31" t="str">
        <f t="shared" si="365"/>
        <v/>
      </c>
      <c r="K3348" s="31" t="str">
        <f t="shared" si="366"/>
        <v/>
      </c>
      <c r="L3348" s="31" t="str">
        <f>IF(OR(B3348="",C3348=""),"",IFERROR(E3348 / SUMIFS('📅 Resumen Diario'!$D$5:$D$504, '📅 Resumen Diario'!$B$5:$B$504, B3348, '📅 Resumen Diario'!$C$5:$C$504, D3348) * SUMIFS('📅 Resumen Diario'!$K$5:$K$504, '📅 Resumen Diario'!$B$5:$B$504, B3348, '📅 Resumen Diario'!$C$5:$C$504, D3348), 0))</f>
        <v/>
      </c>
      <c r="M3348" s="31" t="str">
        <f t="shared" si="367"/>
        <v/>
      </c>
      <c r="N3348" s="31" t="str">
        <f t="shared" si="368"/>
        <v/>
      </c>
      <c r="O3348" s="31" t="str">
        <f>IF(OR(B3348="",C3348=""),"",K3348-N3348 + IFERROR(E3348 / SUMIFS('📅 Resumen Diario'!$D$5:$D$504, '📅 Resumen Diario'!$B$5:$B$504, B3348, '📅 Resumen Diario'!$C$5:$C$504, D3348) * (SUMIFS('📋 Detalle Diario'!$E$5:$E$489, '📋 Detalle Diario'!$B$5:$B$489, B3348, '📋 Detalle Diario'!$C$5:$C$489, D3348) * 135 + SUMIFS('📋 Detalle Diario'!$I$5:$I$489, '📋 Detalle Diario'!$B$5:$B$489, B3348, '📋 Detalle Diario'!$C$5:$C$489, D3348) * 200), 0))</f>
        <v/>
      </c>
      <c r="P3348" s="32" t="str">
        <f t="shared" si="369"/>
        <v/>
      </c>
      <c r="Q3348" s="33" t="str">
        <f t="shared" si="370"/>
        <v/>
      </c>
    </row>
    <row r="3349" spans="2:17" ht="18" customHeight="1" x14ac:dyDescent="0.3">
      <c r="B3349" s="26"/>
      <c r="C3349" s="28"/>
      <c r="D3349" s="27"/>
      <c r="E3349" s="29"/>
      <c r="F3349" s="29"/>
      <c r="G3349" s="29"/>
      <c r="H3349" s="30" t="str">
        <f t="shared" si="364"/>
        <v/>
      </c>
      <c r="I3349" s="31" t="str">
        <f>IF(OR(B3349="",C3349=""),"",IFERROR(E3349*IF(E3349="",0,VLOOKUP(C3349,'📦 Precios Proforma'!$B$5:$D$104,IF(D3349="DIA",2,3),FALSE)),0))</f>
        <v/>
      </c>
      <c r="J3349" s="31" t="str">
        <f t="shared" si="365"/>
        <v/>
      </c>
      <c r="K3349" s="31" t="str">
        <f t="shared" si="366"/>
        <v/>
      </c>
      <c r="L3349" s="31" t="str">
        <f>IF(OR(B3349="",C3349=""),"",IFERROR(E3349 / SUMIFS('📅 Resumen Diario'!$D$5:$D$504, '📅 Resumen Diario'!$B$5:$B$504, B3349, '📅 Resumen Diario'!$C$5:$C$504, D3349) * SUMIFS('📅 Resumen Diario'!$K$5:$K$504, '📅 Resumen Diario'!$B$5:$B$504, B3349, '📅 Resumen Diario'!$C$5:$C$504, D3349), 0))</f>
        <v/>
      </c>
      <c r="M3349" s="31" t="str">
        <f t="shared" si="367"/>
        <v/>
      </c>
      <c r="N3349" s="31" t="str">
        <f t="shared" si="368"/>
        <v/>
      </c>
      <c r="O3349" s="31" t="str">
        <f>IF(OR(B3349="",C3349=""),"",K3349-N3349 + IFERROR(E3349 / SUMIFS('📅 Resumen Diario'!$D$5:$D$504, '📅 Resumen Diario'!$B$5:$B$504, B3349, '📅 Resumen Diario'!$C$5:$C$504, D3349) * (SUMIFS('📋 Detalle Diario'!$E$5:$E$489, '📋 Detalle Diario'!$B$5:$B$489, B3349, '📋 Detalle Diario'!$C$5:$C$489, D3349) * 135 + SUMIFS('📋 Detalle Diario'!$I$5:$I$489, '📋 Detalle Diario'!$B$5:$B$489, B3349, '📋 Detalle Diario'!$C$5:$C$489, D3349) * 200), 0))</f>
        <v/>
      </c>
      <c r="P3349" s="32" t="str">
        <f t="shared" si="369"/>
        <v/>
      </c>
      <c r="Q3349" s="33" t="str">
        <f t="shared" si="370"/>
        <v/>
      </c>
    </row>
    <row r="3350" spans="2:17" ht="18" customHeight="1" x14ac:dyDescent="0.3">
      <c r="B3350" s="26"/>
      <c r="C3350" s="17"/>
      <c r="D3350" s="27"/>
      <c r="E3350" s="18"/>
      <c r="F3350" s="18"/>
      <c r="G3350" s="18"/>
      <c r="H3350" s="30" t="str">
        <f t="shared" si="364"/>
        <v/>
      </c>
      <c r="I3350" s="31" t="str">
        <f>IF(OR(B3350="",C3350=""),"",IFERROR(E3350*IF(E3350="",0,VLOOKUP(C3350,'📦 Precios Proforma'!$B$5:$D$104,IF(D3350="DIA",2,3),FALSE)),0))</f>
        <v/>
      </c>
      <c r="J3350" s="31" t="str">
        <f t="shared" si="365"/>
        <v/>
      </c>
      <c r="K3350" s="31" t="str">
        <f t="shared" si="366"/>
        <v/>
      </c>
      <c r="L3350" s="31" t="str">
        <f>IF(OR(B3350="",C3350=""),"",IFERROR(E3350 / SUMIFS('📅 Resumen Diario'!$D$5:$D$504, '📅 Resumen Diario'!$B$5:$B$504, B3350, '📅 Resumen Diario'!$C$5:$C$504, D3350) * SUMIFS('📅 Resumen Diario'!$K$5:$K$504, '📅 Resumen Diario'!$B$5:$B$504, B3350, '📅 Resumen Diario'!$C$5:$C$504, D3350), 0))</f>
        <v/>
      </c>
      <c r="M3350" s="31" t="str">
        <f t="shared" si="367"/>
        <v/>
      </c>
      <c r="N3350" s="31" t="str">
        <f t="shared" si="368"/>
        <v/>
      </c>
      <c r="O3350" s="31" t="str">
        <f>IF(OR(B3350="",C3350=""),"",K3350-N3350 + IFERROR(E3350 / SUMIFS('📅 Resumen Diario'!$D$5:$D$504, '📅 Resumen Diario'!$B$5:$B$504, B3350, '📅 Resumen Diario'!$C$5:$C$504, D3350) * (SUMIFS('📋 Detalle Diario'!$E$5:$E$489, '📋 Detalle Diario'!$B$5:$B$489, B3350, '📋 Detalle Diario'!$C$5:$C$489, D3350) * 135 + SUMIFS('📋 Detalle Diario'!$I$5:$I$489, '📋 Detalle Diario'!$B$5:$B$489, B3350, '📋 Detalle Diario'!$C$5:$C$489, D3350) * 200), 0))</f>
        <v/>
      </c>
      <c r="P3350" s="32" t="str">
        <f t="shared" si="369"/>
        <v/>
      </c>
      <c r="Q3350" s="33" t="str">
        <f t="shared" si="370"/>
        <v/>
      </c>
    </row>
    <row r="3351" spans="2:17" ht="18" customHeight="1" x14ac:dyDescent="0.3">
      <c r="B3351" s="26"/>
      <c r="C3351" s="28"/>
      <c r="D3351" s="27"/>
      <c r="E3351" s="29"/>
      <c r="F3351" s="29"/>
      <c r="G3351" s="29"/>
      <c r="H3351" s="30" t="str">
        <f t="shared" si="364"/>
        <v/>
      </c>
      <c r="I3351" s="31" t="str">
        <f>IF(OR(B3351="",C3351=""),"",IFERROR(E3351*IF(E3351="",0,VLOOKUP(C3351,'📦 Precios Proforma'!$B$5:$D$104,IF(D3351="DIA",2,3),FALSE)),0))</f>
        <v/>
      </c>
      <c r="J3351" s="31" t="str">
        <f t="shared" si="365"/>
        <v/>
      </c>
      <c r="K3351" s="31" t="str">
        <f t="shared" si="366"/>
        <v/>
      </c>
      <c r="L3351" s="31" t="str">
        <f>IF(OR(B3351="",C3351=""),"",IFERROR(E3351 / SUMIFS('📅 Resumen Diario'!$D$5:$D$504, '📅 Resumen Diario'!$B$5:$B$504, B3351, '📅 Resumen Diario'!$C$5:$C$504, D3351) * SUMIFS('📅 Resumen Diario'!$K$5:$K$504, '📅 Resumen Diario'!$B$5:$B$504, B3351, '📅 Resumen Diario'!$C$5:$C$504, D3351), 0))</f>
        <v/>
      </c>
      <c r="M3351" s="31" t="str">
        <f t="shared" si="367"/>
        <v/>
      </c>
      <c r="N3351" s="31" t="str">
        <f t="shared" si="368"/>
        <v/>
      </c>
      <c r="O3351" s="31" t="str">
        <f>IF(OR(B3351="",C3351=""),"",K3351-N3351 + IFERROR(E3351 / SUMIFS('📅 Resumen Diario'!$D$5:$D$504, '📅 Resumen Diario'!$B$5:$B$504, B3351, '📅 Resumen Diario'!$C$5:$C$504, D3351) * (SUMIFS('📋 Detalle Diario'!$E$5:$E$489, '📋 Detalle Diario'!$B$5:$B$489, B3351, '📋 Detalle Diario'!$C$5:$C$489, D3351) * 135 + SUMIFS('📋 Detalle Diario'!$I$5:$I$489, '📋 Detalle Diario'!$B$5:$B$489, B3351, '📋 Detalle Diario'!$C$5:$C$489, D3351) * 200), 0))</f>
        <v/>
      </c>
      <c r="P3351" s="32" t="str">
        <f t="shared" si="369"/>
        <v/>
      </c>
      <c r="Q3351" s="33" t="str">
        <f t="shared" si="370"/>
        <v/>
      </c>
    </row>
    <row r="3352" spans="2:17" ht="18" customHeight="1" x14ac:dyDescent="0.3">
      <c r="B3352" s="26"/>
      <c r="C3352" s="17"/>
      <c r="D3352" s="27"/>
      <c r="E3352" s="18"/>
      <c r="F3352" s="18"/>
      <c r="G3352" s="18"/>
      <c r="H3352" s="30" t="str">
        <f t="shared" si="364"/>
        <v/>
      </c>
      <c r="I3352" s="31" t="str">
        <f>IF(OR(B3352="",C3352=""),"",IFERROR(E3352*IF(E3352="",0,VLOOKUP(C3352,'📦 Precios Proforma'!$B$5:$D$104,IF(D3352="DIA",2,3),FALSE)),0))</f>
        <v/>
      </c>
      <c r="J3352" s="31" t="str">
        <f t="shared" si="365"/>
        <v/>
      </c>
      <c r="K3352" s="31" t="str">
        <f t="shared" si="366"/>
        <v/>
      </c>
      <c r="L3352" s="31" t="str">
        <f>IF(OR(B3352="",C3352=""),"",IFERROR(E3352 / SUMIFS('📅 Resumen Diario'!$D$5:$D$504, '📅 Resumen Diario'!$B$5:$B$504, B3352, '📅 Resumen Diario'!$C$5:$C$504, D3352) * SUMIFS('📅 Resumen Diario'!$K$5:$K$504, '📅 Resumen Diario'!$B$5:$B$504, B3352, '📅 Resumen Diario'!$C$5:$C$504, D3352), 0))</f>
        <v/>
      </c>
      <c r="M3352" s="31" t="str">
        <f t="shared" si="367"/>
        <v/>
      </c>
      <c r="N3352" s="31" t="str">
        <f t="shared" si="368"/>
        <v/>
      </c>
      <c r="O3352" s="31" t="str">
        <f>IF(OR(B3352="",C3352=""),"",K3352-N3352 + IFERROR(E3352 / SUMIFS('📅 Resumen Diario'!$D$5:$D$504, '📅 Resumen Diario'!$B$5:$B$504, B3352, '📅 Resumen Diario'!$C$5:$C$504, D3352) * (SUMIFS('📋 Detalle Diario'!$E$5:$E$489, '📋 Detalle Diario'!$B$5:$B$489, B3352, '📋 Detalle Diario'!$C$5:$C$489, D3352) * 135 + SUMIFS('📋 Detalle Diario'!$I$5:$I$489, '📋 Detalle Diario'!$B$5:$B$489, B3352, '📋 Detalle Diario'!$C$5:$C$489, D3352) * 200), 0))</f>
        <v/>
      </c>
      <c r="P3352" s="32" t="str">
        <f t="shared" si="369"/>
        <v/>
      </c>
      <c r="Q3352" s="33" t="str">
        <f t="shared" si="370"/>
        <v/>
      </c>
    </row>
    <row r="3353" spans="2:17" ht="18" customHeight="1" x14ac:dyDescent="0.3">
      <c r="B3353" s="26"/>
      <c r="C3353" s="28"/>
      <c r="D3353" s="27"/>
      <c r="E3353" s="29"/>
      <c r="F3353" s="29"/>
      <c r="G3353" s="29"/>
      <c r="H3353" s="30" t="str">
        <f t="shared" si="364"/>
        <v/>
      </c>
      <c r="I3353" s="31" t="str">
        <f>IF(OR(B3353="",C3353=""),"",IFERROR(E3353*IF(E3353="",0,VLOOKUP(C3353,'📦 Precios Proforma'!$B$5:$D$104,IF(D3353="DIA",2,3),FALSE)),0))</f>
        <v/>
      </c>
      <c r="J3353" s="31" t="str">
        <f t="shared" si="365"/>
        <v/>
      </c>
      <c r="K3353" s="31" t="str">
        <f t="shared" si="366"/>
        <v/>
      </c>
      <c r="L3353" s="31" t="str">
        <f>IF(OR(B3353="",C3353=""),"",IFERROR(E3353 / SUMIFS('📅 Resumen Diario'!$D$5:$D$504, '📅 Resumen Diario'!$B$5:$B$504, B3353, '📅 Resumen Diario'!$C$5:$C$504, D3353) * SUMIFS('📅 Resumen Diario'!$K$5:$K$504, '📅 Resumen Diario'!$B$5:$B$504, B3353, '📅 Resumen Diario'!$C$5:$C$504, D3353), 0))</f>
        <v/>
      </c>
      <c r="M3353" s="31" t="str">
        <f t="shared" si="367"/>
        <v/>
      </c>
      <c r="N3353" s="31" t="str">
        <f t="shared" si="368"/>
        <v/>
      </c>
      <c r="O3353" s="31" t="str">
        <f>IF(OR(B3353="",C3353=""),"",K3353-N3353 + IFERROR(E3353 / SUMIFS('📅 Resumen Diario'!$D$5:$D$504, '📅 Resumen Diario'!$B$5:$B$504, B3353, '📅 Resumen Diario'!$C$5:$C$504, D3353) * (SUMIFS('📋 Detalle Diario'!$E$5:$E$489, '📋 Detalle Diario'!$B$5:$B$489, B3353, '📋 Detalle Diario'!$C$5:$C$489, D3353) * 135 + SUMIFS('📋 Detalle Diario'!$I$5:$I$489, '📋 Detalle Diario'!$B$5:$B$489, B3353, '📋 Detalle Diario'!$C$5:$C$489, D3353) * 200), 0))</f>
        <v/>
      </c>
      <c r="P3353" s="32" t="str">
        <f t="shared" si="369"/>
        <v/>
      </c>
      <c r="Q3353" s="33" t="str">
        <f t="shared" si="370"/>
        <v/>
      </c>
    </row>
    <row r="3354" spans="2:17" ht="18" customHeight="1" x14ac:dyDescent="0.3">
      <c r="B3354" s="26"/>
      <c r="C3354" s="17"/>
      <c r="D3354" s="27"/>
      <c r="E3354" s="18"/>
      <c r="F3354" s="18"/>
      <c r="G3354" s="18"/>
      <c r="H3354" s="30" t="str">
        <f t="shared" si="364"/>
        <v/>
      </c>
      <c r="I3354" s="31" t="str">
        <f>IF(OR(B3354="",C3354=""),"",IFERROR(E3354*IF(E3354="",0,VLOOKUP(C3354,'📦 Precios Proforma'!$B$5:$D$104,IF(D3354="DIA",2,3),FALSE)),0))</f>
        <v/>
      </c>
      <c r="J3354" s="31" t="str">
        <f t="shared" si="365"/>
        <v/>
      </c>
      <c r="K3354" s="31" t="str">
        <f t="shared" si="366"/>
        <v/>
      </c>
      <c r="L3354" s="31" t="str">
        <f>IF(OR(B3354="",C3354=""),"",IFERROR(E3354 / SUMIFS('📅 Resumen Diario'!$D$5:$D$504, '📅 Resumen Diario'!$B$5:$B$504, B3354, '📅 Resumen Diario'!$C$5:$C$504, D3354) * SUMIFS('📅 Resumen Diario'!$K$5:$K$504, '📅 Resumen Diario'!$B$5:$B$504, B3354, '📅 Resumen Diario'!$C$5:$C$504, D3354), 0))</f>
        <v/>
      </c>
      <c r="M3354" s="31" t="str">
        <f t="shared" si="367"/>
        <v/>
      </c>
      <c r="N3354" s="31" t="str">
        <f t="shared" si="368"/>
        <v/>
      </c>
      <c r="O3354" s="31" t="str">
        <f>IF(OR(B3354="",C3354=""),"",K3354-N3354 + IFERROR(E3354 / SUMIFS('📅 Resumen Diario'!$D$5:$D$504, '📅 Resumen Diario'!$B$5:$B$504, B3354, '📅 Resumen Diario'!$C$5:$C$504, D3354) * (SUMIFS('📋 Detalle Diario'!$E$5:$E$489, '📋 Detalle Diario'!$B$5:$B$489, B3354, '📋 Detalle Diario'!$C$5:$C$489, D3354) * 135 + SUMIFS('📋 Detalle Diario'!$I$5:$I$489, '📋 Detalle Diario'!$B$5:$B$489, B3354, '📋 Detalle Diario'!$C$5:$C$489, D3354) * 200), 0))</f>
        <v/>
      </c>
      <c r="P3354" s="32" t="str">
        <f t="shared" si="369"/>
        <v/>
      </c>
      <c r="Q3354" s="33" t="str">
        <f t="shared" si="370"/>
        <v/>
      </c>
    </row>
    <row r="3355" spans="2:17" ht="18" customHeight="1" x14ac:dyDescent="0.3">
      <c r="B3355" s="26"/>
      <c r="C3355" s="28"/>
      <c r="D3355" s="27"/>
      <c r="E3355" s="29"/>
      <c r="F3355" s="29"/>
      <c r="G3355" s="29"/>
      <c r="H3355" s="30" t="str">
        <f t="shared" si="364"/>
        <v/>
      </c>
      <c r="I3355" s="31" t="str">
        <f>IF(OR(B3355="",C3355=""),"",IFERROR(E3355*IF(E3355="",0,VLOOKUP(C3355,'📦 Precios Proforma'!$B$5:$D$104,IF(D3355="DIA",2,3),FALSE)),0))</f>
        <v/>
      </c>
      <c r="J3355" s="31" t="str">
        <f t="shared" si="365"/>
        <v/>
      </c>
      <c r="K3355" s="31" t="str">
        <f t="shared" si="366"/>
        <v/>
      </c>
      <c r="L3355" s="31" t="str">
        <f>IF(OR(B3355="",C3355=""),"",IFERROR(E3355 / SUMIFS('📅 Resumen Diario'!$D$5:$D$504, '📅 Resumen Diario'!$B$5:$B$504, B3355, '📅 Resumen Diario'!$C$5:$C$504, D3355) * SUMIFS('📅 Resumen Diario'!$K$5:$K$504, '📅 Resumen Diario'!$B$5:$B$504, B3355, '📅 Resumen Diario'!$C$5:$C$504, D3355), 0))</f>
        <v/>
      </c>
      <c r="M3355" s="31" t="str">
        <f t="shared" si="367"/>
        <v/>
      </c>
      <c r="N3355" s="31" t="str">
        <f t="shared" si="368"/>
        <v/>
      </c>
      <c r="O3355" s="31" t="str">
        <f>IF(OR(B3355="",C3355=""),"",K3355-N3355 + IFERROR(E3355 / SUMIFS('📅 Resumen Diario'!$D$5:$D$504, '📅 Resumen Diario'!$B$5:$B$504, B3355, '📅 Resumen Diario'!$C$5:$C$504, D3355) * (SUMIFS('📋 Detalle Diario'!$E$5:$E$489, '📋 Detalle Diario'!$B$5:$B$489, B3355, '📋 Detalle Diario'!$C$5:$C$489, D3355) * 135 + SUMIFS('📋 Detalle Diario'!$I$5:$I$489, '📋 Detalle Diario'!$B$5:$B$489, B3355, '📋 Detalle Diario'!$C$5:$C$489, D3355) * 200), 0))</f>
        <v/>
      </c>
      <c r="P3355" s="32" t="str">
        <f t="shared" si="369"/>
        <v/>
      </c>
      <c r="Q3355" s="33" t="str">
        <f t="shared" si="370"/>
        <v/>
      </c>
    </row>
    <row r="3356" spans="2:17" ht="18" customHeight="1" x14ac:dyDescent="0.3">
      <c r="B3356" s="26"/>
      <c r="C3356" s="17"/>
      <c r="D3356" s="27"/>
      <c r="E3356" s="18"/>
      <c r="F3356" s="18"/>
      <c r="G3356" s="18"/>
      <c r="H3356" s="30" t="str">
        <f t="shared" si="364"/>
        <v/>
      </c>
      <c r="I3356" s="31" t="str">
        <f>IF(OR(B3356="",C3356=""),"",IFERROR(E3356*IF(E3356="",0,VLOOKUP(C3356,'📦 Precios Proforma'!$B$5:$D$104,IF(D3356="DIA",2,3),FALSE)),0))</f>
        <v/>
      </c>
      <c r="J3356" s="31" t="str">
        <f t="shared" si="365"/>
        <v/>
      </c>
      <c r="K3356" s="31" t="str">
        <f t="shared" si="366"/>
        <v/>
      </c>
      <c r="L3356" s="31" t="str">
        <f>IF(OR(B3356="",C3356=""),"",IFERROR(E3356 / SUMIFS('📅 Resumen Diario'!$D$5:$D$504, '📅 Resumen Diario'!$B$5:$B$504, B3356, '📅 Resumen Diario'!$C$5:$C$504, D3356) * SUMIFS('📅 Resumen Diario'!$K$5:$K$504, '📅 Resumen Diario'!$B$5:$B$504, B3356, '📅 Resumen Diario'!$C$5:$C$504, D3356), 0))</f>
        <v/>
      </c>
      <c r="M3356" s="31" t="str">
        <f t="shared" si="367"/>
        <v/>
      </c>
      <c r="N3356" s="31" t="str">
        <f t="shared" si="368"/>
        <v/>
      </c>
      <c r="O3356" s="31" t="str">
        <f>IF(OR(B3356="",C3356=""),"",K3356-N3356 + IFERROR(E3356 / SUMIFS('📅 Resumen Diario'!$D$5:$D$504, '📅 Resumen Diario'!$B$5:$B$504, B3356, '📅 Resumen Diario'!$C$5:$C$504, D3356) * (SUMIFS('📋 Detalle Diario'!$E$5:$E$489, '📋 Detalle Diario'!$B$5:$B$489, B3356, '📋 Detalle Diario'!$C$5:$C$489, D3356) * 135 + SUMIFS('📋 Detalle Diario'!$I$5:$I$489, '📋 Detalle Diario'!$B$5:$B$489, B3356, '📋 Detalle Diario'!$C$5:$C$489, D3356) * 200), 0))</f>
        <v/>
      </c>
      <c r="P3356" s="32" t="str">
        <f t="shared" si="369"/>
        <v/>
      </c>
      <c r="Q3356" s="33" t="str">
        <f t="shared" si="370"/>
        <v/>
      </c>
    </row>
    <row r="3357" spans="2:17" ht="18" customHeight="1" x14ac:dyDescent="0.3">
      <c r="B3357" s="26"/>
      <c r="C3357" s="28"/>
      <c r="D3357" s="27"/>
      <c r="E3357" s="29"/>
      <c r="F3357" s="29"/>
      <c r="G3357" s="29"/>
      <c r="H3357" s="30" t="str">
        <f t="shared" si="364"/>
        <v/>
      </c>
      <c r="I3357" s="31" t="str">
        <f>IF(OR(B3357="",C3357=""),"",IFERROR(E3357*IF(E3357="",0,VLOOKUP(C3357,'📦 Precios Proforma'!$B$5:$D$104,IF(D3357="DIA",2,3),FALSE)),0))</f>
        <v/>
      </c>
      <c r="J3357" s="31" t="str">
        <f t="shared" si="365"/>
        <v/>
      </c>
      <c r="K3357" s="31" t="str">
        <f t="shared" si="366"/>
        <v/>
      </c>
      <c r="L3357" s="31" t="str">
        <f>IF(OR(B3357="",C3357=""),"",IFERROR(E3357 / SUMIFS('📅 Resumen Diario'!$D$5:$D$504, '📅 Resumen Diario'!$B$5:$B$504, B3357, '📅 Resumen Diario'!$C$5:$C$504, D3357) * SUMIFS('📅 Resumen Diario'!$K$5:$K$504, '📅 Resumen Diario'!$B$5:$B$504, B3357, '📅 Resumen Diario'!$C$5:$C$504, D3357), 0))</f>
        <v/>
      </c>
      <c r="M3357" s="31" t="str">
        <f t="shared" si="367"/>
        <v/>
      </c>
      <c r="N3357" s="31" t="str">
        <f t="shared" si="368"/>
        <v/>
      </c>
      <c r="O3357" s="31" t="str">
        <f>IF(OR(B3357="",C3357=""),"",K3357-N3357 + IFERROR(E3357 / SUMIFS('📅 Resumen Diario'!$D$5:$D$504, '📅 Resumen Diario'!$B$5:$B$504, B3357, '📅 Resumen Diario'!$C$5:$C$504, D3357) * (SUMIFS('📋 Detalle Diario'!$E$5:$E$489, '📋 Detalle Diario'!$B$5:$B$489, B3357, '📋 Detalle Diario'!$C$5:$C$489, D3357) * 135 + SUMIFS('📋 Detalle Diario'!$I$5:$I$489, '📋 Detalle Diario'!$B$5:$B$489, B3357, '📋 Detalle Diario'!$C$5:$C$489, D3357) * 200), 0))</f>
        <v/>
      </c>
      <c r="P3357" s="32" t="str">
        <f t="shared" si="369"/>
        <v/>
      </c>
      <c r="Q3357" s="33" t="str">
        <f t="shared" si="370"/>
        <v/>
      </c>
    </row>
    <row r="3358" spans="2:17" ht="18" customHeight="1" x14ac:dyDescent="0.3">
      <c r="B3358" s="26"/>
      <c r="C3358" s="17"/>
      <c r="D3358" s="27"/>
      <c r="E3358" s="18"/>
      <c r="F3358" s="18"/>
      <c r="G3358" s="18"/>
      <c r="H3358" s="30" t="str">
        <f t="shared" si="364"/>
        <v/>
      </c>
      <c r="I3358" s="31" t="str">
        <f>IF(OR(B3358="",C3358=""),"",IFERROR(E3358*IF(E3358="",0,VLOOKUP(C3358,'📦 Precios Proforma'!$B$5:$D$104,IF(D3358="DIA",2,3),FALSE)),0))</f>
        <v/>
      </c>
      <c r="J3358" s="31" t="str">
        <f t="shared" si="365"/>
        <v/>
      </c>
      <c r="K3358" s="31" t="str">
        <f t="shared" si="366"/>
        <v/>
      </c>
      <c r="L3358" s="31" t="str">
        <f>IF(OR(B3358="",C3358=""),"",IFERROR(E3358 / SUMIFS('📅 Resumen Diario'!$D$5:$D$504, '📅 Resumen Diario'!$B$5:$B$504, B3358, '📅 Resumen Diario'!$C$5:$C$504, D3358) * SUMIFS('📅 Resumen Diario'!$K$5:$K$504, '📅 Resumen Diario'!$B$5:$B$504, B3358, '📅 Resumen Diario'!$C$5:$C$504, D3358), 0))</f>
        <v/>
      </c>
      <c r="M3358" s="31" t="str">
        <f t="shared" si="367"/>
        <v/>
      </c>
      <c r="N3358" s="31" t="str">
        <f t="shared" si="368"/>
        <v/>
      </c>
      <c r="O3358" s="31" t="str">
        <f>IF(OR(B3358="",C3358=""),"",K3358-N3358 + IFERROR(E3358 / SUMIFS('📅 Resumen Diario'!$D$5:$D$504, '📅 Resumen Diario'!$B$5:$B$504, B3358, '📅 Resumen Diario'!$C$5:$C$504, D3358) * (SUMIFS('📋 Detalle Diario'!$E$5:$E$489, '📋 Detalle Diario'!$B$5:$B$489, B3358, '📋 Detalle Diario'!$C$5:$C$489, D3358) * 135 + SUMIFS('📋 Detalle Diario'!$I$5:$I$489, '📋 Detalle Diario'!$B$5:$B$489, B3358, '📋 Detalle Diario'!$C$5:$C$489, D3358) * 200), 0))</f>
        <v/>
      </c>
      <c r="P3358" s="32" t="str">
        <f t="shared" si="369"/>
        <v/>
      </c>
      <c r="Q3358" s="33" t="str">
        <f t="shared" si="370"/>
        <v/>
      </c>
    </row>
    <row r="3359" spans="2:17" ht="18" customHeight="1" x14ac:dyDescent="0.3">
      <c r="B3359" s="26"/>
      <c r="C3359" s="28"/>
      <c r="D3359" s="27"/>
      <c r="E3359" s="29"/>
      <c r="F3359" s="29"/>
      <c r="G3359" s="29"/>
      <c r="H3359" s="30" t="str">
        <f t="shared" si="364"/>
        <v/>
      </c>
      <c r="I3359" s="31" t="str">
        <f>IF(OR(B3359="",C3359=""),"",IFERROR(E3359*IF(E3359="",0,VLOOKUP(C3359,'📦 Precios Proforma'!$B$5:$D$104,IF(D3359="DIA",2,3),FALSE)),0))</f>
        <v/>
      </c>
      <c r="J3359" s="31" t="str">
        <f t="shared" si="365"/>
        <v/>
      </c>
      <c r="K3359" s="31" t="str">
        <f t="shared" si="366"/>
        <v/>
      </c>
      <c r="L3359" s="31" t="str">
        <f>IF(OR(B3359="",C3359=""),"",IFERROR(E3359 / SUMIFS('📅 Resumen Diario'!$D$5:$D$504, '📅 Resumen Diario'!$B$5:$B$504, B3359, '📅 Resumen Diario'!$C$5:$C$504, D3359) * SUMIFS('📅 Resumen Diario'!$K$5:$K$504, '📅 Resumen Diario'!$B$5:$B$504, B3359, '📅 Resumen Diario'!$C$5:$C$504, D3359), 0))</f>
        <v/>
      </c>
      <c r="M3359" s="31" t="str">
        <f t="shared" si="367"/>
        <v/>
      </c>
      <c r="N3359" s="31" t="str">
        <f t="shared" si="368"/>
        <v/>
      </c>
      <c r="O3359" s="31" t="str">
        <f>IF(OR(B3359="",C3359=""),"",K3359-N3359 + IFERROR(E3359 / SUMIFS('📅 Resumen Diario'!$D$5:$D$504, '📅 Resumen Diario'!$B$5:$B$504, B3359, '📅 Resumen Diario'!$C$5:$C$504, D3359) * (SUMIFS('📋 Detalle Diario'!$E$5:$E$489, '📋 Detalle Diario'!$B$5:$B$489, B3359, '📋 Detalle Diario'!$C$5:$C$489, D3359) * 135 + SUMIFS('📋 Detalle Diario'!$I$5:$I$489, '📋 Detalle Diario'!$B$5:$B$489, B3359, '📋 Detalle Diario'!$C$5:$C$489, D3359) * 200), 0))</f>
        <v/>
      </c>
      <c r="P3359" s="32" t="str">
        <f t="shared" si="369"/>
        <v/>
      </c>
      <c r="Q3359" s="33" t="str">
        <f t="shared" si="370"/>
        <v/>
      </c>
    </row>
    <row r="3360" spans="2:17" ht="18" customHeight="1" x14ac:dyDescent="0.3">
      <c r="B3360" s="26"/>
      <c r="C3360" s="17"/>
      <c r="D3360" s="27"/>
      <c r="E3360" s="18"/>
      <c r="F3360" s="18"/>
      <c r="G3360" s="18"/>
      <c r="H3360" s="30" t="str">
        <f t="shared" si="364"/>
        <v/>
      </c>
      <c r="I3360" s="31" t="str">
        <f>IF(OR(B3360="",C3360=""),"",IFERROR(E3360*IF(E3360="",0,VLOOKUP(C3360,'📦 Precios Proforma'!$B$5:$D$104,IF(D3360="DIA",2,3),FALSE)),0))</f>
        <v/>
      </c>
      <c r="J3360" s="31" t="str">
        <f t="shared" si="365"/>
        <v/>
      </c>
      <c r="K3360" s="31" t="str">
        <f t="shared" si="366"/>
        <v/>
      </c>
      <c r="L3360" s="31" t="str">
        <f>IF(OR(B3360="",C3360=""),"",IFERROR(E3360 / SUMIFS('📅 Resumen Diario'!$D$5:$D$504, '📅 Resumen Diario'!$B$5:$B$504, B3360, '📅 Resumen Diario'!$C$5:$C$504, D3360) * SUMIFS('📅 Resumen Diario'!$K$5:$K$504, '📅 Resumen Diario'!$B$5:$B$504, B3360, '📅 Resumen Diario'!$C$5:$C$504, D3360), 0))</f>
        <v/>
      </c>
      <c r="M3360" s="31" t="str">
        <f t="shared" si="367"/>
        <v/>
      </c>
      <c r="N3360" s="31" t="str">
        <f t="shared" si="368"/>
        <v/>
      </c>
      <c r="O3360" s="31" t="str">
        <f>IF(OR(B3360="",C3360=""),"",K3360-N3360 + IFERROR(E3360 / SUMIFS('📅 Resumen Diario'!$D$5:$D$504, '📅 Resumen Diario'!$B$5:$B$504, B3360, '📅 Resumen Diario'!$C$5:$C$504, D3360) * (SUMIFS('📋 Detalle Diario'!$E$5:$E$489, '📋 Detalle Diario'!$B$5:$B$489, B3360, '📋 Detalle Diario'!$C$5:$C$489, D3360) * 135 + SUMIFS('📋 Detalle Diario'!$I$5:$I$489, '📋 Detalle Diario'!$B$5:$B$489, B3360, '📋 Detalle Diario'!$C$5:$C$489, D3360) * 200), 0))</f>
        <v/>
      </c>
      <c r="P3360" s="32" t="str">
        <f t="shared" si="369"/>
        <v/>
      </c>
      <c r="Q3360" s="33" t="str">
        <f t="shared" si="370"/>
        <v/>
      </c>
    </row>
    <row r="3361" spans="2:17" ht="18" customHeight="1" x14ac:dyDescent="0.3">
      <c r="B3361" s="26"/>
      <c r="C3361" s="28"/>
      <c r="D3361" s="27"/>
      <c r="E3361" s="29"/>
      <c r="F3361" s="29"/>
      <c r="G3361" s="29"/>
      <c r="H3361" s="30" t="str">
        <f t="shared" si="364"/>
        <v/>
      </c>
      <c r="I3361" s="31" t="str">
        <f>IF(OR(B3361="",C3361=""),"",IFERROR(E3361*IF(E3361="",0,VLOOKUP(C3361,'📦 Precios Proforma'!$B$5:$D$104,IF(D3361="DIA",2,3),FALSE)),0))</f>
        <v/>
      </c>
      <c r="J3361" s="31" t="str">
        <f t="shared" si="365"/>
        <v/>
      </c>
      <c r="K3361" s="31" t="str">
        <f t="shared" si="366"/>
        <v/>
      </c>
      <c r="L3361" s="31" t="str">
        <f>IF(OR(B3361="",C3361=""),"",IFERROR(E3361 / SUMIFS('📅 Resumen Diario'!$D$5:$D$504, '📅 Resumen Diario'!$B$5:$B$504, B3361, '📅 Resumen Diario'!$C$5:$C$504, D3361) * SUMIFS('📅 Resumen Diario'!$K$5:$K$504, '📅 Resumen Diario'!$B$5:$B$504, B3361, '📅 Resumen Diario'!$C$5:$C$504, D3361), 0))</f>
        <v/>
      </c>
      <c r="M3361" s="31" t="str">
        <f t="shared" si="367"/>
        <v/>
      </c>
      <c r="N3361" s="31" t="str">
        <f t="shared" si="368"/>
        <v/>
      </c>
      <c r="O3361" s="31" t="str">
        <f>IF(OR(B3361="",C3361=""),"",K3361-N3361 + IFERROR(E3361 / SUMIFS('📅 Resumen Diario'!$D$5:$D$504, '📅 Resumen Diario'!$B$5:$B$504, B3361, '📅 Resumen Diario'!$C$5:$C$504, D3361) * (SUMIFS('📋 Detalle Diario'!$E$5:$E$489, '📋 Detalle Diario'!$B$5:$B$489, B3361, '📋 Detalle Diario'!$C$5:$C$489, D3361) * 135 + SUMIFS('📋 Detalle Diario'!$I$5:$I$489, '📋 Detalle Diario'!$B$5:$B$489, B3361, '📋 Detalle Diario'!$C$5:$C$489, D3361) * 200), 0))</f>
        <v/>
      </c>
      <c r="P3361" s="32" t="str">
        <f t="shared" si="369"/>
        <v/>
      </c>
      <c r="Q3361" s="33" t="str">
        <f t="shared" si="370"/>
        <v/>
      </c>
    </row>
    <row r="3362" spans="2:17" ht="18" customHeight="1" x14ac:dyDescent="0.3">
      <c r="B3362" s="26"/>
      <c r="C3362" s="17"/>
      <c r="D3362" s="27"/>
      <c r="E3362" s="18"/>
      <c r="F3362" s="18"/>
      <c r="G3362" s="18"/>
      <c r="H3362" s="30" t="str">
        <f t="shared" si="364"/>
        <v/>
      </c>
      <c r="I3362" s="31" t="str">
        <f>IF(OR(B3362="",C3362=""),"",IFERROR(E3362*IF(E3362="",0,VLOOKUP(C3362,'📦 Precios Proforma'!$B$5:$D$104,IF(D3362="DIA",2,3),FALSE)),0))</f>
        <v/>
      </c>
      <c r="J3362" s="31" t="str">
        <f t="shared" si="365"/>
        <v/>
      </c>
      <c r="K3362" s="31" t="str">
        <f t="shared" si="366"/>
        <v/>
      </c>
      <c r="L3362" s="31" t="str">
        <f>IF(OR(B3362="",C3362=""),"",IFERROR(E3362 / SUMIFS('📅 Resumen Diario'!$D$5:$D$504, '📅 Resumen Diario'!$B$5:$B$504, B3362, '📅 Resumen Diario'!$C$5:$C$504, D3362) * SUMIFS('📅 Resumen Diario'!$K$5:$K$504, '📅 Resumen Diario'!$B$5:$B$504, B3362, '📅 Resumen Diario'!$C$5:$C$504, D3362), 0))</f>
        <v/>
      </c>
      <c r="M3362" s="31" t="str">
        <f t="shared" si="367"/>
        <v/>
      </c>
      <c r="N3362" s="31" t="str">
        <f t="shared" si="368"/>
        <v/>
      </c>
      <c r="O3362" s="31" t="str">
        <f>IF(OR(B3362="",C3362=""),"",K3362-N3362 + IFERROR(E3362 / SUMIFS('📅 Resumen Diario'!$D$5:$D$504, '📅 Resumen Diario'!$B$5:$B$504, B3362, '📅 Resumen Diario'!$C$5:$C$504, D3362) * (SUMIFS('📋 Detalle Diario'!$E$5:$E$489, '📋 Detalle Diario'!$B$5:$B$489, B3362, '📋 Detalle Diario'!$C$5:$C$489, D3362) * 135 + SUMIFS('📋 Detalle Diario'!$I$5:$I$489, '📋 Detalle Diario'!$B$5:$B$489, B3362, '📋 Detalle Diario'!$C$5:$C$489, D3362) * 200), 0))</f>
        <v/>
      </c>
      <c r="P3362" s="32" t="str">
        <f t="shared" si="369"/>
        <v/>
      </c>
      <c r="Q3362" s="33" t="str">
        <f t="shared" si="370"/>
        <v/>
      </c>
    </row>
    <row r="3363" spans="2:17" ht="18" customHeight="1" x14ac:dyDescent="0.3">
      <c r="B3363" s="26"/>
      <c r="C3363" s="28"/>
      <c r="D3363" s="27"/>
      <c r="E3363" s="29"/>
      <c r="F3363" s="29"/>
      <c r="G3363" s="29"/>
      <c r="H3363" s="30" t="str">
        <f t="shared" si="364"/>
        <v/>
      </c>
      <c r="I3363" s="31" t="str">
        <f>IF(OR(B3363="",C3363=""),"",IFERROR(E3363*IF(E3363="",0,VLOOKUP(C3363,'📦 Precios Proforma'!$B$5:$D$104,IF(D3363="DIA",2,3),FALSE)),0))</f>
        <v/>
      </c>
      <c r="J3363" s="31" t="str">
        <f t="shared" si="365"/>
        <v/>
      </c>
      <c r="K3363" s="31" t="str">
        <f t="shared" si="366"/>
        <v/>
      </c>
      <c r="L3363" s="31" t="str">
        <f>IF(OR(B3363="",C3363=""),"",IFERROR(E3363 / SUMIFS('📅 Resumen Diario'!$D$5:$D$504, '📅 Resumen Diario'!$B$5:$B$504, B3363, '📅 Resumen Diario'!$C$5:$C$504, D3363) * SUMIFS('📅 Resumen Diario'!$K$5:$K$504, '📅 Resumen Diario'!$B$5:$B$504, B3363, '📅 Resumen Diario'!$C$5:$C$504, D3363), 0))</f>
        <v/>
      </c>
      <c r="M3363" s="31" t="str">
        <f t="shared" si="367"/>
        <v/>
      </c>
      <c r="N3363" s="31" t="str">
        <f t="shared" si="368"/>
        <v/>
      </c>
      <c r="O3363" s="31" t="str">
        <f>IF(OR(B3363="",C3363=""),"",K3363-N3363 + IFERROR(E3363 / SUMIFS('📅 Resumen Diario'!$D$5:$D$504, '📅 Resumen Diario'!$B$5:$B$504, B3363, '📅 Resumen Diario'!$C$5:$C$504, D3363) * (SUMIFS('📋 Detalle Diario'!$E$5:$E$489, '📋 Detalle Diario'!$B$5:$B$489, B3363, '📋 Detalle Diario'!$C$5:$C$489, D3363) * 135 + SUMIFS('📋 Detalle Diario'!$I$5:$I$489, '📋 Detalle Diario'!$B$5:$B$489, B3363, '📋 Detalle Diario'!$C$5:$C$489, D3363) * 200), 0))</f>
        <v/>
      </c>
      <c r="P3363" s="32" t="str">
        <f t="shared" si="369"/>
        <v/>
      </c>
      <c r="Q3363" s="33" t="str">
        <f t="shared" si="370"/>
        <v/>
      </c>
    </row>
    <row r="3364" spans="2:17" ht="18" customHeight="1" x14ac:dyDescent="0.3">
      <c r="B3364" s="26"/>
      <c r="C3364" s="17"/>
      <c r="D3364" s="27"/>
      <c r="E3364" s="18"/>
      <c r="F3364" s="18"/>
      <c r="G3364" s="18"/>
      <c r="H3364" s="30" t="str">
        <f t="shared" si="364"/>
        <v/>
      </c>
      <c r="I3364" s="31" t="str">
        <f>IF(OR(B3364="",C3364=""),"",IFERROR(E3364*IF(E3364="",0,VLOOKUP(C3364,'📦 Precios Proforma'!$B$5:$D$104,IF(D3364="DIA",2,3),FALSE)),0))</f>
        <v/>
      </c>
      <c r="J3364" s="31" t="str">
        <f t="shared" si="365"/>
        <v/>
      </c>
      <c r="K3364" s="31" t="str">
        <f t="shared" si="366"/>
        <v/>
      </c>
      <c r="L3364" s="31" t="str">
        <f>IF(OR(B3364="",C3364=""),"",IFERROR(E3364 / SUMIFS('📅 Resumen Diario'!$D$5:$D$504, '📅 Resumen Diario'!$B$5:$B$504, B3364, '📅 Resumen Diario'!$C$5:$C$504, D3364) * SUMIFS('📅 Resumen Diario'!$K$5:$K$504, '📅 Resumen Diario'!$B$5:$B$504, B3364, '📅 Resumen Diario'!$C$5:$C$504, D3364), 0))</f>
        <v/>
      </c>
      <c r="M3364" s="31" t="str">
        <f t="shared" si="367"/>
        <v/>
      </c>
      <c r="N3364" s="31" t="str">
        <f t="shared" si="368"/>
        <v/>
      </c>
      <c r="O3364" s="31" t="str">
        <f>IF(OR(B3364="",C3364=""),"",K3364-N3364 + IFERROR(E3364 / SUMIFS('📅 Resumen Diario'!$D$5:$D$504, '📅 Resumen Diario'!$B$5:$B$504, B3364, '📅 Resumen Diario'!$C$5:$C$504, D3364) * (SUMIFS('📋 Detalle Diario'!$E$5:$E$489, '📋 Detalle Diario'!$B$5:$B$489, B3364, '📋 Detalle Diario'!$C$5:$C$489, D3364) * 135 + SUMIFS('📋 Detalle Diario'!$I$5:$I$489, '📋 Detalle Diario'!$B$5:$B$489, B3364, '📋 Detalle Diario'!$C$5:$C$489, D3364) * 200), 0))</f>
        <v/>
      </c>
      <c r="P3364" s="32" t="str">
        <f t="shared" si="369"/>
        <v/>
      </c>
      <c r="Q3364" s="33" t="str">
        <f t="shared" si="370"/>
        <v/>
      </c>
    </row>
    <row r="3365" spans="2:17" ht="18" customHeight="1" x14ac:dyDescent="0.3">
      <c r="B3365" s="26"/>
      <c r="C3365" s="28"/>
      <c r="D3365" s="27"/>
      <c r="E3365" s="29"/>
      <c r="F3365" s="29"/>
      <c r="G3365" s="29"/>
      <c r="H3365" s="30" t="str">
        <f t="shared" si="364"/>
        <v/>
      </c>
      <c r="I3365" s="31" t="str">
        <f>IF(OR(B3365="",C3365=""),"",IFERROR(E3365*IF(E3365="",0,VLOOKUP(C3365,'📦 Precios Proforma'!$B$5:$D$104,IF(D3365="DIA",2,3),FALSE)),0))</f>
        <v/>
      </c>
      <c r="J3365" s="31" t="str">
        <f t="shared" si="365"/>
        <v/>
      </c>
      <c r="K3365" s="31" t="str">
        <f t="shared" si="366"/>
        <v/>
      </c>
      <c r="L3365" s="31" t="str">
        <f>IF(OR(B3365="",C3365=""),"",IFERROR(E3365 / SUMIFS('📅 Resumen Diario'!$D$5:$D$504, '📅 Resumen Diario'!$B$5:$B$504, B3365, '📅 Resumen Diario'!$C$5:$C$504, D3365) * SUMIFS('📅 Resumen Diario'!$K$5:$K$504, '📅 Resumen Diario'!$B$5:$B$504, B3365, '📅 Resumen Diario'!$C$5:$C$504, D3365), 0))</f>
        <v/>
      </c>
      <c r="M3365" s="31" t="str">
        <f t="shared" si="367"/>
        <v/>
      </c>
      <c r="N3365" s="31" t="str">
        <f t="shared" si="368"/>
        <v/>
      </c>
      <c r="O3365" s="31" t="str">
        <f>IF(OR(B3365="",C3365=""),"",K3365-N3365 + IFERROR(E3365 / SUMIFS('📅 Resumen Diario'!$D$5:$D$504, '📅 Resumen Diario'!$B$5:$B$504, B3365, '📅 Resumen Diario'!$C$5:$C$504, D3365) * (SUMIFS('📋 Detalle Diario'!$E$5:$E$489, '📋 Detalle Diario'!$B$5:$B$489, B3365, '📋 Detalle Diario'!$C$5:$C$489, D3365) * 135 + SUMIFS('📋 Detalle Diario'!$I$5:$I$489, '📋 Detalle Diario'!$B$5:$B$489, B3365, '📋 Detalle Diario'!$C$5:$C$489, D3365) * 200), 0))</f>
        <v/>
      </c>
      <c r="P3365" s="32" t="str">
        <f t="shared" si="369"/>
        <v/>
      </c>
      <c r="Q3365" s="33" t="str">
        <f t="shared" si="370"/>
        <v/>
      </c>
    </row>
    <row r="3366" spans="2:17" ht="18" customHeight="1" x14ac:dyDescent="0.3">
      <c r="B3366" s="26"/>
      <c r="C3366" s="17"/>
      <c r="D3366" s="27"/>
      <c r="E3366" s="18"/>
      <c r="F3366" s="18"/>
      <c r="G3366" s="18"/>
      <c r="H3366" s="30" t="str">
        <f t="shared" si="364"/>
        <v/>
      </c>
      <c r="I3366" s="31" t="str">
        <f>IF(OR(B3366="",C3366=""),"",IFERROR(E3366*IF(E3366="",0,VLOOKUP(C3366,'📦 Precios Proforma'!$B$5:$D$104,IF(D3366="DIA",2,3),FALSE)),0))</f>
        <v/>
      </c>
      <c r="J3366" s="31" t="str">
        <f t="shared" si="365"/>
        <v/>
      </c>
      <c r="K3366" s="31" t="str">
        <f t="shared" si="366"/>
        <v/>
      </c>
      <c r="L3366" s="31" t="str">
        <f>IF(OR(B3366="",C3366=""),"",IFERROR(E3366 / SUMIFS('📅 Resumen Diario'!$D$5:$D$504, '📅 Resumen Diario'!$B$5:$B$504, B3366, '📅 Resumen Diario'!$C$5:$C$504, D3366) * SUMIFS('📅 Resumen Diario'!$K$5:$K$504, '📅 Resumen Diario'!$B$5:$B$504, B3366, '📅 Resumen Diario'!$C$5:$C$504, D3366), 0))</f>
        <v/>
      </c>
      <c r="M3366" s="31" t="str">
        <f t="shared" si="367"/>
        <v/>
      </c>
      <c r="N3366" s="31" t="str">
        <f t="shared" si="368"/>
        <v/>
      </c>
      <c r="O3366" s="31" t="str">
        <f>IF(OR(B3366="",C3366=""),"",K3366-N3366 + IFERROR(E3366 / SUMIFS('📅 Resumen Diario'!$D$5:$D$504, '📅 Resumen Diario'!$B$5:$B$504, B3366, '📅 Resumen Diario'!$C$5:$C$504, D3366) * (SUMIFS('📋 Detalle Diario'!$E$5:$E$489, '📋 Detalle Diario'!$B$5:$B$489, B3366, '📋 Detalle Diario'!$C$5:$C$489, D3366) * 135 + SUMIFS('📋 Detalle Diario'!$I$5:$I$489, '📋 Detalle Diario'!$B$5:$B$489, B3366, '📋 Detalle Diario'!$C$5:$C$489, D3366) * 200), 0))</f>
        <v/>
      </c>
      <c r="P3366" s="32" t="str">
        <f t="shared" si="369"/>
        <v/>
      </c>
      <c r="Q3366" s="33" t="str">
        <f t="shared" si="370"/>
        <v/>
      </c>
    </row>
    <row r="3367" spans="2:17" ht="18" customHeight="1" x14ac:dyDescent="0.3">
      <c r="B3367" s="26"/>
      <c r="C3367" s="28"/>
      <c r="D3367" s="27"/>
      <c r="E3367" s="29"/>
      <c r="F3367" s="29"/>
      <c r="G3367" s="29"/>
      <c r="H3367" s="30" t="str">
        <f t="shared" si="364"/>
        <v/>
      </c>
      <c r="I3367" s="31" t="str">
        <f>IF(OR(B3367="",C3367=""),"",IFERROR(E3367*IF(E3367="",0,VLOOKUP(C3367,'📦 Precios Proforma'!$B$5:$D$104,IF(D3367="DIA",2,3),FALSE)),0))</f>
        <v/>
      </c>
      <c r="J3367" s="31" t="str">
        <f t="shared" si="365"/>
        <v/>
      </c>
      <c r="K3367" s="31" t="str">
        <f t="shared" si="366"/>
        <v/>
      </c>
      <c r="L3367" s="31" t="str">
        <f>IF(OR(B3367="",C3367=""),"",IFERROR(E3367 / SUMIFS('📅 Resumen Diario'!$D$5:$D$504, '📅 Resumen Diario'!$B$5:$B$504, B3367, '📅 Resumen Diario'!$C$5:$C$504, D3367) * SUMIFS('📅 Resumen Diario'!$K$5:$K$504, '📅 Resumen Diario'!$B$5:$B$504, B3367, '📅 Resumen Diario'!$C$5:$C$504, D3367), 0))</f>
        <v/>
      </c>
      <c r="M3367" s="31" t="str">
        <f t="shared" si="367"/>
        <v/>
      </c>
      <c r="N3367" s="31" t="str">
        <f t="shared" si="368"/>
        <v/>
      </c>
      <c r="O3367" s="31" t="str">
        <f>IF(OR(B3367="",C3367=""),"",K3367-N3367 + IFERROR(E3367 / SUMIFS('📅 Resumen Diario'!$D$5:$D$504, '📅 Resumen Diario'!$B$5:$B$504, B3367, '📅 Resumen Diario'!$C$5:$C$504, D3367) * (SUMIFS('📋 Detalle Diario'!$E$5:$E$489, '📋 Detalle Diario'!$B$5:$B$489, B3367, '📋 Detalle Diario'!$C$5:$C$489, D3367) * 135 + SUMIFS('📋 Detalle Diario'!$I$5:$I$489, '📋 Detalle Diario'!$B$5:$B$489, B3367, '📋 Detalle Diario'!$C$5:$C$489, D3367) * 200), 0))</f>
        <v/>
      </c>
      <c r="P3367" s="32" t="str">
        <f t="shared" si="369"/>
        <v/>
      </c>
      <c r="Q3367" s="33" t="str">
        <f t="shared" si="370"/>
        <v/>
      </c>
    </row>
    <row r="3368" spans="2:17" ht="18" customHeight="1" x14ac:dyDescent="0.3">
      <c r="B3368" s="26"/>
      <c r="C3368" s="17"/>
      <c r="D3368" s="27"/>
      <c r="E3368" s="18"/>
      <c r="F3368" s="18"/>
      <c r="G3368" s="18"/>
      <c r="H3368" s="30" t="str">
        <f t="shared" si="364"/>
        <v/>
      </c>
      <c r="I3368" s="31" t="str">
        <f>IF(OR(B3368="",C3368=""),"",IFERROR(E3368*IF(E3368="",0,VLOOKUP(C3368,'📦 Precios Proforma'!$B$5:$D$104,IF(D3368="DIA",2,3),FALSE)),0))</f>
        <v/>
      </c>
      <c r="J3368" s="31" t="str">
        <f t="shared" si="365"/>
        <v/>
      </c>
      <c r="K3368" s="31" t="str">
        <f t="shared" si="366"/>
        <v/>
      </c>
      <c r="L3368" s="31" t="str">
        <f>IF(OR(B3368="",C3368=""),"",IFERROR(E3368 / SUMIFS('📅 Resumen Diario'!$D$5:$D$504, '📅 Resumen Diario'!$B$5:$B$504, B3368, '📅 Resumen Diario'!$C$5:$C$504, D3368) * SUMIFS('📅 Resumen Diario'!$K$5:$K$504, '📅 Resumen Diario'!$B$5:$B$504, B3368, '📅 Resumen Diario'!$C$5:$C$504, D3368), 0))</f>
        <v/>
      </c>
      <c r="M3368" s="31" t="str">
        <f t="shared" si="367"/>
        <v/>
      </c>
      <c r="N3368" s="31" t="str">
        <f t="shared" si="368"/>
        <v/>
      </c>
      <c r="O3368" s="31" t="str">
        <f>IF(OR(B3368="",C3368=""),"",K3368-N3368 + IFERROR(E3368 / SUMIFS('📅 Resumen Diario'!$D$5:$D$504, '📅 Resumen Diario'!$B$5:$B$504, B3368, '📅 Resumen Diario'!$C$5:$C$504, D3368) * (SUMIFS('📋 Detalle Diario'!$E$5:$E$489, '📋 Detalle Diario'!$B$5:$B$489, B3368, '📋 Detalle Diario'!$C$5:$C$489, D3368) * 135 + SUMIFS('📋 Detalle Diario'!$I$5:$I$489, '📋 Detalle Diario'!$B$5:$B$489, B3368, '📋 Detalle Diario'!$C$5:$C$489, D3368) * 200), 0))</f>
        <v/>
      </c>
      <c r="P3368" s="32" t="str">
        <f t="shared" si="369"/>
        <v/>
      </c>
      <c r="Q3368" s="33" t="str">
        <f t="shared" si="370"/>
        <v/>
      </c>
    </row>
    <row r="3369" spans="2:17" ht="18" customHeight="1" x14ac:dyDescent="0.3">
      <c r="B3369" s="26"/>
      <c r="C3369" s="28"/>
      <c r="D3369" s="27"/>
      <c r="E3369" s="29"/>
      <c r="F3369" s="29"/>
      <c r="G3369" s="29"/>
      <c r="H3369" s="30" t="str">
        <f t="shared" si="364"/>
        <v/>
      </c>
      <c r="I3369" s="31" t="str">
        <f>IF(OR(B3369="",C3369=""),"",IFERROR(E3369*IF(E3369="",0,VLOOKUP(C3369,'📦 Precios Proforma'!$B$5:$D$104,IF(D3369="DIA",2,3),FALSE)),0))</f>
        <v/>
      </c>
      <c r="J3369" s="31" t="str">
        <f t="shared" si="365"/>
        <v/>
      </c>
      <c r="K3369" s="31" t="str">
        <f t="shared" si="366"/>
        <v/>
      </c>
      <c r="L3369" s="31" t="str">
        <f>IF(OR(B3369="",C3369=""),"",IFERROR(E3369 / SUMIFS('📅 Resumen Diario'!$D$5:$D$504, '📅 Resumen Diario'!$B$5:$B$504, B3369, '📅 Resumen Diario'!$C$5:$C$504, D3369) * SUMIFS('📅 Resumen Diario'!$K$5:$K$504, '📅 Resumen Diario'!$B$5:$B$504, B3369, '📅 Resumen Diario'!$C$5:$C$504, D3369), 0))</f>
        <v/>
      </c>
      <c r="M3369" s="31" t="str">
        <f t="shared" si="367"/>
        <v/>
      </c>
      <c r="N3369" s="31" t="str">
        <f t="shared" si="368"/>
        <v/>
      </c>
      <c r="O3369" s="31" t="str">
        <f>IF(OR(B3369="",C3369=""),"",K3369-N3369 + IFERROR(E3369 / SUMIFS('📅 Resumen Diario'!$D$5:$D$504, '📅 Resumen Diario'!$B$5:$B$504, B3369, '📅 Resumen Diario'!$C$5:$C$504, D3369) * (SUMIFS('📋 Detalle Diario'!$E$5:$E$489, '📋 Detalle Diario'!$B$5:$B$489, B3369, '📋 Detalle Diario'!$C$5:$C$489, D3369) * 135 + SUMIFS('📋 Detalle Diario'!$I$5:$I$489, '📋 Detalle Diario'!$B$5:$B$489, B3369, '📋 Detalle Diario'!$C$5:$C$489, D3369) * 200), 0))</f>
        <v/>
      </c>
      <c r="P3369" s="32" t="str">
        <f t="shared" si="369"/>
        <v/>
      </c>
      <c r="Q3369" s="33" t="str">
        <f t="shared" si="370"/>
        <v/>
      </c>
    </row>
    <row r="3370" spans="2:17" ht="18" customHeight="1" x14ac:dyDescent="0.3">
      <c r="B3370" s="26"/>
      <c r="C3370" s="17"/>
      <c r="D3370" s="27"/>
      <c r="E3370" s="18"/>
      <c r="F3370" s="18"/>
      <c r="G3370" s="18"/>
      <c r="H3370" s="30" t="str">
        <f t="shared" si="364"/>
        <v/>
      </c>
      <c r="I3370" s="31" t="str">
        <f>IF(OR(B3370="",C3370=""),"",IFERROR(E3370*IF(E3370="",0,VLOOKUP(C3370,'📦 Precios Proforma'!$B$5:$D$104,IF(D3370="DIA",2,3),FALSE)),0))</f>
        <v/>
      </c>
      <c r="J3370" s="31" t="str">
        <f t="shared" si="365"/>
        <v/>
      </c>
      <c r="K3370" s="31" t="str">
        <f t="shared" si="366"/>
        <v/>
      </c>
      <c r="L3370" s="31" t="str">
        <f>IF(OR(B3370="",C3370=""),"",IFERROR(E3370 / SUMIFS('📅 Resumen Diario'!$D$5:$D$504, '📅 Resumen Diario'!$B$5:$B$504, B3370, '📅 Resumen Diario'!$C$5:$C$504, D3370) * SUMIFS('📅 Resumen Diario'!$K$5:$K$504, '📅 Resumen Diario'!$B$5:$B$504, B3370, '📅 Resumen Diario'!$C$5:$C$504, D3370), 0))</f>
        <v/>
      </c>
      <c r="M3370" s="31" t="str">
        <f t="shared" si="367"/>
        <v/>
      </c>
      <c r="N3370" s="31" t="str">
        <f t="shared" si="368"/>
        <v/>
      </c>
      <c r="O3370" s="31" t="str">
        <f>IF(OR(B3370="",C3370=""),"",K3370-N3370 + IFERROR(E3370 / SUMIFS('📅 Resumen Diario'!$D$5:$D$504, '📅 Resumen Diario'!$B$5:$B$504, B3370, '📅 Resumen Diario'!$C$5:$C$504, D3370) * (SUMIFS('📋 Detalle Diario'!$E$5:$E$489, '📋 Detalle Diario'!$B$5:$B$489, B3370, '📋 Detalle Diario'!$C$5:$C$489, D3370) * 135 + SUMIFS('📋 Detalle Diario'!$I$5:$I$489, '📋 Detalle Diario'!$B$5:$B$489, B3370, '📋 Detalle Diario'!$C$5:$C$489, D3370) * 200), 0))</f>
        <v/>
      </c>
      <c r="P3370" s="32" t="str">
        <f t="shared" si="369"/>
        <v/>
      </c>
      <c r="Q3370" s="33" t="str">
        <f t="shared" si="370"/>
        <v/>
      </c>
    </row>
    <row r="3371" spans="2:17" ht="18" customHeight="1" x14ac:dyDescent="0.3">
      <c r="B3371" s="26"/>
      <c r="C3371" s="28"/>
      <c r="D3371" s="27"/>
      <c r="E3371" s="29"/>
      <c r="F3371" s="29"/>
      <c r="G3371" s="29"/>
      <c r="H3371" s="30" t="str">
        <f t="shared" si="364"/>
        <v/>
      </c>
      <c r="I3371" s="31" t="str">
        <f>IF(OR(B3371="",C3371=""),"",IFERROR(E3371*IF(E3371="",0,VLOOKUP(C3371,'📦 Precios Proforma'!$B$5:$D$104,IF(D3371="DIA",2,3),FALSE)),0))</f>
        <v/>
      </c>
      <c r="J3371" s="31" t="str">
        <f t="shared" si="365"/>
        <v/>
      </c>
      <c r="K3371" s="31" t="str">
        <f t="shared" si="366"/>
        <v/>
      </c>
      <c r="L3371" s="31" t="str">
        <f>IF(OR(B3371="",C3371=""),"",IFERROR(E3371 / SUMIFS('📅 Resumen Diario'!$D$5:$D$504, '📅 Resumen Diario'!$B$5:$B$504, B3371, '📅 Resumen Diario'!$C$5:$C$504, D3371) * SUMIFS('📅 Resumen Diario'!$K$5:$K$504, '📅 Resumen Diario'!$B$5:$B$504, B3371, '📅 Resumen Diario'!$C$5:$C$504, D3371), 0))</f>
        <v/>
      </c>
      <c r="M3371" s="31" t="str">
        <f t="shared" si="367"/>
        <v/>
      </c>
      <c r="N3371" s="31" t="str">
        <f t="shared" si="368"/>
        <v/>
      </c>
      <c r="O3371" s="31" t="str">
        <f>IF(OR(B3371="",C3371=""),"",K3371-N3371 + IFERROR(E3371 / SUMIFS('📅 Resumen Diario'!$D$5:$D$504, '📅 Resumen Diario'!$B$5:$B$504, B3371, '📅 Resumen Diario'!$C$5:$C$504, D3371) * (SUMIFS('📋 Detalle Diario'!$E$5:$E$489, '📋 Detalle Diario'!$B$5:$B$489, B3371, '📋 Detalle Diario'!$C$5:$C$489, D3371) * 135 + SUMIFS('📋 Detalle Diario'!$I$5:$I$489, '📋 Detalle Diario'!$B$5:$B$489, B3371, '📋 Detalle Diario'!$C$5:$C$489, D3371) * 200), 0))</f>
        <v/>
      </c>
      <c r="P3371" s="32" t="str">
        <f t="shared" si="369"/>
        <v/>
      </c>
      <c r="Q3371" s="33" t="str">
        <f t="shared" si="370"/>
        <v/>
      </c>
    </row>
    <row r="3372" spans="2:17" ht="18" customHeight="1" x14ac:dyDescent="0.3">
      <c r="B3372" s="26"/>
      <c r="C3372" s="17"/>
      <c r="D3372" s="27"/>
      <c r="E3372" s="18"/>
      <c r="F3372" s="18"/>
      <c r="G3372" s="18"/>
      <c r="H3372" s="30" t="str">
        <f t="shared" si="364"/>
        <v/>
      </c>
      <c r="I3372" s="31" t="str">
        <f>IF(OR(B3372="",C3372=""),"",IFERROR(E3372*IF(E3372="",0,VLOOKUP(C3372,'📦 Precios Proforma'!$B$5:$D$104,IF(D3372="DIA",2,3),FALSE)),0))</f>
        <v/>
      </c>
      <c r="J3372" s="31" t="str">
        <f t="shared" si="365"/>
        <v/>
      </c>
      <c r="K3372" s="31" t="str">
        <f t="shared" si="366"/>
        <v/>
      </c>
      <c r="L3372" s="31" t="str">
        <f>IF(OR(B3372="",C3372=""),"",IFERROR(E3372 / SUMIFS('📅 Resumen Diario'!$D$5:$D$504, '📅 Resumen Diario'!$B$5:$B$504, B3372, '📅 Resumen Diario'!$C$5:$C$504, D3372) * SUMIFS('📅 Resumen Diario'!$K$5:$K$504, '📅 Resumen Diario'!$B$5:$B$504, B3372, '📅 Resumen Diario'!$C$5:$C$504, D3372), 0))</f>
        <v/>
      </c>
      <c r="M3372" s="31" t="str">
        <f t="shared" si="367"/>
        <v/>
      </c>
      <c r="N3372" s="31" t="str">
        <f t="shared" si="368"/>
        <v/>
      </c>
      <c r="O3372" s="31" t="str">
        <f>IF(OR(B3372="",C3372=""),"",K3372-N3372 + IFERROR(E3372 / SUMIFS('📅 Resumen Diario'!$D$5:$D$504, '📅 Resumen Diario'!$B$5:$B$504, B3372, '📅 Resumen Diario'!$C$5:$C$504, D3372) * (SUMIFS('📋 Detalle Diario'!$E$5:$E$489, '📋 Detalle Diario'!$B$5:$B$489, B3372, '📋 Detalle Diario'!$C$5:$C$489, D3372) * 135 + SUMIFS('📋 Detalle Diario'!$I$5:$I$489, '📋 Detalle Diario'!$B$5:$B$489, B3372, '📋 Detalle Diario'!$C$5:$C$489, D3372) * 200), 0))</f>
        <v/>
      </c>
      <c r="P3372" s="32" t="str">
        <f t="shared" si="369"/>
        <v/>
      </c>
      <c r="Q3372" s="33" t="str">
        <f t="shared" si="370"/>
        <v/>
      </c>
    </row>
    <row r="3373" spans="2:17" ht="18" customHeight="1" x14ac:dyDescent="0.3">
      <c r="B3373" s="26"/>
      <c r="C3373" s="28"/>
      <c r="D3373" s="27"/>
      <c r="E3373" s="29"/>
      <c r="F3373" s="29"/>
      <c r="G3373" s="29"/>
      <c r="H3373" s="30" t="str">
        <f t="shared" si="364"/>
        <v/>
      </c>
      <c r="I3373" s="31" t="str">
        <f>IF(OR(B3373="",C3373=""),"",IFERROR(E3373*IF(E3373="",0,VLOOKUP(C3373,'📦 Precios Proforma'!$B$5:$D$104,IF(D3373="DIA",2,3),FALSE)),0))</f>
        <v/>
      </c>
      <c r="J3373" s="31" t="str">
        <f t="shared" si="365"/>
        <v/>
      </c>
      <c r="K3373" s="31" t="str">
        <f t="shared" si="366"/>
        <v/>
      </c>
      <c r="L3373" s="31" t="str">
        <f>IF(OR(B3373="",C3373=""),"",IFERROR(E3373 / SUMIFS('📅 Resumen Diario'!$D$5:$D$504, '📅 Resumen Diario'!$B$5:$B$504, B3373, '📅 Resumen Diario'!$C$5:$C$504, D3373) * SUMIFS('📅 Resumen Diario'!$K$5:$K$504, '📅 Resumen Diario'!$B$5:$B$504, B3373, '📅 Resumen Diario'!$C$5:$C$504, D3373), 0))</f>
        <v/>
      </c>
      <c r="M3373" s="31" t="str">
        <f t="shared" si="367"/>
        <v/>
      </c>
      <c r="N3373" s="31" t="str">
        <f t="shared" si="368"/>
        <v/>
      </c>
      <c r="O3373" s="31" t="str">
        <f>IF(OR(B3373="",C3373=""),"",K3373-N3373 + IFERROR(E3373 / SUMIFS('📅 Resumen Diario'!$D$5:$D$504, '📅 Resumen Diario'!$B$5:$B$504, B3373, '📅 Resumen Diario'!$C$5:$C$504, D3373) * (SUMIFS('📋 Detalle Diario'!$E$5:$E$489, '📋 Detalle Diario'!$B$5:$B$489, B3373, '📋 Detalle Diario'!$C$5:$C$489, D3373) * 135 + SUMIFS('📋 Detalle Diario'!$I$5:$I$489, '📋 Detalle Diario'!$B$5:$B$489, B3373, '📋 Detalle Diario'!$C$5:$C$489, D3373) * 200), 0))</f>
        <v/>
      </c>
      <c r="P3373" s="32" t="str">
        <f t="shared" si="369"/>
        <v/>
      </c>
      <c r="Q3373" s="33" t="str">
        <f t="shared" si="370"/>
        <v/>
      </c>
    </row>
    <row r="3374" spans="2:17" ht="18" customHeight="1" x14ac:dyDescent="0.3">
      <c r="B3374" s="26"/>
      <c r="C3374" s="17"/>
      <c r="D3374" s="27"/>
      <c r="E3374" s="18"/>
      <c r="F3374" s="18"/>
      <c r="G3374" s="18"/>
      <c r="H3374" s="30" t="str">
        <f t="shared" si="364"/>
        <v/>
      </c>
      <c r="I3374" s="31" t="str">
        <f>IF(OR(B3374="",C3374=""),"",IFERROR(E3374*IF(E3374="",0,VLOOKUP(C3374,'📦 Precios Proforma'!$B$5:$D$104,IF(D3374="DIA",2,3),FALSE)),0))</f>
        <v/>
      </c>
      <c r="J3374" s="31" t="str">
        <f t="shared" si="365"/>
        <v/>
      </c>
      <c r="K3374" s="31" t="str">
        <f t="shared" si="366"/>
        <v/>
      </c>
      <c r="L3374" s="31" t="str">
        <f>IF(OR(B3374="",C3374=""),"",IFERROR(E3374 / SUMIFS('📅 Resumen Diario'!$D$5:$D$504, '📅 Resumen Diario'!$B$5:$B$504, B3374, '📅 Resumen Diario'!$C$5:$C$504, D3374) * SUMIFS('📅 Resumen Diario'!$K$5:$K$504, '📅 Resumen Diario'!$B$5:$B$504, B3374, '📅 Resumen Diario'!$C$5:$C$504, D3374), 0))</f>
        <v/>
      </c>
      <c r="M3374" s="31" t="str">
        <f t="shared" si="367"/>
        <v/>
      </c>
      <c r="N3374" s="31" t="str">
        <f t="shared" si="368"/>
        <v/>
      </c>
      <c r="O3374" s="31" t="str">
        <f>IF(OR(B3374="",C3374=""),"",K3374-N3374 + IFERROR(E3374 / SUMIFS('📅 Resumen Diario'!$D$5:$D$504, '📅 Resumen Diario'!$B$5:$B$504, B3374, '📅 Resumen Diario'!$C$5:$C$504, D3374) * (SUMIFS('📋 Detalle Diario'!$E$5:$E$489, '📋 Detalle Diario'!$B$5:$B$489, B3374, '📋 Detalle Diario'!$C$5:$C$489, D3374) * 135 + SUMIFS('📋 Detalle Diario'!$I$5:$I$489, '📋 Detalle Diario'!$B$5:$B$489, B3374, '📋 Detalle Diario'!$C$5:$C$489, D3374) * 200), 0))</f>
        <v/>
      </c>
      <c r="P3374" s="32" t="str">
        <f t="shared" si="369"/>
        <v/>
      </c>
      <c r="Q3374" s="33" t="str">
        <f t="shared" si="370"/>
        <v/>
      </c>
    </row>
    <row r="3375" spans="2:17" ht="18" customHeight="1" x14ac:dyDescent="0.3">
      <c r="B3375" s="26"/>
      <c r="C3375" s="28"/>
      <c r="D3375" s="27"/>
      <c r="E3375" s="29"/>
      <c r="F3375" s="29"/>
      <c r="G3375" s="29"/>
      <c r="H3375" s="30" t="str">
        <f t="shared" si="364"/>
        <v/>
      </c>
      <c r="I3375" s="31" t="str">
        <f>IF(OR(B3375="",C3375=""),"",IFERROR(E3375*IF(E3375="",0,VLOOKUP(C3375,'📦 Precios Proforma'!$B$5:$D$104,IF(D3375="DIA",2,3),FALSE)),0))</f>
        <v/>
      </c>
      <c r="J3375" s="31" t="str">
        <f t="shared" si="365"/>
        <v/>
      </c>
      <c r="K3375" s="31" t="str">
        <f t="shared" si="366"/>
        <v/>
      </c>
      <c r="L3375" s="31" t="str">
        <f>IF(OR(B3375="",C3375=""),"",IFERROR(E3375 / SUMIFS('📅 Resumen Diario'!$D$5:$D$504, '📅 Resumen Diario'!$B$5:$B$504, B3375, '📅 Resumen Diario'!$C$5:$C$504, D3375) * SUMIFS('📅 Resumen Diario'!$K$5:$K$504, '📅 Resumen Diario'!$B$5:$B$504, B3375, '📅 Resumen Diario'!$C$5:$C$504, D3375), 0))</f>
        <v/>
      </c>
      <c r="M3375" s="31" t="str">
        <f t="shared" si="367"/>
        <v/>
      </c>
      <c r="N3375" s="31" t="str">
        <f t="shared" si="368"/>
        <v/>
      </c>
      <c r="O3375" s="31" t="str">
        <f>IF(OR(B3375="",C3375=""),"",K3375-N3375 + IFERROR(E3375 / SUMIFS('📅 Resumen Diario'!$D$5:$D$504, '📅 Resumen Diario'!$B$5:$B$504, B3375, '📅 Resumen Diario'!$C$5:$C$504, D3375) * (SUMIFS('📋 Detalle Diario'!$E$5:$E$489, '📋 Detalle Diario'!$B$5:$B$489, B3375, '📋 Detalle Diario'!$C$5:$C$489, D3375) * 135 + SUMIFS('📋 Detalle Diario'!$I$5:$I$489, '📋 Detalle Diario'!$B$5:$B$489, B3375, '📋 Detalle Diario'!$C$5:$C$489, D3375) * 200), 0))</f>
        <v/>
      </c>
      <c r="P3375" s="32" t="str">
        <f t="shared" si="369"/>
        <v/>
      </c>
      <c r="Q3375" s="33" t="str">
        <f t="shared" si="370"/>
        <v/>
      </c>
    </row>
    <row r="3376" spans="2:17" ht="18" customHeight="1" x14ac:dyDescent="0.3">
      <c r="B3376" s="26"/>
      <c r="C3376" s="17"/>
      <c r="D3376" s="27"/>
      <c r="E3376" s="18"/>
      <c r="F3376" s="18"/>
      <c r="G3376" s="18"/>
      <c r="H3376" s="30" t="str">
        <f t="shared" si="364"/>
        <v/>
      </c>
      <c r="I3376" s="31" t="str">
        <f>IF(OR(B3376="",C3376=""),"",IFERROR(E3376*IF(E3376="",0,VLOOKUP(C3376,'📦 Precios Proforma'!$B$5:$D$104,IF(D3376="DIA",2,3),FALSE)),0))</f>
        <v/>
      </c>
      <c r="J3376" s="31" t="str">
        <f t="shared" si="365"/>
        <v/>
      </c>
      <c r="K3376" s="31" t="str">
        <f t="shared" si="366"/>
        <v/>
      </c>
      <c r="L3376" s="31" t="str">
        <f>IF(OR(B3376="",C3376=""),"",IFERROR(E3376 / SUMIFS('📅 Resumen Diario'!$D$5:$D$504, '📅 Resumen Diario'!$B$5:$B$504, B3376, '📅 Resumen Diario'!$C$5:$C$504, D3376) * SUMIFS('📅 Resumen Diario'!$K$5:$K$504, '📅 Resumen Diario'!$B$5:$B$504, B3376, '📅 Resumen Diario'!$C$5:$C$504, D3376), 0))</f>
        <v/>
      </c>
      <c r="M3376" s="31" t="str">
        <f t="shared" si="367"/>
        <v/>
      </c>
      <c r="N3376" s="31" t="str">
        <f t="shared" si="368"/>
        <v/>
      </c>
      <c r="O3376" s="31" t="str">
        <f>IF(OR(B3376="",C3376=""),"",K3376-N3376 + IFERROR(E3376 / SUMIFS('📅 Resumen Diario'!$D$5:$D$504, '📅 Resumen Diario'!$B$5:$B$504, B3376, '📅 Resumen Diario'!$C$5:$C$504, D3376) * (SUMIFS('📋 Detalle Diario'!$E$5:$E$489, '📋 Detalle Diario'!$B$5:$B$489, B3376, '📋 Detalle Diario'!$C$5:$C$489, D3376) * 135 + SUMIFS('📋 Detalle Diario'!$I$5:$I$489, '📋 Detalle Diario'!$B$5:$B$489, B3376, '📋 Detalle Diario'!$C$5:$C$489, D3376) * 200), 0))</f>
        <v/>
      </c>
      <c r="P3376" s="32" t="str">
        <f t="shared" si="369"/>
        <v/>
      </c>
      <c r="Q3376" s="33" t="str">
        <f t="shared" si="370"/>
        <v/>
      </c>
    </row>
    <row r="3377" spans="2:17" ht="18" customHeight="1" x14ac:dyDescent="0.3">
      <c r="B3377" s="26"/>
      <c r="C3377" s="28"/>
      <c r="D3377" s="27"/>
      <c r="E3377" s="29"/>
      <c r="F3377" s="29"/>
      <c r="G3377" s="29"/>
      <c r="H3377" s="30" t="str">
        <f t="shared" si="364"/>
        <v/>
      </c>
      <c r="I3377" s="31" t="str">
        <f>IF(OR(B3377="",C3377=""),"",IFERROR(E3377*IF(E3377="",0,VLOOKUP(C3377,'📦 Precios Proforma'!$B$5:$D$104,IF(D3377="DIA",2,3),FALSE)),0))</f>
        <v/>
      </c>
      <c r="J3377" s="31" t="str">
        <f t="shared" si="365"/>
        <v/>
      </c>
      <c r="K3377" s="31" t="str">
        <f t="shared" si="366"/>
        <v/>
      </c>
      <c r="L3377" s="31" t="str">
        <f>IF(OR(B3377="",C3377=""),"",IFERROR(E3377 / SUMIFS('📅 Resumen Diario'!$D$5:$D$504, '📅 Resumen Diario'!$B$5:$B$504, B3377, '📅 Resumen Diario'!$C$5:$C$504, D3377) * SUMIFS('📅 Resumen Diario'!$K$5:$K$504, '📅 Resumen Diario'!$B$5:$B$504, B3377, '📅 Resumen Diario'!$C$5:$C$504, D3377), 0))</f>
        <v/>
      </c>
      <c r="M3377" s="31" t="str">
        <f t="shared" si="367"/>
        <v/>
      </c>
      <c r="N3377" s="31" t="str">
        <f t="shared" si="368"/>
        <v/>
      </c>
      <c r="O3377" s="31" t="str">
        <f>IF(OR(B3377="",C3377=""),"",K3377-N3377 + IFERROR(E3377 / SUMIFS('📅 Resumen Diario'!$D$5:$D$504, '📅 Resumen Diario'!$B$5:$B$504, B3377, '📅 Resumen Diario'!$C$5:$C$504, D3377) * (SUMIFS('📋 Detalle Diario'!$E$5:$E$489, '📋 Detalle Diario'!$B$5:$B$489, B3377, '📋 Detalle Diario'!$C$5:$C$489, D3377) * 135 + SUMIFS('📋 Detalle Diario'!$I$5:$I$489, '📋 Detalle Diario'!$B$5:$B$489, B3377, '📋 Detalle Diario'!$C$5:$C$489, D3377) * 200), 0))</f>
        <v/>
      </c>
      <c r="P3377" s="32" t="str">
        <f t="shared" si="369"/>
        <v/>
      </c>
      <c r="Q3377" s="33" t="str">
        <f t="shared" si="370"/>
        <v/>
      </c>
    </row>
    <row r="3378" spans="2:17" ht="18" customHeight="1" x14ac:dyDescent="0.3">
      <c r="B3378" s="26"/>
      <c r="C3378" s="17"/>
      <c r="D3378" s="27"/>
      <c r="E3378" s="18"/>
      <c r="F3378" s="18"/>
      <c r="G3378" s="18"/>
      <c r="H3378" s="30" t="str">
        <f t="shared" si="364"/>
        <v/>
      </c>
      <c r="I3378" s="31" t="str">
        <f>IF(OR(B3378="",C3378=""),"",IFERROR(E3378*IF(E3378="",0,VLOOKUP(C3378,'📦 Precios Proforma'!$B$5:$D$104,IF(D3378="DIA",2,3),FALSE)),0))</f>
        <v/>
      </c>
      <c r="J3378" s="31" t="str">
        <f t="shared" si="365"/>
        <v/>
      </c>
      <c r="K3378" s="31" t="str">
        <f t="shared" si="366"/>
        <v/>
      </c>
      <c r="L3378" s="31" t="str">
        <f>IF(OR(B3378="",C3378=""),"",IFERROR(E3378 / SUMIFS('📅 Resumen Diario'!$D$5:$D$504, '📅 Resumen Diario'!$B$5:$B$504, B3378, '📅 Resumen Diario'!$C$5:$C$504, D3378) * SUMIFS('📅 Resumen Diario'!$K$5:$K$504, '📅 Resumen Diario'!$B$5:$B$504, B3378, '📅 Resumen Diario'!$C$5:$C$504, D3378), 0))</f>
        <v/>
      </c>
      <c r="M3378" s="31" t="str">
        <f t="shared" si="367"/>
        <v/>
      </c>
      <c r="N3378" s="31" t="str">
        <f t="shared" si="368"/>
        <v/>
      </c>
      <c r="O3378" s="31" t="str">
        <f>IF(OR(B3378="",C3378=""),"",K3378-N3378 + IFERROR(E3378 / SUMIFS('📅 Resumen Diario'!$D$5:$D$504, '📅 Resumen Diario'!$B$5:$B$504, B3378, '📅 Resumen Diario'!$C$5:$C$504, D3378) * (SUMIFS('📋 Detalle Diario'!$E$5:$E$489, '📋 Detalle Diario'!$B$5:$B$489, B3378, '📋 Detalle Diario'!$C$5:$C$489, D3378) * 135 + SUMIFS('📋 Detalle Diario'!$I$5:$I$489, '📋 Detalle Diario'!$B$5:$B$489, B3378, '📋 Detalle Diario'!$C$5:$C$489, D3378) * 200), 0))</f>
        <v/>
      </c>
      <c r="P3378" s="32" t="str">
        <f t="shared" si="369"/>
        <v/>
      </c>
      <c r="Q3378" s="33" t="str">
        <f t="shared" si="370"/>
        <v/>
      </c>
    </row>
    <row r="3379" spans="2:17" ht="18" customHeight="1" x14ac:dyDescent="0.3">
      <c r="B3379" s="26"/>
      <c r="C3379" s="28"/>
      <c r="D3379" s="27"/>
      <c r="E3379" s="29"/>
      <c r="F3379" s="29"/>
      <c r="G3379" s="29"/>
      <c r="H3379" s="30" t="str">
        <f t="shared" si="364"/>
        <v/>
      </c>
      <c r="I3379" s="31" t="str">
        <f>IF(OR(B3379="",C3379=""),"",IFERROR(E3379*IF(E3379="",0,VLOOKUP(C3379,'📦 Precios Proforma'!$B$5:$D$104,IF(D3379="DIA",2,3),FALSE)),0))</f>
        <v/>
      </c>
      <c r="J3379" s="31" t="str">
        <f t="shared" si="365"/>
        <v/>
      </c>
      <c r="K3379" s="31" t="str">
        <f t="shared" si="366"/>
        <v/>
      </c>
      <c r="L3379" s="31" t="str">
        <f>IF(OR(B3379="",C3379=""),"",IFERROR(E3379 / SUMIFS('📅 Resumen Diario'!$D$5:$D$504, '📅 Resumen Diario'!$B$5:$B$504, B3379, '📅 Resumen Diario'!$C$5:$C$504, D3379) * SUMIFS('📅 Resumen Diario'!$K$5:$K$504, '📅 Resumen Diario'!$B$5:$B$504, B3379, '📅 Resumen Diario'!$C$5:$C$504, D3379), 0))</f>
        <v/>
      </c>
      <c r="M3379" s="31" t="str">
        <f t="shared" si="367"/>
        <v/>
      </c>
      <c r="N3379" s="31" t="str">
        <f t="shared" si="368"/>
        <v/>
      </c>
      <c r="O3379" s="31" t="str">
        <f>IF(OR(B3379="",C3379=""),"",K3379-N3379 + IFERROR(E3379 / SUMIFS('📅 Resumen Diario'!$D$5:$D$504, '📅 Resumen Diario'!$B$5:$B$504, B3379, '📅 Resumen Diario'!$C$5:$C$504, D3379) * (SUMIFS('📋 Detalle Diario'!$E$5:$E$489, '📋 Detalle Diario'!$B$5:$B$489, B3379, '📋 Detalle Diario'!$C$5:$C$489, D3379) * 135 + SUMIFS('📋 Detalle Diario'!$I$5:$I$489, '📋 Detalle Diario'!$B$5:$B$489, B3379, '📋 Detalle Diario'!$C$5:$C$489, D3379) * 200), 0))</f>
        <v/>
      </c>
      <c r="P3379" s="32" t="str">
        <f t="shared" si="369"/>
        <v/>
      </c>
      <c r="Q3379" s="33" t="str">
        <f t="shared" si="370"/>
        <v/>
      </c>
    </row>
    <row r="3380" spans="2:17" ht="18" customHeight="1" x14ac:dyDescent="0.3">
      <c r="B3380" s="26"/>
      <c r="C3380" s="17"/>
      <c r="D3380" s="27"/>
      <c r="E3380" s="18"/>
      <c r="F3380" s="18"/>
      <c r="G3380" s="18"/>
      <c r="H3380" s="30" t="str">
        <f t="shared" si="364"/>
        <v/>
      </c>
      <c r="I3380" s="31" t="str">
        <f>IF(OR(B3380="",C3380=""),"",IFERROR(E3380*IF(E3380="",0,VLOOKUP(C3380,'📦 Precios Proforma'!$B$5:$D$104,IF(D3380="DIA",2,3),FALSE)),0))</f>
        <v/>
      </c>
      <c r="J3380" s="31" t="str">
        <f t="shared" si="365"/>
        <v/>
      </c>
      <c r="K3380" s="31" t="str">
        <f t="shared" si="366"/>
        <v/>
      </c>
      <c r="L3380" s="31" t="str">
        <f>IF(OR(B3380="",C3380=""),"",IFERROR(E3380 / SUMIFS('📅 Resumen Diario'!$D$5:$D$504, '📅 Resumen Diario'!$B$5:$B$504, B3380, '📅 Resumen Diario'!$C$5:$C$504, D3380) * SUMIFS('📅 Resumen Diario'!$K$5:$K$504, '📅 Resumen Diario'!$B$5:$B$504, B3380, '📅 Resumen Diario'!$C$5:$C$504, D3380), 0))</f>
        <v/>
      </c>
      <c r="M3380" s="31" t="str">
        <f t="shared" si="367"/>
        <v/>
      </c>
      <c r="N3380" s="31" t="str">
        <f t="shared" si="368"/>
        <v/>
      </c>
      <c r="O3380" s="31" t="str">
        <f>IF(OR(B3380="",C3380=""),"",K3380-N3380 + IFERROR(E3380 / SUMIFS('📅 Resumen Diario'!$D$5:$D$504, '📅 Resumen Diario'!$B$5:$B$504, B3380, '📅 Resumen Diario'!$C$5:$C$504, D3380) * (SUMIFS('📋 Detalle Diario'!$E$5:$E$489, '📋 Detalle Diario'!$B$5:$B$489, B3380, '📋 Detalle Diario'!$C$5:$C$489, D3380) * 135 + SUMIFS('📋 Detalle Diario'!$I$5:$I$489, '📋 Detalle Diario'!$B$5:$B$489, B3380, '📋 Detalle Diario'!$C$5:$C$489, D3380) * 200), 0))</f>
        <v/>
      </c>
      <c r="P3380" s="32" t="str">
        <f t="shared" si="369"/>
        <v/>
      </c>
      <c r="Q3380" s="33" t="str">
        <f t="shared" si="370"/>
        <v/>
      </c>
    </row>
    <row r="3381" spans="2:17" ht="18" customHeight="1" x14ac:dyDescent="0.3">
      <c r="B3381" s="26"/>
      <c r="C3381" s="28"/>
      <c r="D3381" s="27"/>
      <c r="E3381" s="29"/>
      <c r="F3381" s="29"/>
      <c r="G3381" s="29"/>
      <c r="H3381" s="30" t="str">
        <f t="shared" si="364"/>
        <v/>
      </c>
      <c r="I3381" s="31" t="str">
        <f>IF(OR(B3381="",C3381=""),"",IFERROR(E3381*IF(E3381="",0,VLOOKUP(C3381,'📦 Precios Proforma'!$B$5:$D$104,IF(D3381="DIA",2,3),FALSE)),0))</f>
        <v/>
      </c>
      <c r="J3381" s="31" t="str">
        <f t="shared" si="365"/>
        <v/>
      </c>
      <c r="K3381" s="31" t="str">
        <f t="shared" si="366"/>
        <v/>
      </c>
      <c r="L3381" s="31" t="str">
        <f>IF(OR(B3381="",C3381=""),"",IFERROR(E3381 / SUMIFS('📅 Resumen Diario'!$D$5:$D$504, '📅 Resumen Diario'!$B$5:$B$504, B3381, '📅 Resumen Diario'!$C$5:$C$504, D3381) * SUMIFS('📅 Resumen Diario'!$K$5:$K$504, '📅 Resumen Diario'!$B$5:$B$504, B3381, '📅 Resumen Diario'!$C$5:$C$504, D3381), 0))</f>
        <v/>
      </c>
      <c r="M3381" s="31" t="str">
        <f t="shared" si="367"/>
        <v/>
      </c>
      <c r="N3381" s="31" t="str">
        <f t="shared" si="368"/>
        <v/>
      </c>
      <c r="O3381" s="31" t="str">
        <f>IF(OR(B3381="",C3381=""),"",K3381-N3381 + IFERROR(E3381 / SUMIFS('📅 Resumen Diario'!$D$5:$D$504, '📅 Resumen Diario'!$B$5:$B$504, B3381, '📅 Resumen Diario'!$C$5:$C$504, D3381) * (SUMIFS('📋 Detalle Diario'!$E$5:$E$489, '📋 Detalle Diario'!$B$5:$B$489, B3381, '📋 Detalle Diario'!$C$5:$C$489, D3381) * 135 + SUMIFS('📋 Detalle Diario'!$I$5:$I$489, '📋 Detalle Diario'!$B$5:$B$489, B3381, '📋 Detalle Diario'!$C$5:$C$489, D3381) * 200), 0))</f>
        <v/>
      </c>
      <c r="P3381" s="32" t="str">
        <f t="shared" si="369"/>
        <v/>
      </c>
      <c r="Q3381" s="33" t="str">
        <f t="shared" si="370"/>
        <v/>
      </c>
    </row>
    <row r="3382" spans="2:17" ht="18" customHeight="1" x14ac:dyDescent="0.3">
      <c r="B3382" s="26"/>
      <c r="C3382" s="17"/>
      <c r="D3382" s="27"/>
      <c r="E3382" s="18"/>
      <c r="F3382" s="18"/>
      <c r="G3382" s="18"/>
      <c r="H3382" s="30" t="str">
        <f t="shared" si="364"/>
        <v/>
      </c>
      <c r="I3382" s="31" t="str">
        <f>IF(OR(B3382="",C3382=""),"",IFERROR(E3382*IF(E3382="",0,VLOOKUP(C3382,'📦 Precios Proforma'!$B$5:$D$104,IF(D3382="DIA",2,3),FALSE)),0))</f>
        <v/>
      </c>
      <c r="J3382" s="31" t="str">
        <f t="shared" si="365"/>
        <v/>
      </c>
      <c r="K3382" s="31" t="str">
        <f t="shared" si="366"/>
        <v/>
      </c>
      <c r="L3382" s="31" t="str">
        <f>IF(OR(B3382="",C3382=""),"",IFERROR(E3382 / SUMIFS('📅 Resumen Diario'!$D$5:$D$504, '📅 Resumen Diario'!$B$5:$B$504, B3382, '📅 Resumen Diario'!$C$5:$C$504, D3382) * SUMIFS('📅 Resumen Diario'!$K$5:$K$504, '📅 Resumen Diario'!$B$5:$B$504, B3382, '📅 Resumen Diario'!$C$5:$C$504, D3382), 0))</f>
        <v/>
      </c>
      <c r="M3382" s="31" t="str">
        <f t="shared" si="367"/>
        <v/>
      </c>
      <c r="N3382" s="31" t="str">
        <f t="shared" si="368"/>
        <v/>
      </c>
      <c r="O3382" s="31" t="str">
        <f>IF(OR(B3382="",C3382=""),"",K3382-N3382 + IFERROR(E3382 / SUMIFS('📅 Resumen Diario'!$D$5:$D$504, '📅 Resumen Diario'!$B$5:$B$504, B3382, '📅 Resumen Diario'!$C$5:$C$504, D3382) * (SUMIFS('📋 Detalle Diario'!$E$5:$E$489, '📋 Detalle Diario'!$B$5:$B$489, B3382, '📋 Detalle Diario'!$C$5:$C$489, D3382) * 135 + SUMIFS('📋 Detalle Diario'!$I$5:$I$489, '📋 Detalle Diario'!$B$5:$B$489, B3382, '📋 Detalle Diario'!$C$5:$C$489, D3382) * 200), 0))</f>
        <v/>
      </c>
      <c r="P3382" s="32" t="str">
        <f t="shared" si="369"/>
        <v/>
      </c>
      <c r="Q3382" s="33" t="str">
        <f t="shared" si="370"/>
        <v/>
      </c>
    </row>
    <row r="3383" spans="2:17" ht="18" customHeight="1" x14ac:dyDescent="0.3">
      <c r="B3383" s="26"/>
      <c r="C3383" s="28"/>
      <c r="D3383" s="27"/>
      <c r="E3383" s="29"/>
      <c r="F3383" s="29"/>
      <c r="G3383" s="29"/>
      <c r="H3383" s="30" t="str">
        <f t="shared" si="364"/>
        <v/>
      </c>
      <c r="I3383" s="31" t="str">
        <f>IF(OR(B3383="",C3383=""),"",IFERROR(E3383*IF(E3383="",0,VLOOKUP(C3383,'📦 Precios Proforma'!$B$5:$D$104,IF(D3383="DIA",2,3),FALSE)),0))</f>
        <v/>
      </c>
      <c r="J3383" s="31" t="str">
        <f t="shared" si="365"/>
        <v/>
      </c>
      <c r="K3383" s="31" t="str">
        <f t="shared" si="366"/>
        <v/>
      </c>
      <c r="L3383" s="31" t="str">
        <f>IF(OR(B3383="",C3383=""),"",IFERROR(E3383 / SUMIFS('📅 Resumen Diario'!$D$5:$D$504, '📅 Resumen Diario'!$B$5:$B$504, B3383, '📅 Resumen Diario'!$C$5:$C$504, D3383) * SUMIFS('📅 Resumen Diario'!$K$5:$K$504, '📅 Resumen Diario'!$B$5:$B$504, B3383, '📅 Resumen Diario'!$C$5:$C$504, D3383), 0))</f>
        <v/>
      </c>
      <c r="M3383" s="31" t="str">
        <f t="shared" si="367"/>
        <v/>
      </c>
      <c r="N3383" s="31" t="str">
        <f t="shared" si="368"/>
        <v/>
      </c>
      <c r="O3383" s="31" t="str">
        <f>IF(OR(B3383="",C3383=""),"",K3383-N3383 + IFERROR(E3383 / SUMIFS('📅 Resumen Diario'!$D$5:$D$504, '📅 Resumen Diario'!$B$5:$B$504, B3383, '📅 Resumen Diario'!$C$5:$C$504, D3383) * (SUMIFS('📋 Detalle Diario'!$E$5:$E$489, '📋 Detalle Diario'!$B$5:$B$489, B3383, '📋 Detalle Diario'!$C$5:$C$489, D3383) * 135 + SUMIFS('📋 Detalle Diario'!$I$5:$I$489, '📋 Detalle Diario'!$B$5:$B$489, B3383, '📋 Detalle Diario'!$C$5:$C$489, D3383) * 200), 0))</f>
        <v/>
      </c>
      <c r="P3383" s="32" t="str">
        <f t="shared" si="369"/>
        <v/>
      </c>
      <c r="Q3383" s="33" t="str">
        <f t="shared" si="370"/>
        <v/>
      </c>
    </row>
    <row r="3384" spans="2:17" ht="18" customHeight="1" x14ac:dyDescent="0.3">
      <c r="B3384" s="26"/>
      <c r="C3384" s="17"/>
      <c r="D3384" s="27"/>
      <c r="E3384" s="18"/>
      <c r="F3384" s="18"/>
      <c r="G3384" s="18"/>
      <c r="H3384" s="30" t="str">
        <f t="shared" si="364"/>
        <v/>
      </c>
      <c r="I3384" s="31" t="str">
        <f>IF(OR(B3384="",C3384=""),"",IFERROR(E3384*IF(E3384="",0,VLOOKUP(C3384,'📦 Precios Proforma'!$B$5:$D$104,IF(D3384="DIA",2,3),FALSE)),0))</f>
        <v/>
      </c>
      <c r="J3384" s="31" t="str">
        <f t="shared" si="365"/>
        <v/>
      </c>
      <c r="K3384" s="31" t="str">
        <f t="shared" si="366"/>
        <v/>
      </c>
      <c r="L3384" s="31" t="str">
        <f>IF(OR(B3384="",C3384=""),"",IFERROR(E3384 / SUMIFS('📅 Resumen Diario'!$D$5:$D$504, '📅 Resumen Diario'!$B$5:$B$504, B3384, '📅 Resumen Diario'!$C$5:$C$504, D3384) * SUMIFS('📅 Resumen Diario'!$K$5:$K$504, '📅 Resumen Diario'!$B$5:$B$504, B3384, '📅 Resumen Diario'!$C$5:$C$504, D3384), 0))</f>
        <v/>
      </c>
      <c r="M3384" s="31" t="str">
        <f t="shared" si="367"/>
        <v/>
      </c>
      <c r="N3384" s="31" t="str">
        <f t="shared" si="368"/>
        <v/>
      </c>
      <c r="O3384" s="31" t="str">
        <f>IF(OR(B3384="",C3384=""),"",K3384-N3384 + IFERROR(E3384 / SUMIFS('📅 Resumen Diario'!$D$5:$D$504, '📅 Resumen Diario'!$B$5:$B$504, B3384, '📅 Resumen Diario'!$C$5:$C$504, D3384) * (SUMIFS('📋 Detalle Diario'!$E$5:$E$489, '📋 Detalle Diario'!$B$5:$B$489, B3384, '📋 Detalle Diario'!$C$5:$C$489, D3384) * 135 + SUMIFS('📋 Detalle Diario'!$I$5:$I$489, '📋 Detalle Diario'!$B$5:$B$489, B3384, '📋 Detalle Diario'!$C$5:$C$489, D3384) * 200), 0))</f>
        <v/>
      </c>
      <c r="P3384" s="32" t="str">
        <f t="shared" si="369"/>
        <v/>
      </c>
      <c r="Q3384" s="33" t="str">
        <f t="shared" si="370"/>
        <v/>
      </c>
    </row>
    <row r="3385" spans="2:17" ht="18" customHeight="1" x14ac:dyDescent="0.3">
      <c r="B3385" s="26"/>
      <c r="C3385" s="28"/>
      <c r="D3385" s="27"/>
      <c r="E3385" s="29"/>
      <c r="F3385" s="29"/>
      <c r="G3385" s="29"/>
      <c r="H3385" s="30" t="str">
        <f t="shared" si="364"/>
        <v/>
      </c>
      <c r="I3385" s="31" t="str">
        <f>IF(OR(B3385="",C3385=""),"",IFERROR(E3385*IF(E3385="",0,VLOOKUP(C3385,'📦 Precios Proforma'!$B$5:$D$104,IF(D3385="DIA",2,3),FALSE)),0))</f>
        <v/>
      </c>
      <c r="J3385" s="31" t="str">
        <f t="shared" si="365"/>
        <v/>
      </c>
      <c r="K3385" s="31" t="str">
        <f t="shared" si="366"/>
        <v/>
      </c>
      <c r="L3385" s="31" t="str">
        <f>IF(OR(B3385="",C3385=""),"",IFERROR(E3385 / SUMIFS('📅 Resumen Diario'!$D$5:$D$504, '📅 Resumen Diario'!$B$5:$B$504, B3385, '📅 Resumen Diario'!$C$5:$C$504, D3385) * SUMIFS('📅 Resumen Diario'!$K$5:$K$504, '📅 Resumen Diario'!$B$5:$B$504, B3385, '📅 Resumen Diario'!$C$5:$C$504, D3385), 0))</f>
        <v/>
      </c>
      <c r="M3385" s="31" t="str">
        <f t="shared" si="367"/>
        <v/>
      </c>
      <c r="N3385" s="31" t="str">
        <f t="shared" si="368"/>
        <v/>
      </c>
      <c r="O3385" s="31" t="str">
        <f>IF(OR(B3385="",C3385=""),"",K3385-N3385 + IFERROR(E3385 / SUMIFS('📅 Resumen Diario'!$D$5:$D$504, '📅 Resumen Diario'!$B$5:$B$504, B3385, '📅 Resumen Diario'!$C$5:$C$504, D3385) * (SUMIFS('📋 Detalle Diario'!$E$5:$E$489, '📋 Detalle Diario'!$B$5:$B$489, B3385, '📋 Detalle Diario'!$C$5:$C$489, D3385) * 135 + SUMIFS('📋 Detalle Diario'!$I$5:$I$489, '📋 Detalle Diario'!$B$5:$B$489, B3385, '📋 Detalle Diario'!$C$5:$C$489, D3385) * 200), 0))</f>
        <v/>
      </c>
      <c r="P3385" s="32" t="str">
        <f t="shared" si="369"/>
        <v/>
      </c>
      <c r="Q3385" s="33" t="str">
        <f t="shared" si="370"/>
        <v/>
      </c>
    </row>
    <row r="3386" spans="2:17" ht="18" customHeight="1" x14ac:dyDescent="0.3">
      <c r="B3386" s="26"/>
      <c r="C3386" s="17"/>
      <c r="D3386" s="27"/>
      <c r="E3386" s="18"/>
      <c r="F3386" s="18"/>
      <c r="G3386" s="18"/>
      <c r="H3386" s="30" t="str">
        <f t="shared" si="364"/>
        <v/>
      </c>
      <c r="I3386" s="31" t="str">
        <f>IF(OR(B3386="",C3386=""),"",IFERROR(E3386*IF(E3386="",0,VLOOKUP(C3386,'📦 Precios Proforma'!$B$5:$D$104,IF(D3386="DIA",2,3),FALSE)),0))</f>
        <v/>
      </c>
      <c r="J3386" s="31" t="str">
        <f t="shared" si="365"/>
        <v/>
      </c>
      <c r="K3386" s="31" t="str">
        <f t="shared" si="366"/>
        <v/>
      </c>
      <c r="L3386" s="31" t="str">
        <f>IF(OR(B3386="",C3386=""),"",IFERROR(E3386 / SUMIFS('📅 Resumen Diario'!$D$5:$D$504, '📅 Resumen Diario'!$B$5:$B$504, B3386, '📅 Resumen Diario'!$C$5:$C$504, D3386) * SUMIFS('📅 Resumen Diario'!$K$5:$K$504, '📅 Resumen Diario'!$B$5:$B$504, B3386, '📅 Resumen Diario'!$C$5:$C$504, D3386), 0))</f>
        <v/>
      </c>
      <c r="M3386" s="31" t="str">
        <f t="shared" si="367"/>
        <v/>
      </c>
      <c r="N3386" s="31" t="str">
        <f t="shared" si="368"/>
        <v/>
      </c>
      <c r="O3386" s="31" t="str">
        <f>IF(OR(B3386="",C3386=""),"",K3386-N3386 + IFERROR(E3386 / SUMIFS('📅 Resumen Diario'!$D$5:$D$504, '📅 Resumen Diario'!$B$5:$B$504, B3386, '📅 Resumen Diario'!$C$5:$C$504, D3386) * (SUMIFS('📋 Detalle Diario'!$E$5:$E$489, '📋 Detalle Diario'!$B$5:$B$489, B3386, '📋 Detalle Diario'!$C$5:$C$489, D3386) * 135 + SUMIFS('📋 Detalle Diario'!$I$5:$I$489, '📋 Detalle Diario'!$B$5:$B$489, B3386, '📋 Detalle Diario'!$C$5:$C$489, D3386) * 200), 0))</f>
        <v/>
      </c>
      <c r="P3386" s="32" t="str">
        <f t="shared" si="369"/>
        <v/>
      </c>
      <c r="Q3386" s="33" t="str">
        <f t="shared" si="370"/>
        <v/>
      </c>
    </row>
    <row r="3387" spans="2:17" ht="18" customHeight="1" x14ac:dyDescent="0.3">
      <c r="B3387" s="26"/>
      <c r="C3387" s="28"/>
      <c r="D3387" s="27"/>
      <c r="E3387" s="29"/>
      <c r="F3387" s="29"/>
      <c r="G3387" s="29"/>
      <c r="H3387" s="30" t="str">
        <f t="shared" si="364"/>
        <v/>
      </c>
      <c r="I3387" s="31" t="str">
        <f>IF(OR(B3387="",C3387=""),"",IFERROR(E3387*IF(E3387="",0,VLOOKUP(C3387,'📦 Precios Proforma'!$B$5:$D$104,IF(D3387="DIA",2,3),FALSE)),0))</f>
        <v/>
      </c>
      <c r="J3387" s="31" t="str">
        <f t="shared" si="365"/>
        <v/>
      </c>
      <c r="K3387" s="31" t="str">
        <f t="shared" si="366"/>
        <v/>
      </c>
      <c r="L3387" s="31" t="str">
        <f>IF(OR(B3387="",C3387=""),"",IFERROR(E3387 / SUMIFS('📅 Resumen Diario'!$D$5:$D$504, '📅 Resumen Diario'!$B$5:$B$504, B3387, '📅 Resumen Diario'!$C$5:$C$504, D3387) * SUMIFS('📅 Resumen Diario'!$K$5:$K$504, '📅 Resumen Diario'!$B$5:$B$504, B3387, '📅 Resumen Diario'!$C$5:$C$504, D3387), 0))</f>
        <v/>
      </c>
      <c r="M3387" s="31" t="str">
        <f t="shared" si="367"/>
        <v/>
      </c>
      <c r="N3387" s="31" t="str">
        <f t="shared" si="368"/>
        <v/>
      </c>
      <c r="O3387" s="31" t="str">
        <f>IF(OR(B3387="",C3387=""),"",K3387-N3387 + IFERROR(E3387 / SUMIFS('📅 Resumen Diario'!$D$5:$D$504, '📅 Resumen Diario'!$B$5:$B$504, B3387, '📅 Resumen Diario'!$C$5:$C$504, D3387) * (SUMIFS('📋 Detalle Diario'!$E$5:$E$489, '📋 Detalle Diario'!$B$5:$B$489, B3387, '📋 Detalle Diario'!$C$5:$C$489, D3387) * 135 + SUMIFS('📋 Detalle Diario'!$I$5:$I$489, '📋 Detalle Diario'!$B$5:$B$489, B3387, '📋 Detalle Diario'!$C$5:$C$489, D3387) * 200), 0))</f>
        <v/>
      </c>
      <c r="P3387" s="32" t="str">
        <f t="shared" si="369"/>
        <v/>
      </c>
      <c r="Q3387" s="33" t="str">
        <f t="shared" si="370"/>
        <v/>
      </c>
    </row>
    <row r="3388" spans="2:17" ht="18" customHeight="1" x14ac:dyDescent="0.3">
      <c r="B3388" s="26"/>
      <c r="C3388" s="17"/>
      <c r="D3388" s="27"/>
      <c r="E3388" s="18"/>
      <c r="F3388" s="18"/>
      <c r="G3388" s="18"/>
      <c r="H3388" s="30" t="str">
        <f t="shared" si="364"/>
        <v/>
      </c>
      <c r="I3388" s="31" t="str">
        <f>IF(OR(B3388="",C3388=""),"",IFERROR(E3388*IF(E3388="",0,VLOOKUP(C3388,'📦 Precios Proforma'!$B$5:$D$104,IF(D3388="DIA",2,3),FALSE)),0))</f>
        <v/>
      </c>
      <c r="J3388" s="31" t="str">
        <f t="shared" si="365"/>
        <v/>
      </c>
      <c r="K3388" s="31" t="str">
        <f t="shared" si="366"/>
        <v/>
      </c>
      <c r="L3388" s="31" t="str">
        <f>IF(OR(B3388="",C3388=""),"",IFERROR(E3388 / SUMIFS('📅 Resumen Diario'!$D$5:$D$504, '📅 Resumen Diario'!$B$5:$B$504, B3388, '📅 Resumen Diario'!$C$5:$C$504, D3388) * SUMIFS('📅 Resumen Diario'!$K$5:$K$504, '📅 Resumen Diario'!$B$5:$B$504, B3388, '📅 Resumen Diario'!$C$5:$C$504, D3388), 0))</f>
        <v/>
      </c>
      <c r="M3388" s="31" t="str">
        <f t="shared" si="367"/>
        <v/>
      </c>
      <c r="N3388" s="31" t="str">
        <f t="shared" si="368"/>
        <v/>
      </c>
      <c r="O3388" s="31" t="str">
        <f>IF(OR(B3388="",C3388=""),"",K3388-N3388 + IFERROR(E3388 / SUMIFS('📅 Resumen Diario'!$D$5:$D$504, '📅 Resumen Diario'!$B$5:$B$504, B3388, '📅 Resumen Diario'!$C$5:$C$504, D3388) * (SUMIFS('📋 Detalle Diario'!$E$5:$E$489, '📋 Detalle Diario'!$B$5:$B$489, B3388, '📋 Detalle Diario'!$C$5:$C$489, D3388) * 135 + SUMIFS('📋 Detalle Diario'!$I$5:$I$489, '📋 Detalle Diario'!$B$5:$B$489, B3388, '📋 Detalle Diario'!$C$5:$C$489, D3388) * 200), 0))</f>
        <v/>
      </c>
      <c r="P3388" s="32" t="str">
        <f t="shared" si="369"/>
        <v/>
      </c>
      <c r="Q3388" s="33" t="str">
        <f t="shared" si="370"/>
        <v/>
      </c>
    </row>
    <row r="3389" spans="2:17" ht="18" customHeight="1" x14ac:dyDescent="0.3">
      <c r="B3389" s="26"/>
      <c r="C3389" s="28"/>
      <c r="D3389" s="27"/>
      <c r="E3389" s="29"/>
      <c r="F3389" s="29"/>
      <c r="G3389" s="29"/>
      <c r="H3389" s="30" t="str">
        <f t="shared" si="364"/>
        <v/>
      </c>
      <c r="I3389" s="31" t="str">
        <f>IF(OR(B3389="",C3389=""),"",IFERROR(E3389*IF(E3389="",0,VLOOKUP(C3389,'📦 Precios Proforma'!$B$5:$D$104,IF(D3389="DIA",2,3),FALSE)),0))</f>
        <v/>
      </c>
      <c r="J3389" s="31" t="str">
        <f t="shared" si="365"/>
        <v/>
      </c>
      <c r="K3389" s="31" t="str">
        <f t="shared" si="366"/>
        <v/>
      </c>
      <c r="L3389" s="31" t="str">
        <f>IF(OR(B3389="",C3389=""),"",IFERROR(E3389 / SUMIFS('📅 Resumen Diario'!$D$5:$D$504, '📅 Resumen Diario'!$B$5:$B$504, B3389, '📅 Resumen Diario'!$C$5:$C$504, D3389) * SUMIFS('📅 Resumen Diario'!$K$5:$K$504, '📅 Resumen Diario'!$B$5:$B$504, B3389, '📅 Resumen Diario'!$C$5:$C$504, D3389), 0))</f>
        <v/>
      </c>
      <c r="M3389" s="31" t="str">
        <f t="shared" si="367"/>
        <v/>
      </c>
      <c r="N3389" s="31" t="str">
        <f t="shared" si="368"/>
        <v/>
      </c>
      <c r="O3389" s="31" t="str">
        <f>IF(OR(B3389="",C3389=""),"",K3389-N3389 + IFERROR(E3389 / SUMIFS('📅 Resumen Diario'!$D$5:$D$504, '📅 Resumen Diario'!$B$5:$B$504, B3389, '📅 Resumen Diario'!$C$5:$C$504, D3389) * (SUMIFS('📋 Detalle Diario'!$E$5:$E$489, '📋 Detalle Diario'!$B$5:$B$489, B3389, '📋 Detalle Diario'!$C$5:$C$489, D3389) * 135 + SUMIFS('📋 Detalle Diario'!$I$5:$I$489, '📋 Detalle Diario'!$B$5:$B$489, B3389, '📋 Detalle Diario'!$C$5:$C$489, D3389) * 200), 0))</f>
        <v/>
      </c>
      <c r="P3389" s="32" t="str">
        <f t="shared" si="369"/>
        <v/>
      </c>
      <c r="Q3389" s="33" t="str">
        <f t="shared" si="370"/>
        <v/>
      </c>
    </row>
    <row r="3390" spans="2:17" ht="18" customHeight="1" x14ac:dyDescent="0.3">
      <c r="B3390" s="26"/>
      <c r="C3390" s="17"/>
      <c r="D3390" s="27"/>
      <c r="E3390" s="18"/>
      <c r="F3390" s="18"/>
      <c r="G3390" s="18"/>
      <c r="H3390" s="30" t="str">
        <f t="shared" si="364"/>
        <v/>
      </c>
      <c r="I3390" s="31" t="str">
        <f>IF(OR(B3390="",C3390=""),"",IFERROR(E3390*IF(E3390="",0,VLOOKUP(C3390,'📦 Precios Proforma'!$B$5:$D$104,IF(D3390="DIA",2,3),FALSE)),0))</f>
        <v/>
      </c>
      <c r="J3390" s="31" t="str">
        <f t="shared" si="365"/>
        <v/>
      </c>
      <c r="K3390" s="31" t="str">
        <f t="shared" si="366"/>
        <v/>
      </c>
      <c r="L3390" s="31" t="str">
        <f>IF(OR(B3390="",C3390=""),"",IFERROR(E3390 / SUMIFS('📅 Resumen Diario'!$D$5:$D$504, '📅 Resumen Diario'!$B$5:$B$504, B3390, '📅 Resumen Diario'!$C$5:$C$504, D3390) * SUMIFS('📅 Resumen Diario'!$K$5:$K$504, '📅 Resumen Diario'!$B$5:$B$504, B3390, '📅 Resumen Diario'!$C$5:$C$504, D3390), 0))</f>
        <v/>
      </c>
      <c r="M3390" s="31" t="str">
        <f t="shared" si="367"/>
        <v/>
      </c>
      <c r="N3390" s="31" t="str">
        <f t="shared" si="368"/>
        <v/>
      </c>
      <c r="O3390" s="31" t="str">
        <f>IF(OR(B3390="",C3390=""),"",K3390-N3390 + IFERROR(E3390 / SUMIFS('📅 Resumen Diario'!$D$5:$D$504, '📅 Resumen Diario'!$B$5:$B$504, B3390, '📅 Resumen Diario'!$C$5:$C$504, D3390) * (SUMIFS('📋 Detalle Diario'!$E$5:$E$489, '📋 Detalle Diario'!$B$5:$B$489, B3390, '📋 Detalle Diario'!$C$5:$C$489, D3390) * 135 + SUMIFS('📋 Detalle Diario'!$I$5:$I$489, '📋 Detalle Diario'!$B$5:$B$489, B3390, '📋 Detalle Diario'!$C$5:$C$489, D3390) * 200), 0))</f>
        <v/>
      </c>
      <c r="P3390" s="32" t="str">
        <f t="shared" si="369"/>
        <v/>
      </c>
      <c r="Q3390" s="33" t="str">
        <f t="shared" si="370"/>
        <v/>
      </c>
    </row>
    <row r="3391" spans="2:17" ht="18" customHeight="1" x14ac:dyDescent="0.3">
      <c r="B3391" s="26"/>
      <c r="C3391" s="28"/>
      <c r="D3391" s="27"/>
      <c r="E3391" s="29"/>
      <c r="F3391" s="29"/>
      <c r="G3391" s="29"/>
      <c r="H3391" s="30" t="str">
        <f t="shared" si="364"/>
        <v/>
      </c>
      <c r="I3391" s="31" t="str">
        <f>IF(OR(B3391="",C3391=""),"",IFERROR(E3391*IF(E3391="",0,VLOOKUP(C3391,'📦 Precios Proforma'!$B$5:$D$104,IF(D3391="DIA",2,3),FALSE)),0))</f>
        <v/>
      </c>
      <c r="J3391" s="31" t="str">
        <f t="shared" si="365"/>
        <v/>
      </c>
      <c r="K3391" s="31" t="str">
        <f t="shared" si="366"/>
        <v/>
      </c>
      <c r="L3391" s="31" t="str">
        <f>IF(OR(B3391="",C3391=""),"",IFERROR(E3391 / SUMIFS('📅 Resumen Diario'!$D$5:$D$504, '📅 Resumen Diario'!$B$5:$B$504, B3391, '📅 Resumen Diario'!$C$5:$C$504, D3391) * SUMIFS('📅 Resumen Diario'!$K$5:$K$504, '📅 Resumen Diario'!$B$5:$B$504, B3391, '📅 Resumen Diario'!$C$5:$C$504, D3391), 0))</f>
        <v/>
      </c>
      <c r="M3391" s="31" t="str">
        <f t="shared" si="367"/>
        <v/>
      </c>
      <c r="N3391" s="31" t="str">
        <f t="shared" si="368"/>
        <v/>
      </c>
      <c r="O3391" s="31" t="str">
        <f>IF(OR(B3391="",C3391=""),"",K3391-N3391 + IFERROR(E3391 / SUMIFS('📅 Resumen Diario'!$D$5:$D$504, '📅 Resumen Diario'!$B$5:$B$504, B3391, '📅 Resumen Diario'!$C$5:$C$504, D3391) * (SUMIFS('📋 Detalle Diario'!$E$5:$E$489, '📋 Detalle Diario'!$B$5:$B$489, B3391, '📋 Detalle Diario'!$C$5:$C$489, D3391) * 135 + SUMIFS('📋 Detalle Diario'!$I$5:$I$489, '📋 Detalle Diario'!$B$5:$B$489, B3391, '📋 Detalle Diario'!$C$5:$C$489, D3391) * 200), 0))</f>
        <v/>
      </c>
      <c r="P3391" s="32" t="str">
        <f t="shared" si="369"/>
        <v/>
      </c>
      <c r="Q3391" s="33" t="str">
        <f t="shared" si="370"/>
        <v/>
      </c>
    </row>
    <row r="3392" spans="2:17" ht="18" customHeight="1" x14ac:dyDescent="0.3">
      <c r="B3392" s="26"/>
      <c r="C3392" s="17"/>
      <c r="D3392" s="27"/>
      <c r="E3392" s="18"/>
      <c r="F3392" s="18"/>
      <c r="G3392" s="18"/>
      <c r="H3392" s="30" t="str">
        <f t="shared" si="364"/>
        <v/>
      </c>
      <c r="I3392" s="31" t="str">
        <f>IF(OR(B3392="",C3392=""),"",IFERROR(E3392*IF(E3392="",0,VLOOKUP(C3392,'📦 Precios Proforma'!$B$5:$D$104,IF(D3392="DIA",2,3),FALSE)),0))</f>
        <v/>
      </c>
      <c r="J3392" s="31" t="str">
        <f t="shared" si="365"/>
        <v/>
      </c>
      <c r="K3392" s="31" t="str">
        <f t="shared" si="366"/>
        <v/>
      </c>
      <c r="L3392" s="31" t="str">
        <f>IF(OR(B3392="",C3392=""),"",IFERROR(E3392 / SUMIFS('📅 Resumen Diario'!$D$5:$D$504, '📅 Resumen Diario'!$B$5:$B$504, B3392, '📅 Resumen Diario'!$C$5:$C$504, D3392) * SUMIFS('📅 Resumen Diario'!$K$5:$K$504, '📅 Resumen Diario'!$B$5:$B$504, B3392, '📅 Resumen Diario'!$C$5:$C$504, D3392), 0))</f>
        <v/>
      </c>
      <c r="M3392" s="31" t="str">
        <f t="shared" si="367"/>
        <v/>
      </c>
      <c r="N3392" s="31" t="str">
        <f t="shared" si="368"/>
        <v/>
      </c>
      <c r="O3392" s="31" t="str">
        <f>IF(OR(B3392="",C3392=""),"",K3392-N3392 + IFERROR(E3392 / SUMIFS('📅 Resumen Diario'!$D$5:$D$504, '📅 Resumen Diario'!$B$5:$B$504, B3392, '📅 Resumen Diario'!$C$5:$C$504, D3392) * (SUMIFS('📋 Detalle Diario'!$E$5:$E$489, '📋 Detalle Diario'!$B$5:$B$489, B3392, '📋 Detalle Diario'!$C$5:$C$489, D3392) * 135 + SUMIFS('📋 Detalle Diario'!$I$5:$I$489, '📋 Detalle Diario'!$B$5:$B$489, B3392, '📋 Detalle Diario'!$C$5:$C$489, D3392) * 200), 0))</f>
        <v/>
      </c>
      <c r="P3392" s="32" t="str">
        <f t="shared" si="369"/>
        <v/>
      </c>
      <c r="Q3392" s="33" t="str">
        <f t="shared" si="370"/>
        <v/>
      </c>
    </row>
    <row r="3393" spans="2:17" ht="18" customHeight="1" x14ac:dyDescent="0.3">
      <c r="B3393" s="26"/>
      <c r="C3393" s="28"/>
      <c r="D3393" s="27"/>
      <c r="E3393" s="29"/>
      <c r="F3393" s="29"/>
      <c r="G3393" s="29"/>
      <c r="H3393" s="30" t="str">
        <f t="shared" si="364"/>
        <v/>
      </c>
      <c r="I3393" s="31" t="str">
        <f>IF(OR(B3393="",C3393=""),"",IFERROR(E3393*IF(E3393="",0,VLOOKUP(C3393,'📦 Precios Proforma'!$B$5:$D$104,IF(D3393="DIA",2,3),FALSE)),0))</f>
        <v/>
      </c>
      <c r="J3393" s="31" t="str">
        <f t="shared" si="365"/>
        <v/>
      </c>
      <c r="K3393" s="31" t="str">
        <f t="shared" si="366"/>
        <v/>
      </c>
      <c r="L3393" s="31" t="str">
        <f>IF(OR(B3393="",C3393=""),"",IFERROR(E3393 / SUMIFS('📅 Resumen Diario'!$D$5:$D$504, '📅 Resumen Diario'!$B$5:$B$504, B3393, '📅 Resumen Diario'!$C$5:$C$504, D3393) * SUMIFS('📅 Resumen Diario'!$K$5:$K$504, '📅 Resumen Diario'!$B$5:$B$504, B3393, '📅 Resumen Diario'!$C$5:$C$504, D3393), 0))</f>
        <v/>
      </c>
      <c r="M3393" s="31" t="str">
        <f t="shared" si="367"/>
        <v/>
      </c>
      <c r="N3393" s="31" t="str">
        <f t="shared" si="368"/>
        <v/>
      </c>
      <c r="O3393" s="31" t="str">
        <f>IF(OR(B3393="",C3393=""),"",K3393-N3393 + IFERROR(E3393 / SUMIFS('📅 Resumen Diario'!$D$5:$D$504, '📅 Resumen Diario'!$B$5:$B$504, B3393, '📅 Resumen Diario'!$C$5:$C$504, D3393) * (SUMIFS('📋 Detalle Diario'!$E$5:$E$489, '📋 Detalle Diario'!$B$5:$B$489, B3393, '📋 Detalle Diario'!$C$5:$C$489, D3393) * 135 + SUMIFS('📋 Detalle Diario'!$I$5:$I$489, '📋 Detalle Diario'!$B$5:$B$489, B3393, '📋 Detalle Diario'!$C$5:$C$489, D3393) * 200), 0))</f>
        <v/>
      </c>
      <c r="P3393" s="32" t="str">
        <f t="shared" si="369"/>
        <v/>
      </c>
      <c r="Q3393" s="33" t="str">
        <f t="shared" si="370"/>
        <v/>
      </c>
    </row>
    <row r="3394" spans="2:17" ht="18" customHeight="1" x14ac:dyDescent="0.3">
      <c r="B3394" s="26"/>
      <c r="C3394" s="17"/>
      <c r="D3394" s="27"/>
      <c r="E3394" s="18"/>
      <c r="F3394" s="18"/>
      <c r="G3394" s="18"/>
      <c r="H3394" s="30" t="str">
        <f t="shared" si="364"/>
        <v/>
      </c>
      <c r="I3394" s="31" t="str">
        <f>IF(OR(B3394="",C3394=""),"",IFERROR(E3394*IF(E3394="",0,VLOOKUP(C3394,'📦 Precios Proforma'!$B$5:$D$104,IF(D3394="DIA",2,3),FALSE)),0))</f>
        <v/>
      </c>
      <c r="J3394" s="31" t="str">
        <f t="shared" si="365"/>
        <v/>
      </c>
      <c r="K3394" s="31" t="str">
        <f t="shared" si="366"/>
        <v/>
      </c>
      <c r="L3394" s="31" t="str">
        <f>IF(OR(B3394="",C3394=""),"",IFERROR(E3394 / SUMIFS('📅 Resumen Diario'!$D$5:$D$504, '📅 Resumen Diario'!$B$5:$B$504, B3394, '📅 Resumen Diario'!$C$5:$C$504, D3394) * SUMIFS('📅 Resumen Diario'!$K$5:$K$504, '📅 Resumen Diario'!$B$5:$B$504, B3394, '📅 Resumen Diario'!$C$5:$C$504, D3394), 0))</f>
        <v/>
      </c>
      <c r="M3394" s="31" t="str">
        <f t="shared" si="367"/>
        <v/>
      </c>
      <c r="N3394" s="31" t="str">
        <f t="shared" si="368"/>
        <v/>
      </c>
      <c r="O3394" s="31" t="str">
        <f>IF(OR(B3394="",C3394=""),"",K3394-N3394 + IFERROR(E3394 / SUMIFS('📅 Resumen Diario'!$D$5:$D$504, '📅 Resumen Diario'!$B$5:$B$504, B3394, '📅 Resumen Diario'!$C$5:$C$504, D3394) * (SUMIFS('📋 Detalle Diario'!$E$5:$E$489, '📋 Detalle Diario'!$B$5:$B$489, B3394, '📋 Detalle Diario'!$C$5:$C$489, D3394) * 135 + SUMIFS('📋 Detalle Diario'!$I$5:$I$489, '📋 Detalle Diario'!$B$5:$B$489, B3394, '📋 Detalle Diario'!$C$5:$C$489, D3394) * 200), 0))</f>
        <v/>
      </c>
      <c r="P3394" s="32" t="str">
        <f t="shared" si="369"/>
        <v/>
      </c>
      <c r="Q3394" s="33" t="str">
        <f t="shared" si="370"/>
        <v/>
      </c>
    </row>
    <row r="3395" spans="2:17" ht="18" customHeight="1" x14ac:dyDescent="0.3">
      <c r="B3395" s="26"/>
      <c r="C3395" s="28"/>
      <c r="D3395" s="27"/>
      <c r="E3395" s="29"/>
      <c r="F3395" s="29"/>
      <c r="G3395" s="29"/>
      <c r="H3395" s="30" t="str">
        <f t="shared" si="364"/>
        <v/>
      </c>
      <c r="I3395" s="31" t="str">
        <f>IF(OR(B3395="",C3395=""),"",IFERROR(E3395*IF(E3395="",0,VLOOKUP(C3395,'📦 Precios Proforma'!$B$5:$D$104,IF(D3395="DIA",2,3),FALSE)),0))</f>
        <v/>
      </c>
      <c r="J3395" s="31" t="str">
        <f t="shared" si="365"/>
        <v/>
      </c>
      <c r="K3395" s="31" t="str">
        <f t="shared" si="366"/>
        <v/>
      </c>
      <c r="L3395" s="31" t="str">
        <f>IF(OR(B3395="",C3395=""),"",IFERROR(E3395 / SUMIFS('📅 Resumen Diario'!$D$5:$D$504, '📅 Resumen Diario'!$B$5:$B$504, B3395, '📅 Resumen Diario'!$C$5:$C$504, D3395) * SUMIFS('📅 Resumen Diario'!$K$5:$K$504, '📅 Resumen Diario'!$B$5:$B$504, B3395, '📅 Resumen Diario'!$C$5:$C$504, D3395), 0))</f>
        <v/>
      </c>
      <c r="M3395" s="31" t="str">
        <f t="shared" si="367"/>
        <v/>
      </c>
      <c r="N3395" s="31" t="str">
        <f t="shared" si="368"/>
        <v/>
      </c>
      <c r="O3395" s="31" t="str">
        <f>IF(OR(B3395="",C3395=""),"",K3395-N3395 + IFERROR(E3395 / SUMIFS('📅 Resumen Diario'!$D$5:$D$504, '📅 Resumen Diario'!$B$5:$B$504, B3395, '📅 Resumen Diario'!$C$5:$C$504, D3395) * (SUMIFS('📋 Detalle Diario'!$E$5:$E$489, '📋 Detalle Diario'!$B$5:$B$489, B3395, '📋 Detalle Diario'!$C$5:$C$489, D3395) * 135 + SUMIFS('📋 Detalle Diario'!$I$5:$I$489, '📋 Detalle Diario'!$B$5:$B$489, B3395, '📋 Detalle Diario'!$C$5:$C$489, D3395) * 200), 0))</f>
        <v/>
      </c>
      <c r="P3395" s="32" t="str">
        <f t="shared" si="369"/>
        <v/>
      </c>
      <c r="Q3395" s="33" t="str">
        <f t="shared" si="370"/>
        <v/>
      </c>
    </row>
    <row r="3396" spans="2:17" ht="18" customHeight="1" x14ac:dyDescent="0.3">
      <c r="B3396" s="26"/>
      <c r="C3396" s="17"/>
      <c r="D3396" s="27"/>
      <c r="E3396" s="18"/>
      <c r="F3396" s="18"/>
      <c r="G3396" s="18"/>
      <c r="H3396" s="30" t="str">
        <f t="shared" si="364"/>
        <v/>
      </c>
      <c r="I3396" s="31" t="str">
        <f>IF(OR(B3396="",C3396=""),"",IFERROR(E3396*IF(E3396="",0,VLOOKUP(C3396,'📦 Precios Proforma'!$B$5:$D$104,IF(D3396="DIA",2,3),FALSE)),0))</f>
        <v/>
      </c>
      <c r="J3396" s="31" t="str">
        <f t="shared" si="365"/>
        <v/>
      </c>
      <c r="K3396" s="31" t="str">
        <f t="shared" si="366"/>
        <v/>
      </c>
      <c r="L3396" s="31" t="str">
        <f>IF(OR(B3396="",C3396=""),"",IFERROR(E3396 / SUMIFS('📅 Resumen Diario'!$D$5:$D$504, '📅 Resumen Diario'!$B$5:$B$504, B3396, '📅 Resumen Diario'!$C$5:$C$504, D3396) * SUMIFS('📅 Resumen Diario'!$K$5:$K$504, '📅 Resumen Diario'!$B$5:$B$504, B3396, '📅 Resumen Diario'!$C$5:$C$504, D3396), 0))</f>
        <v/>
      </c>
      <c r="M3396" s="31" t="str">
        <f t="shared" si="367"/>
        <v/>
      </c>
      <c r="N3396" s="31" t="str">
        <f t="shared" si="368"/>
        <v/>
      </c>
      <c r="O3396" s="31" t="str">
        <f>IF(OR(B3396="",C3396=""),"",K3396-N3396 + IFERROR(E3396 / SUMIFS('📅 Resumen Diario'!$D$5:$D$504, '📅 Resumen Diario'!$B$5:$B$504, B3396, '📅 Resumen Diario'!$C$5:$C$504, D3396) * (SUMIFS('📋 Detalle Diario'!$E$5:$E$489, '📋 Detalle Diario'!$B$5:$B$489, B3396, '📋 Detalle Diario'!$C$5:$C$489, D3396) * 135 + SUMIFS('📋 Detalle Diario'!$I$5:$I$489, '📋 Detalle Diario'!$B$5:$B$489, B3396, '📋 Detalle Diario'!$C$5:$C$489, D3396) * 200), 0))</f>
        <v/>
      </c>
      <c r="P3396" s="32" t="str">
        <f t="shared" si="369"/>
        <v/>
      </c>
      <c r="Q3396" s="33" t="str">
        <f t="shared" si="370"/>
        <v/>
      </c>
    </row>
    <row r="3397" spans="2:17" ht="18" customHeight="1" x14ac:dyDescent="0.3">
      <c r="B3397" s="26"/>
      <c r="C3397" s="28"/>
      <c r="D3397" s="27"/>
      <c r="E3397" s="29"/>
      <c r="F3397" s="29"/>
      <c r="G3397" s="29"/>
      <c r="H3397" s="30" t="str">
        <f t="shared" si="364"/>
        <v/>
      </c>
      <c r="I3397" s="31" t="str">
        <f>IF(OR(B3397="",C3397=""),"",IFERROR(E3397*IF(E3397="",0,VLOOKUP(C3397,'📦 Precios Proforma'!$B$5:$D$104,IF(D3397="DIA",2,3),FALSE)),0))</f>
        <v/>
      </c>
      <c r="J3397" s="31" t="str">
        <f t="shared" si="365"/>
        <v/>
      </c>
      <c r="K3397" s="31" t="str">
        <f t="shared" si="366"/>
        <v/>
      </c>
      <c r="L3397" s="31" t="str">
        <f>IF(OR(B3397="",C3397=""),"",IFERROR(E3397 / SUMIFS('📅 Resumen Diario'!$D$5:$D$504, '📅 Resumen Diario'!$B$5:$B$504, B3397, '📅 Resumen Diario'!$C$5:$C$504, D3397) * SUMIFS('📅 Resumen Diario'!$K$5:$K$504, '📅 Resumen Diario'!$B$5:$B$504, B3397, '📅 Resumen Diario'!$C$5:$C$504, D3397), 0))</f>
        <v/>
      </c>
      <c r="M3397" s="31" t="str">
        <f t="shared" si="367"/>
        <v/>
      </c>
      <c r="N3397" s="31" t="str">
        <f t="shared" si="368"/>
        <v/>
      </c>
      <c r="O3397" s="31" t="str">
        <f>IF(OR(B3397="",C3397=""),"",K3397-N3397 + IFERROR(E3397 / SUMIFS('📅 Resumen Diario'!$D$5:$D$504, '📅 Resumen Diario'!$B$5:$B$504, B3397, '📅 Resumen Diario'!$C$5:$C$504, D3397) * (SUMIFS('📋 Detalle Diario'!$E$5:$E$489, '📋 Detalle Diario'!$B$5:$B$489, B3397, '📋 Detalle Diario'!$C$5:$C$489, D3397) * 135 + SUMIFS('📋 Detalle Diario'!$I$5:$I$489, '📋 Detalle Diario'!$B$5:$B$489, B3397, '📋 Detalle Diario'!$C$5:$C$489, D3397) * 200), 0))</f>
        <v/>
      </c>
      <c r="P3397" s="32" t="str">
        <f t="shared" si="369"/>
        <v/>
      </c>
      <c r="Q3397" s="33" t="str">
        <f t="shared" si="370"/>
        <v/>
      </c>
    </row>
    <row r="3398" spans="2:17" ht="18" customHeight="1" x14ac:dyDescent="0.3">
      <c r="B3398" s="26"/>
      <c r="C3398" s="17"/>
      <c r="D3398" s="27"/>
      <c r="E3398" s="18"/>
      <c r="F3398" s="18"/>
      <c r="G3398" s="18"/>
      <c r="H3398" s="30" t="str">
        <f t="shared" si="364"/>
        <v/>
      </c>
      <c r="I3398" s="31" t="str">
        <f>IF(OR(B3398="",C3398=""),"",IFERROR(E3398*IF(E3398="",0,VLOOKUP(C3398,'📦 Precios Proforma'!$B$5:$D$104,IF(D3398="DIA",2,3),FALSE)),0))</f>
        <v/>
      </c>
      <c r="J3398" s="31" t="str">
        <f t="shared" si="365"/>
        <v/>
      </c>
      <c r="K3398" s="31" t="str">
        <f t="shared" si="366"/>
        <v/>
      </c>
      <c r="L3398" s="31" t="str">
        <f>IF(OR(B3398="",C3398=""),"",IFERROR(E3398 / SUMIFS('📅 Resumen Diario'!$D$5:$D$504, '📅 Resumen Diario'!$B$5:$B$504, B3398, '📅 Resumen Diario'!$C$5:$C$504, D3398) * SUMIFS('📅 Resumen Diario'!$K$5:$K$504, '📅 Resumen Diario'!$B$5:$B$504, B3398, '📅 Resumen Diario'!$C$5:$C$504, D3398), 0))</f>
        <v/>
      </c>
      <c r="M3398" s="31" t="str">
        <f t="shared" si="367"/>
        <v/>
      </c>
      <c r="N3398" s="31" t="str">
        <f t="shared" si="368"/>
        <v/>
      </c>
      <c r="O3398" s="31" t="str">
        <f>IF(OR(B3398="",C3398=""),"",K3398-N3398 + IFERROR(E3398 / SUMIFS('📅 Resumen Diario'!$D$5:$D$504, '📅 Resumen Diario'!$B$5:$B$504, B3398, '📅 Resumen Diario'!$C$5:$C$504, D3398) * (SUMIFS('📋 Detalle Diario'!$E$5:$E$489, '📋 Detalle Diario'!$B$5:$B$489, B3398, '📋 Detalle Diario'!$C$5:$C$489, D3398) * 135 + SUMIFS('📋 Detalle Diario'!$I$5:$I$489, '📋 Detalle Diario'!$B$5:$B$489, B3398, '📋 Detalle Diario'!$C$5:$C$489, D3398) * 200), 0))</f>
        <v/>
      </c>
      <c r="P3398" s="32" t="str">
        <f t="shared" si="369"/>
        <v/>
      </c>
      <c r="Q3398" s="33" t="str">
        <f t="shared" si="370"/>
        <v/>
      </c>
    </row>
    <row r="3399" spans="2:17" ht="18" customHeight="1" x14ac:dyDescent="0.3">
      <c r="B3399" s="26"/>
      <c r="C3399" s="28"/>
      <c r="D3399" s="27"/>
      <c r="E3399" s="29"/>
      <c r="F3399" s="29"/>
      <c r="G3399" s="29"/>
      <c r="H3399" s="30" t="str">
        <f t="shared" ref="H3399:H3462" si="371">IF(OR(B3399="",C3399=""),"",F3399+G3399)</f>
        <v/>
      </c>
      <c r="I3399" s="31" t="str">
        <f>IF(OR(B3399="",C3399=""),"",IFERROR(E3399*IF(E3399="",0,VLOOKUP(C3399,'📦 Precios Proforma'!$B$5:$D$104,IF(D3399="DIA",2,3),FALSE)),0))</f>
        <v/>
      </c>
      <c r="J3399" s="31" t="str">
        <f t="shared" ref="J3399:J3462" si="372">IF(OR(B3399="",C3399=""),"",IF(D3399="DIA",H3399*1.01,H3399*1.35))</f>
        <v/>
      </c>
      <c r="K3399" s="31" t="str">
        <f t="shared" ref="K3399:K3462" si="373">IF(OR(B3399="",C3399=""),"",I3399+J3399)</f>
        <v/>
      </c>
      <c r="L3399" s="31" t="str">
        <f>IF(OR(B3399="",C3399=""),"",IFERROR(E3399 / SUMIFS('📅 Resumen Diario'!$D$5:$D$504, '📅 Resumen Diario'!$B$5:$B$504, B3399, '📅 Resumen Diario'!$C$5:$C$504, D3399) * SUMIFS('📅 Resumen Diario'!$K$5:$K$504, '📅 Resumen Diario'!$B$5:$B$504, B3399, '📅 Resumen Diario'!$C$5:$C$504, D3399), 0))</f>
        <v/>
      </c>
      <c r="M3399" s="31" t="str">
        <f t="shared" ref="M3399:M3462" si="374">IF(OR(B3399="",C3399=""),"",H3399*0.09)</f>
        <v/>
      </c>
      <c r="N3399" s="31" t="str">
        <f t="shared" ref="N3399:N3462" si="375">IF(OR(B3399="",C3399=""),"",L3399+M3399)</f>
        <v/>
      </c>
      <c r="O3399" s="31" t="str">
        <f>IF(OR(B3399="",C3399=""),"",K3399-N3399 + IFERROR(E3399 / SUMIFS('📅 Resumen Diario'!$D$5:$D$504, '📅 Resumen Diario'!$B$5:$B$504, B3399, '📅 Resumen Diario'!$C$5:$C$504, D3399) * (SUMIFS('📋 Detalle Diario'!$E$5:$E$489, '📋 Detalle Diario'!$B$5:$B$489, B3399, '📋 Detalle Diario'!$C$5:$C$489, D3399) * 135 + SUMIFS('📋 Detalle Diario'!$I$5:$I$489, '📋 Detalle Diario'!$B$5:$B$489, B3399, '📋 Detalle Diario'!$C$5:$C$489, D3399) * 200), 0))</f>
        <v/>
      </c>
      <c r="P3399" s="32" t="str">
        <f t="shared" ref="P3399:P3462" si="376">IF(OR(B3399="",C3399=""),"",IF(K3399=0, 0, O3399/K3399))</f>
        <v/>
      </c>
      <c r="Q3399" s="33" t="str">
        <f t="shared" ref="Q3399:Q3462" si="377">IF(B3399="","",IF(ISNUMBER(B3399),YEAR(B3399)&amp;"-"&amp;IF(MONTH(B3399)&lt;10,"0","")&amp;MONTH(B3399),LEFT(B3399,7)))</f>
        <v/>
      </c>
    </row>
    <row r="3400" spans="2:17" ht="18" customHeight="1" x14ac:dyDescent="0.3">
      <c r="B3400" s="26"/>
      <c r="C3400" s="17"/>
      <c r="D3400" s="27"/>
      <c r="E3400" s="18"/>
      <c r="F3400" s="18"/>
      <c r="G3400" s="18"/>
      <c r="H3400" s="30" t="str">
        <f t="shared" si="371"/>
        <v/>
      </c>
      <c r="I3400" s="31" t="str">
        <f>IF(OR(B3400="",C3400=""),"",IFERROR(E3400*IF(E3400="",0,VLOOKUP(C3400,'📦 Precios Proforma'!$B$5:$D$104,IF(D3400="DIA",2,3),FALSE)),0))</f>
        <v/>
      </c>
      <c r="J3400" s="31" t="str">
        <f t="shared" si="372"/>
        <v/>
      </c>
      <c r="K3400" s="31" t="str">
        <f t="shared" si="373"/>
        <v/>
      </c>
      <c r="L3400" s="31" t="str">
        <f>IF(OR(B3400="",C3400=""),"",IFERROR(E3400 / SUMIFS('📅 Resumen Diario'!$D$5:$D$504, '📅 Resumen Diario'!$B$5:$B$504, B3400, '📅 Resumen Diario'!$C$5:$C$504, D3400) * SUMIFS('📅 Resumen Diario'!$K$5:$K$504, '📅 Resumen Diario'!$B$5:$B$504, B3400, '📅 Resumen Diario'!$C$5:$C$504, D3400), 0))</f>
        <v/>
      </c>
      <c r="M3400" s="31" t="str">
        <f t="shared" si="374"/>
        <v/>
      </c>
      <c r="N3400" s="31" t="str">
        <f t="shared" si="375"/>
        <v/>
      </c>
      <c r="O3400" s="31" t="str">
        <f>IF(OR(B3400="",C3400=""),"",K3400-N3400 + IFERROR(E3400 / SUMIFS('📅 Resumen Diario'!$D$5:$D$504, '📅 Resumen Diario'!$B$5:$B$504, B3400, '📅 Resumen Diario'!$C$5:$C$504, D3400) * (SUMIFS('📋 Detalle Diario'!$E$5:$E$489, '📋 Detalle Diario'!$B$5:$B$489, B3400, '📋 Detalle Diario'!$C$5:$C$489, D3400) * 135 + SUMIFS('📋 Detalle Diario'!$I$5:$I$489, '📋 Detalle Diario'!$B$5:$B$489, B3400, '📋 Detalle Diario'!$C$5:$C$489, D3400) * 200), 0))</f>
        <v/>
      </c>
      <c r="P3400" s="32" t="str">
        <f t="shared" si="376"/>
        <v/>
      </c>
      <c r="Q3400" s="33" t="str">
        <f t="shared" si="377"/>
        <v/>
      </c>
    </row>
    <row r="3401" spans="2:17" ht="18" customHeight="1" x14ac:dyDescent="0.3">
      <c r="B3401" s="26"/>
      <c r="C3401" s="28"/>
      <c r="D3401" s="27"/>
      <c r="E3401" s="29"/>
      <c r="F3401" s="29"/>
      <c r="G3401" s="29"/>
      <c r="H3401" s="30" t="str">
        <f t="shared" si="371"/>
        <v/>
      </c>
      <c r="I3401" s="31" t="str">
        <f>IF(OR(B3401="",C3401=""),"",IFERROR(E3401*IF(E3401="",0,VLOOKUP(C3401,'📦 Precios Proforma'!$B$5:$D$104,IF(D3401="DIA",2,3),FALSE)),0))</f>
        <v/>
      </c>
      <c r="J3401" s="31" t="str">
        <f t="shared" si="372"/>
        <v/>
      </c>
      <c r="K3401" s="31" t="str">
        <f t="shared" si="373"/>
        <v/>
      </c>
      <c r="L3401" s="31" t="str">
        <f>IF(OR(B3401="",C3401=""),"",IFERROR(E3401 / SUMIFS('📅 Resumen Diario'!$D$5:$D$504, '📅 Resumen Diario'!$B$5:$B$504, B3401, '📅 Resumen Diario'!$C$5:$C$504, D3401) * SUMIFS('📅 Resumen Diario'!$K$5:$K$504, '📅 Resumen Diario'!$B$5:$B$504, B3401, '📅 Resumen Diario'!$C$5:$C$504, D3401), 0))</f>
        <v/>
      </c>
      <c r="M3401" s="31" t="str">
        <f t="shared" si="374"/>
        <v/>
      </c>
      <c r="N3401" s="31" t="str">
        <f t="shared" si="375"/>
        <v/>
      </c>
      <c r="O3401" s="31" t="str">
        <f>IF(OR(B3401="",C3401=""),"",K3401-N3401 + IFERROR(E3401 / SUMIFS('📅 Resumen Diario'!$D$5:$D$504, '📅 Resumen Diario'!$B$5:$B$504, B3401, '📅 Resumen Diario'!$C$5:$C$504, D3401) * (SUMIFS('📋 Detalle Diario'!$E$5:$E$489, '📋 Detalle Diario'!$B$5:$B$489, B3401, '📋 Detalle Diario'!$C$5:$C$489, D3401) * 135 + SUMIFS('📋 Detalle Diario'!$I$5:$I$489, '📋 Detalle Diario'!$B$5:$B$489, B3401, '📋 Detalle Diario'!$C$5:$C$489, D3401) * 200), 0))</f>
        <v/>
      </c>
      <c r="P3401" s="32" t="str">
        <f t="shared" si="376"/>
        <v/>
      </c>
      <c r="Q3401" s="33" t="str">
        <f t="shared" si="377"/>
        <v/>
      </c>
    </row>
    <row r="3402" spans="2:17" ht="18" customHeight="1" x14ac:dyDescent="0.3">
      <c r="B3402" s="26"/>
      <c r="C3402" s="17"/>
      <c r="D3402" s="27"/>
      <c r="E3402" s="18"/>
      <c r="F3402" s="18"/>
      <c r="G3402" s="18"/>
      <c r="H3402" s="30" t="str">
        <f t="shared" si="371"/>
        <v/>
      </c>
      <c r="I3402" s="31" t="str">
        <f>IF(OR(B3402="",C3402=""),"",IFERROR(E3402*IF(E3402="",0,VLOOKUP(C3402,'📦 Precios Proforma'!$B$5:$D$104,IF(D3402="DIA",2,3),FALSE)),0))</f>
        <v/>
      </c>
      <c r="J3402" s="31" t="str">
        <f t="shared" si="372"/>
        <v/>
      </c>
      <c r="K3402" s="31" t="str">
        <f t="shared" si="373"/>
        <v/>
      </c>
      <c r="L3402" s="31" t="str">
        <f>IF(OR(B3402="",C3402=""),"",IFERROR(E3402 / SUMIFS('📅 Resumen Diario'!$D$5:$D$504, '📅 Resumen Diario'!$B$5:$B$504, B3402, '📅 Resumen Diario'!$C$5:$C$504, D3402) * SUMIFS('📅 Resumen Diario'!$K$5:$K$504, '📅 Resumen Diario'!$B$5:$B$504, B3402, '📅 Resumen Diario'!$C$5:$C$504, D3402), 0))</f>
        <v/>
      </c>
      <c r="M3402" s="31" t="str">
        <f t="shared" si="374"/>
        <v/>
      </c>
      <c r="N3402" s="31" t="str">
        <f t="shared" si="375"/>
        <v/>
      </c>
      <c r="O3402" s="31" t="str">
        <f>IF(OR(B3402="",C3402=""),"",K3402-N3402 + IFERROR(E3402 / SUMIFS('📅 Resumen Diario'!$D$5:$D$504, '📅 Resumen Diario'!$B$5:$B$504, B3402, '📅 Resumen Diario'!$C$5:$C$504, D3402) * (SUMIFS('📋 Detalle Diario'!$E$5:$E$489, '📋 Detalle Diario'!$B$5:$B$489, B3402, '📋 Detalle Diario'!$C$5:$C$489, D3402) * 135 + SUMIFS('📋 Detalle Diario'!$I$5:$I$489, '📋 Detalle Diario'!$B$5:$B$489, B3402, '📋 Detalle Diario'!$C$5:$C$489, D3402) * 200), 0))</f>
        <v/>
      </c>
      <c r="P3402" s="32" t="str">
        <f t="shared" si="376"/>
        <v/>
      </c>
      <c r="Q3402" s="33" t="str">
        <f t="shared" si="377"/>
        <v/>
      </c>
    </row>
    <row r="3403" spans="2:17" ht="18" customHeight="1" x14ac:dyDescent="0.3">
      <c r="B3403" s="26"/>
      <c r="C3403" s="28"/>
      <c r="D3403" s="27"/>
      <c r="E3403" s="29"/>
      <c r="F3403" s="29"/>
      <c r="G3403" s="29"/>
      <c r="H3403" s="30" t="str">
        <f t="shared" si="371"/>
        <v/>
      </c>
      <c r="I3403" s="31" t="str">
        <f>IF(OR(B3403="",C3403=""),"",IFERROR(E3403*IF(E3403="",0,VLOOKUP(C3403,'📦 Precios Proforma'!$B$5:$D$104,IF(D3403="DIA",2,3),FALSE)),0))</f>
        <v/>
      </c>
      <c r="J3403" s="31" t="str">
        <f t="shared" si="372"/>
        <v/>
      </c>
      <c r="K3403" s="31" t="str">
        <f t="shared" si="373"/>
        <v/>
      </c>
      <c r="L3403" s="31" t="str">
        <f>IF(OR(B3403="",C3403=""),"",IFERROR(E3403 / SUMIFS('📅 Resumen Diario'!$D$5:$D$504, '📅 Resumen Diario'!$B$5:$B$504, B3403, '📅 Resumen Diario'!$C$5:$C$504, D3403) * SUMIFS('📅 Resumen Diario'!$K$5:$K$504, '📅 Resumen Diario'!$B$5:$B$504, B3403, '📅 Resumen Diario'!$C$5:$C$504, D3403), 0))</f>
        <v/>
      </c>
      <c r="M3403" s="31" t="str">
        <f t="shared" si="374"/>
        <v/>
      </c>
      <c r="N3403" s="31" t="str">
        <f t="shared" si="375"/>
        <v/>
      </c>
      <c r="O3403" s="31" t="str">
        <f>IF(OR(B3403="",C3403=""),"",K3403-N3403 + IFERROR(E3403 / SUMIFS('📅 Resumen Diario'!$D$5:$D$504, '📅 Resumen Diario'!$B$5:$B$504, B3403, '📅 Resumen Diario'!$C$5:$C$504, D3403) * (SUMIFS('📋 Detalle Diario'!$E$5:$E$489, '📋 Detalle Diario'!$B$5:$B$489, B3403, '📋 Detalle Diario'!$C$5:$C$489, D3403) * 135 + SUMIFS('📋 Detalle Diario'!$I$5:$I$489, '📋 Detalle Diario'!$B$5:$B$489, B3403, '📋 Detalle Diario'!$C$5:$C$489, D3403) * 200), 0))</f>
        <v/>
      </c>
      <c r="P3403" s="32" t="str">
        <f t="shared" si="376"/>
        <v/>
      </c>
      <c r="Q3403" s="33" t="str">
        <f t="shared" si="377"/>
        <v/>
      </c>
    </row>
    <row r="3404" spans="2:17" ht="18" customHeight="1" x14ac:dyDescent="0.3">
      <c r="B3404" s="26"/>
      <c r="C3404" s="17"/>
      <c r="D3404" s="27"/>
      <c r="E3404" s="18"/>
      <c r="F3404" s="18"/>
      <c r="G3404" s="18"/>
      <c r="H3404" s="30" t="str">
        <f t="shared" si="371"/>
        <v/>
      </c>
      <c r="I3404" s="31" t="str">
        <f>IF(OR(B3404="",C3404=""),"",IFERROR(E3404*IF(E3404="",0,VLOOKUP(C3404,'📦 Precios Proforma'!$B$5:$D$104,IF(D3404="DIA",2,3),FALSE)),0))</f>
        <v/>
      </c>
      <c r="J3404" s="31" t="str">
        <f t="shared" si="372"/>
        <v/>
      </c>
      <c r="K3404" s="31" t="str">
        <f t="shared" si="373"/>
        <v/>
      </c>
      <c r="L3404" s="31" t="str">
        <f>IF(OR(B3404="",C3404=""),"",IFERROR(E3404 / SUMIFS('📅 Resumen Diario'!$D$5:$D$504, '📅 Resumen Diario'!$B$5:$B$504, B3404, '📅 Resumen Diario'!$C$5:$C$504, D3404) * SUMIFS('📅 Resumen Diario'!$K$5:$K$504, '📅 Resumen Diario'!$B$5:$B$504, B3404, '📅 Resumen Diario'!$C$5:$C$504, D3404), 0))</f>
        <v/>
      </c>
      <c r="M3404" s="31" t="str">
        <f t="shared" si="374"/>
        <v/>
      </c>
      <c r="N3404" s="31" t="str">
        <f t="shared" si="375"/>
        <v/>
      </c>
      <c r="O3404" s="31" t="str">
        <f>IF(OR(B3404="",C3404=""),"",K3404-N3404 + IFERROR(E3404 / SUMIFS('📅 Resumen Diario'!$D$5:$D$504, '📅 Resumen Diario'!$B$5:$B$504, B3404, '📅 Resumen Diario'!$C$5:$C$504, D3404) * (SUMIFS('📋 Detalle Diario'!$E$5:$E$489, '📋 Detalle Diario'!$B$5:$B$489, B3404, '📋 Detalle Diario'!$C$5:$C$489, D3404) * 135 + SUMIFS('📋 Detalle Diario'!$I$5:$I$489, '📋 Detalle Diario'!$B$5:$B$489, B3404, '📋 Detalle Diario'!$C$5:$C$489, D3404) * 200), 0))</f>
        <v/>
      </c>
      <c r="P3404" s="32" t="str">
        <f t="shared" si="376"/>
        <v/>
      </c>
      <c r="Q3404" s="33" t="str">
        <f t="shared" si="377"/>
        <v/>
      </c>
    </row>
    <row r="3405" spans="2:17" ht="18" customHeight="1" x14ac:dyDescent="0.3">
      <c r="B3405" s="26"/>
      <c r="C3405" s="28"/>
      <c r="D3405" s="27"/>
      <c r="E3405" s="29"/>
      <c r="F3405" s="29"/>
      <c r="G3405" s="29"/>
      <c r="H3405" s="30" t="str">
        <f t="shared" si="371"/>
        <v/>
      </c>
      <c r="I3405" s="31" t="str">
        <f>IF(OR(B3405="",C3405=""),"",IFERROR(E3405*IF(E3405="",0,VLOOKUP(C3405,'📦 Precios Proforma'!$B$5:$D$104,IF(D3405="DIA",2,3),FALSE)),0))</f>
        <v/>
      </c>
      <c r="J3405" s="31" t="str">
        <f t="shared" si="372"/>
        <v/>
      </c>
      <c r="K3405" s="31" t="str">
        <f t="shared" si="373"/>
        <v/>
      </c>
      <c r="L3405" s="31" t="str">
        <f>IF(OR(B3405="",C3405=""),"",IFERROR(E3405 / SUMIFS('📅 Resumen Diario'!$D$5:$D$504, '📅 Resumen Diario'!$B$5:$B$504, B3405, '📅 Resumen Diario'!$C$5:$C$504, D3405) * SUMIFS('📅 Resumen Diario'!$K$5:$K$504, '📅 Resumen Diario'!$B$5:$B$504, B3405, '📅 Resumen Diario'!$C$5:$C$504, D3405), 0))</f>
        <v/>
      </c>
      <c r="M3405" s="31" t="str">
        <f t="shared" si="374"/>
        <v/>
      </c>
      <c r="N3405" s="31" t="str">
        <f t="shared" si="375"/>
        <v/>
      </c>
      <c r="O3405" s="31" t="str">
        <f>IF(OR(B3405="",C3405=""),"",K3405-N3405 + IFERROR(E3405 / SUMIFS('📅 Resumen Diario'!$D$5:$D$504, '📅 Resumen Diario'!$B$5:$B$504, B3405, '📅 Resumen Diario'!$C$5:$C$504, D3405) * (SUMIFS('📋 Detalle Diario'!$E$5:$E$489, '📋 Detalle Diario'!$B$5:$B$489, B3405, '📋 Detalle Diario'!$C$5:$C$489, D3405) * 135 + SUMIFS('📋 Detalle Diario'!$I$5:$I$489, '📋 Detalle Diario'!$B$5:$B$489, B3405, '📋 Detalle Diario'!$C$5:$C$489, D3405) * 200), 0))</f>
        <v/>
      </c>
      <c r="P3405" s="32" t="str">
        <f t="shared" si="376"/>
        <v/>
      </c>
      <c r="Q3405" s="33" t="str">
        <f t="shared" si="377"/>
        <v/>
      </c>
    </row>
    <row r="3406" spans="2:17" ht="18" customHeight="1" x14ac:dyDescent="0.3">
      <c r="B3406" s="26"/>
      <c r="C3406" s="17"/>
      <c r="D3406" s="27"/>
      <c r="E3406" s="18"/>
      <c r="F3406" s="18"/>
      <c r="G3406" s="18"/>
      <c r="H3406" s="30" t="str">
        <f t="shared" si="371"/>
        <v/>
      </c>
      <c r="I3406" s="31" t="str">
        <f>IF(OR(B3406="",C3406=""),"",IFERROR(E3406*IF(E3406="",0,VLOOKUP(C3406,'📦 Precios Proforma'!$B$5:$D$104,IF(D3406="DIA",2,3),FALSE)),0))</f>
        <v/>
      </c>
      <c r="J3406" s="31" t="str">
        <f t="shared" si="372"/>
        <v/>
      </c>
      <c r="K3406" s="31" t="str">
        <f t="shared" si="373"/>
        <v/>
      </c>
      <c r="L3406" s="31" t="str">
        <f>IF(OR(B3406="",C3406=""),"",IFERROR(E3406 / SUMIFS('📅 Resumen Diario'!$D$5:$D$504, '📅 Resumen Diario'!$B$5:$B$504, B3406, '📅 Resumen Diario'!$C$5:$C$504, D3406) * SUMIFS('📅 Resumen Diario'!$K$5:$K$504, '📅 Resumen Diario'!$B$5:$B$504, B3406, '📅 Resumen Diario'!$C$5:$C$504, D3406), 0))</f>
        <v/>
      </c>
      <c r="M3406" s="31" t="str">
        <f t="shared" si="374"/>
        <v/>
      </c>
      <c r="N3406" s="31" t="str">
        <f t="shared" si="375"/>
        <v/>
      </c>
      <c r="O3406" s="31" t="str">
        <f>IF(OR(B3406="",C3406=""),"",K3406-N3406 + IFERROR(E3406 / SUMIFS('📅 Resumen Diario'!$D$5:$D$504, '📅 Resumen Diario'!$B$5:$B$504, B3406, '📅 Resumen Diario'!$C$5:$C$504, D3406) * (SUMIFS('📋 Detalle Diario'!$E$5:$E$489, '📋 Detalle Diario'!$B$5:$B$489, B3406, '📋 Detalle Diario'!$C$5:$C$489, D3406) * 135 + SUMIFS('📋 Detalle Diario'!$I$5:$I$489, '📋 Detalle Diario'!$B$5:$B$489, B3406, '📋 Detalle Diario'!$C$5:$C$489, D3406) * 200), 0))</f>
        <v/>
      </c>
      <c r="P3406" s="32" t="str">
        <f t="shared" si="376"/>
        <v/>
      </c>
      <c r="Q3406" s="33" t="str">
        <f t="shared" si="377"/>
        <v/>
      </c>
    </row>
    <row r="3407" spans="2:17" ht="18" customHeight="1" x14ac:dyDescent="0.3">
      <c r="B3407" s="26"/>
      <c r="C3407" s="28"/>
      <c r="D3407" s="27"/>
      <c r="E3407" s="29"/>
      <c r="F3407" s="29"/>
      <c r="G3407" s="29"/>
      <c r="H3407" s="30" t="str">
        <f t="shared" si="371"/>
        <v/>
      </c>
      <c r="I3407" s="31" t="str">
        <f>IF(OR(B3407="",C3407=""),"",IFERROR(E3407*IF(E3407="",0,VLOOKUP(C3407,'📦 Precios Proforma'!$B$5:$D$104,IF(D3407="DIA",2,3),FALSE)),0))</f>
        <v/>
      </c>
      <c r="J3407" s="31" t="str">
        <f t="shared" si="372"/>
        <v/>
      </c>
      <c r="K3407" s="31" t="str">
        <f t="shared" si="373"/>
        <v/>
      </c>
      <c r="L3407" s="31" t="str">
        <f>IF(OR(B3407="",C3407=""),"",IFERROR(E3407 / SUMIFS('📅 Resumen Diario'!$D$5:$D$504, '📅 Resumen Diario'!$B$5:$B$504, B3407, '📅 Resumen Diario'!$C$5:$C$504, D3407) * SUMIFS('📅 Resumen Diario'!$K$5:$K$504, '📅 Resumen Diario'!$B$5:$B$504, B3407, '📅 Resumen Diario'!$C$5:$C$504, D3407), 0))</f>
        <v/>
      </c>
      <c r="M3407" s="31" t="str">
        <f t="shared" si="374"/>
        <v/>
      </c>
      <c r="N3407" s="31" t="str">
        <f t="shared" si="375"/>
        <v/>
      </c>
      <c r="O3407" s="31" t="str">
        <f>IF(OR(B3407="",C3407=""),"",K3407-N3407 + IFERROR(E3407 / SUMIFS('📅 Resumen Diario'!$D$5:$D$504, '📅 Resumen Diario'!$B$5:$B$504, B3407, '📅 Resumen Diario'!$C$5:$C$504, D3407) * (SUMIFS('📋 Detalle Diario'!$E$5:$E$489, '📋 Detalle Diario'!$B$5:$B$489, B3407, '📋 Detalle Diario'!$C$5:$C$489, D3407) * 135 + SUMIFS('📋 Detalle Diario'!$I$5:$I$489, '📋 Detalle Diario'!$B$5:$B$489, B3407, '📋 Detalle Diario'!$C$5:$C$489, D3407) * 200), 0))</f>
        <v/>
      </c>
      <c r="P3407" s="32" t="str">
        <f t="shared" si="376"/>
        <v/>
      </c>
      <c r="Q3407" s="33" t="str">
        <f t="shared" si="377"/>
        <v/>
      </c>
    </row>
    <row r="3408" spans="2:17" ht="18" customHeight="1" x14ac:dyDescent="0.3">
      <c r="B3408" s="26"/>
      <c r="C3408" s="17"/>
      <c r="D3408" s="27"/>
      <c r="E3408" s="18"/>
      <c r="F3408" s="18"/>
      <c r="G3408" s="18"/>
      <c r="H3408" s="30" t="str">
        <f t="shared" si="371"/>
        <v/>
      </c>
      <c r="I3408" s="31" t="str">
        <f>IF(OR(B3408="",C3408=""),"",IFERROR(E3408*IF(E3408="",0,VLOOKUP(C3408,'📦 Precios Proforma'!$B$5:$D$104,IF(D3408="DIA",2,3),FALSE)),0))</f>
        <v/>
      </c>
      <c r="J3408" s="31" t="str">
        <f t="shared" si="372"/>
        <v/>
      </c>
      <c r="K3408" s="31" t="str">
        <f t="shared" si="373"/>
        <v/>
      </c>
      <c r="L3408" s="31" t="str">
        <f>IF(OR(B3408="",C3408=""),"",IFERROR(E3408 / SUMIFS('📅 Resumen Diario'!$D$5:$D$504, '📅 Resumen Diario'!$B$5:$B$504, B3408, '📅 Resumen Diario'!$C$5:$C$504, D3408) * SUMIFS('📅 Resumen Diario'!$K$5:$K$504, '📅 Resumen Diario'!$B$5:$B$504, B3408, '📅 Resumen Diario'!$C$5:$C$504, D3408), 0))</f>
        <v/>
      </c>
      <c r="M3408" s="31" t="str">
        <f t="shared" si="374"/>
        <v/>
      </c>
      <c r="N3408" s="31" t="str">
        <f t="shared" si="375"/>
        <v/>
      </c>
      <c r="O3408" s="31" t="str">
        <f>IF(OR(B3408="",C3408=""),"",K3408-N3408 + IFERROR(E3408 / SUMIFS('📅 Resumen Diario'!$D$5:$D$504, '📅 Resumen Diario'!$B$5:$B$504, B3408, '📅 Resumen Diario'!$C$5:$C$504, D3408) * (SUMIFS('📋 Detalle Diario'!$E$5:$E$489, '📋 Detalle Diario'!$B$5:$B$489, B3408, '📋 Detalle Diario'!$C$5:$C$489, D3408) * 135 + SUMIFS('📋 Detalle Diario'!$I$5:$I$489, '📋 Detalle Diario'!$B$5:$B$489, B3408, '📋 Detalle Diario'!$C$5:$C$489, D3408) * 200), 0))</f>
        <v/>
      </c>
      <c r="P3408" s="32" t="str">
        <f t="shared" si="376"/>
        <v/>
      </c>
      <c r="Q3408" s="33" t="str">
        <f t="shared" si="377"/>
        <v/>
      </c>
    </row>
    <row r="3409" spans="2:17" ht="18" customHeight="1" x14ac:dyDescent="0.3">
      <c r="B3409" s="26"/>
      <c r="C3409" s="28"/>
      <c r="D3409" s="27"/>
      <c r="E3409" s="29"/>
      <c r="F3409" s="29"/>
      <c r="G3409" s="29"/>
      <c r="H3409" s="30" t="str">
        <f t="shared" si="371"/>
        <v/>
      </c>
      <c r="I3409" s="31" t="str">
        <f>IF(OR(B3409="",C3409=""),"",IFERROR(E3409*IF(E3409="",0,VLOOKUP(C3409,'📦 Precios Proforma'!$B$5:$D$104,IF(D3409="DIA",2,3),FALSE)),0))</f>
        <v/>
      </c>
      <c r="J3409" s="31" t="str">
        <f t="shared" si="372"/>
        <v/>
      </c>
      <c r="K3409" s="31" t="str">
        <f t="shared" si="373"/>
        <v/>
      </c>
      <c r="L3409" s="31" t="str">
        <f>IF(OR(B3409="",C3409=""),"",IFERROR(E3409 / SUMIFS('📅 Resumen Diario'!$D$5:$D$504, '📅 Resumen Diario'!$B$5:$B$504, B3409, '📅 Resumen Diario'!$C$5:$C$504, D3409) * SUMIFS('📅 Resumen Diario'!$K$5:$K$504, '📅 Resumen Diario'!$B$5:$B$504, B3409, '📅 Resumen Diario'!$C$5:$C$504, D3409), 0))</f>
        <v/>
      </c>
      <c r="M3409" s="31" t="str">
        <f t="shared" si="374"/>
        <v/>
      </c>
      <c r="N3409" s="31" t="str">
        <f t="shared" si="375"/>
        <v/>
      </c>
      <c r="O3409" s="31" t="str">
        <f>IF(OR(B3409="",C3409=""),"",K3409-N3409 + IFERROR(E3409 / SUMIFS('📅 Resumen Diario'!$D$5:$D$504, '📅 Resumen Diario'!$B$5:$B$504, B3409, '📅 Resumen Diario'!$C$5:$C$504, D3409) * (SUMIFS('📋 Detalle Diario'!$E$5:$E$489, '📋 Detalle Diario'!$B$5:$B$489, B3409, '📋 Detalle Diario'!$C$5:$C$489, D3409) * 135 + SUMIFS('📋 Detalle Diario'!$I$5:$I$489, '📋 Detalle Diario'!$B$5:$B$489, B3409, '📋 Detalle Diario'!$C$5:$C$489, D3409) * 200), 0))</f>
        <v/>
      </c>
      <c r="P3409" s="32" t="str">
        <f t="shared" si="376"/>
        <v/>
      </c>
      <c r="Q3409" s="33" t="str">
        <f t="shared" si="377"/>
        <v/>
      </c>
    </row>
    <row r="3410" spans="2:17" ht="18" customHeight="1" x14ac:dyDescent="0.3">
      <c r="B3410" s="26"/>
      <c r="C3410" s="17"/>
      <c r="D3410" s="27"/>
      <c r="E3410" s="18"/>
      <c r="F3410" s="18"/>
      <c r="G3410" s="18"/>
      <c r="H3410" s="30" t="str">
        <f t="shared" si="371"/>
        <v/>
      </c>
      <c r="I3410" s="31" t="str">
        <f>IF(OR(B3410="",C3410=""),"",IFERROR(E3410*IF(E3410="",0,VLOOKUP(C3410,'📦 Precios Proforma'!$B$5:$D$104,IF(D3410="DIA",2,3),FALSE)),0))</f>
        <v/>
      </c>
      <c r="J3410" s="31" t="str">
        <f t="shared" si="372"/>
        <v/>
      </c>
      <c r="K3410" s="31" t="str">
        <f t="shared" si="373"/>
        <v/>
      </c>
      <c r="L3410" s="31" t="str">
        <f>IF(OR(B3410="",C3410=""),"",IFERROR(E3410 / SUMIFS('📅 Resumen Diario'!$D$5:$D$504, '📅 Resumen Diario'!$B$5:$B$504, B3410, '📅 Resumen Diario'!$C$5:$C$504, D3410) * SUMIFS('📅 Resumen Diario'!$K$5:$K$504, '📅 Resumen Diario'!$B$5:$B$504, B3410, '📅 Resumen Diario'!$C$5:$C$504, D3410), 0))</f>
        <v/>
      </c>
      <c r="M3410" s="31" t="str">
        <f t="shared" si="374"/>
        <v/>
      </c>
      <c r="N3410" s="31" t="str">
        <f t="shared" si="375"/>
        <v/>
      </c>
      <c r="O3410" s="31" t="str">
        <f>IF(OR(B3410="",C3410=""),"",K3410-N3410 + IFERROR(E3410 / SUMIFS('📅 Resumen Diario'!$D$5:$D$504, '📅 Resumen Diario'!$B$5:$B$504, B3410, '📅 Resumen Diario'!$C$5:$C$504, D3410) * (SUMIFS('📋 Detalle Diario'!$E$5:$E$489, '📋 Detalle Diario'!$B$5:$B$489, B3410, '📋 Detalle Diario'!$C$5:$C$489, D3410) * 135 + SUMIFS('📋 Detalle Diario'!$I$5:$I$489, '📋 Detalle Diario'!$B$5:$B$489, B3410, '📋 Detalle Diario'!$C$5:$C$489, D3410) * 200), 0))</f>
        <v/>
      </c>
      <c r="P3410" s="32" t="str">
        <f t="shared" si="376"/>
        <v/>
      </c>
      <c r="Q3410" s="33" t="str">
        <f t="shared" si="377"/>
        <v/>
      </c>
    </row>
    <row r="3411" spans="2:17" ht="18" customHeight="1" x14ac:dyDescent="0.3">
      <c r="B3411" s="26"/>
      <c r="C3411" s="28"/>
      <c r="D3411" s="27"/>
      <c r="E3411" s="29"/>
      <c r="F3411" s="29"/>
      <c r="G3411" s="29"/>
      <c r="H3411" s="30" t="str">
        <f t="shared" si="371"/>
        <v/>
      </c>
      <c r="I3411" s="31" t="str">
        <f>IF(OR(B3411="",C3411=""),"",IFERROR(E3411*IF(E3411="",0,VLOOKUP(C3411,'📦 Precios Proforma'!$B$5:$D$104,IF(D3411="DIA",2,3),FALSE)),0))</f>
        <v/>
      </c>
      <c r="J3411" s="31" t="str">
        <f t="shared" si="372"/>
        <v/>
      </c>
      <c r="K3411" s="31" t="str">
        <f t="shared" si="373"/>
        <v/>
      </c>
      <c r="L3411" s="31" t="str">
        <f>IF(OR(B3411="",C3411=""),"",IFERROR(E3411 / SUMIFS('📅 Resumen Diario'!$D$5:$D$504, '📅 Resumen Diario'!$B$5:$B$504, B3411, '📅 Resumen Diario'!$C$5:$C$504, D3411) * SUMIFS('📅 Resumen Diario'!$K$5:$K$504, '📅 Resumen Diario'!$B$5:$B$504, B3411, '📅 Resumen Diario'!$C$5:$C$504, D3411), 0))</f>
        <v/>
      </c>
      <c r="M3411" s="31" t="str">
        <f t="shared" si="374"/>
        <v/>
      </c>
      <c r="N3411" s="31" t="str">
        <f t="shared" si="375"/>
        <v/>
      </c>
      <c r="O3411" s="31" t="str">
        <f>IF(OR(B3411="",C3411=""),"",K3411-N3411 + IFERROR(E3411 / SUMIFS('📅 Resumen Diario'!$D$5:$D$504, '📅 Resumen Diario'!$B$5:$B$504, B3411, '📅 Resumen Diario'!$C$5:$C$504, D3411) * (SUMIFS('📋 Detalle Diario'!$E$5:$E$489, '📋 Detalle Diario'!$B$5:$B$489, B3411, '📋 Detalle Diario'!$C$5:$C$489, D3411) * 135 + SUMIFS('📋 Detalle Diario'!$I$5:$I$489, '📋 Detalle Diario'!$B$5:$B$489, B3411, '📋 Detalle Diario'!$C$5:$C$489, D3411) * 200), 0))</f>
        <v/>
      </c>
      <c r="P3411" s="32" t="str">
        <f t="shared" si="376"/>
        <v/>
      </c>
      <c r="Q3411" s="33" t="str">
        <f t="shared" si="377"/>
        <v/>
      </c>
    </row>
    <row r="3412" spans="2:17" ht="18" customHeight="1" x14ac:dyDescent="0.3">
      <c r="B3412" s="26"/>
      <c r="C3412" s="17"/>
      <c r="D3412" s="27"/>
      <c r="E3412" s="18"/>
      <c r="F3412" s="18"/>
      <c r="G3412" s="18"/>
      <c r="H3412" s="30" t="str">
        <f t="shared" si="371"/>
        <v/>
      </c>
      <c r="I3412" s="31" t="str">
        <f>IF(OR(B3412="",C3412=""),"",IFERROR(E3412*IF(E3412="",0,VLOOKUP(C3412,'📦 Precios Proforma'!$B$5:$D$104,IF(D3412="DIA",2,3),FALSE)),0))</f>
        <v/>
      </c>
      <c r="J3412" s="31" t="str">
        <f t="shared" si="372"/>
        <v/>
      </c>
      <c r="K3412" s="31" t="str">
        <f t="shared" si="373"/>
        <v/>
      </c>
      <c r="L3412" s="31" t="str">
        <f>IF(OR(B3412="",C3412=""),"",IFERROR(E3412 / SUMIFS('📅 Resumen Diario'!$D$5:$D$504, '📅 Resumen Diario'!$B$5:$B$504, B3412, '📅 Resumen Diario'!$C$5:$C$504, D3412) * SUMIFS('📅 Resumen Diario'!$K$5:$K$504, '📅 Resumen Diario'!$B$5:$B$504, B3412, '📅 Resumen Diario'!$C$5:$C$504, D3412), 0))</f>
        <v/>
      </c>
      <c r="M3412" s="31" t="str">
        <f t="shared" si="374"/>
        <v/>
      </c>
      <c r="N3412" s="31" t="str">
        <f t="shared" si="375"/>
        <v/>
      </c>
      <c r="O3412" s="31" t="str">
        <f>IF(OR(B3412="",C3412=""),"",K3412-N3412 + IFERROR(E3412 / SUMIFS('📅 Resumen Diario'!$D$5:$D$504, '📅 Resumen Diario'!$B$5:$B$504, B3412, '📅 Resumen Diario'!$C$5:$C$504, D3412) * (SUMIFS('📋 Detalle Diario'!$E$5:$E$489, '📋 Detalle Diario'!$B$5:$B$489, B3412, '📋 Detalle Diario'!$C$5:$C$489, D3412) * 135 + SUMIFS('📋 Detalle Diario'!$I$5:$I$489, '📋 Detalle Diario'!$B$5:$B$489, B3412, '📋 Detalle Diario'!$C$5:$C$489, D3412) * 200), 0))</f>
        <v/>
      </c>
      <c r="P3412" s="32" t="str">
        <f t="shared" si="376"/>
        <v/>
      </c>
      <c r="Q3412" s="33" t="str">
        <f t="shared" si="377"/>
        <v/>
      </c>
    </row>
    <row r="3413" spans="2:17" ht="18" customHeight="1" x14ac:dyDescent="0.3">
      <c r="B3413" s="26"/>
      <c r="C3413" s="28"/>
      <c r="D3413" s="27"/>
      <c r="E3413" s="29"/>
      <c r="F3413" s="29"/>
      <c r="G3413" s="29"/>
      <c r="H3413" s="30" t="str">
        <f t="shared" si="371"/>
        <v/>
      </c>
      <c r="I3413" s="31" t="str">
        <f>IF(OR(B3413="",C3413=""),"",IFERROR(E3413*IF(E3413="",0,VLOOKUP(C3413,'📦 Precios Proforma'!$B$5:$D$104,IF(D3413="DIA",2,3),FALSE)),0))</f>
        <v/>
      </c>
      <c r="J3413" s="31" t="str">
        <f t="shared" si="372"/>
        <v/>
      </c>
      <c r="K3413" s="31" t="str">
        <f t="shared" si="373"/>
        <v/>
      </c>
      <c r="L3413" s="31" t="str">
        <f>IF(OR(B3413="",C3413=""),"",IFERROR(E3413 / SUMIFS('📅 Resumen Diario'!$D$5:$D$504, '📅 Resumen Diario'!$B$5:$B$504, B3413, '📅 Resumen Diario'!$C$5:$C$504, D3413) * SUMIFS('📅 Resumen Diario'!$K$5:$K$504, '📅 Resumen Diario'!$B$5:$B$504, B3413, '📅 Resumen Diario'!$C$5:$C$504, D3413), 0))</f>
        <v/>
      </c>
      <c r="M3413" s="31" t="str">
        <f t="shared" si="374"/>
        <v/>
      </c>
      <c r="N3413" s="31" t="str">
        <f t="shared" si="375"/>
        <v/>
      </c>
      <c r="O3413" s="31" t="str">
        <f>IF(OR(B3413="",C3413=""),"",K3413-N3413 + IFERROR(E3413 / SUMIFS('📅 Resumen Diario'!$D$5:$D$504, '📅 Resumen Diario'!$B$5:$B$504, B3413, '📅 Resumen Diario'!$C$5:$C$504, D3413) * (SUMIFS('📋 Detalle Diario'!$E$5:$E$489, '📋 Detalle Diario'!$B$5:$B$489, B3413, '📋 Detalle Diario'!$C$5:$C$489, D3413) * 135 + SUMIFS('📋 Detalle Diario'!$I$5:$I$489, '📋 Detalle Diario'!$B$5:$B$489, B3413, '📋 Detalle Diario'!$C$5:$C$489, D3413) * 200), 0))</f>
        <v/>
      </c>
      <c r="P3413" s="32" t="str">
        <f t="shared" si="376"/>
        <v/>
      </c>
      <c r="Q3413" s="33" t="str">
        <f t="shared" si="377"/>
        <v/>
      </c>
    </row>
    <row r="3414" spans="2:17" ht="18" customHeight="1" x14ac:dyDescent="0.3">
      <c r="B3414" s="26"/>
      <c r="C3414" s="17"/>
      <c r="D3414" s="27"/>
      <c r="E3414" s="18"/>
      <c r="F3414" s="18"/>
      <c r="G3414" s="18"/>
      <c r="H3414" s="30" t="str">
        <f t="shared" si="371"/>
        <v/>
      </c>
      <c r="I3414" s="31" t="str">
        <f>IF(OR(B3414="",C3414=""),"",IFERROR(E3414*IF(E3414="",0,VLOOKUP(C3414,'📦 Precios Proforma'!$B$5:$D$104,IF(D3414="DIA",2,3),FALSE)),0))</f>
        <v/>
      </c>
      <c r="J3414" s="31" t="str">
        <f t="shared" si="372"/>
        <v/>
      </c>
      <c r="K3414" s="31" t="str">
        <f t="shared" si="373"/>
        <v/>
      </c>
      <c r="L3414" s="31" t="str">
        <f>IF(OR(B3414="",C3414=""),"",IFERROR(E3414 / SUMIFS('📅 Resumen Diario'!$D$5:$D$504, '📅 Resumen Diario'!$B$5:$B$504, B3414, '📅 Resumen Diario'!$C$5:$C$504, D3414) * SUMIFS('📅 Resumen Diario'!$K$5:$K$504, '📅 Resumen Diario'!$B$5:$B$504, B3414, '📅 Resumen Diario'!$C$5:$C$504, D3414), 0))</f>
        <v/>
      </c>
      <c r="M3414" s="31" t="str">
        <f t="shared" si="374"/>
        <v/>
      </c>
      <c r="N3414" s="31" t="str">
        <f t="shared" si="375"/>
        <v/>
      </c>
      <c r="O3414" s="31" t="str">
        <f>IF(OR(B3414="",C3414=""),"",K3414-N3414 + IFERROR(E3414 / SUMIFS('📅 Resumen Diario'!$D$5:$D$504, '📅 Resumen Diario'!$B$5:$B$504, B3414, '📅 Resumen Diario'!$C$5:$C$504, D3414) * (SUMIFS('📋 Detalle Diario'!$E$5:$E$489, '📋 Detalle Diario'!$B$5:$B$489, B3414, '📋 Detalle Diario'!$C$5:$C$489, D3414) * 135 + SUMIFS('📋 Detalle Diario'!$I$5:$I$489, '📋 Detalle Diario'!$B$5:$B$489, B3414, '📋 Detalle Diario'!$C$5:$C$489, D3414) * 200), 0))</f>
        <v/>
      </c>
      <c r="P3414" s="32" t="str">
        <f t="shared" si="376"/>
        <v/>
      </c>
      <c r="Q3414" s="33" t="str">
        <f t="shared" si="377"/>
        <v/>
      </c>
    </row>
    <row r="3415" spans="2:17" ht="18" customHeight="1" x14ac:dyDescent="0.3">
      <c r="B3415" s="26"/>
      <c r="C3415" s="28"/>
      <c r="D3415" s="27"/>
      <c r="E3415" s="29"/>
      <c r="F3415" s="29"/>
      <c r="G3415" s="29"/>
      <c r="H3415" s="30" t="str">
        <f t="shared" si="371"/>
        <v/>
      </c>
      <c r="I3415" s="31" t="str">
        <f>IF(OR(B3415="",C3415=""),"",IFERROR(E3415*IF(E3415="",0,VLOOKUP(C3415,'📦 Precios Proforma'!$B$5:$D$104,IF(D3415="DIA",2,3),FALSE)),0))</f>
        <v/>
      </c>
      <c r="J3415" s="31" t="str">
        <f t="shared" si="372"/>
        <v/>
      </c>
      <c r="K3415" s="31" t="str">
        <f t="shared" si="373"/>
        <v/>
      </c>
      <c r="L3415" s="31" t="str">
        <f>IF(OR(B3415="",C3415=""),"",IFERROR(E3415 / SUMIFS('📅 Resumen Diario'!$D$5:$D$504, '📅 Resumen Diario'!$B$5:$B$504, B3415, '📅 Resumen Diario'!$C$5:$C$504, D3415) * SUMIFS('📅 Resumen Diario'!$K$5:$K$504, '📅 Resumen Diario'!$B$5:$B$504, B3415, '📅 Resumen Diario'!$C$5:$C$504, D3415), 0))</f>
        <v/>
      </c>
      <c r="M3415" s="31" t="str">
        <f t="shared" si="374"/>
        <v/>
      </c>
      <c r="N3415" s="31" t="str">
        <f t="shared" si="375"/>
        <v/>
      </c>
      <c r="O3415" s="31" t="str">
        <f>IF(OR(B3415="",C3415=""),"",K3415-N3415 + IFERROR(E3415 / SUMIFS('📅 Resumen Diario'!$D$5:$D$504, '📅 Resumen Diario'!$B$5:$B$504, B3415, '📅 Resumen Diario'!$C$5:$C$504, D3415) * (SUMIFS('📋 Detalle Diario'!$E$5:$E$489, '📋 Detalle Diario'!$B$5:$B$489, B3415, '📋 Detalle Diario'!$C$5:$C$489, D3415) * 135 + SUMIFS('📋 Detalle Diario'!$I$5:$I$489, '📋 Detalle Diario'!$B$5:$B$489, B3415, '📋 Detalle Diario'!$C$5:$C$489, D3415) * 200), 0))</f>
        <v/>
      </c>
      <c r="P3415" s="32" t="str">
        <f t="shared" si="376"/>
        <v/>
      </c>
      <c r="Q3415" s="33" t="str">
        <f t="shared" si="377"/>
        <v/>
      </c>
    </row>
    <row r="3416" spans="2:17" ht="18" customHeight="1" x14ac:dyDescent="0.3">
      <c r="B3416" s="26"/>
      <c r="C3416" s="17"/>
      <c r="D3416" s="27"/>
      <c r="E3416" s="18"/>
      <c r="F3416" s="18"/>
      <c r="G3416" s="18"/>
      <c r="H3416" s="30" t="str">
        <f t="shared" si="371"/>
        <v/>
      </c>
      <c r="I3416" s="31" t="str">
        <f>IF(OR(B3416="",C3416=""),"",IFERROR(E3416*IF(E3416="",0,VLOOKUP(C3416,'📦 Precios Proforma'!$B$5:$D$104,IF(D3416="DIA",2,3),FALSE)),0))</f>
        <v/>
      </c>
      <c r="J3416" s="31" t="str">
        <f t="shared" si="372"/>
        <v/>
      </c>
      <c r="K3416" s="31" t="str">
        <f t="shared" si="373"/>
        <v/>
      </c>
      <c r="L3416" s="31" t="str">
        <f>IF(OR(B3416="",C3416=""),"",IFERROR(E3416 / SUMIFS('📅 Resumen Diario'!$D$5:$D$504, '📅 Resumen Diario'!$B$5:$B$504, B3416, '📅 Resumen Diario'!$C$5:$C$504, D3416) * SUMIFS('📅 Resumen Diario'!$K$5:$K$504, '📅 Resumen Diario'!$B$5:$B$504, B3416, '📅 Resumen Diario'!$C$5:$C$504, D3416), 0))</f>
        <v/>
      </c>
      <c r="M3416" s="31" t="str">
        <f t="shared" si="374"/>
        <v/>
      </c>
      <c r="N3416" s="31" t="str">
        <f t="shared" si="375"/>
        <v/>
      </c>
      <c r="O3416" s="31" t="str">
        <f>IF(OR(B3416="",C3416=""),"",K3416-N3416 + IFERROR(E3416 / SUMIFS('📅 Resumen Diario'!$D$5:$D$504, '📅 Resumen Diario'!$B$5:$B$504, B3416, '📅 Resumen Diario'!$C$5:$C$504, D3416) * (SUMIFS('📋 Detalle Diario'!$E$5:$E$489, '📋 Detalle Diario'!$B$5:$B$489, B3416, '📋 Detalle Diario'!$C$5:$C$489, D3416) * 135 + SUMIFS('📋 Detalle Diario'!$I$5:$I$489, '📋 Detalle Diario'!$B$5:$B$489, B3416, '📋 Detalle Diario'!$C$5:$C$489, D3416) * 200), 0))</f>
        <v/>
      </c>
      <c r="P3416" s="32" t="str">
        <f t="shared" si="376"/>
        <v/>
      </c>
      <c r="Q3416" s="33" t="str">
        <f t="shared" si="377"/>
        <v/>
      </c>
    </row>
    <row r="3417" spans="2:17" ht="18" customHeight="1" x14ac:dyDescent="0.3">
      <c r="B3417" s="26"/>
      <c r="C3417" s="28"/>
      <c r="D3417" s="27"/>
      <c r="E3417" s="29"/>
      <c r="F3417" s="29"/>
      <c r="G3417" s="29"/>
      <c r="H3417" s="30" t="str">
        <f t="shared" si="371"/>
        <v/>
      </c>
      <c r="I3417" s="31" t="str">
        <f>IF(OR(B3417="",C3417=""),"",IFERROR(E3417*IF(E3417="",0,VLOOKUP(C3417,'📦 Precios Proforma'!$B$5:$D$104,IF(D3417="DIA",2,3),FALSE)),0))</f>
        <v/>
      </c>
      <c r="J3417" s="31" t="str">
        <f t="shared" si="372"/>
        <v/>
      </c>
      <c r="K3417" s="31" t="str">
        <f t="shared" si="373"/>
        <v/>
      </c>
      <c r="L3417" s="31" t="str">
        <f>IF(OR(B3417="",C3417=""),"",IFERROR(E3417 / SUMIFS('📅 Resumen Diario'!$D$5:$D$504, '📅 Resumen Diario'!$B$5:$B$504, B3417, '📅 Resumen Diario'!$C$5:$C$504, D3417) * SUMIFS('📅 Resumen Diario'!$K$5:$K$504, '📅 Resumen Diario'!$B$5:$B$504, B3417, '📅 Resumen Diario'!$C$5:$C$504, D3417), 0))</f>
        <v/>
      </c>
      <c r="M3417" s="31" t="str">
        <f t="shared" si="374"/>
        <v/>
      </c>
      <c r="N3417" s="31" t="str">
        <f t="shared" si="375"/>
        <v/>
      </c>
      <c r="O3417" s="31" t="str">
        <f>IF(OR(B3417="",C3417=""),"",K3417-N3417 + IFERROR(E3417 / SUMIFS('📅 Resumen Diario'!$D$5:$D$504, '📅 Resumen Diario'!$B$5:$B$504, B3417, '📅 Resumen Diario'!$C$5:$C$504, D3417) * (SUMIFS('📋 Detalle Diario'!$E$5:$E$489, '📋 Detalle Diario'!$B$5:$B$489, B3417, '📋 Detalle Diario'!$C$5:$C$489, D3417) * 135 + SUMIFS('📋 Detalle Diario'!$I$5:$I$489, '📋 Detalle Diario'!$B$5:$B$489, B3417, '📋 Detalle Diario'!$C$5:$C$489, D3417) * 200), 0))</f>
        <v/>
      </c>
      <c r="P3417" s="32" t="str">
        <f t="shared" si="376"/>
        <v/>
      </c>
      <c r="Q3417" s="33" t="str">
        <f t="shared" si="377"/>
        <v/>
      </c>
    </row>
    <row r="3418" spans="2:17" ht="18" customHeight="1" x14ac:dyDescent="0.3">
      <c r="B3418" s="26"/>
      <c r="C3418" s="17"/>
      <c r="D3418" s="27"/>
      <c r="E3418" s="18"/>
      <c r="F3418" s="18"/>
      <c r="G3418" s="18"/>
      <c r="H3418" s="30" t="str">
        <f t="shared" si="371"/>
        <v/>
      </c>
      <c r="I3418" s="31" t="str">
        <f>IF(OR(B3418="",C3418=""),"",IFERROR(E3418*IF(E3418="",0,VLOOKUP(C3418,'📦 Precios Proforma'!$B$5:$D$104,IF(D3418="DIA",2,3),FALSE)),0))</f>
        <v/>
      </c>
      <c r="J3418" s="31" t="str">
        <f t="shared" si="372"/>
        <v/>
      </c>
      <c r="K3418" s="31" t="str">
        <f t="shared" si="373"/>
        <v/>
      </c>
      <c r="L3418" s="31" t="str">
        <f>IF(OR(B3418="",C3418=""),"",IFERROR(E3418 / SUMIFS('📅 Resumen Diario'!$D$5:$D$504, '📅 Resumen Diario'!$B$5:$B$504, B3418, '📅 Resumen Diario'!$C$5:$C$504, D3418) * SUMIFS('📅 Resumen Diario'!$K$5:$K$504, '📅 Resumen Diario'!$B$5:$B$504, B3418, '📅 Resumen Diario'!$C$5:$C$504, D3418), 0))</f>
        <v/>
      </c>
      <c r="M3418" s="31" t="str">
        <f t="shared" si="374"/>
        <v/>
      </c>
      <c r="N3418" s="31" t="str">
        <f t="shared" si="375"/>
        <v/>
      </c>
      <c r="O3418" s="31" t="str">
        <f>IF(OR(B3418="",C3418=""),"",K3418-N3418 + IFERROR(E3418 / SUMIFS('📅 Resumen Diario'!$D$5:$D$504, '📅 Resumen Diario'!$B$5:$B$504, B3418, '📅 Resumen Diario'!$C$5:$C$504, D3418) * (SUMIFS('📋 Detalle Diario'!$E$5:$E$489, '📋 Detalle Diario'!$B$5:$B$489, B3418, '📋 Detalle Diario'!$C$5:$C$489, D3418) * 135 + SUMIFS('📋 Detalle Diario'!$I$5:$I$489, '📋 Detalle Diario'!$B$5:$B$489, B3418, '📋 Detalle Diario'!$C$5:$C$489, D3418) * 200), 0))</f>
        <v/>
      </c>
      <c r="P3418" s="32" t="str">
        <f t="shared" si="376"/>
        <v/>
      </c>
      <c r="Q3418" s="33" t="str">
        <f t="shared" si="377"/>
        <v/>
      </c>
    </row>
    <row r="3419" spans="2:17" ht="18" customHeight="1" x14ac:dyDescent="0.3">
      <c r="B3419" s="26"/>
      <c r="C3419" s="28"/>
      <c r="D3419" s="27"/>
      <c r="E3419" s="29"/>
      <c r="F3419" s="29"/>
      <c r="G3419" s="29"/>
      <c r="H3419" s="30" t="str">
        <f t="shared" si="371"/>
        <v/>
      </c>
      <c r="I3419" s="31" t="str">
        <f>IF(OR(B3419="",C3419=""),"",IFERROR(E3419*IF(E3419="",0,VLOOKUP(C3419,'📦 Precios Proforma'!$B$5:$D$104,IF(D3419="DIA",2,3),FALSE)),0))</f>
        <v/>
      </c>
      <c r="J3419" s="31" t="str">
        <f t="shared" si="372"/>
        <v/>
      </c>
      <c r="K3419" s="31" t="str">
        <f t="shared" si="373"/>
        <v/>
      </c>
      <c r="L3419" s="31" t="str">
        <f>IF(OR(B3419="",C3419=""),"",IFERROR(E3419 / SUMIFS('📅 Resumen Diario'!$D$5:$D$504, '📅 Resumen Diario'!$B$5:$B$504, B3419, '📅 Resumen Diario'!$C$5:$C$504, D3419) * SUMIFS('📅 Resumen Diario'!$K$5:$K$504, '📅 Resumen Diario'!$B$5:$B$504, B3419, '📅 Resumen Diario'!$C$5:$C$504, D3419), 0))</f>
        <v/>
      </c>
      <c r="M3419" s="31" t="str">
        <f t="shared" si="374"/>
        <v/>
      </c>
      <c r="N3419" s="31" t="str">
        <f t="shared" si="375"/>
        <v/>
      </c>
      <c r="O3419" s="31" t="str">
        <f>IF(OR(B3419="",C3419=""),"",K3419-N3419 + IFERROR(E3419 / SUMIFS('📅 Resumen Diario'!$D$5:$D$504, '📅 Resumen Diario'!$B$5:$B$504, B3419, '📅 Resumen Diario'!$C$5:$C$504, D3419) * (SUMIFS('📋 Detalle Diario'!$E$5:$E$489, '📋 Detalle Diario'!$B$5:$B$489, B3419, '📋 Detalle Diario'!$C$5:$C$489, D3419) * 135 + SUMIFS('📋 Detalle Diario'!$I$5:$I$489, '📋 Detalle Diario'!$B$5:$B$489, B3419, '📋 Detalle Diario'!$C$5:$C$489, D3419) * 200), 0))</f>
        <v/>
      </c>
      <c r="P3419" s="32" t="str">
        <f t="shared" si="376"/>
        <v/>
      </c>
      <c r="Q3419" s="33" t="str">
        <f t="shared" si="377"/>
        <v/>
      </c>
    </row>
    <row r="3420" spans="2:17" ht="18" customHeight="1" x14ac:dyDescent="0.3">
      <c r="B3420" s="26"/>
      <c r="C3420" s="17"/>
      <c r="D3420" s="27"/>
      <c r="E3420" s="18"/>
      <c r="F3420" s="18"/>
      <c r="G3420" s="18"/>
      <c r="H3420" s="30" t="str">
        <f t="shared" si="371"/>
        <v/>
      </c>
      <c r="I3420" s="31" t="str">
        <f>IF(OR(B3420="",C3420=""),"",IFERROR(E3420*IF(E3420="",0,VLOOKUP(C3420,'📦 Precios Proforma'!$B$5:$D$104,IF(D3420="DIA",2,3),FALSE)),0))</f>
        <v/>
      </c>
      <c r="J3420" s="31" t="str">
        <f t="shared" si="372"/>
        <v/>
      </c>
      <c r="K3420" s="31" t="str">
        <f t="shared" si="373"/>
        <v/>
      </c>
      <c r="L3420" s="31" t="str">
        <f>IF(OR(B3420="",C3420=""),"",IFERROR(E3420 / SUMIFS('📅 Resumen Diario'!$D$5:$D$504, '📅 Resumen Diario'!$B$5:$B$504, B3420, '📅 Resumen Diario'!$C$5:$C$504, D3420) * SUMIFS('📅 Resumen Diario'!$K$5:$K$504, '📅 Resumen Diario'!$B$5:$B$504, B3420, '📅 Resumen Diario'!$C$5:$C$504, D3420), 0))</f>
        <v/>
      </c>
      <c r="M3420" s="31" t="str">
        <f t="shared" si="374"/>
        <v/>
      </c>
      <c r="N3420" s="31" t="str">
        <f t="shared" si="375"/>
        <v/>
      </c>
      <c r="O3420" s="31" t="str">
        <f>IF(OR(B3420="",C3420=""),"",K3420-N3420 + IFERROR(E3420 / SUMIFS('📅 Resumen Diario'!$D$5:$D$504, '📅 Resumen Diario'!$B$5:$B$504, B3420, '📅 Resumen Diario'!$C$5:$C$504, D3420) * (SUMIFS('📋 Detalle Diario'!$E$5:$E$489, '📋 Detalle Diario'!$B$5:$B$489, B3420, '📋 Detalle Diario'!$C$5:$C$489, D3420) * 135 + SUMIFS('📋 Detalle Diario'!$I$5:$I$489, '📋 Detalle Diario'!$B$5:$B$489, B3420, '📋 Detalle Diario'!$C$5:$C$489, D3420) * 200), 0))</f>
        <v/>
      </c>
      <c r="P3420" s="32" t="str">
        <f t="shared" si="376"/>
        <v/>
      </c>
      <c r="Q3420" s="33" t="str">
        <f t="shared" si="377"/>
        <v/>
      </c>
    </row>
    <row r="3421" spans="2:17" ht="18" customHeight="1" x14ac:dyDescent="0.3">
      <c r="B3421" s="26"/>
      <c r="C3421" s="28"/>
      <c r="D3421" s="27"/>
      <c r="E3421" s="29"/>
      <c r="F3421" s="29"/>
      <c r="G3421" s="29"/>
      <c r="H3421" s="30" t="str">
        <f t="shared" si="371"/>
        <v/>
      </c>
      <c r="I3421" s="31" t="str">
        <f>IF(OR(B3421="",C3421=""),"",IFERROR(E3421*IF(E3421="",0,VLOOKUP(C3421,'📦 Precios Proforma'!$B$5:$D$104,IF(D3421="DIA",2,3),FALSE)),0))</f>
        <v/>
      </c>
      <c r="J3421" s="31" t="str">
        <f t="shared" si="372"/>
        <v/>
      </c>
      <c r="K3421" s="31" t="str">
        <f t="shared" si="373"/>
        <v/>
      </c>
      <c r="L3421" s="31" t="str">
        <f>IF(OR(B3421="",C3421=""),"",IFERROR(E3421 / SUMIFS('📅 Resumen Diario'!$D$5:$D$504, '📅 Resumen Diario'!$B$5:$B$504, B3421, '📅 Resumen Diario'!$C$5:$C$504, D3421) * SUMIFS('📅 Resumen Diario'!$K$5:$K$504, '📅 Resumen Diario'!$B$5:$B$504, B3421, '📅 Resumen Diario'!$C$5:$C$504, D3421), 0))</f>
        <v/>
      </c>
      <c r="M3421" s="31" t="str">
        <f t="shared" si="374"/>
        <v/>
      </c>
      <c r="N3421" s="31" t="str">
        <f t="shared" si="375"/>
        <v/>
      </c>
      <c r="O3421" s="31" t="str">
        <f>IF(OR(B3421="",C3421=""),"",K3421-N3421 + IFERROR(E3421 / SUMIFS('📅 Resumen Diario'!$D$5:$D$504, '📅 Resumen Diario'!$B$5:$B$504, B3421, '📅 Resumen Diario'!$C$5:$C$504, D3421) * (SUMIFS('📋 Detalle Diario'!$E$5:$E$489, '📋 Detalle Diario'!$B$5:$B$489, B3421, '📋 Detalle Diario'!$C$5:$C$489, D3421) * 135 + SUMIFS('📋 Detalle Diario'!$I$5:$I$489, '📋 Detalle Diario'!$B$5:$B$489, B3421, '📋 Detalle Diario'!$C$5:$C$489, D3421) * 200), 0))</f>
        <v/>
      </c>
      <c r="P3421" s="32" t="str">
        <f t="shared" si="376"/>
        <v/>
      </c>
      <c r="Q3421" s="33" t="str">
        <f t="shared" si="377"/>
        <v/>
      </c>
    </row>
    <row r="3422" spans="2:17" ht="18" customHeight="1" x14ac:dyDescent="0.3">
      <c r="B3422" s="26"/>
      <c r="C3422" s="17"/>
      <c r="D3422" s="27"/>
      <c r="E3422" s="18"/>
      <c r="F3422" s="18"/>
      <c r="G3422" s="18"/>
      <c r="H3422" s="30" t="str">
        <f t="shared" si="371"/>
        <v/>
      </c>
      <c r="I3422" s="31" t="str">
        <f>IF(OR(B3422="",C3422=""),"",IFERROR(E3422*IF(E3422="",0,VLOOKUP(C3422,'📦 Precios Proforma'!$B$5:$D$104,IF(D3422="DIA",2,3),FALSE)),0))</f>
        <v/>
      </c>
      <c r="J3422" s="31" t="str">
        <f t="shared" si="372"/>
        <v/>
      </c>
      <c r="K3422" s="31" t="str">
        <f t="shared" si="373"/>
        <v/>
      </c>
      <c r="L3422" s="31" t="str">
        <f>IF(OR(B3422="",C3422=""),"",IFERROR(E3422 / SUMIFS('📅 Resumen Diario'!$D$5:$D$504, '📅 Resumen Diario'!$B$5:$B$504, B3422, '📅 Resumen Diario'!$C$5:$C$504, D3422) * SUMIFS('📅 Resumen Diario'!$K$5:$K$504, '📅 Resumen Diario'!$B$5:$B$504, B3422, '📅 Resumen Diario'!$C$5:$C$504, D3422), 0))</f>
        <v/>
      </c>
      <c r="M3422" s="31" t="str">
        <f t="shared" si="374"/>
        <v/>
      </c>
      <c r="N3422" s="31" t="str">
        <f t="shared" si="375"/>
        <v/>
      </c>
      <c r="O3422" s="31" t="str">
        <f>IF(OR(B3422="",C3422=""),"",K3422-N3422 + IFERROR(E3422 / SUMIFS('📅 Resumen Diario'!$D$5:$D$504, '📅 Resumen Diario'!$B$5:$B$504, B3422, '📅 Resumen Diario'!$C$5:$C$504, D3422) * (SUMIFS('📋 Detalle Diario'!$E$5:$E$489, '📋 Detalle Diario'!$B$5:$B$489, B3422, '📋 Detalle Diario'!$C$5:$C$489, D3422) * 135 + SUMIFS('📋 Detalle Diario'!$I$5:$I$489, '📋 Detalle Diario'!$B$5:$B$489, B3422, '📋 Detalle Diario'!$C$5:$C$489, D3422) * 200), 0))</f>
        <v/>
      </c>
      <c r="P3422" s="32" t="str">
        <f t="shared" si="376"/>
        <v/>
      </c>
      <c r="Q3422" s="33" t="str">
        <f t="shared" si="377"/>
        <v/>
      </c>
    </row>
    <row r="3423" spans="2:17" ht="18" customHeight="1" x14ac:dyDescent="0.3">
      <c r="B3423" s="26"/>
      <c r="C3423" s="28"/>
      <c r="D3423" s="27"/>
      <c r="E3423" s="29"/>
      <c r="F3423" s="29"/>
      <c r="G3423" s="29"/>
      <c r="H3423" s="30" t="str">
        <f t="shared" si="371"/>
        <v/>
      </c>
      <c r="I3423" s="31" t="str">
        <f>IF(OR(B3423="",C3423=""),"",IFERROR(E3423*IF(E3423="",0,VLOOKUP(C3423,'📦 Precios Proforma'!$B$5:$D$104,IF(D3423="DIA",2,3),FALSE)),0))</f>
        <v/>
      </c>
      <c r="J3423" s="31" t="str">
        <f t="shared" si="372"/>
        <v/>
      </c>
      <c r="K3423" s="31" t="str">
        <f t="shared" si="373"/>
        <v/>
      </c>
      <c r="L3423" s="31" t="str">
        <f>IF(OR(B3423="",C3423=""),"",IFERROR(E3423 / SUMIFS('📅 Resumen Diario'!$D$5:$D$504, '📅 Resumen Diario'!$B$5:$B$504, B3423, '📅 Resumen Diario'!$C$5:$C$504, D3423) * SUMIFS('📅 Resumen Diario'!$K$5:$K$504, '📅 Resumen Diario'!$B$5:$B$504, B3423, '📅 Resumen Diario'!$C$5:$C$504, D3423), 0))</f>
        <v/>
      </c>
      <c r="M3423" s="31" t="str">
        <f t="shared" si="374"/>
        <v/>
      </c>
      <c r="N3423" s="31" t="str">
        <f t="shared" si="375"/>
        <v/>
      </c>
      <c r="O3423" s="31" t="str">
        <f>IF(OR(B3423="",C3423=""),"",K3423-N3423 + IFERROR(E3423 / SUMIFS('📅 Resumen Diario'!$D$5:$D$504, '📅 Resumen Diario'!$B$5:$B$504, B3423, '📅 Resumen Diario'!$C$5:$C$504, D3423) * (SUMIFS('📋 Detalle Diario'!$E$5:$E$489, '📋 Detalle Diario'!$B$5:$B$489, B3423, '📋 Detalle Diario'!$C$5:$C$489, D3423) * 135 + SUMIFS('📋 Detalle Diario'!$I$5:$I$489, '📋 Detalle Diario'!$B$5:$B$489, B3423, '📋 Detalle Diario'!$C$5:$C$489, D3423) * 200), 0))</f>
        <v/>
      </c>
      <c r="P3423" s="32" t="str">
        <f t="shared" si="376"/>
        <v/>
      </c>
      <c r="Q3423" s="33" t="str">
        <f t="shared" si="377"/>
        <v/>
      </c>
    </row>
    <row r="3424" spans="2:17" ht="18" customHeight="1" x14ac:dyDescent="0.3">
      <c r="B3424" s="26"/>
      <c r="C3424" s="17"/>
      <c r="D3424" s="27"/>
      <c r="E3424" s="18"/>
      <c r="F3424" s="18"/>
      <c r="G3424" s="18"/>
      <c r="H3424" s="30" t="str">
        <f t="shared" si="371"/>
        <v/>
      </c>
      <c r="I3424" s="31" t="str">
        <f>IF(OR(B3424="",C3424=""),"",IFERROR(E3424*IF(E3424="",0,VLOOKUP(C3424,'📦 Precios Proforma'!$B$5:$D$104,IF(D3424="DIA",2,3),FALSE)),0))</f>
        <v/>
      </c>
      <c r="J3424" s="31" t="str">
        <f t="shared" si="372"/>
        <v/>
      </c>
      <c r="K3424" s="31" t="str">
        <f t="shared" si="373"/>
        <v/>
      </c>
      <c r="L3424" s="31" t="str">
        <f>IF(OR(B3424="",C3424=""),"",IFERROR(E3424 / SUMIFS('📅 Resumen Diario'!$D$5:$D$504, '📅 Resumen Diario'!$B$5:$B$504, B3424, '📅 Resumen Diario'!$C$5:$C$504, D3424) * SUMIFS('📅 Resumen Diario'!$K$5:$K$504, '📅 Resumen Diario'!$B$5:$B$504, B3424, '📅 Resumen Diario'!$C$5:$C$504, D3424), 0))</f>
        <v/>
      </c>
      <c r="M3424" s="31" t="str">
        <f t="shared" si="374"/>
        <v/>
      </c>
      <c r="N3424" s="31" t="str">
        <f t="shared" si="375"/>
        <v/>
      </c>
      <c r="O3424" s="31" t="str">
        <f>IF(OR(B3424="",C3424=""),"",K3424-N3424 + IFERROR(E3424 / SUMIFS('📅 Resumen Diario'!$D$5:$D$504, '📅 Resumen Diario'!$B$5:$B$504, B3424, '📅 Resumen Diario'!$C$5:$C$504, D3424) * (SUMIFS('📋 Detalle Diario'!$E$5:$E$489, '📋 Detalle Diario'!$B$5:$B$489, B3424, '📋 Detalle Diario'!$C$5:$C$489, D3424) * 135 + SUMIFS('📋 Detalle Diario'!$I$5:$I$489, '📋 Detalle Diario'!$B$5:$B$489, B3424, '📋 Detalle Diario'!$C$5:$C$489, D3424) * 200), 0))</f>
        <v/>
      </c>
      <c r="P3424" s="32" t="str">
        <f t="shared" si="376"/>
        <v/>
      </c>
      <c r="Q3424" s="33" t="str">
        <f t="shared" si="377"/>
        <v/>
      </c>
    </row>
    <row r="3425" spans="2:17" ht="18" customHeight="1" x14ac:dyDescent="0.3">
      <c r="B3425" s="26"/>
      <c r="C3425" s="28"/>
      <c r="D3425" s="27"/>
      <c r="E3425" s="29"/>
      <c r="F3425" s="29"/>
      <c r="G3425" s="29"/>
      <c r="H3425" s="30" t="str">
        <f t="shared" si="371"/>
        <v/>
      </c>
      <c r="I3425" s="31" t="str">
        <f>IF(OR(B3425="",C3425=""),"",IFERROR(E3425*IF(E3425="",0,VLOOKUP(C3425,'📦 Precios Proforma'!$B$5:$D$104,IF(D3425="DIA",2,3),FALSE)),0))</f>
        <v/>
      </c>
      <c r="J3425" s="31" t="str">
        <f t="shared" si="372"/>
        <v/>
      </c>
      <c r="K3425" s="31" t="str">
        <f t="shared" si="373"/>
        <v/>
      </c>
      <c r="L3425" s="31" t="str">
        <f>IF(OR(B3425="",C3425=""),"",IFERROR(E3425 / SUMIFS('📅 Resumen Diario'!$D$5:$D$504, '📅 Resumen Diario'!$B$5:$B$504, B3425, '📅 Resumen Diario'!$C$5:$C$504, D3425) * SUMIFS('📅 Resumen Diario'!$K$5:$K$504, '📅 Resumen Diario'!$B$5:$B$504, B3425, '📅 Resumen Diario'!$C$5:$C$504, D3425), 0))</f>
        <v/>
      </c>
      <c r="M3425" s="31" t="str">
        <f t="shared" si="374"/>
        <v/>
      </c>
      <c r="N3425" s="31" t="str">
        <f t="shared" si="375"/>
        <v/>
      </c>
      <c r="O3425" s="31" t="str">
        <f>IF(OR(B3425="",C3425=""),"",K3425-N3425 + IFERROR(E3425 / SUMIFS('📅 Resumen Diario'!$D$5:$D$504, '📅 Resumen Diario'!$B$5:$B$504, B3425, '📅 Resumen Diario'!$C$5:$C$504, D3425) * (SUMIFS('📋 Detalle Diario'!$E$5:$E$489, '📋 Detalle Diario'!$B$5:$B$489, B3425, '📋 Detalle Diario'!$C$5:$C$489, D3425) * 135 + SUMIFS('📋 Detalle Diario'!$I$5:$I$489, '📋 Detalle Diario'!$B$5:$B$489, B3425, '📋 Detalle Diario'!$C$5:$C$489, D3425) * 200), 0))</f>
        <v/>
      </c>
      <c r="P3425" s="32" t="str">
        <f t="shared" si="376"/>
        <v/>
      </c>
      <c r="Q3425" s="33" t="str">
        <f t="shared" si="377"/>
        <v/>
      </c>
    </row>
    <row r="3426" spans="2:17" ht="18" customHeight="1" x14ac:dyDescent="0.3">
      <c r="B3426" s="26"/>
      <c r="C3426" s="17"/>
      <c r="D3426" s="27"/>
      <c r="E3426" s="18"/>
      <c r="F3426" s="18"/>
      <c r="G3426" s="18"/>
      <c r="H3426" s="30" t="str">
        <f t="shared" si="371"/>
        <v/>
      </c>
      <c r="I3426" s="31" t="str">
        <f>IF(OR(B3426="",C3426=""),"",IFERROR(E3426*IF(E3426="",0,VLOOKUP(C3426,'📦 Precios Proforma'!$B$5:$D$104,IF(D3426="DIA",2,3),FALSE)),0))</f>
        <v/>
      </c>
      <c r="J3426" s="31" t="str">
        <f t="shared" si="372"/>
        <v/>
      </c>
      <c r="K3426" s="31" t="str">
        <f t="shared" si="373"/>
        <v/>
      </c>
      <c r="L3426" s="31" t="str">
        <f>IF(OR(B3426="",C3426=""),"",IFERROR(E3426 / SUMIFS('📅 Resumen Diario'!$D$5:$D$504, '📅 Resumen Diario'!$B$5:$B$504, B3426, '📅 Resumen Diario'!$C$5:$C$504, D3426) * SUMIFS('📅 Resumen Diario'!$K$5:$K$504, '📅 Resumen Diario'!$B$5:$B$504, B3426, '📅 Resumen Diario'!$C$5:$C$504, D3426), 0))</f>
        <v/>
      </c>
      <c r="M3426" s="31" t="str">
        <f t="shared" si="374"/>
        <v/>
      </c>
      <c r="N3426" s="31" t="str">
        <f t="shared" si="375"/>
        <v/>
      </c>
      <c r="O3426" s="31" t="str">
        <f>IF(OR(B3426="",C3426=""),"",K3426-N3426 + IFERROR(E3426 / SUMIFS('📅 Resumen Diario'!$D$5:$D$504, '📅 Resumen Diario'!$B$5:$B$504, B3426, '📅 Resumen Diario'!$C$5:$C$504, D3426) * (SUMIFS('📋 Detalle Diario'!$E$5:$E$489, '📋 Detalle Diario'!$B$5:$B$489, B3426, '📋 Detalle Diario'!$C$5:$C$489, D3426) * 135 + SUMIFS('📋 Detalle Diario'!$I$5:$I$489, '📋 Detalle Diario'!$B$5:$B$489, B3426, '📋 Detalle Diario'!$C$5:$C$489, D3426) * 200), 0))</f>
        <v/>
      </c>
      <c r="P3426" s="32" t="str">
        <f t="shared" si="376"/>
        <v/>
      </c>
      <c r="Q3426" s="33" t="str">
        <f t="shared" si="377"/>
        <v/>
      </c>
    </row>
    <row r="3427" spans="2:17" ht="18" customHeight="1" x14ac:dyDescent="0.3">
      <c r="B3427" s="26"/>
      <c r="C3427" s="28"/>
      <c r="D3427" s="27"/>
      <c r="E3427" s="29"/>
      <c r="F3427" s="29"/>
      <c r="G3427" s="29"/>
      <c r="H3427" s="30" t="str">
        <f t="shared" si="371"/>
        <v/>
      </c>
      <c r="I3427" s="31" t="str">
        <f>IF(OR(B3427="",C3427=""),"",IFERROR(E3427*IF(E3427="",0,VLOOKUP(C3427,'📦 Precios Proforma'!$B$5:$D$104,IF(D3427="DIA",2,3),FALSE)),0))</f>
        <v/>
      </c>
      <c r="J3427" s="31" t="str">
        <f t="shared" si="372"/>
        <v/>
      </c>
      <c r="K3427" s="31" t="str">
        <f t="shared" si="373"/>
        <v/>
      </c>
      <c r="L3427" s="31" t="str">
        <f>IF(OR(B3427="",C3427=""),"",IFERROR(E3427 / SUMIFS('📅 Resumen Diario'!$D$5:$D$504, '📅 Resumen Diario'!$B$5:$B$504, B3427, '📅 Resumen Diario'!$C$5:$C$504, D3427) * SUMIFS('📅 Resumen Diario'!$K$5:$K$504, '📅 Resumen Diario'!$B$5:$B$504, B3427, '📅 Resumen Diario'!$C$5:$C$504, D3427), 0))</f>
        <v/>
      </c>
      <c r="M3427" s="31" t="str">
        <f t="shared" si="374"/>
        <v/>
      </c>
      <c r="N3427" s="31" t="str">
        <f t="shared" si="375"/>
        <v/>
      </c>
      <c r="O3427" s="31" t="str">
        <f>IF(OR(B3427="",C3427=""),"",K3427-N3427 + IFERROR(E3427 / SUMIFS('📅 Resumen Diario'!$D$5:$D$504, '📅 Resumen Diario'!$B$5:$B$504, B3427, '📅 Resumen Diario'!$C$5:$C$504, D3427) * (SUMIFS('📋 Detalle Diario'!$E$5:$E$489, '📋 Detalle Diario'!$B$5:$B$489, B3427, '📋 Detalle Diario'!$C$5:$C$489, D3427) * 135 + SUMIFS('📋 Detalle Diario'!$I$5:$I$489, '📋 Detalle Diario'!$B$5:$B$489, B3427, '📋 Detalle Diario'!$C$5:$C$489, D3427) * 200), 0))</f>
        <v/>
      </c>
      <c r="P3427" s="32" t="str">
        <f t="shared" si="376"/>
        <v/>
      </c>
      <c r="Q3427" s="33" t="str">
        <f t="shared" si="377"/>
        <v/>
      </c>
    </row>
    <row r="3428" spans="2:17" ht="18" customHeight="1" x14ac:dyDescent="0.3">
      <c r="B3428" s="26"/>
      <c r="C3428" s="17"/>
      <c r="D3428" s="27"/>
      <c r="E3428" s="18"/>
      <c r="F3428" s="18"/>
      <c r="G3428" s="18"/>
      <c r="H3428" s="30" t="str">
        <f t="shared" si="371"/>
        <v/>
      </c>
      <c r="I3428" s="31" t="str">
        <f>IF(OR(B3428="",C3428=""),"",IFERROR(E3428*IF(E3428="",0,VLOOKUP(C3428,'📦 Precios Proforma'!$B$5:$D$104,IF(D3428="DIA",2,3),FALSE)),0))</f>
        <v/>
      </c>
      <c r="J3428" s="31" t="str">
        <f t="shared" si="372"/>
        <v/>
      </c>
      <c r="K3428" s="31" t="str">
        <f t="shared" si="373"/>
        <v/>
      </c>
      <c r="L3428" s="31" t="str">
        <f>IF(OR(B3428="",C3428=""),"",IFERROR(E3428 / SUMIFS('📅 Resumen Diario'!$D$5:$D$504, '📅 Resumen Diario'!$B$5:$B$504, B3428, '📅 Resumen Diario'!$C$5:$C$504, D3428) * SUMIFS('📅 Resumen Diario'!$K$5:$K$504, '📅 Resumen Diario'!$B$5:$B$504, B3428, '📅 Resumen Diario'!$C$5:$C$504, D3428), 0))</f>
        <v/>
      </c>
      <c r="M3428" s="31" t="str">
        <f t="shared" si="374"/>
        <v/>
      </c>
      <c r="N3428" s="31" t="str">
        <f t="shared" si="375"/>
        <v/>
      </c>
      <c r="O3428" s="31" t="str">
        <f>IF(OR(B3428="",C3428=""),"",K3428-N3428 + IFERROR(E3428 / SUMIFS('📅 Resumen Diario'!$D$5:$D$504, '📅 Resumen Diario'!$B$5:$B$504, B3428, '📅 Resumen Diario'!$C$5:$C$504, D3428) * (SUMIFS('📋 Detalle Diario'!$E$5:$E$489, '📋 Detalle Diario'!$B$5:$B$489, B3428, '📋 Detalle Diario'!$C$5:$C$489, D3428) * 135 + SUMIFS('📋 Detalle Diario'!$I$5:$I$489, '📋 Detalle Diario'!$B$5:$B$489, B3428, '📋 Detalle Diario'!$C$5:$C$489, D3428) * 200), 0))</f>
        <v/>
      </c>
      <c r="P3428" s="32" t="str">
        <f t="shared" si="376"/>
        <v/>
      </c>
      <c r="Q3428" s="33" t="str">
        <f t="shared" si="377"/>
        <v/>
      </c>
    </row>
    <row r="3429" spans="2:17" ht="18" customHeight="1" x14ac:dyDescent="0.3">
      <c r="B3429" s="26"/>
      <c r="C3429" s="28"/>
      <c r="D3429" s="27"/>
      <c r="E3429" s="29"/>
      <c r="F3429" s="29"/>
      <c r="G3429" s="29"/>
      <c r="H3429" s="30" t="str">
        <f t="shared" si="371"/>
        <v/>
      </c>
      <c r="I3429" s="31" t="str">
        <f>IF(OR(B3429="",C3429=""),"",IFERROR(E3429*IF(E3429="",0,VLOOKUP(C3429,'📦 Precios Proforma'!$B$5:$D$104,IF(D3429="DIA",2,3),FALSE)),0))</f>
        <v/>
      </c>
      <c r="J3429" s="31" t="str">
        <f t="shared" si="372"/>
        <v/>
      </c>
      <c r="K3429" s="31" t="str">
        <f t="shared" si="373"/>
        <v/>
      </c>
      <c r="L3429" s="31" t="str">
        <f>IF(OR(B3429="",C3429=""),"",IFERROR(E3429 / SUMIFS('📅 Resumen Diario'!$D$5:$D$504, '📅 Resumen Diario'!$B$5:$B$504, B3429, '📅 Resumen Diario'!$C$5:$C$504, D3429) * SUMIFS('📅 Resumen Diario'!$K$5:$K$504, '📅 Resumen Diario'!$B$5:$B$504, B3429, '📅 Resumen Diario'!$C$5:$C$504, D3429), 0))</f>
        <v/>
      </c>
      <c r="M3429" s="31" t="str">
        <f t="shared" si="374"/>
        <v/>
      </c>
      <c r="N3429" s="31" t="str">
        <f t="shared" si="375"/>
        <v/>
      </c>
      <c r="O3429" s="31" t="str">
        <f>IF(OR(B3429="",C3429=""),"",K3429-N3429 + IFERROR(E3429 / SUMIFS('📅 Resumen Diario'!$D$5:$D$504, '📅 Resumen Diario'!$B$5:$B$504, B3429, '📅 Resumen Diario'!$C$5:$C$504, D3429) * (SUMIFS('📋 Detalle Diario'!$E$5:$E$489, '📋 Detalle Diario'!$B$5:$B$489, B3429, '📋 Detalle Diario'!$C$5:$C$489, D3429) * 135 + SUMIFS('📋 Detalle Diario'!$I$5:$I$489, '📋 Detalle Diario'!$B$5:$B$489, B3429, '📋 Detalle Diario'!$C$5:$C$489, D3429) * 200), 0))</f>
        <v/>
      </c>
      <c r="P3429" s="32" t="str">
        <f t="shared" si="376"/>
        <v/>
      </c>
      <c r="Q3429" s="33" t="str">
        <f t="shared" si="377"/>
        <v/>
      </c>
    </row>
    <row r="3430" spans="2:17" ht="18" customHeight="1" x14ac:dyDescent="0.3">
      <c r="B3430" s="26"/>
      <c r="C3430" s="17"/>
      <c r="D3430" s="27"/>
      <c r="E3430" s="18"/>
      <c r="F3430" s="18"/>
      <c r="G3430" s="18"/>
      <c r="H3430" s="30" t="str">
        <f t="shared" si="371"/>
        <v/>
      </c>
      <c r="I3430" s="31" t="str">
        <f>IF(OR(B3430="",C3430=""),"",IFERROR(E3430*IF(E3430="",0,VLOOKUP(C3430,'📦 Precios Proforma'!$B$5:$D$104,IF(D3430="DIA",2,3),FALSE)),0))</f>
        <v/>
      </c>
      <c r="J3430" s="31" t="str">
        <f t="shared" si="372"/>
        <v/>
      </c>
      <c r="K3430" s="31" t="str">
        <f t="shared" si="373"/>
        <v/>
      </c>
      <c r="L3430" s="31" t="str">
        <f>IF(OR(B3430="",C3430=""),"",IFERROR(E3430 / SUMIFS('📅 Resumen Diario'!$D$5:$D$504, '📅 Resumen Diario'!$B$5:$B$504, B3430, '📅 Resumen Diario'!$C$5:$C$504, D3430) * SUMIFS('📅 Resumen Diario'!$K$5:$K$504, '📅 Resumen Diario'!$B$5:$B$504, B3430, '📅 Resumen Diario'!$C$5:$C$504, D3430), 0))</f>
        <v/>
      </c>
      <c r="M3430" s="31" t="str">
        <f t="shared" si="374"/>
        <v/>
      </c>
      <c r="N3430" s="31" t="str">
        <f t="shared" si="375"/>
        <v/>
      </c>
      <c r="O3430" s="31" t="str">
        <f>IF(OR(B3430="",C3430=""),"",K3430-N3430 + IFERROR(E3430 / SUMIFS('📅 Resumen Diario'!$D$5:$D$504, '📅 Resumen Diario'!$B$5:$B$504, B3430, '📅 Resumen Diario'!$C$5:$C$504, D3430) * (SUMIFS('📋 Detalle Diario'!$E$5:$E$489, '📋 Detalle Diario'!$B$5:$B$489, B3430, '📋 Detalle Diario'!$C$5:$C$489, D3430) * 135 + SUMIFS('📋 Detalle Diario'!$I$5:$I$489, '📋 Detalle Diario'!$B$5:$B$489, B3430, '📋 Detalle Diario'!$C$5:$C$489, D3430) * 200), 0))</f>
        <v/>
      </c>
      <c r="P3430" s="32" t="str">
        <f t="shared" si="376"/>
        <v/>
      </c>
      <c r="Q3430" s="33" t="str">
        <f t="shared" si="377"/>
        <v/>
      </c>
    </row>
    <row r="3431" spans="2:17" ht="18" customHeight="1" x14ac:dyDescent="0.3">
      <c r="B3431" s="26"/>
      <c r="C3431" s="28"/>
      <c r="D3431" s="27"/>
      <c r="E3431" s="29"/>
      <c r="F3431" s="29"/>
      <c r="G3431" s="29"/>
      <c r="H3431" s="30" t="str">
        <f t="shared" si="371"/>
        <v/>
      </c>
      <c r="I3431" s="31" t="str">
        <f>IF(OR(B3431="",C3431=""),"",IFERROR(E3431*IF(E3431="",0,VLOOKUP(C3431,'📦 Precios Proforma'!$B$5:$D$104,IF(D3431="DIA",2,3),FALSE)),0))</f>
        <v/>
      </c>
      <c r="J3431" s="31" t="str">
        <f t="shared" si="372"/>
        <v/>
      </c>
      <c r="K3431" s="31" t="str">
        <f t="shared" si="373"/>
        <v/>
      </c>
      <c r="L3431" s="31" t="str">
        <f>IF(OR(B3431="",C3431=""),"",IFERROR(E3431 / SUMIFS('📅 Resumen Diario'!$D$5:$D$504, '📅 Resumen Diario'!$B$5:$B$504, B3431, '📅 Resumen Diario'!$C$5:$C$504, D3431) * SUMIFS('📅 Resumen Diario'!$K$5:$K$504, '📅 Resumen Diario'!$B$5:$B$504, B3431, '📅 Resumen Diario'!$C$5:$C$504, D3431), 0))</f>
        <v/>
      </c>
      <c r="M3431" s="31" t="str">
        <f t="shared" si="374"/>
        <v/>
      </c>
      <c r="N3431" s="31" t="str">
        <f t="shared" si="375"/>
        <v/>
      </c>
      <c r="O3431" s="31" t="str">
        <f>IF(OR(B3431="",C3431=""),"",K3431-N3431 + IFERROR(E3431 / SUMIFS('📅 Resumen Diario'!$D$5:$D$504, '📅 Resumen Diario'!$B$5:$B$504, B3431, '📅 Resumen Diario'!$C$5:$C$504, D3431) * (SUMIFS('📋 Detalle Diario'!$E$5:$E$489, '📋 Detalle Diario'!$B$5:$B$489, B3431, '📋 Detalle Diario'!$C$5:$C$489, D3431) * 135 + SUMIFS('📋 Detalle Diario'!$I$5:$I$489, '📋 Detalle Diario'!$B$5:$B$489, B3431, '📋 Detalle Diario'!$C$5:$C$489, D3431) * 200), 0))</f>
        <v/>
      </c>
      <c r="P3431" s="32" t="str">
        <f t="shared" si="376"/>
        <v/>
      </c>
      <c r="Q3431" s="33" t="str">
        <f t="shared" si="377"/>
        <v/>
      </c>
    </row>
    <row r="3432" spans="2:17" ht="18" customHeight="1" x14ac:dyDescent="0.3">
      <c r="B3432" s="26"/>
      <c r="C3432" s="17"/>
      <c r="D3432" s="27"/>
      <c r="E3432" s="18"/>
      <c r="F3432" s="18"/>
      <c r="G3432" s="18"/>
      <c r="H3432" s="30" t="str">
        <f t="shared" si="371"/>
        <v/>
      </c>
      <c r="I3432" s="31" t="str">
        <f>IF(OR(B3432="",C3432=""),"",IFERROR(E3432*IF(E3432="",0,VLOOKUP(C3432,'📦 Precios Proforma'!$B$5:$D$104,IF(D3432="DIA",2,3),FALSE)),0))</f>
        <v/>
      </c>
      <c r="J3432" s="31" t="str">
        <f t="shared" si="372"/>
        <v/>
      </c>
      <c r="K3432" s="31" t="str">
        <f t="shared" si="373"/>
        <v/>
      </c>
      <c r="L3432" s="31" t="str">
        <f>IF(OR(B3432="",C3432=""),"",IFERROR(E3432 / SUMIFS('📅 Resumen Diario'!$D$5:$D$504, '📅 Resumen Diario'!$B$5:$B$504, B3432, '📅 Resumen Diario'!$C$5:$C$504, D3432) * SUMIFS('📅 Resumen Diario'!$K$5:$K$504, '📅 Resumen Diario'!$B$5:$B$504, B3432, '📅 Resumen Diario'!$C$5:$C$504, D3432), 0))</f>
        <v/>
      </c>
      <c r="M3432" s="31" t="str">
        <f t="shared" si="374"/>
        <v/>
      </c>
      <c r="N3432" s="31" t="str">
        <f t="shared" si="375"/>
        <v/>
      </c>
      <c r="O3432" s="31" t="str">
        <f>IF(OR(B3432="",C3432=""),"",K3432-N3432 + IFERROR(E3432 / SUMIFS('📅 Resumen Diario'!$D$5:$D$504, '📅 Resumen Diario'!$B$5:$B$504, B3432, '📅 Resumen Diario'!$C$5:$C$504, D3432) * (SUMIFS('📋 Detalle Diario'!$E$5:$E$489, '📋 Detalle Diario'!$B$5:$B$489, B3432, '📋 Detalle Diario'!$C$5:$C$489, D3432) * 135 + SUMIFS('📋 Detalle Diario'!$I$5:$I$489, '📋 Detalle Diario'!$B$5:$B$489, B3432, '📋 Detalle Diario'!$C$5:$C$489, D3432) * 200), 0))</f>
        <v/>
      </c>
      <c r="P3432" s="32" t="str">
        <f t="shared" si="376"/>
        <v/>
      </c>
      <c r="Q3432" s="33" t="str">
        <f t="shared" si="377"/>
        <v/>
      </c>
    </row>
    <row r="3433" spans="2:17" ht="18" customHeight="1" x14ac:dyDescent="0.3">
      <c r="B3433" s="26"/>
      <c r="C3433" s="28"/>
      <c r="D3433" s="27"/>
      <c r="E3433" s="29"/>
      <c r="F3433" s="29"/>
      <c r="G3433" s="29"/>
      <c r="H3433" s="30" t="str">
        <f t="shared" si="371"/>
        <v/>
      </c>
      <c r="I3433" s="31" t="str">
        <f>IF(OR(B3433="",C3433=""),"",IFERROR(E3433*IF(E3433="",0,VLOOKUP(C3433,'📦 Precios Proforma'!$B$5:$D$104,IF(D3433="DIA",2,3),FALSE)),0))</f>
        <v/>
      </c>
      <c r="J3433" s="31" t="str">
        <f t="shared" si="372"/>
        <v/>
      </c>
      <c r="K3433" s="31" t="str">
        <f t="shared" si="373"/>
        <v/>
      </c>
      <c r="L3433" s="31" t="str">
        <f>IF(OR(B3433="",C3433=""),"",IFERROR(E3433 / SUMIFS('📅 Resumen Diario'!$D$5:$D$504, '📅 Resumen Diario'!$B$5:$B$504, B3433, '📅 Resumen Diario'!$C$5:$C$504, D3433) * SUMIFS('📅 Resumen Diario'!$K$5:$K$504, '📅 Resumen Diario'!$B$5:$B$504, B3433, '📅 Resumen Diario'!$C$5:$C$504, D3433), 0))</f>
        <v/>
      </c>
      <c r="M3433" s="31" t="str">
        <f t="shared" si="374"/>
        <v/>
      </c>
      <c r="N3433" s="31" t="str">
        <f t="shared" si="375"/>
        <v/>
      </c>
      <c r="O3433" s="31" t="str">
        <f>IF(OR(B3433="",C3433=""),"",K3433-N3433 + IFERROR(E3433 / SUMIFS('📅 Resumen Diario'!$D$5:$D$504, '📅 Resumen Diario'!$B$5:$B$504, B3433, '📅 Resumen Diario'!$C$5:$C$504, D3433) * (SUMIFS('📋 Detalle Diario'!$E$5:$E$489, '📋 Detalle Diario'!$B$5:$B$489, B3433, '📋 Detalle Diario'!$C$5:$C$489, D3433) * 135 + SUMIFS('📋 Detalle Diario'!$I$5:$I$489, '📋 Detalle Diario'!$B$5:$B$489, B3433, '📋 Detalle Diario'!$C$5:$C$489, D3433) * 200), 0))</f>
        <v/>
      </c>
      <c r="P3433" s="32" t="str">
        <f t="shared" si="376"/>
        <v/>
      </c>
      <c r="Q3433" s="33" t="str">
        <f t="shared" si="377"/>
        <v/>
      </c>
    </row>
    <row r="3434" spans="2:17" ht="18" customHeight="1" x14ac:dyDescent="0.3">
      <c r="B3434" s="26"/>
      <c r="C3434" s="17"/>
      <c r="D3434" s="27"/>
      <c r="E3434" s="18"/>
      <c r="F3434" s="18"/>
      <c r="G3434" s="18"/>
      <c r="H3434" s="30" t="str">
        <f t="shared" si="371"/>
        <v/>
      </c>
      <c r="I3434" s="31" t="str">
        <f>IF(OR(B3434="",C3434=""),"",IFERROR(E3434*IF(E3434="",0,VLOOKUP(C3434,'📦 Precios Proforma'!$B$5:$D$104,IF(D3434="DIA",2,3),FALSE)),0))</f>
        <v/>
      </c>
      <c r="J3434" s="31" t="str">
        <f t="shared" si="372"/>
        <v/>
      </c>
      <c r="K3434" s="31" t="str">
        <f t="shared" si="373"/>
        <v/>
      </c>
      <c r="L3434" s="31" t="str">
        <f>IF(OR(B3434="",C3434=""),"",IFERROR(E3434 / SUMIFS('📅 Resumen Diario'!$D$5:$D$504, '📅 Resumen Diario'!$B$5:$B$504, B3434, '📅 Resumen Diario'!$C$5:$C$504, D3434) * SUMIFS('📅 Resumen Diario'!$K$5:$K$504, '📅 Resumen Diario'!$B$5:$B$504, B3434, '📅 Resumen Diario'!$C$5:$C$504, D3434), 0))</f>
        <v/>
      </c>
      <c r="M3434" s="31" t="str">
        <f t="shared" si="374"/>
        <v/>
      </c>
      <c r="N3434" s="31" t="str">
        <f t="shared" si="375"/>
        <v/>
      </c>
      <c r="O3434" s="31" t="str">
        <f>IF(OR(B3434="",C3434=""),"",K3434-N3434 + IFERROR(E3434 / SUMIFS('📅 Resumen Diario'!$D$5:$D$504, '📅 Resumen Diario'!$B$5:$B$504, B3434, '📅 Resumen Diario'!$C$5:$C$504, D3434) * (SUMIFS('📋 Detalle Diario'!$E$5:$E$489, '📋 Detalle Diario'!$B$5:$B$489, B3434, '📋 Detalle Diario'!$C$5:$C$489, D3434) * 135 + SUMIFS('📋 Detalle Diario'!$I$5:$I$489, '📋 Detalle Diario'!$B$5:$B$489, B3434, '📋 Detalle Diario'!$C$5:$C$489, D3434) * 200), 0))</f>
        <v/>
      </c>
      <c r="P3434" s="32" t="str">
        <f t="shared" si="376"/>
        <v/>
      </c>
      <c r="Q3434" s="33" t="str">
        <f t="shared" si="377"/>
        <v/>
      </c>
    </row>
    <row r="3435" spans="2:17" ht="18" customHeight="1" x14ac:dyDescent="0.3">
      <c r="B3435" s="26"/>
      <c r="C3435" s="28"/>
      <c r="D3435" s="27"/>
      <c r="E3435" s="29"/>
      <c r="F3435" s="29"/>
      <c r="G3435" s="29"/>
      <c r="H3435" s="30" t="str">
        <f t="shared" si="371"/>
        <v/>
      </c>
      <c r="I3435" s="31" t="str">
        <f>IF(OR(B3435="",C3435=""),"",IFERROR(E3435*IF(E3435="",0,VLOOKUP(C3435,'📦 Precios Proforma'!$B$5:$D$104,IF(D3435="DIA",2,3),FALSE)),0))</f>
        <v/>
      </c>
      <c r="J3435" s="31" t="str">
        <f t="shared" si="372"/>
        <v/>
      </c>
      <c r="K3435" s="31" t="str">
        <f t="shared" si="373"/>
        <v/>
      </c>
      <c r="L3435" s="31" t="str">
        <f>IF(OR(B3435="",C3435=""),"",IFERROR(E3435 / SUMIFS('📅 Resumen Diario'!$D$5:$D$504, '📅 Resumen Diario'!$B$5:$B$504, B3435, '📅 Resumen Diario'!$C$5:$C$504, D3435) * SUMIFS('📅 Resumen Diario'!$K$5:$K$504, '📅 Resumen Diario'!$B$5:$B$504, B3435, '📅 Resumen Diario'!$C$5:$C$504, D3435), 0))</f>
        <v/>
      </c>
      <c r="M3435" s="31" t="str">
        <f t="shared" si="374"/>
        <v/>
      </c>
      <c r="N3435" s="31" t="str">
        <f t="shared" si="375"/>
        <v/>
      </c>
      <c r="O3435" s="31" t="str">
        <f>IF(OR(B3435="",C3435=""),"",K3435-N3435 + IFERROR(E3435 / SUMIFS('📅 Resumen Diario'!$D$5:$D$504, '📅 Resumen Diario'!$B$5:$B$504, B3435, '📅 Resumen Diario'!$C$5:$C$504, D3435) * (SUMIFS('📋 Detalle Diario'!$E$5:$E$489, '📋 Detalle Diario'!$B$5:$B$489, B3435, '📋 Detalle Diario'!$C$5:$C$489, D3435) * 135 + SUMIFS('📋 Detalle Diario'!$I$5:$I$489, '📋 Detalle Diario'!$B$5:$B$489, B3435, '📋 Detalle Diario'!$C$5:$C$489, D3435) * 200), 0))</f>
        <v/>
      </c>
      <c r="P3435" s="32" t="str">
        <f t="shared" si="376"/>
        <v/>
      </c>
      <c r="Q3435" s="33" t="str">
        <f t="shared" si="377"/>
        <v/>
      </c>
    </row>
    <row r="3436" spans="2:17" ht="18" customHeight="1" x14ac:dyDescent="0.3">
      <c r="B3436" s="26"/>
      <c r="C3436" s="17"/>
      <c r="D3436" s="27"/>
      <c r="E3436" s="18"/>
      <c r="F3436" s="18"/>
      <c r="G3436" s="18"/>
      <c r="H3436" s="30" t="str">
        <f t="shared" si="371"/>
        <v/>
      </c>
      <c r="I3436" s="31" t="str">
        <f>IF(OR(B3436="",C3436=""),"",IFERROR(E3436*IF(E3436="",0,VLOOKUP(C3436,'📦 Precios Proforma'!$B$5:$D$104,IF(D3436="DIA",2,3),FALSE)),0))</f>
        <v/>
      </c>
      <c r="J3436" s="31" t="str">
        <f t="shared" si="372"/>
        <v/>
      </c>
      <c r="K3436" s="31" t="str">
        <f t="shared" si="373"/>
        <v/>
      </c>
      <c r="L3436" s="31" t="str">
        <f>IF(OR(B3436="",C3436=""),"",IFERROR(E3436 / SUMIFS('📅 Resumen Diario'!$D$5:$D$504, '📅 Resumen Diario'!$B$5:$B$504, B3436, '📅 Resumen Diario'!$C$5:$C$504, D3436) * SUMIFS('📅 Resumen Diario'!$K$5:$K$504, '📅 Resumen Diario'!$B$5:$B$504, B3436, '📅 Resumen Diario'!$C$5:$C$504, D3436), 0))</f>
        <v/>
      </c>
      <c r="M3436" s="31" t="str">
        <f t="shared" si="374"/>
        <v/>
      </c>
      <c r="N3436" s="31" t="str">
        <f t="shared" si="375"/>
        <v/>
      </c>
      <c r="O3436" s="31" t="str">
        <f>IF(OR(B3436="",C3436=""),"",K3436-N3436 + IFERROR(E3436 / SUMIFS('📅 Resumen Diario'!$D$5:$D$504, '📅 Resumen Diario'!$B$5:$B$504, B3436, '📅 Resumen Diario'!$C$5:$C$504, D3436) * (SUMIFS('📋 Detalle Diario'!$E$5:$E$489, '📋 Detalle Diario'!$B$5:$B$489, B3436, '📋 Detalle Diario'!$C$5:$C$489, D3436) * 135 + SUMIFS('📋 Detalle Diario'!$I$5:$I$489, '📋 Detalle Diario'!$B$5:$B$489, B3436, '📋 Detalle Diario'!$C$5:$C$489, D3436) * 200), 0))</f>
        <v/>
      </c>
      <c r="P3436" s="32" t="str">
        <f t="shared" si="376"/>
        <v/>
      </c>
      <c r="Q3436" s="33" t="str">
        <f t="shared" si="377"/>
        <v/>
      </c>
    </row>
    <row r="3437" spans="2:17" ht="18" customHeight="1" x14ac:dyDescent="0.3">
      <c r="B3437" s="26"/>
      <c r="C3437" s="28"/>
      <c r="D3437" s="27"/>
      <c r="E3437" s="29"/>
      <c r="F3437" s="29"/>
      <c r="G3437" s="29"/>
      <c r="H3437" s="30" t="str">
        <f t="shared" si="371"/>
        <v/>
      </c>
      <c r="I3437" s="31" t="str">
        <f>IF(OR(B3437="",C3437=""),"",IFERROR(E3437*IF(E3437="",0,VLOOKUP(C3437,'📦 Precios Proforma'!$B$5:$D$104,IF(D3437="DIA",2,3),FALSE)),0))</f>
        <v/>
      </c>
      <c r="J3437" s="31" t="str">
        <f t="shared" si="372"/>
        <v/>
      </c>
      <c r="K3437" s="31" t="str">
        <f t="shared" si="373"/>
        <v/>
      </c>
      <c r="L3437" s="31" t="str">
        <f>IF(OR(B3437="",C3437=""),"",IFERROR(E3437 / SUMIFS('📅 Resumen Diario'!$D$5:$D$504, '📅 Resumen Diario'!$B$5:$B$504, B3437, '📅 Resumen Diario'!$C$5:$C$504, D3437) * SUMIFS('📅 Resumen Diario'!$K$5:$K$504, '📅 Resumen Diario'!$B$5:$B$504, B3437, '📅 Resumen Diario'!$C$5:$C$504, D3437), 0))</f>
        <v/>
      </c>
      <c r="M3437" s="31" t="str">
        <f t="shared" si="374"/>
        <v/>
      </c>
      <c r="N3437" s="31" t="str">
        <f t="shared" si="375"/>
        <v/>
      </c>
      <c r="O3437" s="31" t="str">
        <f>IF(OR(B3437="",C3437=""),"",K3437-N3437 + IFERROR(E3437 / SUMIFS('📅 Resumen Diario'!$D$5:$D$504, '📅 Resumen Diario'!$B$5:$B$504, B3437, '📅 Resumen Diario'!$C$5:$C$504, D3437) * (SUMIFS('📋 Detalle Diario'!$E$5:$E$489, '📋 Detalle Diario'!$B$5:$B$489, B3437, '📋 Detalle Diario'!$C$5:$C$489, D3437) * 135 + SUMIFS('📋 Detalle Diario'!$I$5:$I$489, '📋 Detalle Diario'!$B$5:$B$489, B3437, '📋 Detalle Diario'!$C$5:$C$489, D3437) * 200), 0))</f>
        <v/>
      </c>
      <c r="P3437" s="32" t="str">
        <f t="shared" si="376"/>
        <v/>
      </c>
      <c r="Q3437" s="33" t="str">
        <f t="shared" si="377"/>
        <v/>
      </c>
    </row>
    <row r="3438" spans="2:17" ht="18" customHeight="1" x14ac:dyDescent="0.3">
      <c r="B3438" s="26"/>
      <c r="C3438" s="17"/>
      <c r="D3438" s="27"/>
      <c r="E3438" s="18"/>
      <c r="F3438" s="18"/>
      <c r="G3438" s="18"/>
      <c r="H3438" s="30" t="str">
        <f t="shared" si="371"/>
        <v/>
      </c>
      <c r="I3438" s="31" t="str">
        <f>IF(OR(B3438="",C3438=""),"",IFERROR(E3438*IF(E3438="",0,VLOOKUP(C3438,'📦 Precios Proforma'!$B$5:$D$104,IF(D3438="DIA",2,3),FALSE)),0))</f>
        <v/>
      </c>
      <c r="J3438" s="31" t="str">
        <f t="shared" si="372"/>
        <v/>
      </c>
      <c r="K3438" s="31" t="str">
        <f t="shared" si="373"/>
        <v/>
      </c>
      <c r="L3438" s="31" t="str">
        <f>IF(OR(B3438="",C3438=""),"",IFERROR(E3438 / SUMIFS('📅 Resumen Diario'!$D$5:$D$504, '📅 Resumen Diario'!$B$5:$B$504, B3438, '📅 Resumen Diario'!$C$5:$C$504, D3438) * SUMIFS('📅 Resumen Diario'!$K$5:$K$504, '📅 Resumen Diario'!$B$5:$B$504, B3438, '📅 Resumen Diario'!$C$5:$C$504, D3438), 0))</f>
        <v/>
      </c>
      <c r="M3438" s="31" t="str">
        <f t="shared" si="374"/>
        <v/>
      </c>
      <c r="N3438" s="31" t="str">
        <f t="shared" si="375"/>
        <v/>
      </c>
      <c r="O3438" s="31" t="str">
        <f>IF(OR(B3438="",C3438=""),"",K3438-N3438 + IFERROR(E3438 / SUMIFS('📅 Resumen Diario'!$D$5:$D$504, '📅 Resumen Diario'!$B$5:$B$504, B3438, '📅 Resumen Diario'!$C$5:$C$504, D3438) * (SUMIFS('📋 Detalle Diario'!$E$5:$E$489, '📋 Detalle Diario'!$B$5:$B$489, B3438, '📋 Detalle Diario'!$C$5:$C$489, D3438) * 135 + SUMIFS('📋 Detalle Diario'!$I$5:$I$489, '📋 Detalle Diario'!$B$5:$B$489, B3438, '📋 Detalle Diario'!$C$5:$C$489, D3438) * 200), 0))</f>
        <v/>
      </c>
      <c r="P3438" s="32" t="str">
        <f t="shared" si="376"/>
        <v/>
      </c>
      <c r="Q3438" s="33" t="str">
        <f t="shared" si="377"/>
        <v/>
      </c>
    </row>
    <row r="3439" spans="2:17" ht="18" customHeight="1" x14ac:dyDescent="0.3">
      <c r="B3439" s="26"/>
      <c r="C3439" s="28"/>
      <c r="D3439" s="27"/>
      <c r="E3439" s="29"/>
      <c r="F3439" s="29"/>
      <c r="G3439" s="29"/>
      <c r="H3439" s="30" t="str">
        <f t="shared" si="371"/>
        <v/>
      </c>
      <c r="I3439" s="31" t="str">
        <f>IF(OR(B3439="",C3439=""),"",IFERROR(E3439*IF(E3439="",0,VLOOKUP(C3439,'📦 Precios Proforma'!$B$5:$D$104,IF(D3439="DIA",2,3),FALSE)),0))</f>
        <v/>
      </c>
      <c r="J3439" s="31" t="str">
        <f t="shared" si="372"/>
        <v/>
      </c>
      <c r="K3439" s="31" t="str">
        <f t="shared" si="373"/>
        <v/>
      </c>
      <c r="L3439" s="31" t="str">
        <f>IF(OR(B3439="",C3439=""),"",IFERROR(E3439 / SUMIFS('📅 Resumen Diario'!$D$5:$D$504, '📅 Resumen Diario'!$B$5:$B$504, B3439, '📅 Resumen Diario'!$C$5:$C$504, D3439) * SUMIFS('📅 Resumen Diario'!$K$5:$K$504, '📅 Resumen Diario'!$B$5:$B$504, B3439, '📅 Resumen Diario'!$C$5:$C$504, D3439), 0))</f>
        <v/>
      </c>
      <c r="M3439" s="31" t="str">
        <f t="shared" si="374"/>
        <v/>
      </c>
      <c r="N3439" s="31" t="str">
        <f t="shared" si="375"/>
        <v/>
      </c>
      <c r="O3439" s="31" t="str">
        <f>IF(OR(B3439="",C3439=""),"",K3439-N3439 + IFERROR(E3439 / SUMIFS('📅 Resumen Diario'!$D$5:$D$504, '📅 Resumen Diario'!$B$5:$B$504, B3439, '📅 Resumen Diario'!$C$5:$C$504, D3439) * (SUMIFS('📋 Detalle Diario'!$E$5:$E$489, '📋 Detalle Diario'!$B$5:$B$489, B3439, '📋 Detalle Diario'!$C$5:$C$489, D3439) * 135 + SUMIFS('📋 Detalle Diario'!$I$5:$I$489, '📋 Detalle Diario'!$B$5:$B$489, B3439, '📋 Detalle Diario'!$C$5:$C$489, D3439) * 200), 0))</f>
        <v/>
      </c>
      <c r="P3439" s="32" t="str">
        <f t="shared" si="376"/>
        <v/>
      </c>
      <c r="Q3439" s="33" t="str">
        <f t="shared" si="377"/>
        <v/>
      </c>
    </row>
    <row r="3440" spans="2:17" ht="18" customHeight="1" x14ac:dyDescent="0.3">
      <c r="B3440" s="26"/>
      <c r="C3440" s="17"/>
      <c r="D3440" s="27"/>
      <c r="E3440" s="18"/>
      <c r="F3440" s="18"/>
      <c r="G3440" s="18"/>
      <c r="H3440" s="30" t="str">
        <f t="shared" si="371"/>
        <v/>
      </c>
      <c r="I3440" s="31" t="str">
        <f>IF(OR(B3440="",C3440=""),"",IFERROR(E3440*IF(E3440="",0,VLOOKUP(C3440,'📦 Precios Proforma'!$B$5:$D$104,IF(D3440="DIA",2,3),FALSE)),0))</f>
        <v/>
      </c>
      <c r="J3440" s="31" t="str">
        <f t="shared" si="372"/>
        <v/>
      </c>
      <c r="K3440" s="31" t="str">
        <f t="shared" si="373"/>
        <v/>
      </c>
      <c r="L3440" s="31" t="str">
        <f>IF(OR(B3440="",C3440=""),"",IFERROR(E3440 / SUMIFS('📅 Resumen Diario'!$D$5:$D$504, '📅 Resumen Diario'!$B$5:$B$504, B3440, '📅 Resumen Diario'!$C$5:$C$504, D3440) * SUMIFS('📅 Resumen Diario'!$K$5:$K$504, '📅 Resumen Diario'!$B$5:$B$504, B3440, '📅 Resumen Diario'!$C$5:$C$504, D3440), 0))</f>
        <v/>
      </c>
      <c r="M3440" s="31" t="str">
        <f t="shared" si="374"/>
        <v/>
      </c>
      <c r="N3440" s="31" t="str">
        <f t="shared" si="375"/>
        <v/>
      </c>
      <c r="O3440" s="31" t="str">
        <f>IF(OR(B3440="",C3440=""),"",K3440-N3440 + IFERROR(E3440 / SUMIFS('📅 Resumen Diario'!$D$5:$D$504, '📅 Resumen Diario'!$B$5:$B$504, B3440, '📅 Resumen Diario'!$C$5:$C$504, D3440) * (SUMIFS('📋 Detalle Diario'!$E$5:$E$489, '📋 Detalle Diario'!$B$5:$B$489, B3440, '📋 Detalle Diario'!$C$5:$C$489, D3440) * 135 + SUMIFS('📋 Detalle Diario'!$I$5:$I$489, '📋 Detalle Diario'!$B$5:$B$489, B3440, '📋 Detalle Diario'!$C$5:$C$489, D3440) * 200), 0))</f>
        <v/>
      </c>
      <c r="P3440" s="32" t="str">
        <f t="shared" si="376"/>
        <v/>
      </c>
      <c r="Q3440" s="33" t="str">
        <f t="shared" si="377"/>
        <v/>
      </c>
    </row>
    <row r="3441" spans="2:17" ht="18" customHeight="1" x14ac:dyDescent="0.3">
      <c r="B3441" s="26"/>
      <c r="C3441" s="28"/>
      <c r="D3441" s="27"/>
      <c r="E3441" s="29"/>
      <c r="F3441" s="29"/>
      <c r="G3441" s="29"/>
      <c r="H3441" s="30" t="str">
        <f t="shared" si="371"/>
        <v/>
      </c>
      <c r="I3441" s="31" t="str">
        <f>IF(OR(B3441="",C3441=""),"",IFERROR(E3441*IF(E3441="",0,VLOOKUP(C3441,'📦 Precios Proforma'!$B$5:$D$104,IF(D3441="DIA",2,3),FALSE)),0))</f>
        <v/>
      </c>
      <c r="J3441" s="31" t="str">
        <f t="shared" si="372"/>
        <v/>
      </c>
      <c r="K3441" s="31" t="str">
        <f t="shared" si="373"/>
        <v/>
      </c>
      <c r="L3441" s="31" t="str">
        <f>IF(OR(B3441="",C3441=""),"",IFERROR(E3441 / SUMIFS('📅 Resumen Diario'!$D$5:$D$504, '📅 Resumen Diario'!$B$5:$B$504, B3441, '📅 Resumen Diario'!$C$5:$C$504, D3441) * SUMIFS('📅 Resumen Diario'!$K$5:$K$504, '📅 Resumen Diario'!$B$5:$B$504, B3441, '📅 Resumen Diario'!$C$5:$C$504, D3441), 0))</f>
        <v/>
      </c>
      <c r="M3441" s="31" t="str">
        <f t="shared" si="374"/>
        <v/>
      </c>
      <c r="N3441" s="31" t="str">
        <f t="shared" si="375"/>
        <v/>
      </c>
      <c r="O3441" s="31" t="str">
        <f>IF(OR(B3441="",C3441=""),"",K3441-N3441 + IFERROR(E3441 / SUMIFS('📅 Resumen Diario'!$D$5:$D$504, '📅 Resumen Diario'!$B$5:$B$504, B3441, '📅 Resumen Diario'!$C$5:$C$504, D3441) * (SUMIFS('📋 Detalle Diario'!$E$5:$E$489, '📋 Detalle Diario'!$B$5:$B$489, B3441, '📋 Detalle Diario'!$C$5:$C$489, D3441) * 135 + SUMIFS('📋 Detalle Diario'!$I$5:$I$489, '📋 Detalle Diario'!$B$5:$B$489, B3441, '📋 Detalle Diario'!$C$5:$C$489, D3441) * 200), 0))</f>
        <v/>
      </c>
      <c r="P3441" s="32" t="str">
        <f t="shared" si="376"/>
        <v/>
      </c>
      <c r="Q3441" s="33" t="str">
        <f t="shared" si="377"/>
        <v/>
      </c>
    </row>
    <row r="3442" spans="2:17" ht="18" customHeight="1" x14ac:dyDescent="0.3">
      <c r="B3442" s="26"/>
      <c r="C3442" s="17"/>
      <c r="D3442" s="27"/>
      <c r="E3442" s="18"/>
      <c r="F3442" s="18"/>
      <c r="G3442" s="18"/>
      <c r="H3442" s="30" t="str">
        <f t="shared" si="371"/>
        <v/>
      </c>
      <c r="I3442" s="31" t="str">
        <f>IF(OR(B3442="",C3442=""),"",IFERROR(E3442*IF(E3442="",0,VLOOKUP(C3442,'📦 Precios Proforma'!$B$5:$D$104,IF(D3442="DIA",2,3),FALSE)),0))</f>
        <v/>
      </c>
      <c r="J3442" s="31" t="str">
        <f t="shared" si="372"/>
        <v/>
      </c>
      <c r="K3442" s="31" t="str">
        <f t="shared" si="373"/>
        <v/>
      </c>
      <c r="L3442" s="31" t="str">
        <f>IF(OR(B3442="",C3442=""),"",IFERROR(E3442 / SUMIFS('📅 Resumen Diario'!$D$5:$D$504, '📅 Resumen Diario'!$B$5:$B$504, B3442, '📅 Resumen Diario'!$C$5:$C$504, D3442) * SUMIFS('📅 Resumen Diario'!$K$5:$K$504, '📅 Resumen Diario'!$B$5:$B$504, B3442, '📅 Resumen Diario'!$C$5:$C$504, D3442), 0))</f>
        <v/>
      </c>
      <c r="M3442" s="31" t="str">
        <f t="shared" si="374"/>
        <v/>
      </c>
      <c r="N3442" s="31" t="str">
        <f t="shared" si="375"/>
        <v/>
      </c>
      <c r="O3442" s="31" t="str">
        <f>IF(OR(B3442="",C3442=""),"",K3442-N3442 + IFERROR(E3442 / SUMIFS('📅 Resumen Diario'!$D$5:$D$504, '📅 Resumen Diario'!$B$5:$B$504, B3442, '📅 Resumen Diario'!$C$5:$C$504, D3442) * (SUMIFS('📋 Detalle Diario'!$E$5:$E$489, '📋 Detalle Diario'!$B$5:$B$489, B3442, '📋 Detalle Diario'!$C$5:$C$489, D3442) * 135 + SUMIFS('📋 Detalle Diario'!$I$5:$I$489, '📋 Detalle Diario'!$B$5:$B$489, B3442, '📋 Detalle Diario'!$C$5:$C$489, D3442) * 200), 0))</f>
        <v/>
      </c>
      <c r="P3442" s="32" t="str">
        <f t="shared" si="376"/>
        <v/>
      </c>
      <c r="Q3442" s="33" t="str">
        <f t="shared" si="377"/>
        <v/>
      </c>
    </row>
    <row r="3443" spans="2:17" ht="18" customHeight="1" x14ac:dyDescent="0.3">
      <c r="B3443" s="26"/>
      <c r="C3443" s="28"/>
      <c r="D3443" s="27"/>
      <c r="E3443" s="29"/>
      <c r="F3443" s="29"/>
      <c r="G3443" s="29"/>
      <c r="H3443" s="30" t="str">
        <f t="shared" si="371"/>
        <v/>
      </c>
      <c r="I3443" s="31" t="str">
        <f>IF(OR(B3443="",C3443=""),"",IFERROR(E3443*IF(E3443="",0,VLOOKUP(C3443,'📦 Precios Proforma'!$B$5:$D$104,IF(D3443="DIA",2,3),FALSE)),0))</f>
        <v/>
      </c>
      <c r="J3443" s="31" t="str">
        <f t="shared" si="372"/>
        <v/>
      </c>
      <c r="K3443" s="31" t="str">
        <f t="shared" si="373"/>
        <v/>
      </c>
      <c r="L3443" s="31" t="str">
        <f>IF(OR(B3443="",C3443=""),"",IFERROR(E3443 / SUMIFS('📅 Resumen Diario'!$D$5:$D$504, '📅 Resumen Diario'!$B$5:$B$504, B3443, '📅 Resumen Diario'!$C$5:$C$504, D3443) * SUMIFS('📅 Resumen Diario'!$K$5:$K$504, '📅 Resumen Diario'!$B$5:$B$504, B3443, '📅 Resumen Diario'!$C$5:$C$504, D3443), 0))</f>
        <v/>
      </c>
      <c r="M3443" s="31" t="str">
        <f t="shared" si="374"/>
        <v/>
      </c>
      <c r="N3443" s="31" t="str">
        <f t="shared" si="375"/>
        <v/>
      </c>
      <c r="O3443" s="31" t="str">
        <f>IF(OR(B3443="",C3443=""),"",K3443-N3443 + IFERROR(E3443 / SUMIFS('📅 Resumen Diario'!$D$5:$D$504, '📅 Resumen Diario'!$B$5:$B$504, B3443, '📅 Resumen Diario'!$C$5:$C$504, D3443) * (SUMIFS('📋 Detalle Diario'!$E$5:$E$489, '📋 Detalle Diario'!$B$5:$B$489, B3443, '📋 Detalle Diario'!$C$5:$C$489, D3443) * 135 + SUMIFS('📋 Detalle Diario'!$I$5:$I$489, '📋 Detalle Diario'!$B$5:$B$489, B3443, '📋 Detalle Diario'!$C$5:$C$489, D3443) * 200), 0))</f>
        <v/>
      </c>
      <c r="P3443" s="32" t="str">
        <f t="shared" si="376"/>
        <v/>
      </c>
      <c r="Q3443" s="33" t="str">
        <f t="shared" si="377"/>
        <v/>
      </c>
    </row>
    <row r="3444" spans="2:17" ht="18" customHeight="1" x14ac:dyDescent="0.3">
      <c r="B3444" s="26"/>
      <c r="C3444" s="17"/>
      <c r="D3444" s="27"/>
      <c r="E3444" s="18"/>
      <c r="F3444" s="18"/>
      <c r="G3444" s="18"/>
      <c r="H3444" s="30" t="str">
        <f t="shared" si="371"/>
        <v/>
      </c>
      <c r="I3444" s="31" t="str">
        <f>IF(OR(B3444="",C3444=""),"",IFERROR(E3444*IF(E3444="",0,VLOOKUP(C3444,'📦 Precios Proforma'!$B$5:$D$104,IF(D3444="DIA",2,3),FALSE)),0))</f>
        <v/>
      </c>
      <c r="J3444" s="31" t="str">
        <f t="shared" si="372"/>
        <v/>
      </c>
      <c r="K3444" s="31" t="str">
        <f t="shared" si="373"/>
        <v/>
      </c>
      <c r="L3444" s="31" t="str">
        <f>IF(OR(B3444="",C3444=""),"",IFERROR(E3444 / SUMIFS('📅 Resumen Diario'!$D$5:$D$504, '📅 Resumen Diario'!$B$5:$B$504, B3444, '📅 Resumen Diario'!$C$5:$C$504, D3444) * SUMIFS('📅 Resumen Diario'!$K$5:$K$504, '📅 Resumen Diario'!$B$5:$B$504, B3444, '📅 Resumen Diario'!$C$5:$C$504, D3444), 0))</f>
        <v/>
      </c>
      <c r="M3444" s="31" t="str">
        <f t="shared" si="374"/>
        <v/>
      </c>
      <c r="N3444" s="31" t="str">
        <f t="shared" si="375"/>
        <v/>
      </c>
      <c r="O3444" s="31" t="str">
        <f>IF(OR(B3444="",C3444=""),"",K3444-N3444 + IFERROR(E3444 / SUMIFS('📅 Resumen Diario'!$D$5:$D$504, '📅 Resumen Diario'!$B$5:$B$504, B3444, '📅 Resumen Diario'!$C$5:$C$504, D3444) * (SUMIFS('📋 Detalle Diario'!$E$5:$E$489, '📋 Detalle Diario'!$B$5:$B$489, B3444, '📋 Detalle Diario'!$C$5:$C$489, D3444) * 135 + SUMIFS('📋 Detalle Diario'!$I$5:$I$489, '📋 Detalle Diario'!$B$5:$B$489, B3444, '📋 Detalle Diario'!$C$5:$C$489, D3444) * 200), 0))</f>
        <v/>
      </c>
      <c r="P3444" s="32" t="str">
        <f t="shared" si="376"/>
        <v/>
      </c>
      <c r="Q3444" s="33" t="str">
        <f t="shared" si="377"/>
        <v/>
      </c>
    </row>
    <row r="3445" spans="2:17" ht="18" customHeight="1" x14ac:dyDescent="0.3">
      <c r="B3445" s="26"/>
      <c r="C3445" s="28"/>
      <c r="D3445" s="27"/>
      <c r="E3445" s="29"/>
      <c r="F3445" s="29"/>
      <c r="G3445" s="29"/>
      <c r="H3445" s="30" t="str">
        <f t="shared" si="371"/>
        <v/>
      </c>
      <c r="I3445" s="31" t="str">
        <f>IF(OR(B3445="",C3445=""),"",IFERROR(E3445*IF(E3445="",0,VLOOKUP(C3445,'📦 Precios Proforma'!$B$5:$D$104,IF(D3445="DIA",2,3),FALSE)),0))</f>
        <v/>
      </c>
      <c r="J3445" s="31" t="str">
        <f t="shared" si="372"/>
        <v/>
      </c>
      <c r="K3445" s="31" t="str">
        <f t="shared" si="373"/>
        <v/>
      </c>
      <c r="L3445" s="31" t="str">
        <f>IF(OR(B3445="",C3445=""),"",IFERROR(E3445 / SUMIFS('📅 Resumen Diario'!$D$5:$D$504, '📅 Resumen Diario'!$B$5:$B$504, B3445, '📅 Resumen Diario'!$C$5:$C$504, D3445) * SUMIFS('📅 Resumen Diario'!$K$5:$K$504, '📅 Resumen Diario'!$B$5:$B$504, B3445, '📅 Resumen Diario'!$C$5:$C$504, D3445), 0))</f>
        <v/>
      </c>
      <c r="M3445" s="31" t="str">
        <f t="shared" si="374"/>
        <v/>
      </c>
      <c r="N3445" s="31" t="str">
        <f t="shared" si="375"/>
        <v/>
      </c>
      <c r="O3445" s="31" t="str">
        <f>IF(OR(B3445="",C3445=""),"",K3445-N3445 + IFERROR(E3445 / SUMIFS('📅 Resumen Diario'!$D$5:$D$504, '📅 Resumen Diario'!$B$5:$B$504, B3445, '📅 Resumen Diario'!$C$5:$C$504, D3445) * (SUMIFS('📋 Detalle Diario'!$E$5:$E$489, '📋 Detalle Diario'!$B$5:$B$489, B3445, '📋 Detalle Diario'!$C$5:$C$489, D3445) * 135 + SUMIFS('📋 Detalle Diario'!$I$5:$I$489, '📋 Detalle Diario'!$B$5:$B$489, B3445, '📋 Detalle Diario'!$C$5:$C$489, D3445) * 200), 0))</f>
        <v/>
      </c>
      <c r="P3445" s="32" t="str">
        <f t="shared" si="376"/>
        <v/>
      </c>
      <c r="Q3445" s="33" t="str">
        <f t="shared" si="377"/>
        <v/>
      </c>
    </row>
    <row r="3446" spans="2:17" ht="18" customHeight="1" x14ac:dyDescent="0.3">
      <c r="B3446" s="26"/>
      <c r="C3446" s="17"/>
      <c r="D3446" s="27"/>
      <c r="E3446" s="18"/>
      <c r="F3446" s="18"/>
      <c r="G3446" s="18"/>
      <c r="H3446" s="30" t="str">
        <f t="shared" si="371"/>
        <v/>
      </c>
      <c r="I3446" s="31" t="str">
        <f>IF(OR(B3446="",C3446=""),"",IFERROR(E3446*IF(E3446="",0,VLOOKUP(C3446,'📦 Precios Proforma'!$B$5:$D$104,IF(D3446="DIA",2,3),FALSE)),0))</f>
        <v/>
      </c>
      <c r="J3446" s="31" t="str">
        <f t="shared" si="372"/>
        <v/>
      </c>
      <c r="K3446" s="31" t="str">
        <f t="shared" si="373"/>
        <v/>
      </c>
      <c r="L3446" s="31" t="str">
        <f>IF(OR(B3446="",C3446=""),"",IFERROR(E3446 / SUMIFS('📅 Resumen Diario'!$D$5:$D$504, '📅 Resumen Diario'!$B$5:$B$504, B3446, '📅 Resumen Diario'!$C$5:$C$504, D3446) * SUMIFS('📅 Resumen Diario'!$K$5:$K$504, '📅 Resumen Diario'!$B$5:$B$504, B3446, '📅 Resumen Diario'!$C$5:$C$504, D3446), 0))</f>
        <v/>
      </c>
      <c r="M3446" s="31" t="str">
        <f t="shared" si="374"/>
        <v/>
      </c>
      <c r="N3446" s="31" t="str">
        <f t="shared" si="375"/>
        <v/>
      </c>
      <c r="O3446" s="31" t="str">
        <f>IF(OR(B3446="",C3446=""),"",K3446-N3446 + IFERROR(E3446 / SUMIFS('📅 Resumen Diario'!$D$5:$D$504, '📅 Resumen Diario'!$B$5:$B$504, B3446, '📅 Resumen Diario'!$C$5:$C$504, D3446) * (SUMIFS('📋 Detalle Diario'!$E$5:$E$489, '📋 Detalle Diario'!$B$5:$B$489, B3446, '📋 Detalle Diario'!$C$5:$C$489, D3446) * 135 + SUMIFS('📋 Detalle Diario'!$I$5:$I$489, '📋 Detalle Diario'!$B$5:$B$489, B3446, '📋 Detalle Diario'!$C$5:$C$489, D3446) * 200), 0))</f>
        <v/>
      </c>
      <c r="P3446" s="32" t="str">
        <f t="shared" si="376"/>
        <v/>
      </c>
      <c r="Q3446" s="33" t="str">
        <f t="shared" si="377"/>
        <v/>
      </c>
    </row>
    <row r="3447" spans="2:17" ht="18" customHeight="1" x14ac:dyDescent="0.3">
      <c r="B3447" s="26"/>
      <c r="C3447" s="28"/>
      <c r="D3447" s="27"/>
      <c r="E3447" s="29"/>
      <c r="F3447" s="29"/>
      <c r="G3447" s="29"/>
      <c r="H3447" s="30" t="str">
        <f t="shared" si="371"/>
        <v/>
      </c>
      <c r="I3447" s="31" t="str">
        <f>IF(OR(B3447="",C3447=""),"",IFERROR(E3447*IF(E3447="",0,VLOOKUP(C3447,'📦 Precios Proforma'!$B$5:$D$104,IF(D3447="DIA",2,3),FALSE)),0))</f>
        <v/>
      </c>
      <c r="J3447" s="31" t="str">
        <f t="shared" si="372"/>
        <v/>
      </c>
      <c r="K3447" s="31" t="str">
        <f t="shared" si="373"/>
        <v/>
      </c>
      <c r="L3447" s="31" t="str">
        <f>IF(OR(B3447="",C3447=""),"",IFERROR(E3447 / SUMIFS('📅 Resumen Diario'!$D$5:$D$504, '📅 Resumen Diario'!$B$5:$B$504, B3447, '📅 Resumen Diario'!$C$5:$C$504, D3447) * SUMIFS('📅 Resumen Diario'!$K$5:$K$504, '📅 Resumen Diario'!$B$5:$B$504, B3447, '📅 Resumen Diario'!$C$5:$C$504, D3447), 0))</f>
        <v/>
      </c>
      <c r="M3447" s="31" t="str">
        <f t="shared" si="374"/>
        <v/>
      </c>
      <c r="N3447" s="31" t="str">
        <f t="shared" si="375"/>
        <v/>
      </c>
      <c r="O3447" s="31" t="str">
        <f>IF(OR(B3447="",C3447=""),"",K3447-N3447 + IFERROR(E3447 / SUMIFS('📅 Resumen Diario'!$D$5:$D$504, '📅 Resumen Diario'!$B$5:$B$504, B3447, '📅 Resumen Diario'!$C$5:$C$504, D3447) * (SUMIFS('📋 Detalle Diario'!$E$5:$E$489, '📋 Detalle Diario'!$B$5:$B$489, B3447, '📋 Detalle Diario'!$C$5:$C$489, D3447) * 135 + SUMIFS('📋 Detalle Diario'!$I$5:$I$489, '📋 Detalle Diario'!$B$5:$B$489, B3447, '📋 Detalle Diario'!$C$5:$C$489, D3447) * 200), 0))</f>
        <v/>
      </c>
      <c r="P3447" s="32" t="str">
        <f t="shared" si="376"/>
        <v/>
      </c>
      <c r="Q3447" s="33" t="str">
        <f t="shared" si="377"/>
        <v/>
      </c>
    </row>
    <row r="3448" spans="2:17" ht="18" customHeight="1" x14ac:dyDescent="0.3">
      <c r="B3448" s="26"/>
      <c r="C3448" s="17"/>
      <c r="D3448" s="27"/>
      <c r="E3448" s="18"/>
      <c r="F3448" s="18"/>
      <c r="G3448" s="18"/>
      <c r="H3448" s="30" t="str">
        <f t="shared" si="371"/>
        <v/>
      </c>
      <c r="I3448" s="31" t="str">
        <f>IF(OR(B3448="",C3448=""),"",IFERROR(E3448*IF(E3448="",0,VLOOKUP(C3448,'📦 Precios Proforma'!$B$5:$D$104,IF(D3448="DIA",2,3),FALSE)),0))</f>
        <v/>
      </c>
      <c r="J3448" s="31" t="str">
        <f t="shared" si="372"/>
        <v/>
      </c>
      <c r="K3448" s="31" t="str">
        <f t="shared" si="373"/>
        <v/>
      </c>
      <c r="L3448" s="31" t="str">
        <f>IF(OR(B3448="",C3448=""),"",IFERROR(E3448 / SUMIFS('📅 Resumen Diario'!$D$5:$D$504, '📅 Resumen Diario'!$B$5:$B$504, B3448, '📅 Resumen Diario'!$C$5:$C$504, D3448) * SUMIFS('📅 Resumen Diario'!$K$5:$K$504, '📅 Resumen Diario'!$B$5:$B$504, B3448, '📅 Resumen Diario'!$C$5:$C$504, D3448), 0))</f>
        <v/>
      </c>
      <c r="M3448" s="31" t="str">
        <f t="shared" si="374"/>
        <v/>
      </c>
      <c r="N3448" s="31" t="str">
        <f t="shared" si="375"/>
        <v/>
      </c>
      <c r="O3448" s="31" t="str">
        <f>IF(OR(B3448="",C3448=""),"",K3448-N3448 + IFERROR(E3448 / SUMIFS('📅 Resumen Diario'!$D$5:$D$504, '📅 Resumen Diario'!$B$5:$B$504, B3448, '📅 Resumen Diario'!$C$5:$C$504, D3448) * (SUMIFS('📋 Detalle Diario'!$E$5:$E$489, '📋 Detalle Diario'!$B$5:$B$489, B3448, '📋 Detalle Diario'!$C$5:$C$489, D3448) * 135 + SUMIFS('📋 Detalle Diario'!$I$5:$I$489, '📋 Detalle Diario'!$B$5:$B$489, B3448, '📋 Detalle Diario'!$C$5:$C$489, D3448) * 200), 0))</f>
        <v/>
      </c>
      <c r="P3448" s="32" t="str">
        <f t="shared" si="376"/>
        <v/>
      </c>
      <c r="Q3448" s="33" t="str">
        <f t="shared" si="377"/>
        <v/>
      </c>
    </row>
    <row r="3449" spans="2:17" ht="18" customHeight="1" x14ac:dyDescent="0.3">
      <c r="B3449" s="26"/>
      <c r="C3449" s="28"/>
      <c r="D3449" s="27"/>
      <c r="E3449" s="29"/>
      <c r="F3449" s="29"/>
      <c r="G3449" s="29"/>
      <c r="H3449" s="30" t="str">
        <f t="shared" si="371"/>
        <v/>
      </c>
      <c r="I3449" s="31" t="str">
        <f>IF(OR(B3449="",C3449=""),"",IFERROR(E3449*IF(E3449="",0,VLOOKUP(C3449,'📦 Precios Proforma'!$B$5:$D$104,IF(D3449="DIA",2,3),FALSE)),0))</f>
        <v/>
      </c>
      <c r="J3449" s="31" t="str">
        <f t="shared" si="372"/>
        <v/>
      </c>
      <c r="K3449" s="31" t="str">
        <f t="shared" si="373"/>
        <v/>
      </c>
      <c r="L3449" s="31" t="str">
        <f>IF(OR(B3449="",C3449=""),"",IFERROR(E3449 / SUMIFS('📅 Resumen Diario'!$D$5:$D$504, '📅 Resumen Diario'!$B$5:$B$504, B3449, '📅 Resumen Diario'!$C$5:$C$504, D3449) * SUMIFS('📅 Resumen Diario'!$K$5:$K$504, '📅 Resumen Diario'!$B$5:$B$504, B3449, '📅 Resumen Diario'!$C$5:$C$504, D3449), 0))</f>
        <v/>
      </c>
      <c r="M3449" s="31" t="str">
        <f t="shared" si="374"/>
        <v/>
      </c>
      <c r="N3449" s="31" t="str">
        <f t="shared" si="375"/>
        <v/>
      </c>
      <c r="O3449" s="31" t="str">
        <f>IF(OR(B3449="",C3449=""),"",K3449-N3449 + IFERROR(E3449 / SUMIFS('📅 Resumen Diario'!$D$5:$D$504, '📅 Resumen Diario'!$B$5:$B$504, B3449, '📅 Resumen Diario'!$C$5:$C$504, D3449) * (SUMIFS('📋 Detalle Diario'!$E$5:$E$489, '📋 Detalle Diario'!$B$5:$B$489, B3449, '📋 Detalle Diario'!$C$5:$C$489, D3449) * 135 + SUMIFS('📋 Detalle Diario'!$I$5:$I$489, '📋 Detalle Diario'!$B$5:$B$489, B3449, '📋 Detalle Diario'!$C$5:$C$489, D3449) * 200), 0))</f>
        <v/>
      </c>
      <c r="P3449" s="32" t="str">
        <f t="shared" si="376"/>
        <v/>
      </c>
      <c r="Q3449" s="33" t="str">
        <f t="shared" si="377"/>
        <v/>
      </c>
    </row>
    <row r="3450" spans="2:17" ht="18" customHeight="1" x14ac:dyDescent="0.3">
      <c r="B3450" s="26"/>
      <c r="C3450" s="17"/>
      <c r="D3450" s="27"/>
      <c r="E3450" s="18"/>
      <c r="F3450" s="18"/>
      <c r="G3450" s="18"/>
      <c r="H3450" s="30" t="str">
        <f t="shared" si="371"/>
        <v/>
      </c>
      <c r="I3450" s="31" t="str">
        <f>IF(OR(B3450="",C3450=""),"",IFERROR(E3450*IF(E3450="",0,VLOOKUP(C3450,'📦 Precios Proforma'!$B$5:$D$104,IF(D3450="DIA",2,3),FALSE)),0))</f>
        <v/>
      </c>
      <c r="J3450" s="31" t="str">
        <f t="shared" si="372"/>
        <v/>
      </c>
      <c r="K3450" s="31" t="str">
        <f t="shared" si="373"/>
        <v/>
      </c>
      <c r="L3450" s="31" t="str">
        <f>IF(OR(B3450="",C3450=""),"",IFERROR(E3450 / SUMIFS('📅 Resumen Diario'!$D$5:$D$504, '📅 Resumen Diario'!$B$5:$B$504, B3450, '📅 Resumen Diario'!$C$5:$C$504, D3450) * SUMIFS('📅 Resumen Diario'!$K$5:$K$504, '📅 Resumen Diario'!$B$5:$B$504, B3450, '📅 Resumen Diario'!$C$5:$C$504, D3450), 0))</f>
        <v/>
      </c>
      <c r="M3450" s="31" t="str">
        <f t="shared" si="374"/>
        <v/>
      </c>
      <c r="N3450" s="31" t="str">
        <f t="shared" si="375"/>
        <v/>
      </c>
      <c r="O3450" s="31" t="str">
        <f>IF(OR(B3450="",C3450=""),"",K3450-N3450 + IFERROR(E3450 / SUMIFS('📅 Resumen Diario'!$D$5:$D$504, '📅 Resumen Diario'!$B$5:$B$504, B3450, '📅 Resumen Diario'!$C$5:$C$504, D3450) * (SUMIFS('📋 Detalle Diario'!$E$5:$E$489, '📋 Detalle Diario'!$B$5:$B$489, B3450, '📋 Detalle Diario'!$C$5:$C$489, D3450) * 135 + SUMIFS('📋 Detalle Diario'!$I$5:$I$489, '📋 Detalle Diario'!$B$5:$B$489, B3450, '📋 Detalle Diario'!$C$5:$C$489, D3450) * 200), 0))</f>
        <v/>
      </c>
      <c r="P3450" s="32" t="str">
        <f t="shared" si="376"/>
        <v/>
      </c>
      <c r="Q3450" s="33" t="str">
        <f t="shared" si="377"/>
        <v/>
      </c>
    </row>
    <row r="3451" spans="2:17" ht="18" customHeight="1" x14ac:dyDescent="0.3">
      <c r="B3451" s="26"/>
      <c r="C3451" s="28"/>
      <c r="D3451" s="27"/>
      <c r="E3451" s="29"/>
      <c r="F3451" s="29"/>
      <c r="G3451" s="29"/>
      <c r="H3451" s="30" t="str">
        <f t="shared" si="371"/>
        <v/>
      </c>
      <c r="I3451" s="31" t="str">
        <f>IF(OR(B3451="",C3451=""),"",IFERROR(E3451*IF(E3451="",0,VLOOKUP(C3451,'📦 Precios Proforma'!$B$5:$D$104,IF(D3451="DIA",2,3),FALSE)),0))</f>
        <v/>
      </c>
      <c r="J3451" s="31" t="str">
        <f t="shared" si="372"/>
        <v/>
      </c>
      <c r="K3451" s="31" t="str">
        <f t="shared" si="373"/>
        <v/>
      </c>
      <c r="L3451" s="31" t="str">
        <f>IF(OR(B3451="",C3451=""),"",IFERROR(E3451 / SUMIFS('📅 Resumen Diario'!$D$5:$D$504, '📅 Resumen Diario'!$B$5:$B$504, B3451, '📅 Resumen Diario'!$C$5:$C$504, D3451) * SUMIFS('📅 Resumen Diario'!$K$5:$K$504, '📅 Resumen Diario'!$B$5:$B$504, B3451, '📅 Resumen Diario'!$C$5:$C$504, D3451), 0))</f>
        <v/>
      </c>
      <c r="M3451" s="31" t="str">
        <f t="shared" si="374"/>
        <v/>
      </c>
      <c r="N3451" s="31" t="str">
        <f t="shared" si="375"/>
        <v/>
      </c>
      <c r="O3451" s="31" t="str">
        <f>IF(OR(B3451="",C3451=""),"",K3451-N3451 + IFERROR(E3451 / SUMIFS('📅 Resumen Diario'!$D$5:$D$504, '📅 Resumen Diario'!$B$5:$B$504, B3451, '📅 Resumen Diario'!$C$5:$C$504, D3451) * (SUMIFS('📋 Detalle Diario'!$E$5:$E$489, '📋 Detalle Diario'!$B$5:$B$489, B3451, '📋 Detalle Diario'!$C$5:$C$489, D3451) * 135 + SUMIFS('📋 Detalle Diario'!$I$5:$I$489, '📋 Detalle Diario'!$B$5:$B$489, B3451, '📋 Detalle Diario'!$C$5:$C$489, D3451) * 200), 0))</f>
        <v/>
      </c>
      <c r="P3451" s="32" t="str">
        <f t="shared" si="376"/>
        <v/>
      </c>
      <c r="Q3451" s="33" t="str">
        <f t="shared" si="377"/>
        <v/>
      </c>
    </row>
    <row r="3452" spans="2:17" ht="18" customHeight="1" x14ac:dyDescent="0.3">
      <c r="B3452" s="26"/>
      <c r="C3452" s="17"/>
      <c r="D3452" s="27"/>
      <c r="E3452" s="18"/>
      <c r="F3452" s="18"/>
      <c r="G3452" s="18"/>
      <c r="H3452" s="30" t="str">
        <f t="shared" si="371"/>
        <v/>
      </c>
      <c r="I3452" s="31" t="str">
        <f>IF(OR(B3452="",C3452=""),"",IFERROR(E3452*IF(E3452="",0,VLOOKUP(C3452,'📦 Precios Proforma'!$B$5:$D$104,IF(D3452="DIA",2,3),FALSE)),0))</f>
        <v/>
      </c>
      <c r="J3452" s="31" t="str">
        <f t="shared" si="372"/>
        <v/>
      </c>
      <c r="K3452" s="31" t="str">
        <f t="shared" si="373"/>
        <v/>
      </c>
      <c r="L3452" s="31" t="str">
        <f>IF(OR(B3452="",C3452=""),"",IFERROR(E3452 / SUMIFS('📅 Resumen Diario'!$D$5:$D$504, '📅 Resumen Diario'!$B$5:$B$504, B3452, '📅 Resumen Diario'!$C$5:$C$504, D3452) * SUMIFS('📅 Resumen Diario'!$K$5:$K$504, '📅 Resumen Diario'!$B$5:$B$504, B3452, '📅 Resumen Diario'!$C$5:$C$504, D3452), 0))</f>
        <v/>
      </c>
      <c r="M3452" s="31" t="str">
        <f t="shared" si="374"/>
        <v/>
      </c>
      <c r="N3452" s="31" t="str">
        <f t="shared" si="375"/>
        <v/>
      </c>
      <c r="O3452" s="31" t="str">
        <f>IF(OR(B3452="",C3452=""),"",K3452-N3452 + IFERROR(E3452 / SUMIFS('📅 Resumen Diario'!$D$5:$D$504, '📅 Resumen Diario'!$B$5:$B$504, B3452, '📅 Resumen Diario'!$C$5:$C$504, D3452) * (SUMIFS('📋 Detalle Diario'!$E$5:$E$489, '📋 Detalle Diario'!$B$5:$B$489, B3452, '📋 Detalle Diario'!$C$5:$C$489, D3452) * 135 + SUMIFS('📋 Detalle Diario'!$I$5:$I$489, '📋 Detalle Diario'!$B$5:$B$489, B3452, '📋 Detalle Diario'!$C$5:$C$489, D3452) * 200), 0))</f>
        <v/>
      </c>
      <c r="P3452" s="32" t="str">
        <f t="shared" si="376"/>
        <v/>
      </c>
      <c r="Q3452" s="33" t="str">
        <f t="shared" si="377"/>
        <v/>
      </c>
    </row>
    <row r="3453" spans="2:17" ht="18" customHeight="1" x14ac:dyDescent="0.3">
      <c r="B3453" s="26"/>
      <c r="C3453" s="28"/>
      <c r="D3453" s="27"/>
      <c r="E3453" s="29"/>
      <c r="F3453" s="29"/>
      <c r="G3453" s="29"/>
      <c r="H3453" s="30" t="str">
        <f t="shared" si="371"/>
        <v/>
      </c>
      <c r="I3453" s="31" t="str">
        <f>IF(OR(B3453="",C3453=""),"",IFERROR(E3453*IF(E3453="",0,VLOOKUP(C3453,'📦 Precios Proforma'!$B$5:$D$104,IF(D3453="DIA",2,3),FALSE)),0))</f>
        <v/>
      </c>
      <c r="J3453" s="31" t="str">
        <f t="shared" si="372"/>
        <v/>
      </c>
      <c r="K3453" s="31" t="str">
        <f t="shared" si="373"/>
        <v/>
      </c>
      <c r="L3453" s="31" t="str">
        <f>IF(OR(B3453="",C3453=""),"",IFERROR(E3453 / SUMIFS('📅 Resumen Diario'!$D$5:$D$504, '📅 Resumen Diario'!$B$5:$B$504, B3453, '📅 Resumen Diario'!$C$5:$C$504, D3453) * SUMIFS('📅 Resumen Diario'!$K$5:$K$504, '📅 Resumen Diario'!$B$5:$B$504, B3453, '📅 Resumen Diario'!$C$5:$C$504, D3453), 0))</f>
        <v/>
      </c>
      <c r="M3453" s="31" t="str">
        <f t="shared" si="374"/>
        <v/>
      </c>
      <c r="N3453" s="31" t="str">
        <f t="shared" si="375"/>
        <v/>
      </c>
      <c r="O3453" s="31" t="str">
        <f>IF(OR(B3453="",C3453=""),"",K3453-N3453 + IFERROR(E3453 / SUMIFS('📅 Resumen Diario'!$D$5:$D$504, '📅 Resumen Diario'!$B$5:$B$504, B3453, '📅 Resumen Diario'!$C$5:$C$504, D3453) * (SUMIFS('📋 Detalle Diario'!$E$5:$E$489, '📋 Detalle Diario'!$B$5:$B$489, B3453, '📋 Detalle Diario'!$C$5:$C$489, D3453) * 135 + SUMIFS('📋 Detalle Diario'!$I$5:$I$489, '📋 Detalle Diario'!$B$5:$B$489, B3453, '📋 Detalle Diario'!$C$5:$C$489, D3453) * 200), 0))</f>
        <v/>
      </c>
      <c r="P3453" s="32" t="str">
        <f t="shared" si="376"/>
        <v/>
      </c>
      <c r="Q3453" s="33" t="str">
        <f t="shared" si="377"/>
        <v/>
      </c>
    </row>
    <row r="3454" spans="2:17" ht="18" customHeight="1" x14ac:dyDescent="0.3">
      <c r="B3454" s="26"/>
      <c r="C3454" s="17"/>
      <c r="D3454" s="27"/>
      <c r="E3454" s="18"/>
      <c r="F3454" s="18"/>
      <c r="G3454" s="18"/>
      <c r="H3454" s="30" t="str">
        <f t="shared" si="371"/>
        <v/>
      </c>
      <c r="I3454" s="31" t="str">
        <f>IF(OR(B3454="",C3454=""),"",IFERROR(E3454*IF(E3454="",0,VLOOKUP(C3454,'📦 Precios Proforma'!$B$5:$D$104,IF(D3454="DIA",2,3),FALSE)),0))</f>
        <v/>
      </c>
      <c r="J3454" s="31" t="str">
        <f t="shared" si="372"/>
        <v/>
      </c>
      <c r="K3454" s="31" t="str">
        <f t="shared" si="373"/>
        <v/>
      </c>
      <c r="L3454" s="31" t="str">
        <f>IF(OR(B3454="",C3454=""),"",IFERROR(E3454 / SUMIFS('📅 Resumen Diario'!$D$5:$D$504, '📅 Resumen Diario'!$B$5:$B$504, B3454, '📅 Resumen Diario'!$C$5:$C$504, D3454) * SUMIFS('📅 Resumen Diario'!$K$5:$K$504, '📅 Resumen Diario'!$B$5:$B$504, B3454, '📅 Resumen Diario'!$C$5:$C$504, D3454), 0))</f>
        <v/>
      </c>
      <c r="M3454" s="31" t="str">
        <f t="shared" si="374"/>
        <v/>
      </c>
      <c r="N3454" s="31" t="str">
        <f t="shared" si="375"/>
        <v/>
      </c>
      <c r="O3454" s="31" t="str">
        <f>IF(OR(B3454="",C3454=""),"",K3454-N3454 + IFERROR(E3454 / SUMIFS('📅 Resumen Diario'!$D$5:$D$504, '📅 Resumen Diario'!$B$5:$B$504, B3454, '📅 Resumen Diario'!$C$5:$C$504, D3454) * (SUMIFS('📋 Detalle Diario'!$E$5:$E$489, '📋 Detalle Diario'!$B$5:$B$489, B3454, '📋 Detalle Diario'!$C$5:$C$489, D3454) * 135 + SUMIFS('📋 Detalle Diario'!$I$5:$I$489, '📋 Detalle Diario'!$B$5:$B$489, B3454, '📋 Detalle Diario'!$C$5:$C$489, D3454) * 200), 0))</f>
        <v/>
      </c>
      <c r="P3454" s="32" t="str">
        <f t="shared" si="376"/>
        <v/>
      </c>
      <c r="Q3454" s="33" t="str">
        <f t="shared" si="377"/>
        <v/>
      </c>
    </row>
    <row r="3455" spans="2:17" ht="18" customHeight="1" x14ac:dyDescent="0.3">
      <c r="B3455" s="26"/>
      <c r="C3455" s="28"/>
      <c r="D3455" s="27"/>
      <c r="E3455" s="29"/>
      <c r="F3455" s="29"/>
      <c r="G3455" s="29"/>
      <c r="H3455" s="30" t="str">
        <f t="shared" si="371"/>
        <v/>
      </c>
      <c r="I3455" s="31" t="str">
        <f>IF(OR(B3455="",C3455=""),"",IFERROR(E3455*IF(E3455="",0,VLOOKUP(C3455,'📦 Precios Proforma'!$B$5:$D$104,IF(D3455="DIA",2,3),FALSE)),0))</f>
        <v/>
      </c>
      <c r="J3455" s="31" t="str">
        <f t="shared" si="372"/>
        <v/>
      </c>
      <c r="K3455" s="31" t="str">
        <f t="shared" si="373"/>
        <v/>
      </c>
      <c r="L3455" s="31" t="str">
        <f>IF(OR(B3455="",C3455=""),"",IFERROR(E3455 / SUMIFS('📅 Resumen Diario'!$D$5:$D$504, '📅 Resumen Diario'!$B$5:$B$504, B3455, '📅 Resumen Diario'!$C$5:$C$504, D3455) * SUMIFS('📅 Resumen Diario'!$K$5:$K$504, '📅 Resumen Diario'!$B$5:$B$504, B3455, '📅 Resumen Diario'!$C$5:$C$504, D3455), 0))</f>
        <v/>
      </c>
      <c r="M3455" s="31" t="str">
        <f t="shared" si="374"/>
        <v/>
      </c>
      <c r="N3455" s="31" t="str">
        <f t="shared" si="375"/>
        <v/>
      </c>
      <c r="O3455" s="31" t="str">
        <f>IF(OR(B3455="",C3455=""),"",K3455-N3455 + IFERROR(E3455 / SUMIFS('📅 Resumen Diario'!$D$5:$D$504, '📅 Resumen Diario'!$B$5:$B$504, B3455, '📅 Resumen Diario'!$C$5:$C$504, D3455) * (SUMIFS('📋 Detalle Diario'!$E$5:$E$489, '📋 Detalle Diario'!$B$5:$B$489, B3455, '📋 Detalle Diario'!$C$5:$C$489, D3455) * 135 + SUMIFS('📋 Detalle Diario'!$I$5:$I$489, '📋 Detalle Diario'!$B$5:$B$489, B3455, '📋 Detalle Diario'!$C$5:$C$489, D3455) * 200), 0))</f>
        <v/>
      </c>
      <c r="P3455" s="32" t="str">
        <f t="shared" si="376"/>
        <v/>
      </c>
      <c r="Q3455" s="33" t="str">
        <f t="shared" si="377"/>
        <v/>
      </c>
    </row>
    <row r="3456" spans="2:17" ht="18" customHeight="1" x14ac:dyDescent="0.3">
      <c r="B3456" s="26"/>
      <c r="C3456" s="17"/>
      <c r="D3456" s="27"/>
      <c r="E3456" s="18"/>
      <c r="F3456" s="18"/>
      <c r="G3456" s="18"/>
      <c r="H3456" s="30" t="str">
        <f t="shared" si="371"/>
        <v/>
      </c>
      <c r="I3456" s="31" t="str">
        <f>IF(OR(B3456="",C3456=""),"",IFERROR(E3456*IF(E3456="",0,VLOOKUP(C3456,'📦 Precios Proforma'!$B$5:$D$104,IF(D3456="DIA",2,3),FALSE)),0))</f>
        <v/>
      </c>
      <c r="J3456" s="31" t="str">
        <f t="shared" si="372"/>
        <v/>
      </c>
      <c r="K3456" s="31" t="str">
        <f t="shared" si="373"/>
        <v/>
      </c>
      <c r="L3456" s="31" t="str">
        <f>IF(OR(B3456="",C3456=""),"",IFERROR(E3456 / SUMIFS('📅 Resumen Diario'!$D$5:$D$504, '📅 Resumen Diario'!$B$5:$B$504, B3456, '📅 Resumen Diario'!$C$5:$C$504, D3456) * SUMIFS('📅 Resumen Diario'!$K$5:$K$504, '📅 Resumen Diario'!$B$5:$B$504, B3456, '📅 Resumen Diario'!$C$5:$C$504, D3456), 0))</f>
        <v/>
      </c>
      <c r="M3456" s="31" t="str">
        <f t="shared" si="374"/>
        <v/>
      </c>
      <c r="N3456" s="31" t="str">
        <f t="shared" si="375"/>
        <v/>
      </c>
      <c r="O3456" s="31" t="str">
        <f>IF(OR(B3456="",C3456=""),"",K3456-N3456 + IFERROR(E3456 / SUMIFS('📅 Resumen Diario'!$D$5:$D$504, '📅 Resumen Diario'!$B$5:$B$504, B3456, '📅 Resumen Diario'!$C$5:$C$504, D3456) * (SUMIFS('📋 Detalle Diario'!$E$5:$E$489, '📋 Detalle Diario'!$B$5:$B$489, B3456, '📋 Detalle Diario'!$C$5:$C$489, D3456) * 135 + SUMIFS('📋 Detalle Diario'!$I$5:$I$489, '📋 Detalle Diario'!$B$5:$B$489, B3456, '📋 Detalle Diario'!$C$5:$C$489, D3456) * 200), 0))</f>
        <v/>
      </c>
      <c r="P3456" s="32" t="str">
        <f t="shared" si="376"/>
        <v/>
      </c>
      <c r="Q3456" s="33" t="str">
        <f t="shared" si="377"/>
        <v/>
      </c>
    </row>
    <row r="3457" spans="2:17" ht="18" customHeight="1" x14ac:dyDescent="0.3">
      <c r="B3457" s="26"/>
      <c r="C3457" s="28"/>
      <c r="D3457" s="27"/>
      <c r="E3457" s="29"/>
      <c r="F3457" s="29"/>
      <c r="G3457" s="29"/>
      <c r="H3457" s="30" t="str">
        <f t="shared" si="371"/>
        <v/>
      </c>
      <c r="I3457" s="31" t="str">
        <f>IF(OR(B3457="",C3457=""),"",IFERROR(E3457*IF(E3457="",0,VLOOKUP(C3457,'📦 Precios Proforma'!$B$5:$D$104,IF(D3457="DIA",2,3),FALSE)),0))</f>
        <v/>
      </c>
      <c r="J3457" s="31" t="str">
        <f t="shared" si="372"/>
        <v/>
      </c>
      <c r="K3457" s="31" t="str">
        <f t="shared" si="373"/>
        <v/>
      </c>
      <c r="L3457" s="31" t="str">
        <f>IF(OR(B3457="",C3457=""),"",IFERROR(E3457 / SUMIFS('📅 Resumen Diario'!$D$5:$D$504, '📅 Resumen Diario'!$B$5:$B$504, B3457, '📅 Resumen Diario'!$C$5:$C$504, D3457) * SUMIFS('📅 Resumen Diario'!$K$5:$K$504, '📅 Resumen Diario'!$B$5:$B$504, B3457, '📅 Resumen Diario'!$C$5:$C$504, D3457), 0))</f>
        <v/>
      </c>
      <c r="M3457" s="31" t="str">
        <f t="shared" si="374"/>
        <v/>
      </c>
      <c r="N3457" s="31" t="str">
        <f t="shared" si="375"/>
        <v/>
      </c>
      <c r="O3457" s="31" t="str">
        <f>IF(OR(B3457="",C3457=""),"",K3457-N3457 + IFERROR(E3457 / SUMIFS('📅 Resumen Diario'!$D$5:$D$504, '📅 Resumen Diario'!$B$5:$B$504, B3457, '📅 Resumen Diario'!$C$5:$C$504, D3457) * (SUMIFS('📋 Detalle Diario'!$E$5:$E$489, '📋 Detalle Diario'!$B$5:$B$489, B3457, '📋 Detalle Diario'!$C$5:$C$489, D3457) * 135 + SUMIFS('📋 Detalle Diario'!$I$5:$I$489, '📋 Detalle Diario'!$B$5:$B$489, B3457, '📋 Detalle Diario'!$C$5:$C$489, D3457) * 200), 0))</f>
        <v/>
      </c>
      <c r="P3457" s="32" t="str">
        <f t="shared" si="376"/>
        <v/>
      </c>
      <c r="Q3457" s="33" t="str">
        <f t="shared" si="377"/>
        <v/>
      </c>
    </row>
    <row r="3458" spans="2:17" ht="18" customHeight="1" x14ac:dyDescent="0.3">
      <c r="B3458" s="26"/>
      <c r="C3458" s="17"/>
      <c r="D3458" s="27"/>
      <c r="E3458" s="18"/>
      <c r="F3458" s="18"/>
      <c r="G3458" s="18"/>
      <c r="H3458" s="30" t="str">
        <f t="shared" si="371"/>
        <v/>
      </c>
      <c r="I3458" s="31" t="str">
        <f>IF(OR(B3458="",C3458=""),"",IFERROR(E3458*IF(E3458="",0,VLOOKUP(C3458,'📦 Precios Proforma'!$B$5:$D$104,IF(D3458="DIA",2,3),FALSE)),0))</f>
        <v/>
      </c>
      <c r="J3458" s="31" t="str">
        <f t="shared" si="372"/>
        <v/>
      </c>
      <c r="K3458" s="31" t="str">
        <f t="shared" si="373"/>
        <v/>
      </c>
      <c r="L3458" s="31" t="str">
        <f>IF(OR(B3458="",C3458=""),"",IFERROR(E3458 / SUMIFS('📅 Resumen Diario'!$D$5:$D$504, '📅 Resumen Diario'!$B$5:$B$504, B3458, '📅 Resumen Diario'!$C$5:$C$504, D3458) * SUMIFS('📅 Resumen Diario'!$K$5:$K$504, '📅 Resumen Diario'!$B$5:$B$504, B3458, '📅 Resumen Diario'!$C$5:$C$504, D3458), 0))</f>
        <v/>
      </c>
      <c r="M3458" s="31" t="str">
        <f t="shared" si="374"/>
        <v/>
      </c>
      <c r="N3458" s="31" t="str">
        <f t="shared" si="375"/>
        <v/>
      </c>
      <c r="O3458" s="31" t="str">
        <f>IF(OR(B3458="",C3458=""),"",K3458-N3458 + IFERROR(E3458 / SUMIFS('📅 Resumen Diario'!$D$5:$D$504, '📅 Resumen Diario'!$B$5:$B$504, B3458, '📅 Resumen Diario'!$C$5:$C$504, D3458) * (SUMIFS('📋 Detalle Diario'!$E$5:$E$489, '📋 Detalle Diario'!$B$5:$B$489, B3458, '📋 Detalle Diario'!$C$5:$C$489, D3458) * 135 + SUMIFS('📋 Detalle Diario'!$I$5:$I$489, '📋 Detalle Diario'!$B$5:$B$489, B3458, '📋 Detalle Diario'!$C$5:$C$489, D3458) * 200), 0))</f>
        <v/>
      </c>
      <c r="P3458" s="32" t="str">
        <f t="shared" si="376"/>
        <v/>
      </c>
      <c r="Q3458" s="33" t="str">
        <f t="shared" si="377"/>
        <v/>
      </c>
    </row>
    <row r="3459" spans="2:17" ht="18" customHeight="1" x14ac:dyDescent="0.3">
      <c r="B3459" s="26"/>
      <c r="C3459" s="28"/>
      <c r="D3459" s="27"/>
      <c r="E3459" s="29"/>
      <c r="F3459" s="29"/>
      <c r="G3459" s="29"/>
      <c r="H3459" s="30" t="str">
        <f t="shared" si="371"/>
        <v/>
      </c>
      <c r="I3459" s="31" t="str">
        <f>IF(OR(B3459="",C3459=""),"",IFERROR(E3459*IF(E3459="",0,VLOOKUP(C3459,'📦 Precios Proforma'!$B$5:$D$104,IF(D3459="DIA",2,3),FALSE)),0))</f>
        <v/>
      </c>
      <c r="J3459" s="31" t="str">
        <f t="shared" si="372"/>
        <v/>
      </c>
      <c r="K3459" s="31" t="str">
        <f t="shared" si="373"/>
        <v/>
      </c>
      <c r="L3459" s="31" t="str">
        <f>IF(OR(B3459="",C3459=""),"",IFERROR(E3459 / SUMIFS('📅 Resumen Diario'!$D$5:$D$504, '📅 Resumen Diario'!$B$5:$B$504, B3459, '📅 Resumen Diario'!$C$5:$C$504, D3459) * SUMIFS('📅 Resumen Diario'!$K$5:$K$504, '📅 Resumen Diario'!$B$5:$B$504, B3459, '📅 Resumen Diario'!$C$5:$C$504, D3459), 0))</f>
        <v/>
      </c>
      <c r="M3459" s="31" t="str">
        <f t="shared" si="374"/>
        <v/>
      </c>
      <c r="N3459" s="31" t="str">
        <f t="shared" si="375"/>
        <v/>
      </c>
      <c r="O3459" s="31" t="str">
        <f>IF(OR(B3459="",C3459=""),"",K3459-N3459 + IFERROR(E3459 / SUMIFS('📅 Resumen Diario'!$D$5:$D$504, '📅 Resumen Diario'!$B$5:$B$504, B3459, '📅 Resumen Diario'!$C$5:$C$504, D3459) * (SUMIFS('📋 Detalle Diario'!$E$5:$E$489, '📋 Detalle Diario'!$B$5:$B$489, B3459, '📋 Detalle Diario'!$C$5:$C$489, D3459) * 135 + SUMIFS('📋 Detalle Diario'!$I$5:$I$489, '📋 Detalle Diario'!$B$5:$B$489, B3459, '📋 Detalle Diario'!$C$5:$C$489, D3459) * 200), 0))</f>
        <v/>
      </c>
      <c r="P3459" s="32" t="str">
        <f t="shared" si="376"/>
        <v/>
      </c>
      <c r="Q3459" s="33" t="str">
        <f t="shared" si="377"/>
        <v/>
      </c>
    </row>
    <row r="3460" spans="2:17" ht="18" customHeight="1" x14ac:dyDescent="0.3">
      <c r="B3460" s="26"/>
      <c r="C3460" s="17"/>
      <c r="D3460" s="27"/>
      <c r="E3460" s="18"/>
      <c r="F3460" s="18"/>
      <c r="G3460" s="18"/>
      <c r="H3460" s="30" t="str">
        <f t="shared" si="371"/>
        <v/>
      </c>
      <c r="I3460" s="31" t="str">
        <f>IF(OR(B3460="",C3460=""),"",IFERROR(E3460*IF(E3460="",0,VLOOKUP(C3460,'📦 Precios Proforma'!$B$5:$D$104,IF(D3460="DIA",2,3),FALSE)),0))</f>
        <v/>
      </c>
      <c r="J3460" s="31" t="str">
        <f t="shared" si="372"/>
        <v/>
      </c>
      <c r="K3460" s="31" t="str">
        <f t="shared" si="373"/>
        <v/>
      </c>
      <c r="L3460" s="31" t="str">
        <f>IF(OR(B3460="",C3460=""),"",IFERROR(E3460 / SUMIFS('📅 Resumen Diario'!$D$5:$D$504, '📅 Resumen Diario'!$B$5:$B$504, B3460, '📅 Resumen Diario'!$C$5:$C$504, D3460) * SUMIFS('📅 Resumen Diario'!$K$5:$K$504, '📅 Resumen Diario'!$B$5:$B$504, B3460, '📅 Resumen Diario'!$C$5:$C$504, D3460), 0))</f>
        <v/>
      </c>
      <c r="M3460" s="31" t="str">
        <f t="shared" si="374"/>
        <v/>
      </c>
      <c r="N3460" s="31" t="str">
        <f t="shared" si="375"/>
        <v/>
      </c>
      <c r="O3460" s="31" t="str">
        <f>IF(OR(B3460="",C3460=""),"",K3460-N3460 + IFERROR(E3460 / SUMIFS('📅 Resumen Diario'!$D$5:$D$504, '📅 Resumen Diario'!$B$5:$B$504, B3460, '📅 Resumen Diario'!$C$5:$C$504, D3460) * (SUMIFS('📋 Detalle Diario'!$E$5:$E$489, '📋 Detalle Diario'!$B$5:$B$489, B3460, '📋 Detalle Diario'!$C$5:$C$489, D3460) * 135 + SUMIFS('📋 Detalle Diario'!$I$5:$I$489, '📋 Detalle Diario'!$B$5:$B$489, B3460, '📋 Detalle Diario'!$C$5:$C$489, D3460) * 200), 0))</f>
        <v/>
      </c>
      <c r="P3460" s="32" t="str">
        <f t="shared" si="376"/>
        <v/>
      </c>
      <c r="Q3460" s="33" t="str">
        <f t="shared" si="377"/>
        <v/>
      </c>
    </row>
    <row r="3461" spans="2:17" ht="18" customHeight="1" x14ac:dyDescent="0.3">
      <c r="B3461" s="26"/>
      <c r="C3461" s="28"/>
      <c r="D3461" s="27"/>
      <c r="E3461" s="29"/>
      <c r="F3461" s="29"/>
      <c r="G3461" s="29"/>
      <c r="H3461" s="30" t="str">
        <f t="shared" si="371"/>
        <v/>
      </c>
      <c r="I3461" s="31" t="str">
        <f>IF(OR(B3461="",C3461=""),"",IFERROR(E3461*IF(E3461="",0,VLOOKUP(C3461,'📦 Precios Proforma'!$B$5:$D$104,IF(D3461="DIA",2,3),FALSE)),0))</f>
        <v/>
      </c>
      <c r="J3461" s="31" t="str">
        <f t="shared" si="372"/>
        <v/>
      </c>
      <c r="K3461" s="31" t="str">
        <f t="shared" si="373"/>
        <v/>
      </c>
      <c r="L3461" s="31" t="str">
        <f>IF(OR(B3461="",C3461=""),"",IFERROR(E3461 / SUMIFS('📅 Resumen Diario'!$D$5:$D$504, '📅 Resumen Diario'!$B$5:$B$504, B3461, '📅 Resumen Diario'!$C$5:$C$504, D3461) * SUMIFS('📅 Resumen Diario'!$K$5:$K$504, '📅 Resumen Diario'!$B$5:$B$504, B3461, '📅 Resumen Diario'!$C$5:$C$504, D3461), 0))</f>
        <v/>
      </c>
      <c r="M3461" s="31" t="str">
        <f t="shared" si="374"/>
        <v/>
      </c>
      <c r="N3461" s="31" t="str">
        <f t="shared" si="375"/>
        <v/>
      </c>
      <c r="O3461" s="31" t="str">
        <f>IF(OR(B3461="",C3461=""),"",K3461-N3461 + IFERROR(E3461 / SUMIFS('📅 Resumen Diario'!$D$5:$D$504, '📅 Resumen Diario'!$B$5:$B$504, B3461, '📅 Resumen Diario'!$C$5:$C$504, D3461) * (SUMIFS('📋 Detalle Diario'!$E$5:$E$489, '📋 Detalle Diario'!$B$5:$B$489, B3461, '📋 Detalle Diario'!$C$5:$C$489, D3461) * 135 + SUMIFS('📋 Detalle Diario'!$I$5:$I$489, '📋 Detalle Diario'!$B$5:$B$489, B3461, '📋 Detalle Diario'!$C$5:$C$489, D3461) * 200), 0))</f>
        <v/>
      </c>
      <c r="P3461" s="32" t="str">
        <f t="shared" si="376"/>
        <v/>
      </c>
      <c r="Q3461" s="33" t="str">
        <f t="shared" si="377"/>
        <v/>
      </c>
    </row>
    <row r="3462" spans="2:17" ht="18" customHeight="1" x14ac:dyDescent="0.3">
      <c r="B3462" s="26"/>
      <c r="C3462" s="17"/>
      <c r="D3462" s="27"/>
      <c r="E3462" s="18"/>
      <c r="F3462" s="18"/>
      <c r="G3462" s="18"/>
      <c r="H3462" s="30" t="str">
        <f t="shared" si="371"/>
        <v/>
      </c>
      <c r="I3462" s="31" t="str">
        <f>IF(OR(B3462="",C3462=""),"",IFERROR(E3462*IF(E3462="",0,VLOOKUP(C3462,'📦 Precios Proforma'!$B$5:$D$104,IF(D3462="DIA",2,3),FALSE)),0))</f>
        <v/>
      </c>
      <c r="J3462" s="31" t="str">
        <f t="shared" si="372"/>
        <v/>
      </c>
      <c r="K3462" s="31" t="str">
        <f t="shared" si="373"/>
        <v/>
      </c>
      <c r="L3462" s="31" t="str">
        <f>IF(OR(B3462="",C3462=""),"",IFERROR(E3462 / SUMIFS('📅 Resumen Diario'!$D$5:$D$504, '📅 Resumen Diario'!$B$5:$B$504, B3462, '📅 Resumen Diario'!$C$5:$C$504, D3462) * SUMIFS('📅 Resumen Diario'!$K$5:$K$504, '📅 Resumen Diario'!$B$5:$B$504, B3462, '📅 Resumen Diario'!$C$5:$C$504, D3462), 0))</f>
        <v/>
      </c>
      <c r="M3462" s="31" t="str">
        <f t="shared" si="374"/>
        <v/>
      </c>
      <c r="N3462" s="31" t="str">
        <f t="shared" si="375"/>
        <v/>
      </c>
      <c r="O3462" s="31" t="str">
        <f>IF(OR(B3462="",C3462=""),"",K3462-N3462 + IFERROR(E3462 / SUMIFS('📅 Resumen Diario'!$D$5:$D$504, '📅 Resumen Diario'!$B$5:$B$504, B3462, '📅 Resumen Diario'!$C$5:$C$504, D3462) * (SUMIFS('📋 Detalle Diario'!$E$5:$E$489, '📋 Detalle Diario'!$B$5:$B$489, B3462, '📋 Detalle Diario'!$C$5:$C$489, D3462) * 135 + SUMIFS('📋 Detalle Diario'!$I$5:$I$489, '📋 Detalle Diario'!$B$5:$B$489, B3462, '📋 Detalle Diario'!$C$5:$C$489, D3462) * 200), 0))</f>
        <v/>
      </c>
      <c r="P3462" s="32" t="str">
        <f t="shared" si="376"/>
        <v/>
      </c>
      <c r="Q3462" s="33" t="str">
        <f t="shared" si="377"/>
        <v/>
      </c>
    </row>
    <row r="3463" spans="2:17" ht="18" customHeight="1" x14ac:dyDescent="0.3">
      <c r="B3463" s="26"/>
      <c r="C3463" s="28"/>
      <c r="D3463" s="27"/>
      <c r="E3463" s="29"/>
      <c r="F3463" s="29"/>
      <c r="G3463" s="29"/>
      <c r="H3463" s="30" t="str">
        <f t="shared" ref="H3463:H3526" si="378">IF(OR(B3463="",C3463=""),"",F3463+G3463)</f>
        <v/>
      </c>
      <c r="I3463" s="31" t="str">
        <f>IF(OR(B3463="",C3463=""),"",IFERROR(E3463*IF(E3463="",0,VLOOKUP(C3463,'📦 Precios Proforma'!$B$5:$D$104,IF(D3463="DIA",2,3),FALSE)),0))</f>
        <v/>
      </c>
      <c r="J3463" s="31" t="str">
        <f t="shared" ref="J3463:J3526" si="379">IF(OR(B3463="",C3463=""),"",IF(D3463="DIA",H3463*1.01,H3463*1.35))</f>
        <v/>
      </c>
      <c r="K3463" s="31" t="str">
        <f t="shared" ref="K3463:K3526" si="380">IF(OR(B3463="",C3463=""),"",I3463+J3463)</f>
        <v/>
      </c>
      <c r="L3463" s="31" t="str">
        <f>IF(OR(B3463="",C3463=""),"",IFERROR(E3463 / SUMIFS('📅 Resumen Diario'!$D$5:$D$504, '📅 Resumen Diario'!$B$5:$B$504, B3463, '📅 Resumen Diario'!$C$5:$C$504, D3463) * SUMIFS('📅 Resumen Diario'!$K$5:$K$504, '📅 Resumen Diario'!$B$5:$B$504, B3463, '📅 Resumen Diario'!$C$5:$C$504, D3463), 0))</f>
        <v/>
      </c>
      <c r="M3463" s="31" t="str">
        <f t="shared" ref="M3463:M3526" si="381">IF(OR(B3463="",C3463=""),"",H3463*0.09)</f>
        <v/>
      </c>
      <c r="N3463" s="31" t="str">
        <f t="shared" ref="N3463:N3526" si="382">IF(OR(B3463="",C3463=""),"",L3463+M3463)</f>
        <v/>
      </c>
      <c r="O3463" s="31" t="str">
        <f>IF(OR(B3463="",C3463=""),"",K3463-N3463 + IFERROR(E3463 / SUMIFS('📅 Resumen Diario'!$D$5:$D$504, '📅 Resumen Diario'!$B$5:$B$504, B3463, '📅 Resumen Diario'!$C$5:$C$504, D3463) * (SUMIFS('📋 Detalle Diario'!$E$5:$E$489, '📋 Detalle Diario'!$B$5:$B$489, B3463, '📋 Detalle Diario'!$C$5:$C$489, D3463) * 135 + SUMIFS('📋 Detalle Diario'!$I$5:$I$489, '📋 Detalle Diario'!$B$5:$B$489, B3463, '📋 Detalle Diario'!$C$5:$C$489, D3463) * 200), 0))</f>
        <v/>
      </c>
      <c r="P3463" s="32" t="str">
        <f t="shared" ref="P3463:P3526" si="383">IF(OR(B3463="",C3463=""),"",IF(K3463=0, 0, O3463/K3463))</f>
        <v/>
      </c>
      <c r="Q3463" s="33" t="str">
        <f t="shared" ref="Q3463:Q3526" si="384">IF(B3463="","",IF(ISNUMBER(B3463),YEAR(B3463)&amp;"-"&amp;IF(MONTH(B3463)&lt;10,"0","")&amp;MONTH(B3463),LEFT(B3463,7)))</f>
        <v/>
      </c>
    </row>
    <row r="3464" spans="2:17" ht="18" customHeight="1" x14ac:dyDescent="0.3">
      <c r="B3464" s="26"/>
      <c r="C3464" s="17"/>
      <c r="D3464" s="27"/>
      <c r="E3464" s="18"/>
      <c r="F3464" s="18"/>
      <c r="G3464" s="18"/>
      <c r="H3464" s="30" t="str">
        <f t="shared" si="378"/>
        <v/>
      </c>
      <c r="I3464" s="31" t="str">
        <f>IF(OR(B3464="",C3464=""),"",IFERROR(E3464*IF(E3464="",0,VLOOKUP(C3464,'📦 Precios Proforma'!$B$5:$D$104,IF(D3464="DIA",2,3),FALSE)),0))</f>
        <v/>
      </c>
      <c r="J3464" s="31" t="str">
        <f t="shared" si="379"/>
        <v/>
      </c>
      <c r="K3464" s="31" t="str">
        <f t="shared" si="380"/>
        <v/>
      </c>
      <c r="L3464" s="31" t="str">
        <f>IF(OR(B3464="",C3464=""),"",IFERROR(E3464 / SUMIFS('📅 Resumen Diario'!$D$5:$D$504, '📅 Resumen Diario'!$B$5:$B$504, B3464, '📅 Resumen Diario'!$C$5:$C$504, D3464) * SUMIFS('📅 Resumen Diario'!$K$5:$K$504, '📅 Resumen Diario'!$B$5:$B$504, B3464, '📅 Resumen Diario'!$C$5:$C$504, D3464), 0))</f>
        <v/>
      </c>
      <c r="M3464" s="31" t="str">
        <f t="shared" si="381"/>
        <v/>
      </c>
      <c r="N3464" s="31" t="str">
        <f t="shared" si="382"/>
        <v/>
      </c>
      <c r="O3464" s="31" t="str">
        <f>IF(OR(B3464="",C3464=""),"",K3464-N3464 + IFERROR(E3464 / SUMIFS('📅 Resumen Diario'!$D$5:$D$504, '📅 Resumen Diario'!$B$5:$B$504, B3464, '📅 Resumen Diario'!$C$5:$C$504, D3464) * (SUMIFS('📋 Detalle Diario'!$E$5:$E$489, '📋 Detalle Diario'!$B$5:$B$489, B3464, '📋 Detalle Diario'!$C$5:$C$489, D3464) * 135 + SUMIFS('📋 Detalle Diario'!$I$5:$I$489, '📋 Detalle Diario'!$B$5:$B$489, B3464, '📋 Detalle Diario'!$C$5:$C$489, D3464) * 200), 0))</f>
        <v/>
      </c>
      <c r="P3464" s="32" t="str">
        <f t="shared" si="383"/>
        <v/>
      </c>
      <c r="Q3464" s="33" t="str">
        <f t="shared" si="384"/>
        <v/>
      </c>
    </row>
    <row r="3465" spans="2:17" ht="18" customHeight="1" x14ac:dyDescent="0.3">
      <c r="B3465" s="26"/>
      <c r="C3465" s="28"/>
      <c r="D3465" s="27"/>
      <c r="E3465" s="29"/>
      <c r="F3465" s="29"/>
      <c r="G3465" s="29"/>
      <c r="H3465" s="30" t="str">
        <f t="shared" si="378"/>
        <v/>
      </c>
      <c r="I3465" s="31" t="str">
        <f>IF(OR(B3465="",C3465=""),"",IFERROR(E3465*IF(E3465="",0,VLOOKUP(C3465,'📦 Precios Proforma'!$B$5:$D$104,IF(D3465="DIA",2,3),FALSE)),0))</f>
        <v/>
      </c>
      <c r="J3465" s="31" t="str">
        <f t="shared" si="379"/>
        <v/>
      </c>
      <c r="K3465" s="31" t="str">
        <f t="shared" si="380"/>
        <v/>
      </c>
      <c r="L3465" s="31" t="str">
        <f>IF(OR(B3465="",C3465=""),"",IFERROR(E3465 / SUMIFS('📅 Resumen Diario'!$D$5:$D$504, '📅 Resumen Diario'!$B$5:$B$504, B3465, '📅 Resumen Diario'!$C$5:$C$504, D3465) * SUMIFS('📅 Resumen Diario'!$K$5:$K$504, '📅 Resumen Diario'!$B$5:$B$504, B3465, '📅 Resumen Diario'!$C$5:$C$504, D3465), 0))</f>
        <v/>
      </c>
      <c r="M3465" s="31" t="str">
        <f t="shared" si="381"/>
        <v/>
      </c>
      <c r="N3465" s="31" t="str">
        <f t="shared" si="382"/>
        <v/>
      </c>
      <c r="O3465" s="31" t="str">
        <f>IF(OR(B3465="",C3465=""),"",K3465-N3465 + IFERROR(E3465 / SUMIFS('📅 Resumen Diario'!$D$5:$D$504, '📅 Resumen Diario'!$B$5:$B$504, B3465, '📅 Resumen Diario'!$C$5:$C$504, D3465) * (SUMIFS('📋 Detalle Diario'!$E$5:$E$489, '📋 Detalle Diario'!$B$5:$B$489, B3465, '📋 Detalle Diario'!$C$5:$C$489, D3465) * 135 + SUMIFS('📋 Detalle Diario'!$I$5:$I$489, '📋 Detalle Diario'!$B$5:$B$489, B3465, '📋 Detalle Diario'!$C$5:$C$489, D3465) * 200), 0))</f>
        <v/>
      </c>
      <c r="P3465" s="32" t="str">
        <f t="shared" si="383"/>
        <v/>
      </c>
      <c r="Q3465" s="33" t="str">
        <f t="shared" si="384"/>
        <v/>
      </c>
    </row>
    <row r="3466" spans="2:17" ht="18" customHeight="1" x14ac:dyDescent="0.3">
      <c r="B3466" s="26"/>
      <c r="C3466" s="17"/>
      <c r="D3466" s="27"/>
      <c r="E3466" s="18"/>
      <c r="F3466" s="18"/>
      <c r="G3466" s="18"/>
      <c r="H3466" s="30" t="str">
        <f t="shared" si="378"/>
        <v/>
      </c>
      <c r="I3466" s="31" t="str">
        <f>IF(OR(B3466="",C3466=""),"",IFERROR(E3466*IF(E3466="",0,VLOOKUP(C3466,'📦 Precios Proforma'!$B$5:$D$104,IF(D3466="DIA",2,3),FALSE)),0))</f>
        <v/>
      </c>
      <c r="J3466" s="31" t="str">
        <f t="shared" si="379"/>
        <v/>
      </c>
      <c r="K3466" s="31" t="str">
        <f t="shared" si="380"/>
        <v/>
      </c>
      <c r="L3466" s="31" t="str">
        <f>IF(OR(B3466="",C3466=""),"",IFERROR(E3466 / SUMIFS('📅 Resumen Diario'!$D$5:$D$504, '📅 Resumen Diario'!$B$5:$B$504, B3466, '📅 Resumen Diario'!$C$5:$C$504, D3466) * SUMIFS('📅 Resumen Diario'!$K$5:$K$504, '📅 Resumen Diario'!$B$5:$B$504, B3466, '📅 Resumen Diario'!$C$5:$C$504, D3466), 0))</f>
        <v/>
      </c>
      <c r="M3466" s="31" t="str">
        <f t="shared" si="381"/>
        <v/>
      </c>
      <c r="N3466" s="31" t="str">
        <f t="shared" si="382"/>
        <v/>
      </c>
      <c r="O3466" s="31" t="str">
        <f>IF(OR(B3466="",C3466=""),"",K3466-N3466 + IFERROR(E3466 / SUMIFS('📅 Resumen Diario'!$D$5:$D$504, '📅 Resumen Diario'!$B$5:$B$504, B3466, '📅 Resumen Diario'!$C$5:$C$504, D3466) * (SUMIFS('📋 Detalle Diario'!$E$5:$E$489, '📋 Detalle Diario'!$B$5:$B$489, B3466, '📋 Detalle Diario'!$C$5:$C$489, D3466) * 135 + SUMIFS('📋 Detalle Diario'!$I$5:$I$489, '📋 Detalle Diario'!$B$5:$B$489, B3466, '📋 Detalle Diario'!$C$5:$C$489, D3466) * 200), 0))</f>
        <v/>
      </c>
      <c r="P3466" s="32" t="str">
        <f t="shared" si="383"/>
        <v/>
      </c>
      <c r="Q3466" s="33" t="str">
        <f t="shared" si="384"/>
        <v/>
      </c>
    </row>
    <row r="3467" spans="2:17" ht="18" customHeight="1" x14ac:dyDescent="0.3">
      <c r="B3467" s="26"/>
      <c r="C3467" s="28"/>
      <c r="D3467" s="27"/>
      <c r="E3467" s="29"/>
      <c r="F3467" s="29"/>
      <c r="G3467" s="29"/>
      <c r="H3467" s="30" t="str">
        <f t="shared" si="378"/>
        <v/>
      </c>
      <c r="I3467" s="31" t="str">
        <f>IF(OR(B3467="",C3467=""),"",IFERROR(E3467*IF(E3467="",0,VLOOKUP(C3467,'📦 Precios Proforma'!$B$5:$D$104,IF(D3467="DIA",2,3),FALSE)),0))</f>
        <v/>
      </c>
      <c r="J3467" s="31" t="str">
        <f t="shared" si="379"/>
        <v/>
      </c>
      <c r="K3467" s="31" t="str">
        <f t="shared" si="380"/>
        <v/>
      </c>
      <c r="L3467" s="31" t="str">
        <f>IF(OR(B3467="",C3467=""),"",IFERROR(E3467 / SUMIFS('📅 Resumen Diario'!$D$5:$D$504, '📅 Resumen Diario'!$B$5:$B$504, B3467, '📅 Resumen Diario'!$C$5:$C$504, D3467) * SUMIFS('📅 Resumen Diario'!$K$5:$K$504, '📅 Resumen Diario'!$B$5:$B$504, B3467, '📅 Resumen Diario'!$C$5:$C$504, D3467), 0))</f>
        <v/>
      </c>
      <c r="M3467" s="31" t="str">
        <f t="shared" si="381"/>
        <v/>
      </c>
      <c r="N3467" s="31" t="str">
        <f t="shared" si="382"/>
        <v/>
      </c>
      <c r="O3467" s="31" t="str">
        <f>IF(OR(B3467="",C3467=""),"",K3467-N3467 + IFERROR(E3467 / SUMIFS('📅 Resumen Diario'!$D$5:$D$504, '📅 Resumen Diario'!$B$5:$B$504, B3467, '📅 Resumen Diario'!$C$5:$C$504, D3467) * (SUMIFS('📋 Detalle Diario'!$E$5:$E$489, '📋 Detalle Diario'!$B$5:$B$489, B3467, '📋 Detalle Diario'!$C$5:$C$489, D3467) * 135 + SUMIFS('📋 Detalle Diario'!$I$5:$I$489, '📋 Detalle Diario'!$B$5:$B$489, B3467, '📋 Detalle Diario'!$C$5:$C$489, D3467) * 200), 0))</f>
        <v/>
      </c>
      <c r="P3467" s="32" t="str">
        <f t="shared" si="383"/>
        <v/>
      </c>
      <c r="Q3467" s="33" t="str">
        <f t="shared" si="384"/>
        <v/>
      </c>
    </row>
    <row r="3468" spans="2:17" ht="18" customHeight="1" x14ac:dyDescent="0.3">
      <c r="B3468" s="26"/>
      <c r="C3468" s="17"/>
      <c r="D3468" s="27"/>
      <c r="E3468" s="18"/>
      <c r="F3468" s="18"/>
      <c r="G3468" s="18"/>
      <c r="H3468" s="30" t="str">
        <f t="shared" si="378"/>
        <v/>
      </c>
      <c r="I3468" s="31" t="str">
        <f>IF(OR(B3468="",C3468=""),"",IFERROR(E3468*IF(E3468="",0,VLOOKUP(C3468,'📦 Precios Proforma'!$B$5:$D$104,IF(D3468="DIA",2,3),FALSE)),0))</f>
        <v/>
      </c>
      <c r="J3468" s="31" t="str">
        <f t="shared" si="379"/>
        <v/>
      </c>
      <c r="K3468" s="31" t="str">
        <f t="shared" si="380"/>
        <v/>
      </c>
      <c r="L3468" s="31" t="str">
        <f>IF(OR(B3468="",C3468=""),"",IFERROR(E3468 / SUMIFS('📅 Resumen Diario'!$D$5:$D$504, '📅 Resumen Diario'!$B$5:$B$504, B3468, '📅 Resumen Diario'!$C$5:$C$504, D3468) * SUMIFS('📅 Resumen Diario'!$K$5:$K$504, '📅 Resumen Diario'!$B$5:$B$504, B3468, '📅 Resumen Diario'!$C$5:$C$504, D3468), 0))</f>
        <v/>
      </c>
      <c r="M3468" s="31" t="str">
        <f t="shared" si="381"/>
        <v/>
      </c>
      <c r="N3468" s="31" t="str">
        <f t="shared" si="382"/>
        <v/>
      </c>
      <c r="O3468" s="31" t="str">
        <f>IF(OR(B3468="",C3468=""),"",K3468-N3468 + IFERROR(E3468 / SUMIFS('📅 Resumen Diario'!$D$5:$D$504, '📅 Resumen Diario'!$B$5:$B$504, B3468, '📅 Resumen Diario'!$C$5:$C$504, D3468) * (SUMIFS('📋 Detalle Diario'!$E$5:$E$489, '📋 Detalle Diario'!$B$5:$B$489, B3468, '📋 Detalle Diario'!$C$5:$C$489, D3468) * 135 + SUMIFS('📋 Detalle Diario'!$I$5:$I$489, '📋 Detalle Diario'!$B$5:$B$489, B3468, '📋 Detalle Diario'!$C$5:$C$489, D3468) * 200), 0))</f>
        <v/>
      </c>
      <c r="P3468" s="32" t="str">
        <f t="shared" si="383"/>
        <v/>
      </c>
      <c r="Q3468" s="33" t="str">
        <f t="shared" si="384"/>
        <v/>
      </c>
    </row>
    <row r="3469" spans="2:17" ht="18" customHeight="1" x14ac:dyDescent="0.3">
      <c r="B3469" s="26"/>
      <c r="C3469" s="28"/>
      <c r="D3469" s="27"/>
      <c r="E3469" s="29"/>
      <c r="F3469" s="29"/>
      <c r="G3469" s="29"/>
      <c r="H3469" s="30" t="str">
        <f t="shared" si="378"/>
        <v/>
      </c>
      <c r="I3469" s="31" t="str">
        <f>IF(OR(B3469="",C3469=""),"",IFERROR(E3469*IF(E3469="",0,VLOOKUP(C3469,'📦 Precios Proforma'!$B$5:$D$104,IF(D3469="DIA",2,3),FALSE)),0))</f>
        <v/>
      </c>
      <c r="J3469" s="31" t="str">
        <f t="shared" si="379"/>
        <v/>
      </c>
      <c r="K3469" s="31" t="str">
        <f t="shared" si="380"/>
        <v/>
      </c>
      <c r="L3469" s="31" t="str">
        <f>IF(OR(B3469="",C3469=""),"",IFERROR(E3469 / SUMIFS('📅 Resumen Diario'!$D$5:$D$504, '📅 Resumen Diario'!$B$5:$B$504, B3469, '📅 Resumen Diario'!$C$5:$C$504, D3469) * SUMIFS('📅 Resumen Diario'!$K$5:$K$504, '📅 Resumen Diario'!$B$5:$B$504, B3469, '📅 Resumen Diario'!$C$5:$C$504, D3469), 0))</f>
        <v/>
      </c>
      <c r="M3469" s="31" t="str">
        <f t="shared" si="381"/>
        <v/>
      </c>
      <c r="N3469" s="31" t="str">
        <f t="shared" si="382"/>
        <v/>
      </c>
      <c r="O3469" s="31" t="str">
        <f>IF(OR(B3469="",C3469=""),"",K3469-N3469 + IFERROR(E3469 / SUMIFS('📅 Resumen Diario'!$D$5:$D$504, '📅 Resumen Diario'!$B$5:$B$504, B3469, '📅 Resumen Diario'!$C$5:$C$504, D3469) * (SUMIFS('📋 Detalle Diario'!$E$5:$E$489, '📋 Detalle Diario'!$B$5:$B$489, B3469, '📋 Detalle Diario'!$C$5:$C$489, D3469) * 135 + SUMIFS('📋 Detalle Diario'!$I$5:$I$489, '📋 Detalle Diario'!$B$5:$B$489, B3469, '📋 Detalle Diario'!$C$5:$C$489, D3469) * 200), 0))</f>
        <v/>
      </c>
      <c r="P3469" s="32" t="str">
        <f t="shared" si="383"/>
        <v/>
      </c>
      <c r="Q3469" s="33" t="str">
        <f t="shared" si="384"/>
        <v/>
      </c>
    </row>
    <row r="3470" spans="2:17" ht="18" customHeight="1" x14ac:dyDescent="0.3">
      <c r="B3470" s="26"/>
      <c r="C3470" s="17"/>
      <c r="D3470" s="27"/>
      <c r="E3470" s="18"/>
      <c r="F3470" s="18"/>
      <c r="G3470" s="18"/>
      <c r="H3470" s="30" t="str">
        <f t="shared" si="378"/>
        <v/>
      </c>
      <c r="I3470" s="31" t="str">
        <f>IF(OR(B3470="",C3470=""),"",IFERROR(E3470*IF(E3470="",0,VLOOKUP(C3470,'📦 Precios Proforma'!$B$5:$D$104,IF(D3470="DIA",2,3),FALSE)),0))</f>
        <v/>
      </c>
      <c r="J3470" s="31" t="str">
        <f t="shared" si="379"/>
        <v/>
      </c>
      <c r="K3470" s="31" t="str">
        <f t="shared" si="380"/>
        <v/>
      </c>
      <c r="L3470" s="31" t="str">
        <f>IF(OR(B3470="",C3470=""),"",IFERROR(E3470 / SUMIFS('📅 Resumen Diario'!$D$5:$D$504, '📅 Resumen Diario'!$B$5:$B$504, B3470, '📅 Resumen Diario'!$C$5:$C$504, D3470) * SUMIFS('📅 Resumen Diario'!$K$5:$K$504, '📅 Resumen Diario'!$B$5:$B$504, B3470, '📅 Resumen Diario'!$C$5:$C$504, D3470), 0))</f>
        <v/>
      </c>
      <c r="M3470" s="31" t="str">
        <f t="shared" si="381"/>
        <v/>
      </c>
      <c r="N3470" s="31" t="str">
        <f t="shared" si="382"/>
        <v/>
      </c>
      <c r="O3470" s="31" t="str">
        <f>IF(OR(B3470="",C3470=""),"",K3470-N3470 + IFERROR(E3470 / SUMIFS('📅 Resumen Diario'!$D$5:$D$504, '📅 Resumen Diario'!$B$5:$B$504, B3470, '📅 Resumen Diario'!$C$5:$C$504, D3470) * (SUMIFS('📋 Detalle Diario'!$E$5:$E$489, '📋 Detalle Diario'!$B$5:$B$489, B3470, '📋 Detalle Diario'!$C$5:$C$489, D3470) * 135 + SUMIFS('📋 Detalle Diario'!$I$5:$I$489, '📋 Detalle Diario'!$B$5:$B$489, B3470, '📋 Detalle Diario'!$C$5:$C$489, D3470) * 200), 0))</f>
        <v/>
      </c>
      <c r="P3470" s="32" t="str">
        <f t="shared" si="383"/>
        <v/>
      </c>
      <c r="Q3470" s="33" t="str">
        <f t="shared" si="384"/>
        <v/>
      </c>
    </row>
    <row r="3471" spans="2:17" ht="18" customHeight="1" x14ac:dyDescent="0.3">
      <c r="B3471" s="26"/>
      <c r="C3471" s="28"/>
      <c r="D3471" s="27"/>
      <c r="E3471" s="29"/>
      <c r="F3471" s="29"/>
      <c r="G3471" s="29"/>
      <c r="H3471" s="30" t="str">
        <f t="shared" si="378"/>
        <v/>
      </c>
      <c r="I3471" s="31" t="str">
        <f>IF(OR(B3471="",C3471=""),"",IFERROR(E3471*IF(E3471="",0,VLOOKUP(C3471,'📦 Precios Proforma'!$B$5:$D$104,IF(D3471="DIA",2,3),FALSE)),0))</f>
        <v/>
      </c>
      <c r="J3471" s="31" t="str">
        <f t="shared" si="379"/>
        <v/>
      </c>
      <c r="K3471" s="31" t="str">
        <f t="shared" si="380"/>
        <v/>
      </c>
      <c r="L3471" s="31" t="str">
        <f>IF(OR(B3471="",C3471=""),"",IFERROR(E3471 / SUMIFS('📅 Resumen Diario'!$D$5:$D$504, '📅 Resumen Diario'!$B$5:$B$504, B3471, '📅 Resumen Diario'!$C$5:$C$504, D3471) * SUMIFS('📅 Resumen Diario'!$K$5:$K$504, '📅 Resumen Diario'!$B$5:$B$504, B3471, '📅 Resumen Diario'!$C$5:$C$504, D3471), 0))</f>
        <v/>
      </c>
      <c r="M3471" s="31" t="str">
        <f t="shared" si="381"/>
        <v/>
      </c>
      <c r="N3471" s="31" t="str">
        <f t="shared" si="382"/>
        <v/>
      </c>
      <c r="O3471" s="31" t="str">
        <f>IF(OR(B3471="",C3471=""),"",K3471-N3471 + IFERROR(E3471 / SUMIFS('📅 Resumen Diario'!$D$5:$D$504, '📅 Resumen Diario'!$B$5:$B$504, B3471, '📅 Resumen Diario'!$C$5:$C$504, D3471) * (SUMIFS('📋 Detalle Diario'!$E$5:$E$489, '📋 Detalle Diario'!$B$5:$B$489, B3471, '📋 Detalle Diario'!$C$5:$C$489, D3471) * 135 + SUMIFS('📋 Detalle Diario'!$I$5:$I$489, '📋 Detalle Diario'!$B$5:$B$489, B3471, '📋 Detalle Diario'!$C$5:$C$489, D3471) * 200), 0))</f>
        <v/>
      </c>
      <c r="P3471" s="32" t="str">
        <f t="shared" si="383"/>
        <v/>
      </c>
      <c r="Q3471" s="33" t="str">
        <f t="shared" si="384"/>
        <v/>
      </c>
    </row>
    <row r="3472" spans="2:17" ht="18" customHeight="1" x14ac:dyDescent="0.3">
      <c r="B3472" s="26"/>
      <c r="C3472" s="17"/>
      <c r="D3472" s="27"/>
      <c r="E3472" s="18"/>
      <c r="F3472" s="18"/>
      <c r="G3472" s="18"/>
      <c r="H3472" s="30" t="str">
        <f t="shared" si="378"/>
        <v/>
      </c>
      <c r="I3472" s="31" t="str">
        <f>IF(OR(B3472="",C3472=""),"",IFERROR(E3472*IF(E3472="",0,VLOOKUP(C3472,'📦 Precios Proforma'!$B$5:$D$104,IF(D3472="DIA",2,3),FALSE)),0))</f>
        <v/>
      </c>
      <c r="J3472" s="31" t="str">
        <f t="shared" si="379"/>
        <v/>
      </c>
      <c r="K3472" s="31" t="str">
        <f t="shared" si="380"/>
        <v/>
      </c>
      <c r="L3472" s="31" t="str">
        <f>IF(OR(B3472="",C3472=""),"",IFERROR(E3472 / SUMIFS('📅 Resumen Diario'!$D$5:$D$504, '📅 Resumen Diario'!$B$5:$B$504, B3472, '📅 Resumen Diario'!$C$5:$C$504, D3472) * SUMIFS('📅 Resumen Diario'!$K$5:$K$504, '📅 Resumen Diario'!$B$5:$B$504, B3472, '📅 Resumen Diario'!$C$5:$C$504, D3472), 0))</f>
        <v/>
      </c>
      <c r="M3472" s="31" t="str">
        <f t="shared" si="381"/>
        <v/>
      </c>
      <c r="N3472" s="31" t="str">
        <f t="shared" si="382"/>
        <v/>
      </c>
      <c r="O3472" s="31" t="str">
        <f>IF(OR(B3472="",C3472=""),"",K3472-N3472 + IFERROR(E3472 / SUMIFS('📅 Resumen Diario'!$D$5:$D$504, '📅 Resumen Diario'!$B$5:$B$504, B3472, '📅 Resumen Diario'!$C$5:$C$504, D3472) * (SUMIFS('📋 Detalle Diario'!$E$5:$E$489, '📋 Detalle Diario'!$B$5:$B$489, B3472, '📋 Detalle Diario'!$C$5:$C$489, D3472) * 135 + SUMIFS('📋 Detalle Diario'!$I$5:$I$489, '📋 Detalle Diario'!$B$5:$B$489, B3472, '📋 Detalle Diario'!$C$5:$C$489, D3472) * 200), 0))</f>
        <v/>
      </c>
      <c r="P3472" s="32" t="str">
        <f t="shared" si="383"/>
        <v/>
      </c>
      <c r="Q3472" s="33" t="str">
        <f t="shared" si="384"/>
        <v/>
      </c>
    </row>
    <row r="3473" spans="2:17" ht="18" customHeight="1" x14ac:dyDescent="0.3">
      <c r="B3473" s="26"/>
      <c r="C3473" s="28"/>
      <c r="D3473" s="27"/>
      <c r="E3473" s="29"/>
      <c r="F3473" s="29"/>
      <c r="G3473" s="29"/>
      <c r="H3473" s="30" t="str">
        <f t="shared" si="378"/>
        <v/>
      </c>
      <c r="I3473" s="31" t="str">
        <f>IF(OR(B3473="",C3473=""),"",IFERROR(E3473*IF(E3473="",0,VLOOKUP(C3473,'📦 Precios Proforma'!$B$5:$D$104,IF(D3473="DIA",2,3),FALSE)),0))</f>
        <v/>
      </c>
      <c r="J3473" s="31" t="str">
        <f t="shared" si="379"/>
        <v/>
      </c>
      <c r="K3473" s="31" t="str">
        <f t="shared" si="380"/>
        <v/>
      </c>
      <c r="L3473" s="31" t="str">
        <f>IF(OR(B3473="",C3473=""),"",IFERROR(E3473 / SUMIFS('📅 Resumen Diario'!$D$5:$D$504, '📅 Resumen Diario'!$B$5:$B$504, B3473, '📅 Resumen Diario'!$C$5:$C$504, D3473) * SUMIFS('📅 Resumen Diario'!$K$5:$K$504, '📅 Resumen Diario'!$B$5:$B$504, B3473, '📅 Resumen Diario'!$C$5:$C$504, D3473), 0))</f>
        <v/>
      </c>
      <c r="M3473" s="31" t="str">
        <f t="shared" si="381"/>
        <v/>
      </c>
      <c r="N3473" s="31" t="str">
        <f t="shared" si="382"/>
        <v/>
      </c>
      <c r="O3473" s="31" t="str">
        <f>IF(OR(B3473="",C3473=""),"",K3473-N3473 + IFERROR(E3473 / SUMIFS('📅 Resumen Diario'!$D$5:$D$504, '📅 Resumen Diario'!$B$5:$B$504, B3473, '📅 Resumen Diario'!$C$5:$C$504, D3473) * (SUMIFS('📋 Detalle Diario'!$E$5:$E$489, '📋 Detalle Diario'!$B$5:$B$489, B3473, '📋 Detalle Diario'!$C$5:$C$489, D3473) * 135 + SUMIFS('📋 Detalle Diario'!$I$5:$I$489, '📋 Detalle Diario'!$B$5:$B$489, B3473, '📋 Detalle Diario'!$C$5:$C$489, D3473) * 200), 0))</f>
        <v/>
      </c>
      <c r="P3473" s="32" t="str">
        <f t="shared" si="383"/>
        <v/>
      </c>
      <c r="Q3473" s="33" t="str">
        <f t="shared" si="384"/>
        <v/>
      </c>
    </row>
    <row r="3474" spans="2:17" ht="18" customHeight="1" x14ac:dyDescent="0.3">
      <c r="B3474" s="26"/>
      <c r="C3474" s="17"/>
      <c r="D3474" s="27"/>
      <c r="E3474" s="18"/>
      <c r="F3474" s="18"/>
      <c r="G3474" s="18"/>
      <c r="H3474" s="30" t="str">
        <f t="shared" si="378"/>
        <v/>
      </c>
      <c r="I3474" s="31" t="str">
        <f>IF(OR(B3474="",C3474=""),"",IFERROR(E3474*IF(E3474="",0,VLOOKUP(C3474,'📦 Precios Proforma'!$B$5:$D$104,IF(D3474="DIA",2,3),FALSE)),0))</f>
        <v/>
      </c>
      <c r="J3474" s="31" t="str">
        <f t="shared" si="379"/>
        <v/>
      </c>
      <c r="K3474" s="31" t="str">
        <f t="shared" si="380"/>
        <v/>
      </c>
      <c r="L3474" s="31" t="str">
        <f>IF(OR(B3474="",C3474=""),"",IFERROR(E3474 / SUMIFS('📅 Resumen Diario'!$D$5:$D$504, '📅 Resumen Diario'!$B$5:$B$504, B3474, '📅 Resumen Diario'!$C$5:$C$504, D3474) * SUMIFS('📅 Resumen Diario'!$K$5:$K$504, '📅 Resumen Diario'!$B$5:$B$504, B3474, '📅 Resumen Diario'!$C$5:$C$504, D3474), 0))</f>
        <v/>
      </c>
      <c r="M3474" s="31" t="str">
        <f t="shared" si="381"/>
        <v/>
      </c>
      <c r="N3474" s="31" t="str">
        <f t="shared" si="382"/>
        <v/>
      </c>
      <c r="O3474" s="31" t="str">
        <f>IF(OR(B3474="",C3474=""),"",K3474-N3474 + IFERROR(E3474 / SUMIFS('📅 Resumen Diario'!$D$5:$D$504, '📅 Resumen Diario'!$B$5:$B$504, B3474, '📅 Resumen Diario'!$C$5:$C$504, D3474) * (SUMIFS('📋 Detalle Diario'!$E$5:$E$489, '📋 Detalle Diario'!$B$5:$B$489, B3474, '📋 Detalle Diario'!$C$5:$C$489, D3474) * 135 + SUMIFS('📋 Detalle Diario'!$I$5:$I$489, '📋 Detalle Diario'!$B$5:$B$489, B3474, '📋 Detalle Diario'!$C$5:$C$489, D3474) * 200), 0))</f>
        <v/>
      </c>
      <c r="P3474" s="32" t="str">
        <f t="shared" si="383"/>
        <v/>
      </c>
      <c r="Q3474" s="33" t="str">
        <f t="shared" si="384"/>
        <v/>
      </c>
    </row>
    <row r="3475" spans="2:17" ht="18" customHeight="1" x14ac:dyDescent="0.3">
      <c r="B3475" s="26"/>
      <c r="C3475" s="28"/>
      <c r="D3475" s="27"/>
      <c r="E3475" s="29"/>
      <c r="F3475" s="29"/>
      <c r="G3475" s="29"/>
      <c r="H3475" s="30" t="str">
        <f t="shared" si="378"/>
        <v/>
      </c>
      <c r="I3475" s="31" t="str">
        <f>IF(OR(B3475="",C3475=""),"",IFERROR(E3475*IF(E3475="",0,VLOOKUP(C3475,'📦 Precios Proforma'!$B$5:$D$104,IF(D3475="DIA",2,3),FALSE)),0))</f>
        <v/>
      </c>
      <c r="J3475" s="31" t="str">
        <f t="shared" si="379"/>
        <v/>
      </c>
      <c r="K3475" s="31" t="str">
        <f t="shared" si="380"/>
        <v/>
      </c>
      <c r="L3475" s="31" t="str">
        <f>IF(OR(B3475="",C3475=""),"",IFERROR(E3475 / SUMIFS('📅 Resumen Diario'!$D$5:$D$504, '📅 Resumen Diario'!$B$5:$B$504, B3475, '📅 Resumen Diario'!$C$5:$C$504, D3475) * SUMIFS('📅 Resumen Diario'!$K$5:$K$504, '📅 Resumen Diario'!$B$5:$B$504, B3475, '📅 Resumen Diario'!$C$5:$C$504, D3475), 0))</f>
        <v/>
      </c>
      <c r="M3475" s="31" t="str">
        <f t="shared" si="381"/>
        <v/>
      </c>
      <c r="N3475" s="31" t="str">
        <f t="shared" si="382"/>
        <v/>
      </c>
      <c r="O3475" s="31" t="str">
        <f>IF(OR(B3475="",C3475=""),"",K3475-N3475 + IFERROR(E3475 / SUMIFS('📅 Resumen Diario'!$D$5:$D$504, '📅 Resumen Diario'!$B$5:$B$504, B3475, '📅 Resumen Diario'!$C$5:$C$504, D3475) * (SUMIFS('📋 Detalle Diario'!$E$5:$E$489, '📋 Detalle Diario'!$B$5:$B$489, B3475, '📋 Detalle Diario'!$C$5:$C$489, D3475) * 135 + SUMIFS('📋 Detalle Diario'!$I$5:$I$489, '📋 Detalle Diario'!$B$5:$B$489, B3475, '📋 Detalle Diario'!$C$5:$C$489, D3475) * 200), 0))</f>
        <v/>
      </c>
      <c r="P3475" s="32" t="str">
        <f t="shared" si="383"/>
        <v/>
      </c>
      <c r="Q3475" s="33" t="str">
        <f t="shared" si="384"/>
        <v/>
      </c>
    </row>
    <row r="3476" spans="2:17" ht="18" customHeight="1" x14ac:dyDescent="0.3">
      <c r="B3476" s="26"/>
      <c r="C3476" s="17"/>
      <c r="D3476" s="27"/>
      <c r="E3476" s="18"/>
      <c r="F3476" s="18"/>
      <c r="G3476" s="18"/>
      <c r="H3476" s="30" t="str">
        <f t="shared" si="378"/>
        <v/>
      </c>
      <c r="I3476" s="31" t="str">
        <f>IF(OR(B3476="",C3476=""),"",IFERROR(E3476*IF(E3476="",0,VLOOKUP(C3476,'📦 Precios Proforma'!$B$5:$D$104,IF(D3476="DIA",2,3),FALSE)),0))</f>
        <v/>
      </c>
      <c r="J3476" s="31" t="str">
        <f t="shared" si="379"/>
        <v/>
      </c>
      <c r="K3476" s="31" t="str">
        <f t="shared" si="380"/>
        <v/>
      </c>
      <c r="L3476" s="31" t="str">
        <f>IF(OR(B3476="",C3476=""),"",IFERROR(E3476 / SUMIFS('📅 Resumen Diario'!$D$5:$D$504, '📅 Resumen Diario'!$B$5:$B$504, B3476, '📅 Resumen Diario'!$C$5:$C$504, D3476) * SUMIFS('📅 Resumen Diario'!$K$5:$K$504, '📅 Resumen Diario'!$B$5:$B$504, B3476, '📅 Resumen Diario'!$C$5:$C$504, D3476), 0))</f>
        <v/>
      </c>
      <c r="M3476" s="31" t="str">
        <f t="shared" si="381"/>
        <v/>
      </c>
      <c r="N3476" s="31" t="str">
        <f t="shared" si="382"/>
        <v/>
      </c>
      <c r="O3476" s="31" t="str">
        <f>IF(OR(B3476="",C3476=""),"",K3476-N3476 + IFERROR(E3476 / SUMIFS('📅 Resumen Diario'!$D$5:$D$504, '📅 Resumen Diario'!$B$5:$B$504, B3476, '📅 Resumen Diario'!$C$5:$C$504, D3476) * (SUMIFS('📋 Detalle Diario'!$E$5:$E$489, '📋 Detalle Diario'!$B$5:$B$489, B3476, '📋 Detalle Diario'!$C$5:$C$489, D3476) * 135 + SUMIFS('📋 Detalle Diario'!$I$5:$I$489, '📋 Detalle Diario'!$B$5:$B$489, B3476, '📋 Detalle Diario'!$C$5:$C$489, D3476) * 200), 0))</f>
        <v/>
      </c>
      <c r="P3476" s="32" t="str">
        <f t="shared" si="383"/>
        <v/>
      </c>
      <c r="Q3476" s="33" t="str">
        <f t="shared" si="384"/>
        <v/>
      </c>
    </row>
    <row r="3477" spans="2:17" ht="18" customHeight="1" x14ac:dyDescent="0.3">
      <c r="B3477" s="26"/>
      <c r="C3477" s="28"/>
      <c r="D3477" s="27"/>
      <c r="E3477" s="29"/>
      <c r="F3477" s="29"/>
      <c r="G3477" s="29"/>
      <c r="H3477" s="30" t="str">
        <f t="shared" si="378"/>
        <v/>
      </c>
      <c r="I3477" s="31" t="str">
        <f>IF(OR(B3477="",C3477=""),"",IFERROR(E3477*IF(E3477="",0,VLOOKUP(C3477,'📦 Precios Proforma'!$B$5:$D$104,IF(D3477="DIA",2,3),FALSE)),0))</f>
        <v/>
      </c>
      <c r="J3477" s="31" t="str">
        <f t="shared" si="379"/>
        <v/>
      </c>
      <c r="K3477" s="31" t="str">
        <f t="shared" si="380"/>
        <v/>
      </c>
      <c r="L3477" s="31" t="str">
        <f>IF(OR(B3477="",C3477=""),"",IFERROR(E3477 / SUMIFS('📅 Resumen Diario'!$D$5:$D$504, '📅 Resumen Diario'!$B$5:$B$504, B3477, '📅 Resumen Diario'!$C$5:$C$504, D3477) * SUMIFS('📅 Resumen Diario'!$K$5:$K$504, '📅 Resumen Diario'!$B$5:$B$504, B3477, '📅 Resumen Diario'!$C$5:$C$504, D3477), 0))</f>
        <v/>
      </c>
      <c r="M3477" s="31" t="str">
        <f t="shared" si="381"/>
        <v/>
      </c>
      <c r="N3477" s="31" t="str">
        <f t="shared" si="382"/>
        <v/>
      </c>
      <c r="O3477" s="31" t="str">
        <f>IF(OR(B3477="",C3477=""),"",K3477-N3477 + IFERROR(E3477 / SUMIFS('📅 Resumen Diario'!$D$5:$D$504, '📅 Resumen Diario'!$B$5:$B$504, B3477, '📅 Resumen Diario'!$C$5:$C$504, D3477) * (SUMIFS('📋 Detalle Diario'!$E$5:$E$489, '📋 Detalle Diario'!$B$5:$B$489, B3477, '📋 Detalle Diario'!$C$5:$C$489, D3477) * 135 + SUMIFS('📋 Detalle Diario'!$I$5:$I$489, '📋 Detalle Diario'!$B$5:$B$489, B3477, '📋 Detalle Diario'!$C$5:$C$489, D3477) * 200), 0))</f>
        <v/>
      </c>
      <c r="P3477" s="32" t="str">
        <f t="shared" si="383"/>
        <v/>
      </c>
      <c r="Q3477" s="33" t="str">
        <f t="shared" si="384"/>
        <v/>
      </c>
    </row>
    <row r="3478" spans="2:17" ht="18" customHeight="1" x14ac:dyDescent="0.3">
      <c r="B3478" s="26"/>
      <c r="C3478" s="17"/>
      <c r="D3478" s="27"/>
      <c r="E3478" s="18"/>
      <c r="F3478" s="18"/>
      <c r="G3478" s="18"/>
      <c r="H3478" s="30" t="str">
        <f t="shared" si="378"/>
        <v/>
      </c>
      <c r="I3478" s="31" t="str">
        <f>IF(OR(B3478="",C3478=""),"",IFERROR(E3478*IF(E3478="",0,VLOOKUP(C3478,'📦 Precios Proforma'!$B$5:$D$104,IF(D3478="DIA",2,3),FALSE)),0))</f>
        <v/>
      </c>
      <c r="J3478" s="31" t="str">
        <f t="shared" si="379"/>
        <v/>
      </c>
      <c r="K3478" s="31" t="str">
        <f t="shared" si="380"/>
        <v/>
      </c>
      <c r="L3478" s="31" t="str">
        <f>IF(OR(B3478="",C3478=""),"",IFERROR(E3478 / SUMIFS('📅 Resumen Diario'!$D$5:$D$504, '📅 Resumen Diario'!$B$5:$B$504, B3478, '📅 Resumen Diario'!$C$5:$C$504, D3478) * SUMIFS('📅 Resumen Diario'!$K$5:$K$504, '📅 Resumen Diario'!$B$5:$B$504, B3478, '📅 Resumen Diario'!$C$5:$C$504, D3478), 0))</f>
        <v/>
      </c>
      <c r="M3478" s="31" t="str">
        <f t="shared" si="381"/>
        <v/>
      </c>
      <c r="N3478" s="31" t="str">
        <f t="shared" si="382"/>
        <v/>
      </c>
      <c r="O3478" s="31" t="str">
        <f>IF(OR(B3478="",C3478=""),"",K3478-N3478 + IFERROR(E3478 / SUMIFS('📅 Resumen Diario'!$D$5:$D$504, '📅 Resumen Diario'!$B$5:$B$504, B3478, '📅 Resumen Diario'!$C$5:$C$504, D3478) * (SUMIFS('📋 Detalle Diario'!$E$5:$E$489, '📋 Detalle Diario'!$B$5:$B$489, B3478, '📋 Detalle Diario'!$C$5:$C$489, D3478) * 135 + SUMIFS('📋 Detalle Diario'!$I$5:$I$489, '📋 Detalle Diario'!$B$5:$B$489, B3478, '📋 Detalle Diario'!$C$5:$C$489, D3478) * 200), 0))</f>
        <v/>
      </c>
      <c r="P3478" s="32" t="str">
        <f t="shared" si="383"/>
        <v/>
      </c>
      <c r="Q3478" s="33" t="str">
        <f t="shared" si="384"/>
        <v/>
      </c>
    </row>
    <row r="3479" spans="2:17" ht="18" customHeight="1" x14ac:dyDescent="0.3">
      <c r="B3479" s="26"/>
      <c r="C3479" s="28"/>
      <c r="D3479" s="27"/>
      <c r="E3479" s="29"/>
      <c r="F3479" s="29"/>
      <c r="G3479" s="29"/>
      <c r="H3479" s="30" t="str">
        <f t="shared" si="378"/>
        <v/>
      </c>
      <c r="I3479" s="31" t="str">
        <f>IF(OR(B3479="",C3479=""),"",IFERROR(E3479*IF(E3479="",0,VLOOKUP(C3479,'📦 Precios Proforma'!$B$5:$D$104,IF(D3479="DIA",2,3),FALSE)),0))</f>
        <v/>
      </c>
      <c r="J3479" s="31" t="str">
        <f t="shared" si="379"/>
        <v/>
      </c>
      <c r="K3479" s="31" t="str">
        <f t="shared" si="380"/>
        <v/>
      </c>
      <c r="L3479" s="31" t="str">
        <f>IF(OR(B3479="",C3479=""),"",IFERROR(E3479 / SUMIFS('📅 Resumen Diario'!$D$5:$D$504, '📅 Resumen Diario'!$B$5:$B$504, B3479, '📅 Resumen Diario'!$C$5:$C$504, D3479) * SUMIFS('📅 Resumen Diario'!$K$5:$K$504, '📅 Resumen Diario'!$B$5:$B$504, B3479, '📅 Resumen Diario'!$C$5:$C$504, D3479), 0))</f>
        <v/>
      </c>
      <c r="M3479" s="31" t="str">
        <f t="shared" si="381"/>
        <v/>
      </c>
      <c r="N3479" s="31" t="str">
        <f t="shared" si="382"/>
        <v/>
      </c>
      <c r="O3479" s="31" t="str">
        <f>IF(OR(B3479="",C3479=""),"",K3479-N3479 + IFERROR(E3479 / SUMIFS('📅 Resumen Diario'!$D$5:$D$504, '📅 Resumen Diario'!$B$5:$B$504, B3479, '📅 Resumen Diario'!$C$5:$C$504, D3479) * (SUMIFS('📋 Detalle Diario'!$E$5:$E$489, '📋 Detalle Diario'!$B$5:$B$489, B3479, '📋 Detalle Diario'!$C$5:$C$489, D3479) * 135 + SUMIFS('📋 Detalle Diario'!$I$5:$I$489, '📋 Detalle Diario'!$B$5:$B$489, B3479, '📋 Detalle Diario'!$C$5:$C$489, D3479) * 200), 0))</f>
        <v/>
      </c>
      <c r="P3479" s="32" t="str">
        <f t="shared" si="383"/>
        <v/>
      </c>
      <c r="Q3479" s="33" t="str">
        <f t="shared" si="384"/>
        <v/>
      </c>
    </row>
    <row r="3480" spans="2:17" ht="18" customHeight="1" x14ac:dyDescent="0.3">
      <c r="B3480" s="26"/>
      <c r="C3480" s="17"/>
      <c r="D3480" s="27"/>
      <c r="E3480" s="18"/>
      <c r="F3480" s="18"/>
      <c r="G3480" s="18"/>
      <c r="H3480" s="30" t="str">
        <f t="shared" si="378"/>
        <v/>
      </c>
      <c r="I3480" s="31" t="str">
        <f>IF(OR(B3480="",C3480=""),"",IFERROR(E3480*IF(E3480="",0,VLOOKUP(C3480,'📦 Precios Proforma'!$B$5:$D$104,IF(D3480="DIA",2,3),FALSE)),0))</f>
        <v/>
      </c>
      <c r="J3480" s="31" t="str">
        <f t="shared" si="379"/>
        <v/>
      </c>
      <c r="K3480" s="31" t="str">
        <f t="shared" si="380"/>
        <v/>
      </c>
      <c r="L3480" s="31" t="str">
        <f>IF(OR(B3480="",C3480=""),"",IFERROR(E3480 / SUMIFS('📅 Resumen Diario'!$D$5:$D$504, '📅 Resumen Diario'!$B$5:$B$504, B3480, '📅 Resumen Diario'!$C$5:$C$504, D3480) * SUMIFS('📅 Resumen Diario'!$K$5:$K$504, '📅 Resumen Diario'!$B$5:$B$504, B3480, '📅 Resumen Diario'!$C$5:$C$504, D3480), 0))</f>
        <v/>
      </c>
      <c r="M3480" s="31" t="str">
        <f t="shared" si="381"/>
        <v/>
      </c>
      <c r="N3480" s="31" t="str">
        <f t="shared" si="382"/>
        <v/>
      </c>
      <c r="O3480" s="31" t="str">
        <f>IF(OR(B3480="",C3480=""),"",K3480-N3480 + IFERROR(E3480 / SUMIFS('📅 Resumen Diario'!$D$5:$D$504, '📅 Resumen Diario'!$B$5:$B$504, B3480, '📅 Resumen Diario'!$C$5:$C$504, D3480) * (SUMIFS('📋 Detalle Diario'!$E$5:$E$489, '📋 Detalle Diario'!$B$5:$B$489, B3480, '📋 Detalle Diario'!$C$5:$C$489, D3480) * 135 + SUMIFS('📋 Detalle Diario'!$I$5:$I$489, '📋 Detalle Diario'!$B$5:$B$489, B3480, '📋 Detalle Diario'!$C$5:$C$489, D3480) * 200), 0))</f>
        <v/>
      </c>
      <c r="P3480" s="32" t="str">
        <f t="shared" si="383"/>
        <v/>
      </c>
      <c r="Q3480" s="33" t="str">
        <f t="shared" si="384"/>
        <v/>
      </c>
    </row>
    <row r="3481" spans="2:17" ht="18" customHeight="1" x14ac:dyDescent="0.3">
      <c r="B3481" s="26"/>
      <c r="C3481" s="28"/>
      <c r="D3481" s="27"/>
      <c r="E3481" s="29"/>
      <c r="F3481" s="29"/>
      <c r="G3481" s="29"/>
      <c r="H3481" s="30" t="str">
        <f t="shared" si="378"/>
        <v/>
      </c>
      <c r="I3481" s="31" t="str">
        <f>IF(OR(B3481="",C3481=""),"",IFERROR(E3481*IF(E3481="",0,VLOOKUP(C3481,'📦 Precios Proforma'!$B$5:$D$104,IF(D3481="DIA",2,3),FALSE)),0))</f>
        <v/>
      </c>
      <c r="J3481" s="31" t="str">
        <f t="shared" si="379"/>
        <v/>
      </c>
      <c r="K3481" s="31" t="str">
        <f t="shared" si="380"/>
        <v/>
      </c>
      <c r="L3481" s="31" t="str">
        <f>IF(OR(B3481="",C3481=""),"",IFERROR(E3481 / SUMIFS('📅 Resumen Diario'!$D$5:$D$504, '📅 Resumen Diario'!$B$5:$B$504, B3481, '📅 Resumen Diario'!$C$5:$C$504, D3481) * SUMIFS('📅 Resumen Diario'!$K$5:$K$504, '📅 Resumen Diario'!$B$5:$B$504, B3481, '📅 Resumen Diario'!$C$5:$C$504, D3481), 0))</f>
        <v/>
      </c>
      <c r="M3481" s="31" t="str">
        <f t="shared" si="381"/>
        <v/>
      </c>
      <c r="N3481" s="31" t="str">
        <f t="shared" si="382"/>
        <v/>
      </c>
      <c r="O3481" s="31" t="str">
        <f>IF(OR(B3481="",C3481=""),"",K3481-N3481 + IFERROR(E3481 / SUMIFS('📅 Resumen Diario'!$D$5:$D$504, '📅 Resumen Diario'!$B$5:$B$504, B3481, '📅 Resumen Diario'!$C$5:$C$504, D3481) * (SUMIFS('📋 Detalle Diario'!$E$5:$E$489, '📋 Detalle Diario'!$B$5:$B$489, B3481, '📋 Detalle Diario'!$C$5:$C$489, D3481) * 135 + SUMIFS('📋 Detalle Diario'!$I$5:$I$489, '📋 Detalle Diario'!$B$5:$B$489, B3481, '📋 Detalle Diario'!$C$5:$C$489, D3481) * 200), 0))</f>
        <v/>
      </c>
      <c r="P3481" s="32" t="str">
        <f t="shared" si="383"/>
        <v/>
      </c>
      <c r="Q3481" s="33" t="str">
        <f t="shared" si="384"/>
        <v/>
      </c>
    </row>
    <row r="3482" spans="2:17" ht="18" customHeight="1" x14ac:dyDescent="0.3">
      <c r="B3482" s="26"/>
      <c r="C3482" s="17"/>
      <c r="D3482" s="27"/>
      <c r="E3482" s="18"/>
      <c r="F3482" s="18"/>
      <c r="G3482" s="18"/>
      <c r="H3482" s="30" t="str">
        <f t="shared" si="378"/>
        <v/>
      </c>
      <c r="I3482" s="31" t="str">
        <f>IF(OR(B3482="",C3482=""),"",IFERROR(E3482*IF(E3482="",0,VLOOKUP(C3482,'📦 Precios Proforma'!$B$5:$D$104,IF(D3482="DIA",2,3),FALSE)),0))</f>
        <v/>
      </c>
      <c r="J3482" s="31" t="str">
        <f t="shared" si="379"/>
        <v/>
      </c>
      <c r="K3482" s="31" t="str">
        <f t="shared" si="380"/>
        <v/>
      </c>
      <c r="L3482" s="31" t="str">
        <f>IF(OR(B3482="",C3482=""),"",IFERROR(E3482 / SUMIFS('📅 Resumen Diario'!$D$5:$D$504, '📅 Resumen Diario'!$B$5:$B$504, B3482, '📅 Resumen Diario'!$C$5:$C$504, D3482) * SUMIFS('📅 Resumen Diario'!$K$5:$K$504, '📅 Resumen Diario'!$B$5:$B$504, B3482, '📅 Resumen Diario'!$C$5:$C$504, D3482), 0))</f>
        <v/>
      </c>
      <c r="M3482" s="31" t="str">
        <f t="shared" si="381"/>
        <v/>
      </c>
      <c r="N3482" s="31" t="str">
        <f t="shared" si="382"/>
        <v/>
      </c>
      <c r="O3482" s="31" t="str">
        <f>IF(OR(B3482="",C3482=""),"",K3482-N3482 + IFERROR(E3482 / SUMIFS('📅 Resumen Diario'!$D$5:$D$504, '📅 Resumen Diario'!$B$5:$B$504, B3482, '📅 Resumen Diario'!$C$5:$C$504, D3482) * (SUMIFS('📋 Detalle Diario'!$E$5:$E$489, '📋 Detalle Diario'!$B$5:$B$489, B3482, '📋 Detalle Diario'!$C$5:$C$489, D3482) * 135 + SUMIFS('📋 Detalle Diario'!$I$5:$I$489, '📋 Detalle Diario'!$B$5:$B$489, B3482, '📋 Detalle Diario'!$C$5:$C$489, D3482) * 200), 0))</f>
        <v/>
      </c>
      <c r="P3482" s="32" t="str">
        <f t="shared" si="383"/>
        <v/>
      </c>
      <c r="Q3482" s="33" t="str">
        <f t="shared" si="384"/>
        <v/>
      </c>
    </row>
    <row r="3483" spans="2:17" ht="18" customHeight="1" x14ac:dyDescent="0.3">
      <c r="B3483" s="26"/>
      <c r="C3483" s="28"/>
      <c r="D3483" s="27"/>
      <c r="E3483" s="29"/>
      <c r="F3483" s="29"/>
      <c r="G3483" s="29"/>
      <c r="H3483" s="30" t="str">
        <f t="shared" si="378"/>
        <v/>
      </c>
      <c r="I3483" s="31" t="str">
        <f>IF(OR(B3483="",C3483=""),"",IFERROR(E3483*IF(E3483="",0,VLOOKUP(C3483,'📦 Precios Proforma'!$B$5:$D$104,IF(D3483="DIA",2,3),FALSE)),0))</f>
        <v/>
      </c>
      <c r="J3483" s="31" t="str">
        <f t="shared" si="379"/>
        <v/>
      </c>
      <c r="K3483" s="31" t="str">
        <f t="shared" si="380"/>
        <v/>
      </c>
      <c r="L3483" s="31" t="str">
        <f>IF(OR(B3483="",C3483=""),"",IFERROR(E3483 / SUMIFS('📅 Resumen Diario'!$D$5:$D$504, '📅 Resumen Diario'!$B$5:$B$504, B3483, '📅 Resumen Diario'!$C$5:$C$504, D3483) * SUMIFS('📅 Resumen Diario'!$K$5:$K$504, '📅 Resumen Diario'!$B$5:$B$504, B3483, '📅 Resumen Diario'!$C$5:$C$504, D3483), 0))</f>
        <v/>
      </c>
      <c r="M3483" s="31" t="str">
        <f t="shared" si="381"/>
        <v/>
      </c>
      <c r="N3483" s="31" t="str">
        <f t="shared" si="382"/>
        <v/>
      </c>
      <c r="O3483" s="31" t="str">
        <f>IF(OR(B3483="",C3483=""),"",K3483-N3483 + IFERROR(E3483 / SUMIFS('📅 Resumen Diario'!$D$5:$D$504, '📅 Resumen Diario'!$B$5:$B$504, B3483, '📅 Resumen Diario'!$C$5:$C$504, D3483) * (SUMIFS('📋 Detalle Diario'!$E$5:$E$489, '📋 Detalle Diario'!$B$5:$B$489, B3483, '📋 Detalle Diario'!$C$5:$C$489, D3483) * 135 + SUMIFS('📋 Detalle Diario'!$I$5:$I$489, '📋 Detalle Diario'!$B$5:$B$489, B3483, '📋 Detalle Diario'!$C$5:$C$489, D3483) * 200), 0))</f>
        <v/>
      </c>
      <c r="P3483" s="32" t="str">
        <f t="shared" si="383"/>
        <v/>
      </c>
      <c r="Q3483" s="33" t="str">
        <f t="shared" si="384"/>
        <v/>
      </c>
    </row>
    <row r="3484" spans="2:17" ht="18" customHeight="1" x14ac:dyDescent="0.3">
      <c r="B3484" s="26"/>
      <c r="C3484" s="17"/>
      <c r="D3484" s="27"/>
      <c r="E3484" s="18"/>
      <c r="F3484" s="18"/>
      <c r="G3484" s="18"/>
      <c r="H3484" s="30" t="str">
        <f t="shared" si="378"/>
        <v/>
      </c>
      <c r="I3484" s="31" t="str">
        <f>IF(OR(B3484="",C3484=""),"",IFERROR(E3484*IF(E3484="",0,VLOOKUP(C3484,'📦 Precios Proforma'!$B$5:$D$104,IF(D3484="DIA",2,3),FALSE)),0))</f>
        <v/>
      </c>
      <c r="J3484" s="31" t="str">
        <f t="shared" si="379"/>
        <v/>
      </c>
      <c r="K3484" s="31" t="str">
        <f t="shared" si="380"/>
        <v/>
      </c>
      <c r="L3484" s="31" t="str">
        <f>IF(OR(B3484="",C3484=""),"",IFERROR(E3484 / SUMIFS('📅 Resumen Diario'!$D$5:$D$504, '📅 Resumen Diario'!$B$5:$B$504, B3484, '📅 Resumen Diario'!$C$5:$C$504, D3484) * SUMIFS('📅 Resumen Diario'!$K$5:$K$504, '📅 Resumen Diario'!$B$5:$B$504, B3484, '📅 Resumen Diario'!$C$5:$C$504, D3484), 0))</f>
        <v/>
      </c>
      <c r="M3484" s="31" t="str">
        <f t="shared" si="381"/>
        <v/>
      </c>
      <c r="N3484" s="31" t="str">
        <f t="shared" si="382"/>
        <v/>
      </c>
      <c r="O3484" s="31" t="str">
        <f>IF(OR(B3484="",C3484=""),"",K3484-N3484 + IFERROR(E3484 / SUMIFS('📅 Resumen Diario'!$D$5:$D$504, '📅 Resumen Diario'!$B$5:$B$504, B3484, '📅 Resumen Diario'!$C$5:$C$504, D3484) * (SUMIFS('📋 Detalle Diario'!$E$5:$E$489, '📋 Detalle Diario'!$B$5:$B$489, B3484, '📋 Detalle Diario'!$C$5:$C$489, D3484) * 135 + SUMIFS('📋 Detalle Diario'!$I$5:$I$489, '📋 Detalle Diario'!$B$5:$B$489, B3484, '📋 Detalle Diario'!$C$5:$C$489, D3484) * 200), 0))</f>
        <v/>
      </c>
      <c r="P3484" s="32" t="str">
        <f t="shared" si="383"/>
        <v/>
      </c>
      <c r="Q3484" s="33" t="str">
        <f t="shared" si="384"/>
        <v/>
      </c>
    </row>
    <row r="3485" spans="2:17" ht="18" customHeight="1" x14ac:dyDescent="0.3">
      <c r="B3485" s="26"/>
      <c r="C3485" s="28"/>
      <c r="D3485" s="27"/>
      <c r="E3485" s="29"/>
      <c r="F3485" s="29"/>
      <c r="G3485" s="29"/>
      <c r="H3485" s="30" t="str">
        <f t="shared" si="378"/>
        <v/>
      </c>
      <c r="I3485" s="31" t="str">
        <f>IF(OR(B3485="",C3485=""),"",IFERROR(E3485*IF(E3485="",0,VLOOKUP(C3485,'📦 Precios Proforma'!$B$5:$D$104,IF(D3485="DIA",2,3),FALSE)),0))</f>
        <v/>
      </c>
      <c r="J3485" s="31" t="str">
        <f t="shared" si="379"/>
        <v/>
      </c>
      <c r="K3485" s="31" t="str">
        <f t="shared" si="380"/>
        <v/>
      </c>
      <c r="L3485" s="31" t="str">
        <f>IF(OR(B3485="",C3485=""),"",IFERROR(E3485 / SUMIFS('📅 Resumen Diario'!$D$5:$D$504, '📅 Resumen Diario'!$B$5:$B$504, B3485, '📅 Resumen Diario'!$C$5:$C$504, D3485) * SUMIFS('📅 Resumen Diario'!$K$5:$K$504, '📅 Resumen Diario'!$B$5:$B$504, B3485, '📅 Resumen Diario'!$C$5:$C$504, D3485), 0))</f>
        <v/>
      </c>
      <c r="M3485" s="31" t="str">
        <f t="shared" si="381"/>
        <v/>
      </c>
      <c r="N3485" s="31" t="str">
        <f t="shared" si="382"/>
        <v/>
      </c>
      <c r="O3485" s="31" t="str">
        <f>IF(OR(B3485="",C3485=""),"",K3485-N3485 + IFERROR(E3485 / SUMIFS('📅 Resumen Diario'!$D$5:$D$504, '📅 Resumen Diario'!$B$5:$B$504, B3485, '📅 Resumen Diario'!$C$5:$C$504, D3485) * (SUMIFS('📋 Detalle Diario'!$E$5:$E$489, '📋 Detalle Diario'!$B$5:$B$489, B3485, '📋 Detalle Diario'!$C$5:$C$489, D3485) * 135 + SUMIFS('📋 Detalle Diario'!$I$5:$I$489, '📋 Detalle Diario'!$B$5:$B$489, B3485, '📋 Detalle Diario'!$C$5:$C$489, D3485) * 200), 0))</f>
        <v/>
      </c>
      <c r="P3485" s="32" t="str">
        <f t="shared" si="383"/>
        <v/>
      </c>
      <c r="Q3485" s="33" t="str">
        <f t="shared" si="384"/>
        <v/>
      </c>
    </row>
    <row r="3486" spans="2:17" ht="18" customHeight="1" x14ac:dyDescent="0.3">
      <c r="B3486" s="26"/>
      <c r="C3486" s="17"/>
      <c r="D3486" s="27"/>
      <c r="E3486" s="18"/>
      <c r="F3486" s="18"/>
      <c r="G3486" s="18"/>
      <c r="H3486" s="30" t="str">
        <f t="shared" si="378"/>
        <v/>
      </c>
      <c r="I3486" s="31" t="str">
        <f>IF(OR(B3486="",C3486=""),"",IFERROR(E3486*IF(E3486="",0,VLOOKUP(C3486,'📦 Precios Proforma'!$B$5:$D$104,IF(D3486="DIA",2,3),FALSE)),0))</f>
        <v/>
      </c>
      <c r="J3486" s="31" t="str">
        <f t="shared" si="379"/>
        <v/>
      </c>
      <c r="K3486" s="31" t="str">
        <f t="shared" si="380"/>
        <v/>
      </c>
      <c r="L3486" s="31" t="str">
        <f>IF(OR(B3486="",C3486=""),"",IFERROR(E3486 / SUMIFS('📅 Resumen Diario'!$D$5:$D$504, '📅 Resumen Diario'!$B$5:$B$504, B3486, '📅 Resumen Diario'!$C$5:$C$504, D3486) * SUMIFS('📅 Resumen Diario'!$K$5:$K$504, '📅 Resumen Diario'!$B$5:$B$504, B3486, '📅 Resumen Diario'!$C$5:$C$504, D3486), 0))</f>
        <v/>
      </c>
      <c r="M3486" s="31" t="str">
        <f t="shared" si="381"/>
        <v/>
      </c>
      <c r="N3486" s="31" t="str">
        <f t="shared" si="382"/>
        <v/>
      </c>
      <c r="O3486" s="31" t="str">
        <f>IF(OR(B3486="",C3486=""),"",K3486-N3486 + IFERROR(E3486 / SUMIFS('📅 Resumen Diario'!$D$5:$D$504, '📅 Resumen Diario'!$B$5:$B$504, B3486, '📅 Resumen Diario'!$C$5:$C$504, D3486) * (SUMIFS('📋 Detalle Diario'!$E$5:$E$489, '📋 Detalle Diario'!$B$5:$B$489, B3486, '📋 Detalle Diario'!$C$5:$C$489, D3486) * 135 + SUMIFS('📋 Detalle Diario'!$I$5:$I$489, '📋 Detalle Diario'!$B$5:$B$489, B3486, '📋 Detalle Diario'!$C$5:$C$489, D3486) * 200), 0))</f>
        <v/>
      </c>
      <c r="P3486" s="32" t="str">
        <f t="shared" si="383"/>
        <v/>
      </c>
      <c r="Q3486" s="33" t="str">
        <f t="shared" si="384"/>
        <v/>
      </c>
    </row>
    <row r="3487" spans="2:17" ht="18" customHeight="1" x14ac:dyDescent="0.3">
      <c r="B3487" s="26"/>
      <c r="C3487" s="28"/>
      <c r="D3487" s="27"/>
      <c r="E3487" s="29"/>
      <c r="F3487" s="29"/>
      <c r="G3487" s="29"/>
      <c r="H3487" s="30" t="str">
        <f t="shared" si="378"/>
        <v/>
      </c>
      <c r="I3487" s="31" t="str">
        <f>IF(OR(B3487="",C3487=""),"",IFERROR(E3487*IF(E3487="",0,VLOOKUP(C3487,'📦 Precios Proforma'!$B$5:$D$104,IF(D3487="DIA",2,3),FALSE)),0))</f>
        <v/>
      </c>
      <c r="J3487" s="31" t="str">
        <f t="shared" si="379"/>
        <v/>
      </c>
      <c r="K3487" s="31" t="str">
        <f t="shared" si="380"/>
        <v/>
      </c>
      <c r="L3487" s="31" t="str">
        <f>IF(OR(B3487="",C3487=""),"",IFERROR(E3487 / SUMIFS('📅 Resumen Diario'!$D$5:$D$504, '📅 Resumen Diario'!$B$5:$B$504, B3487, '📅 Resumen Diario'!$C$5:$C$504, D3487) * SUMIFS('📅 Resumen Diario'!$K$5:$K$504, '📅 Resumen Diario'!$B$5:$B$504, B3487, '📅 Resumen Diario'!$C$5:$C$504, D3487), 0))</f>
        <v/>
      </c>
      <c r="M3487" s="31" t="str">
        <f t="shared" si="381"/>
        <v/>
      </c>
      <c r="N3487" s="31" t="str">
        <f t="shared" si="382"/>
        <v/>
      </c>
      <c r="O3487" s="31" t="str">
        <f>IF(OR(B3487="",C3487=""),"",K3487-N3487 + IFERROR(E3487 / SUMIFS('📅 Resumen Diario'!$D$5:$D$504, '📅 Resumen Diario'!$B$5:$B$504, B3487, '📅 Resumen Diario'!$C$5:$C$504, D3487) * (SUMIFS('📋 Detalle Diario'!$E$5:$E$489, '📋 Detalle Diario'!$B$5:$B$489, B3487, '📋 Detalle Diario'!$C$5:$C$489, D3487) * 135 + SUMIFS('📋 Detalle Diario'!$I$5:$I$489, '📋 Detalle Diario'!$B$5:$B$489, B3487, '📋 Detalle Diario'!$C$5:$C$489, D3487) * 200), 0))</f>
        <v/>
      </c>
      <c r="P3487" s="32" t="str">
        <f t="shared" si="383"/>
        <v/>
      </c>
      <c r="Q3487" s="33" t="str">
        <f t="shared" si="384"/>
        <v/>
      </c>
    </row>
    <row r="3488" spans="2:17" ht="18" customHeight="1" x14ac:dyDescent="0.3">
      <c r="B3488" s="26"/>
      <c r="C3488" s="17"/>
      <c r="D3488" s="27"/>
      <c r="E3488" s="18"/>
      <c r="F3488" s="18"/>
      <c r="G3488" s="18"/>
      <c r="H3488" s="30" t="str">
        <f t="shared" si="378"/>
        <v/>
      </c>
      <c r="I3488" s="31" t="str">
        <f>IF(OR(B3488="",C3488=""),"",IFERROR(E3488*IF(E3488="",0,VLOOKUP(C3488,'📦 Precios Proforma'!$B$5:$D$104,IF(D3488="DIA",2,3),FALSE)),0))</f>
        <v/>
      </c>
      <c r="J3488" s="31" t="str">
        <f t="shared" si="379"/>
        <v/>
      </c>
      <c r="K3488" s="31" t="str">
        <f t="shared" si="380"/>
        <v/>
      </c>
      <c r="L3488" s="31" t="str">
        <f>IF(OR(B3488="",C3488=""),"",IFERROR(E3488 / SUMIFS('📅 Resumen Diario'!$D$5:$D$504, '📅 Resumen Diario'!$B$5:$B$504, B3488, '📅 Resumen Diario'!$C$5:$C$504, D3488) * SUMIFS('📅 Resumen Diario'!$K$5:$K$504, '📅 Resumen Diario'!$B$5:$B$504, B3488, '📅 Resumen Diario'!$C$5:$C$504, D3488), 0))</f>
        <v/>
      </c>
      <c r="M3488" s="31" t="str">
        <f t="shared" si="381"/>
        <v/>
      </c>
      <c r="N3488" s="31" t="str">
        <f t="shared" si="382"/>
        <v/>
      </c>
      <c r="O3488" s="31" t="str">
        <f>IF(OR(B3488="",C3488=""),"",K3488-N3488 + IFERROR(E3488 / SUMIFS('📅 Resumen Diario'!$D$5:$D$504, '📅 Resumen Diario'!$B$5:$B$504, B3488, '📅 Resumen Diario'!$C$5:$C$504, D3488) * (SUMIFS('📋 Detalle Diario'!$E$5:$E$489, '📋 Detalle Diario'!$B$5:$B$489, B3488, '📋 Detalle Diario'!$C$5:$C$489, D3488) * 135 + SUMIFS('📋 Detalle Diario'!$I$5:$I$489, '📋 Detalle Diario'!$B$5:$B$489, B3488, '📋 Detalle Diario'!$C$5:$C$489, D3488) * 200), 0))</f>
        <v/>
      </c>
      <c r="P3488" s="32" t="str">
        <f t="shared" si="383"/>
        <v/>
      </c>
      <c r="Q3488" s="33" t="str">
        <f t="shared" si="384"/>
        <v/>
      </c>
    </row>
    <row r="3489" spans="2:17" ht="18" customHeight="1" x14ac:dyDescent="0.3">
      <c r="B3489" s="26"/>
      <c r="C3489" s="28"/>
      <c r="D3489" s="27"/>
      <c r="E3489" s="29"/>
      <c r="F3489" s="29"/>
      <c r="G3489" s="29"/>
      <c r="H3489" s="30" t="str">
        <f t="shared" si="378"/>
        <v/>
      </c>
      <c r="I3489" s="31" t="str">
        <f>IF(OR(B3489="",C3489=""),"",IFERROR(E3489*IF(E3489="",0,VLOOKUP(C3489,'📦 Precios Proforma'!$B$5:$D$104,IF(D3489="DIA",2,3),FALSE)),0))</f>
        <v/>
      </c>
      <c r="J3489" s="31" t="str">
        <f t="shared" si="379"/>
        <v/>
      </c>
      <c r="K3489" s="31" t="str">
        <f t="shared" si="380"/>
        <v/>
      </c>
      <c r="L3489" s="31" t="str">
        <f>IF(OR(B3489="",C3489=""),"",IFERROR(E3489 / SUMIFS('📅 Resumen Diario'!$D$5:$D$504, '📅 Resumen Diario'!$B$5:$B$504, B3489, '📅 Resumen Diario'!$C$5:$C$504, D3489) * SUMIFS('📅 Resumen Diario'!$K$5:$K$504, '📅 Resumen Diario'!$B$5:$B$504, B3489, '📅 Resumen Diario'!$C$5:$C$504, D3489), 0))</f>
        <v/>
      </c>
      <c r="M3489" s="31" t="str">
        <f t="shared" si="381"/>
        <v/>
      </c>
      <c r="N3489" s="31" t="str">
        <f t="shared" si="382"/>
        <v/>
      </c>
      <c r="O3489" s="31" t="str">
        <f>IF(OR(B3489="",C3489=""),"",K3489-N3489 + IFERROR(E3489 / SUMIFS('📅 Resumen Diario'!$D$5:$D$504, '📅 Resumen Diario'!$B$5:$B$504, B3489, '📅 Resumen Diario'!$C$5:$C$504, D3489) * (SUMIFS('📋 Detalle Diario'!$E$5:$E$489, '📋 Detalle Diario'!$B$5:$B$489, B3489, '📋 Detalle Diario'!$C$5:$C$489, D3489) * 135 + SUMIFS('📋 Detalle Diario'!$I$5:$I$489, '📋 Detalle Diario'!$B$5:$B$489, B3489, '📋 Detalle Diario'!$C$5:$C$489, D3489) * 200), 0))</f>
        <v/>
      </c>
      <c r="P3489" s="32" t="str">
        <f t="shared" si="383"/>
        <v/>
      </c>
      <c r="Q3489" s="33" t="str">
        <f t="shared" si="384"/>
        <v/>
      </c>
    </row>
    <row r="3490" spans="2:17" ht="18" customHeight="1" x14ac:dyDescent="0.3">
      <c r="B3490" s="26"/>
      <c r="C3490" s="17"/>
      <c r="D3490" s="27"/>
      <c r="E3490" s="18"/>
      <c r="F3490" s="18"/>
      <c r="G3490" s="18"/>
      <c r="H3490" s="30" t="str">
        <f t="shared" si="378"/>
        <v/>
      </c>
      <c r="I3490" s="31" t="str">
        <f>IF(OR(B3490="",C3490=""),"",IFERROR(E3490*IF(E3490="",0,VLOOKUP(C3490,'📦 Precios Proforma'!$B$5:$D$104,IF(D3490="DIA",2,3),FALSE)),0))</f>
        <v/>
      </c>
      <c r="J3490" s="31" t="str">
        <f t="shared" si="379"/>
        <v/>
      </c>
      <c r="K3490" s="31" t="str">
        <f t="shared" si="380"/>
        <v/>
      </c>
      <c r="L3490" s="31" t="str">
        <f>IF(OR(B3490="",C3490=""),"",IFERROR(E3490 / SUMIFS('📅 Resumen Diario'!$D$5:$D$504, '📅 Resumen Diario'!$B$5:$B$504, B3490, '📅 Resumen Diario'!$C$5:$C$504, D3490) * SUMIFS('📅 Resumen Diario'!$K$5:$K$504, '📅 Resumen Diario'!$B$5:$B$504, B3490, '📅 Resumen Diario'!$C$5:$C$504, D3490), 0))</f>
        <v/>
      </c>
      <c r="M3490" s="31" t="str">
        <f t="shared" si="381"/>
        <v/>
      </c>
      <c r="N3490" s="31" t="str">
        <f t="shared" si="382"/>
        <v/>
      </c>
      <c r="O3490" s="31" t="str">
        <f>IF(OR(B3490="",C3490=""),"",K3490-N3490 + IFERROR(E3490 / SUMIFS('📅 Resumen Diario'!$D$5:$D$504, '📅 Resumen Diario'!$B$5:$B$504, B3490, '📅 Resumen Diario'!$C$5:$C$504, D3490) * (SUMIFS('📋 Detalle Diario'!$E$5:$E$489, '📋 Detalle Diario'!$B$5:$B$489, B3490, '📋 Detalle Diario'!$C$5:$C$489, D3490) * 135 + SUMIFS('📋 Detalle Diario'!$I$5:$I$489, '📋 Detalle Diario'!$B$5:$B$489, B3490, '📋 Detalle Diario'!$C$5:$C$489, D3490) * 200), 0))</f>
        <v/>
      </c>
      <c r="P3490" s="32" t="str">
        <f t="shared" si="383"/>
        <v/>
      </c>
      <c r="Q3490" s="33" t="str">
        <f t="shared" si="384"/>
        <v/>
      </c>
    </row>
    <row r="3491" spans="2:17" ht="18" customHeight="1" x14ac:dyDescent="0.3">
      <c r="B3491" s="26"/>
      <c r="C3491" s="28"/>
      <c r="D3491" s="27"/>
      <c r="E3491" s="29"/>
      <c r="F3491" s="29"/>
      <c r="G3491" s="29"/>
      <c r="H3491" s="30" t="str">
        <f t="shared" si="378"/>
        <v/>
      </c>
      <c r="I3491" s="31" t="str">
        <f>IF(OR(B3491="",C3491=""),"",IFERROR(E3491*IF(E3491="",0,VLOOKUP(C3491,'📦 Precios Proforma'!$B$5:$D$104,IF(D3491="DIA",2,3),FALSE)),0))</f>
        <v/>
      </c>
      <c r="J3491" s="31" t="str">
        <f t="shared" si="379"/>
        <v/>
      </c>
      <c r="K3491" s="31" t="str">
        <f t="shared" si="380"/>
        <v/>
      </c>
      <c r="L3491" s="31" t="str">
        <f>IF(OR(B3491="",C3491=""),"",IFERROR(E3491 / SUMIFS('📅 Resumen Diario'!$D$5:$D$504, '📅 Resumen Diario'!$B$5:$B$504, B3491, '📅 Resumen Diario'!$C$5:$C$504, D3491) * SUMIFS('📅 Resumen Diario'!$K$5:$K$504, '📅 Resumen Diario'!$B$5:$B$504, B3491, '📅 Resumen Diario'!$C$5:$C$504, D3491), 0))</f>
        <v/>
      </c>
      <c r="M3491" s="31" t="str">
        <f t="shared" si="381"/>
        <v/>
      </c>
      <c r="N3491" s="31" t="str">
        <f t="shared" si="382"/>
        <v/>
      </c>
      <c r="O3491" s="31" t="str">
        <f>IF(OR(B3491="",C3491=""),"",K3491-N3491 + IFERROR(E3491 / SUMIFS('📅 Resumen Diario'!$D$5:$D$504, '📅 Resumen Diario'!$B$5:$B$504, B3491, '📅 Resumen Diario'!$C$5:$C$504, D3491) * (SUMIFS('📋 Detalle Diario'!$E$5:$E$489, '📋 Detalle Diario'!$B$5:$B$489, B3491, '📋 Detalle Diario'!$C$5:$C$489, D3491) * 135 + SUMIFS('📋 Detalle Diario'!$I$5:$I$489, '📋 Detalle Diario'!$B$5:$B$489, B3491, '📋 Detalle Diario'!$C$5:$C$489, D3491) * 200), 0))</f>
        <v/>
      </c>
      <c r="P3491" s="32" t="str">
        <f t="shared" si="383"/>
        <v/>
      </c>
      <c r="Q3491" s="33" t="str">
        <f t="shared" si="384"/>
        <v/>
      </c>
    </row>
    <row r="3492" spans="2:17" ht="18" customHeight="1" x14ac:dyDescent="0.3">
      <c r="B3492" s="26"/>
      <c r="C3492" s="17"/>
      <c r="D3492" s="27"/>
      <c r="E3492" s="18"/>
      <c r="F3492" s="18"/>
      <c r="G3492" s="18"/>
      <c r="H3492" s="30" t="str">
        <f t="shared" si="378"/>
        <v/>
      </c>
      <c r="I3492" s="31" t="str">
        <f>IF(OR(B3492="",C3492=""),"",IFERROR(E3492*IF(E3492="",0,VLOOKUP(C3492,'📦 Precios Proforma'!$B$5:$D$104,IF(D3492="DIA",2,3),FALSE)),0))</f>
        <v/>
      </c>
      <c r="J3492" s="31" t="str">
        <f t="shared" si="379"/>
        <v/>
      </c>
      <c r="K3492" s="31" t="str">
        <f t="shared" si="380"/>
        <v/>
      </c>
      <c r="L3492" s="31" t="str">
        <f>IF(OR(B3492="",C3492=""),"",IFERROR(E3492 / SUMIFS('📅 Resumen Diario'!$D$5:$D$504, '📅 Resumen Diario'!$B$5:$B$504, B3492, '📅 Resumen Diario'!$C$5:$C$504, D3492) * SUMIFS('📅 Resumen Diario'!$K$5:$K$504, '📅 Resumen Diario'!$B$5:$B$504, B3492, '📅 Resumen Diario'!$C$5:$C$504, D3492), 0))</f>
        <v/>
      </c>
      <c r="M3492" s="31" t="str">
        <f t="shared" si="381"/>
        <v/>
      </c>
      <c r="N3492" s="31" t="str">
        <f t="shared" si="382"/>
        <v/>
      </c>
      <c r="O3492" s="31" t="str">
        <f>IF(OR(B3492="",C3492=""),"",K3492-N3492 + IFERROR(E3492 / SUMIFS('📅 Resumen Diario'!$D$5:$D$504, '📅 Resumen Diario'!$B$5:$B$504, B3492, '📅 Resumen Diario'!$C$5:$C$504, D3492) * (SUMIFS('📋 Detalle Diario'!$E$5:$E$489, '📋 Detalle Diario'!$B$5:$B$489, B3492, '📋 Detalle Diario'!$C$5:$C$489, D3492) * 135 + SUMIFS('📋 Detalle Diario'!$I$5:$I$489, '📋 Detalle Diario'!$B$5:$B$489, B3492, '📋 Detalle Diario'!$C$5:$C$489, D3492) * 200), 0))</f>
        <v/>
      </c>
      <c r="P3492" s="32" t="str">
        <f t="shared" si="383"/>
        <v/>
      </c>
      <c r="Q3492" s="33" t="str">
        <f t="shared" si="384"/>
        <v/>
      </c>
    </row>
    <row r="3493" spans="2:17" ht="18" customHeight="1" x14ac:dyDescent="0.3">
      <c r="B3493" s="26"/>
      <c r="C3493" s="28"/>
      <c r="D3493" s="27"/>
      <c r="E3493" s="29"/>
      <c r="F3493" s="29"/>
      <c r="G3493" s="29"/>
      <c r="H3493" s="30" t="str">
        <f t="shared" si="378"/>
        <v/>
      </c>
      <c r="I3493" s="31" t="str">
        <f>IF(OR(B3493="",C3493=""),"",IFERROR(E3493*IF(E3493="",0,VLOOKUP(C3493,'📦 Precios Proforma'!$B$5:$D$104,IF(D3493="DIA",2,3),FALSE)),0))</f>
        <v/>
      </c>
      <c r="J3493" s="31" t="str">
        <f t="shared" si="379"/>
        <v/>
      </c>
      <c r="K3493" s="31" t="str">
        <f t="shared" si="380"/>
        <v/>
      </c>
      <c r="L3493" s="31" t="str">
        <f>IF(OR(B3493="",C3493=""),"",IFERROR(E3493 / SUMIFS('📅 Resumen Diario'!$D$5:$D$504, '📅 Resumen Diario'!$B$5:$B$504, B3493, '📅 Resumen Diario'!$C$5:$C$504, D3493) * SUMIFS('📅 Resumen Diario'!$K$5:$K$504, '📅 Resumen Diario'!$B$5:$B$504, B3493, '📅 Resumen Diario'!$C$5:$C$504, D3493), 0))</f>
        <v/>
      </c>
      <c r="M3493" s="31" t="str">
        <f t="shared" si="381"/>
        <v/>
      </c>
      <c r="N3493" s="31" t="str">
        <f t="shared" si="382"/>
        <v/>
      </c>
      <c r="O3493" s="31" t="str">
        <f>IF(OR(B3493="",C3493=""),"",K3493-N3493 + IFERROR(E3493 / SUMIFS('📅 Resumen Diario'!$D$5:$D$504, '📅 Resumen Diario'!$B$5:$B$504, B3493, '📅 Resumen Diario'!$C$5:$C$504, D3493) * (SUMIFS('📋 Detalle Diario'!$E$5:$E$489, '📋 Detalle Diario'!$B$5:$B$489, B3493, '📋 Detalle Diario'!$C$5:$C$489, D3493) * 135 + SUMIFS('📋 Detalle Diario'!$I$5:$I$489, '📋 Detalle Diario'!$B$5:$B$489, B3493, '📋 Detalle Diario'!$C$5:$C$489, D3493) * 200), 0))</f>
        <v/>
      </c>
      <c r="P3493" s="32" t="str">
        <f t="shared" si="383"/>
        <v/>
      </c>
      <c r="Q3493" s="33" t="str">
        <f t="shared" si="384"/>
        <v/>
      </c>
    </row>
    <row r="3494" spans="2:17" ht="18" customHeight="1" x14ac:dyDescent="0.3">
      <c r="B3494" s="26"/>
      <c r="C3494" s="17"/>
      <c r="D3494" s="27"/>
      <c r="E3494" s="18"/>
      <c r="F3494" s="18"/>
      <c r="G3494" s="18"/>
      <c r="H3494" s="30" t="str">
        <f t="shared" si="378"/>
        <v/>
      </c>
      <c r="I3494" s="31" t="str">
        <f>IF(OR(B3494="",C3494=""),"",IFERROR(E3494*IF(E3494="",0,VLOOKUP(C3494,'📦 Precios Proforma'!$B$5:$D$104,IF(D3494="DIA",2,3),FALSE)),0))</f>
        <v/>
      </c>
      <c r="J3494" s="31" t="str">
        <f t="shared" si="379"/>
        <v/>
      </c>
      <c r="K3494" s="31" t="str">
        <f t="shared" si="380"/>
        <v/>
      </c>
      <c r="L3494" s="31" t="str">
        <f>IF(OR(B3494="",C3494=""),"",IFERROR(E3494 / SUMIFS('📅 Resumen Diario'!$D$5:$D$504, '📅 Resumen Diario'!$B$5:$B$504, B3494, '📅 Resumen Diario'!$C$5:$C$504, D3494) * SUMIFS('📅 Resumen Diario'!$K$5:$K$504, '📅 Resumen Diario'!$B$5:$B$504, B3494, '📅 Resumen Diario'!$C$5:$C$504, D3494), 0))</f>
        <v/>
      </c>
      <c r="M3494" s="31" t="str">
        <f t="shared" si="381"/>
        <v/>
      </c>
      <c r="N3494" s="31" t="str">
        <f t="shared" si="382"/>
        <v/>
      </c>
      <c r="O3494" s="31" t="str">
        <f>IF(OR(B3494="",C3494=""),"",K3494-N3494 + IFERROR(E3494 / SUMIFS('📅 Resumen Diario'!$D$5:$D$504, '📅 Resumen Diario'!$B$5:$B$504, B3494, '📅 Resumen Diario'!$C$5:$C$504, D3494) * (SUMIFS('📋 Detalle Diario'!$E$5:$E$489, '📋 Detalle Diario'!$B$5:$B$489, B3494, '📋 Detalle Diario'!$C$5:$C$489, D3494) * 135 + SUMIFS('📋 Detalle Diario'!$I$5:$I$489, '📋 Detalle Diario'!$B$5:$B$489, B3494, '📋 Detalle Diario'!$C$5:$C$489, D3494) * 200), 0))</f>
        <v/>
      </c>
      <c r="P3494" s="32" t="str">
        <f t="shared" si="383"/>
        <v/>
      </c>
      <c r="Q3494" s="33" t="str">
        <f t="shared" si="384"/>
        <v/>
      </c>
    </row>
    <row r="3495" spans="2:17" ht="18" customHeight="1" x14ac:dyDescent="0.3">
      <c r="B3495" s="26"/>
      <c r="C3495" s="28"/>
      <c r="D3495" s="27"/>
      <c r="E3495" s="29"/>
      <c r="F3495" s="29"/>
      <c r="G3495" s="29"/>
      <c r="H3495" s="30" t="str">
        <f t="shared" si="378"/>
        <v/>
      </c>
      <c r="I3495" s="31" t="str">
        <f>IF(OR(B3495="",C3495=""),"",IFERROR(E3495*IF(E3495="",0,VLOOKUP(C3495,'📦 Precios Proforma'!$B$5:$D$104,IF(D3495="DIA",2,3),FALSE)),0))</f>
        <v/>
      </c>
      <c r="J3495" s="31" t="str">
        <f t="shared" si="379"/>
        <v/>
      </c>
      <c r="K3495" s="31" t="str">
        <f t="shared" si="380"/>
        <v/>
      </c>
      <c r="L3495" s="31" t="str">
        <f>IF(OR(B3495="",C3495=""),"",IFERROR(E3495 / SUMIFS('📅 Resumen Diario'!$D$5:$D$504, '📅 Resumen Diario'!$B$5:$B$504, B3495, '📅 Resumen Diario'!$C$5:$C$504, D3495) * SUMIFS('📅 Resumen Diario'!$K$5:$K$504, '📅 Resumen Diario'!$B$5:$B$504, B3495, '📅 Resumen Diario'!$C$5:$C$504, D3495), 0))</f>
        <v/>
      </c>
      <c r="M3495" s="31" t="str">
        <f t="shared" si="381"/>
        <v/>
      </c>
      <c r="N3495" s="31" t="str">
        <f t="shared" si="382"/>
        <v/>
      </c>
      <c r="O3495" s="31" t="str">
        <f>IF(OR(B3495="",C3495=""),"",K3495-N3495 + IFERROR(E3495 / SUMIFS('📅 Resumen Diario'!$D$5:$D$504, '📅 Resumen Diario'!$B$5:$B$504, B3495, '📅 Resumen Diario'!$C$5:$C$504, D3495) * (SUMIFS('📋 Detalle Diario'!$E$5:$E$489, '📋 Detalle Diario'!$B$5:$B$489, B3495, '📋 Detalle Diario'!$C$5:$C$489, D3495) * 135 + SUMIFS('📋 Detalle Diario'!$I$5:$I$489, '📋 Detalle Diario'!$B$5:$B$489, B3495, '📋 Detalle Diario'!$C$5:$C$489, D3495) * 200), 0))</f>
        <v/>
      </c>
      <c r="P3495" s="32" t="str">
        <f t="shared" si="383"/>
        <v/>
      </c>
      <c r="Q3495" s="33" t="str">
        <f t="shared" si="384"/>
        <v/>
      </c>
    </row>
    <row r="3496" spans="2:17" ht="18" customHeight="1" x14ac:dyDescent="0.3">
      <c r="B3496" s="26"/>
      <c r="C3496" s="17"/>
      <c r="D3496" s="27"/>
      <c r="E3496" s="18"/>
      <c r="F3496" s="18"/>
      <c r="G3496" s="18"/>
      <c r="H3496" s="30" t="str">
        <f t="shared" si="378"/>
        <v/>
      </c>
      <c r="I3496" s="31" t="str">
        <f>IF(OR(B3496="",C3496=""),"",IFERROR(E3496*IF(E3496="",0,VLOOKUP(C3496,'📦 Precios Proforma'!$B$5:$D$104,IF(D3496="DIA",2,3),FALSE)),0))</f>
        <v/>
      </c>
      <c r="J3496" s="31" t="str">
        <f t="shared" si="379"/>
        <v/>
      </c>
      <c r="K3496" s="31" t="str">
        <f t="shared" si="380"/>
        <v/>
      </c>
      <c r="L3496" s="31" t="str">
        <f>IF(OR(B3496="",C3496=""),"",IFERROR(E3496 / SUMIFS('📅 Resumen Diario'!$D$5:$D$504, '📅 Resumen Diario'!$B$5:$B$504, B3496, '📅 Resumen Diario'!$C$5:$C$504, D3496) * SUMIFS('📅 Resumen Diario'!$K$5:$K$504, '📅 Resumen Diario'!$B$5:$B$504, B3496, '📅 Resumen Diario'!$C$5:$C$504, D3496), 0))</f>
        <v/>
      </c>
      <c r="M3496" s="31" t="str">
        <f t="shared" si="381"/>
        <v/>
      </c>
      <c r="N3496" s="31" t="str">
        <f t="shared" si="382"/>
        <v/>
      </c>
      <c r="O3496" s="31" t="str">
        <f>IF(OR(B3496="",C3496=""),"",K3496-N3496 + IFERROR(E3496 / SUMIFS('📅 Resumen Diario'!$D$5:$D$504, '📅 Resumen Diario'!$B$5:$B$504, B3496, '📅 Resumen Diario'!$C$5:$C$504, D3496) * (SUMIFS('📋 Detalle Diario'!$E$5:$E$489, '📋 Detalle Diario'!$B$5:$B$489, B3496, '📋 Detalle Diario'!$C$5:$C$489, D3496) * 135 + SUMIFS('📋 Detalle Diario'!$I$5:$I$489, '📋 Detalle Diario'!$B$5:$B$489, B3496, '📋 Detalle Diario'!$C$5:$C$489, D3496) * 200), 0))</f>
        <v/>
      </c>
      <c r="P3496" s="32" t="str">
        <f t="shared" si="383"/>
        <v/>
      </c>
      <c r="Q3496" s="33" t="str">
        <f t="shared" si="384"/>
        <v/>
      </c>
    </row>
    <row r="3497" spans="2:17" ht="18" customHeight="1" x14ac:dyDescent="0.3">
      <c r="B3497" s="26"/>
      <c r="C3497" s="28"/>
      <c r="D3497" s="27"/>
      <c r="E3497" s="29"/>
      <c r="F3497" s="29"/>
      <c r="G3497" s="29"/>
      <c r="H3497" s="30" t="str">
        <f t="shared" si="378"/>
        <v/>
      </c>
      <c r="I3497" s="31" t="str">
        <f>IF(OR(B3497="",C3497=""),"",IFERROR(E3497*IF(E3497="",0,VLOOKUP(C3497,'📦 Precios Proforma'!$B$5:$D$104,IF(D3497="DIA",2,3),FALSE)),0))</f>
        <v/>
      </c>
      <c r="J3497" s="31" t="str">
        <f t="shared" si="379"/>
        <v/>
      </c>
      <c r="K3497" s="31" t="str">
        <f t="shared" si="380"/>
        <v/>
      </c>
      <c r="L3497" s="31" t="str">
        <f>IF(OR(B3497="",C3497=""),"",IFERROR(E3497 / SUMIFS('📅 Resumen Diario'!$D$5:$D$504, '📅 Resumen Diario'!$B$5:$B$504, B3497, '📅 Resumen Diario'!$C$5:$C$504, D3497) * SUMIFS('📅 Resumen Diario'!$K$5:$K$504, '📅 Resumen Diario'!$B$5:$B$504, B3497, '📅 Resumen Diario'!$C$5:$C$504, D3497), 0))</f>
        <v/>
      </c>
      <c r="M3497" s="31" t="str">
        <f t="shared" si="381"/>
        <v/>
      </c>
      <c r="N3497" s="31" t="str">
        <f t="shared" si="382"/>
        <v/>
      </c>
      <c r="O3497" s="31" t="str">
        <f>IF(OR(B3497="",C3497=""),"",K3497-N3497 + IFERROR(E3497 / SUMIFS('📅 Resumen Diario'!$D$5:$D$504, '📅 Resumen Diario'!$B$5:$B$504, B3497, '📅 Resumen Diario'!$C$5:$C$504, D3497) * (SUMIFS('📋 Detalle Diario'!$E$5:$E$489, '📋 Detalle Diario'!$B$5:$B$489, B3497, '📋 Detalle Diario'!$C$5:$C$489, D3497) * 135 + SUMIFS('📋 Detalle Diario'!$I$5:$I$489, '📋 Detalle Diario'!$B$5:$B$489, B3497, '📋 Detalle Diario'!$C$5:$C$489, D3497) * 200), 0))</f>
        <v/>
      </c>
      <c r="P3497" s="32" t="str">
        <f t="shared" si="383"/>
        <v/>
      </c>
      <c r="Q3497" s="33" t="str">
        <f t="shared" si="384"/>
        <v/>
      </c>
    </row>
    <row r="3498" spans="2:17" ht="18" customHeight="1" x14ac:dyDescent="0.3">
      <c r="B3498" s="26"/>
      <c r="C3498" s="17"/>
      <c r="D3498" s="27"/>
      <c r="E3498" s="18"/>
      <c r="F3498" s="18"/>
      <c r="G3498" s="18"/>
      <c r="H3498" s="30" t="str">
        <f t="shared" si="378"/>
        <v/>
      </c>
      <c r="I3498" s="31" t="str">
        <f>IF(OR(B3498="",C3498=""),"",IFERROR(E3498*IF(E3498="",0,VLOOKUP(C3498,'📦 Precios Proforma'!$B$5:$D$104,IF(D3498="DIA",2,3),FALSE)),0))</f>
        <v/>
      </c>
      <c r="J3498" s="31" t="str">
        <f t="shared" si="379"/>
        <v/>
      </c>
      <c r="K3498" s="31" t="str">
        <f t="shared" si="380"/>
        <v/>
      </c>
      <c r="L3498" s="31" t="str">
        <f>IF(OR(B3498="",C3498=""),"",IFERROR(E3498 / SUMIFS('📅 Resumen Diario'!$D$5:$D$504, '📅 Resumen Diario'!$B$5:$B$504, B3498, '📅 Resumen Diario'!$C$5:$C$504, D3498) * SUMIFS('📅 Resumen Diario'!$K$5:$K$504, '📅 Resumen Diario'!$B$5:$B$504, B3498, '📅 Resumen Diario'!$C$5:$C$504, D3498), 0))</f>
        <v/>
      </c>
      <c r="M3498" s="31" t="str">
        <f t="shared" si="381"/>
        <v/>
      </c>
      <c r="N3498" s="31" t="str">
        <f t="shared" si="382"/>
        <v/>
      </c>
      <c r="O3498" s="31" t="str">
        <f>IF(OR(B3498="",C3498=""),"",K3498-N3498 + IFERROR(E3498 / SUMIFS('📅 Resumen Diario'!$D$5:$D$504, '📅 Resumen Diario'!$B$5:$B$504, B3498, '📅 Resumen Diario'!$C$5:$C$504, D3498) * (SUMIFS('📋 Detalle Diario'!$E$5:$E$489, '📋 Detalle Diario'!$B$5:$B$489, B3498, '📋 Detalle Diario'!$C$5:$C$489, D3498) * 135 + SUMIFS('📋 Detalle Diario'!$I$5:$I$489, '📋 Detalle Diario'!$B$5:$B$489, B3498, '📋 Detalle Diario'!$C$5:$C$489, D3498) * 200), 0))</f>
        <v/>
      </c>
      <c r="P3498" s="32" t="str">
        <f t="shared" si="383"/>
        <v/>
      </c>
      <c r="Q3498" s="33" t="str">
        <f t="shared" si="384"/>
        <v/>
      </c>
    </row>
    <row r="3499" spans="2:17" ht="18" customHeight="1" x14ac:dyDescent="0.3">
      <c r="B3499" s="26"/>
      <c r="C3499" s="28"/>
      <c r="D3499" s="27"/>
      <c r="E3499" s="29"/>
      <c r="F3499" s="29"/>
      <c r="G3499" s="29"/>
      <c r="H3499" s="30" t="str">
        <f t="shared" si="378"/>
        <v/>
      </c>
      <c r="I3499" s="31" t="str">
        <f>IF(OR(B3499="",C3499=""),"",IFERROR(E3499*IF(E3499="",0,VLOOKUP(C3499,'📦 Precios Proforma'!$B$5:$D$104,IF(D3499="DIA",2,3),FALSE)),0))</f>
        <v/>
      </c>
      <c r="J3499" s="31" t="str">
        <f t="shared" si="379"/>
        <v/>
      </c>
      <c r="K3499" s="31" t="str">
        <f t="shared" si="380"/>
        <v/>
      </c>
      <c r="L3499" s="31" t="str">
        <f>IF(OR(B3499="",C3499=""),"",IFERROR(E3499 / SUMIFS('📅 Resumen Diario'!$D$5:$D$504, '📅 Resumen Diario'!$B$5:$B$504, B3499, '📅 Resumen Diario'!$C$5:$C$504, D3499) * SUMIFS('📅 Resumen Diario'!$K$5:$K$504, '📅 Resumen Diario'!$B$5:$B$504, B3499, '📅 Resumen Diario'!$C$5:$C$504, D3499), 0))</f>
        <v/>
      </c>
      <c r="M3499" s="31" t="str">
        <f t="shared" si="381"/>
        <v/>
      </c>
      <c r="N3499" s="31" t="str">
        <f t="shared" si="382"/>
        <v/>
      </c>
      <c r="O3499" s="31" t="str">
        <f>IF(OR(B3499="",C3499=""),"",K3499-N3499 + IFERROR(E3499 / SUMIFS('📅 Resumen Diario'!$D$5:$D$504, '📅 Resumen Diario'!$B$5:$B$504, B3499, '📅 Resumen Diario'!$C$5:$C$504, D3499) * (SUMIFS('📋 Detalle Diario'!$E$5:$E$489, '📋 Detalle Diario'!$B$5:$B$489, B3499, '📋 Detalle Diario'!$C$5:$C$489, D3499) * 135 + SUMIFS('📋 Detalle Diario'!$I$5:$I$489, '📋 Detalle Diario'!$B$5:$B$489, B3499, '📋 Detalle Diario'!$C$5:$C$489, D3499) * 200), 0))</f>
        <v/>
      </c>
      <c r="P3499" s="32" t="str">
        <f t="shared" si="383"/>
        <v/>
      </c>
      <c r="Q3499" s="33" t="str">
        <f t="shared" si="384"/>
        <v/>
      </c>
    </row>
    <row r="3500" spans="2:17" ht="18" customHeight="1" x14ac:dyDescent="0.3">
      <c r="B3500" s="26"/>
      <c r="C3500" s="17"/>
      <c r="D3500" s="27"/>
      <c r="E3500" s="18"/>
      <c r="F3500" s="18"/>
      <c r="G3500" s="18"/>
      <c r="H3500" s="30" t="str">
        <f t="shared" si="378"/>
        <v/>
      </c>
      <c r="I3500" s="31" t="str">
        <f>IF(OR(B3500="",C3500=""),"",IFERROR(E3500*IF(E3500="",0,VLOOKUP(C3500,'📦 Precios Proforma'!$B$5:$D$104,IF(D3500="DIA",2,3),FALSE)),0))</f>
        <v/>
      </c>
      <c r="J3500" s="31" t="str">
        <f t="shared" si="379"/>
        <v/>
      </c>
      <c r="K3500" s="31" t="str">
        <f t="shared" si="380"/>
        <v/>
      </c>
      <c r="L3500" s="31" t="str">
        <f>IF(OR(B3500="",C3500=""),"",IFERROR(E3500 / SUMIFS('📅 Resumen Diario'!$D$5:$D$504, '📅 Resumen Diario'!$B$5:$B$504, B3500, '📅 Resumen Diario'!$C$5:$C$504, D3500) * SUMIFS('📅 Resumen Diario'!$K$5:$K$504, '📅 Resumen Diario'!$B$5:$B$504, B3500, '📅 Resumen Diario'!$C$5:$C$504, D3500), 0))</f>
        <v/>
      </c>
      <c r="M3500" s="31" t="str">
        <f t="shared" si="381"/>
        <v/>
      </c>
      <c r="N3500" s="31" t="str">
        <f t="shared" si="382"/>
        <v/>
      </c>
      <c r="O3500" s="31" t="str">
        <f>IF(OR(B3500="",C3500=""),"",K3500-N3500 + IFERROR(E3500 / SUMIFS('📅 Resumen Diario'!$D$5:$D$504, '📅 Resumen Diario'!$B$5:$B$504, B3500, '📅 Resumen Diario'!$C$5:$C$504, D3500) * (SUMIFS('📋 Detalle Diario'!$E$5:$E$489, '📋 Detalle Diario'!$B$5:$B$489, B3500, '📋 Detalle Diario'!$C$5:$C$489, D3500) * 135 + SUMIFS('📋 Detalle Diario'!$I$5:$I$489, '📋 Detalle Diario'!$B$5:$B$489, B3500, '📋 Detalle Diario'!$C$5:$C$489, D3500) * 200), 0))</f>
        <v/>
      </c>
      <c r="P3500" s="32" t="str">
        <f t="shared" si="383"/>
        <v/>
      </c>
      <c r="Q3500" s="33" t="str">
        <f t="shared" si="384"/>
        <v/>
      </c>
    </row>
    <row r="3501" spans="2:17" ht="18" customHeight="1" x14ac:dyDescent="0.3">
      <c r="B3501" s="26"/>
      <c r="C3501" s="28"/>
      <c r="D3501" s="27"/>
      <c r="E3501" s="29"/>
      <c r="F3501" s="29"/>
      <c r="G3501" s="29"/>
      <c r="H3501" s="30" t="str">
        <f t="shared" si="378"/>
        <v/>
      </c>
      <c r="I3501" s="31" t="str">
        <f>IF(OR(B3501="",C3501=""),"",IFERROR(E3501*IF(E3501="",0,VLOOKUP(C3501,'📦 Precios Proforma'!$B$5:$D$104,IF(D3501="DIA",2,3),FALSE)),0))</f>
        <v/>
      </c>
      <c r="J3501" s="31" t="str">
        <f t="shared" si="379"/>
        <v/>
      </c>
      <c r="K3501" s="31" t="str">
        <f t="shared" si="380"/>
        <v/>
      </c>
      <c r="L3501" s="31" t="str">
        <f>IF(OR(B3501="",C3501=""),"",IFERROR(E3501 / SUMIFS('📅 Resumen Diario'!$D$5:$D$504, '📅 Resumen Diario'!$B$5:$B$504, B3501, '📅 Resumen Diario'!$C$5:$C$504, D3501) * SUMIFS('📅 Resumen Diario'!$K$5:$K$504, '📅 Resumen Diario'!$B$5:$B$504, B3501, '📅 Resumen Diario'!$C$5:$C$504, D3501), 0))</f>
        <v/>
      </c>
      <c r="M3501" s="31" t="str">
        <f t="shared" si="381"/>
        <v/>
      </c>
      <c r="N3501" s="31" t="str">
        <f t="shared" si="382"/>
        <v/>
      </c>
      <c r="O3501" s="31" t="str">
        <f>IF(OR(B3501="",C3501=""),"",K3501-N3501 + IFERROR(E3501 / SUMIFS('📅 Resumen Diario'!$D$5:$D$504, '📅 Resumen Diario'!$B$5:$B$504, B3501, '📅 Resumen Diario'!$C$5:$C$504, D3501) * (SUMIFS('📋 Detalle Diario'!$E$5:$E$489, '📋 Detalle Diario'!$B$5:$B$489, B3501, '📋 Detalle Diario'!$C$5:$C$489, D3501) * 135 + SUMIFS('📋 Detalle Diario'!$I$5:$I$489, '📋 Detalle Diario'!$B$5:$B$489, B3501, '📋 Detalle Diario'!$C$5:$C$489, D3501) * 200), 0))</f>
        <v/>
      </c>
      <c r="P3501" s="32" t="str">
        <f t="shared" si="383"/>
        <v/>
      </c>
      <c r="Q3501" s="33" t="str">
        <f t="shared" si="384"/>
        <v/>
      </c>
    </row>
    <row r="3502" spans="2:17" ht="18" customHeight="1" x14ac:dyDescent="0.3">
      <c r="B3502" s="26"/>
      <c r="C3502" s="17"/>
      <c r="D3502" s="27"/>
      <c r="E3502" s="18"/>
      <c r="F3502" s="18"/>
      <c r="G3502" s="18"/>
      <c r="H3502" s="30" t="str">
        <f t="shared" si="378"/>
        <v/>
      </c>
      <c r="I3502" s="31" t="str">
        <f>IF(OR(B3502="",C3502=""),"",IFERROR(E3502*IF(E3502="",0,VLOOKUP(C3502,'📦 Precios Proforma'!$B$5:$D$104,IF(D3502="DIA",2,3),FALSE)),0))</f>
        <v/>
      </c>
      <c r="J3502" s="31" t="str">
        <f t="shared" si="379"/>
        <v/>
      </c>
      <c r="K3502" s="31" t="str">
        <f t="shared" si="380"/>
        <v/>
      </c>
      <c r="L3502" s="31" t="str">
        <f>IF(OR(B3502="",C3502=""),"",IFERROR(E3502 / SUMIFS('📅 Resumen Diario'!$D$5:$D$504, '📅 Resumen Diario'!$B$5:$B$504, B3502, '📅 Resumen Diario'!$C$5:$C$504, D3502) * SUMIFS('📅 Resumen Diario'!$K$5:$K$504, '📅 Resumen Diario'!$B$5:$B$504, B3502, '📅 Resumen Diario'!$C$5:$C$504, D3502), 0))</f>
        <v/>
      </c>
      <c r="M3502" s="31" t="str">
        <f t="shared" si="381"/>
        <v/>
      </c>
      <c r="N3502" s="31" t="str">
        <f t="shared" si="382"/>
        <v/>
      </c>
      <c r="O3502" s="31" t="str">
        <f>IF(OR(B3502="",C3502=""),"",K3502-N3502 + IFERROR(E3502 / SUMIFS('📅 Resumen Diario'!$D$5:$D$504, '📅 Resumen Diario'!$B$5:$B$504, B3502, '📅 Resumen Diario'!$C$5:$C$504, D3502) * (SUMIFS('📋 Detalle Diario'!$E$5:$E$489, '📋 Detalle Diario'!$B$5:$B$489, B3502, '📋 Detalle Diario'!$C$5:$C$489, D3502) * 135 + SUMIFS('📋 Detalle Diario'!$I$5:$I$489, '📋 Detalle Diario'!$B$5:$B$489, B3502, '📋 Detalle Diario'!$C$5:$C$489, D3502) * 200), 0))</f>
        <v/>
      </c>
      <c r="P3502" s="32" t="str">
        <f t="shared" si="383"/>
        <v/>
      </c>
      <c r="Q3502" s="33" t="str">
        <f t="shared" si="384"/>
        <v/>
      </c>
    </row>
    <row r="3503" spans="2:17" ht="18" customHeight="1" x14ac:dyDescent="0.3">
      <c r="B3503" s="26"/>
      <c r="C3503" s="28"/>
      <c r="D3503" s="27"/>
      <c r="E3503" s="29"/>
      <c r="F3503" s="29"/>
      <c r="G3503" s="29"/>
      <c r="H3503" s="30" t="str">
        <f t="shared" si="378"/>
        <v/>
      </c>
      <c r="I3503" s="31" t="str">
        <f>IF(OR(B3503="",C3503=""),"",IFERROR(E3503*IF(E3503="",0,VLOOKUP(C3503,'📦 Precios Proforma'!$B$5:$D$104,IF(D3503="DIA",2,3),FALSE)),0))</f>
        <v/>
      </c>
      <c r="J3503" s="31" t="str">
        <f t="shared" si="379"/>
        <v/>
      </c>
      <c r="K3503" s="31" t="str">
        <f t="shared" si="380"/>
        <v/>
      </c>
      <c r="L3503" s="31" t="str">
        <f>IF(OR(B3503="",C3503=""),"",IFERROR(E3503 / SUMIFS('📅 Resumen Diario'!$D$5:$D$504, '📅 Resumen Diario'!$B$5:$B$504, B3503, '📅 Resumen Diario'!$C$5:$C$504, D3503) * SUMIFS('📅 Resumen Diario'!$K$5:$K$504, '📅 Resumen Diario'!$B$5:$B$504, B3503, '📅 Resumen Diario'!$C$5:$C$504, D3503), 0))</f>
        <v/>
      </c>
      <c r="M3503" s="31" t="str">
        <f t="shared" si="381"/>
        <v/>
      </c>
      <c r="N3503" s="31" t="str">
        <f t="shared" si="382"/>
        <v/>
      </c>
      <c r="O3503" s="31" t="str">
        <f>IF(OR(B3503="",C3503=""),"",K3503-N3503 + IFERROR(E3503 / SUMIFS('📅 Resumen Diario'!$D$5:$D$504, '📅 Resumen Diario'!$B$5:$B$504, B3503, '📅 Resumen Diario'!$C$5:$C$504, D3503) * (SUMIFS('📋 Detalle Diario'!$E$5:$E$489, '📋 Detalle Diario'!$B$5:$B$489, B3503, '📋 Detalle Diario'!$C$5:$C$489, D3503) * 135 + SUMIFS('📋 Detalle Diario'!$I$5:$I$489, '📋 Detalle Diario'!$B$5:$B$489, B3503, '📋 Detalle Diario'!$C$5:$C$489, D3503) * 200), 0))</f>
        <v/>
      </c>
      <c r="P3503" s="32" t="str">
        <f t="shared" si="383"/>
        <v/>
      </c>
      <c r="Q3503" s="33" t="str">
        <f t="shared" si="384"/>
        <v/>
      </c>
    </row>
    <row r="3504" spans="2:17" ht="18" customHeight="1" x14ac:dyDescent="0.3">
      <c r="B3504" s="26"/>
      <c r="C3504" s="17"/>
      <c r="D3504" s="27"/>
      <c r="E3504" s="18"/>
      <c r="F3504" s="18"/>
      <c r="G3504" s="18"/>
      <c r="H3504" s="30" t="str">
        <f t="shared" si="378"/>
        <v/>
      </c>
      <c r="I3504" s="31" t="str">
        <f>IF(OR(B3504="",C3504=""),"",IFERROR(E3504*IF(E3504="",0,VLOOKUP(C3504,'📦 Precios Proforma'!$B$5:$D$104,IF(D3504="DIA",2,3),FALSE)),0))</f>
        <v/>
      </c>
      <c r="J3504" s="31" t="str">
        <f t="shared" si="379"/>
        <v/>
      </c>
      <c r="K3504" s="31" t="str">
        <f t="shared" si="380"/>
        <v/>
      </c>
      <c r="L3504" s="31" t="str">
        <f>IF(OR(B3504="",C3504=""),"",IFERROR(E3504 / SUMIFS('📅 Resumen Diario'!$D$5:$D$504, '📅 Resumen Diario'!$B$5:$B$504, B3504, '📅 Resumen Diario'!$C$5:$C$504, D3504) * SUMIFS('📅 Resumen Diario'!$K$5:$K$504, '📅 Resumen Diario'!$B$5:$B$504, B3504, '📅 Resumen Diario'!$C$5:$C$504, D3504), 0))</f>
        <v/>
      </c>
      <c r="M3504" s="31" t="str">
        <f t="shared" si="381"/>
        <v/>
      </c>
      <c r="N3504" s="31" t="str">
        <f t="shared" si="382"/>
        <v/>
      </c>
      <c r="O3504" s="31" t="str">
        <f>IF(OR(B3504="",C3504=""),"",K3504-N3504 + IFERROR(E3504 / SUMIFS('📅 Resumen Diario'!$D$5:$D$504, '📅 Resumen Diario'!$B$5:$B$504, B3504, '📅 Resumen Diario'!$C$5:$C$504, D3504) * (SUMIFS('📋 Detalle Diario'!$E$5:$E$489, '📋 Detalle Diario'!$B$5:$B$489, B3504, '📋 Detalle Diario'!$C$5:$C$489, D3504) * 135 + SUMIFS('📋 Detalle Diario'!$I$5:$I$489, '📋 Detalle Diario'!$B$5:$B$489, B3504, '📋 Detalle Diario'!$C$5:$C$489, D3504) * 200), 0))</f>
        <v/>
      </c>
      <c r="P3504" s="32" t="str">
        <f t="shared" si="383"/>
        <v/>
      </c>
      <c r="Q3504" s="33" t="str">
        <f t="shared" si="384"/>
        <v/>
      </c>
    </row>
    <row r="3505" spans="2:17" ht="18" customHeight="1" x14ac:dyDescent="0.3">
      <c r="B3505" s="26"/>
      <c r="C3505" s="28"/>
      <c r="D3505" s="27"/>
      <c r="E3505" s="29"/>
      <c r="F3505" s="29"/>
      <c r="G3505" s="29"/>
      <c r="H3505" s="30" t="str">
        <f t="shared" si="378"/>
        <v/>
      </c>
      <c r="I3505" s="31" t="str">
        <f>IF(OR(B3505="",C3505=""),"",IFERROR(E3505*IF(E3505="",0,VLOOKUP(C3505,'📦 Precios Proforma'!$B$5:$D$104,IF(D3505="DIA",2,3),FALSE)),0))</f>
        <v/>
      </c>
      <c r="J3505" s="31" t="str">
        <f t="shared" si="379"/>
        <v/>
      </c>
      <c r="K3505" s="31" t="str">
        <f t="shared" si="380"/>
        <v/>
      </c>
      <c r="L3505" s="31" t="str">
        <f>IF(OR(B3505="",C3505=""),"",IFERROR(E3505 / SUMIFS('📅 Resumen Diario'!$D$5:$D$504, '📅 Resumen Diario'!$B$5:$B$504, B3505, '📅 Resumen Diario'!$C$5:$C$504, D3505) * SUMIFS('📅 Resumen Diario'!$K$5:$K$504, '📅 Resumen Diario'!$B$5:$B$504, B3505, '📅 Resumen Diario'!$C$5:$C$504, D3505), 0))</f>
        <v/>
      </c>
      <c r="M3505" s="31" t="str">
        <f t="shared" si="381"/>
        <v/>
      </c>
      <c r="N3505" s="31" t="str">
        <f t="shared" si="382"/>
        <v/>
      </c>
      <c r="O3505" s="31" t="str">
        <f>IF(OR(B3505="",C3505=""),"",K3505-N3505 + IFERROR(E3505 / SUMIFS('📅 Resumen Diario'!$D$5:$D$504, '📅 Resumen Diario'!$B$5:$B$504, B3505, '📅 Resumen Diario'!$C$5:$C$504, D3505) * (SUMIFS('📋 Detalle Diario'!$E$5:$E$489, '📋 Detalle Diario'!$B$5:$B$489, B3505, '📋 Detalle Diario'!$C$5:$C$489, D3505) * 135 + SUMIFS('📋 Detalle Diario'!$I$5:$I$489, '📋 Detalle Diario'!$B$5:$B$489, B3505, '📋 Detalle Diario'!$C$5:$C$489, D3505) * 200), 0))</f>
        <v/>
      </c>
      <c r="P3505" s="32" t="str">
        <f t="shared" si="383"/>
        <v/>
      </c>
      <c r="Q3505" s="33" t="str">
        <f t="shared" si="384"/>
        <v/>
      </c>
    </row>
    <row r="3506" spans="2:17" ht="18" customHeight="1" x14ac:dyDescent="0.3">
      <c r="B3506" s="26"/>
      <c r="C3506" s="17"/>
      <c r="D3506" s="27"/>
      <c r="E3506" s="18"/>
      <c r="F3506" s="18"/>
      <c r="G3506" s="18"/>
      <c r="H3506" s="30" t="str">
        <f t="shared" si="378"/>
        <v/>
      </c>
      <c r="I3506" s="31" t="str">
        <f>IF(OR(B3506="",C3506=""),"",IFERROR(E3506*IF(E3506="",0,VLOOKUP(C3506,'📦 Precios Proforma'!$B$5:$D$104,IF(D3506="DIA",2,3),FALSE)),0))</f>
        <v/>
      </c>
      <c r="J3506" s="31" t="str">
        <f t="shared" si="379"/>
        <v/>
      </c>
      <c r="K3506" s="31" t="str">
        <f t="shared" si="380"/>
        <v/>
      </c>
      <c r="L3506" s="31" t="str">
        <f>IF(OR(B3506="",C3506=""),"",IFERROR(E3506 / SUMIFS('📅 Resumen Diario'!$D$5:$D$504, '📅 Resumen Diario'!$B$5:$B$504, B3506, '📅 Resumen Diario'!$C$5:$C$504, D3506) * SUMIFS('📅 Resumen Diario'!$K$5:$K$504, '📅 Resumen Diario'!$B$5:$B$504, B3506, '📅 Resumen Diario'!$C$5:$C$504, D3506), 0))</f>
        <v/>
      </c>
      <c r="M3506" s="31" t="str">
        <f t="shared" si="381"/>
        <v/>
      </c>
      <c r="N3506" s="31" t="str">
        <f t="shared" si="382"/>
        <v/>
      </c>
      <c r="O3506" s="31" t="str">
        <f>IF(OR(B3506="",C3506=""),"",K3506-N3506 + IFERROR(E3506 / SUMIFS('📅 Resumen Diario'!$D$5:$D$504, '📅 Resumen Diario'!$B$5:$B$504, B3506, '📅 Resumen Diario'!$C$5:$C$504, D3506) * (SUMIFS('📋 Detalle Diario'!$E$5:$E$489, '📋 Detalle Diario'!$B$5:$B$489, B3506, '📋 Detalle Diario'!$C$5:$C$489, D3506) * 135 + SUMIFS('📋 Detalle Diario'!$I$5:$I$489, '📋 Detalle Diario'!$B$5:$B$489, B3506, '📋 Detalle Diario'!$C$5:$C$489, D3506) * 200), 0))</f>
        <v/>
      </c>
      <c r="P3506" s="32" t="str">
        <f t="shared" si="383"/>
        <v/>
      </c>
      <c r="Q3506" s="33" t="str">
        <f t="shared" si="384"/>
        <v/>
      </c>
    </row>
    <row r="3507" spans="2:17" ht="18" customHeight="1" x14ac:dyDescent="0.3">
      <c r="B3507" s="26"/>
      <c r="C3507" s="28"/>
      <c r="D3507" s="27"/>
      <c r="E3507" s="29"/>
      <c r="F3507" s="29"/>
      <c r="G3507" s="29"/>
      <c r="H3507" s="30" t="str">
        <f t="shared" si="378"/>
        <v/>
      </c>
      <c r="I3507" s="31" t="str">
        <f>IF(OR(B3507="",C3507=""),"",IFERROR(E3507*IF(E3507="",0,VLOOKUP(C3507,'📦 Precios Proforma'!$B$5:$D$104,IF(D3507="DIA",2,3),FALSE)),0))</f>
        <v/>
      </c>
      <c r="J3507" s="31" t="str">
        <f t="shared" si="379"/>
        <v/>
      </c>
      <c r="K3507" s="31" t="str">
        <f t="shared" si="380"/>
        <v/>
      </c>
      <c r="L3507" s="31" t="str">
        <f>IF(OR(B3507="",C3507=""),"",IFERROR(E3507 / SUMIFS('📅 Resumen Diario'!$D$5:$D$504, '📅 Resumen Diario'!$B$5:$B$504, B3507, '📅 Resumen Diario'!$C$5:$C$504, D3507) * SUMIFS('📅 Resumen Diario'!$K$5:$K$504, '📅 Resumen Diario'!$B$5:$B$504, B3507, '📅 Resumen Diario'!$C$5:$C$504, D3507), 0))</f>
        <v/>
      </c>
      <c r="M3507" s="31" t="str">
        <f t="shared" si="381"/>
        <v/>
      </c>
      <c r="N3507" s="31" t="str">
        <f t="shared" si="382"/>
        <v/>
      </c>
      <c r="O3507" s="31" t="str">
        <f>IF(OR(B3507="",C3507=""),"",K3507-N3507 + IFERROR(E3507 / SUMIFS('📅 Resumen Diario'!$D$5:$D$504, '📅 Resumen Diario'!$B$5:$B$504, B3507, '📅 Resumen Diario'!$C$5:$C$504, D3507) * (SUMIFS('📋 Detalle Diario'!$E$5:$E$489, '📋 Detalle Diario'!$B$5:$B$489, B3507, '📋 Detalle Diario'!$C$5:$C$489, D3507) * 135 + SUMIFS('📋 Detalle Diario'!$I$5:$I$489, '📋 Detalle Diario'!$B$5:$B$489, B3507, '📋 Detalle Diario'!$C$5:$C$489, D3507) * 200), 0))</f>
        <v/>
      </c>
      <c r="P3507" s="32" t="str">
        <f t="shared" si="383"/>
        <v/>
      </c>
      <c r="Q3507" s="33" t="str">
        <f t="shared" si="384"/>
        <v/>
      </c>
    </row>
    <row r="3508" spans="2:17" ht="18" customHeight="1" x14ac:dyDescent="0.3">
      <c r="B3508" s="26"/>
      <c r="C3508" s="17"/>
      <c r="D3508" s="27"/>
      <c r="E3508" s="18"/>
      <c r="F3508" s="18"/>
      <c r="G3508" s="18"/>
      <c r="H3508" s="30" t="str">
        <f t="shared" si="378"/>
        <v/>
      </c>
      <c r="I3508" s="31" t="str">
        <f>IF(OR(B3508="",C3508=""),"",IFERROR(E3508*IF(E3508="",0,VLOOKUP(C3508,'📦 Precios Proforma'!$B$5:$D$104,IF(D3508="DIA",2,3),FALSE)),0))</f>
        <v/>
      </c>
      <c r="J3508" s="31" t="str">
        <f t="shared" si="379"/>
        <v/>
      </c>
      <c r="K3508" s="31" t="str">
        <f t="shared" si="380"/>
        <v/>
      </c>
      <c r="L3508" s="31" t="str">
        <f>IF(OR(B3508="",C3508=""),"",IFERROR(E3508 / SUMIFS('📅 Resumen Diario'!$D$5:$D$504, '📅 Resumen Diario'!$B$5:$B$504, B3508, '📅 Resumen Diario'!$C$5:$C$504, D3508) * SUMIFS('📅 Resumen Diario'!$K$5:$K$504, '📅 Resumen Diario'!$B$5:$B$504, B3508, '📅 Resumen Diario'!$C$5:$C$504, D3508), 0))</f>
        <v/>
      </c>
      <c r="M3508" s="31" t="str">
        <f t="shared" si="381"/>
        <v/>
      </c>
      <c r="N3508" s="31" t="str">
        <f t="shared" si="382"/>
        <v/>
      </c>
      <c r="O3508" s="31" t="str">
        <f>IF(OR(B3508="",C3508=""),"",K3508-N3508 + IFERROR(E3508 / SUMIFS('📅 Resumen Diario'!$D$5:$D$504, '📅 Resumen Diario'!$B$5:$B$504, B3508, '📅 Resumen Diario'!$C$5:$C$504, D3508) * (SUMIFS('📋 Detalle Diario'!$E$5:$E$489, '📋 Detalle Diario'!$B$5:$B$489, B3508, '📋 Detalle Diario'!$C$5:$C$489, D3508) * 135 + SUMIFS('📋 Detalle Diario'!$I$5:$I$489, '📋 Detalle Diario'!$B$5:$B$489, B3508, '📋 Detalle Diario'!$C$5:$C$489, D3508) * 200), 0))</f>
        <v/>
      </c>
      <c r="P3508" s="32" t="str">
        <f t="shared" si="383"/>
        <v/>
      </c>
      <c r="Q3508" s="33" t="str">
        <f t="shared" si="384"/>
        <v/>
      </c>
    </row>
    <row r="3509" spans="2:17" ht="18" customHeight="1" x14ac:dyDescent="0.3">
      <c r="B3509" s="26"/>
      <c r="C3509" s="28"/>
      <c r="D3509" s="27"/>
      <c r="E3509" s="29"/>
      <c r="F3509" s="29"/>
      <c r="G3509" s="29"/>
      <c r="H3509" s="30" t="str">
        <f t="shared" si="378"/>
        <v/>
      </c>
      <c r="I3509" s="31" t="str">
        <f>IF(OR(B3509="",C3509=""),"",IFERROR(E3509*IF(E3509="",0,VLOOKUP(C3509,'📦 Precios Proforma'!$B$5:$D$104,IF(D3509="DIA",2,3),FALSE)),0))</f>
        <v/>
      </c>
      <c r="J3509" s="31" t="str">
        <f t="shared" si="379"/>
        <v/>
      </c>
      <c r="K3509" s="31" t="str">
        <f t="shared" si="380"/>
        <v/>
      </c>
      <c r="L3509" s="31" t="str">
        <f>IF(OR(B3509="",C3509=""),"",IFERROR(E3509 / SUMIFS('📅 Resumen Diario'!$D$5:$D$504, '📅 Resumen Diario'!$B$5:$B$504, B3509, '📅 Resumen Diario'!$C$5:$C$504, D3509) * SUMIFS('📅 Resumen Diario'!$K$5:$K$504, '📅 Resumen Diario'!$B$5:$B$504, B3509, '📅 Resumen Diario'!$C$5:$C$504, D3509), 0))</f>
        <v/>
      </c>
      <c r="M3509" s="31" t="str">
        <f t="shared" si="381"/>
        <v/>
      </c>
      <c r="N3509" s="31" t="str">
        <f t="shared" si="382"/>
        <v/>
      </c>
      <c r="O3509" s="31" t="str">
        <f>IF(OR(B3509="",C3509=""),"",K3509-N3509 + IFERROR(E3509 / SUMIFS('📅 Resumen Diario'!$D$5:$D$504, '📅 Resumen Diario'!$B$5:$B$504, B3509, '📅 Resumen Diario'!$C$5:$C$504, D3509) * (SUMIFS('📋 Detalle Diario'!$E$5:$E$489, '📋 Detalle Diario'!$B$5:$B$489, B3509, '📋 Detalle Diario'!$C$5:$C$489, D3509) * 135 + SUMIFS('📋 Detalle Diario'!$I$5:$I$489, '📋 Detalle Diario'!$B$5:$B$489, B3509, '📋 Detalle Diario'!$C$5:$C$489, D3509) * 200), 0))</f>
        <v/>
      </c>
      <c r="P3509" s="32" t="str">
        <f t="shared" si="383"/>
        <v/>
      </c>
      <c r="Q3509" s="33" t="str">
        <f t="shared" si="384"/>
        <v/>
      </c>
    </row>
    <row r="3510" spans="2:17" ht="18" customHeight="1" x14ac:dyDescent="0.3">
      <c r="B3510" s="26"/>
      <c r="C3510" s="17"/>
      <c r="D3510" s="27"/>
      <c r="E3510" s="18"/>
      <c r="F3510" s="18"/>
      <c r="G3510" s="18"/>
      <c r="H3510" s="30" t="str">
        <f t="shared" si="378"/>
        <v/>
      </c>
      <c r="I3510" s="31" t="str">
        <f>IF(OR(B3510="",C3510=""),"",IFERROR(E3510*IF(E3510="",0,VLOOKUP(C3510,'📦 Precios Proforma'!$B$5:$D$104,IF(D3510="DIA",2,3),FALSE)),0))</f>
        <v/>
      </c>
      <c r="J3510" s="31" t="str">
        <f t="shared" si="379"/>
        <v/>
      </c>
      <c r="K3510" s="31" t="str">
        <f t="shared" si="380"/>
        <v/>
      </c>
      <c r="L3510" s="31" t="str">
        <f>IF(OR(B3510="",C3510=""),"",IFERROR(E3510 / SUMIFS('📅 Resumen Diario'!$D$5:$D$504, '📅 Resumen Diario'!$B$5:$B$504, B3510, '📅 Resumen Diario'!$C$5:$C$504, D3510) * SUMIFS('📅 Resumen Diario'!$K$5:$K$504, '📅 Resumen Diario'!$B$5:$B$504, B3510, '📅 Resumen Diario'!$C$5:$C$504, D3510), 0))</f>
        <v/>
      </c>
      <c r="M3510" s="31" t="str">
        <f t="shared" si="381"/>
        <v/>
      </c>
      <c r="N3510" s="31" t="str">
        <f t="shared" si="382"/>
        <v/>
      </c>
      <c r="O3510" s="31" t="str">
        <f>IF(OR(B3510="",C3510=""),"",K3510-N3510 + IFERROR(E3510 / SUMIFS('📅 Resumen Diario'!$D$5:$D$504, '📅 Resumen Diario'!$B$5:$B$504, B3510, '📅 Resumen Diario'!$C$5:$C$504, D3510) * (SUMIFS('📋 Detalle Diario'!$E$5:$E$489, '📋 Detalle Diario'!$B$5:$B$489, B3510, '📋 Detalle Diario'!$C$5:$C$489, D3510) * 135 + SUMIFS('📋 Detalle Diario'!$I$5:$I$489, '📋 Detalle Diario'!$B$5:$B$489, B3510, '📋 Detalle Diario'!$C$5:$C$489, D3510) * 200), 0))</f>
        <v/>
      </c>
      <c r="P3510" s="32" t="str">
        <f t="shared" si="383"/>
        <v/>
      </c>
      <c r="Q3510" s="33" t="str">
        <f t="shared" si="384"/>
        <v/>
      </c>
    </row>
    <row r="3511" spans="2:17" ht="18" customHeight="1" x14ac:dyDescent="0.3">
      <c r="B3511" s="26"/>
      <c r="C3511" s="28"/>
      <c r="D3511" s="27"/>
      <c r="E3511" s="29"/>
      <c r="F3511" s="29"/>
      <c r="G3511" s="29"/>
      <c r="H3511" s="30" t="str">
        <f t="shared" si="378"/>
        <v/>
      </c>
      <c r="I3511" s="31" t="str">
        <f>IF(OR(B3511="",C3511=""),"",IFERROR(E3511*IF(E3511="",0,VLOOKUP(C3511,'📦 Precios Proforma'!$B$5:$D$104,IF(D3511="DIA",2,3),FALSE)),0))</f>
        <v/>
      </c>
      <c r="J3511" s="31" t="str">
        <f t="shared" si="379"/>
        <v/>
      </c>
      <c r="K3511" s="31" t="str">
        <f t="shared" si="380"/>
        <v/>
      </c>
      <c r="L3511" s="31" t="str">
        <f>IF(OR(B3511="",C3511=""),"",IFERROR(E3511 / SUMIFS('📅 Resumen Diario'!$D$5:$D$504, '📅 Resumen Diario'!$B$5:$B$504, B3511, '📅 Resumen Diario'!$C$5:$C$504, D3511) * SUMIFS('📅 Resumen Diario'!$K$5:$K$504, '📅 Resumen Diario'!$B$5:$B$504, B3511, '📅 Resumen Diario'!$C$5:$C$504, D3511), 0))</f>
        <v/>
      </c>
      <c r="M3511" s="31" t="str">
        <f t="shared" si="381"/>
        <v/>
      </c>
      <c r="N3511" s="31" t="str">
        <f t="shared" si="382"/>
        <v/>
      </c>
      <c r="O3511" s="31" t="str">
        <f>IF(OR(B3511="",C3511=""),"",K3511-N3511 + IFERROR(E3511 / SUMIFS('📅 Resumen Diario'!$D$5:$D$504, '📅 Resumen Diario'!$B$5:$B$504, B3511, '📅 Resumen Diario'!$C$5:$C$504, D3511) * (SUMIFS('📋 Detalle Diario'!$E$5:$E$489, '📋 Detalle Diario'!$B$5:$B$489, B3511, '📋 Detalle Diario'!$C$5:$C$489, D3511) * 135 + SUMIFS('📋 Detalle Diario'!$I$5:$I$489, '📋 Detalle Diario'!$B$5:$B$489, B3511, '📋 Detalle Diario'!$C$5:$C$489, D3511) * 200), 0))</f>
        <v/>
      </c>
      <c r="P3511" s="32" t="str">
        <f t="shared" si="383"/>
        <v/>
      </c>
      <c r="Q3511" s="33" t="str">
        <f t="shared" si="384"/>
        <v/>
      </c>
    </row>
    <row r="3512" spans="2:17" ht="18" customHeight="1" x14ac:dyDescent="0.3">
      <c r="B3512" s="26"/>
      <c r="C3512" s="17"/>
      <c r="D3512" s="27"/>
      <c r="E3512" s="18"/>
      <c r="F3512" s="18"/>
      <c r="G3512" s="18"/>
      <c r="H3512" s="30" t="str">
        <f t="shared" si="378"/>
        <v/>
      </c>
      <c r="I3512" s="31" t="str">
        <f>IF(OR(B3512="",C3512=""),"",IFERROR(E3512*IF(E3512="",0,VLOOKUP(C3512,'📦 Precios Proforma'!$B$5:$D$104,IF(D3512="DIA",2,3),FALSE)),0))</f>
        <v/>
      </c>
      <c r="J3512" s="31" t="str">
        <f t="shared" si="379"/>
        <v/>
      </c>
      <c r="K3512" s="31" t="str">
        <f t="shared" si="380"/>
        <v/>
      </c>
      <c r="L3512" s="31" t="str">
        <f>IF(OR(B3512="",C3512=""),"",IFERROR(E3512 / SUMIFS('📅 Resumen Diario'!$D$5:$D$504, '📅 Resumen Diario'!$B$5:$B$504, B3512, '📅 Resumen Diario'!$C$5:$C$504, D3512) * SUMIFS('📅 Resumen Diario'!$K$5:$K$504, '📅 Resumen Diario'!$B$5:$B$504, B3512, '📅 Resumen Diario'!$C$5:$C$504, D3512), 0))</f>
        <v/>
      </c>
      <c r="M3512" s="31" t="str">
        <f t="shared" si="381"/>
        <v/>
      </c>
      <c r="N3512" s="31" t="str">
        <f t="shared" si="382"/>
        <v/>
      </c>
      <c r="O3512" s="31" t="str">
        <f>IF(OR(B3512="",C3512=""),"",K3512-N3512 + IFERROR(E3512 / SUMIFS('📅 Resumen Diario'!$D$5:$D$504, '📅 Resumen Diario'!$B$5:$B$504, B3512, '📅 Resumen Diario'!$C$5:$C$504, D3512) * (SUMIFS('📋 Detalle Diario'!$E$5:$E$489, '📋 Detalle Diario'!$B$5:$B$489, B3512, '📋 Detalle Diario'!$C$5:$C$489, D3512) * 135 + SUMIFS('📋 Detalle Diario'!$I$5:$I$489, '📋 Detalle Diario'!$B$5:$B$489, B3512, '📋 Detalle Diario'!$C$5:$C$489, D3512) * 200), 0))</f>
        <v/>
      </c>
      <c r="P3512" s="32" t="str">
        <f t="shared" si="383"/>
        <v/>
      </c>
      <c r="Q3512" s="33" t="str">
        <f t="shared" si="384"/>
        <v/>
      </c>
    </row>
    <row r="3513" spans="2:17" ht="18" customHeight="1" x14ac:dyDescent="0.3">
      <c r="B3513" s="26"/>
      <c r="C3513" s="28"/>
      <c r="D3513" s="27"/>
      <c r="E3513" s="29"/>
      <c r="F3513" s="29"/>
      <c r="G3513" s="29"/>
      <c r="H3513" s="30" t="str">
        <f t="shared" si="378"/>
        <v/>
      </c>
      <c r="I3513" s="31" t="str">
        <f>IF(OR(B3513="",C3513=""),"",IFERROR(E3513*IF(E3513="",0,VLOOKUP(C3513,'📦 Precios Proforma'!$B$5:$D$104,IF(D3513="DIA",2,3),FALSE)),0))</f>
        <v/>
      </c>
      <c r="J3513" s="31" t="str">
        <f t="shared" si="379"/>
        <v/>
      </c>
      <c r="K3513" s="31" t="str">
        <f t="shared" si="380"/>
        <v/>
      </c>
      <c r="L3513" s="31" t="str">
        <f>IF(OR(B3513="",C3513=""),"",IFERROR(E3513 / SUMIFS('📅 Resumen Diario'!$D$5:$D$504, '📅 Resumen Diario'!$B$5:$B$504, B3513, '📅 Resumen Diario'!$C$5:$C$504, D3513) * SUMIFS('📅 Resumen Diario'!$K$5:$K$504, '📅 Resumen Diario'!$B$5:$B$504, B3513, '📅 Resumen Diario'!$C$5:$C$504, D3513), 0))</f>
        <v/>
      </c>
      <c r="M3513" s="31" t="str">
        <f t="shared" si="381"/>
        <v/>
      </c>
      <c r="N3513" s="31" t="str">
        <f t="shared" si="382"/>
        <v/>
      </c>
      <c r="O3513" s="31" t="str">
        <f>IF(OR(B3513="",C3513=""),"",K3513-N3513 + IFERROR(E3513 / SUMIFS('📅 Resumen Diario'!$D$5:$D$504, '📅 Resumen Diario'!$B$5:$B$504, B3513, '📅 Resumen Diario'!$C$5:$C$504, D3513) * (SUMIFS('📋 Detalle Diario'!$E$5:$E$489, '📋 Detalle Diario'!$B$5:$B$489, B3513, '📋 Detalle Diario'!$C$5:$C$489, D3513) * 135 + SUMIFS('📋 Detalle Diario'!$I$5:$I$489, '📋 Detalle Diario'!$B$5:$B$489, B3513, '📋 Detalle Diario'!$C$5:$C$489, D3513) * 200), 0))</f>
        <v/>
      </c>
      <c r="P3513" s="32" t="str">
        <f t="shared" si="383"/>
        <v/>
      </c>
      <c r="Q3513" s="33" t="str">
        <f t="shared" si="384"/>
        <v/>
      </c>
    </row>
    <row r="3514" spans="2:17" ht="18" customHeight="1" x14ac:dyDescent="0.3">
      <c r="B3514" s="26"/>
      <c r="C3514" s="17"/>
      <c r="D3514" s="27"/>
      <c r="E3514" s="18"/>
      <c r="F3514" s="18"/>
      <c r="G3514" s="18"/>
      <c r="H3514" s="30" t="str">
        <f t="shared" si="378"/>
        <v/>
      </c>
      <c r="I3514" s="31" t="str">
        <f>IF(OR(B3514="",C3514=""),"",IFERROR(E3514*IF(E3514="",0,VLOOKUP(C3514,'📦 Precios Proforma'!$B$5:$D$104,IF(D3514="DIA",2,3),FALSE)),0))</f>
        <v/>
      </c>
      <c r="J3514" s="31" t="str">
        <f t="shared" si="379"/>
        <v/>
      </c>
      <c r="K3514" s="31" t="str">
        <f t="shared" si="380"/>
        <v/>
      </c>
      <c r="L3514" s="31" t="str">
        <f>IF(OR(B3514="",C3514=""),"",IFERROR(E3514 / SUMIFS('📅 Resumen Diario'!$D$5:$D$504, '📅 Resumen Diario'!$B$5:$B$504, B3514, '📅 Resumen Diario'!$C$5:$C$504, D3514) * SUMIFS('📅 Resumen Diario'!$K$5:$K$504, '📅 Resumen Diario'!$B$5:$B$504, B3514, '📅 Resumen Diario'!$C$5:$C$504, D3514), 0))</f>
        <v/>
      </c>
      <c r="M3514" s="31" t="str">
        <f t="shared" si="381"/>
        <v/>
      </c>
      <c r="N3514" s="31" t="str">
        <f t="shared" si="382"/>
        <v/>
      </c>
      <c r="O3514" s="31" t="str">
        <f>IF(OR(B3514="",C3514=""),"",K3514-N3514 + IFERROR(E3514 / SUMIFS('📅 Resumen Diario'!$D$5:$D$504, '📅 Resumen Diario'!$B$5:$B$504, B3514, '📅 Resumen Diario'!$C$5:$C$504, D3514) * (SUMIFS('📋 Detalle Diario'!$E$5:$E$489, '📋 Detalle Diario'!$B$5:$B$489, B3514, '📋 Detalle Diario'!$C$5:$C$489, D3514) * 135 + SUMIFS('📋 Detalle Diario'!$I$5:$I$489, '📋 Detalle Diario'!$B$5:$B$489, B3514, '📋 Detalle Diario'!$C$5:$C$489, D3514) * 200), 0))</f>
        <v/>
      </c>
      <c r="P3514" s="32" t="str">
        <f t="shared" si="383"/>
        <v/>
      </c>
      <c r="Q3514" s="33" t="str">
        <f t="shared" si="384"/>
        <v/>
      </c>
    </row>
    <row r="3515" spans="2:17" ht="18" customHeight="1" x14ac:dyDescent="0.3">
      <c r="B3515" s="26"/>
      <c r="C3515" s="28"/>
      <c r="D3515" s="27"/>
      <c r="E3515" s="29"/>
      <c r="F3515" s="29"/>
      <c r="G3515" s="29"/>
      <c r="H3515" s="30" t="str">
        <f t="shared" si="378"/>
        <v/>
      </c>
      <c r="I3515" s="31" t="str">
        <f>IF(OR(B3515="",C3515=""),"",IFERROR(E3515*IF(E3515="",0,VLOOKUP(C3515,'📦 Precios Proforma'!$B$5:$D$104,IF(D3515="DIA",2,3),FALSE)),0))</f>
        <v/>
      </c>
      <c r="J3515" s="31" t="str">
        <f t="shared" si="379"/>
        <v/>
      </c>
      <c r="K3515" s="31" t="str">
        <f t="shared" si="380"/>
        <v/>
      </c>
      <c r="L3515" s="31" t="str">
        <f>IF(OR(B3515="",C3515=""),"",IFERROR(E3515 / SUMIFS('📅 Resumen Diario'!$D$5:$D$504, '📅 Resumen Diario'!$B$5:$B$504, B3515, '📅 Resumen Diario'!$C$5:$C$504, D3515) * SUMIFS('📅 Resumen Diario'!$K$5:$K$504, '📅 Resumen Diario'!$B$5:$B$504, B3515, '📅 Resumen Diario'!$C$5:$C$504, D3515), 0))</f>
        <v/>
      </c>
      <c r="M3515" s="31" t="str">
        <f t="shared" si="381"/>
        <v/>
      </c>
      <c r="N3515" s="31" t="str">
        <f t="shared" si="382"/>
        <v/>
      </c>
      <c r="O3515" s="31" t="str">
        <f>IF(OR(B3515="",C3515=""),"",K3515-N3515 + IFERROR(E3515 / SUMIFS('📅 Resumen Diario'!$D$5:$D$504, '📅 Resumen Diario'!$B$5:$B$504, B3515, '📅 Resumen Diario'!$C$5:$C$504, D3515) * (SUMIFS('📋 Detalle Diario'!$E$5:$E$489, '📋 Detalle Diario'!$B$5:$B$489, B3515, '📋 Detalle Diario'!$C$5:$C$489, D3515) * 135 + SUMIFS('📋 Detalle Diario'!$I$5:$I$489, '📋 Detalle Diario'!$B$5:$B$489, B3515, '📋 Detalle Diario'!$C$5:$C$489, D3515) * 200), 0))</f>
        <v/>
      </c>
      <c r="P3515" s="32" t="str">
        <f t="shared" si="383"/>
        <v/>
      </c>
      <c r="Q3515" s="33" t="str">
        <f t="shared" si="384"/>
        <v/>
      </c>
    </row>
    <row r="3516" spans="2:17" ht="18" customHeight="1" x14ac:dyDescent="0.3">
      <c r="B3516" s="26"/>
      <c r="C3516" s="17"/>
      <c r="D3516" s="27"/>
      <c r="E3516" s="18"/>
      <c r="F3516" s="18"/>
      <c r="G3516" s="18"/>
      <c r="H3516" s="30" t="str">
        <f t="shared" si="378"/>
        <v/>
      </c>
      <c r="I3516" s="31" t="str">
        <f>IF(OR(B3516="",C3516=""),"",IFERROR(E3516*IF(E3516="",0,VLOOKUP(C3516,'📦 Precios Proforma'!$B$5:$D$104,IF(D3516="DIA",2,3),FALSE)),0))</f>
        <v/>
      </c>
      <c r="J3516" s="31" t="str">
        <f t="shared" si="379"/>
        <v/>
      </c>
      <c r="K3516" s="31" t="str">
        <f t="shared" si="380"/>
        <v/>
      </c>
      <c r="L3516" s="31" t="str">
        <f>IF(OR(B3516="",C3516=""),"",IFERROR(E3516 / SUMIFS('📅 Resumen Diario'!$D$5:$D$504, '📅 Resumen Diario'!$B$5:$B$504, B3516, '📅 Resumen Diario'!$C$5:$C$504, D3516) * SUMIFS('📅 Resumen Diario'!$K$5:$K$504, '📅 Resumen Diario'!$B$5:$B$504, B3516, '📅 Resumen Diario'!$C$5:$C$504, D3516), 0))</f>
        <v/>
      </c>
      <c r="M3516" s="31" t="str">
        <f t="shared" si="381"/>
        <v/>
      </c>
      <c r="N3516" s="31" t="str">
        <f t="shared" si="382"/>
        <v/>
      </c>
      <c r="O3516" s="31" t="str">
        <f>IF(OR(B3516="",C3516=""),"",K3516-N3516 + IFERROR(E3516 / SUMIFS('📅 Resumen Diario'!$D$5:$D$504, '📅 Resumen Diario'!$B$5:$B$504, B3516, '📅 Resumen Diario'!$C$5:$C$504, D3516) * (SUMIFS('📋 Detalle Diario'!$E$5:$E$489, '📋 Detalle Diario'!$B$5:$B$489, B3516, '📋 Detalle Diario'!$C$5:$C$489, D3516) * 135 + SUMIFS('📋 Detalle Diario'!$I$5:$I$489, '📋 Detalle Diario'!$B$5:$B$489, B3516, '📋 Detalle Diario'!$C$5:$C$489, D3516) * 200), 0))</f>
        <v/>
      </c>
      <c r="P3516" s="32" t="str">
        <f t="shared" si="383"/>
        <v/>
      </c>
      <c r="Q3516" s="33" t="str">
        <f t="shared" si="384"/>
        <v/>
      </c>
    </row>
    <row r="3517" spans="2:17" ht="18" customHeight="1" x14ac:dyDescent="0.3">
      <c r="B3517" s="26"/>
      <c r="C3517" s="28"/>
      <c r="D3517" s="27"/>
      <c r="E3517" s="29"/>
      <c r="F3517" s="29"/>
      <c r="G3517" s="29"/>
      <c r="H3517" s="30" t="str">
        <f t="shared" si="378"/>
        <v/>
      </c>
      <c r="I3517" s="31" t="str">
        <f>IF(OR(B3517="",C3517=""),"",IFERROR(E3517*IF(E3517="",0,VLOOKUP(C3517,'📦 Precios Proforma'!$B$5:$D$104,IF(D3517="DIA",2,3),FALSE)),0))</f>
        <v/>
      </c>
      <c r="J3517" s="31" t="str">
        <f t="shared" si="379"/>
        <v/>
      </c>
      <c r="K3517" s="31" t="str">
        <f t="shared" si="380"/>
        <v/>
      </c>
      <c r="L3517" s="31" t="str">
        <f>IF(OR(B3517="",C3517=""),"",IFERROR(E3517 / SUMIFS('📅 Resumen Diario'!$D$5:$D$504, '📅 Resumen Diario'!$B$5:$B$504, B3517, '📅 Resumen Diario'!$C$5:$C$504, D3517) * SUMIFS('📅 Resumen Diario'!$K$5:$K$504, '📅 Resumen Diario'!$B$5:$B$504, B3517, '📅 Resumen Diario'!$C$5:$C$504, D3517), 0))</f>
        <v/>
      </c>
      <c r="M3517" s="31" t="str">
        <f t="shared" si="381"/>
        <v/>
      </c>
      <c r="N3517" s="31" t="str">
        <f t="shared" si="382"/>
        <v/>
      </c>
      <c r="O3517" s="31" t="str">
        <f>IF(OR(B3517="",C3517=""),"",K3517-N3517 + IFERROR(E3517 / SUMIFS('📅 Resumen Diario'!$D$5:$D$504, '📅 Resumen Diario'!$B$5:$B$504, B3517, '📅 Resumen Diario'!$C$5:$C$504, D3517) * (SUMIFS('📋 Detalle Diario'!$E$5:$E$489, '📋 Detalle Diario'!$B$5:$B$489, B3517, '📋 Detalle Diario'!$C$5:$C$489, D3517) * 135 + SUMIFS('📋 Detalle Diario'!$I$5:$I$489, '📋 Detalle Diario'!$B$5:$B$489, B3517, '📋 Detalle Diario'!$C$5:$C$489, D3517) * 200), 0))</f>
        <v/>
      </c>
      <c r="P3517" s="32" t="str">
        <f t="shared" si="383"/>
        <v/>
      </c>
      <c r="Q3517" s="33" t="str">
        <f t="shared" si="384"/>
        <v/>
      </c>
    </row>
    <row r="3518" spans="2:17" ht="18" customHeight="1" x14ac:dyDescent="0.3">
      <c r="B3518" s="26"/>
      <c r="C3518" s="17"/>
      <c r="D3518" s="27"/>
      <c r="E3518" s="18"/>
      <c r="F3518" s="18"/>
      <c r="G3518" s="18"/>
      <c r="H3518" s="30" t="str">
        <f t="shared" si="378"/>
        <v/>
      </c>
      <c r="I3518" s="31" t="str">
        <f>IF(OR(B3518="",C3518=""),"",IFERROR(E3518*IF(E3518="",0,VLOOKUP(C3518,'📦 Precios Proforma'!$B$5:$D$104,IF(D3518="DIA",2,3),FALSE)),0))</f>
        <v/>
      </c>
      <c r="J3518" s="31" t="str">
        <f t="shared" si="379"/>
        <v/>
      </c>
      <c r="K3518" s="31" t="str">
        <f t="shared" si="380"/>
        <v/>
      </c>
      <c r="L3518" s="31" t="str">
        <f>IF(OR(B3518="",C3518=""),"",IFERROR(E3518 / SUMIFS('📅 Resumen Diario'!$D$5:$D$504, '📅 Resumen Diario'!$B$5:$B$504, B3518, '📅 Resumen Diario'!$C$5:$C$504, D3518) * SUMIFS('📅 Resumen Diario'!$K$5:$K$504, '📅 Resumen Diario'!$B$5:$B$504, B3518, '📅 Resumen Diario'!$C$5:$C$504, D3518), 0))</f>
        <v/>
      </c>
      <c r="M3518" s="31" t="str">
        <f t="shared" si="381"/>
        <v/>
      </c>
      <c r="N3518" s="31" t="str">
        <f t="shared" si="382"/>
        <v/>
      </c>
      <c r="O3518" s="31" t="str">
        <f>IF(OR(B3518="",C3518=""),"",K3518-N3518 + IFERROR(E3518 / SUMIFS('📅 Resumen Diario'!$D$5:$D$504, '📅 Resumen Diario'!$B$5:$B$504, B3518, '📅 Resumen Diario'!$C$5:$C$504, D3518) * (SUMIFS('📋 Detalle Diario'!$E$5:$E$489, '📋 Detalle Diario'!$B$5:$B$489, B3518, '📋 Detalle Diario'!$C$5:$C$489, D3518) * 135 + SUMIFS('📋 Detalle Diario'!$I$5:$I$489, '📋 Detalle Diario'!$B$5:$B$489, B3518, '📋 Detalle Diario'!$C$5:$C$489, D3518) * 200), 0))</f>
        <v/>
      </c>
      <c r="P3518" s="32" t="str">
        <f t="shared" si="383"/>
        <v/>
      </c>
      <c r="Q3518" s="33" t="str">
        <f t="shared" si="384"/>
        <v/>
      </c>
    </row>
    <row r="3519" spans="2:17" ht="18" customHeight="1" x14ac:dyDescent="0.3">
      <c r="B3519" s="26"/>
      <c r="C3519" s="28"/>
      <c r="D3519" s="27"/>
      <c r="E3519" s="29"/>
      <c r="F3519" s="29"/>
      <c r="G3519" s="29"/>
      <c r="H3519" s="30" t="str">
        <f t="shared" si="378"/>
        <v/>
      </c>
      <c r="I3519" s="31" t="str">
        <f>IF(OR(B3519="",C3519=""),"",IFERROR(E3519*IF(E3519="",0,VLOOKUP(C3519,'📦 Precios Proforma'!$B$5:$D$104,IF(D3519="DIA",2,3),FALSE)),0))</f>
        <v/>
      </c>
      <c r="J3519" s="31" t="str">
        <f t="shared" si="379"/>
        <v/>
      </c>
      <c r="K3519" s="31" t="str">
        <f t="shared" si="380"/>
        <v/>
      </c>
      <c r="L3519" s="31" t="str">
        <f>IF(OR(B3519="",C3519=""),"",IFERROR(E3519 / SUMIFS('📅 Resumen Diario'!$D$5:$D$504, '📅 Resumen Diario'!$B$5:$B$504, B3519, '📅 Resumen Diario'!$C$5:$C$504, D3519) * SUMIFS('📅 Resumen Diario'!$K$5:$K$504, '📅 Resumen Diario'!$B$5:$B$504, B3519, '📅 Resumen Diario'!$C$5:$C$504, D3519), 0))</f>
        <v/>
      </c>
      <c r="M3519" s="31" t="str">
        <f t="shared" si="381"/>
        <v/>
      </c>
      <c r="N3519" s="31" t="str">
        <f t="shared" si="382"/>
        <v/>
      </c>
      <c r="O3519" s="31" t="str">
        <f>IF(OR(B3519="",C3519=""),"",K3519-N3519 + IFERROR(E3519 / SUMIFS('📅 Resumen Diario'!$D$5:$D$504, '📅 Resumen Diario'!$B$5:$B$504, B3519, '📅 Resumen Diario'!$C$5:$C$504, D3519) * (SUMIFS('📋 Detalle Diario'!$E$5:$E$489, '📋 Detalle Diario'!$B$5:$B$489, B3519, '📋 Detalle Diario'!$C$5:$C$489, D3519) * 135 + SUMIFS('📋 Detalle Diario'!$I$5:$I$489, '📋 Detalle Diario'!$B$5:$B$489, B3519, '📋 Detalle Diario'!$C$5:$C$489, D3519) * 200), 0))</f>
        <v/>
      </c>
      <c r="P3519" s="32" t="str">
        <f t="shared" si="383"/>
        <v/>
      </c>
      <c r="Q3519" s="33" t="str">
        <f t="shared" si="384"/>
        <v/>
      </c>
    </row>
    <row r="3520" spans="2:17" ht="18" customHeight="1" x14ac:dyDescent="0.3">
      <c r="B3520" s="26"/>
      <c r="C3520" s="17"/>
      <c r="D3520" s="27"/>
      <c r="E3520" s="18"/>
      <c r="F3520" s="18"/>
      <c r="G3520" s="18"/>
      <c r="H3520" s="30" t="str">
        <f t="shared" si="378"/>
        <v/>
      </c>
      <c r="I3520" s="31" t="str">
        <f>IF(OR(B3520="",C3520=""),"",IFERROR(E3520*IF(E3520="",0,VLOOKUP(C3520,'📦 Precios Proforma'!$B$5:$D$104,IF(D3520="DIA",2,3),FALSE)),0))</f>
        <v/>
      </c>
      <c r="J3520" s="31" t="str">
        <f t="shared" si="379"/>
        <v/>
      </c>
      <c r="K3520" s="31" t="str">
        <f t="shared" si="380"/>
        <v/>
      </c>
      <c r="L3520" s="31" t="str">
        <f>IF(OR(B3520="",C3520=""),"",IFERROR(E3520 / SUMIFS('📅 Resumen Diario'!$D$5:$D$504, '📅 Resumen Diario'!$B$5:$B$504, B3520, '📅 Resumen Diario'!$C$5:$C$504, D3520) * SUMIFS('📅 Resumen Diario'!$K$5:$K$504, '📅 Resumen Diario'!$B$5:$B$504, B3520, '📅 Resumen Diario'!$C$5:$C$504, D3520), 0))</f>
        <v/>
      </c>
      <c r="M3520" s="31" t="str">
        <f t="shared" si="381"/>
        <v/>
      </c>
      <c r="N3520" s="31" t="str">
        <f t="shared" si="382"/>
        <v/>
      </c>
      <c r="O3520" s="31" t="str">
        <f>IF(OR(B3520="",C3520=""),"",K3520-N3520 + IFERROR(E3520 / SUMIFS('📅 Resumen Diario'!$D$5:$D$504, '📅 Resumen Diario'!$B$5:$B$504, B3520, '📅 Resumen Diario'!$C$5:$C$504, D3520) * (SUMIFS('📋 Detalle Diario'!$E$5:$E$489, '📋 Detalle Diario'!$B$5:$B$489, B3520, '📋 Detalle Diario'!$C$5:$C$489, D3520) * 135 + SUMIFS('📋 Detalle Diario'!$I$5:$I$489, '📋 Detalle Diario'!$B$5:$B$489, B3520, '📋 Detalle Diario'!$C$5:$C$489, D3520) * 200), 0))</f>
        <v/>
      </c>
      <c r="P3520" s="32" t="str">
        <f t="shared" si="383"/>
        <v/>
      </c>
      <c r="Q3520" s="33" t="str">
        <f t="shared" si="384"/>
        <v/>
      </c>
    </row>
    <row r="3521" spans="2:17" ht="18" customHeight="1" x14ac:dyDescent="0.3">
      <c r="B3521" s="26"/>
      <c r="C3521" s="28"/>
      <c r="D3521" s="27"/>
      <c r="E3521" s="29"/>
      <c r="F3521" s="29"/>
      <c r="G3521" s="29"/>
      <c r="H3521" s="30" t="str">
        <f t="shared" si="378"/>
        <v/>
      </c>
      <c r="I3521" s="31" t="str">
        <f>IF(OR(B3521="",C3521=""),"",IFERROR(E3521*IF(E3521="",0,VLOOKUP(C3521,'📦 Precios Proforma'!$B$5:$D$104,IF(D3521="DIA",2,3),FALSE)),0))</f>
        <v/>
      </c>
      <c r="J3521" s="31" t="str">
        <f t="shared" si="379"/>
        <v/>
      </c>
      <c r="K3521" s="31" t="str">
        <f t="shared" si="380"/>
        <v/>
      </c>
      <c r="L3521" s="31" t="str">
        <f>IF(OR(B3521="",C3521=""),"",IFERROR(E3521 / SUMIFS('📅 Resumen Diario'!$D$5:$D$504, '📅 Resumen Diario'!$B$5:$B$504, B3521, '📅 Resumen Diario'!$C$5:$C$504, D3521) * SUMIFS('📅 Resumen Diario'!$K$5:$K$504, '📅 Resumen Diario'!$B$5:$B$504, B3521, '📅 Resumen Diario'!$C$5:$C$504, D3521), 0))</f>
        <v/>
      </c>
      <c r="M3521" s="31" t="str">
        <f t="shared" si="381"/>
        <v/>
      </c>
      <c r="N3521" s="31" t="str">
        <f t="shared" si="382"/>
        <v/>
      </c>
      <c r="O3521" s="31" t="str">
        <f>IF(OR(B3521="",C3521=""),"",K3521-N3521 + IFERROR(E3521 / SUMIFS('📅 Resumen Diario'!$D$5:$D$504, '📅 Resumen Diario'!$B$5:$B$504, B3521, '📅 Resumen Diario'!$C$5:$C$504, D3521) * (SUMIFS('📋 Detalle Diario'!$E$5:$E$489, '📋 Detalle Diario'!$B$5:$B$489, B3521, '📋 Detalle Diario'!$C$5:$C$489, D3521) * 135 + SUMIFS('📋 Detalle Diario'!$I$5:$I$489, '📋 Detalle Diario'!$B$5:$B$489, B3521, '📋 Detalle Diario'!$C$5:$C$489, D3521) * 200), 0))</f>
        <v/>
      </c>
      <c r="P3521" s="32" t="str">
        <f t="shared" si="383"/>
        <v/>
      </c>
      <c r="Q3521" s="33" t="str">
        <f t="shared" si="384"/>
        <v/>
      </c>
    </row>
    <row r="3522" spans="2:17" ht="18" customHeight="1" x14ac:dyDescent="0.3">
      <c r="B3522" s="26"/>
      <c r="C3522" s="17"/>
      <c r="D3522" s="27"/>
      <c r="E3522" s="18"/>
      <c r="F3522" s="18"/>
      <c r="G3522" s="18"/>
      <c r="H3522" s="30" t="str">
        <f t="shared" si="378"/>
        <v/>
      </c>
      <c r="I3522" s="31" t="str">
        <f>IF(OR(B3522="",C3522=""),"",IFERROR(E3522*IF(E3522="",0,VLOOKUP(C3522,'📦 Precios Proforma'!$B$5:$D$104,IF(D3522="DIA",2,3),FALSE)),0))</f>
        <v/>
      </c>
      <c r="J3522" s="31" t="str">
        <f t="shared" si="379"/>
        <v/>
      </c>
      <c r="K3522" s="31" t="str">
        <f t="shared" si="380"/>
        <v/>
      </c>
      <c r="L3522" s="31" t="str">
        <f>IF(OR(B3522="",C3522=""),"",IFERROR(E3522 / SUMIFS('📅 Resumen Diario'!$D$5:$D$504, '📅 Resumen Diario'!$B$5:$B$504, B3522, '📅 Resumen Diario'!$C$5:$C$504, D3522) * SUMIFS('📅 Resumen Diario'!$K$5:$K$504, '📅 Resumen Diario'!$B$5:$B$504, B3522, '📅 Resumen Diario'!$C$5:$C$504, D3522), 0))</f>
        <v/>
      </c>
      <c r="M3522" s="31" t="str">
        <f t="shared" si="381"/>
        <v/>
      </c>
      <c r="N3522" s="31" t="str">
        <f t="shared" si="382"/>
        <v/>
      </c>
      <c r="O3522" s="31" t="str">
        <f>IF(OR(B3522="",C3522=""),"",K3522-N3522 + IFERROR(E3522 / SUMIFS('📅 Resumen Diario'!$D$5:$D$504, '📅 Resumen Diario'!$B$5:$B$504, B3522, '📅 Resumen Diario'!$C$5:$C$504, D3522) * (SUMIFS('📋 Detalle Diario'!$E$5:$E$489, '📋 Detalle Diario'!$B$5:$B$489, B3522, '📋 Detalle Diario'!$C$5:$C$489, D3522) * 135 + SUMIFS('📋 Detalle Diario'!$I$5:$I$489, '📋 Detalle Diario'!$B$5:$B$489, B3522, '📋 Detalle Diario'!$C$5:$C$489, D3522) * 200), 0))</f>
        <v/>
      </c>
      <c r="P3522" s="32" t="str">
        <f t="shared" si="383"/>
        <v/>
      </c>
      <c r="Q3522" s="33" t="str">
        <f t="shared" si="384"/>
        <v/>
      </c>
    </row>
    <row r="3523" spans="2:17" ht="18" customHeight="1" x14ac:dyDescent="0.3">
      <c r="B3523" s="26"/>
      <c r="C3523" s="28"/>
      <c r="D3523" s="27"/>
      <c r="E3523" s="29"/>
      <c r="F3523" s="29"/>
      <c r="G3523" s="29"/>
      <c r="H3523" s="30" t="str">
        <f t="shared" si="378"/>
        <v/>
      </c>
      <c r="I3523" s="31" t="str">
        <f>IF(OR(B3523="",C3523=""),"",IFERROR(E3523*IF(E3523="",0,VLOOKUP(C3523,'📦 Precios Proforma'!$B$5:$D$104,IF(D3523="DIA",2,3),FALSE)),0))</f>
        <v/>
      </c>
      <c r="J3523" s="31" t="str">
        <f t="shared" si="379"/>
        <v/>
      </c>
      <c r="K3523" s="31" t="str">
        <f t="shared" si="380"/>
        <v/>
      </c>
      <c r="L3523" s="31" t="str">
        <f>IF(OR(B3523="",C3523=""),"",IFERROR(E3523 / SUMIFS('📅 Resumen Diario'!$D$5:$D$504, '📅 Resumen Diario'!$B$5:$B$504, B3523, '📅 Resumen Diario'!$C$5:$C$504, D3523) * SUMIFS('📅 Resumen Diario'!$K$5:$K$504, '📅 Resumen Diario'!$B$5:$B$504, B3523, '📅 Resumen Diario'!$C$5:$C$504, D3523), 0))</f>
        <v/>
      </c>
      <c r="M3523" s="31" t="str">
        <f t="shared" si="381"/>
        <v/>
      </c>
      <c r="N3523" s="31" t="str">
        <f t="shared" si="382"/>
        <v/>
      </c>
      <c r="O3523" s="31" t="str">
        <f>IF(OR(B3523="",C3523=""),"",K3523-N3523 + IFERROR(E3523 / SUMIFS('📅 Resumen Diario'!$D$5:$D$504, '📅 Resumen Diario'!$B$5:$B$504, B3523, '📅 Resumen Diario'!$C$5:$C$504, D3523) * (SUMIFS('📋 Detalle Diario'!$E$5:$E$489, '📋 Detalle Diario'!$B$5:$B$489, B3523, '📋 Detalle Diario'!$C$5:$C$489, D3523) * 135 + SUMIFS('📋 Detalle Diario'!$I$5:$I$489, '📋 Detalle Diario'!$B$5:$B$489, B3523, '📋 Detalle Diario'!$C$5:$C$489, D3523) * 200), 0))</f>
        <v/>
      </c>
      <c r="P3523" s="32" t="str">
        <f t="shared" si="383"/>
        <v/>
      </c>
      <c r="Q3523" s="33" t="str">
        <f t="shared" si="384"/>
        <v/>
      </c>
    </row>
    <row r="3524" spans="2:17" ht="18" customHeight="1" x14ac:dyDescent="0.3">
      <c r="B3524" s="26"/>
      <c r="C3524" s="17"/>
      <c r="D3524" s="27"/>
      <c r="E3524" s="18"/>
      <c r="F3524" s="18"/>
      <c r="G3524" s="18"/>
      <c r="H3524" s="30" t="str">
        <f t="shared" si="378"/>
        <v/>
      </c>
      <c r="I3524" s="31" t="str">
        <f>IF(OR(B3524="",C3524=""),"",IFERROR(E3524*IF(E3524="",0,VLOOKUP(C3524,'📦 Precios Proforma'!$B$5:$D$104,IF(D3524="DIA",2,3),FALSE)),0))</f>
        <v/>
      </c>
      <c r="J3524" s="31" t="str">
        <f t="shared" si="379"/>
        <v/>
      </c>
      <c r="K3524" s="31" t="str">
        <f t="shared" si="380"/>
        <v/>
      </c>
      <c r="L3524" s="31" t="str">
        <f>IF(OR(B3524="",C3524=""),"",IFERROR(E3524 / SUMIFS('📅 Resumen Diario'!$D$5:$D$504, '📅 Resumen Diario'!$B$5:$B$504, B3524, '📅 Resumen Diario'!$C$5:$C$504, D3524) * SUMIFS('📅 Resumen Diario'!$K$5:$K$504, '📅 Resumen Diario'!$B$5:$B$504, B3524, '📅 Resumen Diario'!$C$5:$C$504, D3524), 0))</f>
        <v/>
      </c>
      <c r="M3524" s="31" t="str">
        <f t="shared" si="381"/>
        <v/>
      </c>
      <c r="N3524" s="31" t="str">
        <f t="shared" si="382"/>
        <v/>
      </c>
      <c r="O3524" s="31" t="str">
        <f>IF(OR(B3524="",C3524=""),"",K3524-N3524 + IFERROR(E3524 / SUMIFS('📅 Resumen Diario'!$D$5:$D$504, '📅 Resumen Diario'!$B$5:$B$504, B3524, '📅 Resumen Diario'!$C$5:$C$504, D3524) * (SUMIFS('📋 Detalle Diario'!$E$5:$E$489, '📋 Detalle Diario'!$B$5:$B$489, B3524, '📋 Detalle Diario'!$C$5:$C$489, D3524) * 135 + SUMIFS('📋 Detalle Diario'!$I$5:$I$489, '📋 Detalle Diario'!$B$5:$B$489, B3524, '📋 Detalle Diario'!$C$5:$C$489, D3524) * 200), 0))</f>
        <v/>
      </c>
      <c r="P3524" s="32" t="str">
        <f t="shared" si="383"/>
        <v/>
      </c>
      <c r="Q3524" s="33" t="str">
        <f t="shared" si="384"/>
        <v/>
      </c>
    </row>
    <row r="3525" spans="2:17" ht="18" customHeight="1" x14ac:dyDescent="0.3">
      <c r="B3525" s="26"/>
      <c r="C3525" s="28"/>
      <c r="D3525" s="27"/>
      <c r="E3525" s="29"/>
      <c r="F3525" s="29"/>
      <c r="G3525" s="29"/>
      <c r="H3525" s="30" t="str">
        <f t="shared" si="378"/>
        <v/>
      </c>
      <c r="I3525" s="31" t="str">
        <f>IF(OR(B3525="",C3525=""),"",IFERROR(E3525*IF(E3525="",0,VLOOKUP(C3525,'📦 Precios Proforma'!$B$5:$D$104,IF(D3525="DIA",2,3),FALSE)),0))</f>
        <v/>
      </c>
      <c r="J3525" s="31" t="str">
        <f t="shared" si="379"/>
        <v/>
      </c>
      <c r="K3525" s="31" t="str">
        <f t="shared" si="380"/>
        <v/>
      </c>
      <c r="L3525" s="31" t="str">
        <f>IF(OR(B3525="",C3525=""),"",IFERROR(E3525 / SUMIFS('📅 Resumen Diario'!$D$5:$D$504, '📅 Resumen Diario'!$B$5:$B$504, B3525, '📅 Resumen Diario'!$C$5:$C$504, D3525) * SUMIFS('📅 Resumen Diario'!$K$5:$K$504, '📅 Resumen Diario'!$B$5:$B$504, B3525, '📅 Resumen Diario'!$C$5:$C$504, D3525), 0))</f>
        <v/>
      </c>
      <c r="M3525" s="31" t="str">
        <f t="shared" si="381"/>
        <v/>
      </c>
      <c r="N3525" s="31" t="str">
        <f t="shared" si="382"/>
        <v/>
      </c>
      <c r="O3525" s="31" t="str">
        <f>IF(OR(B3525="",C3525=""),"",K3525-N3525 + IFERROR(E3525 / SUMIFS('📅 Resumen Diario'!$D$5:$D$504, '📅 Resumen Diario'!$B$5:$B$504, B3525, '📅 Resumen Diario'!$C$5:$C$504, D3525) * (SUMIFS('📋 Detalle Diario'!$E$5:$E$489, '📋 Detalle Diario'!$B$5:$B$489, B3525, '📋 Detalle Diario'!$C$5:$C$489, D3525) * 135 + SUMIFS('📋 Detalle Diario'!$I$5:$I$489, '📋 Detalle Diario'!$B$5:$B$489, B3525, '📋 Detalle Diario'!$C$5:$C$489, D3525) * 200), 0))</f>
        <v/>
      </c>
      <c r="P3525" s="32" t="str">
        <f t="shared" si="383"/>
        <v/>
      </c>
      <c r="Q3525" s="33" t="str">
        <f t="shared" si="384"/>
        <v/>
      </c>
    </row>
    <row r="3526" spans="2:17" ht="18" customHeight="1" x14ac:dyDescent="0.3">
      <c r="B3526" s="26"/>
      <c r="C3526" s="17"/>
      <c r="D3526" s="27"/>
      <c r="E3526" s="18"/>
      <c r="F3526" s="18"/>
      <c r="G3526" s="18"/>
      <c r="H3526" s="30" t="str">
        <f t="shared" si="378"/>
        <v/>
      </c>
      <c r="I3526" s="31" t="str">
        <f>IF(OR(B3526="",C3526=""),"",IFERROR(E3526*IF(E3526="",0,VLOOKUP(C3526,'📦 Precios Proforma'!$B$5:$D$104,IF(D3526="DIA",2,3),FALSE)),0))</f>
        <v/>
      </c>
      <c r="J3526" s="31" t="str">
        <f t="shared" si="379"/>
        <v/>
      </c>
      <c r="K3526" s="31" t="str">
        <f t="shared" si="380"/>
        <v/>
      </c>
      <c r="L3526" s="31" t="str">
        <f>IF(OR(B3526="",C3526=""),"",IFERROR(E3526 / SUMIFS('📅 Resumen Diario'!$D$5:$D$504, '📅 Resumen Diario'!$B$5:$B$504, B3526, '📅 Resumen Diario'!$C$5:$C$504, D3526) * SUMIFS('📅 Resumen Diario'!$K$5:$K$504, '📅 Resumen Diario'!$B$5:$B$504, B3526, '📅 Resumen Diario'!$C$5:$C$504, D3526), 0))</f>
        <v/>
      </c>
      <c r="M3526" s="31" t="str">
        <f t="shared" si="381"/>
        <v/>
      </c>
      <c r="N3526" s="31" t="str">
        <f t="shared" si="382"/>
        <v/>
      </c>
      <c r="O3526" s="31" t="str">
        <f>IF(OR(B3526="",C3526=""),"",K3526-N3526 + IFERROR(E3526 / SUMIFS('📅 Resumen Diario'!$D$5:$D$504, '📅 Resumen Diario'!$B$5:$B$504, B3526, '📅 Resumen Diario'!$C$5:$C$504, D3526) * (SUMIFS('📋 Detalle Diario'!$E$5:$E$489, '📋 Detalle Diario'!$B$5:$B$489, B3526, '📋 Detalle Diario'!$C$5:$C$489, D3526) * 135 + SUMIFS('📋 Detalle Diario'!$I$5:$I$489, '📋 Detalle Diario'!$B$5:$B$489, B3526, '📋 Detalle Diario'!$C$5:$C$489, D3526) * 200), 0))</f>
        <v/>
      </c>
      <c r="P3526" s="32" t="str">
        <f t="shared" si="383"/>
        <v/>
      </c>
      <c r="Q3526" s="33" t="str">
        <f t="shared" si="384"/>
        <v/>
      </c>
    </row>
    <row r="3527" spans="2:17" ht="18" customHeight="1" x14ac:dyDescent="0.3">
      <c r="B3527" s="26"/>
      <c r="C3527" s="28"/>
      <c r="D3527" s="27"/>
      <c r="E3527" s="29"/>
      <c r="F3527" s="29"/>
      <c r="G3527" s="29"/>
      <c r="H3527" s="30" t="str">
        <f t="shared" ref="H3527:H3590" si="385">IF(OR(B3527="",C3527=""),"",F3527+G3527)</f>
        <v/>
      </c>
      <c r="I3527" s="31" t="str">
        <f>IF(OR(B3527="",C3527=""),"",IFERROR(E3527*IF(E3527="",0,VLOOKUP(C3527,'📦 Precios Proforma'!$B$5:$D$104,IF(D3527="DIA",2,3),FALSE)),0))</f>
        <v/>
      </c>
      <c r="J3527" s="31" t="str">
        <f t="shared" ref="J3527:J3590" si="386">IF(OR(B3527="",C3527=""),"",IF(D3527="DIA",H3527*1.01,H3527*1.35))</f>
        <v/>
      </c>
      <c r="K3527" s="31" t="str">
        <f t="shared" ref="K3527:K3590" si="387">IF(OR(B3527="",C3527=""),"",I3527+J3527)</f>
        <v/>
      </c>
      <c r="L3527" s="31" t="str">
        <f>IF(OR(B3527="",C3527=""),"",IFERROR(E3527 / SUMIFS('📅 Resumen Diario'!$D$5:$D$504, '📅 Resumen Diario'!$B$5:$B$504, B3527, '📅 Resumen Diario'!$C$5:$C$504, D3527) * SUMIFS('📅 Resumen Diario'!$K$5:$K$504, '📅 Resumen Diario'!$B$5:$B$504, B3527, '📅 Resumen Diario'!$C$5:$C$504, D3527), 0))</f>
        <v/>
      </c>
      <c r="M3527" s="31" t="str">
        <f t="shared" ref="M3527:M3590" si="388">IF(OR(B3527="",C3527=""),"",H3527*0.09)</f>
        <v/>
      </c>
      <c r="N3527" s="31" t="str">
        <f t="shared" ref="N3527:N3590" si="389">IF(OR(B3527="",C3527=""),"",L3527+M3527)</f>
        <v/>
      </c>
      <c r="O3527" s="31" t="str">
        <f>IF(OR(B3527="",C3527=""),"",K3527-N3527 + IFERROR(E3527 / SUMIFS('📅 Resumen Diario'!$D$5:$D$504, '📅 Resumen Diario'!$B$5:$B$504, B3527, '📅 Resumen Diario'!$C$5:$C$504, D3527) * (SUMIFS('📋 Detalle Diario'!$E$5:$E$489, '📋 Detalle Diario'!$B$5:$B$489, B3527, '📋 Detalle Diario'!$C$5:$C$489, D3527) * 135 + SUMIFS('📋 Detalle Diario'!$I$5:$I$489, '📋 Detalle Diario'!$B$5:$B$489, B3527, '📋 Detalle Diario'!$C$5:$C$489, D3527) * 200), 0))</f>
        <v/>
      </c>
      <c r="P3527" s="32" t="str">
        <f t="shared" ref="P3527:P3590" si="390">IF(OR(B3527="",C3527=""),"",IF(K3527=0, 0, O3527/K3527))</f>
        <v/>
      </c>
      <c r="Q3527" s="33" t="str">
        <f t="shared" ref="Q3527:Q3590" si="391">IF(B3527="","",IF(ISNUMBER(B3527),YEAR(B3527)&amp;"-"&amp;IF(MONTH(B3527)&lt;10,"0","")&amp;MONTH(B3527),LEFT(B3527,7)))</f>
        <v/>
      </c>
    </row>
    <row r="3528" spans="2:17" ht="18" customHeight="1" x14ac:dyDescent="0.3">
      <c r="B3528" s="26"/>
      <c r="C3528" s="17"/>
      <c r="D3528" s="27"/>
      <c r="E3528" s="18"/>
      <c r="F3528" s="18"/>
      <c r="G3528" s="18"/>
      <c r="H3528" s="30" t="str">
        <f t="shared" si="385"/>
        <v/>
      </c>
      <c r="I3528" s="31" t="str">
        <f>IF(OR(B3528="",C3528=""),"",IFERROR(E3528*IF(E3528="",0,VLOOKUP(C3528,'📦 Precios Proforma'!$B$5:$D$104,IF(D3528="DIA",2,3),FALSE)),0))</f>
        <v/>
      </c>
      <c r="J3528" s="31" t="str">
        <f t="shared" si="386"/>
        <v/>
      </c>
      <c r="K3528" s="31" t="str">
        <f t="shared" si="387"/>
        <v/>
      </c>
      <c r="L3528" s="31" t="str">
        <f>IF(OR(B3528="",C3528=""),"",IFERROR(E3528 / SUMIFS('📅 Resumen Diario'!$D$5:$D$504, '📅 Resumen Diario'!$B$5:$B$504, B3528, '📅 Resumen Diario'!$C$5:$C$504, D3528) * SUMIFS('📅 Resumen Diario'!$K$5:$K$504, '📅 Resumen Diario'!$B$5:$B$504, B3528, '📅 Resumen Diario'!$C$5:$C$504, D3528), 0))</f>
        <v/>
      </c>
      <c r="M3528" s="31" t="str">
        <f t="shared" si="388"/>
        <v/>
      </c>
      <c r="N3528" s="31" t="str">
        <f t="shared" si="389"/>
        <v/>
      </c>
      <c r="O3528" s="31" t="str">
        <f>IF(OR(B3528="",C3528=""),"",K3528-N3528 + IFERROR(E3528 / SUMIFS('📅 Resumen Diario'!$D$5:$D$504, '📅 Resumen Diario'!$B$5:$B$504, B3528, '📅 Resumen Diario'!$C$5:$C$504, D3528) * (SUMIFS('📋 Detalle Diario'!$E$5:$E$489, '📋 Detalle Diario'!$B$5:$B$489, B3528, '📋 Detalle Diario'!$C$5:$C$489, D3528) * 135 + SUMIFS('📋 Detalle Diario'!$I$5:$I$489, '📋 Detalle Diario'!$B$5:$B$489, B3528, '📋 Detalle Diario'!$C$5:$C$489, D3528) * 200), 0))</f>
        <v/>
      </c>
      <c r="P3528" s="32" t="str">
        <f t="shared" si="390"/>
        <v/>
      </c>
      <c r="Q3528" s="33" t="str">
        <f t="shared" si="391"/>
        <v/>
      </c>
    </row>
    <row r="3529" spans="2:17" ht="18" customHeight="1" x14ac:dyDescent="0.3">
      <c r="B3529" s="26"/>
      <c r="C3529" s="28"/>
      <c r="D3529" s="27"/>
      <c r="E3529" s="29"/>
      <c r="F3529" s="29"/>
      <c r="G3529" s="29"/>
      <c r="H3529" s="30" t="str">
        <f t="shared" si="385"/>
        <v/>
      </c>
      <c r="I3529" s="31" t="str">
        <f>IF(OR(B3529="",C3529=""),"",IFERROR(E3529*IF(E3529="",0,VLOOKUP(C3529,'📦 Precios Proforma'!$B$5:$D$104,IF(D3529="DIA",2,3),FALSE)),0))</f>
        <v/>
      </c>
      <c r="J3529" s="31" t="str">
        <f t="shared" si="386"/>
        <v/>
      </c>
      <c r="K3529" s="31" t="str">
        <f t="shared" si="387"/>
        <v/>
      </c>
      <c r="L3529" s="31" t="str">
        <f>IF(OR(B3529="",C3529=""),"",IFERROR(E3529 / SUMIFS('📅 Resumen Diario'!$D$5:$D$504, '📅 Resumen Diario'!$B$5:$B$504, B3529, '📅 Resumen Diario'!$C$5:$C$504, D3529) * SUMIFS('📅 Resumen Diario'!$K$5:$K$504, '📅 Resumen Diario'!$B$5:$B$504, B3529, '📅 Resumen Diario'!$C$5:$C$504, D3529), 0))</f>
        <v/>
      </c>
      <c r="M3529" s="31" t="str">
        <f t="shared" si="388"/>
        <v/>
      </c>
      <c r="N3529" s="31" t="str">
        <f t="shared" si="389"/>
        <v/>
      </c>
      <c r="O3529" s="31" t="str">
        <f>IF(OR(B3529="",C3529=""),"",K3529-N3529 + IFERROR(E3529 / SUMIFS('📅 Resumen Diario'!$D$5:$D$504, '📅 Resumen Diario'!$B$5:$B$504, B3529, '📅 Resumen Diario'!$C$5:$C$504, D3529) * (SUMIFS('📋 Detalle Diario'!$E$5:$E$489, '📋 Detalle Diario'!$B$5:$B$489, B3529, '📋 Detalle Diario'!$C$5:$C$489, D3529) * 135 + SUMIFS('📋 Detalle Diario'!$I$5:$I$489, '📋 Detalle Diario'!$B$5:$B$489, B3529, '📋 Detalle Diario'!$C$5:$C$489, D3529) * 200), 0))</f>
        <v/>
      </c>
      <c r="P3529" s="32" t="str">
        <f t="shared" si="390"/>
        <v/>
      </c>
      <c r="Q3529" s="33" t="str">
        <f t="shared" si="391"/>
        <v/>
      </c>
    </row>
    <row r="3530" spans="2:17" ht="18" customHeight="1" x14ac:dyDescent="0.3">
      <c r="B3530" s="26"/>
      <c r="C3530" s="17"/>
      <c r="D3530" s="27"/>
      <c r="E3530" s="18"/>
      <c r="F3530" s="18"/>
      <c r="G3530" s="18"/>
      <c r="H3530" s="30" t="str">
        <f t="shared" si="385"/>
        <v/>
      </c>
      <c r="I3530" s="31" t="str">
        <f>IF(OR(B3530="",C3530=""),"",IFERROR(E3530*IF(E3530="",0,VLOOKUP(C3530,'📦 Precios Proforma'!$B$5:$D$104,IF(D3530="DIA",2,3),FALSE)),0))</f>
        <v/>
      </c>
      <c r="J3530" s="31" t="str">
        <f t="shared" si="386"/>
        <v/>
      </c>
      <c r="K3530" s="31" t="str">
        <f t="shared" si="387"/>
        <v/>
      </c>
      <c r="L3530" s="31" t="str">
        <f>IF(OR(B3530="",C3530=""),"",IFERROR(E3530 / SUMIFS('📅 Resumen Diario'!$D$5:$D$504, '📅 Resumen Diario'!$B$5:$B$504, B3530, '📅 Resumen Diario'!$C$5:$C$504, D3530) * SUMIFS('📅 Resumen Diario'!$K$5:$K$504, '📅 Resumen Diario'!$B$5:$B$504, B3530, '📅 Resumen Diario'!$C$5:$C$504, D3530), 0))</f>
        <v/>
      </c>
      <c r="M3530" s="31" t="str">
        <f t="shared" si="388"/>
        <v/>
      </c>
      <c r="N3530" s="31" t="str">
        <f t="shared" si="389"/>
        <v/>
      </c>
      <c r="O3530" s="31" t="str">
        <f>IF(OR(B3530="",C3530=""),"",K3530-N3530 + IFERROR(E3530 / SUMIFS('📅 Resumen Diario'!$D$5:$D$504, '📅 Resumen Diario'!$B$5:$B$504, B3530, '📅 Resumen Diario'!$C$5:$C$504, D3530) * (SUMIFS('📋 Detalle Diario'!$E$5:$E$489, '📋 Detalle Diario'!$B$5:$B$489, B3530, '📋 Detalle Diario'!$C$5:$C$489, D3530) * 135 + SUMIFS('📋 Detalle Diario'!$I$5:$I$489, '📋 Detalle Diario'!$B$5:$B$489, B3530, '📋 Detalle Diario'!$C$5:$C$489, D3530) * 200), 0))</f>
        <v/>
      </c>
      <c r="P3530" s="32" t="str">
        <f t="shared" si="390"/>
        <v/>
      </c>
      <c r="Q3530" s="33" t="str">
        <f t="shared" si="391"/>
        <v/>
      </c>
    </row>
    <row r="3531" spans="2:17" ht="18" customHeight="1" x14ac:dyDescent="0.3">
      <c r="B3531" s="26"/>
      <c r="C3531" s="28"/>
      <c r="D3531" s="27"/>
      <c r="E3531" s="29"/>
      <c r="F3531" s="29"/>
      <c r="G3531" s="29"/>
      <c r="H3531" s="30" t="str">
        <f t="shared" si="385"/>
        <v/>
      </c>
      <c r="I3531" s="31" t="str">
        <f>IF(OR(B3531="",C3531=""),"",IFERROR(E3531*IF(E3531="",0,VLOOKUP(C3531,'📦 Precios Proforma'!$B$5:$D$104,IF(D3531="DIA",2,3),FALSE)),0))</f>
        <v/>
      </c>
      <c r="J3531" s="31" t="str">
        <f t="shared" si="386"/>
        <v/>
      </c>
      <c r="K3531" s="31" t="str">
        <f t="shared" si="387"/>
        <v/>
      </c>
      <c r="L3531" s="31" t="str">
        <f>IF(OR(B3531="",C3531=""),"",IFERROR(E3531 / SUMIFS('📅 Resumen Diario'!$D$5:$D$504, '📅 Resumen Diario'!$B$5:$B$504, B3531, '📅 Resumen Diario'!$C$5:$C$504, D3531) * SUMIFS('📅 Resumen Diario'!$K$5:$K$504, '📅 Resumen Diario'!$B$5:$B$504, B3531, '📅 Resumen Diario'!$C$5:$C$504, D3531), 0))</f>
        <v/>
      </c>
      <c r="M3531" s="31" t="str">
        <f t="shared" si="388"/>
        <v/>
      </c>
      <c r="N3531" s="31" t="str">
        <f t="shared" si="389"/>
        <v/>
      </c>
      <c r="O3531" s="31" t="str">
        <f>IF(OR(B3531="",C3531=""),"",K3531-N3531 + IFERROR(E3531 / SUMIFS('📅 Resumen Diario'!$D$5:$D$504, '📅 Resumen Diario'!$B$5:$B$504, B3531, '📅 Resumen Diario'!$C$5:$C$504, D3531) * (SUMIFS('📋 Detalle Diario'!$E$5:$E$489, '📋 Detalle Diario'!$B$5:$B$489, B3531, '📋 Detalle Diario'!$C$5:$C$489, D3531) * 135 + SUMIFS('📋 Detalle Diario'!$I$5:$I$489, '📋 Detalle Diario'!$B$5:$B$489, B3531, '📋 Detalle Diario'!$C$5:$C$489, D3531) * 200), 0))</f>
        <v/>
      </c>
      <c r="P3531" s="32" t="str">
        <f t="shared" si="390"/>
        <v/>
      </c>
      <c r="Q3531" s="33" t="str">
        <f t="shared" si="391"/>
        <v/>
      </c>
    </row>
    <row r="3532" spans="2:17" ht="18" customHeight="1" x14ac:dyDescent="0.3">
      <c r="B3532" s="26"/>
      <c r="C3532" s="17"/>
      <c r="D3532" s="27"/>
      <c r="E3532" s="18"/>
      <c r="F3532" s="18"/>
      <c r="G3532" s="18"/>
      <c r="H3532" s="30" t="str">
        <f t="shared" si="385"/>
        <v/>
      </c>
      <c r="I3532" s="31" t="str">
        <f>IF(OR(B3532="",C3532=""),"",IFERROR(E3532*IF(E3532="",0,VLOOKUP(C3532,'📦 Precios Proforma'!$B$5:$D$104,IF(D3532="DIA",2,3),FALSE)),0))</f>
        <v/>
      </c>
      <c r="J3532" s="31" t="str">
        <f t="shared" si="386"/>
        <v/>
      </c>
      <c r="K3532" s="31" t="str">
        <f t="shared" si="387"/>
        <v/>
      </c>
      <c r="L3532" s="31" t="str">
        <f>IF(OR(B3532="",C3532=""),"",IFERROR(E3532 / SUMIFS('📅 Resumen Diario'!$D$5:$D$504, '📅 Resumen Diario'!$B$5:$B$504, B3532, '📅 Resumen Diario'!$C$5:$C$504, D3532) * SUMIFS('📅 Resumen Diario'!$K$5:$K$504, '📅 Resumen Diario'!$B$5:$B$504, B3532, '📅 Resumen Diario'!$C$5:$C$504, D3532), 0))</f>
        <v/>
      </c>
      <c r="M3532" s="31" t="str">
        <f t="shared" si="388"/>
        <v/>
      </c>
      <c r="N3532" s="31" t="str">
        <f t="shared" si="389"/>
        <v/>
      </c>
      <c r="O3532" s="31" t="str">
        <f>IF(OR(B3532="",C3532=""),"",K3532-N3532 + IFERROR(E3532 / SUMIFS('📅 Resumen Diario'!$D$5:$D$504, '📅 Resumen Diario'!$B$5:$B$504, B3532, '📅 Resumen Diario'!$C$5:$C$504, D3532) * (SUMIFS('📋 Detalle Diario'!$E$5:$E$489, '📋 Detalle Diario'!$B$5:$B$489, B3532, '📋 Detalle Diario'!$C$5:$C$489, D3532) * 135 + SUMIFS('📋 Detalle Diario'!$I$5:$I$489, '📋 Detalle Diario'!$B$5:$B$489, B3532, '📋 Detalle Diario'!$C$5:$C$489, D3532) * 200), 0))</f>
        <v/>
      </c>
      <c r="P3532" s="32" t="str">
        <f t="shared" si="390"/>
        <v/>
      </c>
      <c r="Q3532" s="33" t="str">
        <f t="shared" si="391"/>
        <v/>
      </c>
    </row>
    <row r="3533" spans="2:17" ht="18" customHeight="1" x14ac:dyDescent="0.3">
      <c r="B3533" s="26"/>
      <c r="C3533" s="28"/>
      <c r="D3533" s="27"/>
      <c r="E3533" s="29"/>
      <c r="F3533" s="29"/>
      <c r="G3533" s="29"/>
      <c r="H3533" s="30" t="str">
        <f t="shared" si="385"/>
        <v/>
      </c>
      <c r="I3533" s="31" t="str">
        <f>IF(OR(B3533="",C3533=""),"",IFERROR(E3533*IF(E3533="",0,VLOOKUP(C3533,'📦 Precios Proforma'!$B$5:$D$104,IF(D3533="DIA",2,3),FALSE)),0))</f>
        <v/>
      </c>
      <c r="J3533" s="31" t="str">
        <f t="shared" si="386"/>
        <v/>
      </c>
      <c r="K3533" s="31" t="str">
        <f t="shared" si="387"/>
        <v/>
      </c>
      <c r="L3533" s="31" t="str">
        <f>IF(OR(B3533="",C3533=""),"",IFERROR(E3533 / SUMIFS('📅 Resumen Diario'!$D$5:$D$504, '📅 Resumen Diario'!$B$5:$B$504, B3533, '📅 Resumen Diario'!$C$5:$C$504, D3533) * SUMIFS('📅 Resumen Diario'!$K$5:$K$504, '📅 Resumen Diario'!$B$5:$B$504, B3533, '📅 Resumen Diario'!$C$5:$C$504, D3533), 0))</f>
        <v/>
      </c>
      <c r="M3533" s="31" t="str">
        <f t="shared" si="388"/>
        <v/>
      </c>
      <c r="N3533" s="31" t="str">
        <f t="shared" si="389"/>
        <v/>
      </c>
      <c r="O3533" s="31" t="str">
        <f>IF(OR(B3533="",C3533=""),"",K3533-N3533 + IFERROR(E3533 / SUMIFS('📅 Resumen Diario'!$D$5:$D$504, '📅 Resumen Diario'!$B$5:$B$504, B3533, '📅 Resumen Diario'!$C$5:$C$504, D3533) * (SUMIFS('📋 Detalle Diario'!$E$5:$E$489, '📋 Detalle Diario'!$B$5:$B$489, B3533, '📋 Detalle Diario'!$C$5:$C$489, D3533) * 135 + SUMIFS('📋 Detalle Diario'!$I$5:$I$489, '📋 Detalle Diario'!$B$5:$B$489, B3533, '📋 Detalle Diario'!$C$5:$C$489, D3533) * 200), 0))</f>
        <v/>
      </c>
      <c r="P3533" s="32" t="str">
        <f t="shared" si="390"/>
        <v/>
      </c>
      <c r="Q3533" s="33" t="str">
        <f t="shared" si="391"/>
        <v/>
      </c>
    </row>
    <row r="3534" spans="2:17" ht="18" customHeight="1" x14ac:dyDescent="0.3">
      <c r="B3534" s="26"/>
      <c r="C3534" s="17"/>
      <c r="D3534" s="27"/>
      <c r="E3534" s="18"/>
      <c r="F3534" s="18"/>
      <c r="G3534" s="18"/>
      <c r="H3534" s="30" t="str">
        <f t="shared" si="385"/>
        <v/>
      </c>
      <c r="I3534" s="31" t="str">
        <f>IF(OR(B3534="",C3534=""),"",IFERROR(E3534*IF(E3534="",0,VLOOKUP(C3534,'📦 Precios Proforma'!$B$5:$D$104,IF(D3534="DIA",2,3),FALSE)),0))</f>
        <v/>
      </c>
      <c r="J3534" s="31" t="str">
        <f t="shared" si="386"/>
        <v/>
      </c>
      <c r="K3534" s="31" t="str">
        <f t="shared" si="387"/>
        <v/>
      </c>
      <c r="L3534" s="31" t="str">
        <f>IF(OR(B3534="",C3534=""),"",IFERROR(E3534 / SUMIFS('📅 Resumen Diario'!$D$5:$D$504, '📅 Resumen Diario'!$B$5:$B$504, B3534, '📅 Resumen Diario'!$C$5:$C$504, D3534) * SUMIFS('📅 Resumen Diario'!$K$5:$K$504, '📅 Resumen Diario'!$B$5:$B$504, B3534, '📅 Resumen Diario'!$C$5:$C$504, D3534), 0))</f>
        <v/>
      </c>
      <c r="M3534" s="31" t="str">
        <f t="shared" si="388"/>
        <v/>
      </c>
      <c r="N3534" s="31" t="str">
        <f t="shared" si="389"/>
        <v/>
      </c>
      <c r="O3534" s="31" t="str">
        <f>IF(OR(B3534="",C3534=""),"",K3534-N3534 + IFERROR(E3534 / SUMIFS('📅 Resumen Diario'!$D$5:$D$504, '📅 Resumen Diario'!$B$5:$B$504, B3534, '📅 Resumen Diario'!$C$5:$C$504, D3534) * (SUMIFS('📋 Detalle Diario'!$E$5:$E$489, '📋 Detalle Diario'!$B$5:$B$489, B3534, '📋 Detalle Diario'!$C$5:$C$489, D3534) * 135 + SUMIFS('📋 Detalle Diario'!$I$5:$I$489, '📋 Detalle Diario'!$B$5:$B$489, B3534, '📋 Detalle Diario'!$C$5:$C$489, D3534) * 200), 0))</f>
        <v/>
      </c>
      <c r="P3534" s="32" t="str">
        <f t="shared" si="390"/>
        <v/>
      </c>
      <c r="Q3534" s="33" t="str">
        <f t="shared" si="391"/>
        <v/>
      </c>
    </row>
    <row r="3535" spans="2:17" ht="18" customHeight="1" x14ac:dyDescent="0.3">
      <c r="B3535" s="26"/>
      <c r="C3535" s="28"/>
      <c r="D3535" s="27"/>
      <c r="E3535" s="29"/>
      <c r="F3535" s="29"/>
      <c r="G3535" s="29"/>
      <c r="H3535" s="30" t="str">
        <f t="shared" si="385"/>
        <v/>
      </c>
      <c r="I3535" s="31" t="str">
        <f>IF(OR(B3535="",C3535=""),"",IFERROR(E3535*IF(E3535="",0,VLOOKUP(C3535,'📦 Precios Proforma'!$B$5:$D$104,IF(D3535="DIA",2,3),FALSE)),0))</f>
        <v/>
      </c>
      <c r="J3535" s="31" t="str">
        <f t="shared" si="386"/>
        <v/>
      </c>
      <c r="K3535" s="31" t="str">
        <f t="shared" si="387"/>
        <v/>
      </c>
      <c r="L3535" s="31" t="str">
        <f>IF(OR(B3535="",C3535=""),"",IFERROR(E3535 / SUMIFS('📅 Resumen Diario'!$D$5:$D$504, '📅 Resumen Diario'!$B$5:$B$504, B3535, '📅 Resumen Diario'!$C$5:$C$504, D3535) * SUMIFS('📅 Resumen Diario'!$K$5:$K$504, '📅 Resumen Diario'!$B$5:$B$504, B3535, '📅 Resumen Diario'!$C$5:$C$504, D3535), 0))</f>
        <v/>
      </c>
      <c r="M3535" s="31" t="str">
        <f t="shared" si="388"/>
        <v/>
      </c>
      <c r="N3535" s="31" t="str">
        <f t="shared" si="389"/>
        <v/>
      </c>
      <c r="O3535" s="31" t="str">
        <f>IF(OR(B3535="",C3535=""),"",K3535-N3535 + IFERROR(E3535 / SUMIFS('📅 Resumen Diario'!$D$5:$D$504, '📅 Resumen Diario'!$B$5:$B$504, B3535, '📅 Resumen Diario'!$C$5:$C$504, D3535) * (SUMIFS('📋 Detalle Diario'!$E$5:$E$489, '📋 Detalle Diario'!$B$5:$B$489, B3535, '📋 Detalle Diario'!$C$5:$C$489, D3535) * 135 + SUMIFS('📋 Detalle Diario'!$I$5:$I$489, '📋 Detalle Diario'!$B$5:$B$489, B3535, '📋 Detalle Diario'!$C$5:$C$489, D3535) * 200), 0))</f>
        <v/>
      </c>
      <c r="P3535" s="32" t="str">
        <f t="shared" si="390"/>
        <v/>
      </c>
      <c r="Q3535" s="33" t="str">
        <f t="shared" si="391"/>
        <v/>
      </c>
    </row>
    <row r="3536" spans="2:17" ht="18" customHeight="1" x14ac:dyDescent="0.3">
      <c r="B3536" s="26"/>
      <c r="C3536" s="17"/>
      <c r="D3536" s="27"/>
      <c r="E3536" s="18"/>
      <c r="F3536" s="18"/>
      <c r="G3536" s="18"/>
      <c r="H3536" s="30" t="str">
        <f t="shared" si="385"/>
        <v/>
      </c>
      <c r="I3536" s="31" t="str">
        <f>IF(OR(B3536="",C3536=""),"",IFERROR(E3536*IF(E3536="",0,VLOOKUP(C3536,'📦 Precios Proforma'!$B$5:$D$104,IF(D3536="DIA",2,3),FALSE)),0))</f>
        <v/>
      </c>
      <c r="J3536" s="31" t="str">
        <f t="shared" si="386"/>
        <v/>
      </c>
      <c r="K3536" s="31" t="str">
        <f t="shared" si="387"/>
        <v/>
      </c>
      <c r="L3536" s="31" t="str">
        <f>IF(OR(B3536="",C3536=""),"",IFERROR(E3536 / SUMIFS('📅 Resumen Diario'!$D$5:$D$504, '📅 Resumen Diario'!$B$5:$B$504, B3536, '📅 Resumen Diario'!$C$5:$C$504, D3536) * SUMIFS('📅 Resumen Diario'!$K$5:$K$504, '📅 Resumen Diario'!$B$5:$B$504, B3536, '📅 Resumen Diario'!$C$5:$C$504, D3536), 0))</f>
        <v/>
      </c>
      <c r="M3536" s="31" t="str">
        <f t="shared" si="388"/>
        <v/>
      </c>
      <c r="N3536" s="31" t="str">
        <f t="shared" si="389"/>
        <v/>
      </c>
      <c r="O3536" s="31" t="str">
        <f>IF(OR(B3536="",C3536=""),"",K3536-N3536 + IFERROR(E3536 / SUMIFS('📅 Resumen Diario'!$D$5:$D$504, '📅 Resumen Diario'!$B$5:$B$504, B3536, '📅 Resumen Diario'!$C$5:$C$504, D3536) * (SUMIFS('📋 Detalle Diario'!$E$5:$E$489, '📋 Detalle Diario'!$B$5:$B$489, B3536, '📋 Detalle Diario'!$C$5:$C$489, D3536) * 135 + SUMIFS('📋 Detalle Diario'!$I$5:$I$489, '📋 Detalle Diario'!$B$5:$B$489, B3536, '📋 Detalle Diario'!$C$5:$C$489, D3536) * 200), 0))</f>
        <v/>
      </c>
      <c r="P3536" s="32" t="str">
        <f t="shared" si="390"/>
        <v/>
      </c>
      <c r="Q3536" s="33" t="str">
        <f t="shared" si="391"/>
        <v/>
      </c>
    </row>
    <row r="3537" spans="2:17" ht="18" customHeight="1" x14ac:dyDescent="0.3">
      <c r="B3537" s="26"/>
      <c r="C3537" s="28"/>
      <c r="D3537" s="27"/>
      <c r="E3537" s="29"/>
      <c r="F3537" s="29"/>
      <c r="G3537" s="29"/>
      <c r="H3537" s="30" t="str">
        <f t="shared" si="385"/>
        <v/>
      </c>
      <c r="I3537" s="31" t="str">
        <f>IF(OR(B3537="",C3537=""),"",IFERROR(E3537*IF(E3537="",0,VLOOKUP(C3537,'📦 Precios Proforma'!$B$5:$D$104,IF(D3537="DIA",2,3),FALSE)),0))</f>
        <v/>
      </c>
      <c r="J3537" s="31" t="str">
        <f t="shared" si="386"/>
        <v/>
      </c>
      <c r="K3537" s="31" t="str">
        <f t="shared" si="387"/>
        <v/>
      </c>
      <c r="L3537" s="31" t="str">
        <f>IF(OR(B3537="",C3537=""),"",IFERROR(E3537 / SUMIFS('📅 Resumen Diario'!$D$5:$D$504, '📅 Resumen Diario'!$B$5:$B$504, B3537, '📅 Resumen Diario'!$C$5:$C$504, D3537) * SUMIFS('📅 Resumen Diario'!$K$5:$K$504, '📅 Resumen Diario'!$B$5:$B$504, B3537, '📅 Resumen Diario'!$C$5:$C$504, D3537), 0))</f>
        <v/>
      </c>
      <c r="M3537" s="31" t="str">
        <f t="shared" si="388"/>
        <v/>
      </c>
      <c r="N3537" s="31" t="str">
        <f t="shared" si="389"/>
        <v/>
      </c>
      <c r="O3537" s="31" t="str">
        <f>IF(OR(B3537="",C3537=""),"",K3537-N3537 + IFERROR(E3537 / SUMIFS('📅 Resumen Diario'!$D$5:$D$504, '📅 Resumen Diario'!$B$5:$B$504, B3537, '📅 Resumen Diario'!$C$5:$C$504, D3537) * (SUMIFS('📋 Detalle Diario'!$E$5:$E$489, '📋 Detalle Diario'!$B$5:$B$489, B3537, '📋 Detalle Diario'!$C$5:$C$489, D3537) * 135 + SUMIFS('📋 Detalle Diario'!$I$5:$I$489, '📋 Detalle Diario'!$B$5:$B$489, B3537, '📋 Detalle Diario'!$C$5:$C$489, D3537) * 200), 0))</f>
        <v/>
      </c>
      <c r="P3537" s="32" t="str">
        <f t="shared" si="390"/>
        <v/>
      </c>
      <c r="Q3537" s="33" t="str">
        <f t="shared" si="391"/>
        <v/>
      </c>
    </row>
    <row r="3538" spans="2:17" ht="18" customHeight="1" x14ac:dyDescent="0.3">
      <c r="B3538" s="26"/>
      <c r="C3538" s="17"/>
      <c r="D3538" s="27"/>
      <c r="E3538" s="18"/>
      <c r="F3538" s="18"/>
      <c r="G3538" s="18"/>
      <c r="H3538" s="30" t="str">
        <f t="shared" si="385"/>
        <v/>
      </c>
      <c r="I3538" s="31" t="str">
        <f>IF(OR(B3538="",C3538=""),"",IFERROR(E3538*IF(E3538="",0,VLOOKUP(C3538,'📦 Precios Proforma'!$B$5:$D$104,IF(D3538="DIA",2,3),FALSE)),0))</f>
        <v/>
      </c>
      <c r="J3538" s="31" t="str">
        <f t="shared" si="386"/>
        <v/>
      </c>
      <c r="K3538" s="31" t="str">
        <f t="shared" si="387"/>
        <v/>
      </c>
      <c r="L3538" s="31" t="str">
        <f>IF(OR(B3538="",C3538=""),"",IFERROR(E3538 / SUMIFS('📅 Resumen Diario'!$D$5:$D$504, '📅 Resumen Diario'!$B$5:$B$504, B3538, '📅 Resumen Diario'!$C$5:$C$504, D3538) * SUMIFS('📅 Resumen Diario'!$K$5:$K$504, '📅 Resumen Diario'!$B$5:$B$504, B3538, '📅 Resumen Diario'!$C$5:$C$504, D3538), 0))</f>
        <v/>
      </c>
      <c r="M3538" s="31" t="str">
        <f t="shared" si="388"/>
        <v/>
      </c>
      <c r="N3538" s="31" t="str">
        <f t="shared" si="389"/>
        <v/>
      </c>
      <c r="O3538" s="31" t="str">
        <f>IF(OR(B3538="",C3538=""),"",K3538-N3538 + IFERROR(E3538 / SUMIFS('📅 Resumen Diario'!$D$5:$D$504, '📅 Resumen Diario'!$B$5:$B$504, B3538, '📅 Resumen Diario'!$C$5:$C$504, D3538) * (SUMIFS('📋 Detalle Diario'!$E$5:$E$489, '📋 Detalle Diario'!$B$5:$B$489, B3538, '📋 Detalle Diario'!$C$5:$C$489, D3538) * 135 + SUMIFS('📋 Detalle Diario'!$I$5:$I$489, '📋 Detalle Diario'!$B$5:$B$489, B3538, '📋 Detalle Diario'!$C$5:$C$489, D3538) * 200), 0))</f>
        <v/>
      </c>
      <c r="P3538" s="32" t="str">
        <f t="shared" si="390"/>
        <v/>
      </c>
      <c r="Q3538" s="33" t="str">
        <f t="shared" si="391"/>
        <v/>
      </c>
    </row>
    <row r="3539" spans="2:17" ht="18" customHeight="1" x14ac:dyDescent="0.3">
      <c r="B3539" s="26"/>
      <c r="C3539" s="28"/>
      <c r="D3539" s="27"/>
      <c r="E3539" s="29"/>
      <c r="F3539" s="29"/>
      <c r="G3539" s="29"/>
      <c r="H3539" s="30" t="str">
        <f t="shared" si="385"/>
        <v/>
      </c>
      <c r="I3539" s="31" t="str">
        <f>IF(OR(B3539="",C3539=""),"",IFERROR(E3539*IF(E3539="",0,VLOOKUP(C3539,'📦 Precios Proforma'!$B$5:$D$104,IF(D3539="DIA",2,3),FALSE)),0))</f>
        <v/>
      </c>
      <c r="J3539" s="31" t="str">
        <f t="shared" si="386"/>
        <v/>
      </c>
      <c r="K3539" s="31" t="str">
        <f t="shared" si="387"/>
        <v/>
      </c>
      <c r="L3539" s="31" t="str">
        <f>IF(OR(B3539="",C3539=""),"",IFERROR(E3539 / SUMIFS('📅 Resumen Diario'!$D$5:$D$504, '📅 Resumen Diario'!$B$5:$B$504, B3539, '📅 Resumen Diario'!$C$5:$C$504, D3539) * SUMIFS('📅 Resumen Diario'!$K$5:$K$504, '📅 Resumen Diario'!$B$5:$B$504, B3539, '📅 Resumen Diario'!$C$5:$C$504, D3539), 0))</f>
        <v/>
      </c>
      <c r="M3539" s="31" t="str">
        <f t="shared" si="388"/>
        <v/>
      </c>
      <c r="N3539" s="31" t="str">
        <f t="shared" si="389"/>
        <v/>
      </c>
      <c r="O3539" s="31" t="str">
        <f>IF(OR(B3539="",C3539=""),"",K3539-N3539 + IFERROR(E3539 / SUMIFS('📅 Resumen Diario'!$D$5:$D$504, '📅 Resumen Diario'!$B$5:$B$504, B3539, '📅 Resumen Diario'!$C$5:$C$504, D3539) * (SUMIFS('📋 Detalle Diario'!$E$5:$E$489, '📋 Detalle Diario'!$B$5:$B$489, B3539, '📋 Detalle Diario'!$C$5:$C$489, D3539) * 135 + SUMIFS('📋 Detalle Diario'!$I$5:$I$489, '📋 Detalle Diario'!$B$5:$B$489, B3539, '📋 Detalle Diario'!$C$5:$C$489, D3539) * 200), 0))</f>
        <v/>
      </c>
      <c r="P3539" s="32" t="str">
        <f t="shared" si="390"/>
        <v/>
      </c>
      <c r="Q3539" s="33" t="str">
        <f t="shared" si="391"/>
        <v/>
      </c>
    </row>
    <row r="3540" spans="2:17" ht="18" customHeight="1" x14ac:dyDescent="0.3">
      <c r="B3540" s="26"/>
      <c r="C3540" s="17"/>
      <c r="D3540" s="27"/>
      <c r="E3540" s="18"/>
      <c r="F3540" s="18"/>
      <c r="G3540" s="18"/>
      <c r="H3540" s="30" t="str">
        <f t="shared" si="385"/>
        <v/>
      </c>
      <c r="I3540" s="31" t="str">
        <f>IF(OR(B3540="",C3540=""),"",IFERROR(E3540*IF(E3540="",0,VLOOKUP(C3540,'📦 Precios Proforma'!$B$5:$D$104,IF(D3540="DIA",2,3),FALSE)),0))</f>
        <v/>
      </c>
      <c r="J3540" s="31" t="str">
        <f t="shared" si="386"/>
        <v/>
      </c>
      <c r="K3540" s="31" t="str">
        <f t="shared" si="387"/>
        <v/>
      </c>
      <c r="L3540" s="31" t="str">
        <f>IF(OR(B3540="",C3540=""),"",IFERROR(E3540 / SUMIFS('📅 Resumen Diario'!$D$5:$D$504, '📅 Resumen Diario'!$B$5:$B$504, B3540, '📅 Resumen Diario'!$C$5:$C$504, D3540) * SUMIFS('📅 Resumen Diario'!$K$5:$K$504, '📅 Resumen Diario'!$B$5:$B$504, B3540, '📅 Resumen Diario'!$C$5:$C$504, D3540), 0))</f>
        <v/>
      </c>
      <c r="M3540" s="31" t="str">
        <f t="shared" si="388"/>
        <v/>
      </c>
      <c r="N3540" s="31" t="str">
        <f t="shared" si="389"/>
        <v/>
      </c>
      <c r="O3540" s="31" t="str">
        <f>IF(OR(B3540="",C3540=""),"",K3540-N3540 + IFERROR(E3540 / SUMIFS('📅 Resumen Diario'!$D$5:$D$504, '📅 Resumen Diario'!$B$5:$B$504, B3540, '📅 Resumen Diario'!$C$5:$C$504, D3540) * (SUMIFS('📋 Detalle Diario'!$E$5:$E$489, '📋 Detalle Diario'!$B$5:$B$489, B3540, '📋 Detalle Diario'!$C$5:$C$489, D3540) * 135 + SUMIFS('📋 Detalle Diario'!$I$5:$I$489, '📋 Detalle Diario'!$B$5:$B$489, B3540, '📋 Detalle Diario'!$C$5:$C$489, D3540) * 200), 0))</f>
        <v/>
      </c>
      <c r="P3540" s="32" t="str">
        <f t="shared" si="390"/>
        <v/>
      </c>
      <c r="Q3540" s="33" t="str">
        <f t="shared" si="391"/>
        <v/>
      </c>
    </row>
    <row r="3541" spans="2:17" ht="18" customHeight="1" x14ac:dyDescent="0.3">
      <c r="B3541" s="26"/>
      <c r="C3541" s="28"/>
      <c r="D3541" s="27"/>
      <c r="E3541" s="29"/>
      <c r="F3541" s="29"/>
      <c r="G3541" s="29"/>
      <c r="H3541" s="30" t="str">
        <f t="shared" si="385"/>
        <v/>
      </c>
      <c r="I3541" s="31" t="str">
        <f>IF(OR(B3541="",C3541=""),"",IFERROR(E3541*IF(E3541="",0,VLOOKUP(C3541,'📦 Precios Proforma'!$B$5:$D$104,IF(D3541="DIA",2,3),FALSE)),0))</f>
        <v/>
      </c>
      <c r="J3541" s="31" t="str">
        <f t="shared" si="386"/>
        <v/>
      </c>
      <c r="K3541" s="31" t="str">
        <f t="shared" si="387"/>
        <v/>
      </c>
      <c r="L3541" s="31" t="str">
        <f>IF(OR(B3541="",C3541=""),"",IFERROR(E3541 / SUMIFS('📅 Resumen Diario'!$D$5:$D$504, '📅 Resumen Diario'!$B$5:$B$504, B3541, '📅 Resumen Diario'!$C$5:$C$504, D3541) * SUMIFS('📅 Resumen Diario'!$K$5:$K$504, '📅 Resumen Diario'!$B$5:$B$504, B3541, '📅 Resumen Diario'!$C$5:$C$504, D3541), 0))</f>
        <v/>
      </c>
      <c r="M3541" s="31" t="str">
        <f t="shared" si="388"/>
        <v/>
      </c>
      <c r="N3541" s="31" t="str">
        <f t="shared" si="389"/>
        <v/>
      </c>
      <c r="O3541" s="31" t="str">
        <f>IF(OR(B3541="",C3541=""),"",K3541-N3541 + IFERROR(E3541 / SUMIFS('📅 Resumen Diario'!$D$5:$D$504, '📅 Resumen Diario'!$B$5:$B$504, B3541, '📅 Resumen Diario'!$C$5:$C$504, D3541) * (SUMIFS('📋 Detalle Diario'!$E$5:$E$489, '📋 Detalle Diario'!$B$5:$B$489, B3541, '📋 Detalle Diario'!$C$5:$C$489, D3541) * 135 + SUMIFS('📋 Detalle Diario'!$I$5:$I$489, '📋 Detalle Diario'!$B$5:$B$489, B3541, '📋 Detalle Diario'!$C$5:$C$489, D3541) * 200), 0))</f>
        <v/>
      </c>
      <c r="P3541" s="32" t="str">
        <f t="shared" si="390"/>
        <v/>
      </c>
      <c r="Q3541" s="33" t="str">
        <f t="shared" si="391"/>
        <v/>
      </c>
    </row>
    <row r="3542" spans="2:17" ht="18" customHeight="1" x14ac:dyDescent="0.3">
      <c r="B3542" s="26"/>
      <c r="C3542" s="17"/>
      <c r="D3542" s="27"/>
      <c r="E3542" s="18"/>
      <c r="F3542" s="18"/>
      <c r="G3542" s="18"/>
      <c r="H3542" s="30" t="str">
        <f t="shared" si="385"/>
        <v/>
      </c>
      <c r="I3542" s="31" t="str">
        <f>IF(OR(B3542="",C3542=""),"",IFERROR(E3542*IF(E3542="",0,VLOOKUP(C3542,'📦 Precios Proforma'!$B$5:$D$104,IF(D3542="DIA",2,3),FALSE)),0))</f>
        <v/>
      </c>
      <c r="J3542" s="31" t="str">
        <f t="shared" si="386"/>
        <v/>
      </c>
      <c r="K3542" s="31" t="str">
        <f t="shared" si="387"/>
        <v/>
      </c>
      <c r="L3542" s="31" t="str">
        <f>IF(OR(B3542="",C3542=""),"",IFERROR(E3542 / SUMIFS('📅 Resumen Diario'!$D$5:$D$504, '📅 Resumen Diario'!$B$5:$B$504, B3542, '📅 Resumen Diario'!$C$5:$C$504, D3542) * SUMIFS('📅 Resumen Diario'!$K$5:$K$504, '📅 Resumen Diario'!$B$5:$B$504, B3542, '📅 Resumen Diario'!$C$5:$C$504, D3542), 0))</f>
        <v/>
      </c>
      <c r="M3542" s="31" t="str">
        <f t="shared" si="388"/>
        <v/>
      </c>
      <c r="N3542" s="31" t="str">
        <f t="shared" si="389"/>
        <v/>
      </c>
      <c r="O3542" s="31" t="str">
        <f>IF(OR(B3542="",C3542=""),"",K3542-N3542 + IFERROR(E3542 / SUMIFS('📅 Resumen Diario'!$D$5:$D$504, '📅 Resumen Diario'!$B$5:$B$504, B3542, '📅 Resumen Diario'!$C$5:$C$504, D3542) * (SUMIFS('📋 Detalle Diario'!$E$5:$E$489, '📋 Detalle Diario'!$B$5:$B$489, B3542, '📋 Detalle Diario'!$C$5:$C$489, D3542) * 135 + SUMIFS('📋 Detalle Diario'!$I$5:$I$489, '📋 Detalle Diario'!$B$5:$B$489, B3542, '📋 Detalle Diario'!$C$5:$C$489, D3542) * 200), 0))</f>
        <v/>
      </c>
      <c r="P3542" s="32" t="str">
        <f t="shared" si="390"/>
        <v/>
      </c>
      <c r="Q3542" s="33" t="str">
        <f t="shared" si="391"/>
        <v/>
      </c>
    </row>
    <row r="3543" spans="2:17" ht="18" customHeight="1" x14ac:dyDescent="0.3">
      <c r="B3543" s="26"/>
      <c r="C3543" s="28"/>
      <c r="D3543" s="27"/>
      <c r="E3543" s="29"/>
      <c r="F3543" s="29"/>
      <c r="G3543" s="29"/>
      <c r="H3543" s="30" t="str">
        <f t="shared" si="385"/>
        <v/>
      </c>
      <c r="I3543" s="31" t="str">
        <f>IF(OR(B3543="",C3543=""),"",IFERROR(E3543*IF(E3543="",0,VLOOKUP(C3543,'📦 Precios Proforma'!$B$5:$D$104,IF(D3543="DIA",2,3),FALSE)),0))</f>
        <v/>
      </c>
      <c r="J3543" s="31" t="str">
        <f t="shared" si="386"/>
        <v/>
      </c>
      <c r="K3543" s="31" t="str">
        <f t="shared" si="387"/>
        <v/>
      </c>
      <c r="L3543" s="31" t="str">
        <f>IF(OR(B3543="",C3543=""),"",IFERROR(E3543 / SUMIFS('📅 Resumen Diario'!$D$5:$D$504, '📅 Resumen Diario'!$B$5:$B$504, B3543, '📅 Resumen Diario'!$C$5:$C$504, D3543) * SUMIFS('📅 Resumen Diario'!$K$5:$K$504, '📅 Resumen Diario'!$B$5:$B$504, B3543, '📅 Resumen Diario'!$C$5:$C$504, D3543), 0))</f>
        <v/>
      </c>
      <c r="M3543" s="31" t="str">
        <f t="shared" si="388"/>
        <v/>
      </c>
      <c r="N3543" s="31" t="str">
        <f t="shared" si="389"/>
        <v/>
      </c>
      <c r="O3543" s="31" t="str">
        <f>IF(OR(B3543="",C3543=""),"",K3543-N3543 + IFERROR(E3543 / SUMIFS('📅 Resumen Diario'!$D$5:$D$504, '📅 Resumen Diario'!$B$5:$B$504, B3543, '📅 Resumen Diario'!$C$5:$C$504, D3543) * (SUMIFS('📋 Detalle Diario'!$E$5:$E$489, '📋 Detalle Diario'!$B$5:$B$489, B3543, '📋 Detalle Diario'!$C$5:$C$489, D3543) * 135 + SUMIFS('📋 Detalle Diario'!$I$5:$I$489, '📋 Detalle Diario'!$B$5:$B$489, B3543, '📋 Detalle Diario'!$C$5:$C$489, D3543) * 200), 0))</f>
        <v/>
      </c>
      <c r="P3543" s="32" t="str">
        <f t="shared" si="390"/>
        <v/>
      </c>
      <c r="Q3543" s="33" t="str">
        <f t="shared" si="391"/>
        <v/>
      </c>
    </row>
    <row r="3544" spans="2:17" ht="18" customHeight="1" x14ac:dyDescent="0.3">
      <c r="B3544" s="26"/>
      <c r="C3544" s="17"/>
      <c r="D3544" s="27"/>
      <c r="E3544" s="18"/>
      <c r="F3544" s="18"/>
      <c r="G3544" s="18"/>
      <c r="H3544" s="30" t="str">
        <f t="shared" si="385"/>
        <v/>
      </c>
      <c r="I3544" s="31" t="str">
        <f>IF(OR(B3544="",C3544=""),"",IFERROR(E3544*IF(E3544="",0,VLOOKUP(C3544,'📦 Precios Proforma'!$B$5:$D$104,IF(D3544="DIA",2,3),FALSE)),0))</f>
        <v/>
      </c>
      <c r="J3544" s="31" t="str">
        <f t="shared" si="386"/>
        <v/>
      </c>
      <c r="K3544" s="31" t="str">
        <f t="shared" si="387"/>
        <v/>
      </c>
      <c r="L3544" s="31" t="str">
        <f>IF(OR(B3544="",C3544=""),"",IFERROR(E3544 / SUMIFS('📅 Resumen Diario'!$D$5:$D$504, '📅 Resumen Diario'!$B$5:$B$504, B3544, '📅 Resumen Diario'!$C$5:$C$504, D3544) * SUMIFS('📅 Resumen Diario'!$K$5:$K$504, '📅 Resumen Diario'!$B$5:$B$504, B3544, '📅 Resumen Diario'!$C$5:$C$504, D3544), 0))</f>
        <v/>
      </c>
      <c r="M3544" s="31" t="str">
        <f t="shared" si="388"/>
        <v/>
      </c>
      <c r="N3544" s="31" t="str">
        <f t="shared" si="389"/>
        <v/>
      </c>
      <c r="O3544" s="31" t="str">
        <f>IF(OR(B3544="",C3544=""),"",K3544-N3544 + IFERROR(E3544 / SUMIFS('📅 Resumen Diario'!$D$5:$D$504, '📅 Resumen Diario'!$B$5:$B$504, B3544, '📅 Resumen Diario'!$C$5:$C$504, D3544) * (SUMIFS('📋 Detalle Diario'!$E$5:$E$489, '📋 Detalle Diario'!$B$5:$B$489, B3544, '📋 Detalle Diario'!$C$5:$C$489, D3544) * 135 + SUMIFS('📋 Detalle Diario'!$I$5:$I$489, '📋 Detalle Diario'!$B$5:$B$489, B3544, '📋 Detalle Diario'!$C$5:$C$489, D3544) * 200), 0))</f>
        <v/>
      </c>
      <c r="P3544" s="32" t="str">
        <f t="shared" si="390"/>
        <v/>
      </c>
      <c r="Q3544" s="33" t="str">
        <f t="shared" si="391"/>
        <v/>
      </c>
    </row>
    <row r="3545" spans="2:17" ht="18" customHeight="1" x14ac:dyDescent="0.3">
      <c r="B3545" s="26"/>
      <c r="C3545" s="28"/>
      <c r="D3545" s="27"/>
      <c r="E3545" s="29"/>
      <c r="F3545" s="29"/>
      <c r="G3545" s="29"/>
      <c r="H3545" s="30" t="str">
        <f t="shared" si="385"/>
        <v/>
      </c>
      <c r="I3545" s="31" t="str">
        <f>IF(OR(B3545="",C3545=""),"",IFERROR(E3545*IF(E3545="",0,VLOOKUP(C3545,'📦 Precios Proforma'!$B$5:$D$104,IF(D3545="DIA",2,3),FALSE)),0))</f>
        <v/>
      </c>
      <c r="J3545" s="31" t="str">
        <f t="shared" si="386"/>
        <v/>
      </c>
      <c r="K3545" s="31" t="str">
        <f t="shared" si="387"/>
        <v/>
      </c>
      <c r="L3545" s="31" t="str">
        <f>IF(OR(B3545="",C3545=""),"",IFERROR(E3545 / SUMIFS('📅 Resumen Diario'!$D$5:$D$504, '📅 Resumen Diario'!$B$5:$B$504, B3545, '📅 Resumen Diario'!$C$5:$C$504, D3545) * SUMIFS('📅 Resumen Diario'!$K$5:$K$504, '📅 Resumen Diario'!$B$5:$B$504, B3545, '📅 Resumen Diario'!$C$5:$C$504, D3545), 0))</f>
        <v/>
      </c>
      <c r="M3545" s="31" t="str">
        <f t="shared" si="388"/>
        <v/>
      </c>
      <c r="N3545" s="31" t="str">
        <f t="shared" si="389"/>
        <v/>
      </c>
      <c r="O3545" s="31" t="str">
        <f>IF(OR(B3545="",C3545=""),"",K3545-N3545 + IFERROR(E3545 / SUMIFS('📅 Resumen Diario'!$D$5:$D$504, '📅 Resumen Diario'!$B$5:$B$504, B3545, '📅 Resumen Diario'!$C$5:$C$504, D3545) * (SUMIFS('📋 Detalle Diario'!$E$5:$E$489, '📋 Detalle Diario'!$B$5:$B$489, B3545, '📋 Detalle Diario'!$C$5:$C$489, D3545) * 135 + SUMIFS('📋 Detalle Diario'!$I$5:$I$489, '📋 Detalle Diario'!$B$5:$B$489, B3545, '📋 Detalle Diario'!$C$5:$C$489, D3545) * 200), 0))</f>
        <v/>
      </c>
      <c r="P3545" s="32" t="str">
        <f t="shared" si="390"/>
        <v/>
      </c>
      <c r="Q3545" s="33" t="str">
        <f t="shared" si="391"/>
        <v/>
      </c>
    </row>
    <row r="3546" spans="2:17" ht="18" customHeight="1" x14ac:dyDescent="0.3">
      <c r="B3546" s="26"/>
      <c r="C3546" s="17"/>
      <c r="D3546" s="27"/>
      <c r="E3546" s="18"/>
      <c r="F3546" s="18"/>
      <c r="G3546" s="18"/>
      <c r="H3546" s="30" t="str">
        <f t="shared" si="385"/>
        <v/>
      </c>
      <c r="I3546" s="31" t="str">
        <f>IF(OR(B3546="",C3546=""),"",IFERROR(E3546*IF(E3546="",0,VLOOKUP(C3546,'📦 Precios Proforma'!$B$5:$D$104,IF(D3546="DIA",2,3),FALSE)),0))</f>
        <v/>
      </c>
      <c r="J3546" s="31" t="str">
        <f t="shared" si="386"/>
        <v/>
      </c>
      <c r="K3546" s="31" t="str">
        <f t="shared" si="387"/>
        <v/>
      </c>
      <c r="L3546" s="31" t="str">
        <f>IF(OR(B3546="",C3546=""),"",IFERROR(E3546 / SUMIFS('📅 Resumen Diario'!$D$5:$D$504, '📅 Resumen Diario'!$B$5:$B$504, B3546, '📅 Resumen Diario'!$C$5:$C$504, D3546) * SUMIFS('📅 Resumen Diario'!$K$5:$K$504, '📅 Resumen Diario'!$B$5:$B$504, B3546, '📅 Resumen Diario'!$C$5:$C$504, D3546), 0))</f>
        <v/>
      </c>
      <c r="M3546" s="31" t="str">
        <f t="shared" si="388"/>
        <v/>
      </c>
      <c r="N3546" s="31" t="str">
        <f t="shared" si="389"/>
        <v/>
      </c>
      <c r="O3546" s="31" t="str">
        <f>IF(OR(B3546="",C3546=""),"",K3546-N3546 + IFERROR(E3546 / SUMIFS('📅 Resumen Diario'!$D$5:$D$504, '📅 Resumen Diario'!$B$5:$B$504, B3546, '📅 Resumen Diario'!$C$5:$C$504, D3546) * (SUMIFS('📋 Detalle Diario'!$E$5:$E$489, '📋 Detalle Diario'!$B$5:$B$489, B3546, '📋 Detalle Diario'!$C$5:$C$489, D3546) * 135 + SUMIFS('📋 Detalle Diario'!$I$5:$I$489, '📋 Detalle Diario'!$B$5:$B$489, B3546, '📋 Detalle Diario'!$C$5:$C$489, D3546) * 200), 0))</f>
        <v/>
      </c>
      <c r="P3546" s="32" t="str">
        <f t="shared" si="390"/>
        <v/>
      </c>
      <c r="Q3546" s="33" t="str">
        <f t="shared" si="391"/>
        <v/>
      </c>
    </row>
    <row r="3547" spans="2:17" ht="18" customHeight="1" x14ac:dyDescent="0.3">
      <c r="B3547" s="26"/>
      <c r="C3547" s="28"/>
      <c r="D3547" s="27"/>
      <c r="E3547" s="29"/>
      <c r="F3547" s="29"/>
      <c r="G3547" s="29"/>
      <c r="H3547" s="30" t="str">
        <f t="shared" si="385"/>
        <v/>
      </c>
      <c r="I3547" s="31" t="str">
        <f>IF(OR(B3547="",C3547=""),"",IFERROR(E3547*IF(E3547="",0,VLOOKUP(C3547,'📦 Precios Proforma'!$B$5:$D$104,IF(D3547="DIA",2,3),FALSE)),0))</f>
        <v/>
      </c>
      <c r="J3547" s="31" t="str">
        <f t="shared" si="386"/>
        <v/>
      </c>
      <c r="K3547" s="31" t="str">
        <f t="shared" si="387"/>
        <v/>
      </c>
      <c r="L3547" s="31" t="str">
        <f>IF(OR(B3547="",C3547=""),"",IFERROR(E3547 / SUMIFS('📅 Resumen Diario'!$D$5:$D$504, '📅 Resumen Diario'!$B$5:$B$504, B3547, '📅 Resumen Diario'!$C$5:$C$504, D3547) * SUMIFS('📅 Resumen Diario'!$K$5:$K$504, '📅 Resumen Diario'!$B$5:$B$504, B3547, '📅 Resumen Diario'!$C$5:$C$504, D3547), 0))</f>
        <v/>
      </c>
      <c r="M3547" s="31" t="str">
        <f t="shared" si="388"/>
        <v/>
      </c>
      <c r="N3547" s="31" t="str">
        <f t="shared" si="389"/>
        <v/>
      </c>
      <c r="O3547" s="31" t="str">
        <f>IF(OR(B3547="",C3547=""),"",K3547-N3547 + IFERROR(E3547 / SUMIFS('📅 Resumen Diario'!$D$5:$D$504, '📅 Resumen Diario'!$B$5:$B$504, B3547, '📅 Resumen Diario'!$C$5:$C$504, D3547) * (SUMIFS('📋 Detalle Diario'!$E$5:$E$489, '📋 Detalle Diario'!$B$5:$B$489, B3547, '📋 Detalle Diario'!$C$5:$C$489, D3547) * 135 + SUMIFS('📋 Detalle Diario'!$I$5:$I$489, '📋 Detalle Diario'!$B$5:$B$489, B3547, '📋 Detalle Diario'!$C$5:$C$489, D3547) * 200), 0))</f>
        <v/>
      </c>
      <c r="P3547" s="32" t="str">
        <f t="shared" si="390"/>
        <v/>
      </c>
      <c r="Q3547" s="33" t="str">
        <f t="shared" si="391"/>
        <v/>
      </c>
    </row>
    <row r="3548" spans="2:17" ht="18" customHeight="1" x14ac:dyDescent="0.3">
      <c r="B3548" s="26"/>
      <c r="C3548" s="17"/>
      <c r="D3548" s="27"/>
      <c r="E3548" s="18"/>
      <c r="F3548" s="18"/>
      <c r="G3548" s="18"/>
      <c r="H3548" s="30" t="str">
        <f t="shared" si="385"/>
        <v/>
      </c>
      <c r="I3548" s="31" t="str">
        <f>IF(OR(B3548="",C3548=""),"",IFERROR(E3548*IF(E3548="",0,VLOOKUP(C3548,'📦 Precios Proforma'!$B$5:$D$104,IF(D3548="DIA",2,3),FALSE)),0))</f>
        <v/>
      </c>
      <c r="J3548" s="31" t="str">
        <f t="shared" si="386"/>
        <v/>
      </c>
      <c r="K3548" s="31" t="str">
        <f t="shared" si="387"/>
        <v/>
      </c>
      <c r="L3548" s="31" t="str">
        <f>IF(OR(B3548="",C3548=""),"",IFERROR(E3548 / SUMIFS('📅 Resumen Diario'!$D$5:$D$504, '📅 Resumen Diario'!$B$5:$B$504, B3548, '📅 Resumen Diario'!$C$5:$C$504, D3548) * SUMIFS('📅 Resumen Diario'!$K$5:$K$504, '📅 Resumen Diario'!$B$5:$B$504, B3548, '📅 Resumen Diario'!$C$5:$C$504, D3548), 0))</f>
        <v/>
      </c>
      <c r="M3548" s="31" t="str">
        <f t="shared" si="388"/>
        <v/>
      </c>
      <c r="N3548" s="31" t="str">
        <f t="shared" si="389"/>
        <v/>
      </c>
      <c r="O3548" s="31" t="str">
        <f>IF(OR(B3548="",C3548=""),"",K3548-N3548 + IFERROR(E3548 / SUMIFS('📅 Resumen Diario'!$D$5:$D$504, '📅 Resumen Diario'!$B$5:$B$504, B3548, '📅 Resumen Diario'!$C$5:$C$504, D3548) * (SUMIFS('📋 Detalle Diario'!$E$5:$E$489, '📋 Detalle Diario'!$B$5:$B$489, B3548, '📋 Detalle Diario'!$C$5:$C$489, D3548) * 135 + SUMIFS('📋 Detalle Diario'!$I$5:$I$489, '📋 Detalle Diario'!$B$5:$B$489, B3548, '📋 Detalle Diario'!$C$5:$C$489, D3548) * 200), 0))</f>
        <v/>
      </c>
      <c r="P3548" s="32" t="str">
        <f t="shared" si="390"/>
        <v/>
      </c>
      <c r="Q3548" s="33" t="str">
        <f t="shared" si="391"/>
        <v/>
      </c>
    </row>
    <row r="3549" spans="2:17" ht="18" customHeight="1" x14ac:dyDescent="0.3">
      <c r="B3549" s="26"/>
      <c r="C3549" s="28"/>
      <c r="D3549" s="27"/>
      <c r="E3549" s="29"/>
      <c r="F3549" s="29"/>
      <c r="G3549" s="29"/>
      <c r="H3549" s="30" t="str">
        <f t="shared" si="385"/>
        <v/>
      </c>
      <c r="I3549" s="31" t="str">
        <f>IF(OR(B3549="",C3549=""),"",IFERROR(E3549*IF(E3549="",0,VLOOKUP(C3549,'📦 Precios Proforma'!$B$5:$D$104,IF(D3549="DIA",2,3),FALSE)),0))</f>
        <v/>
      </c>
      <c r="J3549" s="31" t="str">
        <f t="shared" si="386"/>
        <v/>
      </c>
      <c r="K3549" s="31" t="str">
        <f t="shared" si="387"/>
        <v/>
      </c>
      <c r="L3549" s="31" t="str">
        <f>IF(OR(B3549="",C3549=""),"",IFERROR(E3549 / SUMIFS('📅 Resumen Diario'!$D$5:$D$504, '📅 Resumen Diario'!$B$5:$B$504, B3549, '📅 Resumen Diario'!$C$5:$C$504, D3549) * SUMIFS('📅 Resumen Diario'!$K$5:$K$504, '📅 Resumen Diario'!$B$5:$B$504, B3549, '📅 Resumen Diario'!$C$5:$C$504, D3549), 0))</f>
        <v/>
      </c>
      <c r="M3549" s="31" t="str">
        <f t="shared" si="388"/>
        <v/>
      </c>
      <c r="N3549" s="31" t="str">
        <f t="shared" si="389"/>
        <v/>
      </c>
      <c r="O3549" s="31" t="str">
        <f>IF(OR(B3549="",C3549=""),"",K3549-N3549 + IFERROR(E3549 / SUMIFS('📅 Resumen Diario'!$D$5:$D$504, '📅 Resumen Diario'!$B$5:$B$504, B3549, '📅 Resumen Diario'!$C$5:$C$504, D3549) * (SUMIFS('📋 Detalle Diario'!$E$5:$E$489, '📋 Detalle Diario'!$B$5:$B$489, B3549, '📋 Detalle Diario'!$C$5:$C$489, D3549) * 135 + SUMIFS('📋 Detalle Diario'!$I$5:$I$489, '📋 Detalle Diario'!$B$5:$B$489, B3549, '📋 Detalle Diario'!$C$5:$C$489, D3549) * 200), 0))</f>
        <v/>
      </c>
      <c r="P3549" s="32" t="str">
        <f t="shared" si="390"/>
        <v/>
      </c>
      <c r="Q3549" s="33" t="str">
        <f t="shared" si="391"/>
        <v/>
      </c>
    </row>
    <row r="3550" spans="2:17" ht="18" customHeight="1" x14ac:dyDescent="0.3">
      <c r="B3550" s="26"/>
      <c r="C3550" s="17"/>
      <c r="D3550" s="27"/>
      <c r="E3550" s="18"/>
      <c r="F3550" s="18"/>
      <c r="G3550" s="18"/>
      <c r="H3550" s="30" t="str">
        <f t="shared" si="385"/>
        <v/>
      </c>
      <c r="I3550" s="31" t="str">
        <f>IF(OR(B3550="",C3550=""),"",IFERROR(E3550*IF(E3550="",0,VLOOKUP(C3550,'📦 Precios Proforma'!$B$5:$D$104,IF(D3550="DIA",2,3),FALSE)),0))</f>
        <v/>
      </c>
      <c r="J3550" s="31" t="str">
        <f t="shared" si="386"/>
        <v/>
      </c>
      <c r="K3550" s="31" t="str">
        <f t="shared" si="387"/>
        <v/>
      </c>
      <c r="L3550" s="31" t="str">
        <f>IF(OR(B3550="",C3550=""),"",IFERROR(E3550 / SUMIFS('📅 Resumen Diario'!$D$5:$D$504, '📅 Resumen Diario'!$B$5:$B$504, B3550, '📅 Resumen Diario'!$C$5:$C$504, D3550) * SUMIFS('📅 Resumen Diario'!$K$5:$K$504, '📅 Resumen Diario'!$B$5:$B$504, B3550, '📅 Resumen Diario'!$C$5:$C$504, D3550), 0))</f>
        <v/>
      </c>
      <c r="M3550" s="31" t="str">
        <f t="shared" si="388"/>
        <v/>
      </c>
      <c r="N3550" s="31" t="str">
        <f t="shared" si="389"/>
        <v/>
      </c>
      <c r="O3550" s="31" t="str">
        <f>IF(OR(B3550="",C3550=""),"",K3550-N3550 + IFERROR(E3550 / SUMIFS('📅 Resumen Diario'!$D$5:$D$504, '📅 Resumen Diario'!$B$5:$B$504, B3550, '📅 Resumen Diario'!$C$5:$C$504, D3550) * (SUMIFS('📋 Detalle Diario'!$E$5:$E$489, '📋 Detalle Diario'!$B$5:$B$489, B3550, '📋 Detalle Diario'!$C$5:$C$489, D3550) * 135 + SUMIFS('📋 Detalle Diario'!$I$5:$I$489, '📋 Detalle Diario'!$B$5:$B$489, B3550, '📋 Detalle Diario'!$C$5:$C$489, D3550) * 200), 0))</f>
        <v/>
      </c>
      <c r="P3550" s="32" t="str">
        <f t="shared" si="390"/>
        <v/>
      </c>
      <c r="Q3550" s="33" t="str">
        <f t="shared" si="391"/>
        <v/>
      </c>
    </row>
    <row r="3551" spans="2:17" ht="18" customHeight="1" x14ac:dyDescent="0.3">
      <c r="B3551" s="26"/>
      <c r="C3551" s="28"/>
      <c r="D3551" s="27"/>
      <c r="E3551" s="29"/>
      <c r="F3551" s="29"/>
      <c r="G3551" s="29"/>
      <c r="H3551" s="30" t="str">
        <f t="shared" si="385"/>
        <v/>
      </c>
      <c r="I3551" s="31" t="str">
        <f>IF(OR(B3551="",C3551=""),"",IFERROR(E3551*IF(E3551="",0,VLOOKUP(C3551,'📦 Precios Proforma'!$B$5:$D$104,IF(D3551="DIA",2,3),FALSE)),0))</f>
        <v/>
      </c>
      <c r="J3551" s="31" t="str">
        <f t="shared" si="386"/>
        <v/>
      </c>
      <c r="K3551" s="31" t="str">
        <f t="shared" si="387"/>
        <v/>
      </c>
      <c r="L3551" s="31" t="str">
        <f>IF(OR(B3551="",C3551=""),"",IFERROR(E3551 / SUMIFS('📅 Resumen Diario'!$D$5:$D$504, '📅 Resumen Diario'!$B$5:$B$504, B3551, '📅 Resumen Diario'!$C$5:$C$504, D3551) * SUMIFS('📅 Resumen Diario'!$K$5:$K$504, '📅 Resumen Diario'!$B$5:$B$504, B3551, '📅 Resumen Diario'!$C$5:$C$504, D3551), 0))</f>
        <v/>
      </c>
      <c r="M3551" s="31" t="str">
        <f t="shared" si="388"/>
        <v/>
      </c>
      <c r="N3551" s="31" t="str">
        <f t="shared" si="389"/>
        <v/>
      </c>
      <c r="O3551" s="31" t="str">
        <f>IF(OR(B3551="",C3551=""),"",K3551-N3551 + IFERROR(E3551 / SUMIFS('📅 Resumen Diario'!$D$5:$D$504, '📅 Resumen Diario'!$B$5:$B$504, B3551, '📅 Resumen Diario'!$C$5:$C$504, D3551) * (SUMIFS('📋 Detalle Diario'!$E$5:$E$489, '📋 Detalle Diario'!$B$5:$B$489, B3551, '📋 Detalle Diario'!$C$5:$C$489, D3551) * 135 + SUMIFS('📋 Detalle Diario'!$I$5:$I$489, '📋 Detalle Diario'!$B$5:$B$489, B3551, '📋 Detalle Diario'!$C$5:$C$489, D3551) * 200), 0))</f>
        <v/>
      </c>
      <c r="P3551" s="32" t="str">
        <f t="shared" si="390"/>
        <v/>
      </c>
      <c r="Q3551" s="33" t="str">
        <f t="shared" si="391"/>
        <v/>
      </c>
    </row>
    <row r="3552" spans="2:17" ht="18" customHeight="1" x14ac:dyDescent="0.3">
      <c r="B3552" s="26"/>
      <c r="C3552" s="17"/>
      <c r="D3552" s="27"/>
      <c r="E3552" s="18"/>
      <c r="F3552" s="18"/>
      <c r="G3552" s="18"/>
      <c r="H3552" s="30" t="str">
        <f t="shared" si="385"/>
        <v/>
      </c>
      <c r="I3552" s="31" t="str">
        <f>IF(OR(B3552="",C3552=""),"",IFERROR(E3552*IF(E3552="",0,VLOOKUP(C3552,'📦 Precios Proforma'!$B$5:$D$104,IF(D3552="DIA",2,3),FALSE)),0))</f>
        <v/>
      </c>
      <c r="J3552" s="31" t="str">
        <f t="shared" si="386"/>
        <v/>
      </c>
      <c r="K3552" s="31" t="str">
        <f t="shared" si="387"/>
        <v/>
      </c>
      <c r="L3552" s="31" t="str">
        <f>IF(OR(B3552="",C3552=""),"",IFERROR(E3552 / SUMIFS('📅 Resumen Diario'!$D$5:$D$504, '📅 Resumen Diario'!$B$5:$B$504, B3552, '📅 Resumen Diario'!$C$5:$C$504, D3552) * SUMIFS('📅 Resumen Diario'!$K$5:$K$504, '📅 Resumen Diario'!$B$5:$B$504, B3552, '📅 Resumen Diario'!$C$5:$C$504, D3552), 0))</f>
        <v/>
      </c>
      <c r="M3552" s="31" t="str">
        <f t="shared" si="388"/>
        <v/>
      </c>
      <c r="N3552" s="31" t="str">
        <f t="shared" si="389"/>
        <v/>
      </c>
      <c r="O3552" s="31" t="str">
        <f>IF(OR(B3552="",C3552=""),"",K3552-N3552 + IFERROR(E3552 / SUMIFS('📅 Resumen Diario'!$D$5:$D$504, '📅 Resumen Diario'!$B$5:$B$504, B3552, '📅 Resumen Diario'!$C$5:$C$504, D3552) * (SUMIFS('📋 Detalle Diario'!$E$5:$E$489, '📋 Detalle Diario'!$B$5:$B$489, B3552, '📋 Detalle Diario'!$C$5:$C$489, D3552) * 135 + SUMIFS('📋 Detalle Diario'!$I$5:$I$489, '📋 Detalle Diario'!$B$5:$B$489, B3552, '📋 Detalle Diario'!$C$5:$C$489, D3552) * 200), 0))</f>
        <v/>
      </c>
      <c r="P3552" s="32" t="str">
        <f t="shared" si="390"/>
        <v/>
      </c>
      <c r="Q3552" s="33" t="str">
        <f t="shared" si="391"/>
        <v/>
      </c>
    </row>
    <row r="3553" spans="2:17" ht="18" customHeight="1" x14ac:dyDescent="0.3">
      <c r="B3553" s="26"/>
      <c r="C3553" s="28"/>
      <c r="D3553" s="27"/>
      <c r="E3553" s="29"/>
      <c r="F3553" s="29"/>
      <c r="G3553" s="29"/>
      <c r="H3553" s="30" t="str">
        <f t="shared" si="385"/>
        <v/>
      </c>
      <c r="I3553" s="31" t="str">
        <f>IF(OR(B3553="",C3553=""),"",IFERROR(E3553*IF(E3553="",0,VLOOKUP(C3553,'📦 Precios Proforma'!$B$5:$D$104,IF(D3553="DIA",2,3),FALSE)),0))</f>
        <v/>
      </c>
      <c r="J3553" s="31" t="str">
        <f t="shared" si="386"/>
        <v/>
      </c>
      <c r="K3553" s="31" t="str">
        <f t="shared" si="387"/>
        <v/>
      </c>
      <c r="L3553" s="31" t="str">
        <f>IF(OR(B3553="",C3553=""),"",IFERROR(E3553 / SUMIFS('📅 Resumen Diario'!$D$5:$D$504, '📅 Resumen Diario'!$B$5:$B$504, B3553, '📅 Resumen Diario'!$C$5:$C$504, D3553) * SUMIFS('📅 Resumen Diario'!$K$5:$K$504, '📅 Resumen Diario'!$B$5:$B$504, B3553, '📅 Resumen Diario'!$C$5:$C$504, D3553), 0))</f>
        <v/>
      </c>
      <c r="M3553" s="31" t="str">
        <f t="shared" si="388"/>
        <v/>
      </c>
      <c r="N3553" s="31" t="str">
        <f t="shared" si="389"/>
        <v/>
      </c>
      <c r="O3553" s="31" t="str">
        <f>IF(OR(B3553="",C3553=""),"",K3553-N3553 + IFERROR(E3553 / SUMIFS('📅 Resumen Diario'!$D$5:$D$504, '📅 Resumen Diario'!$B$5:$B$504, B3553, '📅 Resumen Diario'!$C$5:$C$504, D3553) * (SUMIFS('📋 Detalle Diario'!$E$5:$E$489, '📋 Detalle Diario'!$B$5:$B$489, B3553, '📋 Detalle Diario'!$C$5:$C$489, D3553) * 135 + SUMIFS('📋 Detalle Diario'!$I$5:$I$489, '📋 Detalle Diario'!$B$5:$B$489, B3553, '📋 Detalle Diario'!$C$5:$C$489, D3553) * 200), 0))</f>
        <v/>
      </c>
      <c r="P3553" s="32" t="str">
        <f t="shared" si="390"/>
        <v/>
      </c>
      <c r="Q3553" s="33" t="str">
        <f t="shared" si="391"/>
        <v/>
      </c>
    </row>
    <row r="3554" spans="2:17" ht="18" customHeight="1" x14ac:dyDescent="0.3">
      <c r="B3554" s="26"/>
      <c r="C3554" s="17"/>
      <c r="D3554" s="27"/>
      <c r="E3554" s="18"/>
      <c r="F3554" s="18"/>
      <c r="G3554" s="18"/>
      <c r="H3554" s="30" t="str">
        <f t="shared" si="385"/>
        <v/>
      </c>
      <c r="I3554" s="31" t="str">
        <f>IF(OR(B3554="",C3554=""),"",IFERROR(E3554*IF(E3554="",0,VLOOKUP(C3554,'📦 Precios Proforma'!$B$5:$D$104,IF(D3554="DIA",2,3),FALSE)),0))</f>
        <v/>
      </c>
      <c r="J3554" s="31" t="str">
        <f t="shared" si="386"/>
        <v/>
      </c>
      <c r="K3554" s="31" t="str">
        <f t="shared" si="387"/>
        <v/>
      </c>
      <c r="L3554" s="31" t="str">
        <f>IF(OR(B3554="",C3554=""),"",IFERROR(E3554 / SUMIFS('📅 Resumen Diario'!$D$5:$D$504, '📅 Resumen Diario'!$B$5:$B$504, B3554, '📅 Resumen Diario'!$C$5:$C$504, D3554) * SUMIFS('📅 Resumen Diario'!$K$5:$K$504, '📅 Resumen Diario'!$B$5:$B$504, B3554, '📅 Resumen Diario'!$C$5:$C$504, D3554), 0))</f>
        <v/>
      </c>
      <c r="M3554" s="31" t="str">
        <f t="shared" si="388"/>
        <v/>
      </c>
      <c r="N3554" s="31" t="str">
        <f t="shared" si="389"/>
        <v/>
      </c>
      <c r="O3554" s="31" t="str">
        <f>IF(OR(B3554="",C3554=""),"",K3554-N3554 + IFERROR(E3554 / SUMIFS('📅 Resumen Diario'!$D$5:$D$504, '📅 Resumen Diario'!$B$5:$B$504, B3554, '📅 Resumen Diario'!$C$5:$C$504, D3554) * (SUMIFS('📋 Detalle Diario'!$E$5:$E$489, '📋 Detalle Diario'!$B$5:$B$489, B3554, '📋 Detalle Diario'!$C$5:$C$489, D3554) * 135 + SUMIFS('📋 Detalle Diario'!$I$5:$I$489, '📋 Detalle Diario'!$B$5:$B$489, B3554, '📋 Detalle Diario'!$C$5:$C$489, D3554) * 200), 0))</f>
        <v/>
      </c>
      <c r="P3554" s="32" t="str">
        <f t="shared" si="390"/>
        <v/>
      </c>
      <c r="Q3554" s="33" t="str">
        <f t="shared" si="391"/>
        <v/>
      </c>
    </row>
    <row r="3555" spans="2:17" ht="18" customHeight="1" x14ac:dyDescent="0.3">
      <c r="B3555" s="26"/>
      <c r="C3555" s="28"/>
      <c r="D3555" s="27"/>
      <c r="E3555" s="29"/>
      <c r="F3555" s="29"/>
      <c r="G3555" s="29"/>
      <c r="H3555" s="30" t="str">
        <f t="shared" si="385"/>
        <v/>
      </c>
      <c r="I3555" s="31" t="str">
        <f>IF(OR(B3555="",C3555=""),"",IFERROR(E3555*IF(E3555="",0,VLOOKUP(C3555,'📦 Precios Proforma'!$B$5:$D$104,IF(D3555="DIA",2,3),FALSE)),0))</f>
        <v/>
      </c>
      <c r="J3555" s="31" t="str">
        <f t="shared" si="386"/>
        <v/>
      </c>
      <c r="K3555" s="31" t="str">
        <f t="shared" si="387"/>
        <v/>
      </c>
      <c r="L3555" s="31" t="str">
        <f>IF(OR(B3555="",C3555=""),"",IFERROR(E3555 / SUMIFS('📅 Resumen Diario'!$D$5:$D$504, '📅 Resumen Diario'!$B$5:$B$504, B3555, '📅 Resumen Diario'!$C$5:$C$504, D3555) * SUMIFS('📅 Resumen Diario'!$K$5:$K$504, '📅 Resumen Diario'!$B$5:$B$504, B3555, '📅 Resumen Diario'!$C$5:$C$504, D3555), 0))</f>
        <v/>
      </c>
      <c r="M3555" s="31" t="str">
        <f t="shared" si="388"/>
        <v/>
      </c>
      <c r="N3555" s="31" t="str">
        <f t="shared" si="389"/>
        <v/>
      </c>
      <c r="O3555" s="31" t="str">
        <f>IF(OR(B3555="",C3555=""),"",K3555-N3555 + IFERROR(E3555 / SUMIFS('📅 Resumen Diario'!$D$5:$D$504, '📅 Resumen Diario'!$B$5:$B$504, B3555, '📅 Resumen Diario'!$C$5:$C$504, D3555) * (SUMIFS('📋 Detalle Diario'!$E$5:$E$489, '📋 Detalle Diario'!$B$5:$B$489, B3555, '📋 Detalle Diario'!$C$5:$C$489, D3555) * 135 + SUMIFS('📋 Detalle Diario'!$I$5:$I$489, '📋 Detalle Diario'!$B$5:$B$489, B3555, '📋 Detalle Diario'!$C$5:$C$489, D3555) * 200), 0))</f>
        <v/>
      </c>
      <c r="P3555" s="32" t="str">
        <f t="shared" si="390"/>
        <v/>
      </c>
      <c r="Q3555" s="33" t="str">
        <f t="shared" si="391"/>
        <v/>
      </c>
    </row>
    <row r="3556" spans="2:17" ht="18" customHeight="1" x14ac:dyDescent="0.3">
      <c r="B3556" s="26"/>
      <c r="C3556" s="17"/>
      <c r="D3556" s="27"/>
      <c r="E3556" s="18"/>
      <c r="F3556" s="18"/>
      <c r="G3556" s="18"/>
      <c r="H3556" s="30" t="str">
        <f t="shared" si="385"/>
        <v/>
      </c>
      <c r="I3556" s="31" t="str">
        <f>IF(OR(B3556="",C3556=""),"",IFERROR(E3556*IF(E3556="",0,VLOOKUP(C3556,'📦 Precios Proforma'!$B$5:$D$104,IF(D3556="DIA",2,3),FALSE)),0))</f>
        <v/>
      </c>
      <c r="J3556" s="31" t="str">
        <f t="shared" si="386"/>
        <v/>
      </c>
      <c r="K3556" s="31" t="str">
        <f t="shared" si="387"/>
        <v/>
      </c>
      <c r="L3556" s="31" t="str">
        <f>IF(OR(B3556="",C3556=""),"",IFERROR(E3556 / SUMIFS('📅 Resumen Diario'!$D$5:$D$504, '📅 Resumen Diario'!$B$5:$B$504, B3556, '📅 Resumen Diario'!$C$5:$C$504, D3556) * SUMIFS('📅 Resumen Diario'!$K$5:$K$504, '📅 Resumen Diario'!$B$5:$B$504, B3556, '📅 Resumen Diario'!$C$5:$C$504, D3556), 0))</f>
        <v/>
      </c>
      <c r="M3556" s="31" t="str">
        <f t="shared" si="388"/>
        <v/>
      </c>
      <c r="N3556" s="31" t="str">
        <f t="shared" si="389"/>
        <v/>
      </c>
      <c r="O3556" s="31" t="str">
        <f>IF(OR(B3556="",C3556=""),"",K3556-N3556 + IFERROR(E3556 / SUMIFS('📅 Resumen Diario'!$D$5:$D$504, '📅 Resumen Diario'!$B$5:$B$504, B3556, '📅 Resumen Diario'!$C$5:$C$504, D3556) * (SUMIFS('📋 Detalle Diario'!$E$5:$E$489, '📋 Detalle Diario'!$B$5:$B$489, B3556, '📋 Detalle Diario'!$C$5:$C$489, D3556) * 135 + SUMIFS('📋 Detalle Diario'!$I$5:$I$489, '📋 Detalle Diario'!$B$5:$B$489, B3556, '📋 Detalle Diario'!$C$5:$C$489, D3556) * 200), 0))</f>
        <v/>
      </c>
      <c r="P3556" s="32" t="str">
        <f t="shared" si="390"/>
        <v/>
      </c>
      <c r="Q3556" s="33" t="str">
        <f t="shared" si="391"/>
        <v/>
      </c>
    </row>
    <row r="3557" spans="2:17" ht="18" customHeight="1" x14ac:dyDescent="0.3">
      <c r="B3557" s="26"/>
      <c r="C3557" s="28"/>
      <c r="D3557" s="27"/>
      <c r="E3557" s="29"/>
      <c r="F3557" s="29"/>
      <c r="G3557" s="29"/>
      <c r="H3557" s="30" t="str">
        <f t="shared" si="385"/>
        <v/>
      </c>
      <c r="I3557" s="31" t="str">
        <f>IF(OR(B3557="",C3557=""),"",IFERROR(E3557*IF(E3557="",0,VLOOKUP(C3557,'📦 Precios Proforma'!$B$5:$D$104,IF(D3557="DIA",2,3),FALSE)),0))</f>
        <v/>
      </c>
      <c r="J3557" s="31" t="str">
        <f t="shared" si="386"/>
        <v/>
      </c>
      <c r="K3557" s="31" t="str">
        <f t="shared" si="387"/>
        <v/>
      </c>
      <c r="L3557" s="31" t="str">
        <f>IF(OR(B3557="",C3557=""),"",IFERROR(E3557 / SUMIFS('📅 Resumen Diario'!$D$5:$D$504, '📅 Resumen Diario'!$B$5:$B$504, B3557, '📅 Resumen Diario'!$C$5:$C$504, D3557) * SUMIFS('📅 Resumen Diario'!$K$5:$K$504, '📅 Resumen Diario'!$B$5:$B$504, B3557, '📅 Resumen Diario'!$C$5:$C$504, D3557), 0))</f>
        <v/>
      </c>
      <c r="M3557" s="31" t="str">
        <f t="shared" si="388"/>
        <v/>
      </c>
      <c r="N3557" s="31" t="str">
        <f t="shared" si="389"/>
        <v/>
      </c>
      <c r="O3557" s="31" t="str">
        <f>IF(OR(B3557="",C3557=""),"",K3557-N3557 + IFERROR(E3557 / SUMIFS('📅 Resumen Diario'!$D$5:$D$504, '📅 Resumen Diario'!$B$5:$B$504, B3557, '📅 Resumen Diario'!$C$5:$C$504, D3557) * (SUMIFS('📋 Detalle Diario'!$E$5:$E$489, '📋 Detalle Diario'!$B$5:$B$489, B3557, '📋 Detalle Diario'!$C$5:$C$489, D3557) * 135 + SUMIFS('📋 Detalle Diario'!$I$5:$I$489, '📋 Detalle Diario'!$B$5:$B$489, B3557, '📋 Detalle Diario'!$C$5:$C$489, D3557) * 200), 0))</f>
        <v/>
      </c>
      <c r="P3557" s="32" t="str">
        <f t="shared" si="390"/>
        <v/>
      </c>
      <c r="Q3557" s="33" t="str">
        <f t="shared" si="391"/>
        <v/>
      </c>
    </row>
    <row r="3558" spans="2:17" ht="18" customHeight="1" x14ac:dyDescent="0.3">
      <c r="B3558" s="26"/>
      <c r="C3558" s="17"/>
      <c r="D3558" s="27"/>
      <c r="E3558" s="18"/>
      <c r="F3558" s="18"/>
      <c r="G3558" s="18"/>
      <c r="H3558" s="30" t="str">
        <f t="shared" si="385"/>
        <v/>
      </c>
      <c r="I3558" s="31" t="str">
        <f>IF(OR(B3558="",C3558=""),"",IFERROR(E3558*IF(E3558="",0,VLOOKUP(C3558,'📦 Precios Proforma'!$B$5:$D$104,IF(D3558="DIA",2,3),FALSE)),0))</f>
        <v/>
      </c>
      <c r="J3558" s="31" t="str">
        <f t="shared" si="386"/>
        <v/>
      </c>
      <c r="K3558" s="31" t="str">
        <f t="shared" si="387"/>
        <v/>
      </c>
      <c r="L3558" s="31" t="str">
        <f>IF(OR(B3558="",C3558=""),"",IFERROR(E3558 / SUMIFS('📅 Resumen Diario'!$D$5:$D$504, '📅 Resumen Diario'!$B$5:$B$504, B3558, '📅 Resumen Diario'!$C$5:$C$504, D3558) * SUMIFS('📅 Resumen Diario'!$K$5:$K$504, '📅 Resumen Diario'!$B$5:$B$504, B3558, '📅 Resumen Diario'!$C$5:$C$504, D3558), 0))</f>
        <v/>
      </c>
      <c r="M3558" s="31" t="str">
        <f t="shared" si="388"/>
        <v/>
      </c>
      <c r="N3558" s="31" t="str">
        <f t="shared" si="389"/>
        <v/>
      </c>
      <c r="O3558" s="31" t="str">
        <f>IF(OR(B3558="",C3558=""),"",K3558-N3558 + IFERROR(E3558 / SUMIFS('📅 Resumen Diario'!$D$5:$D$504, '📅 Resumen Diario'!$B$5:$B$504, B3558, '📅 Resumen Diario'!$C$5:$C$504, D3558) * (SUMIFS('📋 Detalle Diario'!$E$5:$E$489, '📋 Detalle Diario'!$B$5:$B$489, B3558, '📋 Detalle Diario'!$C$5:$C$489, D3558) * 135 + SUMIFS('📋 Detalle Diario'!$I$5:$I$489, '📋 Detalle Diario'!$B$5:$B$489, B3558, '📋 Detalle Diario'!$C$5:$C$489, D3558) * 200), 0))</f>
        <v/>
      </c>
      <c r="P3558" s="32" t="str">
        <f t="shared" si="390"/>
        <v/>
      </c>
      <c r="Q3558" s="33" t="str">
        <f t="shared" si="391"/>
        <v/>
      </c>
    </row>
    <row r="3559" spans="2:17" ht="18" customHeight="1" x14ac:dyDescent="0.3">
      <c r="B3559" s="26"/>
      <c r="C3559" s="28"/>
      <c r="D3559" s="27"/>
      <c r="E3559" s="29"/>
      <c r="F3559" s="29"/>
      <c r="G3559" s="29"/>
      <c r="H3559" s="30" t="str">
        <f t="shared" si="385"/>
        <v/>
      </c>
      <c r="I3559" s="31" t="str">
        <f>IF(OR(B3559="",C3559=""),"",IFERROR(E3559*IF(E3559="",0,VLOOKUP(C3559,'📦 Precios Proforma'!$B$5:$D$104,IF(D3559="DIA",2,3),FALSE)),0))</f>
        <v/>
      </c>
      <c r="J3559" s="31" t="str">
        <f t="shared" si="386"/>
        <v/>
      </c>
      <c r="K3559" s="31" t="str">
        <f t="shared" si="387"/>
        <v/>
      </c>
      <c r="L3559" s="31" t="str">
        <f>IF(OR(B3559="",C3559=""),"",IFERROR(E3559 / SUMIFS('📅 Resumen Diario'!$D$5:$D$504, '📅 Resumen Diario'!$B$5:$B$504, B3559, '📅 Resumen Diario'!$C$5:$C$504, D3559) * SUMIFS('📅 Resumen Diario'!$K$5:$K$504, '📅 Resumen Diario'!$B$5:$B$504, B3559, '📅 Resumen Diario'!$C$5:$C$504, D3559), 0))</f>
        <v/>
      </c>
      <c r="M3559" s="31" t="str">
        <f t="shared" si="388"/>
        <v/>
      </c>
      <c r="N3559" s="31" t="str">
        <f t="shared" si="389"/>
        <v/>
      </c>
      <c r="O3559" s="31" t="str">
        <f>IF(OR(B3559="",C3559=""),"",K3559-N3559 + IFERROR(E3559 / SUMIFS('📅 Resumen Diario'!$D$5:$D$504, '📅 Resumen Diario'!$B$5:$B$504, B3559, '📅 Resumen Diario'!$C$5:$C$504, D3559) * (SUMIFS('📋 Detalle Diario'!$E$5:$E$489, '📋 Detalle Diario'!$B$5:$B$489, B3559, '📋 Detalle Diario'!$C$5:$C$489, D3559) * 135 + SUMIFS('📋 Detalle Diario'!$I$5:$I$489, '📋 Detalle Diario'!$B$5:$B$489, B3559, '📋 Detalle Diario'!$C$5:$C$489, D3559) * 200), 0))</f>
        <v/>
      </c>
      <c r="P3559" s="32" t="str">
        <f t="shared" si="390"/>
        <v/>
      </c>
      <c r="Q3559" s="33" t="str">
        <f t="shared" si="391"/>
        <v/>
      </c>
    </row>
    <row r="3560" spans="2:17" ht="18" customHeight="1" x14ac:dyDescent="0.3">
      <c r="B3560" s="26"/>
      <c r="C3560" s="17"/>
      <c r="D3560" s="27"/>
      <c r="E3560" s="18"/>
      <c r="F3560" s="18"/>
      <c r="G3560" s="18"/>
      <c r="H3560" s="30" t="str">
        <f t="shared" si="385"/>
        <v/>
      </c>
      <c r="I3560" s="31" t="str">
        <f>IF(OR(B3560="",C3560=""),"",IFERROR(E3560*IF(E3560="",0,VLOOKUP(C3560,'📦 Precios Proforma'!$B$5:$D$104,IF(D3560="DIA",2,3),FALSE)),0))</f>
        <v/>
      </c>
      <c r="J3560" s="31" t="str">
        <f t="shared" si="386"/>
        <v/>
      </c>
      <c r="K3560" s="31" t="str">
        <f t="shared" si="387"/>
        <v/>
      </c>
      <c r="L3560" s="31" t="str">
        <f>IF(OR(B3560="",C3560=""),"",IFERROR(E3560 / SUMIFS('📅 Resumen Diario'!$D$5:$D$504, '📅 Resumen Diario'!$B$5:$B$504, B3560, '📅 Resumen Diario'!$C$5:$C$504, D3560) * SUMIFS('📅 Resumen Diario'!$K$5:$K$504, '📅 Resumen Diario'!$B$5:$B$504, B3560, '📅 Resumen Diario'!$C$5:$C$504, D3560), 0))</f>
        <v/>
      </c>
      <c r="M3560" s="31" t="str">
        <f t="shared" si="388"/>
        <v/>
      </c>
      <c r="N3560" s="31" t="str">
        <f t="shared" si="389"/>
        <v/>
      </c>
      <c r="O3560" s="31" t="str">
        <f>IF(OR(B3560="",C3560=""),"",K3560-N3560 + IFERROR(E3560 / SUMIFS('📅 Resumen Diario'!$D$5:$D$504, '📅 Resumen Diario'!$B$5:$B$504, B3560, '📅 Resumen Diario'!$C$5:$C$504, D3560) * (SUMIFS('📋 Detalle Diario'!$E$5:$E$489, '📋 Detalle Diario'!$B$5:$B$489, B3560, '📋 Detalle Diario'!$C$5:$C$489, D3560) * 135 + SUMIFS('📋 Detalle Diario'!$I$5:$I$489, '📋 Detalle Diario'!$B$5:$B$489, B3560, '📋 Detalle Diario'!$C$5:$C$489, D3560) * 200), 0))</f>
        <v/>
      </c>
      <c r="P3560" s="32" t="str">
        <f t="shared" si="390"/>
        <v/>
      </c>
      <c r="Q3560" s="33" t="str">
        <f t="shared" si="391"/>
        <v/>
      </c>
    </row>
    <row r="3561" spans="2:17" ht="18" customHeight="1" x14ac:dyDescent="0.3">
      <c r="B3561" s="26"/>
      <c r="C3561" s="28"/>
      <c r="D3561" s="27"/>
      <c r="E3561" s="29"/>
      <c r="F3561" s="29"/>
      <c r="G3561" s="29"/>
      <c r="H3561" s="30" t="str">
        <f t="shared" si="385"/>
        <v/>
      </c>
      <c r="I3561" s="31" t="str">
        <f>IF(OR(B3561="",C3561=""),"",IFERROR(E3561*IF(E3561="",0,VLOOKUP(C3561,'📦 Precios Proforma'!$B$5:$D$104,IF(D3561="DIA",2,3),FALSE)),0))</f>
        <v/>
      </c>
      <c r="J3561" s="31" t="str">
        <f t="shared" si="386"/>
        <v/>
      </c>
      <c r="K3561" s="31" t="str">
        <f t="shared" si="387"/>
        <v/>
      </c>
      <c r="L3561" s="31" t="str">
        <f>IF(OR(B3561="",C3561=""),"",IFERROR(E3561 / SUMIFS('📅 Resumen Diario'!$D$5:$D$504, '📅 Resumen Diario'!$B$5:$B$504, B3561, '📅 Resumen Diario'!$C$5:$C$504, D3561) * SUMIFS('📅 Resumen Diario'!$K$5:$K$504, '📅 Resumen Diario'!$B$5:$B$504, B3561, '📅 Resumen Diario'!$C$5:$C$504, D3561), 0))</f>
        <v/>
      </c>
      <c r="M3561" s="31" t="str">
        <f t="shared" si="388"/>
        <v/>
      </c>
      <c r="N3561" s="31" t="str">
        <f t="shared" si="389"/>
        <v/>
      </c>
      <c r="O3561" s="31" t="str">
        <f>IF(OR(B3561="",C3561=""),"",K3561-N3561 + IFERROR(E3561 / SUMIFS('📅 Resumen Diario'!$D$5:$D$504, '📅 Resumen Diario'!$B$5:$B$504, B3561, '📅 Resumen Diario'!$C$5:$C$504, D3561) * (SUMIFS('📋 Detalle Diario'!$E$5:$E$489, '📋 Detalle Diario'!$B$5:$B$489, B3561, '📋 Detalle Diario'!$C$5:$C$489, D3561) * 135 + SUMIFS('📋 Detalle Diario'!$I$5:$I$489, '📋 Detalle Diario'!$B$5:$B$489, B3561, '📋 Detalle Diario'!$C$5:$C$489, D3561) * 200), 0))</f>
        <v/>
      </c>
      <c r="P3561" s="32" t="str">
        <f t="shared" si="390"/>
        <v/>
      </c>
      <c r="Q3561" s="33" t="str">
        <f t="shared" si="391"/>
        <v/>
      </c>
    </row>
    <row r="3562" spans="2:17" ht="18" customHeight="1" x14ac:dyDescent="0.3">
      <c r="B3562" s="26"/>
      <c r="C3562" s="17"/>
      <c r="D3562" s="27"/>
      <c r="E3562" s="18"/>
      <c r="F3562" s="18"/>
      <c r="G3562" s="18"/>
      <c r="H3562" s="30" t="str">
        <f t="shared" si="385"/>
        <v/>
      </c>
      <c r="I3562" s="31" t="str">
        <f>IF(OR(B3562="",C3562=""),"",IFERROR(E3562*IF(E3562="",0,VLOOKUP(C3562,'📦 Precios Proforma'!$B$5:$D$104,IF(D3562="DIA",2,3),FALSE)),0))</f>
        <v/>
      </c>
      <c r="J3562" s="31" t="str">
        <f t="shared" si="386"/>
        <v/>
      </c>
      <c r="K3562" s="31" t="str">
        <f t="shared" si="387"/>
        <v/>
      </c>
      <c r="L3562" s="31" t="str">
        <f>IF(OR(B3562="",C3562=""),"",IFERROR(E3562 / SUMIFS('📅 Resumen Diario'!$D$5:$D$504, '📅 Resumen Diario'!$B$5:$B$504, B3562, '📅 Resumen Diario'!$C$5:$C$504, D3562) * SUMIFS('📅 Resumen Diario'!$K$5:$K$504, '📅 Resumen Diario'!$B$5:$B$504, B3562, '📅 Resumen Diario'!$C$5:$C$504, D3562), 0))</f>
        <v/>
      </c>
      <c r="M3562" s="31" t="str">
        <f t="shared" si="388"/>
        <v/>
      </c>
      <c r="N3562" s="31" t="str">
        <f t="shared" si="389"/>
        <v/>
      </c>
      <c r="O3562" s="31" t="str">
        <f>IF(OR(B3562="",C3562=""),"",K3562-N3562 + IFERROR(E3562 / SUMIFS('📅 Resumen Diario'!$D$5:$D$504, '📅 Resumen Diario'!$B$5:$B$504, B3562, '📅 Resumen Diario'!$C$5:$C$504, D3562) * (SUMIFS('📋 Detalle Diario'!$E$5:$E$489, '📋 Detalle Diario'!$B$5:$B$489, B3562, '📋 Detalle Diario'!$C$5:$C$489, D3562) * 135 + SUMIFS('📋 Detalle Diario'!$I$5:$I$489, '📋 Detalle Diario'!$B$5:$B$489, B3562, '📋 Detalle Diario'!$C$5:$C$489, D3562) * 200), 0))</f>
        <v/>
      </c>
      <c r="P3562" s="32" t="str">
        <f t="shared" si="390"/>
        <v/>
      </c>
      <c r="Q3562" s="33" t="str">
        <f t="shared" si="391"/>
        <v/>
      </c>
    </row>
    <row r="3563" spans="2:17" ht="18" customHeight="1" x14ac:dyDescent="0.3">
      <c r="B3563" s="26"/>
      <c r="C3563" s="28"/>
      <c r="D3563" s="27"/>
      <c r="E3563" s="29"/>
      <c r="F3563" s="29"/>
      <c r="G3563" s="29"/>
      <c r="H3563" s="30" t="str">
        <f t="shared" si="385"/>
        <v/>
      </c>
      <c r="I3563" s="31" t="str">
        <f>IF(OR(B3563="",C3563=""),"",IFERROR(E3563*IF(E3563="",0,VLOOKUP(C3563,'📦 Precios Proforma'!$B$5:$D$104,IF(D3563="DIA",2,3),FALSE)),0))</f>
        <v/>
      </c>
      <c r="J3563" s="31" t="str">
        <f t="shared" si="386"/>
        <v/>
      </c>
      <c r="K3563" s="31" t="str">
        <f t="shared" si="387"/>
        <v/>
      </c>
      <c r="L3563" s="31" t="str">
        <f>IF(OR(B3563="",C3563=""),"",IFERROR(E3563 / SUMIFS('📅 Resumen Diario'!$D$5:$D$504, '📅 Resumen Diario'!$B$5:$B$504, B3563, '📅 Resumen Diario'!$C$5:$C$504, D3563) * SUMIFS('📅 Resumen Diario'!$K$5:$K$504, '📅 Resumen Diario'!$B$5:$B$504, B3563, '📅 Resumen Diario'!$C$5:$C$504, D3563), 0))</f>
        <v/>
      </c>
      <c r="M3563" s="31" t="str">
        <f t="shared" si="388"/>
        <v/>
      </c>
      <c r="N3563" s="31" t="str">
        <f t="shared" si="389"/>
        <v/>
      </c>
      <c r="O3563" s="31" t="str">
        <f>IF(OR(B3563="",C3563=""),"",K3563-N3563 + IFERROR(E3563 / SUMIFS('📅 Resumen Diario'!$D$5:$D$504, '📅 Resumen Diario'!$B$5:$B$504, B3563, '📅 Resumen Diario'!$C$5:$C$504, D3563) * (SUMIFS('📋 Detalle Diario'!$E$5:$E$489, '📋 Detalle Diario'!$B$5:$B$489, B3563, '📋 Detalle Diario'!$C$5:$C$489, D3563) * 135 + SUMIFS('📋 Detalle Diario'!$I$5:$I$489, '📋 Detalle Diario'!$B$5:$B$489, B3563, '📋 Detalle Diario'!$C$5:$C$489, D3563) * 200), 0))</f>
        <v/>
      </c>
      <c r="P3563" s="32" t="str">
        <f t="shared" si="390"/>
        <v/>
      </c>
      <c r="Q3563" s="33" t="str">
        <f t="shared" si="391"/>
        <v/>
      </c>
    </row>
    <row r="3564" spans="2:17" ht="18" customHeight="1" x14ac:dyDescent="0.3">
      <c r="B3564" s="26"/>
      <c r="C3564" s="17"/>
      <c r="D3564" s="27"/>
      <c r="E3564" s="18"/>
      <c r="F3564" s="18"/>
      <c r="G3564" s="18"/>
      <c r="H3564" s="30" t="str">
        <f t="shared" si="385"/>
        <v/>
      </c>
      <c r="I3564" s="31" t="str">
        <f>IF(OR(B3564="",C3564=""),"",IFERROR(E3564*IF(E3564="",0,VLOOKUP(C3564,'📦 Precios Proforma'!$B$5:$D$104,IF(D3564="DIA",2,3),FALSE)),0))</f>
        <v/>
      </c>
      <c r="J3564" s="31" t="str">
        <f t="shared" si="386"/>
        <v/>
      </c>
      <c r="K3564" s="31" t="str">
        <f t="shared" si="387"/>
        <v/>
      </c>
      <c r="L3564" s="31" t="str">
        <f>IF(OR(B3564="",C3564=""),"",IFERROR(E3564 / SUMIFS('📅 Resumen Diario'!$D$5:$D$504, '📅 Resumen Diario'!$B$5:$B$504, B3564, '📅 Resumen Diario'!$C$5:$C$504, D3564) * SUMIFS('📅 Resumen Diario'!$K$5:$K$504, '📅 Resumen Diario'!$B$5:$B$504, B3564, '📅 Resumen Diario'!$C$5:$C$504, D3564), 0))</f>
        <v/>
      </c>
      <c r="M3564" s="31" t="str">
        <f t="shared" si="388"/>
        <v/>
      </c>
      <c r="N3564" s="31" t="str">
        <f t="shared" si="389"/>
        <v/>
      </c>
      <c r="O3564" s="31" t="str">
        <f>IF(OR(B3564="",C3564=""),"",K3564-N3564 + IFERROR(E3564 / SUMIFS('📅 Resumen Diario'!$D$5:$D$504, '📅 Resumen Diario'!$B$5:$B$504, B3564, '📅 Resumen Diario'!$C$5:$C$504, D3564) * (SUMIFS('📋 Detalle Diario'!$E$5:$E$489, '📋 Detalle Diario'!$B$5:$B$489, B3564, '📋 Detalle Diario'!$C$5:$C$489, D3564) * 135 + SUMIFS('📋 Detalle Diario'!$I$5:$I$489, '📋 Detalle Diario'!$B$5:$B$489, B3564, '📋 Detalle Diario'!$C$5:$C$489, D3564) * 200), 0))</f>
        <v/>
      </c>
      <c r="P3564" s="32" t="str">
        <f t="shared" si="390"/>
        <v/>
      </c>
      <c r="Q3564" s="33" t="str">
        <f t="shared" si="391"/>
        <v/>
      </c>
    </row>
    <row r="3565" spans="2:17" ht="18" customHeight="1" x14ac:dyDescent="0.3">
      <c r="B3565" s="26"/>
      <c r="C3565" s="28"/>
      <c r="D3565" s="27"/>
      <c r="E3565" s="29"/>
      <c r="F3565" s="29"/>
      <c r="G3565" s="29"/>
      <c r="H3565" s="30" t="str">
        <f t="shared" si="385"/>
        <v/>
      </c>
      <c r="I3565" s="31" t="str">
        <f>IF(OR(B3565="",C3565=""),"",IFERROR(E3565*IF(E3565="",0,VLOOKUP(C3565,'📦 Precios Proforma'!$B$5:$D$104,IF(D3565="DIA",2,3),FALSE)),0))</f>
        <v/>
      </c>
      <c r="J3565" s="31" t="str">
        <f t="shared" si="386"/>
        <v/>
      </c>
      <c r="K3565" s="31" t="str">
        <f t="shared" si="387"/>
        <v/>
      </c>
      <c r="L3565" s="31" t="str">
        <f>IF(OR(B3565="",C3565=""),"",IFERROR(E3565 / SUMIFS('📅 Resumen Diario'!$D$5:$D$504, '📅 Resumen Diario'!$B$5:$B$504, B3565, '📅 Resumen Diario'!$C$5:$C$504, D3565) * SUMIFS('📅 Resumen Diario'!$K$5:$K$504, '📅 Resumen Diario'!$B$5:$B$504, B3565, '📅 Resumen Diario'!$C$5:$C$504, D3565), 0))</f>
        <v/>
      </c>
      <c r="M3565" s="31" t="str">
        <f t="shared" si="388"/>
        <v/>
      </c>
      <c r="N3565" s="31" t="str">
        <f t="shared" si="389"/>
        <v/>
      </c>
      <c r="O3565" s="31" t="str">
        <f>IF(OR(B3565="",C3565=""),"",K3565-N3565 + IFERROR(E3565 / SUMIFS('📅 Resumen Diario'!$D$5:$D$504, '📅 Resumen Diario'!$B$5:$B$504, B3565, '📅 Resumen Diario'!$C$5:$C$504, D3565) * (SUMIFS('📋 Detalle Diario'!$E$5:$E$489, '📋 Detalle Diario'!$B$5:$B$489, B3565, '📋 Detalle Diario'!$C$5:$C$489, D3565) * 135 + SUMIFS('📋 Detalle Diario'!$I$5:$I$489, '📋 Detalle Diario'!$B$5:$B$489, B3565, '📋 Detalle Diario'!$C$5:$C$489, D3565) * 200), 0))</f>
        <v/>
      </c>
      <c r="P3565" s="32" t="str">
        <f t="shared" si="390"/>
        <v/>
      </c>
      <c r="Q3565" s="33" t="str">
        <f t="shared" si="391"/>
        <v/>
      </c>
    </row>
    <row r="3566" spans="2:17" ht="18" customHeight="1" x14ac:dyDescent="0.3">
      <c r="B3566" s="26"/>
      <c r="C3566" s="17"/>
      <c r="D3566" s="27"/>
      <c r="E3566" s="18"/>
      <c r="F3566" s="18"/>
      <c r="G3566" s="18"/>
      <c r="H3566" s="30" t="str">
        <f t="shared" si="385"/>
        <v/>
      </c>
      <c r="I3566" s="31" t="str">
        <f>IF(OR(B3566="",C3566=""),"",IFERROR(E3566*IF(E3566="",0,VLOOKUP(C3566,'📦 Precios Proforma'!$B$5:$D$104,IF(D3566="DIA",2,3),FALSE)),0))</f>
        <v/>
      </c>
      <c r="J3566" s="31" t="str">
        <f t="shared" si="386"/>
        <v/>
      </c>
      <c r="K3566" s="31" t="str">
        <f t="shared" si="387"/>
        <v/>
      </c>
      <c r="L3566" s="31" t="str">
        <f>IF(OR(B3566="",C3566=""),"",IFERROR(E3566 / SUMIFS('📅 Resumen Diario'!$D$5:$D$504, '📅 Resumen Diario'!$B$5:$B$504, B3566, '📅 Resumen Diario'!$C$5:$C$504, D3566) * SUMIFS('📅 Resumen Diario'!$K$5:$K$504, '📅 Resumen Diario'!$B$5:$B$504, B3566, '📅 Resumen Diario'!$C$5:$C$504, D3566), 0))</f>
        <v/>
      </c>
      <c r="M3566" s="31" t="str">
        <f t="shared" si="388"/>
        <v/>
      </c>
      <c r="N3566" s="31" t="str">
        <f t="shared" si="389"/>
        <v/>
      </c>
      <c r="O3566" s="31" t="str">
        <f>IF(OR(B3566="",C3566=""),"",K3566-N3566 + IFERROR(E3566 / SUMIFS('📅 Resumen Diario'!$D$5:$D$504, '📅 Resumen Diario'!$B$5:$B$504, B3566, '📅 Resumen Diario'!$C$5:$C$504, D3566) * (SUMIFS('📋 Detalle Diario'!$E$5:$E$489, '📋 Detalle Diario'!$B$5:$B$489, B3566, '📋 Detalle Diario'!$C$5:$C$489, D3566) * 135 + SUMIFS('📋 Detalle Diario'!$I$5:$I$489, '📋 Detalle Diario'!$B$5:$B$489, B3566, '📋 Detalle Diario'!$C$5:$C$489, D3566) * 200), 0))</f>
        <v/>
      </c>
      <c r="P3566" s="32" t="str">
        <f t="shared" si="390"/>
        <v/>
      </c>
      <c r="Q3566" s="33" t="str">
        <f t="shared" si="391"/>
        <v/>
      </c>
    </row>
    <row r="3567" spans="2:17" ht="18" customHeight="1" x14ac:dyDescent="0.3">
      <c r="B3567" s="26"/>
      <c r="C3567" s="28"/>
      <c r="D3567" s="27"/>
      <c r="E3567" s="29"/>
      <c r="F3567" s="29"/>
      <c r="G3567" s="29"/>
      <c r="H3567" s="30" t="str">
        <f t="shared" si="385"/>
        <v/>
      </c>
      <c r="I3567" s="31" t="str">
        <f>IF(OR(B3567="",C3567=""),"",IFERROR(E3567*IF(E3567="",0,VLOOKUP(C3567,'📦 Precios Proforma'!$B$5:$D$104,IF(D3567="DIA",2,3),FALSE)),0))</f>
        <v/>
      </c>
      <c r="J3567" s="31" t="str">
        <f t="shared" si="386"/>
        <v/>
      </c>
      <c r="K3567" s="31" t="str">
        <f t="shared" si="387"/>
        <v/>
      </c>
      <c r="L3567" s="31" t="str">
        <f>IF(OR(B3567="",C3567=""),"",IFERROR(E3567 / SUMIFS('📅 Resumen Diario'!$D$5:$D$504, '📅 Resumen Diario'!$B$5:$B$504, B3567, '📅 Resumen Diario'!$C$5:$C$504, D3567) * SUMIFS('📅 Resumen Diario'!$K$5:$K$504, '📅 Resumen Diario'!$B$5:$B$504, B3567, '📅 Resumen Diario'!$C$5:$C$504, D3567), 0))</f>
        <v/>
      </c>
      <c r="M3567" s="31" t="str">
        <f t="shared" si="388"/>
        <v/>
      </c>
      <c r="N3567" s="31" t="str">
        <f t="shared" si="389"/>
        <v/>
      </c>
      <c r="O3567" s="31" t="str">
        <f>IF(OR(B3567="",C3567=""),"",K3567-N3567 + IFERROR(E3567 / SUMIFS('📅 Resumen Diario'!$D$5:$D$504, '📅 Resumen Diario'!$B$5:$B$504, B3567, '📅 Resumen Diario'!$C$5:$C$504, D3567) * (SUMIFS('📋 Detalle Diario'!$E$5:$E$489, '📋 Detalle Diario'!$B$5:$B$489, B3567, '📋 Detalle Diario'!$C$5:$C$489, D3567) * 135 + SUMIFS('📋 Detalle Diario'!$I$5:$I$489, '📋 Detalle Diario'!$B$5:$B$489, B3567, '📋 Detalle Diario'!$C$5:$C$489, D3567) * 200), 0))</f>
        <v/>
      </c>
      <c r="P3567" s="32" t="str">
        <f t="shared" si="390"/>
        <v/>
      </c>
      <c r="Q3567" s="33" t="str">
        <f t="shared" si="391"/>
        <v/>
      </c>
    </row>
    <row r="3568" spans="2:17" ht="18" customHeight="1" x14ac:dyDescent="0.3">
      <c r="B3568" s="26"/>
      <c r="C3568" s="17"/>
      <c r="D3568" s="27"/>
      <c r="E3568" s="18"/>
      <c r="F3568" s="18"/>
      <c r="G3568" s="18"/>
      <c r="H3568" s="30" t="str">
        <f t="shared" si="385"/>
        <v/>
      </c>
      <c r="I3568" s="31" t="str">
        <f>IF(OR(B3568="",C3568=""),"",IFERROR(E3568*IF(E3568="",0,VLOOKUP(C3568,'📦 Precios Proforma'!$B$5:$D$104,IF(D3568="DIA",2,3),FALSE)),0))</f>
        <v/>
      </c>
      <c r="J3568" s="31" t="str">
        <f t="shared" si="386"/>
        <v/>
      </c>
      <c r="K3568" s="31" t="str">
        <f t="shared" si="387"/>
        <v/>
      </c>
      <c r="L3568" s="31" t="str">
        <f>IF(OR(B3568="",C3568=""),"",IFERROR(E3568 / SUMIFS('📅 Resumen Diario'!$D$5:$D$504, '📅 Resumen Diario'!$B$5:$B$504, B3568, '📅 Resumen Diario'!$C$5:$C$504, D3568) * SUMIFS('📅 Resumen Diario'!$K$5:$K$504, '📅 Resumen Diario'!$B$5:$B$504, B3568, '📅 Resumen Diario'!$C$5:$C$504, D3568), 0))</f>
        <v/>
      </c>
      <c r="M3568" s="31" t="str">
        <f t="shared" si="388"/>
        <v/>
      </c>
      <c r="N3568" s="31" t="str">
        <f t="shared" si="389"/>
        <v/>
      </c>
      <c r="O3568" s="31" t="str">
        <f>IF(OR(B3568="",C3568=""),"",K3568-N3568 + IFERROR(E3568 / SUMIFS('📅 Resumen Diario'!$D$5:$D$504, '📅 Resumen Diario'!$B$5:$B$504, B3568, '📅 Resumen Diario'!$C$5:$C$504, D3568) * (SUMIFS('📋 Detalle Diario'!$E$5:$E$489, '📋 Detalle Diario'!$B$5:$B$489, B3568, '📋 Detalle Diario'!$C$5:$C$489, D3568) * 135 + SUMIFS('📋 Detalle Diario'!$I$5:$I$489, '📋 Detalle Diario'!$B$5:$B$489, B3568, '📋 Detalle Diario'!$C$5:$C$489, D3568) * 200), 0))</f>
        <v/>
      </c>
      <c r="P3568" s="32" t="str">
        <f t="shared" si="390"/>
        <v/>
      </c>
      <c r="Q3568" s="33" t="str">
        <f t="shared" si="391"/>
        <v/>
      </c>
    </row>
    <row r="3569" spans="2:17" ht="18" customHeight="1" x14ac:dyDescent="0.3">
      <c r="B3569" s="26"/>
      <c r="C3569" s="28"/>
      <c r="D3569" s="27"/>
      <c r="E3569" s="29"/>
      <c r="F3569" s="29"/>
      <c r="G3569" s="29"/>
      <c r="H3569" s="30" t="str">
        <f t="shared" si="385"/>
        <v/>
      </c>
      <c r="I3569" s="31" t="str">
        <f>IF(OR(B3569="",C3569=""),"",IFERROR(E3569*IF(E3569="",0,VLOOKUP(C3569,'📦 Precios Proforma'!$B$5:$D$104,IF(D3569="DIA",2,3),FALSE)),0))</f>
        <v/>
      </c>
      <c r="J3569" s="31" t="str">
        <f t="shared" si="386"/>
        <v/>
      </c>
      <c r="K3569" s="31" t="str">
        <f t="shared" si="387"/>
        <v/>
      </c>
      <c r="L3569" s="31" t="str">
        <f>IF(OR(B3569="",C3569=""),"",IFERROR(E3569 / SUMIFS('📅 Resumen Diario'!$D$5:$D$504, '📅 Resumen Diario'!$B$5:$B$504, B3569, '📅 Resumen Diario'!$C$5:$C$504, D3569) * SUMIFS('📅 Resumen Diario'!$K$5:$K$504, '📅 Resumen Diario'!$B$5:$B$504, B3569, '📅 Resumen Diario'!$C$5:$C$504, D3569), 0))</f>
        <v/>
      </c>
      <c r="M3569" s="31" t="str">
        <f t="shared" si="388"/>
        <v/>
      </c>
      <c r="N3569" s="31" t="str">
        <f t="shared" si="389"/>
        <v/>
      </c>
      <c r="O3569" s="31" t="str">
        <f>IF(OR(B3569="",C3569=""),"",K3569-N3569 + IFERROR(E3569 / SUMIFS('📅 Resumen Diario'!$D$5:$D$504, '📅 Resumen Diario'!$B$5:$B$504, B3569, '📅 Resumen Diario'!$C$5:$C$504, D3569) * (SUMIFS('📋 Detalle Diario'!$E$5:$E$489, '📋 Detalle Diario'!$B$5:$B$489, B3569, '📋 Detalle Diario'!$C$5:$C$489, D3569) * 135 + SUMIFS('📋 Detalle Diario'!$I$5:$I$489, '📋 Detalle Diario'!$B$5:$B$489, B3569, '📋 Detalle Diario'!$C$5:$C$489, D3569) * 200), 0))</f>
        <v/>
      </c>
      <c r="P3569" s="32" t="str">
        <f t="shared" si="390"/>
        <v/>
      </c>
      <c r="Q3569" s="33" t="str">
        <f t="shared" si="391"/>
        <v/>
      </c>
    </row>
    <row r="3570" spans="2:17" ht="18" customHeight="1" x14ac:dyDescent="0.3">
      <c r="B3570" s="26"/>
      <c r="C3570" s="17"/>
      <c r="D3570" s="27"/>
      <c r="E3570" s="18"/>
      <c r="F3570" s="18"/>
      <c r="G3570" s="18"/>
      <c r="H3570" s="30" t="str">
        <f t="shared" si="385"/>
        <v/>
      </c>
      <c r="I3570" s="31" t="str">
        <f>IF(OR(B3570="",C3570=""),"",IFERROR(E3570*IF(E3570="",0,VLOOKUP(C3570,'📦 Precios Proforma'!$B$5:$D$104,IF(D3570="DIA",2,3),FALSE)),0))</f>
        <v/>
      </c>
      <c r="J3570" s="31" t="str">
        <f t="shared" si="386"/>
        <v/>
      </c>
      <c r="K3570" s="31" t="str">
        <f t="shared" si="387"/>
        <v/>
      </c>
      <c r="L3570" s="31" t="str">
        <f>IF(OR(B3570="",C3570=""),"",IFERROR(E3570 / SUMIFS('📅 Resumen Diario'!$D$5:$D$504, '📅 Resumen Diario'!$B$5:$B$504, B3570, '📅 Resumen Diario'!$C$5:$C$504, D3570) * SUMIFS('📅 Resumen Diario'!$K$5:$K$504, '📅 Resumen Diario'!$B$5:$B$504, B3570, '📅 Resumen Diario'!$C$5:$C$504, D3570), 0))</f>
        <v/>
      </c>
      <c r="M3570" s="31" t="str">
        <f t="shared" si="388"/>
        <v/>
      </c>
      <c r="N3570" s="31" t="str">
        <f t="shared" si="389"/>
        <v/>
      </c>
      <c r="O3570" s="31" t="str">
        <f>IF(OR(B3570="",C3570=""),"",K3570-N3570 + IFERROR(E3570 / SUMIFS('📅 Resumen Diario'!$D$5:$D$504, '📅 Resumen Diario'!$B$5:$B$504, B3570, '📅 Resumen Diario'!$C$5:$C$504, D3570) * (SUMIFS('📋 Detalle Diario'!$E$5:$E$489, '📋 Detalle Diario'!$B$5:$B$489, B3570, '📋 Detalle Diario'!$C$5:$C$489, D3570) * 135 + SUMIFS('📋 Detalle Diario'!$I$5:$I$489, '📋 Detalle Diario'!$B$5:$B$489, B3570, '📋 Detalle Diario'!$C$5:$C$489, D3570) * 200), 0))</f>
        <v/>
      </c>
      <c r="P3570" s="32" t="str">
        <f t="shared" si="390"/>
        <v/>
      </c>
      <c r="Q3570" s="33" t="str">
        <f t="shared" si="391"/>
        <v/>
      </c>
    </row>
    <row r="3571" spans="2:17" ht="18" customHeight="1" x14ac:dyDescent="0.3">
      <c r="B3571" s="26"/>
      <c r="C3571" s="28"/>
      <c r="D3571" s="27"/>
      <c r="E3571" s="29"/>
      <c r="F3571" s="29"/>
      <c r="G3571" s="29"/>
      <c r="H3571" s="30" t="str">
        <f t="shared" si="385"/>
        <v/>
      </c>
      <c r="I3571" s="31" t="str">
        <f>IF(OR(B3571="",C3571=""),"",IFERROR(E3571*IF(E3571="",0,VLOOKUP(C3571,'📦 Precios Proforma'!$B$5:$D$104,IF(D3571="DIA",2,3),FALSE)),0))</f>
        <v/>
      </c>
      <c r="J3571" s="31" t="str">
        <f t="shared" si="386"/>
        <v/>
      </c>
      <c r="K3571" s="31" t="str">
        <f t="shared" si="387"/>
        <v/>
      </c>
      <c r="L3571" s="31" t="str">
        <f>IF(OR(B3571="",C3571=""),"",IFERROR(E3571 / SUMIFS('📅 Resumen Diario'!$D$5:$D$504, '📅 Resumen Diario'!$B$5:$B$504, B3571, '📅 Resumen Diario'!$C$5:$C$504, D3571) * SUMIFS('📅 Resumen Diario'!$K$5:$K$504, '📅 Resumen Diario'!$B$5:$B$504, B3571, '📅 Resumen Diario'!$C$5:$C$504, D3571), 0))</f>
        <v/>
      </c>
      <c r="M3571" s="31" t="str">
        <f t="shared" si="388"/>
        <v/>
      </c>
      <c r="N3571" s="31" t="str">
        <f t="shared" si="389"/>
        <v/>
      </c>
      <c r="O3571" s="31" t="str">
        <f>IF(OR(B3571="",C3571=""),"",K3571-N3571 + IFERROR(E3571 / SUMIFS('📅 Resumen Diario'!$D$5:$D$504, '📅 Resumen Diario'!$B$5:$B$504, B3571, '📅 Resumen Diario'!$C$5:$C$504, D3571) * (SUMIFS('📋 Detalle Diario'!$E$5:$E$489, '📋 Detalle Diario'!$B$5:$B$489, B3571, '📋 Detalle Diario'!$C$5:$C$489, D3571) * 135 + SUMIFS('📋 Detalle Diario'!$I$5:$I$489, '📋 Detalle Diario'!$B$5:$B$489, B3571, '📋 Detalle Diario'!$C$5:$C$489, D3571) * 200), 0))</f>
        <v/>
      </c>
      <c r="P3571" s="32" t="str">
        <f t="shared" si="390"/>
        <v/>
      </c>
      <c r="Q3571" s="33" t="str">
        <f t="shared" si="391"/>
        <v/>
      </c>
    </row>
    <row r="3572" spans="2:17" ht="18" customHeight="1" x14ac:dyDescent="0.3">
      <c r="B3572" s="26"/>
      <c r="C3572" s="17"/>
      <c r="D3572" s="27"/>
      <c r="E3572" s="18"/>
      <c r="F3572" s="18"/>
      <c r="G3572" s="18"/>
      <c r="H3572" s="30" t="str">
        <f t="shared" si="385"/>
        <v/>
      </c>
      <c r="I3572" s="31" t="str">
        <f>IF(OR(B3572="",C3572=""),"",IFERROR(E3572*IF(E3572="",0,VLOOKUP(C3572,'📦 Precios Proforma'!$B$5:$D$104,IF(D3572="DIA",2,3),FALSE)),0))</f>
        <v/>
      </c>
      <c r="J3572" s="31" t="str">
        <f t="shared" si="386"/>
        <v/>
      </c>
      <c r="K3572" s="31" t="str">
        <f t="shared" si="387"/>
        <v/>
      </c>
      <c r="L3572" s="31" t="str">
        <f>IF(OR(B3572="",C3572=""),"",IFERROR(E3572 / SUMIFS('📅 Resumen Diario'!$D$5:$D$504, '📅 Resumen Diario'!$B$5:$B$504, B3572, '📅 Resumen Diario'!$C$5:$C$504, D3572) * SUMIFS('📅 Resumen Diario'!$K$5:$K$504, '📅 Resumen Diario'!$B$5:$B$504, B3572, '📅 Resumen Diario'!$C$5:$C$504, D3572), 0))</f>
        <v/>
      </c>
      <c r="M3572" s="31" t="str">
        <f t="shared" si="388"/>
        <v/>
      </c>
      <c r="N3572" s="31" t="str">
        <f t="shared" si="389"/>
        <v/>
      </c>
      <c r="O3572" s="31" t="str">
        <f>IF(OR(B3572="",C3572=""),"",K3572-N3572 + IFERROR(E3572 / SUMIFS('📅 Resumen Diario'!$D$5:$D$504, '📅 Resumen Diario'!$B$5:$B$504, B3572, '📅 Resumen Diario'!$C$5:$C$504, D3572) * (SUMIFS('📋 Detalle Diario'!$E$5:$E$489, '📋 Detalle Diario'!$B$5:$B$489, B3572, '📋 Detalle Diario'!$C$5:$C$489, D3572) * 135 + SUMIFS('📋 Detalle Diario'!$I$5:$I$489, '📋 Detalle Diario'!$B$5:$B$489, B3572, '📋 Detalle Diario'!$C$5:$C$489, D3572) * 200), 0))</f>
        <v/>
      </c>
      <c r="P3572" s="32" t="str">
        <f t="shared" si="390"/>
        <v/>
      </c>
      <c r="Q3572" s="33" t="str">
        <f t="shared" si="391"/>
        <v/>
      </c>
    </row>
    <row r="3573" spans="2:17" ht="18" customHeight="1" x14ac:dyDescent="0.3">
      <c r="B3573" s="26"/>
      <c r="C3573" s="28"/>
      <c r="D3573" s="27"/>
      <c r="E3573" s="29"/>
      <c r="F3573" s="29"/>
      <c r="G3573" s="29"/>
      <c r="H3573" s="30" t="str">
        <f t="shared" si="385"/>
        <v/>
      </c>
      <c r="I3573" s="31" t="str">
        <f>IF(OR(B3573="",C3573=""),"",IFERROR(E3573*IF(E3573="",0,VLOOKUP(C3573,'📦 Precios Proforma'!$B$5:$D$104,IF(D3573="DIA",2,3),FALSE)),0))</f>
        <v/>
      </c>
      <c r="J3573" s="31" t="str">
        <f t="shared" si="386"/>
        <v/>
      </c>
      <c r="K3573" s="31" t="str">
        <f t="shared" si="387"/>
        <v/>
      </c>
      <c r="L3573" s="31" t="str">
        <f>IF(OR(B3573="",C3573=""),"",IFERROR(E3573 / SUMIFS('📅 Resumen Diario'!$D$5:$D$504, '📅 Resumen Diario'!$B$5:$B$504, B3573, '📅 Resumen Diario'!$C$5:$C$504, D3573) * SUMIFS('📅 Resumen Diario'!$K$5:$K$504, '📅 Resumen Diario'!$B$5:$B$504, B3573, '📅 Resumen Diario'!$C$5:$C$504, D3573), 0))</f>
        <v/>
      </c>
      <c r="M3573" s="31" t="str">
        <f t="shared" si="388"/>
        <v/>
      </c>
      <c r="N3573" s="31" t="str">
        <f t="shared" si="389"/>
        <v/>
      </c>
      <c r="O3573" s="31" t="str">
        <f>IF(OR(B3573="",C3573=""),"",K3573-N3573 + IFERROR(E3573 / SUMIFS('📅 Resumen Diario'!$D$5:$D$504, '📅 Resumen Diario'!$B$5:$B$504, B3573, '📅 Resumen Diario'!$C$5:$C$504, D3573) * (SUMIFS('📋 Detalle Diario'!$E$5:$E$489, '📋 Detalle Diario'!$B$5:$B$489, B3573, '📋 Detalle Diario'!$C$5:$C$489, D3573) * 135 + SUMIFS('📋 Detalle Diario'!$I$5:$I$489, '📋 Detalle Diario'!$B$5:$B$489, B3573, '📋 Detalle Diario'!$C$5:$C$489, D3573) * 200), 0))</f>
        <v/>
      </c>
      <c r="P3573" s="32" t="str">
        <f t="shared" si="390"/>
        <v/>
      </c>
      <c r="Q3573" s="33" t="str">
        <f t="shared" si="391"/>
        <v/>
      </c>
    </row>
    <row r="3574" spans="2:17" ht="18" customHeight="1" x14ac:dyDescent="0.3">
      <c r="B3574" s="26"/>
      <c r="C3574" s="17"/>
      <c r="D3574" s="27"/>
      <c r="E3574" s="18"/>
      <c r="F3574" s="18"/>
      <c r="G3574" s="18"/>
      <c r="H3574" s="30" t="str">
        <f t="shared" si="385"/>
        <v/>
      </c>
      <c r="I3574" s="31" t="str">
        <f>IF(OR(B3574="",C3574=""),"",IFERROR(E3574*IF(E3574="",0,VLOOKUP(C3574,'📦 Precios Proforma'!$B$5:$D$104,IF(D3574="DIA",2,3),FALSE)),0))</f>
        <v/>
      </c>
      <c r="J3574" s="31" t="str">
        <f t="shared" si="386"/>
        <v/>
      </c>
      <c r="K3574" s="31" t="str">
        <f t="shared" si="387"/>
        <v/>
      </c>
      <c r="L3574" s="31" t="str">
        <f>IF(OR(B3574="",C3574=""),"",IFERROR(E3574 / SUMIFS('📅 Resumen Diario'!$D$5:$D$504, '📅 Resumen Diario'!$B$5:$B$504, B3574, '📅 Resumen Diario'!$C$5:$C$504, D3574) * SUMIFS('📅 Resumen Diario'!$K$5:$K$504, '📅 Resumen Diario'!$B$5:$B$504, B3574, '📅 Resumen Diario'!$C$5:$C$504, D3574), 0))</f>
        <v/>
      </c>
      <c r="M3574" s="31" t="str">
        <f t="shared" si="388"/>
        <v/>
      </c>
      <c r="N3574" s="31" t="str">
        <f t="shared" si="389"/>
        <v/>
      </c>
      <c r="O3574" s="31" t="str">
        <f>IF(OR(B3574="",C3574=""),"",K3574-N3574 + IFERROR(E3574 / SUMIFS('📅 Resumen Diario'!$D$5:$D$504, '📅 Resumen Diario'!$B$5:$B$504, B3574, '📅 Resumen Diario'!$C$5:$C$504, D3574) * (SUMIFS('📋 Detalle Diario'!$E$5:$E$489, '📋 Detalle Diario'!$B$5:$B$489, B3574, '📋 Detalle Diario'!$C$5:$C$489, D3574) * 135 + SUMIFS('📋 Detalle Diario'!$I$5:$I$489, '📋 Detalle Diario'!$B$5:$B$489, B3574, '📋 Detalle Diario'!$C$5:$C$489, D3574) * 200), 0))</f>
        <v/>
      </c>
      <c r="P3574" s="32" t="str">
        <f t="shared" si="390"/>
        <v/>
      </c>
      <c r="Q3574" s="33" t="str">
        <f t="shared" si="391"/>
        <v/>
      </c>
    </row>
    <row r="3575" spans="2:17" ht="18" customHeight="1" x14ac:dyDescent="0.3">
      <c r="B3575" s="26"/>
      <c r="C3575" s="28"/>
      <c r="D3575" s="27"/>
      <c r="E3575" s="29"/>
      <c r="F3575" s="29"/>
      <c r="G3575" s="29"/>
      <c r="H3575" s="30" t="str">
        <f t="shared" si="385"/>
        <v/>
      </c>
      <c r="I3575" s="31" t="str">
        <f>IF(OR(B3575="",C3575=""),"",IFERROR(E3575*IF(E3575="",0,VLOOKUP(C3575,'📦 Precios Proforma'!$B$5:$D$104,IF(D3575="DIA",2,3),FALSE)),0))</f>
        <v/>
      </c>
      <c r="J3575" s="31" t="str">
        <f t="shared" si="386"/>
        <v/>
      </c>
      <c r="K3575" s="31" t="str">
        <f t="shared" si="387"/>
        <v/>
      </c>
      <c r="L3575" s="31" t="str">
        <f>IF(OR(B3575="",C3575=""),"",IFERROR(E3575 / SUMIFS('📅 Resumen Diario'!$D$5:$D$504, '📅 Resumen Diario'!$B$5:$B$504, B3575, '📅 Resumen Diario'!$C$5:$C$504, D3575) * SUMIFS('📅 Resumen Diario'!$K$5:$K$504, '📅 Resumen Diario'!$B$5:$B$504, B3575, '📅 Resumen Diario'!$C$5:$C$504, D3575), 0))</f>
        <v/>
      </c>
      <c r="M3575" s="31" t="str">
        <f t="shared" si="388"/>
        <v/>
      </c>
      <c r="N3575" s="31" t="str">
        <f t="shared" si="389"/>
        <v/>
      </c>
      <c r="O3575" s="31" t="str">
        <f>IF(OR(B3575="",C3575=""),"",K3575-N3575 + IFERROR(E3575 / SUMIFS('📅 Resumen Diario'!$D$5:$D$504, '📅 Resumen Diario'!$B$5:$B$504, B3575, '📅 Resumen Diario'!$C$5:$C$504, D3575) * (SUMIFS('📋 Detalle Diario'!$E$5:$E$489, '📋 Detalle Diario'!$B$5:$B$489, B3575, '📋 Detalle Diario'!$C$5:$C$489, D3575) * 135 + SUMIFS('📋 Detalle Diario'!$I$5:$I$489, '📋 Detalle Diario'!$B$5:$B$489, B3575, '📋 Detalle Diario'!$C$5:$C$489, D3575) * 200), 0))</f>
        <v/>
      </c>
      <c r="P3575" s="32" t="str">
        <f t="shared" si="390"/>
        <v/>
      </c>
      <c r="Q3575" s="33" t="str">
        <f t="shared" si="391"/>
        <v/>
      </c>
    </row>
    <row r="3576" spans="2:17" ht="18" customHeight="1" x14ac:dyDescent="0.3">
      <c r="B3576" s="26"/>
      <c r="C3576" s="17"/>
      <c r="D3576" s="27"/>
      <c r="E3576" s="18"/>
      <c r="F3576" s="18"/>
      <c r="G3576" s="18"/>
      <c r="H3576" s="30" t="str">
        <f t="shared" si="385"/>
        <v/>
      </c>
      <c r="I3576" s="31" t="str">
        <f>IF(OR(B3576="",C3576=""),"",IFERROR(E3576*IF(E3576="",0,VLOOKUP(C3576,'📦 Precios Proforma'!$B$5:$D$104,IF(D3576="DIA",2,3),FALSE)),0))</f>
        <v/>
      </c>
      <c r="J3576" s="31" t="str">
        <f t="shared" si="386"/>
        <v/>
      </c>
      <c r="K3576" s="31" t="str">
        <f t="shared" si="387"/>
        <v/>
      </c>
      <c r="L3576" s="31" t="str">
        <f>IF(OR(B3576="",C3576=""),"",IFERROR(E3576 / SUMIFS('📅 Resumen Diario'!$D$5:$D$504, '📅 Resumen Diario'!$B$5:$B$504, B3576, '📅 Resumen Diario'!$C$5:$C$504, D3576) * SUMIFS('📅 Resumen Diario'!$K$5:$K$504, '📅 Resumen Diario'!$B$5:$B$504, B3576, '📅 Resumen Diario'!$C$5:$C$504, D3576), 0))</f>
        <v/>
      </c>
      <c r="M3576" s="31" t="str">
        <f t="shared" si="388"/>
        <v/>
      </c>
      <c r="N3576" s="31" t="str">
        <f t="shared" si="389"/>
        <v/>
      </c>
      <c r="O3576" s="31" t="str">
        <f>IF(OR(B3576="",C3576=""),"",K3576-N3576 + IFERROR(E3576 / SUMIFS('📅 Resumen Diario'!$D$5:$D$504, '📅 Resumen Diario'!$B$5:$B$504, B3576, '📅 Resumen Diario'!$C$5:$C$504, D3576) * (SUMIFS('📋 Detalle Diario'!$E$5:$E$489, '📋 Detalle Diario'!$B$5:$B$489, B3576, '📋 Detalle Diario'!$C$5:$C$489, D3576) * 135 + SUMIFS('📋 Detalle Diario'!$I$5:$I$489, '📋 Detalle Diario'!$B$5:$B$489, B3576, '📋 Detalle Diario'!$C$5:$C$489, D3576) * 200), 0))</f>
        <v/>
      </c>
      <c r="P3576" s="32" t="str">
        <f t="shared" si="390"/>
        <v/>
      </c>
      <c r="Q3576" s="33" t="str">
        <f t="shared" si="391"/>
        <v/>
      </c>
    </row>
    <row r="3577" spans="2:17" ht="18" customHeight="1" x14ac:dyDescent="0.3">
      <c r="B3577" s="26"/>
      <c r="C3577" s="28"/>
      <c r="D3577" s="27"/>
      <c r="E3577" s="29"/>
      <c r="F3577" s="29"/>
      <c r="G3577" s="29"/>
      <c r="H3577" s="30" t="str">
        <f t="shared" si="385"/>
        <v/>
      </c>
      <c r="I3577" s="31" t="str">
        <f>IF(OR(B3577="",C3577=""),"",IFERROR(E3577*IF(E3577="",0,VLOOKUP(C3577,'📦 Precios Proforma'!$B$5:$D$104,IF(D3577="DIA",2,3),FALSE)),0))</f>
        <v/>
      </c>
      <c r="J3577" s="31" t="str">
        <f t="shared" si="386"/>
        <v/>
      </c>
      <c r="K3577" s="31" t="str">
        <f t="shared" si="387"/>
        <v/>
      </c>
      <c r="L3577" s="31" t="str">
        <f>IF(OR(B3577="",C3577=""),"",IFERROR(E3577 / SUMIFS('📅 Resumen Diario'!$D$5:$D$504, '📅 Resumen Diario'!$B$5:$B$504, B3577, '📅 Resumen Diario'!$C$5:$C$504, D3577) * SUMIFS('📅 Resumen Diario'!$K$5:$K$504, '📅 Resumen Diario'!$B$5:$B$504, B3577, '📅 Resumen Diario'!$C$5:$C$504, D3577), 0))</f>
        <v/>
      </c>
      <c r="M3577" s="31" t="str">
        <f t="shared" si="388"/>
        <v/>
      </c>
      <c r="N3577" s="31" t="str">
        <f t="shared" si="389"/>
        <v/>
      </c>
      <c r="O3577" s="31" t="str">
        <f>IF(OR(B3577="",C3577=""),"",K3577-N3577 + IFERROR(E3577 / SUMIFS('📅 Resumen Diario'!$D$5:$D$504, '📅 Resumen Diario'!$B$5:$B$504, B3577, '📅 Resumen Diario'!$C$5:$C$504, D3577) * (SUMIFS('📋 Detalle Diario'!$E$5:$E$489, '📋 Detalle Diario'!$B$5:$B$489, B3577, '📋 Detalle Diario'!$C$5:$C$489, D3577) * 135 + SUMIFS('📋 Detalle Diario'!$I$5:$I$489, '📋 Detalle Diario'!$B$5:$B$489, B3577, '📋 Detalle Diario'!$C$5:$C$489, D3577) * 200), 0))</f>
        <v/>
      </c>
      <c r="P3577" s="32" t="str">
        <f t="shared" si="390"/>
        <v/>
      </c>
      <c r="Q3577" s="33" t="str">
        <f t="shared" si="391"/>
        <v/>
      </c>
    </row>
    <row r="3578" spans="2:17" ht="18" customHeight="1" x14ac:dyDescent="0.3">
      <c r="B3578" s="26"/>
      <c r="C3578" s="17"/>
      <c r="D3578" s="27"/>
      <c r="E3578" s="18"/>
      <c r="F3578" s="18"/>
      <c r="G3578" s="18"/>
      <c r="H3578" s="30" t="str">
        <f t="shared" si="385"/>
        <v/>
      </c>
      <c r="I3578" s="31" t="str">
        <f>IF(OR(B3578="",C3578=""),"",IFERROR(E3578*IF(E3578="",0,VLOOKUP(C3578,'📦 Precios Proforma'!$B$5:$D$104,IF(D3578="DIA",2,3),FALSE)),0))</f>
        <v/>
      </c>
      <c r="J3578" s="31" t="str">
        <f t="shared" si="386"/>
        <v/>
      </c>
      <c r="K3578" s="31" t="str">
        <f t="shared" si="387"/>
        <v/>
      </c>
      <c r="L3578" s="31" t="str">
        <f>IF(OR(B3578="",C3578=""),"",IFERROR(E3578 / SUMIFS('📅 Resumen Diario'!$D$5:$D$504, '📅 Resumen Diario'!$B$5:$B$504, B3578, '📅 Resumen Diario'!$C$5:$C$504, D3578) * SUMIFS('📅 Resumen Diario'!$K$5:$K$504, '📅 Resumen Diario'!$B$5:$B$504, B3578, '📅 Resumen Diario'!$C$5:$C$504, D3578), 0))</f>
        <v/>
      </c>
      <c r="M3578" s="31" t="str">
        <f t="shared" si="388"/>
        <v/>
      </c>
      <c r="N3578" s="31" t="str">
        <f t="shared" si="389"/>
        <v/>
      </c>
      <c r="O3578" s="31" t="str">
        <f>IF(OR(B3578="",C3578=""),"",K3578-N3578 + IFERROR(E3578 / SUMIFS('📅 Resumen Diario'!$D$5:$D$504, '📅 Resumen Diario'!$B$5:$B$504, B3578, '📅 Resumen Diario'!$C$5:$C$504, D3578) * (SUMIFS('📋 Detalle Diario'!$E$5:$E$489, '📋 Detalle Diario'!$B$5:$B$489, B3578, '📋 Detalle Diario'!$C$5:$C$489, D3578) * 135 + SUMIFS('📋 Detalle Diario'!$I$5:$I$489, '📋 Detalle Diario'!$B$5:$B$489, B3578, '📋 Detalle Diario'!$C$5:$C$489, D3578) * 200), 0))</f>
        <v/>
      </c>
      <c r="P3578" s="32" t="str">
        <f t="shared" si="390"/>
        <v/>
      </c>
      <c r="Q3578" s="33" t="str">
        <f t="shared" si="391"/>
        <v/>
      </c>
    </row>
    <row r="3579" spans="2:17" ht="18" customHeight="1" x14ac:dyDescent="0.3">
      <c r="B3579" s="26"/>
      <c r="C3579" s="28"/>
      <c r="D3579" s="27"/>
      <c r="E3579" s="29"/>
      <c r="F3579" s="29"/>
      <c r="G3579" s="29"/>
      <c r="H3579" s="30" t="str">
        <f t="shared" si="385"/>
        <v/>
      </c>
      <c r="I3579" s="31" t="str">
        <f>IF(OR(B3579="",C3579=""),"",IFERROR(E3579*IF(E3579="",0,VLOOKUP(C3579,'📦 Precios Proforma'!$B$5:$D$104,IF(D3579="DIA",2,3),FALSE)),0))</f>
        <v/>
      </c>
      <c r="J3579" s="31" t="str">
        <f t="shared" si="386"/>
        <v/>
      </c>
      <c r="K3579" s="31" t="str">
        <f t="shared" si="387"/>
        <v/>
      </c>
      <c r="L3579" s="31" t="str">
        <f>IF(OR(B3579="",C3579=""),"",IFERROR(E3579 / SUMIFS('📅 Resumen Diario'!$D$5:$D$504, '📅 Resumen Diario'!$B$5:$B$504, B3579, '📅 Resumen Diario'!$C$5:$C$504, D3579) * SUMIFS('📅 Resumen Diario'!$K$5:$K$504, '📅 Resumen Diario'!$B$5:$B$504, B3579, '📅 Resumen Diario'!$C$5:$C$504, D3579), 0))</f>
        <v/>
      </c>
      <c r="M3579" s="31" t="str">
        <f t="shared" si="388"/>
        <v/>
      </c>
      <c r="N3579" s="31" t="str">
        <f t="shared" si="389"/>
        <v/>
      </c>
      <c r="O3579" s="31" t="str">
        <f>IF(OR(B3579="",C3579=""),"",K3579-N3579 + IFERROR(E3579 / SUMIFS('📅 Resumen Diario'!$D$5:$D$504, '📅 Resumen Diario'!$B$5:$B$504, B3579, '📅 Resumen Diario'!$C$5:$C$504, D3579) * (SUMIFS('📋 Detalle Diario'!$E$5:$E$489, '📋 Detalle Diario'!$B$5:$B$489, B3579, '📋 Detalle Diario'!$C$5:$C$489, D3579) * 135 + SUMIFS('📋 Detalle Diario'!$I$5:$I$489, '📋 Detalle Diario'!$B$5:$B$489, B3579, '📋 Detalle Diario'!$C$5:$C$489, D3579) * 200), 0))</f>
        <v/>
      </c>
      <c r="P3579" s="32" t="str">
        <f t="shared" si="390"/>
        <v/>
      </c>
      <c r="Q3579" s="33" t="str">
        <f t="shared" si="391"/>
        <v/>
      </c>
    </row>
    <row r="3580" spans="2:17" ht="18" customHeight="1" x14ac:dyDescent="0.3">
      <c r="B3580" s="26"/>
      <c r="C3580" s="17"/>
      <c r="D3580" s="27"/>
      <c r="E3580" s="18"/>
      <c r="F3580" s="18"/>
      <c r="G3580" s="18"/>
      <c r="H3580" s="30" t="str">
        <f t="shared" si="385"/>
        <v/>
      </c>
      <c r="I3580" s="31" t="str">
        <f>IF(OR(B3580="",C3580=""),"",IFERROR(E3580*IF(E3580="",0,VLOOKUP(C3580,'📦 Precios Proforma'!$B$5:$D$104,IF(D3580="DIA",2,3),FALSE)),0))</f>
        <v/>
      </c>
      <c r="J3580" s="31" t="str">
        <f t="shared" si="386"/>
        <v/>
      </c>
      <c r="K3580" s="31" t="str">
        <f t="shared" si="387"/>
        <v/>
      </c>
      <c r="L3580" s="31" t="str">
        <f>IF(OR(B3580="",C3580=""),"",IFERROR(E3580 / SUMIFS('📅 Resumen Diario'!$D$5:$D$504, '📅 Resumen Diario'!$B$5:$B$504, B3580, '📅 Resumen Diario'!$C$5:$C$504, D3580) * SUMIFS('📅 Resumen Diario'!$K$5:$K$504, '📅 Resumen Diario'!$B$5:$B$504, B3580, '📅 Resumen Diario'!$C$5:$C$504, D3580), 0))</f>
        <v/>
      </c>
      <c r="M3580" s="31" t="str">
        <f t="shared" si="388"/>
        <v/>
      </c>
      <c r="N3580" s="31" t="str">
        <f t="shared" si="389"/>
        <v/>
      </c>
      <c r="O3580" s="31" t="str">
        <f>IF(OR(B3580="",C3580=""),"",K3580-N3580 + IFERROR(E3580 / SUMIFS('📅 Resumen Diario'!$D$5:$D$504, '📅 Resumen Diario'!$B$5:$B$504, B3580, '📅 Resumen Diario'!$C$5:$C$504, D3580) * (SUMIFS('📋 Detalle Diario'!$E$5:$E$489, '📋 Detalle Diario'!$B$5:$B$489, B3580, '📋 Detalle Diario'!$C$5:$C$489, D3580) * 135 + SUMIFS('📋 Detalle Diario'!$I$5:$I$489, '📋 Detalle Diario'!$B$5:$B$489, B3580, '📋 Detalle Diario'!$C$5:$C$489, D3580) * 200), 0))</f>
        <v/>
      </c>
      <c r="P3580" s="32" t="str">
        <f t="shared" si="390"/>
        <v/>
      </c>
      <c r="Q3580" s="33" t="str">
        <f t="shared" si="391"/>
        <v/>
      </c>
    </row>
    <row r="3581" spans="2:17" ht="18" customHeight="1" x14ac:dyDescent="0.3">
      <c r="B3581" s="26"/>
      <c r="C3581" s="28"/>
      <c r="D3581" s="27"/>
      <c r="E3581" s="29"/>
      <c r="F3581" s="29"/>
      <c r="G3581" s="29"/>
      <c r="H3581" s="30" t="str">
        <f t="shared" si="385"/>
        <v/>
      </c>
      <c r="I3581" s="31" t="str">
        <f>IF(OR(B3581="",C3581=""),"",IFERROR(E3581*IF(E3581="",0,VLOOKUP(C3581,'📦 Precios Proforma'!$B$5:$D$104,IF(D3581="DIA",2,3),FALSE)),0))</f>
        <v/>
      </c>
      <c r="J3581" s="31" t="str">
        <f t="shared" si="386"/>
        <v/>
      </c>
      <c r="K3581" s="31" t="str">
        <f t="shared" si="387"/>
        <v/>
      </c>
      <c r="L3581" s="31" t="str">
        <f>IF(OR(B3581="",C3581=""),"",IFERROR(E3581 / SUMIFS('📅 Resumen Diario'!$D$5:$D$504, '📅 Resumen Diario'!$B$5:$B$504, B3581, '📅 Resumen Diario'!$C$5:$C$504, D3581) * SUMIFS('📅 Resumen Diario'!$K$5:$K$504, '📅 Resumen Diario'!$B$5:$B$504, B3581, '📅 Resumen Diario'!$C$5:$C$504, D3581), 0))</f>
        <v/>
      </c>
      <c r="M3581" s="31" t="str">
        <f t="shared" si="388"/>
        <v/>
      </c>
      <c r="N3581" s="31" t="str">
        <f t="shared" si="389"/>
        <v/>
      </c>
      <c r="O3581" s="31" t="str">
        <f>IF(OR(B3581="",C3581=""),"",K3581-N3581 + IFERROR(E3581 / SUMIFS('📅 Resumen Diario'!$D$5:$D$504, '📅 Resumen Diario'!$B$5:$B$504, B3581, '📅 Resumen Diario'!$C$5:$C$504, D3581) * (SUMIFS('📋 Detalle Diario'!$E$5:$E$489, '📋 Detalle Diario'!$B$5:$B$489, B3581, '📋 Detalle Diario'!$C$5:$C$489, D3581) * 135 + SUMIFS('📋 Detalle Diario'!$I$5:$I$489, '📋 Detalle Diario'!$B$5:$B$489, B3581, '📋 Detalle Diario'!$C$5:$C$489, D3581) * 200), 0))</f>
        <v/>
      </c>
      <c r="P3581" s="32" t="str">
        <f t="shared" si="390"/>
        <v/>
      </c>
      <c r="Q3581" s="33" t="str">
        <f t="shared" si="391"/>
        <v/>
      </c>
    </row>
    <row r="3582" spans="2:17" ht="18" customHeight="1" x14ac:dyDescent="0.3">
      <c r="B3582" s="26"/>
      <c r="C3582" s="17"/>
      <c r="D3582" s="27"/>
      <c r="E3582" s="18"/>
      <c r="F3582" s="18"/>
      <c r="G3582" s="18"/>
      <c r="H3582" s="30" t="str">
        <f t="shared" si="385"/>
        <v/>
      </c>
      <c r="I3582" s="31" t="str">
        <f>IF(OR(B3582="",C3582=""),"",IFERROR(E3582*IF(E3582="",0,VLOOKUP(C3582,'📦 Precios Proforma'!$B$5:$D$104,IF(D3582="DIA",2,3),FALSE)),0))</f>
        <v/>
      </c>
      <c r="J3582" s="31" t="str">
        <f t="shared" si="386"/>
        <v/>
      </c>
      <c r="K3582" s="31" t="str">
        <f t="shared" si="387"/>
        <v/>
      </c>
      <c r="L3582" s="31" t="str">
        <f>IF(OR(B3582="",C3582=""),"",IFERROR(E3582 / SUMIFS('📅 Resumen Diario'!$D$5:$D$504, '📅 Resumen Diario'!$B$5:$B$504, B3582, '📅 Resumen Diario'!$C$5:$C$504, D3582) * SUMIFS('📅 Resumen Diario'!$K$5:$K$504, '📅 Resumen Diario'!$B$5:$B$504, B3582, '📅 Resumen Diario'!$C$5:$C$504, D3582), 0))</f>
        <v/>
      </c>
      <c r="M3582" s="31" t="str">
        <f t="shared" si="388"/>
        <v/>
      </c>
      <c r="N3582" s="31" t="str">
        <f t="shared" si="389"/>
        <v/>
      </c>
      <c r="O3582" s="31" t="str">
        <f>IF(OR(B3582="",C3582=""),"",K3582-N3582 + IFERROR(E3582 / SUMIFS('📅 Resumen Diario'!$D$5:$D$504, '📅 Resumen Diario'!$B$5:$B$504, B3582, '📅 Resumen Diario'!$C$5:$C$504, D3582) * (SUMIFS('📋 Detalle Diario'!$E$5:$E$489, '📋 Detalle Diario'!$B$5:$B$489, B3582, '📋 Detalle Diario'!$C$5:$C$489, D3582) * 135 + SUMIFS('📋 Detalle Diario'!$I$5:$I$489, '📋 Detalle Diario'!$B$5:$B$489, B3582, '📋 Detalle Diario'!$C$5:$C$489, D3582) * 200), 0))</f>
        <v/>
      </c>
      <c r="P3582" s="32" t="str">
        <f t="shared" si="390"/>
        <v/>
      </c>
      <c r="Q3582" s="33" t="str">
        <f t="shared" si="391"/>
        <v/>
      </c>
    </row>
    <row r="3583" spans="2:17" ht="18" customHeight="1" x14ac:dyDescent="0.3">
      <c r="B3583" s="26"/>
      <c r="C3583" s="28"/>
      <c r="D3583" s="27"/>
      <c r="E3583" s="29"/>
      <c r="F3583" s="29"/>
      <c r="G3583" s="29"/>
      <c r="H3583" s="30" t="str">
        <f t="shared" si="385"/>
        <v/>
      </c>
      <c r="I3583" s="31" t="str">
        <f>IF(OR(B3583="",C3583=""),"",IFERROR(E3583*IF(E3583="",0,VLOOKUP(C3583,'📦 Precios Proforma'!$B$5:$D$104,IF(D3583="DIA",2,3),FALSE)),0))</f>
        <v/>
      </c>
      <c r="J3583" s="31" t="str">
        <f t="shared" si="386"/>
        <v/>
      </c>
      <c r="K3583" s="31" t="str">
        <f t="shared" si="387"/>
        <v/>
      </c>
      <c r="L3583" s="31" t="str">
        <f>IF(OR(B3583="",C3583=""),"",IFERROR(E3583 / SUMIFS('📅 Resumen Diario'!$D$5:$D$504, '📅 Resumen Diario'!$B$5:$B$504, B3583, '📅 Resumen Diario'!$C$5:$C$504, D3583) * SUMIFS('📅 Resumen Diario'!$K$5:$K$504, '📅 Resumen Diario'!$B$5:$B$504, B3583, '📅 Resumen Diario'!$C$5:$C$504, D3583), 0))</f>
        <v/>
      </c>
      <c r="M3583" s="31" t="str">
        <f t="shared" si="388"/>
        <v/>
      </c>
      <c r="N3583" s="31" t="str">
        <f t="shared" si="389"/>
        <v/>
      </c>
      <c r="O3583" s="31" t="str">
        <f>IF(OR(B3583="",C3583=""),"",K3583-N3583 + IFERROR(E3583 / SUMIFS('📅 Resumen Diario'!$D$5:$D$504, '📅 Resumen Diario'!$B$5:$B$504, B3583, '📅 Resumen Diario'!$C$5:$C$504, D3583) * (SUMIFS('📋 Detalle Diario'!$E$5:$E$489, '📋 Detalle Diario'!$B$5:$B$489, B3583, '📋 Detalle Diario'!$C$5:$C$489, D3583) * 135 + SUMIFS('📋 Detalle Diario'!$I$5:$I$489, '📋 Detalle Diario'!$B$5:$B$489, B3583, '📋 Detalle Diario'!$C$5:$C$489, D3583) * 200), 0))</f>
        <v/>
      </c>
      <c r="P3583" s="32" t="str">
        <f t="shared" si="390"/>
        <v/>
      </c>
      <c r="Q3583" s="33" t="str">
        <f t="shared" si="391"/>
        <v/>
      </c>
    </row>
    <row r="3584" spans="2:17" ht="18" customHeight="1" x14ac:dyDescent="0.3">
      <c r="B3584" s="26"/>
      <c r="C3584" s="17"/>
      <c r="D3584" s="27"/>
      <c r="E3584" s="18"/>
      <c r="F3584" s="18"/>
      <c r="G3584" s="18"/>
      <c r="H3584" s="30" t="str">
        <f t="shared" si="385"/>
        <v/>
      </c>
      <c r="I3584" s="31" t="str">
        <f>IF(OR(B3584="",C3584=""),"",IFERROR(E3584*IF(E3584="",0,VLOOKUP(C3584,'📦 Precios Proforma'!$B$5:$D$104,IF(D3584="DIA",2,3),FALSE)),0))</f>
        <v/>
      </c>
      <c r="J3584" s="31" t="str">
        <f t="shared" si="386"/>
        <v/>
      </c>
      <c r="K3584" s="31" t="str">
        <f t="shared" si="387"/>
        <v/>
      </c>
      <c r="L3584" s="31" t="str">
        <f>IF(OR(B3584="",C3584=""),"",IFERROR(E3584 / SUMIFS('📅 Resumen Diario'!$D$5:$D$504, '📅 Resumen Diario'!$B$5:$B$504, B3584, '📅 Resumen Diario'!$C$5:$C$504, D3584) * SUMIFS('📅 Resumen Diario'!$K$5:$K$504, '📅 Resumen Diario'!$B$5:$B$504, B3584, '📅 Resumen Diario'!$C$5:$C$504, D3584), 0))</f>
        <v/>
      </c>
      <c r="M3584" s="31" t="str">
        <f t="shared" si="388"/>
        <v/>
      </c>
      <c r="N3584" s="31" t="str">
        <f t="shared" si="389"/>
        <v/>
      </c>
      <c r="O3584" s="31" t="str">
        <f>IF(OR(B3584="",C3584=""),"",K3584-N3584 + IFERROR(E3584 / SUMIFS('📅 Resumen Diario'!$D$5:$D$504, '📅 Resumen Diario'!$B$5:$B$504, B3584, '📅 Resumen Diario'!$C$5:$C$504, D3584) * (SUMIFS('📋 Detalle Diario'!$E$5:$E$489, '📋 Detalle Diario'!$B$5:$B$489, B3584, '📋 Detalle Diario'!$C$5:$C$489, D3584) * 135 + SUMIFS('📋 Detalle Diario'!$I$5:$I$489, '📋 Detalle Diario'!$B$5:$B$489, B3584, '📋 Detalle Diario'!$C$5:$C$489, D3584) * 200), 0))</f>
        <v/>
      </c>
      <c r="P3584" s="32" t="str">
        <f t="shared" si="390"/>
        <v/>
      </c>
      <c r="Q3584" s="33" t="str">
        <f t="shared" si="391"/>
        <v/>
      </c>
    </row>
    <row r="3585" spans="2:17" ht="18" customHeight="1" x14ac:dyDescent="0.3">
      <c r="B3585" s="26"/>
      <c r="C3585" s="28"/>
      <c r="D3585" s="27"/>
      <c r="E3585" s="29"/>
      <c r="F3585" s="29"/>
      <c r="G3585" s="29"/>
      <c r="H3585" s="30" t="str">
        <f t="shared" si="385"/>
        <v/>
      </c>
      <c r="I3585" s="31" t="str">
        <f>IF(OR(B3585="",C3585=""),"",IFERROR(E3585*IF(E3585="",0,VLOOKUP(C3585,'📦 Precios Proforma'!$B$5:$D$104,IF(D3585="DIA",2,3),FALSE)),0))</f>
        <v/>
      </c>
      <c r="J3585" s="31" t="str">
        <f t="shared" si="386"/>
        <v/>
      </c>
      <c r="K3585" s="31" t="str">
        <f t="shared" si="387"/>
        <v/>
      </c>
      <c r="L3585" s="31" t="str">
        <f>IF(OR(B3585="",C3585=""),"",IFERROR(E3585 / SUMIFS('📅 Resumen Diario'!$D$5:$D$504, '📅 Resumen Diario'!$B$5:$B$504, B3585, '📅 Resumen Diario'!$C$5:$C$504, D3585) * SUMIFS('📅 Resumen Diario'!$K$5:$K$504, '📅 Resumen Diario'!$B$5:$B$504, B3585, '📅 Resumen Diario'!$C$5:$C$504, D3585), 0))</f>
        <v/>
      </c>
      <c r="M3585" s="31" t="str">
        <f t="shared" si="388"/>
        <v/>
      </c>
      <c r="N3585" s="31" t="str">
        <f t="shared" si="389"/>
        <v/>
      </c>
      <c r="O3585" s="31" t="str">
        <f>IF(OR(B3585="",C3585=""),"",K3585-N3585 + IFERROR(E3585 / SUMIFS('📅 Resumen Diario'!$D$5:$D$504, '📅 Resumen Diario'!$B$5:$B$504, B3585, '📅 Resumen Diario'!$C$5:$C$504, D3585) * (SUMIFS('📋 Detalle Diario'!$E$5:$E$489, '📋 Detalle Diario'!$B$5:$B$489, B3585, '📋 Detalle Diario'!$C$5:$C$489, D3585) * 135 + SUMIFS('📋 Detalle Diario'!$I$5:$I$489, '📋 Detalle Diario'!$B$5:$B$489, B3585, '📋 Detalle Diario'!$C$5:$C$489, D3585) * 200), 0))</f>
        <v/>
      </c>
      <c r="P3585" s="32" t="str">
        <f t="shared" si="390"/>
        <v/>
      </c>
      <c r="Q3585" s="33" t="str">
        <f t="shared" si="391"/>
        <v/>
      </c>
    </row>
    <row r="3586" spans="2:17" ht="18" customHeight="1" x14ac:dyDescent="0.3">
      <c r="B3586" s="26"/>
      <c r="C3586" s="17"/>
      <c r="D3586" s="27"/>
      <c r="E3586" s="18"/>
      <c r="F3586" s="18"/>
      <c r="G3586" s="18"/>
      <c r="H3586" s="30" t="str">
        <f t="shared" si="385"/>
        <v/>
      </c>
      <c r="I3586" s="31" t="str">
        <f>IF(OR(B3586="",C3586=""),"",IFERROR(E3586*IF(E3586="",0,VLOOKUP(C3586,'📦 Precios Proforma'!$B$5:$D$104,IF(D3586="DIA",2,3),FALSE)),0))</f>
        <v/>
      </c>
      <c r="J3586" s="31" t="str">
        <f t="shared" si="386"/>
        <v/>
      </c>
      <c r="K3586" s="31" t="str">
        <f t="shared" si="387"/>
        <v/>
      </c>
      <c r="L3586" s="31" t="str">
        <f>IF(OR(B3586="",C3586=""),"",IFERROR(E3586 / SUMIFS('📅 Resumen Diario'!$D$5:$D$504, '📅 Resumen Diario'!$B$5:$B$504, B3586, '📅 Resumen Diario'!$C$5:$C$504, D3586) * SUMIFS('📅 Resumen Diario'!$K$5:$K$504, '📅 Resumen Diario'!$B$5:$B$504, B3586, '📅 Resumen Diario'!$C$5:$C$504, D3586), 0))</f>
        <v/>
      </c>
      <c r="M3586" s="31" t="str">
        <f t="shared" si="388"/>
        <v/>
      </c>
      <c r="N3586" s="31" t="str">
        <f t="shared" si="389"/>
        <v/>
      </c>
      <c r="O3586" s="31" t="str">
        <f>IF(OR(B3586="",C3586=""),"",K3586-N3586 + IFERROR(E3586 / SUMIFS('📅 Resumen Diario'!$D$5:$D$504, '📅 Resumen Diario'!$B$5:$B$504, B3586, '📅 Resumen Diario'!$C$5:$C$504, D3586) * (SUMIFS('📋 Detalle Diario'!$E$5:$E$489, '📋 Detalle Diario'!$B$5:$B$489, B3586, '📋 Detalle Diario'!$C$5:$C$489, D3586) * 135 + SUMIFS('📋 Detalle Diario'!$I$5:$I$489, '📋 Detalle Diario'!$B$5:$B$489, B3586, '📋 Detalle Diario'!$C$5:$C$489, D3586) * 200), 0))</f>
        <v/>
      </c>
      <c r="P3586" s="32" t="str">
        <f t="shared" si="390"/>
        <v/>
      </c>
      <c r="Q3586" s="33" t="str">
        <f t="shared" si="391"/>
        <v/>
      </c>
    </row>
    <row r="3587" spans="2:17" ht="18" customHeight="1" x14ac:dyDescent="0.3">
      <c r="B3587" s="26"/>
      <c r="C3587" s="28"/>
      <c r="D3587" s="27"/>
      <c r="E3587" s="29"/>
      <c r="F3587" s="29"/>
      <c r="G3587" s="29"/>
      <c r="H3587" s="30" t="str">
        <f t="shared" si="385"/>
        <v/>
      </c>
      <c r="I3587" s="31" t="str">
        <f>IF(OR(B3587="",C3587=""),"",IFERROR(E3587*IF(E3587="",0,VLOOKUP(C3587,'📦 Precios Proforma'!$B$5:$D$104,IF(D3587="DIA",2,3),FALSE)),0))</f>
        <v/>
      </c>
      <c r="J3587" s="31" t="str">
        <f t="shared" si="386"/>
        <v/>
      </c>
      <c r="K3587" s="31" t="str">
        <f t="shared" si="387"/>
        <v/>
      </c>
      <c r="L3587" s="31" t="str">
        <f>IF(OR(B3587="",C3587=""),"",IFERROR(E3587 / SUMIFS('📅 Resumen Diario'!$D$5:$D$504, '📅 Resumen Diario'!$B$5:$B$504, B3587, '📅 Resumen Diario'!$C$5:$C$504, D3587) * SUMIFS('📅 Resumen Diario'!$K$5:$K$504, '📅 Resumen Diario'!$B$5:$B$504, B3587, '📅 Resumen Diario'!$C$5:$C$504, D3587), 0))</f>
        <v/>
      </c>
      <c r="M3587" s="31" t="str">
        <f t="shared" si="388"/>
        <v/>
      </c>
      <c r="N3587" s="31" t="str">
        <f t="shared" si="389"/>
        <v/>
      </c>
      <c r="O3587" s="31" t="str">
        <f>IF(OR(B3587="",C3587=""),"",K3587-N3587 + IFERROR(E3587 / SUMIFS('📅 Resumen Diario'!$D$5:$D$504, '📅 Resumen Diario'!$B$5:$B$504, B3587, '📅 Resumen Diario'!$C$5:$C$504, D3587) * (SUMIFS('📋 Detalle Diario'!$E$5:$E$489, '📋 Detalle Diario'!$B$5:$B$489, B3587, '📋 Detalle Diario'!$C$5:$C$489, D3587) * 135 + SUMIFS('📋 Detalle Diario'!$I$5:$I$489, '📋 Detalle Diario'!$B$5:$B$489, B3587, '📋 Detalle Diario'!$C$5:$C$489, D3587) * 200), 0))</f>
        <v/>
      </c>
      <c r="P3587" s="32" t="str">
        <f t="shared" si="390"/>
        <v/>
      </c>
      <c r="Q3587" s="33" t="str">
        <f t="shared" si="391"/>
        <v/>
      </c>
    </row>
    <row r="3588" spans="2:17" ht="18" customHeight="1" x14ac:dyDescent="0.3">
      <c r="B3588" s="26"/>
      <c r="C3588" s="17"/>
      <c r="D3588" s="27"/>
      <c r="E3588" s="18"/>
      <c r="F3588" s="18"/>
      <c r="G3588" s="18"/>
      <c r="H3588" s="30" t="str">
        <f t="shared" si="385"/>
        <v/>
      </c>
      <c r="I3588" s="31" t="str">
        <f>IF(OR(B3588="",C3588=""),"",IFERROR(E3588*IF(E3588="",0,VLOOKUP(C3588,'📦 Precios Proforma'!$B$5:$D$104,IF(D3588="DIA",2,3),FALSE)),0))</f>
        <v/>
      </c>
      <c r="J3588" s="31" t="str">
        <f t="shared" si="386"/>
        <v/>
      </c>
      <c r="K3588" s="31" t="str">
        <f t="shared" si="387"/>
        <v/>
      </c>
      <c r="L3588" s="31" t="str">
        <f>IF(OR(B3588="",C3588=""),"",IFERROR(E3588 / SUMIFS('📅 Resumen Diario'!$D$5:$D$504, '📅 Resumen Diario'!$B$5:$B$504, B3588, '📅 Resumen Diario'!$C$5:$C$504, D3588) * SUMIFS('📅 Resumen Diario'!$K$5:$K$504, '📅 Resumen Diario'!$B$5:$B$504, B3588, '📅 Resumen Diario'!$C$5:$C$504, D3588), 0))</f>
        <v/>
      </c>
      <c r="M3588" s="31" t="str">
        <f t="shared" si="388"/>
        <v/>
      </c>
      <c r="N3588" s="31" t="str">
        <f t="shared" si="389"/>
        <v/>
      </c>
      <c r="O3588" s="31" t="str">
        <f>IF(OR(B3588="",C3588=""),"",K3588-N3588 + IFERROR(E3588 / SUMIFS('📅 Resumen Diario'!$D$5:$D$504, '📅 Resumen Diario'!$B$5:$B$504, B3588, '📅 Resumen Diario'!$C$5:$C$504, D3588) * (SUMIFS('📋 Detalle Diario'!$E$5:$E$489, '📋 Detalle Diario'!$B$5:$B$489, B3588, '📋 Detalle Diario'!$C$5:$C$489, D3588) * 135 + SUMIFS('📋 Detalle Diario'!$I$5:$I$489, '📋 Detalle Diario'!$B$5:$B$489, B3588, '📋 Detalle Diario'!$C$5:$C$489, D3588) * 200), 0))</f>
        <v/>
      </c>
      <c r="P3588" s="32" t="str">
        <f t="shared" si="390"/>
        <v/>
      </c>
      <c r="Q3588" s="33" t="str">
        <f t="shared" si="391"/>
        <v/>
      </c>
    </row>
    <row r="3589" spans="2:17" ht="18" customHeight="1" x14ac:dyDescent="0.3">
      <c r="B3589" s="26"/>
      <c r="C3589" s="28"/>
      <c r="D3589" s="27"/>
      <c r="E3589" s="29"/>
      <c r="F3589" s="29"/>
      <c r="G3589" s="29"/>
      <c r="H3589" s="30" t="str">
        <f t="shared" si="385"/>
        <v/>
      </c>
      <c r="I3589" s="31" t="str">
        <f>IF(OR(B3589="",C3589=""),"",IFERROR(E3589*IF(E3589="",0,VLOOKUP(C3589,'📦 Precios Proforma'!$B$5:$D$104,IF(D3589="DIA",2,3),FALSE)),0))</f>
        <v/>
      </c>
      <c r="J3589" s="31" t="str">
        <f t="shared" si="386"/>
        <v/>
      </c>
      <c r="K3589" s="31" t="str">
        <f t="shared" si="387"/>
        <v/>
      </c>
      <c r="L3589" s="31" t="str">
        <f>IF(OR(B3589="",C3589=""),"",IFERROR(E3589 / SUMIFS('📅 Resumen Diario'!$D$5:$D$504, '📅 Resumen Diario'!$B$5:$B$504, B3589, '📅 Resumen Diario'!$C$5:$C$504, D3589) * SUMIFS('📅 Resumen Diario'!$K$5:$K$504, '📅 Resumen Diario'!$B$5:$B$504, B3589, '📅 Resumen Diario'!$C$5:$C$504, D3589), 0))</f>
        <v/>
      </c>
      <c r="M3589" s="31" t="str">
        <f t="shared" si="388"/>
        <v/>
      </c>
      <c r="N3589" s="31" t="str">
        <f t="shared" si="389"/>
        <v/>
      </c>
      <c r="O3589" s="31" t="str">
        <f>IF(OR(B3589="",C3589=""),"",K3589-N3589 + IFERROR(E3589 / SUMIFS('📅 Resumen Diario'!$D$5:$D$504, '📅 Resumen Diario'!$B$5:$B$504, B3589, '📅 Resumen Diario'!$C$5:$C$504, D3589) * (SUMIFS('📋 Detalle Diario'!$E$5:$E$489, '📋 Detalle Diario'!$B$5:$B$489, B3589, '📋 Detalle Diario'!$C$5:$C$489, D3589) * 135 + SUMIFS('📋 Detalle Diario'!$I$5:$I$489, '📋 Detalle Diario'!$B$5:$B$489, B3589, '📋 Detalle Diario'!$C$5:$C$489, D3589) * 200), 0))</f>
        <v/>
      </c>
      <c r="P3589" s="32" t="str">
        <f t="shared" si="390"/>
        <v/>
      </c>
      <c r="Q3589" s="33" t="str">
        <f t="shared" si="391"/>
        <v/>
      </c>
    </row>
    <row r="3590" spans="2:17" ht="18" customHeight="1" x14ac:dyDescent="0.3">
      <c r="B3590" s="26"/>
      <c r="C3590" s="17"/>
      <c r="D3590" s="27"/>
      <c r="E3590" s="18"/>
      <c r="F3590" s="18"/>
      <c r="G3590" s="18"/>
      <c r="H3590" s="30" t="str">
        <f t="shared" si="385"/>
        <v/>
      </c>
      <c r="I3590" s="31" t="str">
        <f>IF(OR(B3590="",C3590=""),"",IFERROR(E3590*IF(E3590="",0,VLOOKUP(C3590,'📦 Precios Proforma'!$B$5:$D$104,IF(D3590="DIA",2,3),FALSE)),0))</f>
        <v/>
      </c>
      <c r="J3590" s="31" t="str">
        <f t="shared" si="386"/>
        <v/>
      </c>
      <c r="K3590" s="31" t="str">
        <f t="shared" si="387"/>
        <v/>
      </c>
      <c r="L3590" s="31" t="str">
        <f>IF(OR(B3590="",C3590=""),"",IFERROR(E3590 / SUMIFS('📅 Resumen Diario'!$D$5:$D$504, '📅 Resumen Diario'!$B$5:$B$504, B3590, '📅 Resumen Diario'!$C$5:$C$504, D3590) * SUMIFS('📅 Resumen Diario'!$K$5:$K$504, '📅 Resumen Diario'!$B$5:$B$504, B3590, '📅 Resumen Diario'!$C$5:$C$504, D3590), 0))</f>
        <v/>
      </c>
      <c r="M3590" s="31" t="str">
        <f t="shared" si="388"/>
        <v/>
      </c>
      <c r="N3590" s="31" t="str">
        <f t="shared" si="389"/>
        <v/>
      </c>
      <c r="O3590" s="31" t="str">
        <f>IF(OR(B3590="",C3590=""),"",K3590-N3590 + IFERROR(E3590 / SUMIFS('📅 Resumen Diario'!$D$5:$D$504, '📅 Resumen Diario'!$B$5:$B$504, B3590, '📅 Resumen Diario'!$C$5:$C$504, D3590) * (SUMIFS('📋 Detalle Diario'!$E$5:$E$489, '📋 Detalle Diario'!$B$5:$B$489, B3590, '📋 Detalle Diario'!$C$5:$C$489, D3590) * 135 + SUMIFS('📋 Detalle Diario'!$I$5:$I$489, '📋 Detalle Diario'!$B$5:$B$489, B3590, '📋 Detalle Diario'!$C$5:$C$489, D3590) * 200), 0))</f>
        <v/>
      </c>
      <c r="P3590" s="32" t="str">
        <f t="shared" si="390"/>
        <v/>
      </c>
      <c r="Q3590" s="33" t="str">
        <f t="shared" si="391"/>
        <v/>
      </c>
    </row>
    <row r="3591" spans="2:17" ht="18" customHeight="1" x14ac:dyDescent="0.3">
      <c r="B3591" s="26"/>
      <c r="C3591" s="28"/>
      <c r="D3591" s="27"/>
      <c r="E3591" s="29"/>
      <c r="F3591" s="29"/>
      <c r="G3591" s="29"/>
      <c r="H3591" s="30" t="str">
        <f t="shared" ref="H3591:H3654" si="392">IF(OR(B3591="",C3591=""),"",F3591+G3591)</f>
        <v/>
      </c>
      <c r="I3591" s="31" t="str">
        <f>IF(OR(B3591="",C3591=""),"",IFERROR(E3591*IF(E3591="",0,VLOOKUP(C3591,'📦 Precios Proforma'!$B$5:$D$104,IF(D3591="DIA",2,3),FALSE)),0))</f>
        <v/>
      </c>
      <c r="J3591" s="31" t="str">
        <f t="shared" ref="J3591:J3654" si="393">IF(OR(B3591="",C3591=""),"",IF(D3591="DIA",H3591*1.01,H3591*1.35))</f>
        <v/>
      </c>
      <c r="K3591" s="31" t="str">
        <f t="shared" ref="K3591:K3654" si="394">IF(OR(B3591="",C3591=""),"",I3591+J3591)</f>
        <v/>
      </c>
      <c r="L3591" s="31" t="str">
        <f>IF(OR(B3591="",C3591=""),"",IFERROR(E3591 / SUMIFS('📅 Resumen Diario'!$D$5:$D$504, '📅 Resumen Diario'!$B$5:$B$504, B3591, '📅 Resumen Diario'!$C$5:$C$504, D3591) * SUMIFS('📅 Resumen Diario'!$K$5:$K$504, '📅 Resumen Diario'!$B$5:$B$504, B3591, '📅 Resumen Diario'!$C$5:$C$504, D3591), 0))</f>
        <v/>
      </c>
      <c r="M3591" s="31" t="str">
        <f t="shared" ref="M3591:M3654" si="395">IF(OR(B3591="",C3591=""),"",H3591*0.09)</f>
        <v/>
      </c>
      <c r="N3591" s="31" t="str">
        <f t="shared" ref="N3591:N3654" si="396">IF(OR(B3591="",C3591=""),"",L3591+M3591)</f>
        <v/>
      </c>
      <c r="O3591" s="31" t="str">
        <f>IF(OR(B3591="",C3591=""),"",K3591-N3591 + IFERROR(E3591 / SUMIFS('📅 Resumen Diario'!$D$5:$D$504, '📅 Resumen Diario'!$B$5:$B$504, B3591, '📅 Resumen Diario'!$C$5:$C$504, D3591) * (SUMIFS('📋 Detalle Diario'!$E$5:$E$489, '📋 Detalle Diario'!$B$5:$B$489, B3591, '📋 Detalle Diario'!$C$5:$C$489, D3591) * 135 + SUMIFS('📋 Detalle Diario'!$I$5:$I$489, '📋 Detalle Diario'!$B$5:$B$489, B3591, '📋 Detalle Diario'!$C$5:$C$489, D3591) * 200), 0))</f>
        <v/>
      </c>
      <c r="P3591" s="32" t="str">
        <f t="shared" ref="P3591:P3654" si="397">IF(OR(B3591="",C3591=""),"",IF(K3591=0, 0, O3591/K3591))</f>
        <v/>
      </c>
      <c r="Q3591" s="33" t="str">
        <f t="shared" ref="Q3591:Q3654" si="398">IF(B3591="","",IF(ISNUMBER(B3591),YEAR(B3591)&amp;"-"&amp;IF(MONTH(B3591)&lt;10,"0","")&amp;MONTH(B3591),LEFT(B3591,7)))</f>
        <v/>
      </c>
    </row>
    <row r="3592" spans="2:17" ht="18" customHeight="1" x14ac:dyDescent="0.3">
      <c r="B3592" s="26"/>
      <c r="C3592" s="17"/>
      <c r="D3592" s="27"/>
      <c r="E3592" s="18"/>
      <c r="F3592" s="18"/>
      <c r="G3592" s="18"/>
      <c r="H3592" s="30" t="str">
        <f t="shared" si="392"/>
        <v/>
      </c>
      <c r="I3592" s="31" t="str">
        <f>IF(OR(B3592="",C3592=""),"",IFERROR(E3592*IF(E3592="",0,VLOOKUP(C3592,'📦 Precios Proforma'!$B$5:$D$104,IF(D3592="DIA",2,3),FALSE)),0))</f>
        <v/>
      </c>
      <c r="J3592" s="31" t="str">
        <f t="shared" si="393"/>
        <v/>
      </c>
      <c r="K3592" s="31" t="str">
        <f t="shared" si="394"/>
        <v/>
      </c>
      <c r="L3592" s="31" t="str">
        <f>IF(OR(B3592="",C3592=""),"",IFERROR(E3592 / SUMIFS('📅 Resumen Diario'!$D$5:$D$504, '📅 Resumen Diario'!$B$5:$B$504, B3592, '📅 Resumen Diario'!$C$5:$C$504, D3592) * SUMIFS('📅 Resumen Diario'!$K$5:$K$504, '📅 Resumen Diario'!$B$5:$B$504, B3592, '📅 Resumen Diario'!$C$5:$C$504, D3592), 0))</f>
        <v/>
      </c>
      <c r="M3592" s="31" t="str">
        <f t="shared" si="395"/>
        <v/>
      </c>
      <c r="N3592" s="31" t="str">
        <f t="shared" si="396"/>
        <v/>
      </c>
      <c r="O3592" s="31" t="str">
        <f>IF(OR(B3592="",C3592=""),"",K3592-N3592 + IFERROR(E3592 / SUMIFS('📅 Resumen Diario'!$D$5:$D$504, '📅 Resumen Diario'!$B$5:$B$504, B3592, '📅 Resumen Diario'!$C$5:$C$504, D3592) * (SUMIFS('📋 Detalle Diario'!$E$5:$E$489, '📋 Detalle Diario'!$B$5:$B$489, B3592, '📋 Detalle Diario'!$C$5:$C$489, D3592) * 135 + SUMIFS('📋 Detalle Diario'!$I$5:$I$489, '📋 Detalle Diario'!$B$5:$B$489, B3592, '📋 Detalle Diario'!$C$5:$C$489, D3592) * 200), 0))</f>
        <v/>
      </c>
      <c r="P3592" s="32" t="str">
        <f t="shared" si="397"/>
        <v/>
      </c>
      <c r="Q3592" s="33" t="str">
        <f t="shared" si="398"/>
        <v/>
      </c>
    </row>
    <row r="3593" spans="2:17" ht="18" customHeight="1" x14ac:dyDescent="0.3">
      <c r="B3593" s="26"/>
      <c r="C3593" s="28"/>
      <c r="D3593" s="27"/>
      <c r="E3593" s="29"/>
      <c r="F3593" s="29"/>
      <c r="G3593" s="29"/>
      <c r="H3593" s="30" t="str">
        <f t="shared" si="392"/>
        <v/>
      </c>
      <c r="I3593" s="31" t="str">
        <f>IF(OR(B3593="",C3593=""),"",IFERROR(E3593*IF(E3593="",0,VLOOKUP(C3593,'📦 Precios Proforma'!$B$5:$D$104,IF(D3593="DIA",2,3),FALSE)),0))</f>
        <v/>
      </c>
      <c r="J3593" s="31" t="str">
        <f t="shared" si="393"/>
        <v/>
      </c>
      <c r="K3593" s="31" t="str">
        <f t="shared" si="394"/>
        <v/>
      </c>
      <c r="L3593" s="31" t="str">
        <f>IF(OR(B3593="",C3593=""),"",IFERROR(E3593 / SUMIFS('📅 Resumen Diario'!$D$5:$D$504, '📅 Resumen Diario'!$B$5:$B$504, B3593, '📅 Resumen Diario'!$C$5:$C$504, D3593) * SUMIFS('📅 Resumen Diario'!$K$5:$K$504, '📅 Resumen Diario'!$B$5:$B$504, B3593, '📅 Resumen Diario'!$C$5:$C$504, D3593), 0))</f>
        <v/>
      </c>
      <c r="M3593" s="31" t="str">
        <f t="shared" si="395"/>
        <v/>
      </c>
      <c r="N3593" s="31" t="str">
        <f t="shared" si="396"/>
        <v/>
      </c>
      <c r="O3593" s="31" t="str">
        <f>IF(OR(B3593="",C3593=""),"",K3593-N3593 + IFERROR(E3593 / SUMIFS('📅 Resumen Diario'!$D$5:$D$504, '📅 Resumen Diario'!$B$5:$B$504, B3593, '📅 Resumen Diario'!$C$5:$C$504, D3593) * (SUMIFS('📋 Detalle Diario'!$E$5:$E$489, '📋 Detalle Diario'!$B$5:$B$489, B3593, '📋 Detalle Diario'!$C$5:$C$489, D3593) * 135 + SUMIFS('📋 Detalle Diario'!$I$5:$I$489, '📋 Detalle Diario'!$B$5:$B$489, B3593, '📋 Detalle Diario'!$C$5:$C$489, D3593) * 200), 0))</f>
        <v/>
      </c>
      <c r="P3593" s="32" t="str">
        <f t="shared" si="397"/>
        <v/>
      </c>
      <c r="Q3593" s="33" t="str">
        <f t="shared" si="398"/>
        <v/>
      </c>
    </row>
    <row r="3594" spans="2:17" ht="18" customHeight="1" x14ac:dyDescent="0.3">
      <c r="B3594" s="26"/>
      <c r="C3594" s="17"/>
      <c r="D3594" s="27"/>
      <c r="E3594" s="18"/>
      <c r="F3594" s="18"/>
      <c r="G3594" s="18"/>
      <c r="H3594" s="30" t="str">
        <f t="shared" si="392"/>
        <v/>
      </c>
      <c r="I3594" s="31" t="str">
        <f>IF(OR(B3594="",C3594=""),"",IFERROR(E3594*IF(E3594="",0,VLOOKUP(C3594,'📦 Precios Proforma'!$B$5:$D$104,IF(D3594="DIA",2,3),FALSE)),0))</f>
        <v/>
      </c>
      <c r="J3594" s="31" t="str">
        <f t="shared" si="393"/>
        <v/>
      </c>
      <c r="K3594" s="31" t="str">
        <f t="shared" si="394"/>
        <v/>
      </c>
      <c r="L3594" s="31" t="str">
        <f>IF(OR(B3594="",C3594=""),"",IFERROR(E3594 / SUMIFS('📅 Resumen Diario'!$D$5:$D$504, '📅 Resumen Diario'!$B$5:$B$504, B3594, '📅 Resumen Diario'!$C$5:$C$504, D3594) * SUMIFS('📅 Resumen Diario'!$K$5:$K$504, '📅 Resumen Diario'!$B$5:$B$504, B3594, '📅 Resumen Diario'!$C$5:$C$504, D3594), 0))</f>
        <v/>
      </c>
      <c r="M3594" s="31" t="str">
        <f t="shared" si="395"/>
        <v/>
      </c>
      <c r="N3594" s="31" t="str">
        <f t="shared" si="396"/>
        <v/>
      </c>
      <c r="O3594" s="31" t="str">
        <f>IF(OR(B3594="",C3594=""),"",K3594-N3594 + IFERROR(E3594 / SUMIFS('📅 Resumen Diario'!$D$5:$D$504, '📅 Resumen Diario'!$B$5:$B$504, B3594, '📅 Resumen Diario'!$C$5:$C$504, D3594) * (SUMIFS('📋 Detalle Diario'!$E$5:$E$489, '📋 Detalle Diario'!$B$5:$B$489, B3594, '📋 Detalle Diario'!$C$5:$C$489, D3594) * 135 + SUMIFS('📋 Detalle Diario'!$I$5:$I$489, '📋 Detalle Diario'!$B$5:$B$489, B3594, '📋 Detalle Diario'!$C$5:$C$489, D3594) * 200), 0))</f>
        <v/>
      </c>
      <c r="P3594" s="32" t="str">
        <f t="shared" si="397"/>
        <v/>
      </c>
      <c r="Q3594" s="33" t="str">
        <f t="shared" si="398"/>
        <v/>
      </c>
    </row>
    <row r="3595" spans="2:17" ht="18" customHeight="1" x14ac:dyDescent="0.3">
      <c r="B3595" s="26"/>
      <c r="C3595" s="28"/>
      <c r="D3595" s="27"/>
      <c r="E3595" s="29"/>
      <c r="F3595" s="29"/>
      <c r="G3595" s="29"/>
      <c r="H3595" s="30" t="str">
        <f t="shared" si="392"/>
        <v/>
      </c>
      <c r="I3595" s="31" t="str">
        <f>IF(OR(B3595="",C3595=""),"",IFERROR(E3595*IF(E3595="",0,VLOOKUP(C3595,'📦 Precios Proforma'!$B$5:$D$104,IF(D3595="DIA",2,3),FALSE)),0))</f>
        <v/>
      </c>
      <c r="J3595" s="31" t="str">
        <f t="shared" si="393"/>
        <v/>
      </c>
      <c r="K3595" s="31" t="str">
        <f t="shared" si="394"/>
        <v/>
      </c>
      <c r="L3595" s="31" t="str">
        <f>IF(OR(B3595="",C3595=""),"",IFERROR(E3595 / SUMIFS('📅 Resumen Diario'!$D$5:$D$504, '📅 Resumen Diario'!$B$5:$B$504, B3595, '📅 Resumen Diario'!$C$5:$C$504, D3595) * SUMIFS('📅 Resumen Diario'!$K$5:$K$504, '📅 Resumen Diario'!$B$5:$B$504, B3595, '📅 Resumen Diario'!$C$5:$C$504, D3595), 0))</f>
        <v/>
      </c>
      <c r="M3595" s="31" t="str">
        <f t="shared" si="395"/>
        <v/>
      </c>
      <c r="N3595" s="31" t="str">
        <f t="shared" si="396"/>
        <v/>
      </c>
      <c r="O3595" s="31" t="str">
        <f>IF(OR(B3595="",C3595=""),"",K3595-N3595 + IFERROR(E3595 / SUMIFS('📅 Resumen Diario'!$D$5:$D$504, '📅 Resumen Diario'!$B$5:$B$504, B3595, '📅 Resumen Diario'!$C$5:$C$504, D3595) * (SUMIFS('📋 Detalle Diario'!$E$5:$E$489, '📋 Detalle Diario'!$B$5:$B$489, B3595, '📋 Detalle Diario'!$C$5:$C$489, D3595) * 135 + SUMIFS('📋 Detalle Diario'!$I$5:$I$489, '📋 Detalle Diario'!$B$5:$B$489, B3595, '📋 Detalle Diario'!$C$5:$C$489, D3595) * 200), 0))</f>
        <v/>
      </c>
      <c r="P3595" s="32" t="str">
        <f t="shared" si="397"/>
        <v/>
      </c>
      <c r="Q3595" s="33" t="str">
        <f t="shared" si="398"/>
        <v/>
      </c>
    </row>
    <row r="3596" spans="2:17" ht="18" customHeight="1" x14ac:dyDescent="0.3">
      <c r="B3596" s="26"/>
      <c r="C3596" s="17"/>
      <c r="D3596" s="27"/>
      <c r="E3596" s="18"/>
      <c r="F3596" s="18"/>
      <c r="G3596" s="18"/>
      <c r="H3596" s="30" t="str">
        <f t="shared" si="392"/>
        <v/>
      </c>
      <c r="I3596" s="31" t="str">
        <f>IF(OR(B3596="",C3596=""),"",IFERROR(E3596*IF(E3596="",0,VLOOKUP(C3596,'📦 Precios Proforma'!$B$5:$D$104,IF(D3596="DIA",2,3),FALSE)),0))</f>
        <v/>
      </c>
      <c r="J3596" s="31" t="str">
        <f t="shared" si="393"/>
        <v/>
      </c>
      <c r="K3596" s="31" t="str">
        <f t="shared" si="394"/>
        <v/>
      </c>
      <c r="L3596" s="31" t="str">
        <f>IF(OR(B3596="",C3596=""),"",IFERROR(E3596 / SUMIFS('📅 Resumen Diario'!$D$5:$D$504, '📅 Resumen Diario'!$B$5:$B$504, B3596, '📅 Resumen Diario'!$C$5:$C$504, D3596) * SUMIFS('📅 Resumen Diario'!$K$5:$K$504, '📅 Resumen Diario'!$B$5:$B$504, B3596, '📅 Resumen Diario'!$C$5:$C$504, D3596), 0))</f>
        <v/>
      </c>
      <c r="M3596" s="31" t="str">
        <f t="shared" si="395"/>
        <v/>
      </c>
      <c r="N3596" s="31" t="str">
        <f t="shared" si="396"/>
        <v/>
      </c>
      <c r="O3596" s="31" t="str">
        <f>IF(OR(B3596="",C3596=""),"",K3596-N3596 + IFERROR(E3596 / SUMIFS('📅 Resumen Diario'!$D$5:$D$504, '📅 Resumen Diario'!$B$5:$B$504, B3596, '📅 Resumen Diario'!$C$5:$C$504, D3596) * (SUMIFS('📋 Detalle Diario'!$E$5:$E$489, '📋 Detalle Diario'!$B$5:$B$489, B3596, '📋 Detalle Diario'!$C$5:$C$489, D3596) * 135 + SUMIFS('📋 Detalle Diario'!$I$5:$I$489, '📋 Detalle Diario'!$B$5:$B$489, B3596, '📋 Detalle Diario'!$C$5:$C$489, D3596) * 200), 0))</f>
        <v/>
      </c>
      <c r="P3596" s="32" t="str">
        <f t="shared" si="397"/>
        <v/>
      </c>
      <c r="Q3596" s="33" t="str">
        <f t="shared" si="398"/>
        <v/>
      </c>
    </row>
    <row r="3597" spans="2:17" ht="18" customHeight="1" x14ac:dyDescent="0.3">
      <c r="B3597" s="26"/>
      <c r="C3597" s="28"/>
      <c r="D3597" s="27"/>
      <c r="E3597" s="29"/>
      <c r="F3597" s="29"/>
      <c r="G3597" s="29"/>
      <c r="H3597" s="30" t="str">
        <f t="shared" si="392"/>
        <v/>
      </c>
      <c r="I3597" s="31" t="str">
        <f>IF(OR(B3597="",C3597=""),"",IFERROR(E3597*IF(E3597="",0,VLOOKUP(C3597,'📦 Precios Proforma'!$B$5:$D$104,IF(D3597="DIA",2,3),FALSE)),0))</f>
        <v/>
      </c>
      <c r="J3597" s="31" t="str">
        <f t="shared" si="393"/>
        <v/>
      </c>
      <c r="K3597" s="31" t="str">
        <f t="shared" si="394"/>
        <v/>
      </c>
      <c r="L3597" s="31" t="str">
        <f>IF(OR(B3597="",C3597=""),"",IFERROR(E3597 / SUMIFS('📅 Resumen Diario'!$D$5:$D$504, '📅 Resumen Diario'!$B$5:$B$504, B3597, '📅 Resumen Diario'!$C$5:$C$504, D3597) * SUMIFS('📅 Resumen Diario'!$K$5:$K$504, '📅 Resumen Diario'!$B$5:$B$504, B3597, '📅 Resumen Diario'!$C$5:$C$504, D3597), 0))</f>
        <v/>
      </c>
      <c r="M3597" s="31" t="str">
        <f t="shared" si="395"/>
        <v/>
      </c>
      <c r="N3597" s="31" t="str">
        <f t="shared" si="396"/>
        <v/>
      </c>
      <c r="O3597" s="31" t="str">
        <f>IF(OR(B3597="",C3597=""),"",K3597-N3597 + IFERROR(E3597 / SUMIFS('📅 Resumen Diario'!$D$5:$D$504, '📅 Resumen Diario'!$B$5:$B$504, B3597, '📅 Resumen Diario'!$C$5:$C$504, D3597) * (SUMIFS('📋 Detalle Diario'!$E$5:$E$489, '📋 Detalle Diario'!$B$5:$B$489, B3597, '📋 Detalle Diario'!$C$5:$C$489, D3597) * 135 + SUMIFS('📋 Detalle Diario'!$I$5:$I$489, '📋 Detalle Diario'!$B$5:$B$489, B3597, '📋 Detalle Diario'!$C$5:$C$489, D3597) * 200), 0))</f>
        <v/>
      </c>
      <c r="P3597" s="32" t="str">
        <f t="shared" si="397"/>
        <v/>
      </c>
      <c r="Q3597" s="33" t="str">
        <f t="shared" si="398"/>
        <v/>
      </c>
    </row>
    <row r="3598" spans="2:17" ht="18" customHeight="1" x14ac:dyDescent="0.3">
      <c r="B3598" s="26"/>
      <c r="C3598" s="17"/>
      <c r="D3598" s="27"/>
      <c r="E3598" s="18"/>
      <c r="F3598" s="18"/>
      <c r="G3598" s="18"/>
      <c r="H3598" s="30" t="str">
        <f t="shared" si="392"/>
        <v/>
      </c>
      <c r="I3598" s="31" t="str">
        <f>IF(OR(B3598="",C3598=""),"",IFERROR(E3598*IF(E3598="",0,VLOOKUP(C3598,'📦 Precios Proforma'!$B$5:$D$104,IF(D3598="DIA",2,3),FALSE)),0))</f>
        <v/>
      </c>
      <c r="J3598" s="31" t="str">
        <f t="shared" si="393"/>
        <v/>
      </c>
      <c r="K3598" s="31" t="str">
        <f t="shared" si="394"/>
        <v/>
      </c>
      <c r="L3598" s="31" t="str">
        <f>IF(OR(B3598="",C3598=""),"",IFERROR(E3598 / SUMIFS('📅 Resumen Diario'!$D$5:$D$504, '📅 Resumen Diario'!$B$5:$B$504, B3598, '📅 Resumen Diario'!$C$5:$C$504, D3598) * SUMIFS('📅 Resumen Diario'!$K$5:$K$504, '📅 Resumen Diario'!$B$5:$B$504, B3598, '📅 Resumen Diario'!$C$5:$C$504, D3598), 0))</f>
        <v/>
      </c>
      <c r="M3598" s="31" t="str">
        <f t="shared" si="395"/>
        <v/>
      </c>
      <c r="N3598" s="31" t="str">
        <f t="shared" si="396"/>
        <v/>
      </c>
      <c r="O3598" s="31" t="str">
        <f>IF(OR(B3598="",C3598=""),"",K3598-N3598 + IFERROR(E3598 / SUMIFS('📅 Resumen Diario'!$D$5:$D$504, '📅 Resumen Diario'!$B$5:$B$504, B3598, '📅 Resumen Diario'!$C$5:$C$504, D3598) * (SUMIFS('📋 Detalle Diario'!$E$5:$E$489, '📋 Detalle Diario'!$B$5:$B$489, B3598, '📋 Detalle Diario'!$C$5:$C$489, D3598) * 135 + SUMIFS('📋 Detalle Diario'!$I$5:$I$489, '📋 Detalle Diario'!$B$5:$B$489, B3598, '📋 Detalle Diario'!$C$5:$C$489, D3598) * 200), 0))</f>
        <v/>
      </c>
      <c r="P3598" s="32" t="str">
        <f t="shared" si="397"/>
        <v/>
      </c>
      <c r="Q3598" s="33" t="str">
        <f t="shared" si="398"/>
        <v/>
      </c>
    </row>
    <row r="3599" spans="2:17" ht="18" customHeight="1" x14ac:dyDescent="0.3">
      <c r="B3599" s="26"/>
      <c r="C3599" s="28"/>
      <c r="D3599" s="27"/>
      <c r="E3599" s="29"/>
      <c r="F3599" s="29"/>
      <c r="G3599" s="29"/>
      <c r="H3599" s="30" t="str">
        <f t="shared" si="392"/>
        <v/>
      </c>
      <c r="I3599" s="31" t="str">
        <f>IF(OR(B3599="",C3599=""),"",IFERROR(E3599*IF(E3599="",0,VLOOKUP(C3599,'📦 Precios Proforma'!$B$5:$D$104,IF(D3599="DIA",2,3),FALSE)),0))</f>
        <v/>
      </c>
      <c r="J3599" s="31" t="str">
        <f t="shared" si="393"/>
        <v/>
      </c>
      <c r="K3599" s="31" t="str">
        <f t="shared" si="394"/>
        <v/>
      </c>
      <c r="L3599" s="31" t="str">
        <f>IF(OR(B3599="",C3599=""),"",IFERROR(E3599 / SUMIFS('📅 Resumen Diario'!$D$5:$D$504, '📅 Resumen Diario'!$B$5:$B$504, B3599, '📅 Resumen Diario'!$C$5:$C$504, D3599) * SUMIFS('📅 Resumen Diario'!$K$5:$K$504, '📅 Resumen Diario'!$B$5:$B$504, B3599, '📅 Resumen Diario'!$C$5:$C$504, D3599), 0))</f>
        <v/>
      </c>
      <c r="M3599" s="31" t="str">
        <f t="shared" si="395"/>
        <v/>
      </c>
      <c r="N3599" s="31" t="str">
        <f t="shared" si="396"/>
        <v/>
      </c>
      <c r="O3599" s="31" t="str">
        <f>IF(OR(B3599="",C3599=""),"",K3599-N3599 + IFERROR(E3599 / SUMIFS('📅 Resumen Diario'!$D$5:$D$504, '📅 Resumen Diario'!$B$5:$B$504, B3599, '📅 Resumen Diario'!$C$5:$C$504, D3599) * (SUMIFS('📋 Detalle Diario'!$E$5:$E$489, '📋 Detalle Diario'!$B$5:$B$489, B3599, '📋 Detalle Diario'!$C$5:$C$489, D3599) * 135 + SUMIFS('📋 Detalle Diario'!$I$5:$I$489, '📋 Detalle Diario'!$B$5:$B$489, B3599, '📋 Detalle Diario'!$C$5:$C$489, D3599) * 200), 0))</f>
        <v/>
      </c>
      <c r="P3599" s="32" t="str">
        <f t="shared" si="397"/>
        <v/>
      </c>
      <c r="Q3599" s="33" t="str">
        <f t="shared" si="398"/>
        <v/>
      </c>
    </row>
    <row r="3600" spans="2:17" ht="18" customHeight="1" x14ac:dyDescent="0.3">
      <c r="B3600" s="26"/>
      <c r="C3600" s="17"/>
      <c r="D3600" s="27"/>
      <c r="E3600" s="18"/>
      <c r="F3600" s="18"/>
      <c r="G3600" s="18"/>
      <c r="H3600" s="30" t="str">
        <f t="shared" si="392"/>
        <v/>
      </c>
      <c r="I3600" s="31" t="str">
        <f>IF(OR(B3600="",C3600=""),"",IFERROR(E3600*IF(E3600="",0,VLOOKUP(C3600,'📦 Precios Proforma'!$B$5:$D$104,IF(D3600="DIA",2,3),FALSE)),0))</f>
        <v/>
      </c>
      <c r="J3600" s="31" t="str">
        <f t="shared" si="393"/>
        <v/>
      </c>
      <c r="K3600" s="31" t="str">
        <f t="shared" si="394"/>
        <v/>
      </c>
      <c r="L3600" s="31" t="str">
        <f>IF(OR(B3600="",C3600=""),"",IFERROR(E3600 / SUMIFS('📅 Resumen Diario'!$D$5:$D$504, '📅 Resumen Diario'!$B$5:$B$504, B3600, '📅 Resumen Diario'!$C$5:$C$504, D3600) * SUMIFS('📅 Resumen Diario'!$K$5:$K$504, '📅 Resumen Diario'!$B$5:$B$504, B3600, '📅 Resumen Diario'!$C$5:$C$504, D3600), 0))</f>
        <v/>
      </c>
      <c r="M3600" s="31" t="str">
        <f t="shared" si="395"/>
        <v/>
      </c>
      <c r="N3600" s="31" t="str">
        <f t="shared" si="396"/>
        <v/>
      </c>
      <c r="O3600" s="31" t="str">
        <f>IF(OR(B3600="",C3600=""),"",K3600-N3600 + IFERROR(E3600 / SUMIFS('📅 Resumen Diario'!$D$5:$D$504, '📅 Resumen Diario'!$B$5:$B$504, B3600, '📅 Resumen Diario'!$C$5:$C$504, D3600) * (SUMIFS('📋 Detalle Diario'!$E$5:$E$489, '📋 Detalle Diario'!$B$5:$B$489, B3600, '📋 Detalle Diario'!$C$5:$C$489, D3600) * 135 + SUMIFS('📋 Detalle Diario'!$I$5:$I$489, '📋 Detalle Diario'!$B$5:$B$489, B3600, '📋 Detalle Diario'!$C$5:$C$489, D3600) * 200), 0))</f>
        <v/>
      </c>
      <c r="P3600" s="32" t="str">
        <f t="shared" si="397"/>
        <v/>
      </c>
      <c r="Q3600" s="33" t="str">
        <f t="shared" si="398"/>
        <v/>
      </c>
    </row>
    <row r="3601" spans="2:17" ht="18" customHeight="1" x14ac:dyDescent="0.3">
      <c r="B3601" s="26"/>
      <c r="C3601" s="28"/>
      <c r="D3601" s="27"/>
      <c r="E3601" s="29"/>
      <c r="F3601" s="29"/>
      <c r="G3601" s="29"/>
      <c r="H3601" s="30" t="str">
        <f t="shared" si="392"/>
        <v/>
      </c>
      <c r="I3601" s="31" t="str">
        <f>IF(OR(B3601="",C3601=""),"",IFERROR(E3601*IF(E3601="",0,VLOOKUP(C3601,'📦 Precios Proforma'!$B$5:$D$104,IF(D3601="DIA",2,3),FALSE)),0))</f>
        <v/>
      </c>
      <c r="J3601" s="31" t="str">
        <f t="shared" si="393"/>
        <v/>
      </c>
      <c r="K3601" s="31" t="str">
        <f t="shared" si="394"/>
        <v/>
      </c>
      <c r="L3601" s="31" t="str">
        <f>IF(OR(B3601="",C3601=""),"",IFERROR(E3601 / SUMIFS('📅 Resumen Diario'!$D$5:$D$504, '📅 Resumen Diario'!$B$5:$B$504, B3601, '📅 Resumen Diario'!$C$5:$C$504, D3601) * SUMIFS('📅 Resumen Diario'!$K$5:$K$504, '📅 Resumen Diario'!$B$5:$B$504, B3601, '📅 Resumen Diario'!$C$5:$C$504, D3601), 0))</f>
        <v/>
      </c>
      <c r="M3601" s="31" t="str">
        <f t="shared" si="395"/>
        <v/>
      </c>
      <c r="N3601" s="31" t="str">
        <f t="shared" si="396"/>
        <v/>
      </c>
      <c r="O3601" s="31" t="str">
        <f>IF(OR(B3601="",C3601=""),"",K3601-N3601 + IFERROR(E3601 / SUMIFS('📅 Resumen Diario'!$D$5:$D$504, '📅 Resumen Diario'!$B$5:$B$504, B3601, '📅 Resumen Diario'!$C$5:$C$504, D3601) * (SUMIFS('📋 Detalle Diario'!$E$5:$E$489, '📋 Detalle Diario'!$B$5:$B$489, B3601, '📋 Detalle Diario'!$C$5:$C$489, D3601) * 135 + SUMIFS('📋 Detalle Diario'!$I$5:$I$489, '📋 Detalle Diario'!$B$5:$B$489, B3601, '📋 Detalle Diario'!$C$5:$C$489, D3601) * 200), 0))</f>
        <v/>
      </c>
      <c r="P3601" s="32" t="str">
        <f t="shared" si="397"/>
        <v/>
      </c>
      <c r="Q3601" s="33" t="str">
        <f t="shared" si="398"/>
        <v/>
      </c>
    </row>
    <row r="3602" spans="2:17" ht="18" customHeight="1" x14ac:dyDescent="0.3">
      <c r="B3602" s="26"/>
      <c r="C3602" s="17"/>
      <c r="D3602" s="27"/>
      <c r="E3602" s="18"/>
      <c r="F3602" s="18"/>
      <c r="G3602" s="18"/>
      <c r="H3602" s="30" t="str">
        <f t="shared" si="392"/>
        <v/>
      </c>
      <c r="I3602" s="31" t="str">
        <f>IF(OR(B3602="",C3602=""),"",IFERROR(E3602*IF(E3602="",0,VLOOKUP(C3602,'📦 Precios Proforma'!$B$5:$D$104,IF(D3602="DIA",2,3),FALSE)),0))</f>
        <v/>
      </c>
      <c r="J3602" s="31" t="str">
        <f t="shared" si="393"/>
        <v/>
      </c>
      <c r="K3602" s="31" t="str">
        <f t="shared" si="394"/>
        <v/>
      </c>
      <c r="L3602" s="31" t="str">
        <f>IF(OR(B3602="",C3602=""),"",IFERROR(E3602 / SUMIFS('📅 Resumen Diario'!$D$5:$D$504, '📅 Resumen Diario'!$B$5:$B$504, B3602, '📅 Resumen Diario'!$C$5:$C$504, D3602) * SUMIFS('📅 Resumen Diario'!$K$5:$K$504, '📅 Resumen Diario'!$B$5:$B$504, B3602, '📅 Resumen Diario'!$C$5:$C$504, D3602), 0))</f>
        <v/>
      </c>
      <c r="M3602" s="31" t="str">
        <f t="shared" si="395"/>
        <v/>
      </c>
      <c r="N3602" s="31" t="str">
        <f t="shared" si="396"/>
        <v/>
      </c>
      <c r="O3602" s="31" t="str">
        <f>IF(OR(B3602="",C3602=""),"",K3602-N3602 + IFERROR(E3602 / SUMIFS('📅 Resumen Diario'!$D$5:$D$504, '📅 Resumen Diario'!$B$5:$B$504, B3602, '📅 Resumen Diario'!$C$5:$C$504, D3602) * (SUMIFS('📋 Detalle Diario'!$E$5:$E$489, '📋 Detalle Diario'!$B$5:$B$489, B3602, '📋 Detalle Diario'!$C$5:$C$489, D3602) * 135 + SUMIFS('📋 Detalle Diario'!$I$5:$I$489, '📋 Detalle Diario'!$B$5:$B$489, B3602, '📋 Detalle Diario'!$C$5:$C$489, D3602) * 200), 0))</f>
        <v/>
      </c>
      <c r="P3602" s="32" t="str">
        <f t="shared" si="397"/>
        <v/>
      </c>
      <c r="Q3602" s="33" t="str">
        <f t="shared" si="398"/>
        <v/>
      </c>
    </row>
    <row r="3603" spans="2:17" ht="18" customHeight="1" x14ac:dyDescent="0.3">
      <c r="B3603" s="26"/>
      <c r="C3603" s="28"/>
      <c r="D3603" s="27"/>
      <c r="E3603" s="29"/>
      <c r="F3603" s="29"/>
      <c r="G3603" s="29"/>
      <c r="H3603" s="30" t="str">
        <f t="shared" si="392"/>
        <v/>
      </c>
      <c r="I3603" s="31" t="str">
        <f>IF(OR(B3603="",C3603=""),"",IFERROR(E3603*IF(E3603="",0,VLOOKUP(C3603,'📦 Precios Proforma'!$B$5:$D$104,IF(D3603="DIA",2,3),FALSE)),0))</f>
        <v/>
      </c>
      <c r="J3603" s="31" t="str">
        <f t="shared" si="393"/>
        <v/>
      </c>
      <c r="K3603" s="31" t="str">
        <f t="shared" si="394"/>
        <v/>
      </c>
      <c r="L3603" s="31" t="str">
        <f>IF(OR(B3603="",C3603=""),"",IFERROR(E3603 / SUMIFS('📅 Resumen Diario'!$D$5:$D$504, '📅 Resumen Diario'!$B$5:$B$504, B3603, '📅 Resumen Diario'!$C$5:$C$504, D3603) * SUMIFS('📅 Resumen Diario'!$K$5:$K$504, '📅 Resumen Diario'!$B$5:$B$504, B3603, '📅 Resumen Diario'!$C$5:$C$504, D3603), 0))</f>
        <v/>
      </c>
      <c r="M3603" s="31" t="str">
        <f t="shared" si="395"/>
        <v/>
      </c>
      <c r="N3603" s="31" t="str">
        <f t="shared" si="396"/>
        <v/>
      </c>
      <c r="O3603" s="31" t="str">
        <f>IF(OR(B3603="",C3603=""),"",K3603-N3603 + IFERROR(E3603 / SUMIFS('📅 Resumen Diario'!$D$5:$D$504, '📅 Resumen Diario'!$B$5:$B$504, B3603, '📅 Resumen Diario'!$C$5:$C$504, D3603) * (SUMIFS('📋 Detalle Diario'!$E$5:$E$489, '📋 Detalle Diario'!$B$5:$B$489, B3603, '📋 Detalle Diario'!$C$5:$C$489, D3603) * 135 + SUMIFS('📋 Detalle Diario'!$I$5:$I$489, '📋 Detalle Diario'!$B$5:$B$489, B3603, '📋 Detalle Diario'!$C$5:$C$489, D3603) * 200), 0))</f>
        <v/>
      </c>
      <c r="P3603" s="32" t="str">
        <f t="shared" si="397"/>
        <v/>
      </c>
      <c r="Q3603" s="33" t="str">
        <f t="shared" si="398"/>
        <v/>
      </c>
    </row>
    <row r="3604" spans="2:17" ht="18" customHeight="1" x14ac:dyDescent="0.3">
      <c r="B3604" s="26"/>
      <c r="C3604" s="17"/>
      <c r="D3604" s="27"/>
      <c r="E3604" s="18"/>
      <c r="F3604" s="18"/>
      <c r="G3604" s="18"/>
      <c r="H3604" s="30" t="str">
        <f t="shared" si="392"/>
        <v/>
      </c>
      <c r="I3604" s="31" t="str">
        <f>IF(OR(B3604="",C3604=""),"",IFERROR(E3604*IF(E3604="",0,VLOOKUP(C3604,'📦 Precios Proforma'!$B$5:$D$104,IF(D3604="DIA",2,3),FALSE)),0))</f>
        <v/>
      </c>
      <c r="J3604" s="31" t="str">
        <f t="shared" si="393"/>
        <v/>
      </c>
      <c r="K3604" s="31" t="str">
        <f t="shared" si="394"/>
        <v/>
      </c>
      <c r="L3604" s="31" t="str">
        <f>IF(OR(B3604="",C3604=""),"",IFERROR(E3604 / SUMIFS('📅 Resumen Diario'!$D$5:$D$504, '📅 Resumen Diario'!$B$5:$B$504, B3604, '📅 Resumen Diario'!$C$5:$C$504, D3604) * SUMIFS('📅 Resumen Diario'!$K$5:$K$504, '📅 Resumen Diario'!$B$5:$B$504, B3604, '📅 Resumen Diario'!$C$5:$C$504, D3604), 0))</f>
        <v/>
      </c>
      <c r="M3604" s="31" t="str">
        <f t="shared" si="395"/>
        <v/>
      </c>
      <c r="N3604" s="31" t="str">
        <f t="shared" si="396"/>
        <v/>
      </c>
      <c r="O3604" s="31" t="str">
        <f>IF(OR(B3604="",C3604=""),"",K3604-N3604 + IFERROR(E3604 / SUMIFS('📅 Resumen Diario'!$D$5:$D$504, '📅 Resumen Diario'!$B$5:$B$504, B3604, '📅 Resumen Diario'!$C$5:$C$504, D3604) * (SUMIFS('📋 Detalle Diario'!$E$5:$E$489, '📋 Detalle Diario'!$B$5:$B$489, B3604, '📋 Detalle Diario'!$C$5:$C$489, D3604) * 135 + SUMIFS('📋 Detalle Diario'!$I$5:$I$489, '📋 Detalle Diario'!$B$5:$B$489, B3604, '📋 Detalle Diario'!$C$5:$C$489, D3604) * 200), 0))</f>
        <v/>
      </c>
      <c r="P3604" s="32" t="str">
        <f t="shared" si="397"/>
        <v/>
      </c>
      <c r="Q3604" s="33" t="str">
        <f t="shared" si="398"/>
        <v/>
      </c>
    </row>
    <row r="3605" spans="2:17" ht="18" customHeight="1" x14ac:dyDescent="0.3">
      <c r="B3605" s="26"/>
      <c r="C3605" s="28"/>
      <c r="D3605" s="27"/>
      <c r="E3605" s="29"/>
      <c r="F3605" s="29"/>
      <c r="G3605" s="29"/>
      <c r="H3605" s="30" t="str">
        <f t="shared" si="392"/>
        <v/>
      </c>
      <c r="I3605" s="31" t="str">
        <f>IF(OR(B3605="",C3605=""),"",IFERROR(E3605*IF(E3605="",0,VLOOKUP(C3605,'📦 Precios Proforma'!$B$5:$D$104,IF(D3605="DIA",2,3),FALSE)),0))</f>
        <v/>
      </c>
      <c r="J3605" s="31" t="str">
        <f t="shared" si="393"/>
        <v/>
      </c>
      <c r="K3605" s="31" t="str">
        <f t="shared" si="394"/>
        <v/>
      </c>
      <c r="L3605" s="31" t="str">
        <f>IF(OR(B3605="",C3605=""),"",IFERROR(E3605 / SUMIFS('📅 Resumen Diario'!$D$5:$D$504, '📅 Resumen Diario'!$B$5:$B$504, B3605, '📅 Resumen Diario'!$C$5:$C$504, D3605) * SUMIFS('📅 Resumen Diario'!$K$5:$K$504, '📅 Resumen Diario'!$B$5:$B$504, B3605, '📅 Resumen Diario'!$C$5:$C$504, D3605), 0))</f>
        <v/>
      </c>
      <c r="M3605" s="31" t="str">
        <f t="shared" si="395"/>
        <v/>
      </c>
      <c r="N3605" s="31" t="str">
        <f t="shared" si="396"/>
        <v/>
      </c>
      <c r="O3605" s="31" t="str">
        <f>IF(OR(B3605="",C3605=""),"",K3605-N3605 + IFERROR(E3605 / SUMIFS('📅 Resumen Diario'!$D$5:$D$504, '📅 Resumen Diario'!$B$5:$B$504, B3605, '📅 Resumen Diario'!$C$5:$C$504, D3605) * (SUMIFS('📋 Detalle Diario'!$E$5:$E$489, '📋 Detalle Diario'!$B$5:$B$489, B3605, '📋 Detalle Diario'!$C$5:$C$489, D3605) * 135 + SUMIFS('📋 Detalle Diario'!$I$5:$I$489, '📋 Detalle Diario'!$B$5:$B$489, B3605, '📋 Detalle Diario'!$C$5:$C$489, D3605) * 200), 0))</f>
        <v/>
      </c>
      <c r="P3605" s="32" t="str">
        <f t="shared" si="397"/>
        <v/>
      </c>
      <c r="Q3605" s="33" t="str">
        <f t="shared" si="398"/>
        <v/>
      </c>
    </row>
    <row r="3606" spans="2:17" ht="18" customHeight="1" x14ac:dyDescent="0.3">
      <c r="B3606" s="26"/>
      <c r="C3606" s="17"/>
      <c r="D3606" s="27"/>
      <c r="E3606" s="18"/>
      <c r="F3606" s="18"/>
      <c r="G3606" s="18"/>
      <c r="H3606" s="30" t="str">
        <f t="shared" si="392"/>
        <v/>
      </c>
      <c r="I3606" s="31" t="str">
        <f>IF(OR(B3606="",C3606=""),"",IFERROR(E3606*IF(E3606="",0,VLOOKUP(C3606,'📦 Precios Proforma'!$B$5:$D$104,IF(D3606="DIA",2,3),FALSE)),0))</f>
        <v/>
      </c>
      <c r="J3606" s="31" t="str">
        <f t="shared" si="393"/>
        <v/>
      </c>
      <c r="K3606" s="31" t="str">
        <f t="shared" si="394"/>
        <v/>
      </c>
      <c r="L3606" s="31" t="str">
        <f>IF(OR(B3606="",C3606=""),"",IFERROR(E3606 / SUMIFS('📅 Resumen Diario'!$D$5:$D$504, '📅 Resumen Diario'!$B$5:$B$504, B3606, '📅 Resumen Diario'!$C$5:$C$504, D3606) * SUMIFS('📅 Resumen Diario'!$K$5:$K$504, '📅 Resumen Diario'!$B$5:$B$504, B3606, '📅 Resumen Diario'!$C$5:$C$504, D3606), 0))</f>
        <v/>
      </c>
      <c r="M3606" s="31" t="str">
        <f t="shared" si="395"/>
        <v/>
      </c>
      <c r="N3606" s="31" t="str">
        <f t="shared" si="396"/>
        <v/>
      </c>
      <c r="O3606" s="31" t="str">
        <f>IF(OR(B3606="",C3606=""),"",K3606-N3606 + IFERROR(E3606 / SUMIFS('📅 Resumen Diario'!$D$5:$D$504, '📅 Resumen Diario'!$B$5:$B$504, B3606, '📅 Resumen Diario'!$C$5:$C$504, D3606) * (SUMIFS('📋 Detalle Diario'!$E$5:$E$489, '📋 Detalle Diario'!$B$5:$B$489, B3606, '📋 Detalle Diario'!$C$5:$C$489, D3606) * 135 + SUMIFS('📋 Detalle Diario'!$I$5:$I$489, '📋 Detalle Diario'!$B$5:$B$489, B3606, '📋 Detalle Diario'!$C$5:$C$489, D3606) * 200), 0))</f>
        <v/>
      </c>
      <c r="P3606" s="32" t="str">
        <f t="shared" si="397"/>
        <v/>
      </c>
      <c r="Q3606" s="33" t="str">
        <f t="shared" si="398"/>
        <v/>
      </c>
    </row>
    <row r="3607" spans="2:17" ht="18" customHeight="1" x14ac:dyDescent="0.3">
      <c r="B3607" s="26"/>
      <c r="C3607" s="28"/>
      <c r="D3607" s="27"/>
      <c r="E3607" s="29"/>
      <c r="F3607" s="29"/>
      <c r="G3607" s="29"/>
      <c r="H3607" s="30" t="str">
        <f t="shared" si="392"/>
        <v/>
      </c>
      <c r="I3607" s="31" t="str">
        <f>IF(OR(B3607="",C3607=""),"",IFERROR(E3607*IF(E3607="",0,VLOOKUP(C3607,'📦 Precios Proforma'!$B$5:$D$104,IF(D3607="DIA",2,3),FALSE)),0))</f>
        <v/>
      </c>
      <c r="J3607" s="31" t="str">
        <f t="shared" si="393"/>
        <v/>
      </c>
      <c r="K3607" s="31" t="str">
        <f t="shared" si="394"/>
        <v/>
      </c>
      <c r="L3607" s="31" t="str">
        <f>IF(OR(B3607="",C3607=""),"",IFERROR(E3607 / SUMIFS('📅 Resumen Diario'!$D$5:$D$504, '📅 Resumen Diario'!$B$5:$B$504, B3607, '📅 Resumen Diario'!$C$5:$C$504, D3607) * SUMIFS('📅 Resumen Diario'!$K$5:$K$504, '📅 Resumen Diario'!$B$5:$B$504, B3607, '📅 Resumen Diario'!$C$5:$C$504, D3607), 0))</f>
        <v/>
      </c>
      <c r="M3607" s="31" t="str">
        <f t="shared" si="395"/>
        <v/>
      </c>
      <c r="N3607" s="31" t="str">
        <f t="shared" si="396"/>
        <v/>
      </c>
      <c r="O3607" s="31" t="str">
        <f>IF(OR(B3607="",C3607=""),"",K3607-N3607 + IFERROR(E3607 / SUMIFS('📅 Resumen Diario'!$D$5:$D$504, '📅 Resumen Diario'!$B$5:$B$504, B3607, '📅 Resumen Diario'!$C$5:$C$504, D3607) * (SUMIFS('📋 Detalle Diario'!$E$5:$E$489, '📋 Detalle Diario'!$B$5:$B$489, B3607, '📋 Detalle Diario'!$C$5:$C$489, D3607) * 135 + SUMIFS('📋 Detalle Diario'!$I$5:$I$489, '📋 Detalle Diario'!$B$5:$B$489, B3607, '📋 Detalle Diario'!$C$5:$C$489, D3607) * 200), 0))</f>
        <v/>
      </c>
      <c r="P3607" s="32" t="str">
        <f t="shared" si="397"/>
        <v/>
      </c>
      <c r="Q3607" s="33" t="str">
        <f t="shared" si="398"/>
        <v/>
      </c>
    </row>
    <row r="3608" spans="2:17" ht="18" customHeight="1" x14ac:dyDescent="0.3">
      <c r="B3608" s="26"/>
      <c r="C3608" s="17"/>
      <c r="D3608" s="27"/>
      <c r="E3608" s="18"/>
      <c r="F3608" s="18"/>
      <c r="G3608" s="18"/>
      <c r="H3608" s="30" t="str">
        <f t="shared" si="392"/>
        <v/>
      </c>
      <c r="I3608" s="31" t="str">
        <f>IF(OR(B3608="",C3608=""),"",IFERROR(E3608*IF(E3608="",0,VLOOKUP(C3608,'📦 Precios Proforma'!$B$5:$D$104,IF(D3608="DIA",2,3),FALSE)),0))</f>
        <v/>
      </c>
      <c r="J3608" s="31" t="str">
        <f t="shared" si="393"/>
        <v/>
      </c>
      <c r="K3608" s="31" t="str">
        <f t="shared" si="394"/>
        <v/>
      </c>
      <c r="L3608" s="31" t="str">
        <f>IF(OR(B3608="",C3608=""),"",IFERROR(E3608 / SUMIFS('📅 Resumen Diario'!$D$5:$D$504, '📅 Resumen Diario'!$B$5:$B$504, B3608, '📅 Resumen Diario'!$C$5:$C$504, D3608) * SUMIFS('📅 Resumen Diario'!$K$5:$K$504, '📅 Resumen Diario'!$B$5:$B$504, B3608, '📅 Resumen Diario'!$C$5:$C$504, D3608), 0))</f>
        <v/>
      </c>
      <c r="M3608" s="31" t="str">
        <f t="shared" si="395"/>
        <v/>
      </c>
      <c r="N3608" s="31" t="str">
        <f t="shared" si="396"/>
        <v/>
      </c>
      <c r="O3608" s="31" t="str">
        <f>IF(OR(B3608="",C3608=""),"",K3608-N3608 + IFERROR(E3608 / SUMIFS('📅 Resumen Diario'!$D$5:$D$504, '📅 Resumen Diario'!$B$5:$B$504, B3608, '📅 Resumen Diario'!$C$5:$C$504, D3608) * (SUMIFS('📋 Detalle Diario'!$E$5:$E$489, '📋 Detalle Diario'!$B$5:$B$489, B3608, '📋 Detalle Diario'!$C$5:$C$489, D3608) * 135 + SUMIFS('📋 Detalle Diario'!$I$5:$I$489, '📋 Detalle Diario'!$B$5:$B$489, B3608, '📋 Detalle Diario'!$C$5:$C$489, D3608) * 200), 0))</f>
        <v/>
      </c>
      <c r="P3608" s="32" t="str">
        <f t="shared" si="397"/>
        <v/>
      </c>
      <c r="Q3608" s="33" t="str">
        <f t="shared" si="398"/>
        <v/>
      </c>
    </row>
    <row r="3609" spans="2:17" ht="18" customHeight="1" x14ac:dyDescent="0.3">
      <c r="B3609" s="26"/>
      <c r="C3609" s="28"/>
      <c r="D3609" s="27"/>
      <c r="E3609" s="29"/>
      <c r="F3609" s="29"/>
      <c r="G3609" s="29"/>
      <c r="H3609" s="30" t="str">
        <f t="shared" si="392"/>
        <v/>
      </c>
      <c r="I3609" s="31" t="str">
        <f>IF(OR(B3609="",C3609=""),"",IFERROR(E3609*IF(E3609="",0,VLOOKUP(C3609,'📦 Precios Proforma'!$B$5:$D$104,IF(D3609="DIA",2,3),FALSE)),0))</f>
        <v/>
      </c>
      <c r="J3609" s="31" t="str">
        <f t="shared" si="393"/>
        <v/>
      </c>
      <c r="K3609" s="31" t="str">
        <f t="shared" si="394"/>
        <v/>
      </c>
      <c r="L3609" s="31" t="str">
        <f>IF(OR(B3609="",C3609=""),"",IFERROR(E3609 / SUMIFS('📅 Resumen Diario'!$D$5:$D$504, '📅 Resumen Diario'!$B$5:$B$504, B3609, '📅 Resumen Diario'!$C$5:$C$504, D3609) * SUMIFS('📅 Resumen Diario'!$K$5:$K$504, '📅 Resumen Diario'!$B$5:$B$504, B3609, '📅 Resumen Diario'!$C$5:$C$504, D3609), 0))</f>
        <v/>
      </c>
      <c r="M3609" s="31" t="str">
        <f t="shared" si="395"/>
        <v/>
      </c>
      <c r="N3609" s="31" t="str">
        <f t="shared" si="396"/>
        <v/>
      </c>
      <c r="O3609" s="31" t="str">
        <f>IF(OR(B3609="",C3609=""),"",K3609-N3609 + IFERROR(E3609 / SUMIFS('📅 Resumen Diario'!$D$5:$D$504, '📅 Resumen Diario'!$B$5:$B$504, B3609, '📅 Resumen Diario'!$C$5:$C$504, D3609) * (SUMIFS('📋 Detalle Diario'!$E$5:$E$489, '📋 Detalle Diario'!$B$5:$B$489, B3609, '📋 Detalle Diario'!$C$5:$C$489, D3609) * 135 + SUMIFS('📋 Detalle Diario'!$I$5:$I$489, '📋 Detalle Diario'!$B$5:$B$489, B3609, '📋 Detalle Diario'!$C$5:$C$489, D3609) * 200), 0))</f>
        <v/>
      </c>
      <c r="P3609" s="32" t="str">
        <f t="shared" si="397"/>
        <v/>
      </c>
      <c r="Q3609" s="33" t="str">
        <f t="shared" si="398"/>
        <v/>
      </c>
    </row>
    <row r="3610" spans="2:17" ht="18" customHeight="1" x14ac:dyDescent="0.3">
      <c r="B3610" s="26"/>
      <c r="C3610" s="17"/>
      <c r="D3610" s="27"/>
      <c r="E3610" s="18"/>
      <c r="F3610" s="18"/>
      <c r="G3610" s="18"/>
      <c r="H3610" s="30" t="str">
        <f t="shared" si="392"/>
        <v/>
      </c>
      <c r="I3610" s="31" t="str">
        <f>IF(OR(B3610="",C3610=""),"",IFERROR(E3610*IF(E3610="",0,VLOOKUP(C3610,'📦 Precios Proforma'!$B$5:$D$104,IF(D3610="DIA",2,3),FALSE)),0))</f>
        <v/>
      </c>
      <c r="J3610" s="31" t="str">
        <f t="shared" si="393"/>
        <v/>
      </c>
      <c r="K3610" s="31" t="str">
        <f t="shared" si="394"/>
        <v/>
      </c>
      <c r="L3610" s="31" t="str">
        <f>IF(OR(B3610="",C3610=""),"",IFERROR(E3610 / SUMIFS('📅 Resumen Diario'!$D$5:$D$504, '📅 Resumen Diario'!$B$5:$B$504, B3610, '📅 Resumen Diario'!$C$5:$C$504, D3610) * SUMIFS('📅 Resumen Diario'!$K$5:$K$504, '📅 Resumen Diario'!$B$5:$B$504, B3610, '📅 Resumen Diario'!$C$5:$C$504, D3610), 0))</f>
        <v/>
      </c>
      <c r="M3610" s="31" t="str">
        <f t="shared" si="395"/>
        <v/>
      </c>
      <c r="N3610" s="31" t="str">
        <f t="shared" si="396"/>
        <v/>
      </c>
      <c r="O3610" s="31" t="str">
        <f>IF(OR(B3610="",C3610=""),"",K3610-N3610 + IFERROR(E3610 / SUMIFS('📅 Resumen Diario'!$D$5:$D$504, '📅 Resumen Diario'!$B$5:$B$504, B3610, '📅 Resumen Diario'!$C$5:$C$504, D3610) * (SUMIFS('📋 Detalle Diario'!$E$5:$E$489, '📋 Detalle Diario'!$B$5:$B$489, B3610, '📋 Detalle Diario'!$C$5:$C$489, D3610) * 135 + SUMIFS('📋 Detalle Diario'!$I$5:$I$489, '📋 Detalle Diario'!$B$5:$B$489, B3610, '📋 Detalle Diario'!$C$5:$C$489, D3610) * 200), 0))</f>
        <v/>
      </c>
      <c r="P3610" s="32" t="str">
        <f t="shared" si="397"/>
        <v/>
      </c>
      <c r="Q3610" s="33" t="str">
        <f t="shared" si="398"/>
        <v/>
      </c>
    </row>
    <row r="3611" spans="2:17" ht="18" customHeight="1" x14ac:dyDescent="0.3">
      <c r="B3611" s="26"/>
      <c r="C3611" s="28"/>
      <c r="D3611" s="27"/>
      <c r="E3611" s="29"/>
      <c r="F3611" s="29"/>
      <c r="G3611" s="29"/>
      <c r="H3611" s="30" t="str">
        <f t="shared" si="392"/>
        <v/>
      </c>
      <c r="I3611" s="31" t="str">
        <f>IF(OR(B3611="",C3611=""),"",IFERROR(E3611*IF(E3611="",0,VLOOKUP(C3611,'📦 Precios Proforma'!$B$5:$D$104,IF(D3611="DIA",2,3),FALSE)),0))</f>
        <v/>
      </c>
      <c r="J3611" s="31" t="str">
        <f t="shared" si="393"/>
        <v/>
      </c>
      <c r="K3611" s="31" t="str">
        <f t="shared" si="394"/>
        <v/>
      </c>
      <c r="L3611" s="31" t="str">
        <f>IF(OR(B3611="",C3611=""),"",IFERROR(E3611 / SUMIFS('📅 Resumen Diario'!$D$5:$D$504, '📅 Resumen Diario'!$B$5:$B$504, B3611, '📅 Resumen Diario'!$C$5:$C$504, D3611) * SUMIFS('📅 Resumen Diario'!$K$5:$K$504, '📅 Resumen Diario'!$B$5:$B$504, B3611, '📅 Resumen Diario'!$C$5:$C$504, D3611), 0))</f>
        <v/>
      </c>
      <c r="M3611" s="31" t="str">
        <f t="shared" si="395"/>
        <v/>
      </c>
      <c r="N3611" s="31" t="str">
        <f t="shared" si="396"/>
        <v/>
      </c>
      <c r="O3611" s="31" t="str">
        <f>IF(OR(B3611="",C3611=""),"",K3611-N3611 + IFERROR(E3611 / SUMIFS('📅 Resumen Diario'!$D$5:$D$504, '📅 Resumen Diario'!$B$5:$B$504, B3611, '📅 Resumen Diario'!$C$5:$C$504, D3611) * (SUMIFS('📋 Detalle Diario'!$E$5:$E$489, '📋 Detalle Diario'!$B$5:$B$489, B3611, '📋 Detalle Diario'!$C$5:$C$489, D3611) * 135 + SUMIFS('📋 Detalle Diario'!$I$5:$I$489, '📋 Detalle Diario'!$B$5:$B$489, B3611, '📋 Detalle Diario'!$C$5:$C$489, D3611) * 200), 0))</f>
        <v/>
      </c>
      <c r="P3611" s="32" t="str">
        <f t="shared" si="397"/>
        <v/>
      </c>
      <c r="Q3611" s="33" t="str">
        <f t="shared" si="398"/>
        <v/>
      </c>
    </row>
    <row r="3612" spans="2:17" ht="18" customHeight="1" x14ac:dyDescent="0.3">
      <c r="B3612" s="26"/>
      <c r="C3612" s="17"/>
      <c r="D3612" s="27"/>
      <c r="E3612" s="18"/>
      <c r="F3612" s="18"/>
      <c r="G3612" s="18"/>
      <c r="H3612" s="30" t="str">
        <f t="shared" si="392"/>
        <v/>
      </c>
      <c r="I3612" s="31" t="str">
        <f>IF(OR(B3612="",C3612=""),"",IFERROR(E3612*IF(E3612="",0,VLOOKUP(C3612,'📦 Precios Proforma'!$B$5:$D$104,IF(D3612="DIA",2,3),FALSE)),0))</f>
        <v/>
      </c>
      <c r="J3612" s="31" t="str">
        <f t="shared" si="393"/>
        <v/>
      </c>
      <c r="K3612" s="31" t="str">
        <f t="shared" si="394"/>
        <v/>
      </c>
      <c r="L3612" s="31" t="str">
        <f>IF(OR(B3612="",C3612=""),"",IFERROR(E3612 / SUMIFS('📅 Resumen Diario'!$D$5:$D$504, '📅 Resumen Diario'!$B$5:$B$504, B3612, '📅 Resumen Diario'!$C$5:$C$504, D3612) * SUMIFS('📅 Resumen Diario'!$K$5:$K$504, '📅 Resumen Diario'!$B$5:$B$504, B3612, '📅 Resumen Diario'!$C$5:$C$504, D3612), 0))</f>
        <v/>
      </c>
      <c r="M3612" s="31" t="str">
        <f t="shared" si="395"/>
        <v/>
      </c>
      <c r="N3612" s="31" t="str">
        <f t="shared" si="396"/>
        <v/>
      </c>
      <c r="O3612" s="31" t="str">
        <f>IF(OR(B3612="",C3612=""),"",K3612-N3612 + IFERROR(E3612 / SUMIFS('📅 Resumen Diario'!$D$5:$D$504, '📅 Resumen Diario'!$B$5:$B$504, B3612, '📅 Resumen Diario'!$C$5:$C$504, D3612) * (SUMIFS('📋 Detalle Diario'!$E$5:$E$489, '📋 Detalle Diario'!$B$5:$B$489, B3612, '📋 Detalle Diario'!$C$5:$C$489, D3612) * 135 + SUMIFS('📋 Detalle Diario'!$I$5:$I$489, '📋 Detalle Diario'!$B$5:$B$489, B3612, '📋 Detalle Diario'!$C$5:$C$489, D3612) * 200), 0))</f>
        <v/>
      </c>
      <c r="P3612" s="32" t="str">
        <f t="shared" si="397"/>
        <v/>
      </c>
      <c r="Q3612" s="33" t="str">
        <f t="shared" si="398"/>
        <v/>
      </c>
    </row>
    <row r="3613" spans="2:17" ht="18" customHeight="1" x14ac:dyDescent="0.3">
      <c r="B3613" s="26"/>
      <c r="C3613" s="28"/>
      <c r="D3613" s="27"/>
      <c r="E3613" s="29"/>
      <c r="F3613" s="29"/>
      <c r="G3613" s="29"/>
      <c r="H3613" s="30" t="str">
        <f t="shared" si="392"/>
        <v/>
      </c>
      <c r="I3613" s="31" t="str">
        <f>IF(OR(B3613="",C3613=""),"",IFERROR(E3613*IF(E3613="",0,VLOOKUP(C3613,'📦 Precios Proforma'!$B$5:$D$104,IF(D3613="DIA",2,3),FALSE)),0))</f>
        <v/>
      </c>
      <c r="J3613" s="31" t="str">
        <f t="shared" si="393"/>
        <v/>
      </c>
      <c r="K3613" s="31" t="str">
        <f t="shared" si="394"/>
        <v/>
      </c>
      <c r="L3613" s="31" t="str">
        <f>IF(OR(B3613="",C3613=""),"",IFERROR(E3613 / SUMIFS('📅 Resumen Diario'!$D$5:$D$504, '📅 Resumen Diario'!$B$5:$B$504, B3613, '📅 Resumen Diario'!$C$5:$C$504, D3613) * SUMIFS('📅 Resumen Diario'!$K$5:$K$504, '📅 Resumen Diario'!$B$5:$B$504, B3613, '📅 Resumen Diario'!$C$5:$C$504, D3613), 0))</f>
        <v/>
      </c>
      <c r="M3613" s="31" t="str">
        <f t="shared" si="395"/>
        <v/>
      </c>
      <c r="N3613" s="31" t="str">
        <f t="shared" si="396"/>
        <v/>
      </c>
      <c r="O3613" s="31" t="str">
        <f>IF(OR(B3613="",C3613=""),"",K3613-N3613 + IFERROR(E3613 / SUMIFS('📅 Resumen Diario'!$D$5:$D$504, '📅 Resumen Diario'!$B$5:$B$504, B3613, '📅 Resumen Diario'!$C$5:$C$504, D3613) * (SUMIFS('📋 Detalle Diario'!$E$5:$E$489, '📋 Detalle Diario'!$B$5:$B$489, B3613, '📋 Detalle Diario'!$C$5:$C$489, D3613) * 135 + SUMIFS('📋 Detalle Diario'!$I$5:$I$489, '📋 Detalle Diario'!$B$5:$B$489, B3613, '📋 Detalle Diario'!$C$5:$C$489, D3613) * 200), 0))</f>
        <v/>
      </c>
      <c r="P3613" s="32" t="str">
        <f t="shared" si="397"/>
        <v/>
      </c>
      <c r="Q3613" s="33" t="str">
        <f t="shared" si="398"/>
        <v/>
      </c>
    </row>
    <row r="3614" spans="2:17" ht="18" customHeight="1" x14ac:dyDescent="0.3">
      <c r="B3614" s="26"/>
      <c r="C3614" s="17"/>
      <c r="D3614" s="27"/>
      <c r="E3614" s="18"/>
      <c r="F3614" s="18"/>
      <c r="G3614" s="18"/>
      <c r="H3614" s="30" t="str">
        <f t="shared" si="392"/>
        <v/>
      </c>
      <c r="I3614" s="31" t="str">
        <f>IF(OR(B3614="",C3614=""),"",IFERROR(E3614*IF(E3614="",0,VLOOKUP(C3614,'📦 Precios Proforma'!$B$5:$D$104,IF(D3614="DIA",2,3),FALSE)),0))</f>
        <v/>
      </c>
      <c r="J3614" s="31" t="str">
        <f t="shared" si="393"/>
        <v/>
      </c>
      <c r="K3614" s="31" t="str">
        <f t="shared" si="394"/>
        <v/>
      </c>
      <c r="L3614" s="31" t="str">
        <f>IF(OR(B3614="",C3614=""),"",IFERROR(E3614 / SUMIFS('📅 Resumen Diario'!$D$5:$D$504, '📅 Resumen Diario'!$B$5:$B$504, B3614, '📅 Resumen Diario'!$C$5:$C$504, D3614) * SUMIFS('📅 Resumen Diario'!$K$5:$K$504, '📅 Resumen Diario'!$B$5:$B$504, B3614, '📅 Resumen Diario'!$C$5:$C$504, D3614), 0))</f>
        <v/>
      </c>
      <c r="M3614" s="31" t="str">
        <f t="shared" si="395"/>
        <v/>
      </c>
      <c r="N3614" s="31" t="str">
        <f t="shared" si="396"/>
        <v/>
      </c>
      <c r="O3614" s="31" t="str">
        <f>IF(OR(B3614="",C3614=""),"",K3614-N3614 + IFERROR(E3614 / SUMIFS('📅 Resumen Diario'!$D$5:$D$504, '📅 Resumen Diario'!$B$5:$B$504, B3614, '📅 Resumen Diario'!$C$5:$C$504, D3614) * (SUMIFS('📋 Detalle Diario'!$E$5:$E$489, '📋 Detalle Diario'!$B$5:$B$489, B3614, '📋 Detalle Diario'!$C$5:$C$489, D3614) * 135 + SUMIFS('📋 Detalle Diario'!$I$5:$I$489, '📋 Detalle Diario'!$B$5:$B$489, B3614, '📋 Detalle Diario'!$C$5:$C$489, D3614) * 200), 0))</f>
        <v/>
      </c>
      <c r="P3614" s="32" t="str">
        <f t="shared" si="397"/>
        <v/>
      </c>
      <c r="Q3614" s="33" t="str">
        <f t="shared" si="398"/>
        <v/>
      </c>
    </row>
    <row r="3615" spans="2:17" ht="18" customHeight="1" x14ac:dyDescent="0.3">
      <c r="B3615" s="26"/>
      <c r="C3615" s="28"/>
      <c r="D3615" s="27"/>
      <c r="E3615" s="29"/>
      <c r="F3615" s="29"/>
      <c r="G3615" s="29"/>
      <c r="H3615" s="30" t="str">
        <f t="shared" si="392"/>
        <v/>
      </c>
      <c r="I3615" s="31" t="str">
        <f>IF(OR(B3615="",C3615=""),"",IFERROR(E3615*IF(E3615="",0,VLOOKUP(C3615,'📦 Precios Proforma'!$B$5:$D$104,IF(D3615="DIA",2,3),FALSE)),0))</f>
        <v/>
      </c>
      <c r="J3615" s="31" t="str">
        <f t="shared" si="393"/>
        <v/>
      </c>
      <c r="K3615" s="31" t="str">
        <f t="shared" si="394"/>
        <v/>
      </c>
      <c r="L3615" s="31" t="str">
        <f>IF(OR(B3615="",C3615=""),"",IFERROR(E3615 / SUMIFS('📅 Resumen Diario'!$D$5:$D$504, '📅 Resumen Diario'!$B$5:$B$504, B3615, '📅 Resumen Diario'!$C$5:$C$504, D3615) * SUMIFS('📅 Resumen Diario'!$K$5:$K$504, '📅 Resumen Diario'!$B$5:$B$504, B3615, '📅 Resumen Diario'!$C$5:$C$504, D3615), 0))</f>
        <v/>
      </c>
      <c r="M3615" s="31" t="str">
        <f t="shared" si="395"/>
        <v/>
      </c>
      <c r="N3615" s="31" t="str">
        <f t="shared" si="396"/>
        <v/>
      </c>
      <c r="O3615" s="31" t="str">
        <f>IF(OR(B3615="",C3615=""),"",K3615-N3615 + IFERROR(E3615 / SUMIFS('📅 Resumen Diario'!$D$5:$D$504, '📅 Resumen Diario'!$B$5:$B$504, B3615, '📅 Resumen Diario'!$C$5:$C$504, D3615) * (SUMIFS('📋 Detalle Diario'!$E$5:$E$489, '📋 Detalle Diario'!$B$5:$B$489, B3615, '📋 Detalle Diario'!$C$5:$C$489, D3615) * 135 + SUMIFS('📋 Detalle Diario'!$I$5:$I$489, '📋 Detalle Diario'!$B$5:$B$489, B3615, '📋 Detalle Diario'!$C$5:$C$489, D3615) * 200), 0))</f>
        <v/>
      </c>
      <c r="P3615" s="32" t="str">
        <f t="shared" si="397"/>
        <v/>
      </c>
      <c r="Q3615" s="33" t="str">
        <f t="shared" si="398"/>
        <v/>
      </c>
    </row>
    <row r="3616" spans="2:17" ht="18" customHeight="1" x14ac:dyDescent="0.3">
      <c r="B3616" s="26"/>
      <c r="C3616" s="17"/>
      <c r="D3616" s="27"/>
      <c r="E3616" s="18"/>
      <c r="F3616" s="18"/>
      <c r="G3616" s="18"/>
      <c r="H3616" s="30" t="str">
        <f t="shared" si="392"/>
        <v/>
      </c>
      <c r="I3616" s="31" t="str">
        <f>IF(OR(B3616="",C3616=""),"",IFERROR(E3616*IF(E3616="",0,VLOOKUP(C3616,'📦 Precios Proforma'!$B$5:$D$104,IF(D3616="DIA",2,3),FALSE)),0))</f>
        <v/>
      </c>
      <c r="J3616" s="31" t="str">
        <f t="shared" si="393"/>
        <v/>
      </c>
      <c r="K3616" s="31" t="str">
        <f t="shared" si="394"/>
        <v/>
      </c>
      <c r="L3616" s="31" t="str">
        <f>IF(OR(B3616="",C3616=""),"",IFERROR(E3616 / SUMIFS('📅 Resumen Diario'!$D$5:$D$504, '📅 Resumen Diario'!$B$5:$B$504, B3616, '📅 Resumen Diario'!$C$5:$C$504, D3616) * SUMIFS('📅 Resumen Diario'!$K$5:$K$504, '📅 Resumen Diario'!$B$5:$B$504, B3616, '📅 Resumen Diario'!$C$5:$C$504, D3616), 0))</f>
        <v/>
      </c>
      <c r="M3616" s="31" t="str">
        <f t="shared" si="395"/>
        <v/>
      </c>
      <c r="N3616" s="31" t="str">
        <f t="shared" si="396"/>
        <v/>
      </c>
      <c r="O3616" s="31" t="str">
        <f>IF(OR(B3616="",C3616=""),"",K3616-N3616 + IFERROR(E3616 / SUMIFS('📅 Resumen Diario'!$D$5:$D$504, '📅 Resumen Diario'!$B$5:$B$504, B3616, '📅 Resumen Diario'!$C$5:$C$504, D3616) * (SUMIFS('📋 Detalle Diario'!$E$5:$E$489, '📋 Detalle Diario'!$B$5:$B$489, B3616, '📋 Detalle Diario'!$C$5:$C$489, D3616) * 135 + SUMIFS('📋 Detalle Diario'!$I$5:$I$489, '📋 Detalle Diario'!$B$5:$B$489, B3616, '📋 Detalle Diario'!$C$5:$C$489, D3616) * 200), 0))</f>
        <v/>
      </c>
      <c r="P3616" s="32" t="str">
        <f t="shared" si="397"/>
        <v/>
      </c>
      <c r="Q3616" s="33" t="str">
        <f t="shared" si="398"/>
        <v/>
      </c>
    </row>
    <row r="3617" spans="2:17" ht="18" customHeight="1" x14ac:dyDescent="0.3">
      <c r="B3617" s="26"/>
      <c r="C3617" s="28"/>
      <c r="D3617" s="27"/>
      <c r="E3617" s="29"/>
      <c r="F3617" s="29"/>
      <c r="G3617" s="29"/>
      <c r="H3617" s="30" t="str">
        <f t="shared" si="392"/>
        <v/>
      </c>
      <c r="I3617" s="31" t="str">
        <f>IF(OR(B3617="",C3617=""),"",IFERROR(E3617*IF(E3617="",0,VLOOKUP(C3617,'📦 Precios Proforma'!$B$5:$D$104,IF(D3617="DIA",2,3),FALSE)),0))</f>
        <v/>
      </c>
      <c r="J3617" s="31" t="str">
        <f t="shared" si="393"/>
        <v/>
      </c>
      <c r="K3617" s="31" t="str">
        <f t="shared" si="394"/>
        <v/>
      </c>
      <c r="L3617" s="31" t="str">
        <f>IF(OR(B3617="",C3617=""),"",IFERROR(E3617 / SUMIFS('📅 Resumen Diario'!$D$5:$D$504, '📅 Resumen Diario'!$B$5:$B$504, B3617, '📅 Resumen Diario'!$C$5:$C$504, D3617) * SUMIFS('📅 Resumen Diario'!$K$5:$K$504, '📅 Resumen Diario'!$B$5:$B$504, B3617, '📅 Resumen Diario'!$C$5:$C$504, D3617), 0))</f>
        <v/>
      </c>
      <c r="M3617" s="31" t="str">
        <f t="shared" si="395"/>
        <v/>
      </c>
      <c r="N3617" s="31" t="str">
        <f t="shared" si="396"/>
        <v/>
      </c>
      <c r="O3617" s="31" t="str">
        <f>IF(OR(B3617="",C3617=""),"",K3617-N3617 + IFERROR(E3617 / SUMIFS('📅 Resumen Diario'!$D$5:$D$504, '📅 Resumen Diario'!$B$5:$B$504, B3617, '📅 Resumen Diario'!$C$5:$C$504, D3617) * (SUMIFS('📋 Detalle Diario'!$E$5:$E$489, '📋 Detalle Diario'!$B$5:$B$489, B3617, '📋 Detalle Diario'!$C$5:$C$489, D3617) * 135 + SUMIFS('📋 Detalle Diario'!$I$5:$I$489, '📋 Detalle Diario'!$B$5:$B$489, B3617, '📋 Detalle Diario'!$C$5:$C$489, D3617) * 200), 0))</f>
        <v/>
      </c>
      <c r="P3617" s="32" t="str">
        <f t="shared" si="397"/>
        <v/>
      </c>
      <c r="Q3617" s="33" t="str">
        <f t="shared" si="398"/>
        <v/>
      </c>
    </row>
    <row r="3618" spans="2:17" ht="18" customHeight="1" x14ac:dyDescent="0.3">
      <c r="B3618" s="26"/>
      <c r="C3618" s="17"/>
      <c r="D3618" s="27"/>
      <c r="E3618" s="18"/>
      <c r="F3618" s="18"/>
      <c r="G3618" s="18"/>
      <c r="H3618" s="30" t="str">
        <f t="shared" si="392"/>
        <v/>
      </c>
      <c r="I3618" s="31" t="str">
        <f>IF(OR(B3618="",C3618=""),"",IFERROR(E3618*IF(E3618="",0,VLOOKUP(C3618,'📦 Precios Proforma'!$B$5:$D$104,IF(D3618="DIA",2,3),FALSE)),0))</f>
        <v/>
      </c>
      <c r="J3618" s="31" t="str">
        <f t="shared" si="393"/>
        <v/>
      </c>
      <c r="K3618" s="31" t="str">
        <f t="shared" si="394"/>
        <v/>
      </c>
      <c r="L3618" s="31" t="str">
        <f>IF(OR(B3618="",C3618=""),"",IFERROR(E3618 / SUMIFS('📅 Resumen Diario'!$D$5:$D$504, '📅 Resumen Diario'!$B$5:$B$504, B3618, '📅 Resumen Diario'!$C$5:$C$504, D3618) * SUMIFS('📅 Resumen Diario'!$K$5:$K$504, '📅 Resumen Diario'!$B$5:$B$504, B3618, '📅 Resumen Diario'!$C$5:$C$504, D3618), 0))</f>
        <v/>
      </c>
      <c r="M3618" s="31" t="str">
        <f t="shared" si="395"/>
        <v/>
      </c>
      <c r="N3618" s="31" t="str">
        <f t="shared" si="396"/>
        <v/>
      </c>
      <c r="O3618" s="31" t="str">
        <f>IF(OR(B3618="",C3618=""),"",K3618-N3618 + IFERROR(E3618 / SUMIFS('📅 Resumen Diario'!$D$5:$D$504, '📅 Resumen Diario'!$B$5:$B$504, B3618, '📅 Resumen Diario'!$C$5:$C$504, D3618) * (SUMIFS('📋 Detalle Diario'!$E$5:$E$489, '📋 Detalle Diario'!$B$5:$B$489, B3618, '📋 Detalle Diario'!$C$5:$C$489, D3618) * 135 + SUMIFS('📋 Detalle Diario'!$I$5:$I$489, '📋 Detalle Diario'!$B$5:$B$489, B3618, '📋 Detalle Diario'!$C$5:$C$489, D3618) * 200), 0))</f>
        <v/>
      </c>
      <c r="P3618" s="32" t="str">
        <f t="shared" si="397"/>
        <v/>
      </c>
      <c r="Q3618" s="33" t="str">
        <f t="shared" si="398"/>
        <v/>
      </c>
    </row>
    <row r="3619" spans="2:17" ht="18" customHeight="1" x14ac:dyDescent="0.3">
      <c r="B3619" s="26"/>
      <c r="C3619" s="28"/>
      <c r="D3619" s="27"/>
      <c r="E3619" s="29"/>
      <c r="F3619" s="29"/>
      <c r="G3619" s="29"/>
      <c r="H3619" s="30" t="str">
        <f t="shared" si="392"/>
        <v/>
      </c>
      <c r="I3619" s="31" t="str">
        <f>IF(OR(B3619="",C3619=""),"",IFERROR(E3619*IF(E3619="",0,VLOOKUP(C3619,'📦 Precios Proforma'!$B$5:$D$104,IF(D3619="DIA",2,3),FALSE)),0))</f>
        <v/>
      </c>
      <c r="J3619" s="31" t="str">
        <f t="shared" si="393"/>
        <v/>
      </c>
      <c r="K3619" s="31" t="str">
        <f t="shared" si="394"/>
        <v/>
      </c>
      <c r="L3619" s="31" t="str">
        <f>IF(OR(B3619="",C3619=""),"",IFERROR(E3619 / SUMIFS('📅 Resumen Diario'!$D$5:$D$504, '📅 Resumen Diario'!$B$5:$B$504, B3619, '📅 Resumen Diario'!$C$5:$C$504, D3619) * SUMIFS('📅 Resumen Diario'!$K$5:$K$504, '📅 Resumen Diario'!$B$5:$B$504, B3619, '📅 Resumen Diario'!$C$5:$C$504, D3619), 0))</f>
        <v/>
      </c>
      <c r="M3619" s="31" t="str">
        <f t="shared" si="395"/>
        <v/>
      </c>
      <c r="N3619" s="31" t="str">
        <f t="shared" si="396"/>
        <v/>
      </c>
      <c r="O3619" s="31" t="str">
        <f>IF(OR(B3619="",C3619=""),"",K3619-N3619 + IFERROR(E3619 / SUMIFS('📅 Resumen Diario'!$D$5:$D$504, '📅 Resumen Diario'!$B$5:$B$504, B3619, '📅 Resumen Diario'!$C$5:$C$504, D3619) * (SUMIFS('📋 Detalle Diario'!$E$5:$E$489, '📋 Detalle Diario'!$B$5:$B$489, B3619, '📋 Detalle Diario'!$C$5:$C$489, D3619) * 135 + SUMIFS('📋 Detalle Diario'!$I$5:$I$489, '📋 Detalle Diario'!$B$5:$B$489, B3619, '📋 Detalle Diario'!$C$5:$C$489, D3619) * 200), 0))</f>
        <v/>
      </c>
      <c r="P3619" s="32" t="str">
        <f t="shared" si="397"/>
        <v/>
      </c>
      <c r="Q3619" s="33" t="str">
        <f t="shared" si="398"/>
        <v/>
      </c>
    </row>
    <row r="3620" spans="2:17" ht="18" customHeight="1" x14ac:dyDescent="0.3">
      <c r="B3620" s="26"/>
      <c r="C3620" s="17"/>
      <c r="D3620" s="27"/>
      <c r="E3620" s="18"/>
      <c r="F3620" s="18"/>
      <c r="G3620" s="18"/>
      <c r="H3620" s="30" t="str">
        <f t="shared" si="392"/>
        <v/>
      </c>
      <c r="I3620" s="31" t="str">
        <f>IF(OR(B3620="",C3620=""),"",IFERROR(E3620*IF(E3620="",0,VLOOKUP(C3620,'📦 Precios Proforma'!$B$5:$D$104,IF(D3620="DIA",2,3),FALSE)),0))</f>
        <v/>
      </c>
      <c r="J3620" s="31" t="str">
        <f t="shared" si="393"/>
        <v/>
      </c>
      <c r="K3620" s="31" t="str">
        <f t="shared" si="394"/>
        <v/>
      </c>
      <c r="L3620" s="31" t="str">
        <f>IF(OR(B3620="",C3620=""),"",IFERROR(E3620 / SUMIFS('📅 Resumen Diario'!$D$5:$D$504, '📅 Resumen Diario'!$B$5:$B$504, B3620, '📅 Resumen Diario'!$C$5:$C$504, D3620) * SUMIFS('📅 Resumen Diario'!$K$5:$K$504, '📅 Resumen Diario'!$B$5:$B$504, B3620, '📅 Resumen Diario'!$C$5:$C$504, D3620), 0))</f>
        <v/>
      </c>
      <c r="M3620" s="31" t="str">
        <f t="shared" si="395"/>
        <v/>
      </c>
      <c r="N3620" s="31" t="str">
        <f t="shared" si="396"/>
        <v/>
      </c>
      <c r="O3620" s="31" t="str">
        <f>IF(OR(B3620="",C3620=""),"",K3620-N3620 + IFERROR(E3620 / SUMIFS('📅 Resumen Diario'!$D$5:$D$504, '📅 Resumen Diario'!$B$5:$B$504, B3620, '📅 Resumen Diario'!$C$5:$C$504, D3620) * (SUMIFS('📋 Detalle Diario'!$E$5:$E$489, '📋 Detalle Diario'!$B$5:$B$489, B3620, '📋 Detalle Diario'!$C$5:$C$489, D3620) * 135 + SUMIFS('📋 Detalle Diario'!$I$5:$I$489, '📋 Detalle Diario'!$B$5:$B$489, B3620, '📋 Detalle Diario'!$C$5:$C$489, D3620) * 200), 0))</f>
        <v/>
      </c>
      <c r="P3620" s="32" t="str">
        <f t="shared" si="397"/>
        <v/>
      </c>
      <c r="Q3620" s="33" t="str">
        <f t="shared" si="398"/>
        <v/>
      </c>
    </row>
    <row r="3621" spans="2:17" ht="18" customHeight="1" x14ac:dyDescent="0.3">
      <c r="B3621" s="26"/>
      <c r="C3621" s="28"/>
      <c r="D3621" s="27"/>
      <c r="E3621" s="29"/>
      <c r="F3621" s="29"/>
      <c r="G3621" s="29"/>
      <c r="H3621" s="30" t="str">
        <f t="shared" si="392"/>
        <v/>
      </c>
      <c r="I3621" s="31" t="str">
        <f>IF(OR(B3621="",C3621=""),"",IFERROR(E3621*IF(E3621="",0,VLOOKUP(C3621,'📦 Precios Proforma'!$B$5:$D$104,IF(D3621="DIA",2,3),FALSE)),0))</f>
        <v/>
      </c>
      <c r="J3621" s="31" t="str">
        <f t="shared" si="393"/>
        <v/>
      </c>
      <c r="K3621" s="31" t="str">
        <f t="shared" si="394"/>
        <v/>
      </c>
      <c r="L3621" s="31" t="str">
        <f>IF(OR(B3621="",C3621=""),"",IFERROR(E3621 / SUMIFS('📅 Resumen Diario'!$D$5:$D$504, '📅 Resumen Diario'!$B$5:$B$504, B3621, '📅 Resumen Diario'!$C$5:$C$504, D3621) * SUMIFS('📅 Resumen Diario'!$K$5:$K$504, '📅 Resumen Diario'!$B$5:$B$504, B3621, '📅 Resumen Diario'!$C$5:$C$504, D3621), 0))</f>
        <v/>
      </c>
      <c r="M3621" s="31" t="str">
        <f t="shared" si="395"/>
        <v/>
      </c>
      <c r="N3621" s="31" t="str">
        <f t="shared" si="396"/>
        <v/>
      </c>
      <c r="O3621" s="31" t="str">
        <f>IF(OR(B3621="",C3621=""),"",K3621-N3621 + IFERROR(E3621 / SUMIFS('📅 Resumen Diario'!$D$5:$D$504, '📅 Resumen Diario'!$B$5:$B$504, B3621, '📅 Resumen Diario'!$C$5:$C$504, D3621) * (SUMIFS('📋 Detalle Diario'!$E$5:$E$489, '📋 Detalle Diario'!$B$5:$B$489, B3621, '📋 Detalle Diario'!$C$5:$C$489, D3621) * 135 + SUMIFS('📋 Detalle Diario'!$I$5:$I$489, '📋 Detalle Diario'!$B$5:$B$489, B3621, '📋 Detalle Diario'!$C$5:$C$489, D3621) * 200), 0))</f>
        <v/>
      </c>
      <c r="P3621" s="32" t="str">
        <f t="shared" si="397"/>
        <v/>
      </c>
      <c r="Q3621" s="33" t="str">
        <f t="shared" si="398"/>
        <v/>
      </c>
    </row>
    <row r="3622" spans="2:17" ht="18" customHeight="1" x14ac:dyDescent="0.3">
      <c r="B3622" s="26"/>
      <c r="C3622" s="17"/>
      <c r="D3622" s="27"/>
      <c r="E3622" s="18"/>
      <c r="F3622" s="18"/>
      <c r="G3622" s="18"/>
      <c r="H3622" s="30" t="str">
        <f t="shared" si="392"/>
        <v/>
      </c>
      <c r="I3622" s="31" t="str">
        <f>IF(OR(B3622="",C3622=""),"",IFERROR(E3622*IF(E3622="",0,VLOOKUP(C3622,'📦 Precios Proforma'!$B$5:$D$104,IF(D3622="DIA",2,3),FALSE)),0))</f>
        <v/>
      </c>
      <c r="J3622" s="31" t="str">
        <f t="shared" si="393"/>
        <v/>
      </c>
      <c r="K3622" s="31" t="str">
        <f t="shared" si="394"/>
        <v/>
      </c>
      <c r="L3622" s="31" t="str">
        <f>IF(OR(B3622="",C3622=""),"",IFERROR(E3622 / SUMIFS('📅 Resumen Diario'!$D$5:$D$504, '📅 Resumen Diario'!$B$5:$B$504, B3622, '📅 Resumen Diario'!$C$5:$C$504, D3622) * SUMIFS('📅 Resumen Diario'!$K$5:$K$504, '📅 Resumen Diario'!$B$5:$B$504, B3622, '📅 Resumen Diario'!$C$5:$C$504, D3622), 0))</f>
        <v/>
      </c>
      <c r="M3622" s="31" t="str">
        <f t="shared" si="395"/>
        <v/>
      </c>
      <c r="N3622" s="31" t="str">
        <f t="shared" si="396"/>
        <v/>
      </c>
      <c r="O3622" s="31" t="str">
        <f>IF(OR(B3622="",C3622=""),"",K3622-N3622 + IFERROR(E3622 / SUMIFS('📅 Resumen Diario'!$D$5:$D$504, '📅 Resumen Diario'!$B$5:$B$504, B3622, '📅 Resumen Diario'!$C$5:$C$504, D3622) * (SUMIFS('📋 Detalle Diario'!$E$5:$E$489, '📋 Detalle Diario'!$B$5:$B$489, B3622, '📋 Detalle Diario'!$C$5:$C$489, D3622) * 135 + SUMIFS('📋 Detalle Diario'!$I$5:$I$489, '📋 Detalle Diario'!$B$5:$B$489, B3622, '📋 Detalle Diario'!$C$5:$C$489, D3622) * 200), 0))</f>
        <v/>
      </c>
      <c r="P3622" s="32" t="str">
        <f t="shared" si="397"/>
        <v/>
      </c>
      <c r="Q3622" s="33" t="str">
        <f t="shared" si="398"/>
        <v/>
      </c>
    </row>
    <row r="3623" spans="2:17" ht="18" customHeight="1" x14ac:dyDescent="0.3">
      <c r="B3623" s="26"/>
      <c r="C3623" s="28"/>
      <c r="D3623" s="27"/>
      <c r="E3623" s="29"/>
      <c r="F3623" s="29"/>
      <c r="G3623" s="29"/>
      <c r="H3623" s="30" t="str">
        <f t="shared" si="392"/>
        <v/>
      </c>
      <c r="I3623" s="31" t="str">
        <f>IF(OR(B3623="",C3623=""),"",IFERROR(E3623*IF(E3623="",0,VLOOKUP(C3623,'📦 Precios Proforma'!$B$5:$D$104,IF(D3623="DIA",2,3),FALSE)),0))</f>
        <v/>
      </c>
      <c r="J3623" s="31" t="str">
        <f t="shared" si="393"/>
        <v/>
      </c>
      <c r="K3623" s="31" t="str">
        <f t="shared" si="394"/>
        <v/>
      </c>
      <c r="L3623" s="31" t="str">
        <f>IF(OR(B3623="",C3623=""),"",IFERROR(E3623 / SUMIFS('📅 Resumen Diario'!$D$5:$D$504, '📅 Resumen Diario'!$B$5:$B$504, B3623, '📅 Resumen Diario'!$C$5:$C$504, D3623) * SUMIFS('📅 Resumen Diario'!$K$5:$K$504, '📅 Resumen Diario'!$B$5:$B$504, B3623, '📅 Resumen Diario'!$C$5:$C$504, D3623), 0))</f>
        <v/>
      </c>
      <c r="M3623" s="31" t="str">
        <f t="shared" si="395"/>
        <v/>
      </c>
      <c r="N3623" s="31" t="str">
        <f t="shared" si="396"/>
        <v/>
      </c>
      <c r="O3623" s="31" t="str">
        <f>IF(OR(B3623="",C3623=""),"",K3623-N3623 + IFERROR(E3623 / SUMIFS('📅 Resumen Diario'!$D$5:$D$504, '📅 Resumen Diario'!$B$5:$B$504, B3623, '📅 Resumen Diario'!$C$5:$C$504, D3623) * (SUMIFS('📋 Detalle Diario'!$E$5:$E$489, '📋 Detalle Diario'!$B$5:$B$489, B3623, '📋 Detalle Diario'!$C$5:$C$489, D3623) * 135 + SUMIFS('📋 Detalle Diario'!$I$5:$I$489, '📋 Detalle Diario'!$B$5:$B$489, B3623, '📋 Detalle Diario'!$C$5:$C$489, D3623) * 200), 0))</f>
        <v/>
      </c>
      <c r="P3623" s="32" t="str">
        <f t="shared" si="397"/>
        <v/>
      </c>
      <c r="Q3623" s="33" t="str">
        <f t="shared" si="398"/>
        <v/>
      </c>
    </row>
    <row r="3624" spans="2:17" ht="18" customHeight="1" x14ac:dyDescent="0.3">
      <c r="B3624" s="26"/>
      <c r="C3624" s="17"/>
      <c r="D3624" s="27"/>
      <c r="E3624" s="18"/>
      <c r="F3624" s="18"/>
      <c r="G3624" s="18"/>
      <c r="H3624" s="30" t="str">
        <f t="shared" si="392"/>
        <v/>
      </c>
      <c r="I3624" s="31" t="str">
        <f>IF(OR(B3624="",C3624=""),"",IFERROR(E3624*IF(E3624="",0,VLOOKUP(C3624,'📦 Precios Proforma'!$B$5:$D$104,IF(D3624="DIA",2,3),FALSE)),0))</f>
        <v/>
      </c>
      <c r="J3624" s="31" t="str">
        <f t="shared" si="393"/>
        <v/>
      </c>
      <c r="K3624" s="31" t="str">
        <f t="shared" si="394"/>
        <v/>
      </c>
      <c r="L3624" s="31" t="str">
        <f>IF(OR(B3624="",C3624=""),"",IFERROR(E3624 / SUMIFS('📅 Resumen Diario'!$D$5:$D$504, '📅 Resumen Diario'!$B$5:$B$504, B3624, '📅 Resumen Diario'!$C$5:$C$504, D3624) * SUMIFS('📅 Resumen Diario'!$K$5:$K$504, '📅 Resumen Diario'!$B$5:$B$504, B3624, '📅 Resumen Diario'!$C$5:$C$504, D3624), 0))</f>
        <v/>
      </c>
      <c r="M3624" s="31" t="str">
        <f t="shared" si="395"/>
        <v/>
      </c>
      <c r="N3624" s="31" t="str">
        <f t="shared" si="396"/>
        <v/>
      </c>
      <c r="O3624" s="31" t="str">
        <f>IF(OR(B3624="",C3624=""),"",K3624-N3624 + IFERROR(E3624 / SUMIFS('📅 Resumen Diario'!$D$5:$D$504, '📅 Resumen Diario'!$B$5:$B$504, B3624, '📅 Resumen Diario'!$C$5:$C$504, D3624) * (SUMIFS('📋 Detalle Diario'!$E$5:$E$489, '📋 Detalle Diario'!$B$5:$B$489, B3624, '📋 Detalle Diario'!$C$5:$C$489, D3624) * 135 + SUMIFS('📋 Detalle Diario'!$I$5:$I$489, '📋 Detalle Diario'!$B$5:$B$489, B3624, '📋 Detalle Diario'!$C$5:$C$489, D3624) * 200), 0))</f>
        <v/>
      </c>
      <c r="P3624" s="32" t="str">
        <f t="shared" si="397"/>
        <v/>
      </c>
      <c r="Q3624" s="33" t="str">
        <f t="shared" si="398"/>
        <v/>
      </c>
    </row>
    <row r="3625" spans="2:17" ht="18" customHeight="1" x14ac:dyDescent="0.3">
      <c r="B3625" s="26"/>
      <c r="C3625" s="28"/>
      <c r="D3625" s="27"/>
      <c r="E3625" s="29"/>
      <c r="F3625" s="29"/>
      <c r="G3625" s="29"/>
      <c r="H3625" s="30" t="str">
        <f t="shared" si="392"/>
        <v/>
      </c>
      <c r="I3625" s="31" t="str">
        <f>IF(OR(B3625="",C3625=""),"",IFERROR(E3625*IF(E3625="",0,VLOOKUP(C3625,'📦 Precios Proforma'!$B$5:$D$104,IF(D3625="DIA",2,3),FALSE)),0))</f>
        <v/>
      </c>
      <c r="J3625" s="31" t="str">
        <f t="shared" si="393"/>
        <v/>
      </c>
      <c r="K3625" s="31" t="str">
        <f t="shared" si="394"/>
        <v/>
      </c>
      <c r="L3625" s="31" t="str">
        <f>IF(OR(B3625="",C3625=""),"",IFERROR(E3625 / SUMIFS('📅 Resumen Diario'!$D$5:$D$504, '📅 Resumen Diario'!$B$5:$B$504, B3625, '📅 Resumen Diario'!$C$5:$C$504, D3625) * SUMIFS('📅 Resumen Diario'!$K$5:$K$504, '📅 Resumen Diario'!$B$5:$B$504, B3625, '📅 Resumen Diario'!$C$5:$C$504, D3625), 0))</f>
        <v/>
      </c>
      <c r="M3625" s="31" t="str">
        <f t="shared" si="395"/>
        <v/>
      </c>
      <c r="N3625" s="31" t="str">
        <f t="shared" si="396"/>
        <v/>
      </c>
      <c r="O3625" s="31" t="str">
        <f>IF(OR(B3625="",C3625=""),"",K3625-N3625 + IFERROR(E3625 / SUMIFS('📅 Resumen Diario'!$D$5:$D$504, '📅 Resumen Diario'!$B$5:$B$504, B3625, '📅 Resumen Diario'!$C$5:$C$504, D3625) * (SUMIFS('📋 Detalle Diario'!$E$5:$E$489, '📋 Detalle Diario'!$B$5:$B$489, B3625, '📋 Detalle Diario'!$C$5:$C$489, D3625) * 135 + SUMIFS('📋 Detalle Diario'!$I$5:$I$489, '📋 Detalle Diario'!$B$5:$B$489, B3625, '📋 Detalle Diario'!$C$5:$C$489, D3625) * 200), 0))</f>
        <v/>
      </c>
      <c r="P3625" s="32" t="str">
        <f t="shared" si="397"/>
        <v/>
      </c>
      <c r="Q3625" s="33" t="str">
        <f t="shared" si="398"/>
        <v/>
      </c>
    </row>
    <row r="3626" spans="2:17" ht="18" customHeight="1" x14ac:dyDescent="0.3">
      <c r="B3626" s="26"/>
      <c r="C3626" s="17"/>
      <c r="D3626" s="27"/>
      <c r="E3626" s="18"/>
      <c r="F3626" s="18"/>
      <c r="G3626" s="18"/>
      <c r="H3626" s="30" t="str">
        <f t="shared" si="392"/>
        <v/>
      </c>
      <c r="I3626" s="31" t="str">
        <f>IF(OR(B3626="",C3626=""),"",IFERROR(E3626*IF(E3626="",0,VLOOKUP(C3626,'📦 Precios Proforma'!$B$5:$D$104,IF(D3626="DIA",2,3),FALSE)),0))</f>
        <v/>
      </c>
      <c r="J3626" s="31" t="str">
        <f t="shared" si="393"/>
        <v/>
      </c>
      <c r="K3626" s="31" t="str">
        <f t="shared" si="394"/>
        <v/>
      </c>
      <c r="L3626" s="31" t="str">
        <f>IF(OR(B3626="",C3626=""),"",IFERROR(E3626 / SUMIFS('📅 Resumen Diario'!$D$5:$D$504, '📅 Resumen Diario'!$B$5:$B$504, B3626, '📅 Resumen Diario'!$C$5:$C$504, D3626) * SUMIFS('📅 Resumen Diario'!$K$5:$K$504, '📅 Resumen Diario'!$B$5:$B$504, B3626, '📅 Resumen Diario'!$C$5:$C$504, D3626), 0))</f>
        <v/>
      </c>
      <c r="M3626" s="31" t="str">
        <f t="shared" si="395"/>
        <v/>
      </c>
      <c r="N3626" s="31" t="str">
        <f t="shared" si="396"/>
        <v/>
      </c>
      <c r="O3626" s="31" t="str">
        <f>IF(OR(B3626="",C3626=""),"",K3626-N3626 + IFERROR(E3626 / SUMIFS('📅 Resumen Diario'!$D$5:$D$504, '📅 Resumen Diario'!$B$5:$B$504, B3626, '📅 Resumen Diario'!$C$5:$C$504, D3626) * (SUMIFS('📋 Detalle Diario'!$E$5:$E$489, '📋 Detalle Diario'!$B$5:$B$489, B3626, '📋 Detalle Diario'!$C$5:$C$489, D3626) * 135 + SUMIFS('📋 Detalle Diario'!$I$5:$I$489, '📋 Detalle Diario'!$B$5:$B$489, B3626, '📋 Detalle Diario'!$C$5:$C$489, D3626) * 200), 0))</f>
        <v/>
      </c>
      <c r="P3626" s="32" t="str">
        <f t="shared" si="397"/>
        <v/>
      </c>
      <c r="Q3626" s="33" t="str">
        <f t="shared" si="398"/>
        <v/>
      </c>
    </row>
    <row r="3627" spans="2:17" ht="18" customHeight="1" x14ac:dyDescent="0.3">
      <c r="B3627" s="26"/>
      <c r="C3627" s="28"/>
      <c r="D3627" s="27"/>
      <c r="E3627" s="29"/>
      <c r="F3627" s="29"/>
      <c r="G3627" s="29"/>
      <c r="H3627" s="30" t="str">
        <f t="shared" si="392"/>
        <v/>
      </c>
      <c r="I3627" s="31" t="str">
        <f>IF(OR(B3627="",C3627=""),"",IFERROR(E3627*IF(E3627="",0,VLOOKUP(C3627,'📦 Precios Proforma'!$B$5:$D$104,IF(D3627="DIA",2,3),FALSE)),0))</f>
        <v/>
      </c>
      <c r="J3627" s="31" t="str">
        <f t="shared" si="393"/>
        <v/>
      </c>
      <c r="K3627" s="31" t="str">
        <f t="shared" si="394"/>
        <v/>
      </c>
      <c r="L3627" s="31" t="str">
        <f>IF(OR(B3627="",C3627=""),"",IFERROR(E3627 / SUMIFS('📅 Resumen Diario'!$D$5:$D$504, '📅 Resumen Diario'!$B$5:$B$504, B3627, '📅 Resumen Diario'!$C$5:$C$504, D3627) * SUMIFS('📅 Resumen Diario'!$K$5:$K$504, '📅 Resumen Diario'!$B$5:$B$504, B3627, '📅 Resumen Diario'!$C$5:$C$504, D3627), 0))</f>
        <v/>
      </c>
      <c r="M3627" s="31" t="str">
        <f t="shared" si="395"/>
        <v/>
      </c>
      <c r="N3627" s="31" t="str">
        <f t="shared" si="396"/>
        <v/>
      </c>
      <c r="O3627" s="31" t="str">
        <f>IF(OR(B3627="",C3627=""),"",K3627-N3627 + IFERROR(E3627 / SUMIFS('📅 Resumen Diario'!$D$5:$D$504, '📅 Resumen Diario'!$B$5:$B$504, B3627, '📅 Resumen Diario'!$C$5:$C$504, D3627) * (SUMIFS('📋 Detalle Diario'!$E$5:$E$489, '📋 Detalle Diario'!$B$5:$B$489, B3627, '📋 Detalle Diario'!$C$5:$C$489, D3627) * 135 + SUMIFS('📋 Detalle Diario'!$I$5:$I$489, '📋 Detalle Diario'!$B$5:$B$489, B3627, '📋 Detalle Diario'!$C$5:$C$489, D3627) * 200), 0))</f>
        <v/>
      </c>
      <c r="P3627" s="32" t="str">
        <f t="shared" si="397"/>
        <v/>
      </c>
      <c r="Q3627" s="33" t="str">
        <f t="shared" si="398"/>
        <v/>
      </c>
    </row>
    <row r="3628" spans="2:17" ht="18" customHeight="1" x14ac:dyDescent="0.3">
      <c r="B3628" s="26"/>
      <c r="C3628" s="17"/>
      <c r="D3628" s="27"/>
      <c r="E3628" s="18"/>
      <c r="F3628" s="18"/>
      <c r="G3628" s="18"/>
      <c r="H3628" s="30" t="str">
        <f t="shared" si="392"/>
        <v/>
      </c>
      <c r="I3628" s="31" t="str">
        <f>IF(OR(B3628="",C3628=""),"",IFERROR(E3628*IF(E3628="",0,VLOOKUP(C3628,'📦 Precios Proforma'!$B$5:$D$104,IF(D3628="DIA",2,3),FALSE)),0))</f>
        <v/>
      </c>
      <c r="J3628" s="31" t="str">
        <f t="shared" si="393"/>
        <v/>
      </c>
      <c r="K3628" s="31" t="str">
        <f t="shared" si="394"/>
        <v/>
      </c>
      <c r="L3628" s="31" t="str">
        <f>IF(OR(B3628="",C3628=""),"",IFERROR(E3628 / SUMIFS('📅 Resumen Diario'!$D$5:$D$504, '📅 Resumen Diario'!$B$5:$B$504, B3628, '📅 Resumen Diario'!$C$5:$C$504, D3628) * SUMIFS('📅 Resumen Diario'!$K$5:$K$504, '📅 Resumen Diario'!$B$5:$B$504, B3628, '📅 Resumen Diario'!$C$5:$C$504, D3628), 0))</f>
        <v/>
      </c>
      <c r="M3628" s="31" t="str">
        <f t="shared" si="395"/>
        <v/>
      </c>
      <c r="N3628" s="31" t="str">
        <f t="shared" si="396"/>
        <v/>
      </c>
      <c r="O3628" s="31" t="str">
        <f>IF(OR(B3628="",C3628=""),"",K3628-N3628 + IFERROR(E3628 / SUMIFS('📅 Resumen Diario'!$D$5:$D$504, '📅 Resumen Diario'!$B$5:$B$504, B3628, '📅 Resumen Diario'!$C$5:$C$504, D3628) * (SUMIFS('📋 Detalle Diario'!$E$5:$E$489, '📋 Detalle Diario'!$B$5:$B$489, B3628, '📋 Detalle Diario'!$C$5:$C$489, D3628) * 135 + SUMIFS('📋 Detalle Diario'!$I$5:$I$489, '📋 Detalle Diario'!$B$5:$B$489, B3628, '📋 Detalle Diario'!$C$5:$C$489, D3628) * 200), 0))</f>
        <v/>
      </c>
      <c r="P3628" s="32" t="str">
        <f t="shared" si="397"/>
        <v/>
      </c>
      <c r="Q3628" s="33" t="str">
        <f t="shared" si="398"/>
        <v/>
      </c>
    </row>
    <row r="3629" spans="2:17" ht="18" customHeight="1" x14ac:dyDescent="0.3">
      <c r="B3629" s="26"/>
      <c r="C3629" s="28"/>
      <c r="D3629" s="27"/>
      <c r="E3629" s="29"/>
      <c r="F3629" s="29"/>
      <c r="G3629" s="29"/>
      <c r="H3629" s="30" t="str">
        <f t="shared" si="392"/>
        <v/>
      </c>
      <c r="I3629" s="31" t="str">
        <f>IF(OR(B3629="",C3629=""),"",IFERROR(E3629*IF(E3629="",0,VLOOKUP(C3629,'📦 Precios Proforma'!$B$5:$D$104,IF(D3629="DIA",2,3),FALSE)),0))</f>
        <v/>
      </c>
      <c r="J3629" s="31" t="str">
        <f t="shared" si="393"/>
        <v/>
      </c>
      <c r="K3629" s="31" t="str">
        <f t="shared" si="394"/>
        <v/>
      </c>
      <c r="L3629" s="31" t="str">
        <f>IF(OR(B3629="",C3629=""),"",IFERROR(E3629 / SUMIFS('📅 Resumen Diario'!$D$5:$D$504, '📅 Resumen Diario'!$B$5:$B$504, B3629, '📅 Resumen Diario'!$C$5:$C$504, D3629) * SUMIFS('📅 Resumen Diario'!$K$5:$K$504, '📅 Resumen Diario'!$B$5:$B$504, B3629, '📅 Resumen Diario'!$C$5:$C$504, D3629), 0))</f>
        <v/>
      </c>
      <c r="M3629" s="31" t="str">
        <f t="shared" si="395"/>
        <v/>
      </c>
      <c r="N3629" s="31" t="str">
        <f t="shared" si="396"/>
        <v/>
      </c>
      <c r="O3629" s="31" t="str">
        <f>IF(OR(B3629="",C3629=""),"",K3629-N3629 + IFERROR(E3629 / SUMIFS('📅 Resumen Diario'!$D$5:$D$504, '📅 Resumen Diario'!$B$5:$B$504, B3629, '📅 Resumen Diario'!$C$5:$C$504, D3629) * (SUMIFS('📋 Detalle Diario'!$E$5:$E$489, '📋 Detalle Diario'!$B$5:$B$489, B3629, '📋 Detalle Diario'!$C$5:$C$489, D3629) * 135 + SUMIFS('📋 Detalle Diario'!$I$5:$I$489, '📋 Detalle Diario'!$B$5:$B$489, B3629, '📋 Detalle Diario'!$C$5:$C$489, D3629) * 200), 0))</f>
        <v/>
      </c>
      <c r="P3629" s="32" t="str">
        <f t="shared" si="397"/>
        <v/>
      </c>
      <c r="Q3629" s="33" t="str">
        <f t="shared" si="398"/>
        <v/>
      </c>
    </row>
    <row r="3630" spans="2:17" ht="18" customHeight="1" x14ac:dyDescent="0.3">
      <c r="B3630" s="26"/>
      <c r="C3630" s="17"/>
      <c r="D3630" s="27"/>
      <c r="E3630" s="18"/>
      <c r="F3630" s="18"/>
      <c r="G3630" s="18"/>
      <c r="H3630" s="30" t="str">
        <f t="shared" si="392"/>
        <v/>
      </c>
      <c r="I3630" s="31" t="str">
        <f>IF(OR(B3630="",C3630=""),"",IFERROR(E3630*IF(E3630="",0,VLOOKUP(C3630,'📦 Precios Proforma'!$B$5:$D$104,IF(D3630="DIA",2,3),FALSE)),0))</f>
        <v/>
      </c>
      <c r="J3630" s="31" t="str">
        <f t="shared" si="393"/>
        <v/>
      </c>
      <c r="K3630" s="31" t="str">
        <f t="shared" si="394"/>
        <v/>
      </c>
      <c r="L3630" s="31" t="str">
        <f>IF(OR(B3630="",C3630=""),"",IFERROR(E3630 / SUMIFS('📅 Resumen Diario'!$D$5:$D$504, '📅 Resumen Diario'!$B$5:$B$504, B3630, '📅 Resumen Diario'!$C$5:$C$504, D3630) * SUMIFS('📅 Resumen Diario'!$K$5:$K$504, '📅 Resumen Diario'!$B$5:$B$504, B3630, '📅 Resumen Diario'!$C$5:$C$504, D3630), 0))</f>
        <v/>
      </c>
      <c r="M3630" s="31" t="str">
        <f t="shared" si="395"/>
        <v/>
      </c>
      <c r="N3630" s="31" t="str">
        <f t="shared" si="396"/>
        <v/>
      </c>
      <c r="O3630" s="31" t="str">
        <f>IF(OR(B3630="",C3630=""),"",K3630-N3630 + IFERROR(E3630 / SUMIFS('📅 Resumen Diario'!$D$5:$D$504, '📅 Resumen Diario'!$B$5:$B$504, B3630, '📅 Resumen Diario'!$C$5:$C$504, D3630) * (SUMIFS('📋 Detalle Diario'!$E$5:$E$489, '📋 Detalle Diario'!$B$5:$B$489, B3630, '📋 Detalle Diario'!$C$5:$C$489, D3630) * 135 + SUMIFS('📋 Detalle Diario'!$I$5:$I$489, '📋 Detalle Diario'!$B$5:$B$489, B3630, '📋 Detalle Diario'!$C$5:$C$489, D3630) * 200), 0))</f>
        <v/>
      </c>
      <c r="P3630" s="32" t="str">
        <f t="shared" si="397"/>
        <v/>
      </c>
      <c r="Q3630" s="33" t="str">
        <f t="shared" si="398"/>
        <v/>
      </c>
    </row>
    <row r="3631" spans="2:17" ht="18" customHeight="1" x14ac:dyDescent="0.3">
      <c r="B3631" s="26"/>
      <c r="C3631" s="28"/>
      <c r="D3631" s="27"/>
      <c r="E3631" s="29"/>
      <c r="F3631" s="29"/>
      <c r="G3631" s="29"/>
      <c r="H3631" s="30" t="str">
        <f t="shared" si="392"/>
        <v/>
      </c>
      <c r="I3631" s="31" t="str">
        <f>IF(OR(B3631="",C3631=""),"",IFERROR(E3631*IF(E3631="",0,VLOOKUP(C3631,'📦 Precios Proforma'!$B$5:$D$104,IF(D3631="DIA",2,3),FALSE)),0))</f>
        <v/>
      </c>
      <c r="J3631" s="31" t="str">
        <f t="shared" si="393"/>
        <v/>
      </c>
      <c r="K3631" s="31" t="str">
        <f t="shared" si="394"/>
        <v/>
      </c>
      <c r="L3631" s="31" t="str">
        <f>IF(OR(B3631="",C3631=""),"",IFERROR(E3631 / SUMIFS('📅 Resumen Diario'!$D$5:$D$504, '📅 Resumen Diario'!$B$5:$B$504, B3631, '📅 Resumen Diario'!$C$5:$C$504, D3631) * SUMIFS('📅 Resumen Diario'!$K$5:$K$504, '📅 Resumen Diario'!$B$5:$B$504, B3631, '📅 Resumen Diario'!$C$5:$C$504, D3631), 0))</f>
        <v/>
      </c>
      <c r="M3631" s="31" t="str">
        <f t="shared" si="395"/>
        <v/>
      </c>
      <c r="N3631" s="31" t="str">
        <f t="shared" si="396"/>
        <v/>
      </c>
      <c r="O3631" s="31" t="str">
        <f>IF(OR(B3631="",C3631=""),"",K3631-N3631 + IFERROR(E3631 / SUMIFS('📅 Resumen Diario'!$D$5:$D$504, '📅 Resumen Diario'!$B$5:$B$504, B3631, '📅 Resumen Diario'!$C$5:$C$504, D3631) * (SUMIFS('📋 Detalle Diario'!$E$5:$E$489, '📋 Detalle Diario'!$B$5:$B$489, B3631, '📋 Detalle Diario'!$C$5:$C$489, D3631) * 135 + SUMIFS('📋 Detalle Diario'!$I$5:$I$489, '📋 Detalle Diario'!$B$5:$B$489, B3631, '📋 Detalle Diario'!$C$5:$C$489, D3631) * 200), 0))</f>
        <v/>
      </c>
      <c r="P3631" s="32" t="str">
        <f t="shared" si="397"/>
        <v/>
      </c>
      <c r="Q3631" s="33" t="str">
        <f t="shared" si="398"/>
        <v/>
      </c>
    </row>
    <row r="3632" spans="2:17" ht="18" customHeight="1" x14ac:dyDescent="0.3">
      <c r="B3632" s="26"/>
      <c r="C3632" s="17"/>
      <c r="D3632" s="27"/>
      <c r="E3632" s="18"/>
      <c r="F3632" s="18"/>
      <c r="G3632" s="18"/>
      <c r="H3632" s="30" t="str">
        <f t="shared" si="392"/>
        <v/>
      </c>
      <c r="I3632" s="31" t="str">
        <f>IF(OR(B3632="",C3632=""),"",IFERROR(E3632*IF(E3632="",0,VLOOKUP(C3632,'📦 Precios Proforma'!$B$5:$D$104,IF(D3632="DIA",2,3),FALSE)),0))</f>
        <v/>
      </c>
      <c r="J3632" s="31" t="str">
        <f t="shared" si="393"/>
        <v/>
      </c>
      <c r="K3632" s="31" t="str">
        <f t="shared" si="394"/>
        <v/>
      </c>
      <c r="L3632" s="31" t="str">
        <f>IF(OR(B3632="",C3632=""),"",IFERROR(E3632 / SUMIFS('📅 Resumen Diario'!$D$5:$D$504, '📅 Resumen Diario'!$B$5:$B$504, B3632, '📅 Resumen Diario'!$C$5:$C$504, D3632) * SUMIFS('📅 Resumen Diario'!$K$5:$K$504, '📅 Resumen Diario'!$B$5:$B$504, B3632, '📅 Resumen Diario'!$C$5:$C$504, D3632), 0))</f>
        <v/>
      </c>
      <c r="M3632" s="31" t="str">
        <f t="shared" si="395"/>
        <v/>
      </c>
      <c r="N3632" s="31" t="str">
        <f t="shared" si="396"/>
        <v/>
      </c>
      <c r="O3632" s="31" t="str">
        <f>IF(OR(B3632="",C3632=""),"",K3632-N3632 + IFERROR(E3632 / SUMIFS('📅 Resumen Diario'!$D$5:$D$504, '📅 Resumen Diario'!$B$5:$B$504, B3632, '📅 Resumen Diario'!$C$5:$C$504, D3632) * (SUMIFS('📋 Detalle Diario'!$E$5:$E$489, '📋 Detalle Diario'!$B$5:$B$489, B3632, '📋 Detalle Diario'!$C$5:$C$489, D3632) * 135 + SUMIFS('📋 Detalle Diario'!$I$5:$I$489, '📋 Detalle Diario'!$B$5:$B$489, B3632, '📋 Detalle Diario'!$C$5:$C$489, D3632) * 200), 0))</f>
        <v/>
      </c>
      <c r="P3632" s="32" t="str">
        <f t="shared" si="397"/>
        <v/>
      </c>
      <c r="Q3632" s="33" t="str">
        <f t="shared" si="398"/>
        <v/>
      </c>
    </row>
    <row r="3633" spans="2:17" ht="18" customHeight="1" x14ac:dyDescent="0.3">
      <c r="B3633" s="26"/>
      <c r="C3633" s="28"/>
      <c r="D3633" s="27"/>
      <c r="E3633" s="29"/>
      <c r="F3633" s="29"/>
      <c r="G3633" s="29"/>
      <c r="H3633" s="30" t="str">
        <f t="shared" si="392"/>
        <v/>
      </c>
      <c r="I3633" s="31" t="str">
        <f>IF(OR(B3633="",C3633=""),"",IFERROR(E3633*IF(E3633="",0,VLOOKUP(C3633,'📦 Precios Proforma'!$B$5:$D$104,IF(D3633="DIA",2,3),FALSE)),0))</f>
        <v/>
      </c>
      <c r="J3633" s="31" t="str">
        <f t="shared" si="393"/>
        <v/>
      </c>
      <c r="K3633" s="31" t="str">
        <f t="shared" si="394"/>
        <v/>
      </c>
      <c r="L3633" s="31" t="str">
        <f>IF(OR(B3633="",C3633=""),"",IFERROR(E3633 / SUMIFS('📅 Resumen Diario'!$D$5:$D$504, '📅 Resumen Diario'!$B$5:$B$504, B3633, '📅 Resumen Diario'!$C$5:$C$504, D3633) * SUMIFS('📅 Resumen Diario'!$K$5:$K$504, '📅 Resumen Diario'!$B$5:$B$504, B3633, '📅 Resumen Diario'!$C$5:$C$504, D3633), 0))</f>
        <v/>
      </c>
      <c r="M3633" s="31" t="str">
        <f t="shared" si="395"/>
        <v/>
      </c>
      <c r="N3633" s="31" t="str">
        <f t="shared" si="396"/>
        <v/>
      </c>
      <c r="O3633" s="31" t="str">
        <f>IF(OR(B3633="",C3633=""),"",K3633-N3633 + IFERROR(E3633 / SUMIFS('📅 Resumen Diario'!$D$5:$D$504, '📅 Resumen Diario'!$B$5:$B$504, B3633, '📅 Resumen Diario'!$C$5:$C$504, D3633) * (SUMIFS('📋 Detalle Diario'!$E$5:$E$489, '📋 Detalle Diario'!$B$5:$B$489, B3633, '📋 Detalle Diario'!$C$5:$C$489, D3633) * 135 + SUMIFS('📋 Detalle Diario'!$I$5:$I$489, '📋 Detalle Diario'!$B$5:$B$489, B3633, '📋 Detalle Diario'!$C$5:$C$489, D3633) * 200), 0))</f>
        <v/>
      </c>
      <c r="P3633" s="32" t="str">
        <f t="shared" si="397"/>
        <v/>
      </c>
      <c r="Q3633" s="33" t="str">
        <f t="shared" si="398"/>
        <v/>
      </c>
    </row>
    <row r="3634" spans="2:17" ht="18" customHeight="1" x14ac:dyDescent="0.3">
      <c r="B3634" s="26"/>
      <c r="C3634" s="17"/>
      <c r="D3634" s="27"/>
      <c r="E3634" s="18"/>
      <c r="F3634" s="18"/>
      <c r="G3634" s="18"/>
      <c r="H3634" s="30" t="str">
        <f t="shared" si="392"/>
        <v/>
      </c>
      <c r="I3634" s="31" t="str">
        <f>IF(OR(B3634="",C3634=""),"",IFERROR(E3634*IF(E3634="",0,VLOOKUP(C3634,'📦 Precios Proforma'!$B$5:$D$104,IF(D3634="DIA",2,3),FALSE)),0))</f>
        <v/>
      </c>
      <c r="J3634" s="31" t="str">
        <f t="shared" si="393"/>
        <v/>
      </c>
      <c r="K3634" s="31" t="str">
        <f t="shared" si="394"/>
        <v/>
      </c>
      <c r="L3634" s="31" t="str">
        <f>IF(OR(B3634="",C3634=""),"",IFERROR(E3634 / SUMIFS('📅 Resumen Diario'!$D$5:$D$504, '📅 Resumen Diario'!$B$5:$B$504, B3634, '📅 Resumen Diario'!$C$5:$C$504, D3634) * SUMIFS('📅 Resumen Diario'!$K$5:$K$504, '📅 Resumen Diario'!$B$5:$B$504, B3634, '📅 Resumen Diario'!$C$5:$C$504, D3634), 0))</f>
        <v/>
      </c>
      <c r="M3634" s="31" t="str">
        <f t="shared" si="395"/>
        <v/>
      </c>
      <c r="N3634" s="31" t="str">
        <f t="shared" si="396"/>
        <v/>
      </c>
      <c r="O3634" s="31" t="str">
        <f>IF(OR(B3634="",C3634=""),"",K3634-N3634 + IFERROR(E3634 / SUMIFS('📅 Resumen Diario'!$D$5:$D$504, '📅 Resumen Diario'!$B$5:$B$504, B3634, '📅 Resumen Diario'!$C$5:$C$504, D3634) * (SUMIFS('📋 Detalle Diario'!$E$5:$E$489, '📋 Detalle Diario'!$B$5:$B$489, B3634, '📋 Detalle Diario'!$C$5:$C$489, D3634) * 135 + SUMIFS('📋 Detalle Diario'!$I$5:$I$489, '📋 Detalle Diario'!$B$5:$B$489, B3634, '📋 Detalle Diario'!$C$5:$C$489, D3634) * 200), 0))</f>
        <v/>
      </c>
      <c r="P3634" s="32" t="str">
        <f t="shared" si="397"/>
        <v/>
      </c>
      <c r="Q3634" s="33" t="str">
        <f t="shared" si="398"/>
        <v/>
      </c>
    </row>
    <row r="3635" spans="2:17" ht="18" customHeight="1" x14ac:dyDescent="0.3">
      <c r="B3635" s="26"/>
      <c r="C3635" s="28"/>
      <c r="D3635" s="27"/>
      <c r="E3635" s="29"/>
      <c r="F3635" s="29"/>
      <c r="G3635" s="29"/>
      <c r="H3635" s="30" t="str">
        <f t="shared" si="392"/>
        <v/>
      </c>
      <c r="I3635" s="31" t="str">
        <f>IF(OR(B3635="",C3635=""),"",IFERROR(E3635*IF(E3635="",0,VLOOKUP(C3635,'📦 Precios Proforma'!$B$5:$D$104,IF(D3635="DIA",2,3),FALSE)),0))</f>
        <v/>
      </c>
      <c r="J3635" s="31" t="str">
        <f t="shared" si="393"/>
        <v/>
      </c>
      <c r="K3635" s="31" t="str">
        <f t="shared" si="394"/>
        <v/>
      </c>
      <c r="L3635" s="31" t="str">
        <f>IF(OR(B3635="",C3635=""),"",IFERROR(E3635 / SUMIFS('📅 Resumen Diario'!$D$5:$D$504, '📅 Resumen Diario'!$B$5:$B$504, B3635, '📅 Resumen Diario'!$C$5:$C$504, D3635) * SUMIFS('📅 Resumen Diario'!$K$5:$K$504, '📅 Resumen Diario'!$B$5:$B$504, B3635, '📅 Resumen Diario'!$C$5:$C$504, D3635), 0))</f>
        <v/>
      </c>
      <c r="M3635" s="31" t="str">
        <f t="shared" si="395"/>
        <v/>
      </c>
      <c r="N3635" s="31" t="str">
        <f t="shared" si="396"/>
        <v/>
      </c>
      <c r="O3635" s="31" t="str">
        <f>IF(OR(B3635="",C3635=""),"",K3635-N3635 + IFERROR(E3635 / SUMIFS('📅 Resumen Diario'!$D$5:$D$504, '📅 Resumen Diario'!$B$5:$B$504, B3635, '📅 Resumen Diario'!$C$5:$C$504, D3635) * (SUMIFS('📋 Detalle Diario'!$E$5:$E$489, '📋 Detalle Diario'!$B$5:$B$489, B3635, '📋 Detalle Diario'!$C$5:$C$489, D3635) * 135 + SUMIFS('📋 Detalle Diario'!$I$5:$I$489, '📋 Detalle Diario'!$B$5:$B$489, B3635, '📋 Detalle Diario'!$C$5:$C$489, D3635) * 200), 0))</f>
        <v/>
      </c>
      <c r="P3635" s="32" t="str">
        <f t="shared" si="397"/>
        <v/>
      </c>
      <c r="Q3635" s="33" t="str">
        <f t="shared" si="398"/>
        <v/>
      </c>
    </row>
    <row r="3636" spans="2:17" ht="18" customHeight="1" x14ac:dyDescent="0.3">
      <c r="B3636" s="26"/>
      <c r="C3636" s="17"/>
      <c r="D3636" s="27"/>
      <c r="E3636" s="18"/>
      <c r="F3636" s="18"/>
      <c r="G3636" s="18"/>
      <c r="H3636" s="30" t="str">
        <f t="shared" si="392"/>
        <v/>
      </c>
      <c r="I3636" s="31" t="str">
        <f>IF(OR(B3636="",C3636=""),"",IFERROR(E3636*IF(E3636="",0,VLOOKUP(C3636,'📦 Precios Proforma'!$B$5:$D$104,IF(D3636="DIA",2,3),FALSE)),0))</f>
        <v/>
      </c>
      <c r="J3636" s="31" t="str">
        <f t="shared" si="393"/>
        <v/>
      </c>
      <c r="K3636" s="31" t="str">
        <f t="shared" si="394"/>
        <v/>
      </c>
      <c r="L3636" s="31" t="str">
        <f>IF(OR(B3636="",C3636=""),"",IFERROR(E3636 / SUMIFS('📅 Resumen Diario'!$D$5:$D$504, '📅 Resumen Diario'!$B$5:$B$504, B3636, '📅 Resumen Diario'!$C$5:$C$504, D3636) * SUMIFS('📅 Resumen Diario'!$K$5:$K$504, '📅 Resumen Diario'!$B$5:$B$504, B3636, '📅 Resumen Diario'!$C$5:$C$504, D3636), 0))</f>
        <v/>
      </c>
      <c r="M3636" s="31" t="str">
        <f t="shared" si="395"/>
        <v/>
      </c>
      <c r="N3636" s="31" t="str">
        <f t="shared" si="396"/>
        <v/>
      </c>
      <c r="O3636" s="31" t="str">
        <f>IF(OR(B3636="",C3636=""),"",K3636-N3636 + IFERROR(E3636 / SUMIFS('📅 Resumen Diario'!$D$5:$D$504, '📅 Resumen Diario'!$B$5:$B$504, B3636, '📅 Resumen Diario'!$C$5:$C$504, D3636) * (SUMIFS('📋 Detalle Diario'!$E$5:$E$489, '📋 Detalle Diario'!$B$5:$B$489, B3636, '📋 Detalle Diario'!$C$5:$C$489, D3636) * 135 + SUMIFS('📋 Detalle Diario'!$I$5:$I$489, '📋 Detalle Diario'!$B$5:$B$489, B3636, '📋 Detalle Diario'!$C$5:$C$489, D3636) * 200), 0))</f>
        <v/>
      </c>
      <c r="P3636" s="32" t="str">
        <f t="shared" si="397"/>
        <v/>
      </c>
      <c r="Q3636" s="33" t="str">
        <f t="shared" si="398"/>
        <v/>
      </c>
    </row>
    <row r="3637" spans="2:17" ht="18" customHeight="1" x14ac:dyDescent="0.3">
      <c r="B3637" s="26"/>
      <c r="C3637" s="28"/>
      <c r="D3637" s="27"/>
      <c r="E3637" s="29"/>
      <c r="F3637" s="29"/>
      <c r="G3637" s="29"/>
      <c r="H3637" s="30" t="str">
        <f t="shared" si="392"/>
        <v/>
      </c>
      <c r="I3637" s="31" t="str">
        <f>IF(OR(B3637="",C3637=""),"",IFERROR(E3637*IF(E3637="",0,VLOOKUP(C3637,'📦 Precios Proforma'!$B$5:$D$104,IF(D3637="DIA",2,3),FALSE)),0))</f>
        <v/>
      </c>
      <c r="J3637" s="31" t="str">
        <f t="shared" si="393"/>
        <v/>
      </c>
      <c r="K3637" s="31" t="str">
        <f t="shared" si="394"/>
        <v/>
      </c>
      <c r="L3637" s="31" t="str">
        <f>IF(OR(B3637="",C3637=""),"",IFERROR(E3637 / SUMIFS('📅 Resumen Diario'!$D$5:$D$504, '📅 Resumen Diario'!$B$5:$B$504, B3637, '📅 Resumen Diario'!$C$5:$C$504, D3637) * SUMIFS('📅 Resumen Diario'!$K$5:$K$504, '📅 Resumen Diario'!$B$5:$B$504, B3637, '📅 Resumen Diario'!$C$5:$C$504, D3637), 0))</f>
        <v/>
      </c>
      <c r="M3637" s="31" t="str">
        <f t="shared" si="395"/>
        <v/>
      </c>
      <c r="N3637" s="31" t="str">
        <f t="shared" si="396"/>
        <v/>
      </c>
      <c r="O3637" s="31" t="str">
        <f>IF(OR(B3637="",C3637=""),"",K3637-N3637 + IFERROR(E3637 / SUMIFS('📅 Resumen Diario'!$D$5:$D$504, '📅 Resumen Diario'!$B$5:$B$504, B3637, '📅 Resumen Diario'!$C$5:$C$504, D3637) * (SUMIFS('📋 Detalle Diario'!$E$5:$E$489, '📋 Detalle Diario'!$B$5:$B$489, B3637, '📋 Detalle Diario'!$C$5:$C$489, D3637) * 135 + SUMIFS('📋 Detalle Diario'!$I$5:$I$489, '📋 Detalle Diario'!$B$5:$B$489, B3637, '📋 Detalle Diario'!$C$5:$C$489, D3637) * 200), 0))</f>
        <v/>
      </c>
      <c r="P3637" s="32" t="str">
        <f t="shared" si="397"/>
        <v/>
      </c>
      <c r="Q3637" s="33" t="str">
        <f t="shared" si="398"/>
        <v/>
      </c>
    </row>
    <row r="3638" spans="2:17" ht="18" customHeight="1" x14ac:dyDescent="0.3">
      <c r="B3638" s="26"/>
      <c r="C3638" s="17"/>
      <c r="D3638" s="27"/>
      <c r="E3638" s="18"/>
      <c r="F3638" s="18"/>
      <c r="G3638" s="18"/>
      <c r="H3638" s="30" t="str">
        <f t="shared" si="392"/>
        <v/>
      </c>
      <c r="I3638" s="31" t="str">
        <f>IF(OR(B3638="",C3638=""),"",IFERROR(E3638*IF(E3638="",0,VLOOKUP(C3638,'📦 Precios Proforma'!$B$5:$D$104,IF(D3638="DIA",2,3),FALSE)),0))</f>
        <v/>
      </c>
      <c r="J3638" s="31" t="str">
        <f t="shared" si="393"/>
        <v/>
      </c>
      <c r="K3638" s="31" t="str">
        <f t="shared" si="394"/>
        <v/>
      </c>
      <c r="L3638" s="31" t="str">
        <f>IF(OR(B3638="",C3638=""),"",IFERROR(E3638 / SUMIFS('📅 Resumen Diario'!$D$5:$D$504, '📅 Resumen Diario'!$B$5:$B$504, B3638, '📅 Resumen Diario'!$C$5:$C$504, D3638) * SUMIFS('📅 Resumen Diario'!$K$5:$K$504, '📅 Resumen Diario'!$B$5:$B$504, B3638, '📅 Resumen Diario'!$C$5:$C$504, D3638), 0))</f>
        <v/>
      </c>
      <c r="M3638" s="31" t="str">
        <f t="shared" si="395"/>
        <v/>
      </c>
      <c r="N3638" s="31" t="str">
        <f t="shared" si="396"/>
        <v/>
      </c>
      <c r="O3638" s="31" t="str">
        <f>IF(OR(B3638="",C3638=""),"",K3638-N3638 + IFERROR(E3638 / SUMIFS('📅 Resumen Diario'!$D$5:$D$504, '📅 Resumen Diario'!$B$5:$B$504, B3638, '📅 Resumen Diario'!$C$5:$C$504, D3638) * (SUMIFS('📋 Detalle Diario'!$E$5:$E$489, '📋 Detalle Diario'!$B$5:$B$489, B3638, '📋 Detalle Diario'!$C$5:$C$489, D3638) * 135 + SUMIFS('📋 Detalle Diario'!$I$5:$I$489, '📋 Detalle Diario'!$B$5:$B$489, B3638, '📋 Detalle Diario'!$C$5:$C$489, D3638) * 200), 0))</f>
        <v/>
      </c>
      <c r="P3638" s="32" t="str">
        <f t="shared" si="397"/>
        <v/>
      </c>
      <c r="Q3638" s="33" t="str">
        <f t="shared" si="398"/>
        <v/>
      </c>
    </row>
    <row r="3639" spans="2:17" ht="18" customHeight="1" x14ac:dyDescent="0.3">
      <c r="B3639" s="26"/>
      <c r="C3639" s="28"/>
      <c r="D3639" s="27"/>
      <c r="E3639" s="29"/>
      <c r="F3639" s="29"/>
      <c r="G3639" s="29"/>
      <c r="H3639" s="30" t="str">
        <f t="shared" si="392"/>
        <v/>
      </c>
      <c r="I3639" s="31" t="str">
        <f>IF(OR(B3639="",C3639=""),"",IFERROR(E3639*IF(E3639="",0,VLOOKUP(C3639,'📦 Precios Proforma'!$B$5:$D$104,IF(D3639="DIA",2,3),FALSE)),0))</f>
        <v/>
      </c>
      <c r="J3639" s="31" t="str">
        <f t="shared" si="393"/>
        <v/>
      </c>
      <c r="K3639" s="31" t="str">
        <f t="shared" si="394"/>
        <v/>
      </c>
      <c r="L3639" s="31" t="str">
        <f>IF(OR(B3639="",C3639=""),"",IFERROR(E3639 / SUMIFS('📅 Resumen Diario'!$D$5:$D$504, '📅 Resumen Diario'!$B$5:$B$504, B3639, '📅 Resumen Diario'!$C$5:$C$504, D3639) * SUMIFS('📅 Resumen Diario'!$K$5:$K$504, '📅 Resumen Diario'!$B$5:$B$504, B3639, '📅 Resumen Diario'!$C$5:$C$504, D3639), 0))</f>
        <v/>
      </c>
      <c r="M3639" s="31" t="str">
        <f t="shared" si="395"/>
        <v/>
      </c>
      <c r="N3639" s="31" t="str">
        <f t="shared" si="396"/>
        <v/>
      </c>
      <c r="O3639" s="31" t="str">
        <f>IF(OR(B3639="",C3639=""),"",K3639-N3639 + IFERROR(E3639 / SUMIFS('📅 Resumen Diario'!$D$5:$D$504, '📅 Resumen Diario'!$B$5:$B$504, B3639, '📅 Resumen Diario'!$C$5:$C$504, D3639) * (SUMIFS('📋 Detalle Diario'!$E$5:$E$489, '📋 Detalle Diario'!$B$5:$B$489, B3639, '📋 Detalle Diario'!$C$5:$C$489, D3639) * 135 + SUMIFS('📋 Detalle Diario'!$I$5:$I$489, '📋 Detalle Diario'!$B$5:$B$489, B3639, '📋 Detalle Diario'!$C$5:$C$489, D3639) * 200), 0))</f>
        <v/>
      </c>
      <c r="P3639" s="32" t="str">
        <f t="shared" si="397"/>
        <v/>
      </c>
      <c r="Q3639" s="33" t="str">
        <f t="shared" si="398"/>
        <v/>
      </c>
    </row>
    <row r="3640" spans="2:17" ht="18" customHeight="1" x14ac:dyDescent="0.3">
      <c r="B3640" s="26"/>
      <c r="C3640" s="17"/>
      <c r="D3640" s="27"/>
      <c r="E3640" s="18"/>
      <c r="F3640" s="18"/>
      <c r="G3640" s="18"/>
      <c r="H3640" s="30" t="str">
        <f t="shared" si="392"/>
        <v/>
      </c>
      <c r="I3640" s="31" t="str">
        <f>IF(OR(B3640="",C3640=""),"",IFERROR(E3640*IF(E3640="",0,VLOOKUP(C3640,'📦 Precios Proforma'!$B$5:$D$104,IF(D3640="DIA",2,3),FALSE)),0))</f>
        <v/>
      </c>
      <c r="J3640" s="31" t="str">
        <f t="shared" si="393"/>
        <v/>
      </c>
      <c r="K3640" s="31" t="str">
        <f t="shared" si="394"/>
        <v/>
      </c>
      <c r="L3640" s="31" t="str">
        <f>IF(OR(B3640="",C3640=""),"",IFERROR(E3640 / SUMIFS('📅 Resumen Diario'!$D$5:$D$504, '📅 Resumen Diario'!$B$5:$B$504, B3640, '📅 Resumen Diario'!$C$5:$C$504, D3640) * SUMIFS('📅 Resumen Diario'!$K$5:$K$504, '📅 Resumen Diario'!$B$5:$B$504, B3640, '📅 Resumen Diario'!$C$5:$C$504, D3640), 0))</f>
        <v/>
      </c>
      <c r="M3640" s="31" t="str">
        <f t="shared" si="395"/>
        <v/>
      </c>
      <c r="N3640" s="31" t="str">
        <f t="shared" si="396"/>
        <v/>
      </c>
      <c r="O3640" s="31" t="str">
        <f>IF(OR(B3640="",C3640=""),"",K3640-N3640 + IFERROR(E3640 / SUMIFS('📅 Resumen Diario'!$D$5:$D$504, '📅 Resumen Diario'!$B$5:$B$504, B3640, '📅 Resumen Diario'!$C$5:$C$504, D3640) * (SUMIFS('📋 Detalle Diario'!$E$5:$E$489, '📋 Detalle Diario'!$B$5:$B$489, B3640, '📋 Detalle Diario'!$C$5:$C$489, D3640) * 135 + SUMIFS('📋 Detalle Diario'!$I$5:$I$489, '📋 Detalle Diario'!$B$5:$B$489, B3640, '📋 Detalle Diario'!$C$5:$C$489, D3640) * 200), 0))</f>
        <v/>
      </c>
      <c r="P3640" s="32" t="str">
        <f t="shared" si="397"/>
        <v/>
      </c>
      <c r="Q3640" s="33" t="str">
        <f t="shared" si="398"/>
        <v/>
      </c>
    </row>
    <row r="3641" spans="2:17" ht="18" customHeight="1" x14ac:dyDescent="0.3">
      <c r="B3641" s="26"/>
      <c r="C3641" s="28"/>
      <c r="D3641" s="27"/>
      <c r="E3641" s="29"/>
      <c r="F3641" s="29"/>
      <c r="G3641" s="29"/>
      <c r="H3641" s="30" t="str">
        <f t="shared" si="392"/>
        <v/>
      </c>
      <c r="I3641" s="31" t="str">
        <f>IF(OR(B3641="",C3641=""),"",IFERROR(E3641*IF(E3641="",0,VLOOKUP(C3641,'📦 Precios Proforma'!$B$5:$D$104,IF(D3641="DIA",2,3),FALSE)),0))</f>
        <v/>
      </c>
      <c r="J3641" s="31" t="str">
        <f t="shared" si="393"/>
        <v/>
      </c>
      <c r="K3641" s="31" t="str">
        <f t="shared" si="394"/>
        <v/>
      </c>
      <c r="L3641" s="31" t="str">
        <f>IF(OR(B3641="",C3641=""),"",IFERROR(E3641 / SUMIFS('📅 Resumen Diario'!$D$5:$D$504, '📅 Resumen Diario'!$B$5:$B$504, B3641, '📅 Resumen Diario'!$C$5:$C$504, D3641) * SUMIFS('📅 Resumen Diario'!$K$5:$K$504, '📅 Resumen Diario'!$B$5:$B$504, B3641, '📅 Resumen Diario'!$C$5:$C$504, D3641), 0))</f>
        <v/>
      </c>
      <c r="M3641" s="31" t="str">
        <f t="shared" si="395"/>
        <v/>
      </c>
      <c r="N3641" s="31" t="str">
        <f t="shared" si="396"/>
        <v/>
      </c>
      <c r="O3641" s="31" t="str">
        <f>IF(OR(B3641="",C3641=""),"",K3641-N3641 + IFERROR(E3641 / SUMIFS('📅 Resumen Diario'!$D$5:$D$504, '📅 Resumen Diario'!$B$5:$B$504, B3641, '📅 Resumen Diario'!$C$5:$C$504, D3641) * (SUMIFS('📋 Detalle Diario'!$E$5:$E$489, '📋 Detalle Diario'!$B$5:$B$489, B3641, '📋 Detalle Diario'!$C$5:$C$489, D3641) * 135 + SUMIFS('📋 Detalle Diario'!$I$5:$I$489, '📋 Detalle Diario'!$B$5:$B$489, B3641, '📋 Detalle Diario'!$C$5:$C$489, D3641) * 200), 0))</f>
        <v/>
      </c>
      <c r="P3641" s="32" t="str">
        <f t="shared" si="397"/>
        <v/>
      </c>
      <c r="Q3641" s="33" t="str">
        <f t="shared" si="398"/>
        <v/>
      </c>
    </row>
    <row r="3642" spans="2:17" ht="18" customHeight="1" x14ac:dyDescent="0.3">
      <c r="B3642" s="26"/>
      <c r="C3642" s="17"/>
      <c r="D3642" s="27"/>
      <c r="E3642" s="18"/>
      <c r="F3642" s="18"/>
      <c r="G3642" s="18"/>
      <c r="H3642" s="30" t="str">
        <f t="shared" si="392"/>
        <v/>
      </c>
      <c r="I3642" s="31" t="str">
        <f>IF(OR(B3642="",C3642=""),"",IFERROR(E3642*IF(E3642="",0,VLOOKUP(C3642,'📦 Precios Proforma'!$B$5:$D$104,IF(D3642="DIA",2,3),FALSE)),0))</f>
        <v/>
      </c>
      <c r="J3642" s="31" t="str">
        <f t="shared" si="393"/>
        <v/>
      </c>
      <c r="K3642" s="31" t="str">
        <f t="shared" si="394"/>
        <v/>
      </c>
      <c r="L3642" s="31" t="str">
        <f>IF(OR(B3642="",C3642=""),"",IFERROR(E3642 / SUMIFS('📅 Resumen Diario'!$D$5:$D$504, '📅 Resumen Diario'!$B$5:$B$504, B3642, '📅 Resumen Diario'!$C$5:$C$504, D3642) * SUMIFS('📅 Resumen Diario'!$K$5:$K$504, '📅 Resumen Diario'!$B$5:$B$504, B3642, '📅 Resumen Diario'!$C$5:$C$504, D3642), 0))</f>
        <v/>
      </c>
      <c r="M3642" s="31" t="str">
        <f t="shared" si="395"/>
        <v/>
      </c>
      <c r="N3642" s="31" t="str">
        <f t="shared" si="396"/>
        <v/>
      </c>
      <c r="O3642" s="31" t="str">
        <f>IF(OR(B3642="",C3642=""),"",K3642-N3642 + IFERROR(E3642 / SUMIFS('📅 Resumen Diario'!$D$5:$D$504, '📅 Resumen Diario'!$B$5:$B$504, B3642, '📅 Resumen Diario'!$C$5:$C$504, D3642) * (SUMIFS('📋 Detalle Diario'!$E$5:$E$489, '📋 Detalle Diario'!$B$5:$B$489, B3642, '📋 Detalle Diario'!$C$5:$C$489, D3642) * 135 + SUMIFS('📋 Detalle Diario'!$I$5:$I$489, '📋 Detalle Diario'!$B$5:$B$489, B3642, '📋 Detalle Diario'!$C$5:$C$489, D3642) * 200), 0))</f>
        <v/>
      </c>
      <c r="P3642" s="32" t="str">
        <f t="shared" si="397"/>
        <v/>
      </c>
      <c r="Q3642" s="33" t="str">
        <f t="shared" si="398"/>
        <v/>
      </c>
    </row>
    <row r="3643" spans="2:17" ht="18" customHeight="1" x14ac:dyDescent="0.3">
      <c r="B3643" s="26"/>
      <c r="C3643" s="28"/>
      <c r="D3643" s="27"/>
      <c r="E3643" s="29"/>
      <c r="F3643" s="29"/>
      <c r="G3643" s="29"/>
      <c r="H3643" s="30" t="str">
        <f t="shared" si="392"/>
        <v/>
      </c>
      <c r="I3643" s="31" t="str">
        <f>IF(OR(B3643="",C3643=""),"",IFERROR(E3643*IF(E3643="",0,VLOOKUP(C3643,'📦 Precios Proforma'!$B$5:$D$104,IF(D3643="DIA",2,3),FALSE)),0))</f>
        <v/>
      </c>
      <c r="J3643" s="31" t="str">
        <f t="shared" si="393"/>
        <v/>
      </c>
      <c r="K3643" s="31" t="str">
        <f t="shared" si="394"/>
        <v/>
      </c>
      <c r="L3643" s="31" t="str">
        <f>IF(OR(B3643="",C3643=""),"",IFERROR(E3643 / SUMIFS('📅 Resumen Diario'!$D$5:$D$504, '📅 Resumen Diario'!$B$5:$B$504, B3643, '📅 Resumen Diario'!$C$5:$C$504, D3643) * SUMIFS('📅 Resumen Diario'!$K$5:$K$504, '📅 Resumen Diario'!$B$5:$B$504, B3643, '📅 Resumen Diario'!$C$5:$C$504, D3643), 0))</f>
        <v/>
      </c>
      <c r="M3643" s="31" t="str">
        <f t="shared" si="395"/>
        <v/>
      </c>
      <c r="N3643" s="31" t="str">
        <f t="shared" si="396"/>
        <v/>
      </c>
      <c r="O3643" s="31" t="str">
        <f>IF(OR(B3643="",C3643=""),"",K3643-N3643 + IFERROR(E3643 / SUMIFS('📅 Resumen Diario'!$D$5:$D$504, '📅 Resumen Diario'!$B$5:$B$504, B3643, '📅 Resumen Diario'!$C$5:$C$504, D3643) * (SUMIFS('📋 Detalle Diario'!$E$5:$E$489, '📋 Detalle Diario'!$B$5:$B$489, B3643, '📋 Detalle Diario'!$C$5:$C$489, D3643) * 135 + SUMIFS('📋 Detalle Diario'!$I$5:$I$489, '📋 Detalle Diario'!$B$5:$B$489, B3643, '📋 Detalle Diario'!$C$5:$C$489, D3643) * 200), 0))</f>
        <v/>
      </c>
      <c r="P3643" s="32" t="str">
        <f t="shared" si="397"/>
        <v/>
      </c>
      <c r="Q3643" s="33" t="str">
        <f t="shared" si="398"/>
        <v/>
      </c>
    </row>
    <row r="3644" spans="2:17" ht="18" customHeight="1" x14ac:dyDescent="0.3">
      <c r="B3644" s="26"/>
      <c r="C3644" s="17"/>
      <c r="D3644" s="27"/>
      <c r="E3644" s="18"/>
      <c r="F3644" s="18"/>
      <c r="G3644" s="18"/>
      <c r="H3644" s="30" t="str">
        <f t="shared" si="392"/>
        <v/>
      </c>
      <c r="I3644" s="31" t="str">
        <f>IF(OR(B3644="",C3644=""),"",IFERROR(E3644*IF(E3644="",0,VLOOKUP(C3644,'📦 Precios Proforma'!$B$5:$D$104,IF(D3644="DIA",2,3),FALSE)),0))</f>
        <v/>
      </c>
      <c r="J3644" s="31" t="str">
        <f t="shared" si="393"/>
        <v/>
      </c>
      <c r="K3644" s="31" t="str">
        <f t="shared" si="394"/>
        <v/>
      </c>
      <c r="L3644" s="31" t="str">
        <f>IF(OR(B3644="",C3644=""),"",IFERROR(E3644 / SUMIFS('📅 Resumen Diario'!$D$5:$D$504, '📅 Resumen Diario'!$B$5:$B$504, B3644, '📅 Resumen Diario'!$C$5:$C$504, D3644) * SUMIFS('📅 Resumen Diario'!$K$5:$K$504, '📅 Resumen Diario'!$B$5:$B$504, B3644, '📅 Resumen Diario'!$C$5:$C$504, D3644), 0))</f>
        <v/>
      </c>
      <c r="M3644" s="31" t="str">
        <f t="shared" si="395"/>
        <v/>
      </c>
      <c r="N3644" s="31" t="str">
        <f t="shared" si="396"/>
        <v/>
      </c>
      <c r="O3644" s="31" t="str">
        <f>IF(OR(B3644="",C3644=""),"",K3644-N3644 + IFERROR(E3644 / SUMIFS('📅 Resumen Diario'!$D$5:$D$504, '📅 Resumen Diario'!$B$5:$B$504, B3644, '📅 Resumen Diario'!$C$5:$C$504, D3644) * (SUMIFS('📋 Detalle Diario'!$E$5:$E$489, '📋 Detalle Diario'!$B$5:$B$489, B3644, '📋 Detalle Diario'!$C$5:$C$489, D3644) * 135 + SUMIFS('📋 Detalle Diario'!$I$5:$I$489, '📋 Detalle Diario'!$B$5:$B$489, B3644, '📋 Detalle Diario'!$C$5:$C$489, D3644) * 200), 0))</f>
        <v/>
      </c>
      <c r="P3644" s="32" t="str">
        <f t="shared" si="397"/>
        <v/>
      </c>
      <c r="Q3644" s="33" t="str">
        <f t="shared" si="398"/>
        <v/>
      </c>
    </row>
    <row r="3645" spans="2:17" ht="18" customHeight="1" x14ac:dyDescent="0.3">
      <c r="B3645" s="26"/>
      <c r="C3645" s="28"/>
      <c r="D3645" s="27"/>
      <c r="E3645" s="29"/>
      <c r="F3645" s="29"/>
      <c r="G3645" s="29"/>
      <c r="H3645" s="30" t="str">
        <f t="shared" si="392"/>
        <v/>
      </c>
      <c r="I3645" s="31" t="str">
        <f>IF(OR(B3645="",C3645=""),"",IFERROR(E3645*IF(E3645="",0,VLOOKUP(C3645,'📦 Precios Proforma'!$B$5:$D$104,IF(D3645="DIA",2,3),FALSE)),0))</f>
        <v/>
      </c>
      <c r="J3645" s="31" t="str">
        <f t="shared" si="393"/>
        <v/>
      </c>
      <c r="K3645" s="31" t="str">
        <f t="shared" si="394"/>
        <v/>
      </c>
      <c r="L3645" s="31" t="str">
        <f>IF(OR(B3645="",C3645=""),"",IFERROR(E3645 / SUMIFS('📅 Resumen Diario'!$D$5:$D$504, '📅 Resumen Diario'!$B$5:$B$504, B3645, '📅 Resumen Diario'!$C$5:$C$504, D3645) * SUMIFS('📅 Resumen Diario'!$K$5:$K$504, '📅 Resumen Diario'!$B$5:$B$504, B3645, '📅 Resumen Diario'!$C$5:$C$504, D3645), 0))</f>
        <v/>
      </c>
      <c r="M3645" s="31" t="str">
        <f t="shared" si="395"/>
        <v/>
      </c>
      <c r="N3645" s="31" t="str">
        <f t="shared" si="396"/>
        <v/>
      </c>
      <c r="O3645" s="31" t="str">
        <f>IF(OR(B3645="",C3645=""),"",K3645-N3645 + IFERROR(E3645 / SUMIFS('📅 Resumen Diario'!$D$5:$D$504, '📅 Resumen Diario'!$B$5:$B$504, B3645, '📅 Resumen Diario'!$C$5:$C$504, D3645) * (SUMIFS('📋 Detalle Diario'!$E$5:$E$489, '📋 Detalle Diario'!$B$5:$B$489, B3645, '📋 Detalle Diario'!$C$5:$C$489, D3645) * 135 + SUMIFS('📋 Detalle Diario'!$I$5:$I$489, '📋 Detalle Diario'!$B$5:$B$489, B3645, '📋 Detalle Diario'!$C$5:$C$489, D3645) * 200), 0))</f>
        <v/>
      </c>
      <c r="P3645" s="32" t="str">
        <f t="shared" si="397"/>
        <v/>
      </c>
      <c r="Q3645" s="33" t="str">
        <f t="shared" si="398"/>
        <v/>
      </c>
    </row>
    <row r="3646" spans="2:17" ht="18" customHeight="1" x14ac:dyDescent="0.3">
      <c r="B3646" s="26"/>
      <c r="C3646" s="17"/>
      <c r="D3646" s="27"/>
      <c r="E3646" s="18"/>
      <c r="F3646" s="18"/>
      <c r="G3646" s="18"/>
      <c r="H3646" s="30" t="str">
        <f t="shared" si="392"/>
        <v/>
      </c>
      <c r="I3646" s="31" t="str">
        <f>IF(OR(B3646="",C3646=""),"",IFERROR(E3646*IF(E3646="",0,VLOOKUP(C3646,'📦 Precios Proforma'!$B$5:$D$104,IF(D3646="DIA",2,3),FALSE)),0))</f>
        <v/>
      </c>
      <c r="J3646" s="31" t="str">
        <f t="shared" si="393"/>
        <v/>
      </c>
      <c r="K3646" s="31" t="str">
        <f t="shared" si="394"/>
        <v/>
      </c>
      <c r="L3646" s="31" t="str">
        <f>IF(OR(B3646="",C3646=""),"",IFERROR(E3646 / SUMIFS('📅 Resumen Diario'!$D$5:$D$504, '📅 Resumen Diario'!$B$5:$B$504, B3646, '📅 Resumen Diario'!$C$5:$C$504, D3646) * SUMIFS('📅 Resumen Diario'!$K$5:$K$504, '📅 Resumen Diario'!$B$5:$B$504, B3646, '📅 Resumen Diario'!$C$5:$C$504, D3646), 0))</f>
        <v/>
      </c>
      <c r="M3646" s="31" t="str">
        <f t="shared" si="395"/>
        <v/>
      </c>
      <c r="N3646" s="31" t="str">
        <f t="shared" si="396"/>
        <v/>
      </c>
      <c r="O3646" s="31" t="str">
        <f>IF(OR(B3646="",C3646=""),"",K3646-N3646 + IFERROR(E3646 / SUMIFS('📅 Resumen Diario'!$D$5:$D$504, '📅 Resumen Diario'!$B$5:$B$504, B3646, '📅 Resumen Diario'!$C$5:$C$504, D3646) * (SUMIFS('📋 Detalle Diario'!$E$5:$E$489, '📋 Detalle Diario'!$B$5:$B$489, B3646, '📋 Detalle Diario'!$C$5:$C$489, D3646) * 135 + SUMIFS('📋 Detalle Diario'!$I$5:$I$489, '📋 Detalle Diario'!$B$5:$B$489, B3646, '📋 Detalle Diario'!$C$5:$C$489, D3646) * 200), 0))</f>
        <v/>
      </c>
      <c r="P3646" s="32" t="str">
        <f t="shared" si="397"/>
        <v/>
      </c>
      <c r="Q3646" s="33" t="str">
        <f t="shared" si="398"/>
        <v/>
      </c>
    </row>
    <row r="3647" spans="2:17" ht="18" customHeight="1" x14ac:dyDescent="0.3">
      <c r="B3647" s="26"/>
      <c r="C3647" s="28"/>
      <c r="D3647" s="27"/>
      <c r="E3647" s="29"/>
      <c r="F3647" s="29"/>
      <c r="G3647" s="29"/>
      <c r="H3647" s="30" t="str">
        <f t="shared" si="392"/>
        <v/>
      </c>
      <c r="I3647" s="31" t="str">
        <f>IF(OR(B3647="",C3647=""),"",IFERROR(E3647*IF(E3647="",0,VLOOKUP(C3647,'📦 Precios Proforma'!$B$5:$D$104,IF(D3647="DIA",2,3),FALSE)),0))</f>
        <v/>
      </c>
      <c r="J3647" s="31" t="str">
        <f t="shared" si="393"/>
        <v/>
      </c>
      <c r="K3647" s="31" t="str">
        <f t="shared" si="394"/>
        <v/>
      </c>
      <c r="L3647" s="31" t="str">
        <f>IF(OR(B3647="",C3647=""),"",IFERROR(E3647 / SUMIFS('📅 Resumen Diario'!$D$5:$D$504, '📅 Resumen Diario'!$B$5:$B$504, B3647, '📅 Resumen Diario'!$C$5:$C$504, D3647) * SUMIFS('📅 Resumen Diario'!$K$5:$K$504, '📅 Resumen Diario'!$B$5:$B$504, B3647, '📅 Resumen Diario'!$C$5:$C$504, D3647), 0))</f>
        <v/>
      </c>
      <c r="M3647" s="31" t="str">
        <f t="shared" si="395"/>
        <v/>
      </c>
      <c r="N3647" s="31" t="str">
        <f t="shared" si="396"/>
        <v/>
      </c>
      <c r="O3647" s="31" t="str">
        <f>IF(OR(B3647="",C3647=""),"",K3647-N3647 + IFERROR(E3647 / SUMIFS('📅 Resumen Diario'!$D$5:$D$504, '📅 Resumen Diario'!$B$5:$B$504, B3647, '📅 Resumen Diario'!$C$5:$C$504, D3647) * (SUMIFS('📋 Detalle Diario'!$E$5:$E$489, '📋 Detalle Diario'!$B$5:$B$489, B3647, '📋 Detalle Diario'!$C$5:$C$489, D3647) * 135 + SUMIFS('📋 Detalle Diario'!$I$5:$I$489, '📋 Detalle Diario'!$B$5:$B$489, B3647, '📋 Detalle Diario'!$C$5:$C$489, D3647) * 200), 0))</f>
        <v/>
      </c>
      <c r="P3647" s="32" t="str">
        <f t="shared" si="397"/>
        <v/>
      </c>
      <c r="Q3647" s="33" t="str">
        <f t="shared" si="398"/>
        <v/>
      </c>
    </row>
    <row r="3648" spans="2:17" ht="18" customHeight="1" x14ac:dyDescent="0.3">
      <c r="B3648" s="26"/>
      <c r="C3648" s="17"/>
      <c r="D3648" s="27"/>
      <c r="E3648" s="18"/>
      <c r="F3648" s="18"/>
      <c r="G3648" s="18"/>
      <c r="H3648" s="30" t="str">
        <f t="shared" si="392"/>
        <v/>
      </c>
      <c r="I3648" s="31" t="str">
        <f>IF(OR(B3648="",C3648=""),"",IFERROR(E3648*IF(E3648="",0,VLOOKUP(C3648,'📦 Precios Proforma'!$B$5:$D$104,IF(D3648="DIA",2,3),FALSE)),0))</f>
        <v/>
      </c>
      <c r="J3648" s="31" t="str">
        <f t="shared" si="393"/>
        <v/>
      </c>
      <c r="K3648" s="31" t="str">
        <f t="shared" si="394"/>
        <v/>
      </c>
      <c r="L3648" s="31" t="str">
        <f>IF(OR(B3648="",C3648=""),"",IFERROR(E3648 / SUMIFS('📅 Resumen Diario'!$D$5:$D$504, '📅 Resumen Diario'!$B$5:$B$504, B3648, '📅 Resumen Diario'!$C$5:$C$504, D3648) * SUMIFS('📅 Resumen Diario'!$K$5:$K$504, '📅 Resumen Diario'!$B$5:$B$504, B3648, '📅 Resumen Diario'!$C$5:$C$504, D3648), 0))</f>
        <v/>
      </c>
      <c r="M3648" s="31" t="str">
        <f t="shared" si="395"/>
        <v/>
      </c>
      <c r="N3648" s="31" t="str">
        <f t="shared" si="396"/>
        <v/>
      </c>
      <c r="O3648" s="31" t="str">
        <f>IF(OR(B3648="",C3648=""),"",K3648-N3648 + IFERROR(E3648 / SUMIFS('📅 Resumen Diario'!$D$5:$D$504, '📅 Resumen Diario'!$B$5:$B$504, B3648, '📅 Resumen Diario'!$C$5:$C$504, D3648) * (SUMIFS('📋 Detalle Diario'!$E$5:$E$489, '📋 Detalle Diario'!$B$5:$B$489, B3648, '📋 Detalle Diario'!$C$5:$C$489, D3648) * 135 + SUMIFS('📋 Detalle Diario'!$I$5:$I$489, '📋 Detalle Diario'!$B$5:$B$489, B3648, '📋 Detalle Diario'!$C$5:$C$489, D3648) * 200), 0))</f>
        <v/>
      </c>
      <c r="P3648" s="32" t="str">
        <f t="shared" si="397"/>
        <v/>
      </c>
      <c r="Q3648" s="33" t="str">
        <f t="shared" si="398"/>
        <v/>
      </c>
    </row>
    <row r="3649" spans="2:17" ht="18" customHeight="1" x14ac:dyDescent="0.3">
      <c r="B3649" s="26"/>
      <c r="C3649" s="28"/>
      <c r="D3649" s="27"/>
      <c r="E3649" s="29"/>
      <c r="F3649" s="29"/>
      <c r="G3649" s="29"/>
      <c r="H3649" s="30" t="str">
        <f t="shared" si="392"/>
        <v/>
      </c>
      <c r="I3649" s="31" t="str">
        <f>IF(OR(B3649="",C3649=""),"",IFERROR(E3649*IF(E3649="",0,VLOOKUP(C3649,'📦 Precios Proforma'!$B$5:$D$104,IF(D3649="DIA",2,3),FALSE)),0))</f>
        <v/>
      </c>
      <c r="J3649" s="31" t="str">
        <f t="shared" si="393"/>
        <v/>
      </c>
      <c r="K3649" s="31" t="str">
        <f t="shared" si="394"/>
        <v/>
      </c>
      <c r="L3649" s="31" t="str">
        <f>IF(OR(B3649="",C3649=""),"",IFERROR(E3649 / SUMIFS('📅 Resumen Diario'!$D$5:$D$504, '📅 Resumen Diario'!$B$5:$B$504, B3649, '📅 Resumen Diario'!$C$5:$C$504, D3649) * SUMIFS('📅 Resumen Diario'!$K$5:$K$504, '📅 Resumen Diario'!$B$5:$B$504, B3649, '📅 Resumen Diario'!$C$5:$C$504, D3649), 0))</f>
        <v/>
      </c>
      <c r="M3649" s="31" t="str">
        <f t="shared" si="395"/>
        <v/>
      </c>
      <c r="N3649" s="31" t="str">
        <f t="shared" si="396"/>
        <v/>
      </c>
      <c r="O3649" s="31" t="str">
        <f>IF(OR(B3649="",C3649=""),"",K3649-N3649 + IFERROR(E3649 / SUMIFS('📅 Resumen Diario'!$D$5:$D$504, '📅 Resumen Diario'!$B$5:$B$504, B3649, '📅 Resumen Diario'!$C$5:$C$504, D3649) * (SUMIFS('📋 Detalle Diario'!$E$5:$E$489, '📋 Detalle Diario'!$B$5:$B$489, B3649, '📋 Detalle Diario'!$C$5:$C$489, D3649) * 135 + SUMIFS('📋 Detalle Diario'!$I$5:$I$489, '📋 Detalle Diario'!$B$5:$B$489, B3649, '📋 Detalle Diario'!$C$5:$C$489, D3649) * 200), 0))</f>
        <v/>
      </c>
      <c r="P3649" s="32" t="str">
        <f t="shared" si="397"/>
        <v/>
      </c>
      <c r="Q3649" s="33" t="str">
        <f t="shared" si="398"/>
        <v/>
      </c>
    </row>
    <row r="3650" spans="2:17" ht="18" customHeight="1" x14ac:dyDescent="0.3">
      <c r="B3650" s="26"/>
      <c r="C3650" s="17"/>
      <c r="D3650" s="27"/>
      <c r="E3650" s="18"/>
      <c r="F3650" s="18"/>
      <c r="G3650" s="18"/>
      <c r="H3650" s="30" t="str">
        <f t="shared" si="392"/>
        <v/>
      </c>
      <c r="I3650" s="31" t="str">
        <f>IF(OR(B3650="",C3650=""),"",IFERROR(E3650*IF(E3650="",0,VLOOKUP(C3650,'📦 Precios Proforma'!$B$5:$D$104,IF(D3650="DIA",2,3),FALSE)),0))</f>
        <v/>
      </c>
      <c r="J3650" s="31" t="str">
        <f t="shared" si="393"/>
        <v/>
      </c>
      <c r="K3650" s="31" t="str">
        <f t="shared" si="394"/>
        <v/>
      </c>
      <c r="L3650" s="31" t="str">
        <f>IF(OR(B3650="",C3650=""),"",IFERROR(E3650 / SUMIFS('📅 Resumen Diario'!$D$5:$D$504, '📅 Resumen Diario'!$B$5:$B$504, B3650, '📅 Resumen Diario'!$C$5:$C$504, D3650) * SUMIFS('📅 Resumen Diario'!$K$5:$K$504, '📅 Resumen Diario'!$B$5:$B$504, B3650, '📅 Resumen Diario'!$C$5:$C$504, D3650), 0))</f>
        <v/>
      </c>
      <c r="M3650" s="31" t="str">
        <f t="shared" si="395"/>
        <v/>
      </c>
      <c r="N3650" s="31" t="str">
        <f t="shared" si="396"/>
        <v/>
      </c>
      <c r="O3650" s="31" t="str">
        <f>IF(OR(B3650="",C3650=""),"",K3650-N3650 + IFERROR(E3650 / SUMIFS('📅 Resumen Diario'!$D$5:$D$504, '📅 Resumen Diario'!$B$5:$B$504, B3650, '📅 Resumen Diario'!$C$5:$C$504, D3650) * (SUMIFS('📋 Detalle Diario'!$E$5:$E$489, '📋 Detalle Diario'!$B$5:$B$489, B3650, '📋 Detalle Diario'!$C$5:$C$489, D3650) * 135 + SUMIFS('📋 Detalle Diario'!$I$5:$I$489, '📋 Detalle Diario'!$B$5:$B$489, B3650, '📋 Detalle Diario'!$C$5:$C$489, D3650) * 200), 0))</f>
        <v/>
      </c>
      <c r="P3650" s="32" t="str">
        <f t="shared" si="397"/>
        <v/>
      </c>
      <c r="Q3650" s="33" t="str">
        <f t="shared" si="398"/>
        <v/>
      </c>
    </row>
    <row r="3651" spans="2:17" ht="18" customHeight="1" x14ac:dyDescent="0.3">
      <c r="B3651" s="26"/>
      <c r="C3651" s="28"/>
      <c r="D3651" s="27"/>
      <c r="E3651" s="29"/>
      <c r="F3651" s="29"/>
      <c r="G3651" s="29"/>
      <c r="H3651" s="30" t="str">
        <f t="shared" si="392"/>
        <v/>
      </c>
      <c r="I3651" s="31" t="str">
        <f>IF(OR(B3651="",C3651=""),"",IFERROR(E3651*IF(E3651="",0,VLOOKUP(C3651,'📦 Precios Proforma'!$B$5:$D$104,IF(D3651="DIA",2,3),FALSE)),0))</f>
        <v/>
      </c>
      <c r="J3651" s="31" t="str">
        <f t="shared" si="393"/>
        <v/>
      </c>
      <c r="K3651" s="31" t="str">
        <f t="shared" si="394"/>
        <v/>
      </c>
      <c r="L3651" s="31" t="str">
        <f>IF(OR(B3651="",C3651=""),"",IFERROR(E3651 / SUMIFS('📅 Resumen Diario'!$D$5:$D$504, '📅 Resumen Diario'!$B$5:$B$504, B3651, '📅 Resumen Diario'!$C$5:$C$504, D3651) * SUMIFS('📅 Resumen Diario'!$K$5:$K$504, '📅 Resumen Diario'!$B$5:$B$504, B3651, '📅 Resumen Diario'!$C$5:$C$504, D3651), 0))</f>
        <v/>
      </c>
      <c r="M3651" s="31" t="str">
        <f t="shared" si="395"/>
        <v/>
      </c>
      <c r="N3651" s="31" t="str">
        <f t="shared" si="396"/>
        <v/>
      </c>
      <c r="O3651" s="31" t="str">
        <f>IF(OR(B3651="",C3651=""),"",K3651-N3651 + IFERROR(E3651 / SUMIFS('📅 Resumen Diario'!$D$5:$D$504, '📅 Resumen Diario'!$B$5:$B$504, B3651, '📅 Resumen Diario'!$C$5:$C$504, D3651) * (SUMIFS('📋 Detalle Diario'!$E$5:$E$489, '📋 Detalle Diario'!$B$5:$B$489, B3651, '📋 Detalle Diario'!$C$5:$C$489, D3651) * 135 + SUMIFS('📋 Detalle Diario'!$I$5:$I$489, '📋 Detalle Diario'!$B$5:$B$489, B3651, '📋 Detalle Diario'!$C$5:$C$489, D3651) * 200), 0))</f>
        <v/>
      </c>
      <c r="P3651" s="32" t="str">
        <f t="shared" si="397"/>
        <v/>
      </c>
      <c r="Q3651" s="33" t="str">
        <f t="shared" si="398"/>
        <v/>
      </c>
    </row>
    <row r="3652" spans="2:17" ht="18" customHeight="1" x14ac:dyDescent="0.3">
      <c r="B3652" s="26"/>
      <c r="C3652" s="17"/>
      <c r="D3652" s="27"/>
      <c r="E3652" s="18"/>
      <c r="F3652" s="18"/>
      <c r="G3652" s="18"/>
      <c r="H3652" s="30" t="str">
        <f t="shared" si="392"/>
        <v/>
      </c>
      <c r="I3652" s="31" t="str">
        <f>IF(OR(B3652="",C3652=""),"",IFERROR(E3652*IF(E3652="",0,VLOOKUP(C3652,'📦 Precios Proforma'!$B$5:$D$104,IF(D3652="DIA",2,3),FALSE)),0))</f>
        <v/>
      </c>
      <c r="J3652" s="31" t="str">
        <f t="shared" si="393"/>
        <v/>
      </c>
      <c r="K3652" s="31" t="str">
        <f t="shared" si="394"/>
        <v/>
      </c>
      <c r="L3652" s="31" t="str">
        <f>IF(OR(B3652="",C3652=""),"",IFERROR(E3652 / SUMIFS('📅 Resumen Diario'!$D$5:$D$504, '📅 Resumen Diario'!$B$5:$B$504, B3652, '📅 Resumen Diario'!$C$5:$C$504, D3652) * SUMIFS('📅 Resumen Diario'!$K$5:$K$504, '📅 Resumen Diario'!$B$5:$B$504, B3652, '📅 Resumen Diario'!$C$5:$C$504, D3652), 0))</f>
        <v/>
      </c>
      <c r="M3652" s="31" t="str">
        <f t="shared" si="395"/>
        <v/>
      </c>
      <c r="N3652" s="31" t="str">
        <f t="shared" si="396"/>
        <v/>
      </c>
      <c r="O3652" s="31" t="str">
        <f>IF(OR(B3652="",C3652=""),"",K3652-N3652 + IFERROR(E3652 / SUMIFS('📅 Resumen Diario'!$D$5:$D$504, '📅 Resumen Diario'!$B$5:$B$504, B3652, '📅 Resumen Diario'!$C$5:$C$504, D3652) * (SUMIFS('📋 Detalle Diario'!$E$5:$E$489, '📋 Detalle Diario'!$B$5:$B$489, B3652, '📋 Detalle Diario'!$C$5:$C$489, D3652) * 135 + SUMIFS('📋 Detalle Diario'!$I$5:$I$489, '📋 Detalle Diario'!$B$5:$B$489, B3652, '📋 Detalle Diario'!$C$5:$C$489, D3652) * 200), 0))</f>
        <v/>
      </c>
      <c r="P3652" s="32" t="str">
        <f t="shared" si="397"/>
        <v/>
      </c>
      <c r="Q3652" s="33" t="str">
        <f t="shared" si="398"/>
        <v/>
      </c>
    </row>
    <row r="3653" spans="2:17" ht="18" customHeight="1" x14ac:dyDescent="0.3">
      <c r="B3653" s="26"/>
      <c r="C3653" s="28"/>
      <c r="D3653" s="27"/>
      <c r="E3653" s="29"/>
      <c r="F3653" s="29"/>
      <c r="G3653" s="29"/>
      <c r="H3653" s="30" t="str">
        <f t="shared" si="392"/>
        <v/>
      </c>
      <c r="I3653" s="31" t="str">
        <f>IF(OR(B3653="",C3653=""),"",IFERROR(E3653*IF(E3653="",0,VLOOKUP(C3653,'📦 Precios Proforma'!$B$5:$D$104,IF(D3653="DIA",2,3),FALSE)),0))</f>
        <v/>
      </c>
      <c r="J3653" s="31" t="str">
        <f t="shared" si="393"/>
        <v/>
      </c>
      <c r="K3653" s="31" t="str">
        <f t="shared" si="394"/>
        <v/>
      </c>
      <c r="L3653" s="31" t="str">
        <f>IF(OR(B3653="",C3653=""),"",IFERROR(E3653 / SUMIFS('📅 Resumen Diario'!$D$5:$D$504, '📅 Resumen Diario'!$B$5:$B$504, B3653, '📅 Resumen Diario'!$C$5:$C$504, D3653) * SUMIFS('📅 Resumen Diario'!$K$5:$K$504, '📅 Resumen Diario'!$B$5:$B$504, B3653, '📅 Resumen Diario'!$C$5:$C$504, D3653), 0))</f>
        <v/>
      </c>
      <c r="M3653" s="31" t="str">
        <f t="shared" si="395"/>
        <v/>
      </c>
      <c r="N3653" s="31" t="str">
        <f t="shared" si="396"/>
        <v/>
      </c>
      <c r="O3653" s="31" t="str">
        <f>IF(OR(B3653="",C3653=""),"",K3653-N3653 + IFERROR(E3653 / SUMIFS('📅 Resumen Diario'!$D$5:$D$504, '📅 Resumen Diario'!$B$5:$B$504, B3653, '📅 Resumen Diario'!$C$5:$C$504, D3653) * (SUMIFS('📋 Detalle Diario'!$E$5:$E$489, '📋 Detalle Diario'!$B$5:$B$489, B3653, '📋 Detalle Diario'!$C$5:$C$489, D3653) * 135 + SUMIFS('📋 Detalle Diario'!$I$5:$I$489, '📋 Detalle Diario'!$B$5:$B$489, B3653, '📋 Detalle Diario'!$C$5:$C$489, D3653) * 200), 0))</f>
        <v/>
      </c>
      <c r="P3653" s="32" t="str">
        <f t="shared" si="397"/>
        <v/>
      </c>
      <c r="Q3653" s="33" t="str">
        <f t="shared" si="398"/>
        <v/>
      </c>
    </row>
    <row r="3654" spans="2:17" ht="18" customHeight="1" x14ac:dyDescent="0.3">
      <c r="B3654" s="26"/>
      <c r="C3654" s="17"/>
      <c r="D3654" s="27"/>
      <c r="E3654" s="18"/>
      <c r="F3654" s="18"/>
      <c r="G3654" s="18"/>
      <c r="H3654" s="30" t="str">
        <f t="shared" si="392"/>
        <v/>
      </c>
      <c r="I3654" s="31" t="str">
        <f>IF(OR(B3654="",C3654=""),"",IFERROR(E3654*IF(E3654="",0,VLOOKUP(C3654,'📦 Precios Proforma'!$B$5:$D$104,IF(D3654="DIA",2,3),FALSE)),0))</f>
        <v/>
      </c>
      <c r="J3654" s="31" t="str">
        <f t="shared" si="393"/>
        <v/>
      </c>
      <c r="K3654" s="31" t="str">
        <f t="shared" si="394"/>
        <v/>
      </c>
      <c r="L3654" s="31" t="str">
        <f>IF(OR(B3654="",C3654=""),"",IFERROR(E3654 / SUMIFS('📅 Resumen Diario'!$D$5:$D$504, '📅 Resumen Diario'!$B$5:$B$504, B3654, '📅 Resumen Diario'!$C$5:$C$504, D3654) * SUMIFS('📅 Resumen Diario'!$K$5:$K$504, '📅 Resumen Diario'!$B$5:$B$504, B3654, '📅 Resumen Diario'!$C$5:$C$504, D3654), 0))</f>
        <v/>
      </c>
      <c r="M3654" s="31" t="str">
        <f t="shared" si="395"/>
        <v/>
      </c>
      <c r="N3654" s="31" t="str">
        <f t="shared" si="396"/>
        <v/>
      </c>
      <c r="O3654" s="31" t="str">
        <f>IF(OR(B3654="",C3654=""),"",K3654-N3654 + IFERROR(E3654 / SUMIFS('📅 Resumen Diario'!$D$5:$D$504, '📅 Resumen Diario'!$B$5:$B$504, B3654, '📅 Resumen Diario'!$C$5:$C$504, D3654) * (SUMIFS('📋 Detalle Diario'!$E$5:$E$489, '📋 Detalle Diario'!$B$5:$B$489, B3654, '📋 Detalle Diario'!$C$5:$C$489, D3654) * 135 + SUMIFS('📋 Detalle Diario'!$I$5:$I$489, '📋 Detalle Diario'!$B$5:$B$489, B3654, '📋 Detalle Diario'!$C$5:$C$489, D3654) * 200), 0))</f>
        <v/>
      </c>
      <c r="P3654" s="32" t="str">
        <f t="shared" si="397"/>
        <v/>
      </c>
      <c r="Q3654" s="33" t="str">
        <f t="shared" si="398"/>
        <v/>
      </c>
    </row>
    <row r="3655" spans="2:17" ht="18" customHeight="1" x14ac:dyDescent="0.3">
      <c r="B3655" s="26"/>
      <c r="C3655" s="28"/>
      <c r="D3655" s="27"/>
      <c r="E3655" s="29"/>
      <c r="F3655" s="29"/>
      <c r="G3655" s="29"/>
      <c r="H3655" s="30" t="str">
        <f t="shared" ref="H3655:H3718" si="399">IF(OR(B3655="",C3655=""),"",F3655+G3655)</f>
        <v/>
      </c>
      <c r="I3655" s="31" t="str">
        <f>IF(OR(B3655="",C3655=""),"",IFERROR(E3655*IF(E3655="",0,VLOOKUP(C3655,'📦 Precios Proforma'!$B$5:$D$104,IF(D3655="DIA",2,3),FALSE)),0))</f>
        <v/>
      </c>
      <c r="J3655" s="31" t="str">
        <f t="shared" ref="J3655:J3718" si="400">IF(OR(B3655="",C3655=""),"",IF(D3655="DIA",H3655*1.01,H3655*1.35))</f>
        <v/>
      </c>
      <c r="K3655" s="31" t="str">
        <f t="shared" ref="K3655:K3718" si="401">IF(OR(B3655="",C3655=""),"",I3655+J3655)</f>
        <v/>
      </c>
      <c r="L3655" s="31" t="str">
        <f>IF(OR(B3655="",C3655=""),"",IFERROR(E3655 / SUMIFS('📅 Resumen Diario'!$D$5:$D$504, '📅 Resumen Diario'!$B$5:$B$504, B3655, '📅 Resumen Diario'!$C$5:$C$504, D3655) * SUMIFS('📅 Resumen Diario'!$K$5:$K$504, '📅 Resumen Diario'!$B$5:$B$504, B3655, '📅 Resumen Diario'!$C$5:$C$504, D3655), 0))</f>
        <v/>
      </c>
      <c r="M3655" s="31" t="str">
        <f t="shared" ref="M3655:M3718" si="402">IF(OR(B3655="",C3655=""),"",H3655*0.09)</f>
        <v/>
      </c>
      <c r="N3655" s="31" t="str">
        <f t="shared" ref="N3655:N3718" si="403">IF(OR(B3655="",C3655=""),"",L3655+M3655)</f>
        <v/>
      </c>
      <c r="O3655" s="31" t="str">
        <f>IF(OR(B3655="",C3655=""),"",K3655-N3655 + IFERROR(E3655 / SUMIFS('📅 Resumen Diario'!$D$5:$D$504, '📅 Resumen Diario'!$B$5:$B$504, B3655, '📅 Resumen Diario'!$C$5:$C$504, D3655) * (SUMIFS('📋 Detalle Diario'!$E$5:$E$489, '📋 Detalle Diario'!$B$5:$B$489, B3655, '📋 Detalle Diario'!$C$5:$C$489, D3655) * 135 + SUMIFS('📋 Detalle Diario'!$I$5:$I$489, '📋 Detalle Diario'!$B$5:$B$489, B3655, '📋 Detalle Diario'!$C$5:$C$489, D3655) * 200), 0))</f>
        <v/>
      </c>
      <c r="P3655" s="32" t="str">
        <f t="shared" ref="P3655:P3718" si="404">IF(OR(B3655="",C3655=""),"",IF(K3655=0, 0, O3655/K3655))</f>
        <v/>
      </c>
      <c r="Q3655" s="33" t="str">
        <f t="shared" ref="Q3655:Q3718" si="405">IF(B3655="","",IF(ISNUMBER(B3655),YEAR(B3655)&amp;"-"&amp;IF(MONTH(B3655)&lt;10,"0","")&amp;MONTH(B3655),LEFT(B3655,7)))</f>
        <v/>
      </c>
    </row>
    <row r="3656" spans="2:17" ht="18" customHeight="1" x14ac:dyDescent="0.3">
      <c r="B3656" s="26"/>
      <c r="C3656" s="17"/>
      <c r="D3656" s="27"/>
      <c r="E3656" s="18"/>
      <c r="F3656" s="18"/>
      <c r="G3656" s="18"/>
      <c r="H3656" s="30" t="str">
        <f t="shared" si="399"/>
        <v/>
      </c>
      <c r="I3656" s="31" t="str">
        <f>IF(OR(B3656="",C3656=""),"",IFERROR(E3656*IF(E3656="",0,VLOOKUP(C3656,'📦 Precios Proforma'!$B$5:$D$104,IF(D3656="DIA",2,3),FALSE)),0))</f>
        <v/>
      </c>
      <c r="J3656" s="31" t="str">
        <f t="shared" si="400"/>
        <v/>
      </c>
      <c r="K3656" s="31" t="str">
        <f t="shared" si="401"/>
        <v/>
      </c>
      <c r="L3656" s="31" t="str">
        <f>IF(OR(B3656="",C3656=""),"",IFERROR(E3656 / SUMIFS('📅 Resumen Diario'!$D$5:$D$504, '📅 Resumen Diario'!$B$5:$B$504, B3656, '📅 Resumen Diario'!$C$5:$C$504, D3656) * SUMIFS('📅 Resumen Diario'!$K$5:$K$504, '📅 Resumen Diario'!$B$5:$B$504, B3656, '📅 Resumen Diario'!$C$5:$C$504, D3656), 0))</f>
        <v/>
      </c>
      <c r="M3656" s="31" t="str">
        <f t="shared" si="402"/>
        <v/>
      </c>
      <c r="N3656" s="31" t="str">
        <f t="shared" si="403"/>
        <v/>
      </c>
      <c r="O3656" s="31" t="str">
        <f>IF(OR(B3656="",C3656=""),"",K3656-N3656 + IFERROR(E3656 / SUMIFS('📅 Resumen Diario'!$D$5:$D$504, '📅 Resumen Diario'!$B$5:$B$504, B3656, '📅 Resumen Diario'!$C$5:$C$504, D3656) * (SUMIFS('📋 Detalle Diario'!$E$5:$E$489, '📋 Detalle Diario'!$B$5:$B$489, B3656, '📋 Detalle Diario'!$C$5:$C$489, D3656) * 135 + SUMIFS('📋 Detalle Diario'!$I$5:$I$489, '📋 Detalle Diario'!$B$5:$B$489, B3656, '📋 Detalle Diario'!$C$5:$C$489, D3656) * 200), 0))</f>
        <v/>
      </c>
      <c r="P3656" s="32" t="str">
        <f t="shared" si="404"/>
        <v/>
      </c>
      <c r="Q3656" s="33" t="str">
        <f t="shared" si="405"/>
        <v/>
      </c>
    </row>
    <row r="3657" spans="2:17" ht="18" customHeight="1" x14ac:dyDescent="0.3">
      <c r="B3657" s="26"/>
      <c r="C3657" s="28"/>
      <c r="D3657" s="27"/>
      <c r="E3657" s="29"/>
      <c r="F3657" s="29"/>
      <c r="G3657" s="29"/>
      <c r="H3657" s="30" t="str">
        <f t="shared" si="399"/>
        <v/>
      </c>
      <c r="I3657" s="31" t="str">
        <f>IF(OR(B3657="",C3657=""),"",IFERROR(E3657*IF(E3657="",0,VLOOKUP(C3657,'📦 Precios Proforma'!$B$5:$D$104,IF(D3657="DIA",2,3),FALSE)),0))</f>
        <v/>
      </c>
      <c r="J3657" s="31" t="str">
        <f t="shared" si="400"/>
        <v/>
      </c>
      <c r="K3657" s="31" t="str">
        <f t="shared" si="401"/>
        <v/>
      </c>
      <c r="L3657" s="31" t="str">
        <f>IF(OR(B3657="",C3657=""),"",IFERROR(E3657 / SUMIFS('📅 Resumen Diario'!$D$5:$D$504, '📅 Resumen Diario'!$B$5:$B$504, B3657, '📅 Resumen Diario'!$C$5:$C$504, D3657) * SUMIFS('📅 Resumen Diario'!$K$5:$K$504, '📅 Resumen Diario'!$B$5:$B$504, B3657, '📅 Resumen Diario'!$C$5:$C$504, D3657), 0))</f>
        <v/>
      </c>
      <c r="M3657" s="31" t="str">
        <f t="shared" si="402"/>
        <v/>
      </c>
      <c r="N3657" s="31" t="str">
        <f t="shared" si="403"/>
        <v/>
      </c>
      <c r="O3657" s="31" t="str">
        <f>IF(OR(B3657="",C3657=""),"",K3657-N3657 + IFERROR(E3657 / SUMIFS('📅 Resumen Diario'!$D$5:$D$504, '📅 Resumen Diario'!$B$5:$B$504, B3657, '📅 Resumen Diario'!$C$5:$C$504, D3657) * (SUMIFS('📋 Detalle Diario'!$E$5:$E$489, '📋 Detalle Diario'!$B$5:$B$489, B3657, '📋 Detalle Diario'!$C$5:$C$489, D3657) * 135 + SUMIFS('📋 Detalle Diario'!$I$5:$I$489, '📋 Detalle Diario'!$B$5:$B$489, B3657, '📋 Detalle Diario'!$C$5:$C$489, D3657) * 200), 0))</f>
        <v/>
      </c>
      <c r="P3657" s="32" t="str">
        <f t="shared" si="404"/>
        <v/>
      </c>
      <c r="Q3657" s="33" t="str">
        <f t="shared" si="405"/>
        <v/>
      </c>
    </row>
    <row r="3658" spans="2:17" ht="18" customHeight="1" x14ac:dyDescent="0.3">
      <c r="B3658" s="26"/>
      <c r="C3658" s="17"/>
      <c r="D3658" s="27"/>
      <c r="E3658" s="18"/>
      <c r="F3658" s="18"/>
      <c r="G3658" s="18"/>
      <c r="H3658" s="30" t="str">
        <f t="shared" si="399"/>
        <v/>
      </c>
      <c r="I3658" s="31" t="str">
        <f>IF(OR(B3658="",C3658=""),"",IFERROR(E3658*IF(E3658="",0,VLOOKUP(C3658,'📦 Precios Proforma'!$B$5:$D$104,IF(D3658="DIA",2,3),FALSE)),0))</f>
        <v/>
      </c>
      <c r="J3658" s="31" t="str">
        <f t="shared" si="400"/>
        <v/>
      </c>
      <c r="K3658" s="31" t="str">
        <f t="shared" si="401"/>
        <v/>
      </c>
      <c r="L3658" s="31" t="str">
        <f>IF(OR(B3658="",C3658=""),"",IFERROR(E3658 / SUMIFS('📅 Resumen Diario'!$D$5:$D$504, '📅 Resumen Diario'!$B$5:$B$504, B3658, '📅 Resumen Diario'!$C$5:$C$504, D3658) * SUMIFS('📅 Resumen Diario'!$K$5:$K$504, '📅 Resumen Diario'!$B$5:$B$504, B3658, '📅 Resumen Diario'!$C$5:$C$504, D3658), 0))</f>
        <v/>
      </c>
      <c r="M3658" s="31" t="str">
        <f t="shared" si="402"/>
        <v/>
      </c>
      <c r="N3658" s="31" t="str">
        <f t="shared" si="403"/>
        <v/>
      </c>
      <c r="O3658" s="31" t="str">
        <f>IF(OR(B3658="",C3658=""),"",K3658-N3658 + IFERROR(E3658 / SUMIFS('📅 Resumen Diario'!$D$5:$D$504, '📅 Resumen Diario'!$B$5:$B$504, B3658, '📅 Resumen Diario'!$C$5:$C$504, D3658) * (SUMIFS('📋 Detalle Diario'!$E$5:$E$489, '📋 Detalle Diario'!$B$5:$B$489, B3658, '📋 Detalle Diario'!$C$5:$C$489, D3658) * 135 + SUMIFS('📋 Detalle Diario'!$I$5:$I$489, '📋 Detalle Diario'!$B$5:$B$489, B3658, '📋 Detalle Diario'!$C$5:$C$489, D3658) * 200), 0))</f>
        <v/>
      </c>
      <c r="P3658" s="32" t="str">
        <f t="shared" si="404"/>
        <v/>
      </c>
      <c r="Q3658" s="33" t="str">
        <f t="shared" si="405"/>
        <v/>
      </c>
    </row>
    <row r="3659" spans="2:17" ht="18" customHeight="1" x14ac:dyDescent="0.3">
      <c r="B3659" s="26"/>
      <c r="C3659" s="28"/>
      <c r="D3659" s="27"/>
      <c r="E3659" s="29"/>
      <c r="F3659" s="29"/>
      <c r="G3659" s="29"/>
      <c r="H3659" s="30" t="str">
        <f t="shared" si="399"/>
        <v/>
      </c>
      <c r="I3659" s="31" t="str">
        <f>IF(OR(B3659="",C3659=""),"",IFERROR(E3659*IF(E3659="",0,VLOOKUP(C3659,'📦 Precios Proforma'!$B$5:$D$104,IF(D3659="DIA",2,3),FALSE)),0))</f>
        <v/>
      </c>
      <c r="J3659" s="31" t="str">
        <f t="shared" si="400"/>
        <v/>
      </c>
      <c r="K3659" s="31" t="str">
        <f t="shared" si="401"/>
        <v/>
      </c>
      <c r="L3659" s="31" t="str">
        <f>IF(OR(B3659="",C3659=""),"",IFERROR(E3659 / SUMIFS('📅 Resumen Diario'!$D$5:$D$504, '📅 Resumen Diario'!$B$5:$B$504, B3659, '📅 Resumen Diario'!$C$5:$C$504, D3659) * SUMIFS('📅 Resumen Diario'!$K$5:$K$504, '📅 Resumen Diario'!$B$5:$B$504, B3659, '📅 Resumen Diario'!$C$5:$C$504, D3659), 0))</f>
        <v/>
      </c>
      <c r="M3659" s="31" t="str">
        <f t="shared" si="402"/>
        <v/>
      </c>
      <c r="N3659" s="31" t="str">
        <f t="shared" si="403"/>
        <v/>
      </c>
      <c r="O3659" s="31" t="str">
        <f>IF(OR(B3659="",C3659=""),"",K3659-N3659 + IFERROR(E3659 / SUMIFS('📅 Resumen Diario'!$D$5:$D$504, '📅 Resumen Diario'!$B$5:$B$504, B3659, '📅 Resumen Diario'!$C$5:$C$504, D3659) * (SUMIFS('📋 Detalle Diario'!$E$5:$E$489, '📋 Detalle Diario'!$B$5:$B$489, B3659, '📋 Detalle Diario'!$C$5:$C$489, D3659) * 135 + SUMIFS('📋 Detalle Diario'!$I$5:$I$489, '📋 Detalle Diario'!$B$5:$B$489, B3659, '📋 Detalle Diario'!$C$5:$C$489, D3659) * 200), 0))</f>
        <v/>
      </c>
      <c r="P3659" s="32" t="str">
        <f t="shared" si="404"/>
        <v/>
      </c>
      <c r="Q3659" s="33" t="str">
        <f t="shared" si="405"/>
        <v/>
      </c>
    </row>
    <row r="3660" spans="2:17" ht="18" customHeight="1" x14ac:dyDescent="0.3">
      <c r="B3660" s="26"/>
      <c r="C3660" s="17"/>
      <c r="D3660" s="27"/>
      <c r="E3660" s="18"/>
      <c r="F3660" s="18"/>
      <c r="G3660" s="18"/>
      <c r="H3660" s="30" t="str">
        <f t="shared" si="399"/>
        <v/>
      </c>
      <c r="I3660" s="31" t="str">
        <f>IF(OR(B3660="",C3660=""),"",IFERROR(E3660*IF(E3660="",0,VLOOKUP(C3660,'📦 Precios Proforma'!$B$5:$D$104,IF(D3660="DIA",2,3),FALSE)),0))</f>
        <v/>
      </c>
      <c r="J3660" s="31" t="str">
        <f t="shared" si="400"/>
        <v/>
      </c>
      <c r="K3660" s="31" t="str">
        <f t="shared" si="401"/>
        <v/>
      </c>
      <c r="L3660" s="31" t="str">
        <f>IF(OR(B3660="",C3660=""),"",IFERROR(E3660 / SUMIFS('📅 Resumen Diario'!$D$5:$D$504, '📅 Resumen Diario'!$B$5:$B$504, B3660, '📅 Resumen Diario'!$C$5:$C$504, D3660) * SUMIFS('📅 Resumen Diario'!$K$5:$K$504, '📅 Resumen Diario'!$B$5:$B$504, B3660, '📅 Resumen Diario'!$C$5:$C$504, D3660), 0))</f>
        <v/>
      </c>
      <c r="M3660" s="31" t="str">
        <f t="shared" si="402"/>
        <v/>
      </c>
      <c r="N3660" s="31" t="str">
        <f t="shared" si="403"/>
        <v/>
      </c>
      <c r="O3660" s="31" t="str">
        <f>IF(OR(B3660="",C3660=""),"",K3660-N3660 + IFERROR(E3660 / SUMIFS('📅 Resumen Diario'!$D$5:$D$504, '📅 Resumen Diario'!$B$5:$B$504, B3660, '📅 Resumen Diario'!$C$5:$C$504, D3660) * (SUMIFS('📋 Detalle Diario'!$E$5:$E$489, '📋 Detalle Diario'!$B$5:$B$489, B3660, '📋 Detalle Diario'!$C$5:$C$489, D3660) * 135 + SUMIFS('📋 Detalle Diario'!$I$5:$I$489, '📋 Detalle Diario'!$B$5:$B$489, B3660, '📋 Detalle Diario'!$C$5:$C$489, D3660) * 200), 0))</f>
        <v/>
      </c>
      <c r="P3660" s="32" t="str">
        <f t="shared" si="404"/>
        <v/>
      </c>
      <c r="Q3660" s="33" t="str">
        <f t="shared" si="405"/>
        <v/>
      </c>
    </row>
    <row r="3661" spans="2:17" ht="18" customHeight="1" x14ac:dyDescent="0.3">
      <c r="B3661" s="26"/>
      <c r="C3661" s="28"/>
      <c r="D3661" s="27"/>
      <c r="E3661" s="29"/>
      <c r="F3661" s="29"/>
      <c r="G3661" s="29"/>
      <c r="H3661" s="30" t="str">
        <f t="shared" si="399"/>
        <v/>
      </c>
      <c r="I3661" s="31" t="str">
        <f>IF(OR(B3661="",C3661=""),"",IFERROR(E3661*IF(E3661="",0,VLOOKUP(C3661,'📦 Precios Proforma'!$B$5:$D$104,IF(D3661="DIA",2,3),FALSE)),0))</f>
        <v/>
      </c>
      <c r="J3661" s="31" t="str">
        <f t="shared" si="400"/>
        <v/>
      </c>
      <c r="K3661" s="31" t="str">
        <f t="shared" si="401"/>
        <v/>
      </c>
      <c r="L3661" s="31" t="str">
        <f>IF(OR(B3661="",C3661=""),"",IFERROR(E3661 / SUMIFS('📅 Resumen Diario'!$D$5:$D$504, '📅 Resumen Diario'!$B$5:$B$504, B3661, '📅 Resumen Diario'!$C$5:$C$504, D3661) * SUMIFS('📅 Resumen Diario'!$K$5:$K$504, '📅 Resumen Diario'!$B$5:$B$504, B3661, '📅 Resumen Diario'!$C$5:$C$504, D3661), 0))</f>
        <v/>
      </c>
      <c r="M3661" s="31" t="str">
        <f t="shared" si="402"/>
        <v/>
      </c>
      <c r="N3661" s="31" t="str">
        <f t="shared" si="403"/>
        <v/>
      </c>
      <c r="O3661" s="31" t="str">
        <f>IF(OR(B3661="",C3661=""),"",K3661-N3661 + IFERROR(E3661 / SUMIFS('📅 Resumen Diario'!$D$5:$D$504, '📅 Resumen Diario'!$B$5:$B$504, B3661, '📅 Resumen Diario'!$C$5:$C$504, D3661) * (SUMIFS('📋 Detalle Diario'!$E$5:$E$489, '📋 Detalle Diario'!$B$5:$B$489, B3661, '📋 Detalle Diario'!$C$5:$C$489, D3661) * 135 + SUMIFS('📋 Detalle Diario'!$I$5:$I$489, '📋 Detalle Diario'!$B$5:$B$489, B3661, '📋 Detalle Diario'!$C$5:$C$489, D3661) * 200), 0))</f>
        <v/>
      </c>
      <c r="P3661" s="32" t="str">
        <f t="shared" si="404"/>
        <v/>
      </c>
      <c r="Q3661" s="33" t="str">
        <f t="shared" si="405"/>
        <v/>
      </c>
    </row>
    <row r="3662" spans="2:17" ht="18" customHeight="1" x14ac:dyDescent="0.3">
      <c r="B3662" s="26"/>
      <c r="C3662" s="17"/>
      <c r="D3662" s="27"/>
      <c r="E3662" s="18"/>
      <c r="F3662" s="18"/>
      <c r="G3662" s="18"/>
      <c r="H3662" s="30" t="str">
        <f t="shared" si="399"/>
        <v/>
      </c>
      <c r="I3662" s="31" t="str">
        <f>IF(OR(B3662="",C3662=""),"",IFERROR(E3662*IF(E3662="",0,VLOOKUP(C3662,'📦 Precios Proforma'!$B$5:$D$104,IF(D3662="DIA",2,3),FALSE)),0))</f>
        <v/>
      </c>
      <c r="J3662" s="31" t="str">
        <f t="shared" si="400"/>
        <v/>
      </c>
      <c r="K3662" s="31" t="str">
        <f t="shared" si="401"/>
        <v/>
      </c>
      <c r="L3662" s="31" t="str">
        <f>IF(OR(B3662="",C3662=""),"",IFERROR(E3662 / SUMIFS('📅 Resumen Diario'!$D$5:$D$504, '📅 Resumen Diario'!$B$5:$B$504, B3662, '📅 Resumen Diario'!$C$5:$C$504, D3662) * SUMIFS('📅 Resumen Diario'!$K$5:$K$504, '📅 Resumen Diario'!$B$5:$B$504, B3662, '📅 Resumen Diario'!$C$5:$C$504, D3662), 0))</f>
        <v/>
      </c>
      <c r="M3662" s="31" t="str">
        <f t="shared" si="402"/>
        <v/>
      </c>
      <c r="N3662" s="31" t="str">
        <f t="shared" si="403"/>
        <v/>
      </c>
      <c r="O3662" s="31" t="str">
        <f>IF(OR(B3662="",C3662=""),"",K3662-N3662 + IFERROR(E3662 / SUMIFS('📅 Resumen Diario'!$D$5:$D$504, '📅 Resumen Diario'!$B$5:$B$504, B3662, '📅 Resumen Diario'!$C$5:$C$504, D3662) * (SUMIFS('📋 Detalle Diario'!$E$5:$E$489, '📋 Detalle Diario'!$B$5:$B$489, B3662, '📋 Detalle Diario'!$C$5:$C$489, D3662) * 135 + SUMIFS('📋 Detalle Diario'!$I$5:$I$489, '📋 Detalle Diario'!$B$5:$B$489, B3662, '📋 Detalle Diario'!$C$5:$C$489, D3662) * 200), 0))</f>
        <v/>
      </c>
      <c r="P3662" s="32" t="str">
        <f t="shared" si="404"/>
        <v/>
      </c>
      <c r="Q3662" s="33" t="str">
        <f t="shared" si="405"/>
        <v/>
      </c>
    </row>
    <row r="3663" spans="2:17" ht="18" customHeight="1" x14ac:dyDescent="0.3">
      <c r="B3663" s="26"/>
      <c r="C3663" s="28"/>
      <c r="D3663" s="27"/>
      <c r="E3663" s="29"/>
      <c r="F3663" s="29"/>
      <c r="G3663" s="29"/>
      <c r="H3663" s="30" t="str">
        <f t="shared" si="399"/>
        <v/>
      </c>
      <c r="I3663" s="31" t="str">
        <f>IF(OR(B3663="",C3663=""),"",IFERROR(E3663*IF(E3663="",0,VLOOKUP(C3663,'📦 Precios Proforma'!$B$5:$D$104,IF(D3663="DIA",2,3),FALSE)),0))</f>
        <v/>
      </c>
      <c r="J3663" s="31" t="str">
        <f t="shared" si="400"/>
        <v/>
      </c>
      <c r="K3663" s="31" t="str">
        <f t="shared" si="401"/>
        <v/>
      </c>
      <c r="L3663" s="31" t="str">
        <f>IF(OR(B3663="",C3663=""),"",IFERROR(E3663 / SUMIFS('📅 Resumen Diario'!$D$5:$D$504, '📅 Resumen Diario'!$B$5:$B$504, B3663, '📅 Resumen Diario'!$C$5:$C$504, D3663) * SUMIFS('📅 Resumen Diario'!$K$5:$K$504, '📅 Resumen Diario'!$B$5:$B$504, B3663, '📅 Resumen Diario'!$C$5:$C$504, D3663), 0))</f>
        <v/>
      </c>
      <c r="M3663" s="31" t="str">
        <f t="shared" si="402"/>
        <v/>
      </c>
      <c r="N3663" s="31" t="str">
        <f t="shared" si="403"/>
        <v/>
      </c>
      <c r="O3663" s="31" t="str">
        <f>IF(OR(B3663="",C3663=""),"",K3663-N3663 + IFERROR(E3663 / SUMIFS('📅 Resumen Diario'!$D$5:$D$504, '📅 Resumen Diario'!$B$5:$B$504, B3663, '📅 Resumen Diario'!$C$5:$C$504, D3663) * (SUMIFS('📋 Detalle Diario'!$E$5:$E$489, '📋 Detalle Diario'!$B$5:$B$489, B3663, '📋 Detalle Diario'!$C$5:$C$489, D3663) * 135 + SUMIFS('📋 Detalle Diario'!$I$5:$I$489, '📋 Detalle Diario'!$B$5:$B$489, B3663, '📋 Detalle Diario'!$C$5:$C$489, D3663) * 200), 0))</f>
        <v/>
      </c>
      <c r="P3663" s="32" t="str">
        <f t="shared" si="404"/>
        <v/>
      </c>
      <c r="Q3663" s="33" t="str">
        <f t="shared" si="405"/>
        <v/>
      </c>
    </row>
    <row r="3664" spans="2:17" ht="18" customHeight="1" x14ac:dyDescent="0.3">
      <c r="B3664" s="26"/>
      <c r="C3664" s="17"/>
      <c r="D3664" s="27"/>
      <c r="E3664" s="18"/>
      <c r="F3664" s="18"/>
      <c r="G3664" s="18"/>
      <c r="H3664" s="30" t="str">
        <f t="shared" si="399"/>
        <v/>
      </c>
      <c r="I3664" s="31" t="str">
        <f>IF(OR(B3664="",C3664=""),"",IFERROR(E3664*IF(E3664="",0,VLOOKUP(C3664,'📦 Precios Proforma'!$B$5:$D$104,IF(D3664="DIA",2,3),FALSE)),0))</f>
        <v/>
      </c>
      <c r="J3664" s="31" t="str">
        <f t="shared" si="400"/>
        <v/>
      </c>
      <c r="K3664" s="31" t="str">
        <f t="shared" si="401"/>
        <v/>
      </c>
      <c r="L3664" s="31" t="str">
        <f>IF(OR(B3664="",C3664=""),"",IFERROR(E3664 / SUMIFS('📅 Resumen Diario'!$D$5:$D$504, '📅 Resumen Diario'!$B$5:$B$504, B3664, '📅 Resumen Diario'!$C$5:$C$504, D3664) * SUMIFS('📅 Resumen Diario'!$K$5:$K$504, '📅 Resumen Diario'!$B$5:$B$504, B3664, '📅 Resumen Diario'!$C$5:$C$504, D3664), 0))</f>
        <v/>
      </c>
      <c r="M3664" s="31" t="str">
        <f t="shared" si="402"/>
        <v/>
      </c>
      <c r="N3664" s="31" t="str">
        <f t="shared" si="403"/>
        <v/>
      </c>
      <c r="O3664" s="31" t="str">
        <f>IF(OR(B3664="",C3664=""),"",K3664-N3664 + IFERROR(E3664 / SUMIFS('📅 Resumen Diario'!$D$5:$D$504, '📅 Resumen Diario'!$B$5:$B$504, B3664, '📅 Resumen Diario'!$C$5:$C$504, D3664) * (SUMIFS('📋 Detalle Diario'!$E$5:$E$489, '📋 Detalle Diario'!$B$5:$B$489, B3664, '📋 Detalle Diario'!$C$5:$C$489, D3664) * 135 + SUMIFS('📋 Detalle Diario'!$I$5:$I$489, '📋 Detalle Diario'!$B$5:$B$489, B3664, '📋 Detalle Diario'!$C$5:$C$489, D3664) * 200), 0))</f>
        <v/>
      </c>
      <c r="P3664" s="32" t="str">
        <f t="shared" si="404"/>
        <v/>
      </c>
      <c r="Q3664" s="33" t="str">
        <f t="shared" si="405"/>
        <v/>
      </c>
    </row>
    <row r="3665" spans="2:17" ht="18" customHeight="1" x14ac:dyDescent="0.3">
      <c r="B3665" s="26"/>
      <c r="C3665" s="28"/>
      <c r="D3665" s="27"/>
      <c r="E3665" s="29"/>
      <c r="F3665" s="29"/>
      <c r="G3665" s="29"/>
      <c r="H3665" s="30" t="str">
        <f t="shared" si="399"/>
        <v/>
      </c>
      <c r="I3665" s="31" t="str">
        <f>IF(OR(B3665="",C3665=""),"",IFERROR(E3665*IF(E3665="",0,VLOOKUP(C3665,'📦 Precios Proforma'!$B$5:$D$104,IF(D3665="DIA",2,3),FALSE)),0))</f>
        <v/>
      </c>
      <c r="J3665" s="31" t="str">
        <f t="shared" si="400"/>
        <v/>
      </c>
      <c r="K3665" s="31" t="str">
        <f t="shared" si="401"/>
        <v/>
      </c>
      <c r="L3665" s="31" t="str">
        <f>IF(OR(B3665="",C3665=""),"",IFERROR(E3665 / SUMIFS('📅 Resumen Diario'!$D$5:$D$504, '📅 Resumen Diario'!$B$5:$B$504, B3665, '📅 Resumen Diario'!$C$5:$C$504, D3665) * SUMIFS('📅 Resumen Diario'!$K$5:$K$504, '📅 Resumen Diario'!$B$5:$B$504, B3665, '📅 Resumen Diario'!$C$5:$C$504, D3665), 0))</f>
        <v/>
      </c>
      <c r="M3665" s="31" t="str">
        <f t="shared" si="402"/>
        <v/>
      </c>
      <c r="N3665" s="31" t="str">
        <f t="shared" si="403"/>
        <v/>
      </c>
      <c r="O3665" s="31" t="str">
        <f>IF(OR(B3665="",C3665=""),"",K3665-N3665 + IFERROR(E3665 / SUMIFS('📅 Resumen Diario'!$D$5:$D$504, '📅 Resumen Diario'!$B$5:$B$504, B3665, '📅 Resumen Diario'!$C$5:$C$504, D3665) * (SUMIFS('📋 Detalle Diario'!$E$5:$E$489, '📋 Detalle Diario'!$B$5:$B$489, B3665, '📋 Detalle Diario'!$C$5:$C$489, D3665) * 135 + SUMIFS('📋 Detalle Diario'!$I$5:$I$489, '📋 Detalle Diario'!$B$5:$B$489, B3665, '📋 Detalle Diario'!$C$5:$C$489, D3665) * 200), 0))</f>
        <v/>
      </c>
      <c r="P3665" s="32" t="str">
        <f t="shared" si="404"/>
        <v/>
      </c>
      <c r="Q3665" s="33" t="str">
        <f t="shared" si="405"/>
        <v/>
      </c>
    </row>
    <row r="3666" spans="2:17" ht="18" customHeight="1" x14ac:dyDescent="0.3">
      <c r="B3666" s="26"/>
      <c r="C3666" s="17"/>
      <c r="D3666" s="27"/>
      <c r="E3666" s="18"/>
      <c r="F3666" s="18"/>
      <c r="G3666" s="18"/>
      <c r="H3666" s="30" t="str">
        <f t="shared" si="399"/>
        <v/>
      </c>
      <c r="I3666" s="31" t="str">
        <f>IF(OR(B3666="",C3666=""),"",IFERROR(E3666*IF(E3666="",0,VLOOKUP(C3666,'📦 Precios Proforma'!$B$5:$D$104,IF(D3666="DIA",2,3),FALSE)),0))</f>
        <v/>
      </c>
      <c r="J3666" s="31" t="str">
        <f t="shared" si="400"/>
        <v/>
      </c>
      <c r="K3666" s="31" t="str">
        <f t="shared" si="401"/>
        <v/>
      </c>
      <c r="L3666" s="31" t="str">
        <f>IF(OR(B3666="",C3666=""),"",IFERROR(E3666 / SUMIFS('📅 Resumen Diario'!$D$5:$D$504, '📅 Resumen Diario'!$B$5:$B$504, B3666, '📅 Resumen Diario'!$C$5:$C$504, D3666) * SUMIFS('📅 Resumen Diario'!$K$5:$K$504, '📅 Resumen Diario'!$B$5:$B$504, B3666, '📅 Resumen Diario'!$C$5:$C$504, D3666), 0))</f>
        <v/>
      </c>
      <c r="M3666" s="31" t="str">
        <f t="shared" si="402"/>
        <v/>
      </c>
      <c r="N3666" s="31" t="str">
        <f t="shared" si="403"/>
        <v/>
      </c>
      <c r="O3666" s="31" t="str">
        <f>IF(OR(B3666="",C3666=""),"",K3666-N3666 + IFERROR(E3666 / SUMIFS('📅 Resumen Diario'!$D$5:$D$504, '📅 Resumen Diario'!$B$5:$B$504, B3666, '📅 Resumen Diario'!$C$5:$C$504, D3666) * (SUMIFS('📋 Detalle Diario'!$E$5:$E$489, '📋 Detalle Diario'!$B$5:$B$489, B3666, '📋 Detalle Diario'!$C$5:$C$489, D3666) * 135 + SUMIFS('📋 Detalle Diario'!$I$5:$I$489, '📋 Detalle Diario'!$B$5:$B$489, B3666, '📋 Detalle Diario'!$C$5:$C$489, D3666) * 200), 0))</f>
        <v/>
      </c>
      <c r="P3666" s="32" t="str">
        <f t="shared" si="404"/>
        <v/>
      </c>
      <c r="Q3666" s="33" t="str">
        <f t="shared" si="405"/>
        <v/>
      </c>
    </row>
    <row r="3667" spans="2:17" ht="18" customHeight="1" x14ac:dyDescent="0.3">
      <c r="B3667" s="26"/>
      <c r="C3667" s="28"/>
      <c r="D3667" s="27"/>
      <c r="E3667" s="29"/>
      <c r="F3667" s="29"/>
      <c r="G3667" s="29"/>
      <c r="H3667" s="30" t="str">
        <f t="shared" si="399"/>
        <v/>
      </c>
      <c r="I3667" s="31" t="str">
        <f>IF(OR(B3667="",C3667=""),"",IFERROR(E3667*IF(E3667="",0,VLOOKUP(C3667,'📦 Precios Proforma'!$B$5:$D$104,IF(D3667="DIA",2,3),FALSE)),0))</f>
        <v/>
      </c>
      <c r="J3667" s="31" t="str">
        <f t="shared" si="400"/>
        <v/>
      </c>
      <c r="K3667" s="31" t="str">
        <f t="shared" si="401"/>
        <v/>
      </c>
      <c r="L3667" s="31" t="str">
        <f>IF(OR(B3667="",C3667=""),"",IFERROR(E3667 / SUMIFS('📅 Resumen Diario'!$D$5:$D$504, '📅 Resumen Diario'!$B$5:$B$504, B3667, '📅 Resumen Diario'!$C$5:$C$504, D3667) * SUMIFS('📅 Resumen Diario'!$K$5:$K$504, '📅 Resumen Diario'!$B$5:$B$504, B3667, '📅 Resumen Diario'!$C$5:$C$504, D3667), 0))</f>
        <v/>
      </c>
      <c r="M3667" s="31" t="str">
        <f t="shared" si="402"/>
        <v/>
      </c>
      <c r="N3667" s="31" t="str">
        <f t="shared" si="403"/>
        <v/>
      </c>
      <c r="O3667" s="31" t="str">
        <f>IF(OR(B3667="",C3667=""),"",K3667-N3667 + IFERROR(E3667 / SUMIFS('📅 Resumen Diario'!$D$5:$D$504, '📅 Resumen Diario'!$B$5:$B$504, B3667, '📅 Resumen Diario'!$C$5:$C$504, D3667) * (SUMIFS('📋 Detalle Diario'!$E$5:$E$489, '📋 Detalle Diario'!$B$5:$B$489, B3667, '📋 Detalle Diario'!$C$5:$C$489, D3667) * 135 + SUMIFS('📋 Detalle Diario'!$I$5:$I$489, '📋 Detalle Diario'!$B$5:$B$489, B3667, '📋 Detalle Diario'!$C$5:$C$489, D3667) * 200), 0))</f>
        <v/>
      </c>
      <c r="P3667" s="32" t="str">
        <f t="shared" si="404"/>
        <v/>
      </c>
      <c r="Q3667" s="33" t="str">
        <f t="shared" si="405"/>
        <v/>
      </c>
    </row>
    <row r="3668" spans="2:17" ht="18" customHeight="1" x14ac:dyDescent="0.3">
      <c r="B3668" s="26"/>
      <c r="C3668" s="17"/>
      <c r="D3668" s="27"/>
      <c r="E3668" s="18"/>
      <c r="F3668" s="18"/>
      <c r="G3668" s="18"/>
      <c r="H3668" s="30" t="str">
        <f t="shared" si="399"/>
        <v/>
      </c>
      <c r="I3668" s="31" t="str">
        <f>IF(OR(B3668="",C3668=""),"",IFERROR(E3668*IF(E3668="",0,VLOOKUP(C3668,'📦 Precios Proforma'!$B$5:$D$104,IF(D3668="DIA",2,3),FALSE)),0))</f>
        <v/>
      </c>
      <c r="J3668" s="31" t="str">
        <f t="shared" si="400"/>
        <v/>
      </c>
      <c r="K3668" s="31" t="str">
        <f t="shared" si="401"/>
        <v/>
      </c>
      <c r="L3668" s="31" t="str">
        <f>IF(OR(B3668="",C3668=""),"",IFERROR(E3668 / SUMIFS('📅 Resumen Diario'!$D$5:$D$504, '📅 Resumen Diario'!$B$5:$B$504, B3668, '📅 Resumen Diario'!$C$5:$C$504, D3668) * SUMIFS('📅 Resumen Diario'!$K$5:$K$504, '📅 Resumen Diario'!$B$5:$B$504, B3668, '📅 Resumen Diario'!$C$5:$C$504, D3668), 0))</f>
        <v/>
      </c>
      <c r="M3668" s="31" t="str">
        <f t="shared" si="402"/>
        <v/>
      </c>
      <c r="N3668" s="31" t="str">
        <f t="shared" si="403"/>
        <v/>
      </c>
      <c r="O3668" s="31" t="str">
        <f>IF(OR(B3668="",C3668=""),"",K3668-N3668 + IFERROR(E3668 / SUMIFS('📅 Resumen Diario'!$D$5:$D$504, '📅 Resumen Diario'!$B$5:$B$504, B3668, '📅 Resumen Diario'!$C$5:$C$504, D3668) * (SUMIFS('📋 Detalle Diario'!$E$5:$E$489, '📋 Detalle Diario'!$B$5:$B$489, B3668, '📋 Detalle Diario'!$C$5:$C$489, D3668) * 135 + SUMIFS('📋 Detalle Diario'!$I$5:$I$489, '📋 Detalle Diario'!$B$5:$B$489, B3668, '📋 Detalle Diario'!$C$5:$C$489, D3668) * 200), 0))</f>
        <v/>
      </c>
      <c r="P3668" s="32" t="str">
        <f t="shared" si="404"/>
        <v/>
      </c>
      <c r="Q3668" s="33" t="str">
        <f t="shared" si="405"/>
        <v/>
      </c>
    </row>
    <row r="3669" spans="2:17" ht="18" customHeight="1" x14ac:dyDescent="0.3">
      <c r="B3669" s="26"/>
      <c r="C3669" s="28"/>
      <c r="D3669" s="27"/>
      <c r="E3669" s="29"/>
      <c r="F3669" s="29"/>
      <c r="G3669" s="29"/>
      <c r="H3669" s="30" t="str">
        <f t="shared" si="399"/>
        <v/>
      </c>
      <c r="I3669" s="31" t="str">
        <f>IF(OR(B3669="",C3669=""),"",IFERROR(E3669*IF(E3669="",0,VLOOKUP(C3669,'📦 Precios Proforma'!$B$5:$D$104,IF(D3669="DIA",2,3),FALSE)),0))</f>
        <v/>
      </c>
      <c r="J3669" s="31" t="str">
        <f t="shared" si="400"/>
        <v/>
      </c>
      <c r="K3669" s="31" t="str">
        <f t="shared" si="401"/>
        <v/>
      </c>
      <c r="L3669" s="31" t="str">
        <f>IF(OR(B3669="",C3669=""),"",IFERROR(E3669 / SUMIFS('📅 Resumen Diario'!$D$5:$D$504, '📅 Resumen Diario'!$B$5:$B$504, B3669, '📅 Resumen Diario'!$C$5:$C$504, D3669) * SUMIFS('📅 Resumen Diario'!$K$5:$K$504, '📅 Resumen Diario'!$B$5:$B$504, B3669, '📅 Resumen Diario'!$C$5:$C$504, D3669), 0))</f>
        <v/>
      </c>
      <c r="M3669" s="31" t="str">
        <f t="shared" si="402"/>
        <v/>
      </c>
      <c r="N3669" s="31" t="str">
        <f t="shared" si="403"/>
        <v/>
      </c>
      <c r="O3669" s="31" t="str">
        <f>IF(OR(B3669="",C3669=""),"",K3669-N3669 + IFERROR(E3669 / SUMIFS('📅 Resumen Diario'!$D$5:$D$504, '📅 Resumen Diario'!$B$5:$B$504, B3669, '📅 Resumen Diario'!$C$5:$C$504, D3669) * (SUMIFS('📋 Detalle Diario'!$E$5:$E$489, '📋 Detalle Diario'!$B$5:$B$489, B3669, '📋 Detalle Diario'!$C$5:$C$489, D3669) * 135 + SUMIFS('📋 Detalle Diario'!$I$5:$I$489, '📋 Detalle Diario'!$B$5:$B$489, B3669, '📋 Detalle Diario'!$C$5:$C$489, D3669) * 200), 0))</f>
        <v/>
      </c>
      <c r="P3669" s="32" t="str">
        <f t="shared" si="404"/>
        <v/>
      </c>
      <c r="Q3669" s="33" t="str">
        <f t="shared" si="405"/>
        <v/>
      </c>
    </row>
    <row r="3670" spans="2:17" ht="18" customHeight="1" x14ac:dyDescent="0.3">
      <c r="B3670" s="26"/>
      <c r="C3670" s="17"/>
      <c r="D3670" s="27"/>
      <c r="E3670" s="18"/>
      <c r="F3670" s="18"/>
      <c r="G3670" s="18"/>
      <c r="H3670" s="30" t="str">
        <f t="shared" si="399"/>
        <v/>
      </c>
      <c r="I3670" s="31" t="str">
        <f>IF(OR(B3670="",C3670=""),"",IFERROR(E3670*IF(E3670="",0,VLOOKUP(C3670,'📦 Precios Proforma'!$B$5:$D$104,IF(D3670="DIA",2,3),FALSE)),0))</f>
        <v/>
      </c>
      <c r="J3670" s="31" t="str">
        <f t="shared" si="400"/>
        <v/>
      </c>
      <c r="K3670" s="31" t="str">
        <f t="shared" si="401"/>
        <v/>
      </c>
      <c r="L3670" s="31" t="str">
        <f>IF(OR(B3670="",C3670=""),"",IFERROR(E3670 / SUMIFS('📅 Resumen Diario'!$D$5:$D$504, '📅 Resumen Diario'!$B$5:$B$504, B3670, '📅 Resumen Diario'!$C$5:$C$504, D3670) * SUMIFS('📅 Resumen Diario'!$K$5:$K$504, '📅 Resumen Diario'!$B$5:$B$504, B3670, '📅 Resumen Diario'!$C$5:$C$504, D3670), 0))</f>
        <v/>
      </c>
      <c r="M3670" s="31" t="str">
        <f t="shared" si="402"/>
        <v/>
      </c>
      <c r="N3670" s="31" t="str">
        <f t="shared" si="403"/>
        <v/>
      </c>
      <c r="O3670" s="31" t="str">
        <f>IF(OR(B3670="",C3670=""),"",K3670-N3670 + IFERROR(E3670 / SUMIFS('📅 Resumen Diario'!$D$5:$D$504, '📅 Resumen Diario'!$B$5:$B$504, B3670, '📅 Resumen Diario'!$C$5:$C$504, D3670) * (SUMIFS('📋 Detalle Diario'!$E$5:$E$489, '📋 Detalle Diario'!$B$5:$B$489, B3670, '📋 Detalle Diario'!$C$5:$C$489, D3670) * 135 + SUMIFS('📋 Detalle Diario'!$I$5:$I$489, '📋 Detalle Diario'!$B$5:$B$489, B3670, '📋 Detalle Diario'!$C$5:$C$489, D3670) * 200), 0))</f>
        <v/>
      </c>
      <c r="P3670" s="32" t="str">
        <f t="shared" si="404"/>
        <v/>
      </c>
      <c r="Q3670" s="33" t="str">
        <f t="shared" si="405"/>
        <v/>
      </c>
    </row>
    <row r="3671" spans="2:17" ht="18" customHeight="1" x14ac:dyDescent="0.3">
      <c r="B3671" s="26"/>
      <c r="C3671" s="28"/>
      <c r="D3671" s="27"/>
      <c r="E3671" s="29"/>
      <c r="F3671" s="29"/>
      <c r="G3671" s="29"/>
      <c r="H3671" s="30" t="str">
        <f t="shared" si="399"/>
        <v/>
      </c>
      <c r="I3671" s="31" t="str">
        <f>IF(OR(B3671="",C3671=""),"",IFERROR(E3671*IF(E3671="",0,VLOOKUP(C3671,'📦 Precios Proforma'!$B$5:$D$104,IF(D3671="DIA",2,3),FALSE)),0))</f>
        <v/>
      </c>
      <c r="J3671" s="31" t="str">
        <f t="shared" si="400"/>
        <v/>
      </c>
      <c r="K3671" s="31" t="str">
        <f t="shared" si="401"/>
        <v/>
      </c>
      <c r="L3671" s="31" t="str">
        <f>IF(OR(B3671="",C3671=""),"",IFERROR(E3671 / SUMIFS('📅 Resumen Diario'!$D$5:$D$504, '📅 Resumen Diario'!$B$5:$B$504, B3671, '📅 Resumen Diario'!$C$5:$C$504, D3671) * SUMIFS('📅 Resumen Diario'!$K$5:$K$504, '📅 Resumen Diario'!$B$5:$B$504, B3671, '📅 Resumen Diario'!$C$5:$C$504, D3671), 0))</f>
        <v/>
      </c>
      <c r="M3671" s="31" t="str">
        <f t="shared" si="402"/>
        <v/>
      </c>
      <c r="N3671" s="31" t="str">
        <f t="shared" si="403"/>
        <v/>
      </c>
      <c r="O3671" s="31" t="str">
        <f>IF(OR(B3671="",C3671=""),"",K3671-N3671 + IFERROR(E3671 / SUMIFS('📅 Resumen Diario'!$D$5:$D$504, '📅 Resumen Diario'!$B$5:$B$504, B3671, '📅 Resumen Diario'!$C$5:$C$504, D3671) * (SUMIFS('📋 Detalle Diario'!$E$5:$E$489, '📋 Detalle Diario'!$B$5:$B$489, B3671, '📋 Detalle Diario'!$C$5:$C$489, D3671) * 135 + SUMIFS('📋 Detalle Diario'!$I$5:$I$489, '📋 Detalle Diario'!$B$5:$B$489, B3671, '📋 Detalle Diario'!$C$5:$C$489, D3671) * 200), 0))</f>
        <v/>
      </c>
      <c r="P3671" s="32" t="str">
        <f t="shared" si="404"/>
        <v/>
      </c>
      <c r="Q3671" s="33" t="str">
        <f t="shared" si="405"/>
        <v/>
      </c>
    </row>
    <row r="3672" spans="2:17" ht="18" customHeight="1" x14ac:dyDescent="0.3">
      <c r="B3672" s="26"/>
      <c r="C3672" s="17"/>
      <c r="D3672" s="27"/>
      <c r="E3672" s="18"/>
      <c r="F3672" s="18"/>
      <c r="G3672" s="18"/>
      <c r="H3672" s="30" t="str">
        <f t="shared" si="399"/>
        <v/>
      </c>
      <c r="I3672" s="31" t="str">
        <f>IF(OR(B3672="",C3672=""),"",IFERROR(E3672*IF(E3672="",0,VLOOKUP(C3672,'📦 Precios Proforma'!$B$5:$D$104,IF(D3672="DIA",2,3),FALSE)),0))</f>
        <v/>
      </c>
      <c r="J3672" s="31" t="str">
        <f t="shared" si="400"/>
        <v/>
      </c>
      <c r="K3672" s="31" t="str">
        <f t="shared" si="401"/>
        <v/>
      </c>
      <c r="L3672" s="31" t="str">
        <f>IF(OR(B3672="",C3672=""),"",IFERROR(E3672 / SUMIFS('📅 Resumen Diario'!$D$5:$D$504, '📅 Resumen Diario'!$B$5:$B$504, B3672, '📅 Resumen Diario'!$C$5:$C$504, D3672) * SUMIFS('📅 Resumen Diario'!$K$5:$K$504, '📅 Resumen Diario'!$B$5:$B$504, B3672, '📅 Resumen Diario'!$C$5:$C$504, D3672), 0))</f>
        <v/>
      </c>
      <c r="M3672" s="31" t="str">
        <f t="shared" si="402"/>
        <v/>
      </c>
      <c r="N3672" s="31" t="str">
        <f t="shared" si="403"/>
        <v/>
      </c>
      <c r="O3672" s="31" t="str">
        <f>IF(OR(B3672="",C3672=""),"",K3672-N3672 + IFERROR(E3672 / SUMIFS('📅 Resumen Diario'!$D$5:$D$504, '📅 Resumen Diario'!$B$5:$B$504, B3672, '📅 Resumen Diario'!$C$5:$C$504, D3672) * (SUMIFS('📋 Detalle Diario'!$E$5:$E$489, '📋 Detalle Diario'!$B$5:$B$489, B3672, '📋 Detalle Diario'!$C$5:$C$489, D3672) * 135 + SUMIFS('📋 Detalle Diario'!$I$5:$I$489, '📋 Detalle Diario'!$B$5:$B$489, B3672, '📋 Detalle Diario'!$C$5:$C$489, D3672) * 200), 0))</f>
        <v/>
      </c>
      <c r="P3672" s="32" t="str">
        <f t="shared" si="404"/>
        <v/>
      </c>
      <c r="Q3672" s="33" t="str">
        <f t="shared" si="405"/>
        <v/>
      </c>
    </row>
    <row r="3673" spans="2:17" ht="18" customHeight="1" x14ac:dyDescent="0.3">
      <c r="B3673" s="26"/>
      <c r="C3673" s="28"/>
      <c r="D3673" s="27"/>
      <c r="E3673" s="29"/>
      <c r="F3673" s="29"/>
      <c r="G3673" s="29"/>
      <c r="H3673" s="30" t="str">
        <f t="shared" si="399"/>
        <v/>
      </c>
      <c r="I3673" s="31" t="str">
        <f>IF(OR(B3673="",C3673=""),"",IFERROR(E3673*IF(E3673="",0,VLOOKUP(C3673,'📦 Precios Proforma'!$B$5:$D$104,IF(D3673="DIA",2,3),FALSE)),0))</f>
        <v/>
      </c>
      <c r="J3673" s="31" t="str">
        <f t="shared" si="400"/>
        <v/>
      </c>
      <c r="K3673" s="31" t="str">
        <f t="shared" si="401"/>
        <v/>
      </c>
      <c r="L3673" s="31" t="str">
        <f>IF(OR(B3673="",C3673=""),"",IFERROR(E3673 / SUMIFS('📅 Resumen Diario'!$D$5:$D$504, '📅 Resumen Diario'!$B$5:$B$504, B3673, '📅 Resumen Diario'!$C$5:$C$504, D3673) * SUMIFS('📅 Resumen Diario'!$K$5:$K$504, '📅 Resumen Diario'!$B$5:$B$504, B3673, '📅 Resumen Diario'!$C$5:$C$504, D3673), 0))</f>
        <v/>
      </c>
      <c r="M3673" s="31" t="str">
        <f t="shared" si="402"/>
        <v/>
      </c>
      <c r="N3673" s="31" t="str">
        <f t="shared" si="403"/>
        <v/>
      </c>
      <c r="O3673" s="31" t="str">
        <f>IF(OR(B3673="",C3673=""),"",K3673-N3673 + IFERROR(E3673 / SUMIFS('📅 Resumen Diario'!$D$5:$D$504, '📅 Resumen Diario'!$B$5:$B$504, B3673, '📅 Resumen Diario'!$C$5:$C$504, D3673) * (SUMIFS('📋 Detalle Diario'!$E$5:$E$489, '📋 Detalle Diario'!$B$5:$B$489, B3673, '📋 Detalle Diario'!$C$5:$C$489, D3673) * 135 + SUMIFS('📋 Detalle Diario'!$I$5:$I$489, '📋 Detalle Diario'!$B$5:$B$489, B3673, '📋 Detalle Diario'!$C$5:$C$489, D3673) * 200), 0))</f>
        <v/>
      </c>
      <c r="P3673" s="32" t="str">
        <f t="shared" si="404"/>
        <v/>
      </c>
      <c r="Q3673" s="33" t="str">
        <f t="shared" si="405"/>
        <v/>
      </c>
    </row>
    <row r="3674" spans="2:17" ht="18" customHeight="1" x14ac:dyDescent="0.3">
      <c r="B3674" s="26"/>
      <c r="C3674" s="17"/>
      <c r="D3674" s="27"/>
      <c r="E3674" s="18"/>
      <c r="F3674" s="18"/>
      <c r="G3674" s="18"/>
      <c r="H3674" s="30" t="str">
        <f t="shared" si="399"/>
        <v/>
      </c>
      <c r="I3674" s="31" t="str">
        <f>IF(OR(B3674="",C3674=""),"",IFERROR(E3674*IF(E3674="",0,VLOOKUP(C3674,'📦 Precios Proforma'!$B$5:$D$104,IF(D3674="DIA",2,3),FALSE)),0))</f>
        <v/>
      </c>
      <c r="J3674" s="31" t="str">
        <f t="shared" si="400"/>
        <v/>
      </c>
      <c r="K3674" s="31" t="str">
        <f t="shared" si="401"/>
        <v/>
      </c>
      <c r="L3674" s="31" t="str">
        <f>IF(OR(B3674="",C3674=""),"",IFERROR(E3674 / SUMIFS('📅 Resumen Diario'!$D$5:$D$504, '📅 Resumen Diario'!$B$5:$B$504, B3674, '📅 Resumen Diario'!$C$5:$C$504, D3674) * SUMIFS('📅 Resumen Diario'!$K$5:$K$504, '📅 Resumen Diario'!$B$5:$B$504, B3674, '📅 Resumen Diario'!$C$5:$C$504, D3674), 0))</f>
        <v/>
      </c>
      <c r="M3674" s="31" t="str">
        <f t="shared" si="402"/>
        <v/>
      </c>
      <c r="N3674" s="31" t="str">
        <f t="shared" si="403"/>
        <v/>
      </c>
      <c r="O3674" s="31" t="str">
        <f>IF(OR(B3674="",C3674=""),"",K3674-N3674 + IFERROR(E3674 / SUMIFS('📅 Resumen Diario'!$D$5:$D$504, '📅 Resumen Diario'!$B$5:$B$504, B3674, '📅 Resumen Diario'!$C$5:$C$504, D3674) * (SUMIFS('📋 Detalle Diario'!$E$5:$E$489, '📋 Detalle Diario'!$B$5:$B$489, B3674, '📋 Detalle Diario'!$C$5:$C$489, D3674) * 135 + SUMIFS('📋 Detalle Diario'!$I$5:$I$489, '📋 Detalle Diario'!$B$5:$B$489, B3674, '📋 Detalle Diario'!$C$5:$C$489, D3674) * 200), 0))</f>
        <v/>
      </c>
      <c r="P3674" s="32" t="str">
        <f t="shared" si="404"/>
        <v/>
      </c>
      <c r="Q3674" s="33" t="str">
        <f t="shared" si="405"/>
        <v/>
      </c>
    </row>
    <row r="3675" spans="2:17" ht="18" customHeight="1" x14ac:dyDescent="0.3">
      <c r="B3675" s="26"/>
      <c r="C3675" s="28"/>
      <c r="D3675" s="27"/>
      <c r="E3675" s="29"/>
      <c r="F3675" s="29"/>
      <c r="G3675" s="29"/>
      <c r="H3675" s="30" t="str">
        <f t="shared" si="399"/>
        <v/>
      </c>
      <c r="I3675" s="31" t="str">
        <f>IF(OR(B3675="",C3675=""),"",IFERROR(E3675*IF(E3675="",0,VLOOKUP(C3675,'📦 Precios Proforma'!$B$5:$D$104,IF(D3675="DIA",2,3),FALSE)),0))</f>
        <v/>
      </c>
      <c r="J3675" s="31" t="str">
        <f t="shared" si="400"/>
        <v/>
      </c>
      <c r="K3675" s="31" t="str">
        <f t="shared" si="401"/>
        <v/>
      </c>
      <c r="L3675" s="31" t="str">
        <f>IF(OR(B3675="",C3675=""),"",IFERROR(E3675 / SUMIFS('📅 Resumen Diario'!$D$5:$D$504, '📅 Resumen Diario'!$B$5:$B$504, B3675, '📅 Resumen Diario'!$C$5:$C$504, D3675) * SUMIFS('📅 Resumen Diario'!$K$5:$K$504, '📅 Resumen Diario'!$B$5:$B$504, B3675, '📅 Resumen Diario'!$C$5:$C$504, D3675), 0))</f>
        <v/>
      </c>
      <c r="M3675" s="31" t="str">
        <f t="shared" si="402"/>
        <v/>
      </c>
      <c r="N3675" s="31" t="str">
        <f t="shared" si="403"/>
        <v/>
      </c>
      <c r="O3675" s="31" t="str">
        <f>IF(OR(B3675="",C3675=""),"",K3675-N3675 + IFERROR(E3675 / SUMIFS('📅 Resumen Diario'!$D$5:$D$504, '📅 Resumen Diario'!$B$5:$B$504, B3675, '📅 Resumen Diario'!$C$5:$C$504, D3675) * (SUMIFS('📋 Detalle Diario'!$E$5:$E$489, '📋 Detalle Diario'!$B$5:$B$489, B3675, '📋 Detalle Diario'!$C$5:$C$489, D3675) * 135 + SUMIFS('📋 Detalle Diario'!$I$5:$I$489, '📋 Detalle Diario'!$B$5:$B$489, B3675, '📋 Detalle Diario'!$C$5:$C$489, D3675) * 200), 0))</f>
        <v/>
      </c>
      <c r="P3675" s="32" t="str">
        <f t="shared" si="404"/>
        <v/>
      </c>
      <c r="Q3675" s="33" t="str">
        <f t="shared" si="405"/>
        <v/>
      </c>
    </row>
    <row r="3676" spans="2:17" ht="18" customHeight="1" x14ac:dyDescent="0.3">
      <c r="B3676" s="26"/>
      <c r="C3676" s="17"/>
      <c r="D3676" s="27"/>
      <c r="E3676" s="18"/>
      <c r="F3676" s="18"/>
      <c r="G3676" s="18"/>
      <c r="H3676" s="30" t="str">
        <f t="shared" si="399"/>
        <v/>
      </c>
      <c r="I3676" s="31" t="str">
        <f>IF(OR(B3676="",C3676=""),"",IFERROR(E3676*IF(E3676="",0,VLOOKUP(C3676,'📦 Precios Proforma'!$B$5:$D$104,IF(D3676="DIA",2,3),FALSE)),0))</f>
        <v/>
      </c>
      <c r="J3676" s="31" t="str">
        <f t="shared" si="400"/>
        <v/>
      </c>
      <c r="K3676" s="31" t="str">
        <f t="shared" si="401"/>
        <v/>
      </c>
      <c r="L3676" s="31" t="str">
        <f>IF(OR(B3676="",C3676=""),"",IFERROR(E3676 / SUMIFS('📅 Resumen Diario'!$D$5:$D$504, '📅 Resumen Diario'!$B$5:$B$504, B3676, '📅 Resumen Diario'!$C$5:$C$504, D3676) * SUMIFS('📅 Resumen Diario'!$K$5:$K$504, '📅 Resumen Diario'!$B$5:$B$504, B3676, '📅 Resumen Diario'!$C$5:$C$504, D3676), 0))</f>
        <v/>
      </c>
      <c r="M3676" s="31" t="str">
        <f t="shared" si="402"/>
        <v/>
      </c>
      <c r="N3676" s="31" t="str">
        <f t="shared" si="403"/>
        <v/>
      </c>
      <c r="O3676" s="31" t="str">
        <f>IF(OR(B3676="",C3676=""),"",K3676-N3676 + IFERROR(E3676 / SUMIFS('📅 Resumen Diario'!$D$5:$D$504, '📅 Resumen Diario'!$B$5:$B$504, B3676, '📅 Resumen Diario'!$C$5:$C$504, D3676) * (SUMIFS('📋 Detalle Diario'!$E$5:$E$489, '📋 Detalle Diario'!$B$5:$B$489, B3676, '📋 Detalle Diario'!$C$5:$C$489, D3676) * 135 + SUMIFS('📋 Detalle Diario'!$I$5:$I$489, '📋 Detalle Diario'!$B$5:$B$489, B3676, '📋 Detalle Diario'!$C$5:$C$489, D3676) * 200), 0))</f>
        <v/>
      </c>
      <c r="P3676" s="32" t="str">
        <f t="shared" si="404"/>
        <v/>
      </c>
      <c r="Q3676" s="33" t="str">
        <f t="shared" si="405"/>
        <v/>
      </c>
    </row>
    <row r="3677" spans="2:17" ht="18" customHeight="1" x14ac:dyDescent="0.3">
      <c r="B3677" s="26"/>
      <c r="C3677" s="28"/>
      <c r="D3677" s="27"/>
      <c r="E3677" s="29"/>
      <c r="F3677" s="29"/>
      <c r="G3677" s="29"/>
      <c r="H3677" s="30" t="str">
        <f t="shared" si="399"/>
        <v/>
      </c>
      <c r="I3677" s="31" t="str">
        <f>IF(OR(B3677="",C3677=""),"",IFERROR(E3677*IF(E3677="",0,VLOOKUP(C3677,'📦 Precios Proforma'!$B$5:$D$104,IF(D3677="DIA",2,3),FALSE)),0))</f>
        <v/>
      </c>
      <c r="J3677" s="31" t="str">
        <f t="shared" si="400"/>
        <v/>
      </c>
      <c r="K3677" s="31" t="str">
        <f t="shared" si="401"/>
        <v/>
      </c>
      <c r="L3677" s="31" t="str">
        <f>IF(OR(B3677="",C3677=""),"",IFERROR(E3677 / SUMIFS('📅 Resumen Diario'!$D$5:$D$504, '📅 Resumen Diario'!$B$5:$B$504, B3677, '📅 Resumen Diario'!$C$5:$C$504, D3677) * SUMIFS('📅 Resumen Diario'!$K$5:$K$504, '📅 Resumen Diario'!$B$5:$B$504, B3677, '📅 Resumen Diario'!$C$5:$C$504, D3677), 0))</f>
        <v/>
      </c>
      <c r="M3677" s="31" t="str">
        <f t="shared" si="402"/>
        <v/>
      </c>
      <c r="N3677" s="31" t="str">
        <f t="shared" si="403"/>
        <v/>
      </c>
      <c r="O3677" s="31" t="str">
        <f>IF(OR(B3677="",C3677=""),"",K3677-N3677 + IFERROR(E3677 / SUMIFS('📅 Resumen Diario'!$D$5:$D$504, '📅 Resumen Diario'!$B$5:$B$504, B3677, '📅 Resumen Diario'!$C$5:$C$504, D3677) * (SUMIFS('📋 Detalle Diario'!$E$5:$E$489, '📋 Detalle Diario'!$B$5:$B$489, B3677, '📋 Detalle Diario'!$C$5:$C$489, D3677) * 135 + SUMIFS('📋 Detalle Diario'!$I$5:$I$489, '📋 Detalle Diario'!$B$5:$B$489, B3677, '📋 Detalle Diario'!$C$5:$C$489, D3677) * 200), 0))</f>
        <v/>
      </c>
      <c r="P3677" s="32" t="str">
        <f t="shared" si="404"/>
        <v/>
      </c>
      <c r="Q3677" s="33" t="str">
        <f t="shared" si="405"/>
        <v/>
      </c>
    </row>
    <row r="3678" spans="2:17" ht="18" customHeight="1" x14ac:dyDescent="0.3">
      <c r="B3678" s="26"/>
      <c r="C3678" s="17"/>
      <c r="D3678" s="27"/>
      <c r="E3678" s="18"/>
      <c r="F3678" s="18"/>
      <c r="G3678" s="18"/>
      <c r="H3678" s="30" t="str">
        <f t="shared" si="399"/>
        <v/>
      </c>
      <c r="I3678" s="31" t="str">
        <f>IF(OR(B3678="",C3678=""),"",IFERROR(E3678*IF(E3678="",0,VLOOKUP(C3678,'📦 Precios Proforma'!$B$5:$D$104,IF(D3678="DIA",2,3),FALSE)),0))</f>
        <v/>
      </c>
      <c r="J3678" s="31" t="str">
        <f t="shared" si="400"/>
        <v/>
      </c>
      <c r="K3678" s="31" t="str">
        <f t="shared" si="401"/>
        <v/>
      </c>
      <c r="L3678" s="31" t="str">
        <f>IF(OR(B3678="",C3678=""),"",IFERROR(E3678 / SUMIFS('📅 Resumen Diario'!$D$5:$D$504, '📅 Resumen Diario'!$B$5:$B$504, B3678, '📅 Resumen Diario'!$C$5:$C$504, D3678) * SUMIFS('📅 Resumen Diario'!$K$5:$K$504, '📅 Resumen Diario'!$B$5:$B$504, B3678, '📅 Resumen Diario'!$C$5:$C$504, D3678), 0))</f>
        <v/>
      </c>
      <c r="M3678" s="31" t="str">
        <f t="shared" si="402"/>
        <v/>
      </c>
      <c r="N3678" s="31" t="str">
        <f t="shared" si="403"/>
        <v/>
      </c>
      <c r="O3678" s="31" t="str">
        <f>IF(OR(B3678="",C3678=""),"",K3678-N3678 + IFERROR(E3678 / SUMIFS('📅 Resumen Diario'!$D$5:$D$504, '📅 Resumen Diario'!$B$5:$B$504, B3678, '📅 Resumen Diario'!$C$5:$C$504, D3678) * (SUMIFS('📋 Detalle Diario'!$E$5:$E$489, '📋 Detalle Diario'!$B$5:$B$489, B3678, '📋 Detalle Diario'!$C$5:$C$489, D3678) * 135 + SUMIFS('📋 Detalle Diario'!$I$5:$I$489, '📋 Detalle Diario'!$B$5:$B$489, B3678, '📋 Detalle Diario'!$C$5:$C$489, D3678) * 200), 0))</f>
        <v/>
      </c>
      <c r="P3678" s="32" t="str">
        <f t="shared" si="404"/>
        <v/>
      </c>
      <c r="Q3678" s="33" t="str">
        <f t="shared" si="405"/>
        <v/>
      </c>
    </row>
    <row r="3679" spans="2:17" ht="18" customHeight="1" x14ac:dyDescent="0.3">
      <c r="B3679" s="26"/>
      <c r="C3679" s="28"/>
      <c r="D3679" s="27"/>
      <c r="E3679" s="29"/>
      <c r="F3679" s="29"/>
      <c r="G3679" s="29"/>
      <c r="H3679" s="30" t="str">
        <f t="shared" si="399"/>
        <v/>
      </c>
      <c r="I3679" s="31" t="str">
        <f>IF(OR(B3679="",C3679=""),"",IFERROR(E3679*IF(E3679="",0,VLOOKUP(C3679,'📦 Precios Proforma'!$B$5:$D$104,IF(D3679="DIA",2,3),FALSE)),0))</f>
        <v/>
      </c>
      <c r="J3679" s="31" t="str">
        <f t="shared" si="400"/>
        <v/>
      </c>
      <c r="K3679" s="31" t="str">
        <f t="shared" si="401"/>
        <v/>
      </c>
      <c r="L3679" s="31" t="str">
        <f>IF(OR(B3679="",C3679=""),"",IFERROR(E3679 / SUMIFS('📅 Resumen Diario'!$D$5:$D$504, '📅 Resumen Diario'!$B$5:$B$504, B3679, '📅 Resumen Diario'!$C$5:$C$504, D3679) * SUMIFS('📅 Resumen Diario'!$K$5:$K$504, '📅 Resumen Diario'!$B$5:$B$504, B3679, '📅 Resumen Diario'!$C$5:$C$504, D3679), 0))</f>
        <v/>
      </c>
      <c r="M3679" s="31" t="str">
        <f t="shared" si="402"/>
        <v/>
      </c>
      <c r="N3679" s="31" t="str">
        <f t="shared" si="403"/>
        <v/>
      </c>
      <c r="O3679" s="31" t="str">
        <f>IF(OR(B3679="",C3679=""),"",K3679-N3679 + IFERROR(E3679 / SUMIFS('📅 Resumen Diario'!$D$5:$D$504, '📅 Resumen Diario'!$B$5:$B$504, B3679, '📅 Resumen Diario'!$C$5:$C$504, D3679) * (SUMIFS('📋 Detalle Diario'!$E$5:$E$489, '📋 Detalle Diario'!$B$5:$B$489, B3679, '📋 Detalle Diario'!$C$5:$C$489, D3679) * 135 + SUMIFS('📋 Detalle Diario'!$I$5:$I$489, '📋 Detalle Diario'!$B$5:$B$489, B3679, '📋 Detalle Diario'!$C$5:$C$489, D3679) * 200), 0))</f>
        <v/>
      </c>
      <c r="P3679" s="32" t="str">
        <f t="shared" si="404"/>
        <v/>
      </c>
      <c r="Q3679" s="33" t="str">
        <f t="shared" si="405"/>
        <v/>
      </c>
    </row>
    <row r="3680" spans="2:17" ht="18" customHeight="1" x14ac:dyDescent="0.3">
      <c r="B3680" s="26"/>
      <c r="C3680" s="17"/>
      <c r="D3680" s="27"/>
      <c r="E3680" s="18"/>
      <c r="F3680" s="18"/>
      <c r="G3680" s="18"/>
      <c r="H3680" s="30" t="str">
        <f t="shared" si="399"/>
        <v/>
      </c>
      <c r="I3680" s="31" t="str">
        <f>IF(OR(B3680="",C3680=""),"",IFERROR(E3680*IF(E3680="",0,VLOOKUP(C3680,'📦 Precios Proforma'!$B$5:$D$104,IF(D3680="DIA",2,3),FALSE)),0))</f>
        <v/>
      </c>
      <c r="J3680" s="31" t="str">
        <f t="shared" si="400"/>
        <v/>
      </c>
      <c r="K3680" s="31" t="str">
        <f t="shared" si="401"/>
        <v/>
      </c>
      <c r="L3680" s="31" t="str">
        <f>IF(OR(B3680="",C3680=""),"",IFERROR(E3680 / SUMIFS('📅 Resumen Diario'!$D$5:$D$504, '📅 Resumen Diario'!$B$5:$B$504, B3680, '📅 Resumen Diario'!$C$5:$C$504, D3680) * SUMIFS('📅 Resumen Diario'!$K$5:$K$504, '📅 Resumen Diario'!$B$5:$B$504, B3680, '📅 Resumen Diario'!$C$5:$C$504, D3680), 0))</f>
        <v/>
      </c>
      <c r="M3680" s="31" t="str">
        <f t="shared" si="402"/>
        <v/>
      </c>
      <c r="N3680" s="31" t="str">
        <f t="shared" si="403"/>
        <v/>
      </c>
      <c r="O3680" s="31" t="str">
        <f>IF(OR(B3680="",C3680=""),"",K3680-N3680 + IFERROR(E3680 / SUMIFS('📅 Resumen Diario'!$D$5:$D$504, '📅 Resumen Diario'!$B$5:$B$504, B3680, '📅 Resumen Diario'!$C$5:$C$504, D3680) * (SUMIFS('📋 Detalle Diario'!$E$5:$E$489, '📋 Detalle Diario'!$B$5:$B$489, B3680, '📋 Detalle Diario'!$C$5:$C$489, D3680) * 135 + SUMIFS('📋 Detalle Diario'!$I$5:$I$489, '📋 Detalle Diario'!$B$5:$B$489, B3680, '📋 Detalle Diario'!$C$5:$C$489, D3680) * 200), 0))</f>
        <v/>
      </c>
      <c r="P3680" s="32" t="str">
        <f t="shared" si="404"/>
        <v/>
      </c>
      <c r="Q3680" s="33" t="str">
        <f t="shared" si="405"/>
        <v/>
      </c>
    </row>
    <row r="3681" spans="2:17" ht="18" customHeight="1" x14ac:dyDescent="0.3">
      <c r="B3681" s="26"/>
      <c r="C3681" s="28"/>
      <c r="D3681" s="27"/>
      <c r="E3681" s="29"/>
      <c r="F3681" s="29"/>
      <c r="G3681" s="29"/>
      <c r="H3681" s="30" t="str">
        <f t="shared" si="399"/>
        <v/>
      </c>
      <c r="I3681" s="31" t="str">
        <f>IF(OR(B3681="",C3681=""),"",IFERROR(E3681*IF(E3681="",0,VLOOKUP(C3681,'📦 Precios Proforma'!$B$5:$D$104,IF(D3681="DIA",2,3),FALSE)),0))</f>
        <v/>
      </c>
      <c r="J3681" s="31" t="str">
        <f t="shared" si="400"/>
        <v/>
      </c>
      <c r="K3681" s="31" t="str">
        <f t="shared" si="401"/>
        <v/>
      </c>
      <c r="L3681" s="31" t="str">
        <f>IF(OR(B3681="",C3681=""),"",IFERROR(E3681 / SUMIFS('📅 Resumen Diario'!$D$5:$D$504, '📅 Resumen Diario'!$B$5:$B$504, B3681, '📅 Resumen Diario'!$C$5:$C$504, D3681) * SUMIFS('📅 Resumen Diario'!$K$5:$K$504, '📅 Resumen Diario'!$B$5:$B$504, B3681, '📅 Resumen Diario'!$C$5:$C$504, D3681), 0))</f>
        <v/>
      </c>
      <c r="M3681" s="31" t="str">
        <f t="shared" si="402"/>
        <v/>
      </c>
      <c r="N3681" s="31" t="str">
        <f t="shared" si="403"/>
        <v/>
      </c>
      <c r="O3681" s="31" t="str">
        <f>IF(OR(B3681="",C3681=""),"",K3681-N3681 + IFERROR(E3681 / SUMIFS('📅 Resumen Diario'!$D$5:$D$504, '📅 Resumen Diario'!$B$5:$B$504, B3681, '📅 Resumen Diario'!$C$5:$C$504, D3681) * (SUMIFS('📋 Detalle Diario'!$E$5:$E$489, '📋 Detalle Diario'!$B$5:$B$489, B3681, '📋 Detalle Diario'!$C$5:$C$489, D3681) * 135 + SUMIFS('📋 Detalle Diario'!$I$5:$I$489, '📋 Detalle Diario'!$B$5:$B$489, B3681, '📋 Detalle Diario'!$C$5:$C$489, D3681) * 200), 0))</f>
        <v/>
      </c>
      <c r="P3681" s="32" t="str">
        <f t="shared" si="404"/>
        <v/>
      </c>
      <c r="Q3681" s="33" t="str">
        <f t="shared" si="405"/>
        <v/>
      </c>
    </row>
    <row r="3682" spans="2:17" ht="18" customHeight="1" x14ac:dyDescent="0.3">
      <c r="B3682" s="26"/>
      <c r="C3682" s="17"/>
      <c r="D3682" s="27"/>
      <c r="E3682" s="18"/>
      <c r="F3682" s="18"/>
      <c r="G3682" s="18"/>
      <c r="H3682" s="30" t="str">
        <f t="shared" si="399"/>
        <v/>
      </c>
      <c r="I3682" s="31" t="str">
        <f>IF(OR(B3682="",C3682=""),"",IFERROR(E3682*IF(E3682="",0,VLOOKUP(C3682,'📦 Precios Proforma'!$B$5:$D$104,IF(D3682="DIA",2,3),FALSE)),0))</f>
        <v/>
      </c>
      <c r="J3682" s="31" t="str">
        <f t="shared" si="400"/>
        <v/>
      </c>
      <c r="K3682" s="31" t="str">
        <f t="shared" si="401"/>
        <v/>
      </c>
      <c r="L3682" s="31" t="str">
        <f>IF(OR(B3682="",C3682=""),"",IFERROR(E3682 / SUMIFS('📅 Resumen Diario'!$D$5:$D$504, '📅 Resumen Diario'!$B$5:$B$504, B3682, '📅 Resumen Diario'!$C$5:$C$504, D3682) * SUMIFS('📅 Resumen Diario'!$K$5:$K$504, '📅 Resumen Diario'!$B$5:$B$504, B3682, '📅 Resumen Diario'!$C$5:$C$504, D3682), 0))</f>
        <v/>
      </c>
      <c r="M3682" s="31" t="str">
        <f t="shared" si="402"/>
        <v/>
      </c>
      <c r="N3682" s="31" t="str">
        <f t="shared" si="403"/>
        <v/>
      </c>
      <c r="O3682" s="31" t="str">
        <f>IF(OR(B3682="",C3682=""),"",K3682-N3682 + IFERROR(E3682 / SUMIFS('📅 Resumen Diario'!$D$5:$D$504, '📅 Resumen Diario'!$B$5:$B$504, B3682, '📅 Resumen Diario'!$C$5:$C$504, D3682) * (SUMIFS('📋 Detalle Diario'!$E$5:$E$489, '📋 Detalle Diario'!$B$5:$B$489, B3682, '📋 Detalle Diario'!$C$5:$C$489, D3682) * 135 + SUMIFS('📋 Detalle Diario'!$I$5:$I$489, '📋 Detalle Diario'!$B$5:$B$489, B3682, '📋 Detalle Diario'!$C$5:$C$489, D3682) * 200), 0))</f>
        <v/>
      </c>
      <c r="P3682" s="32" t="str">
        <f t="shared" si="404"/>
        <v/>
      </c>
      <c r="Q3682" s="33" t="str">
        <f t="shared" si="405"/>
        <v/>
      </c>
    </row>
    <row r="3683" spans="2:17" ht="18" customHeight="1" x14ac:dyDescent="0.3">
      <c r="B3683" s="26"/>
      <c r="C3683" s="28"/>
      <c r="D3683" s="27"/>
      <c r="E3683" s="29"/>
      <c r="F3683" s="29"/>
      <c r="G3683" s="29"/>
      <c r="H3683" s="30" t="str">
        <f t="shared" si="399"/>
        <v/>
      </c>
      <c r="I3683" s="31" t="str">
        <f>IF(OR(B3683="",C3683=""),"",IFERROR(E3683*IF(E3683="",0,VLOOKUP(C3683,'📦 Precios Proforma'!$B$5:$D$104,IF(D3683="DIA",2,3),FALSE)),0))</f>
        <v/>
      </c>
      <c r="J3683" s="31" t="str">
        <f t="shared" si="400"/>
        <v/>
      </c>
      <c r="K3683" s="31" t="str">
        <f t="shared" si="401"/>
        <v/>
      </c>
      <c r="L3683" s="31" t="str">
        <f>IF(OR(B3683="",C3683=""),"",IFERROR(E3683 / SUMIFS('📅 Resumen Diario'!$D$5:$D$504, '📅 Resumen Diario'!$B$5:$B$504, B3683, '📅 Resumen Diario'!$C$5:$C$504, D3683) * SUMIFS('📅 Resumen Diario'!$K$5:$K$504, '📅 Resumen Diario'!$B$5:$B$504, B3683, '📅 Resumen Diario'!$C$5:$C$504, D3683), 0))</f>
        <v/>
      </c>
      <c r="M3683" s="31" t="str">
        <f t="shared" si="402"/>
        <v/>
      </c>
      <c r="N3683" s="31" t="str">
        <f t="shared" si="403"/>
        <v/>
      </c>
      <c r="O3683" s="31" t="str">
        <f>IF(OR(B3683="",C3683=""),"",K3683-N3683 + IFERROR(E3683 / SUMIFS('📅 Resumen Diario'!$D$5:$D$504, '📅 Resumen Diario'!$B$5:$B$504, B3683, '📅 Resumen Diario'!$C$5:$C$504, D3683) * (SUMIFS('📋 Detalle Diario'!$E$5:$E$489, '📋 Detalle Diario'!$B$5:$B$489, B3683, '📋 Detalle Diario'!$C$5:$C$489, D3683) * 135 + SUMIFS('📋 Detalle Diario'!$I$5:$I$489, '📋 Detalle Diario'!$B$5:$B$489, B3683, '📋 Detalle Diario'!$C$5:$C$489, D3683) * 200), 0))</f>
        <v/>
      </c>
      <c r="P3683" s="32" t="str">
        <f t="shared" si="404"/>
        <v/>
      </c>
      <c r="Q3683" s="33" t="str">
        <f t="shared" si="405"/>
        <v/>
      </c>
    </row>
    <row r="3684" spans="2:17" ht="18" customHeight="1" x14ac:dyDescent="0.3">
      <c r="B3684" s="26"/>
      <c r="C3684" s="17"/>
      <c r="D3684" s="27"/>
      <c r="E3684" s="18"/>
      <c r="F3684" s="18"/>
      <c r="G3684" s="18"/>
      <c r="H3684" s="30" t="str">
        <f t="shared" si="399"/>
        <v/>
      </c>
      <c r="I3684" s="31" t="str">
        <f>IF(OR(B3684="",C3684=""),"",IFERROR(E3684*IF(E3684="",0,VLOOKUP(C3684,'📦 Precios Proforma'!$B$5:$D$104,IF(D3684="DIA",2,3),FALSE)),0))</f>
        <v/>
      </c>
      <c r="J3684" s="31" t="str">
        <f t="shared" si="400"/>
        <v/>
      </c>
      <c r="K3684" s="31" t="str">
        <f t="shared" si="401"/>
        <v/>
      </c>
      <c r="L3684" s="31" t="str">
        <f>IF(OR(B3684="",C3684=""),"",IFERROR(E3684 / SUMIFS('📅 Resumen Diario'!$D$5:$D$504, '📅 Resumen Diario'!$B$5:$B$504, B3684, '📅 Resumen Diario'!$C$5:$C$504, D3684) * SUMIFS('📅 Resumen Diario'!$K$5:$K$504, '📅 Resumen Diario'!$B$5:$B$504, B3684, '📅 Resumen Diario'!$C$5:$C$504, D3684), 0))</f>
        <v/>
      </c>
      <c r="M3684" s="31" t="str">
        <f t="shared" si="402"/>
        <v/>
      </c>
      <c r="N3684" s="31" t="str">
        <f t="shared" si="403"/>
        <v/>
      </c>
      <c r="O3684" s="31" t="str">
        <f>IF(OR(B3684="",C3684=""),"",K3684-N3684 + IFERROR(E3684 / SUMIFS('📅 Resumen Diario'!$D$5:$D$504, '📅 Resumen Diario'!$B$5:$B$504, B3684, '📅 Resumen Diario'!$C$5:$C$504, D3684) * (SUMIFS('📋 Detalle Diario'!$E$5:$E$489, '📋 Detalle Diario'!$B$5:$B$489, B3684, '📋 Detalle Diario'!$C$5:$C$489, D3684) * 135 + SUMIFS('📋 Detalle Diario'!$I$5:$I$489, '📋 Detalle Diario'!$B$5:$B$489, B3684, '📋 Detalle Diario'!$C$5:$C$489, D3684) * 200), 0))</f>
        <v/>
      </c>
      <c r="P3684" s="32" t="str">
        <f t="shared" si="404"/>
        <v/>
      </c>
      <c r="Q3684" s="33" t="str">
        <f t="shared" si="405"/>
        <v/>
      </c>
    </row>
    <row r="3685" spans="2:17" ht="18" customHeight="1" x14ac:dyDescent="0.3">
      <c r="B3685" s="26"/>
      <c r="C3685" s="28"/>
      <c r="D3685" s="27"/>
      <c r="E3685" s="29"/>
      <c r="F3685" s="29"/>
      <c r="G3685" s="29"/>
      <c r="H3685" s="30" t="str">
        <f t="shared" si="399"/>
        <v/>
      </c>
      <c r="I3685" s="31" t="str">
        <f>IF(OR(B3685="",C3685=""),"",IFERROR(E3685*IF(E3685="",0,VLOOKUP(C3685,'📦 Precios Proforma'!$B$5:$D$104,IF(D3685="DIA",2,3),FALSE)),0))</f>
        <v/>
      </c>
      <c r="J3685" s="31" t="str">
        <f t="shared" si="400"/>
        <v/>
      </c>
      <c r="K3685" s="31" t="str">
        <f t="shared" si="401"/>
        <v/>
      </c>
      <c r="L3685" s="31" t="str">
        <f>IF(OR(B3685="",C3685=""),"",IFERROR(E3685 / SUMIFS('📅 Resumen Diario'!$D$5:$D$504, '📅 Resumen Diario'!$B$5:$B$504, B3685, '📅 Resumen Diario'!$C$5:$C$504, D3685) * SUMIFS('📅 Resumen Diario'!$K$5:$K$504, '📅 Resumen Diario'!$B$5:$B$504, B3685, '📅 Resumen Diario'!$C$5:$C$504, D3685), 0))</f>
        <v/>
      </c>
      <c r="M3685" s="31" t="str">
        <f t="shared" si="402"/>
        <v/>
      </c>
      <c r="N3685" s="31" t="str">
        <f t="shared" si="403"/>
        <v/>
      </c>
      <c r="O3685" s="31" t="str">
        <f>IF(OR(B3685="",C3685=""),"",K3685-N3685 + IFERROR(E3685 / SUMIFS('📅 Resumen Diario'!$D$5:$D$504, '📅 Resumen Diario'!$B$5:$B$504, B3685, '📅 Resumen Diario'!$C$5:$C$504, D3685) * (SUMIFS('📋 Detalle Diario'!$E$5:$E$489, '📋 Detalle Diario'!$B$5:$B$489, B3685, '📋 Detalle Diario'!$C$5:$C$489, D3685) * 135 + SUMIFS('📋 Detalle Diario'!$I$5:$I$489, '📋 Detalle Diario'!$B$5:$B$489, B3685, '📋 Detalle Diario'!$C$5:$C$489, D3685) * 200), 0))</f>
        <v/>
      </c>
      <c r="P3685" s="32" t="str">
        <f t="shared" si="404"/>
        <v/>
      </c>
      <c r="Q3685" s="33" t="str">
        <f t="shared" si="405"/>
        <v/>
      </c>
    </row>
    <row r="3686" spans="2:17" ht="18" customHeight="1" x14ac:dyDescent="0.3">
      <c r="B3686" s="26"/>
      <c r="C3686" s="17"/>
      <c r="D3686" s="27"/>
      <c r="E3686" s="18"/>
      <c r="F3686" s="18"/>
      <c r="G3686" s="18"/>
      <c r="H3686" s="30" t="str">
        <f t="shared" si="399"/>
        <v/>
      </c>
      <c r="I3686" s="31" t="str">
        <f>IF(OR(B3686="",C3686=""),"",IFERROR(E3686*IF(E3686="",0,VLOOKUP(C3686,'📦 Precios Proforma'!$B$5:$D$104,IF(D3686="DIA",2,3),FALSE)),0))</f>
        <v/>
      </c>
      <c r="J3686" s="31" t="str">
        <f t="shared" si="400"/>
        <v/>
      </c>
      <c r="K3686" s="31" t="str">
        <f t="shared" si="401"/>
        <v/>
      </c>
      <c r="L3686" s="31" t="str">
        <f>IF(OR(B3686="",C3686=""),"",IFERROR(E3686 / SUMIFS('📅 Resumen Diario'!$D$5:$D$504, '📅 Resumen Diario'!$B$5:$B$504, B3686, '📅 Resumen Diario'!$C$5:$C$504, D3686) * SUMIFS('📅 Resumen Diario'!$K$5:$K$504, '📅 Resumen Diario'!$B$5:$B$504, B3686, '📅 Resumen Diario'!$C$5:$C$504, D3686), 0))</f>
        <v/>
      </c>
      <c r="M3686" s="31" t="str">
        <f t="shared" si="402"/>
        <v/>
      </c>
      <c r="N3686" s="31" t="str">
        <f t="shared" si="403"/>
        <v/>
      </c>
      <c r="O3686" s="31" t="str">
        <f>IF(OR(B3686="",C3686=""),"",K3686-N3686 + IFERROR(E3686 / SUMIFS('📅 Resumen Diario'!$D$5:$D$504, '📅 Resumen Diario'!$B$5:$B$504, B3686, '📅 Resumen Diario'!$C$5:$C$504, D3686) * (SUMIFS('📋 Detalle Diario'!$E$5:$E$489, '📋 Detalle Diario'!$B$5:$B$489, B3686, '📋 Detalle Diario'!$C$5:$C$489, D3686) * 135 + SUMIFS('📋 Detalle Diario'!$I$5:$I$489, '📋 Detalle Diario'!$B$5:$B$489, B3686, '📋 Detalle Diario'!$C$5:$C$489, D3686) * 200), 0))</f>
        <v/>
      </c>
      <c r="P3686" s="32" t="str">
        <f t="shared" si="404"/>
        <v/>
      </c>
      <c r="Q3686" s="33" t="str">
        <f t="shared" si="405"/>
        <v/>
      </c>
    </row>
    <row r="3687" spans="2:17" ht="18" customHeight="1" x14ac:dyDescent="0.3">
      <c r="B3687" s="26"/>
      <c r="C3687" s="28"/>
      <c r="D3687" s="27"/>
      <c r="E3687" s="29"/>
      <c r="F3687" s="29"/>
      <c r="G3687" s="29"/>
      <c r="H3687" s="30" t="str">
        <f t="shared" si="399"/>
        <v/>
      </c>
      <c r="I3687" s="31" t="str">
        <f>IF(OR(B3687="",C3687=""),"",IFERROR(E3687*IF(E3687="",0,VLOOKUP(C3687,'📦 Precios Proforma'!$B$5:$D$104,IF(D3687="DIA",2,3),FALSE)),0))</f>
        <v/>
      </c>
      <c r="J3687" s="31" t="str">
        <f t="shared" si="400"/>
        <v/>
      </c>
      <c r="K3687" s="31" t="str">
        <f t="shared" si="401"/>
        <v/>
      </c>
      <c r="L3687" s="31" t="str">
        <f>IF(OR(B3687="",C3687=""),"",IFERROR(E3687 / SUMIFS('📅 Resumen Diario'!$D$5:$D$504, '📅 Resumen Diario'!$B$5:$B$504, B3687, '📅 Resumen Diario'!$C$5:$C$504, D3687) * SUMIFS('📅 Resumen Diario'!$K$5:$K$504, '📅 Resumen Diario'!$B$5:$B$504, B3687, '📅 Resumen Diario'!$C$5:$C$504, D3687), 0))</f>
        <v/>
      </c>
      <c r="M3687" s="31" t="str">
        <f t="shared" si="402"/>
        <v/>
      </c>
      <c r="N3687" s="31" t="str">
        <f t="shared" si="403"/>
        <v/>
      </c>
      <c r="O3687" s="31" t="str">
        <f>IF(OR(B3687="",C3687=""),"",K3687-N3687 + IFERROR(E3687 / SUMIFS('📅 Resumen Diario'!$D$5:$D$504, '📅 Resumen Diario'!$B$5:$B$504, B3687, '📅 Resumen Diario'!$C$5:$C$504, D3687) * (SUMIFS('📋 Detalle Diario'!$E$5:$E$489, '📋 Detalle Diario'!$B$5:$B$489, B3687, '📋 Detalle Diario'!$C$5:$C$489, D3687) * 135 + SUMIFS('📋 Detalle Diario'!$I$5:$I$489, '📋 Detalle Diario'!$B$5:$B$489, B3687, '📋 Detalle Diario'!$C$5:$C$489, D3687) * 200), 0))</f>
        <v/>
      </c>
      <c r="P3687" s="32" t="str">
        <f t="shared" si="404"/>
        <v/>
      </c>
      <c r="Q3687" s="33" t="str">
        <f t="shared" si="405"/>
        <v/>
      </c>
    </row>
    <row r="3688" spans="2:17" ht="18" customHeight="1" x14ac:dyDescent="0.3">
      <c r="B3688" s="26"/>
      <c r="C3688" s="17"/>
      <c r="D3688" s="27"/>
      <c r="E3688" s="18"/>
      <c r="F3688" s="18"/>
      <c r="G3688" s="18"/>
      <c r="H3688" s="30" t="str">
        <f t="shared" si="399"/>
        <v/>
      </c>
      <c r="I3688" s="31" t="str">
        <f>IF(OR(B3688="",C3688=""),"",IFERROR(E3688*IF(E3688="",0,VLOOKUP(C3688,'📦 Precios Proforma'!$B$5:$D$104,IF(D3688="DIA",2,3),FALSE)),0))</f>
        <v/>
      </c>
      <c r="J3688" s="31" t="str">
        <f t="shared" si="400"/>
        <v/>
      </c>
      <c r="K3688" s="31" t="str">
        <f t="shared" si="401"/>
        <v/>
      </c>
      <c r="L3688" s="31" t="str">
        <f>IF(OR(B3688="",C3688=""),"",IFERROR(E3688 / SUMIFS('📅 Resumen Diario'!$D$5:$D$504, '📅 Resumen Diario'!$B$5:$B$504, B3688, '📅 Resumen Diario'!$C$5:$C$504, D3688) * SUMIFS('📅 Resumen Diario'!$K$5:$K$504, '📅 Resumen Diario'!$B$5:$B$504, B3688, '📅 Resumen Diario'!$C$5:$C$504, D3688), 0))</f>
        <v/>
      </c>
      <c r="M3688" s="31" t="str">
        <f t="shared" si="402"/>
        <v/>
      </c>
      <c r="N3688" s="31" t="str">
        <f t="shared" si="403"/>
        <v/>
      </c>
      <c r="O3688" s="31" t="str">
        <f>IF(OR(B3688="",C3688=""),"",K3688-N3688 + IFERROR(E3688 / SUMIFS('📅 Resumen Diario'!$D$5:$D$504, '📅 Resumen Diario'!$B$5:$B$504, B3688, '📅 Resumen Diario'!$C$5:$C$504, D3688) * (SUMIFS('📋 Detalle Diario'!$E$5:$E$489, '📋 Detalle Diario'!$B$5:$B$489, B3688, '📋 Detalle Diario'!$C$5:$C$489, D3688) * 135 + SUMIFS('📋 Detalle Diario'!$I$5:$I$489, '📋 Detalle Diario'!$B$5:$B$489, B3688, '📋 Detalle Diario'!$C$5:$C$489, D3688) * 200), 0))</f>
        <v/>
      </c>
      <c r="P3688" s="32" t="str">
        <f t="shared" si="404"/>
        <v/>
      </c>
      <c r="Q3688" s="33" t="str">
        <f t="shared" si="405"/>
        <v/>
      </c>
    </row>
    <row r="3689" spans="2:17" ht="18" customHeight="1" x14ac:dyDescent="0.3">
      <c r="B3689" s="26"/>
      <c r="C3689" s="28"/>
      <c r="D3689" s="27"/>
      <c r="E3689" s="29"/>
      <c r="F3689" s="29"/>
      <c r="G3689" s="29"/>
      <c r="H3689" s="30" t="str">
        <f t="shared" si="399"/>
        <v/>
      </c>
      <c r="I3689" s="31" t="str">
        <f>IF(OR(B3689="",C3689=""),"",IFERROR(E3689*IF(E3689="",0,VLOOKUP(C3689,'📦 Precios Proforma'!$B$5:$D$104,IF(D3689="DIA",2,3),FALSE)),0))</f>
        <v/>
      </c>
      <c r="J3689" s="31" t="str">
        <f t="shared" si="400"/>
        <v/>
      </c>
      <c r="K3689" s="31" t="str">
        <f t="shared" si="401"/>
        <v/>
      </c>
      <c r="L3689" s="31" t="str">
        <f>IF(OR(B3689="",C3689=""),"",IFERROR(E3689 / SUMIFS('📅 Resumen Diario'!$D$5:$D$504, '📅 Resumen Diario'!$B$5:$B$504, B3689, '📅 Resumen Diario'!$C$5:$C$504, D3689) * SUMIFS('📅 Resumen Diario'!$K$5:$K$504, '📅 Resumen Diario'!$B$5:$B$504, B3689, '📅 Resumen Diario'!$C$5:$C$504, D3689), 0))</f>
        <v/>
      </c>
      <c r="M3689" s="31" t="str">
        <f t="shared" si="402"/>
        <v/>
      </c>
      <c r="N3689" s="31" t="str">
        <f t="shared" si="403"/>
        <v/>
      </c>
      <c r="O3689" s="31" t="str">
        <f>IF(OR(B3689="",C3689=""),"",K3689-N3689 + IFERROR(E3689 / SUMIFS('📅 Resumen Diario'!$D$5:$D$504, '📅 Resumen Diario'!$B$5:$B$504, B3689, '📅 Resumen Diario'!$C$5:$C$504, D3689) * (SUMIFS('📋 Detalle Diario'!$E$5:$E$489, '📋 Detalle Diario'!$B$5:$B$489, B3689, '📋 Detalle Diario'!$C$5:$C$489, D3689) * 135 + SUMIFS('📋 Detalle Diario'!$I$5:$I$489, '📋 Detalle Diario'!$B$5:$B$489, B3689, '📋 Detalle Diario'!$C$5:$C$489, D3689) * 200), 0))</f>
        <v/>
      </c>
      <c r="P3689" s="32" t="str">
        <f t="shared" si="404"/>
        <v/>
      </c>
      <c r="Q3689" s="33" t="str">
        <f t="shared" si="405"/>
        <v/>
      </c>
    </row>
    <row r="3690" spans="2:17" ht="18" customHeight="1" x14ac:dyDescent="0.3">
      <c r="B3690" s="26"/>
      <c r="C3690" s="17"/>
      <c r="D3690" s="27"/>
      <c r="E3690" s="18"/>
      <c r="F3690" s="18"/>
      <c r="G3690" s="18"/>
      <c r="H3690" s="30" t="str">
        <f t="shared" si="399"/>
        <v/>
      </c>
      <c r="I3690" s="31" t="str">
        <f>IF(OR(B3690="",C3690=""),"",IFERROR(E3690*IF(E3690="",0,VLOOKUP(C3690,'📦 Precios Proforma'!$B$5:$D$104,IF(D3690="DIA",2,3),FALSE)),0))</f>
        <v/>
      </c>
      <c r="J3690" s="31" t="str">
        <f t="shared" si="400"/>
        <v/>
      </c>
      <c r="K3690" s="31" t="str">
        <f t="shared" si="401"/>
        <v/>
      </c>
      <c r="L3690" s="31" t="str">
        <f>IF(OR(B3690="",C3690=""),"",IFERROR(E3690 / SUMIFS('📅 Resumen Diario'!$D$5:$D$504, '📅 Resumen Diario'!$B$5:$B$504, B3690, '📅 Resumen Diario'!$C$5:$C$504, D3690) * SUMIFS('📅 Resumen Diario'!$K$5:$K$504, '📅 Resumen Diario'!$B$5:$B$504, B3690, '📅 Resumen Diario'!$C$5:$C$504, D3690), 0))</f>
        <v/>
      </c>
      <c r="M3690" s="31" t="str">
        <f t="shared" si="402"/>
        <v/>
      </c>
      <c r="N3690" s="31" t="str">
        <f t="shared" si="403"/>
        <v/>
      </c>
      <c r="O3690" s="31" t="str">
        <f>IF(OR(B3690="",C3690=""),"",K3690-N3690 + IFERROR(E3690 / SUMIFS('📅 Resumen Diario'!$D$5:$D$504, '📅 Resumen Diario'!$B$5:$B$504, B3690, '📅 Resumen Diario'!$C$5:$C$504, D3690) * (SUMIFS('📋 Detalle Diario'!$E$5:$E$489, '📋 Detalle Diario'!$B$5:$B$489, B3690, '📋 Detalle Diario'!$C$5:$C$489, D3690) * 135 + SUMIFS('📋 Detalle Diario'!$I$5:$I$489, '📋 Detalle Diario'!$B$5:$B$489, B3690, '📋 Detalle Diario'!$C$5:$C$489, D3690) * 200), 0))</f>
        <v/>
      </c>
      <c r="P3690" s="32" t="str">
        <f t="shared" si="404"/>
        <v/>
      </c>
      <c r="Q3690" s="33" t="str">
        <f t="shared" si="405"/>
        <v/>
      </c>
    </row>
    <row r="3691" spans="2:17" ht="18" customHeight="1" x14ac:dyDescent="0.3">
      <c r="B3691" s="26"/>
      <c r="C3691" s="28"/>
      <c r="D3691" s="27"/>
      <c r="E3691" s="29"/>
      <c r="F3691" s="29"/>
      <c r="G3691" s="29"/>
      <c r="H3691" s="30" t="str">
        <f t="shared" si="399"/>
        <v/>
      </c>
      <c r="I3691" s="31" t="str">
        <f>IF(OR(B3691="",C3691=""),"",IFERROR(E3691*IF(E3691="",0,VLOOKUP(C3691,'📦 Precios Proforma'!$B$5:$D$104,IF(D3691="DIA",2,3),FALSE)),0))</f>
        <v/>
      </c>
      <c r="J3691" s="31" t="str">
        <f t="shared" si="400"/>
        <v/>
      </c>
      <c r="K3691" s="31" t="str">
        <f t="shared" si="401"/>
        <v/>
      </c>
      <c r="L3691" s="31" t="str">
        <f>IF(OR(B3691="",C3691=""),"",IFERROR(E3691 / SUMIFS('📅 Resumen Diario'!$D$5:$D$504, '📅 Resumen Diario'!$B$5:$B$504, B3691, '📅 Resumen Diario'!$C$5:$C$504, D3691) * SUMIFS('📅 Resumen Diario'!$K$5:$K$504, '📅 Resumen Diario'!$B$5:$B$504, B3691, '📅 Resumen Diario'!$C$5:$C$504, D3691), 0))</f>
        <v/>
      </c>
      <c r="M3691" s="31" t="str">
        <f t="shared" si="402"/>
        <v/>
      </c>
      <c r="N3691" s="31" t="str">
        <f t="shared" si="403"/>
        <v/>
      </c>
      <c r="O3691" s="31" t="str">
        <f>IF(OR(B3691="",C3691=""),"",K3691-N3691 + IFERROR(E3691 / SUMIFS('📅 Resumen Diario'!$D$5:$D$504, '📅 Resumen Diario'!$B$5:$B$504, B3691, '📅 Resumen Diario'!$C$5:$C$504, D3691) * (SUMIFS('📋 Detalle Diario'!$E$5:$E$489, '📋 Detalle Diario'!$B$5:$B$489, B3691, '📋 Detalle Diario'!$C$5:$C$489, D3691) * 135 + SUMIFS('📋 Detalle Diario'!$I$5:$I$489, '📋 Detalle Diario'!$B$5:$B$489, B3691, '📋 Detalle Diario'!$C$5:$C$489, D3691) * 200), 0))</f>
        <v/>
      </c>
      <c r="P3691" s="32" t="str">
        <f t="shared" si="404"/>
        <v/>
      </c>
      <c r="Q3691" s="33" t="str">
        <f t="shared" si="405"/>
        <v/>
      </c>
    </row>
    <row r="3692" spans="2:17" ht="18" customHeight="1" x14ac:dyDescent="0.3">
      <c r="B3692" s="26"/>
      <c r="C3692" s="17"/>
      <c r="D3692" s="27"/>
      <c r="E3692" s="18"/>
      <c r="F3692" s="18"/>
      <c r="G3692" s="18"/>
      <c r="H3692" s="30" t="str">
        <f t="shared" si="399"/>
        <v/>
      </c>
      <c r="I3692" s="31" t="str">
        <f>IF(OR(B3692="",C3692=""),"",IFERROR(E3692*IF(E3692="",0,VLOOKUP(C3692,'📦 Precios Proforma'!$B$5:$D$104,IF(D3692="DIA",2,3),FALSE)),0))</f>
        <v/>
      </c>
      <c r="J3692" s="31" t="str">
        <f t="shared" si="400"/>
        <v/>
      </c>
      <c r="K3692" s="31" t="str">
        <f t="shared" si="401"/>
        <v/>
      </c>
      <c r="L3692" s="31" t="str">
        <f>IF(OR(B3692="",C3692=""),"",IFERROR(E3692 / SUMIFS('📅 Resumen Diario'!$D$5:$D$504, '📅 Resumen Diario'!$B$5:$B$504, B3692, '📅 Resumen Diario'!$C$5:$C$504, D3692) * SUMIFS('📅 Resumen Diario'!$K$5:$K$504, '📅 Resumen Diario'!$B$5:$B$504, B3692, '📅 Resumen Diario'!$C$5:$C$504, D3692), 0))</f>
        <v/>
      </c>
      <c r="M3692" s="31" t="str">
        <f t="shared" si="402"/>
        <v/>
      </c>
      <c r="N3692" s="31" t="str">
        <f t="shared" si="403"/>
        <v/>
      </c>
      <c r="O3692" s="31" t="str">
        <f>IF(OR(B3692="",C3692=""),"",K3692-N3692 + IFERROR(E3692 / SUMIFS('📅 Resumen Diario'!$D$5:$D$504, '📅 Resumen Diario'!$B$5:$B$504, B3692, '📅 Resumen Diario'!$C$5:$C$504, D3692) * (SUMIFS('📋 Detalle Diario'!$E$5:$E$489, '📋 Detalle Diario'!$B$5:$B$489, B3692, '📋 Detalle Diario'!$C$5:$C$489, D3692) * 135 + SUMIFS('📋 Detalle Diario'!$I$5:$I$489, '📋 Detalle Diario'!$B$5:$B$489, B3692, '📋 Detalle Diario'!$C$5:$C$489, D3692) * 200), 0))</f>
        <v/>
      </c>
      <c r="P3692" s="32" t="str">
        <f t="shared" si="404"/>
        <v/>
      </c>
      <c r="Q3692" s="33" t="str">
        <f t="shared" si="405"/>
        <v/>
      </c>
    </row>
    <row r="3693" spans="2:17" ht="18" customHeight="1" x14ac:dyDescent="0.3">
      <c r="B3693" s="26"/>
      <c r="C3693" s="28"/>
      <c r="D3693" s="27"/>
      <c r="E3693" s="29"/>
      <c r="F3693" s="29"/>
      <c r="G3693" s="29"/>
      <c r="H3693" s="30" t="str">
        <f t="shared" si="399"/>
        <v/>
      </c>
      <c r="I3693" s="31" t="str">
        <f>IF(OR(B3693="",C3693=""),"",IFERROR(E3693*IF(E3693="",0,VLOOKUP(C3693,'📦 Precios Proforma'!$B$5:$D$104,IF(D3693="DIA",2,3),FALSE)),0))</f>
        <v/>
      </c>
      <c r="J3693" s="31" t="str">
        <f t="shared" si="400"/>
        <v/>
      </c>
      <c r="K3693" s="31" t="str">
        <f t="shared" si="401"/>
        <v/>
      </c>
      <c r="L3693" s="31" t="str">
        <f>IF(OR(B3693="",C3693=""),"",IFERROR(E3693 / SUMIFS('📅 Resumen Diario'!$D$5:$D$504, '📅 Resumen Diario'!$B$5:$B$504, B3693, '📅 Resumen Diario'!$C$5:$C$504, D3693) * SUMIFS('📅 Resumen Diario'!$K$5:$K$504, '📅 Resumen Diario'!$B$5:$B$504, B3693, '📅 Resumen Diario'!$C$5:$C$504, D3693), 0))</f>
        <v/>
      </c>
      <c r="M3693" s="31" t="str">
        <f t="shared" si="402"/>
        <v/>
      </c>
      <c r="N3693" s="31" t="str">
        <f t="shared" si="403"/>
        <v/>
      </c>
      <c r="O3693" s="31" t="str">
        <f>IF(OR(B3693="",C3693=""),"",K3693-N3693 + IFERROR(E3693 / SUMIFS('📅 Resumen Diario'!$D$5:$D$504, '📅 Resumen Diario'!$B$5:$B$504, B3693, '📅 Resumen Diario'!$C$5:$C$504, D3693) * (SUMIFS('📋 Detalle Diario'!$E$5:$E$489, '📋 Detalle Diario'!$B$5:$B$489, B3693, '📋 Detalle Diario'!$C$5:$C$489, D3693) * 135 + SUMIFS('📋 Detalle Diario'!$I$5:$I$489, '📋 Detalle Diario'!$B$5:$B$489, B3693, '📋 Detalle Diario'!$C$5:$C$489, D3693) * 200), 0))</f>
        <v/>
      </c>
      <c r="P3693" s="32" t="str">
        <f t="shared" si="404"/>
        <v/>
      </c>
      <c r="Q3693" s="33" t="str">
        <f t="shared" si="405"/>
        <v/>
      </c>
    </row>
    <row r="3694" spans="2:17" ht="18" customHeight="1" x14ac:dyDescent="0.3">
      <c r="B3694" s="26"/>
      <c r="C3694" s="17"/>
      <c r="D3694" s="27"/>
      <c r="E3694" s="18"/>
      <c r="F3694" s="18"/>
      <c r="G3694" s="18"/>
      <c r="H3694" s="30" t="str">
        <f t="shared" si="399"/>
        <v/>
      </c>
      <c r="I3694" s="31" t="str">
        <f>IF(OR(B3694="",C3694=""),"",IFERROR(E3694*IF(E3694="",0,VLOOKUP(C3694,'📦 Precios Proforma'!$B$5:$D$104,IF(D3694="DIA",2,3),FALSE)),0))</f>
        <v/>
      </c>
      <c r="J3694" s="31" t="str">
        <f t="shared" si="400"/>
        <v/>
      </c>
      <c r="K3694" s="31" t="str">
        <f t="shared" si="401"/>
        <v/>
      </c>
      <c r="L3694" s="31" t="str">
        <f>IF(OR(B3694="",C3694=""),"",IFERROR(E3694 / SUMIFS('📅 Resumen Diario'!$D$5:$D$504, '📅 Resumen Diario'!$B$5:$B$504, B3694, '📅 Resumen Diario'!$C$5:$C$504, D3694) * SUMIFS('📅 Resumen Diario'!$K$5:$K$504, '📅 Resumen Diario'!$B$5:$B$504, B3694, '📅 Resumen Diario'!$C$5:$C$504, D3694), 0))</f>
        <v/>
      </c>
      <c r="M3694" s="31" t="str">
        <f t="shared" si="402"/>
        <v/>
      </c>
      <c r="N3694" s="31" t="str">
        <f t="shared" si="403"/>
        <v/>
      </c>
      <c r="O3694" s="31" t="str">
        <f>IF(OR(B3694="",C3694=""),"",K3694-N3694 + IFERROR(E3694 / SUMIFS('📅 Resumen Diario'!$D$5:$D$504, '📅 Resumen Diario'!$B$5:$B$504, B3694, '📅 Resumen Diario'!$C$5:$C$504, D3694) * (SUMIFS('📋 Detalle Diario'!$E$5:$E$489, '📋 Detalle Diario'!$B$5:$B$489, B3694, '📋 Detalle Diario'!$C$5:$C$489, D3694) * 135 + SUMIFS('📋 Detalle Diario'!$I$5:$I$489, '📋 Detalle Diario'!$B$5:$B$489, B3694, '📋 Detalle Diario'!$C$5:$C$489, D3694) * 200), 0))</f>
        <v/>
      </c>
      <c r="P3694" s="32" t="str">
        <f t="shared" si="404"/>
        <v/>
      </c>
      <c r="Q3694" s="33" t="str">
        <f t="shared" si="405"/>
        <v/>
      </c>
    </row>
    <row r="3695" spans="2:17" ht="18" customHeight="1" x14ac:dyDescent="0.3">
      <c r="B3695" s="26"/>
      <c r="C3695" s="28"/>
      <c r="D3695" s="27"/>
      <c r="E3695" s="29"/>
      <c r="F3695" s="29"/>
      <c r="G3695" s="29"/>
      <c r="H3695" s="30" t="str">
        <f t="shared" si="399"/>
        <v/>
      </c>
      <c r="I3695" s="31" t="str">
        <f>IF(OR(B3695="",C3695=""),"",IFERROR(E3695*IF(E3695="",0,VLOOKUP(C3695,'📦 Precios Proforma'!$B$5:$D$104,IF(D3695="DIA",2,3),FALSE)),0))</f>
        <v/>
      </c>
      <c r="J3695" s="31" t="str">
        <f t="shared" si="400"/>
        <v/>
      </c>
      <c r="K3695" s="31" t="str">
        <f t="shared" si="401"/>
        <v/>
      </c>
      <c r="L3695" s="31" t="str">
        <f>IF(OR(B3695="",C3695=""),"",IFERROR(E3695 / SUMIFS('📅 Resumen Diario'!$D$5:$D$504, '📅 Resumen Diario'!$B$5:$B$504, B3695, '📅 Resumen Diario'!$C$5:$C$504, D3695) * SUMIFS('📅 Resumen Diario'!$K$5:$K$504, '📅 Resumen Diario'!$B$5:$B$504, B3695, '📅 Resumen Diario'!$C$5:$C$504, D3695), 0))</f>
        <v/>
      </c>
      <c r="M3695" s="31" t="str">
        <f t="shared" si="402"/>
        <v/>
      </c>
      <c r="N3695" s="31" t="str">
        <f t="shared" si="403"/>
        <v/>
      </c>
      <c r="O3695" s="31" t="str">
        <f>IF(OR(B3695="",C3695=""),"",K3695-N3695 + IFERROR(E3695 / SUMIFS('📅 Resumen Diario'!$D$5:$D$504, '📅 Resumen Diario'!$B$5:$B$504, B3695, '📅 Resumen Diario'!$C$5:$C$504, D3695) * (SUMIFS('📋 Detalle Diario'!$E$5:$E$489, '📋 Detalle Diario'!$B$5:$B$489, B3695, '📋 Detalle Diario'!$C$5:$C$489, D3695) * 135 + SUMIFS('📋 Detalle Diario'!$I$5:$I$489, '📋 Detalle Diario'!$B$5:$B$489, B3695, '📋 Detalle Diario'!$C$5:$C$489, D3695) * 200), 0))</f>
        <v/>
      </c>
      <c r="P3695" s="32" t="str">
        <f t="shared" si="404"/>
        <v/>
      </c>
      <c r="Q3695" s="33" t="str">
        <f t="shared" si="405"/>
        <v/>
      </c>
    </row>
    <row r="3696" spans="2:17" ht="18" customHeight="1" x14ac:dyDescent="0.3">
      <c r="B3696" s="26"/>
      <c r="C3696" s="17"/>
      <c r="D3696" s="27"/>
      <c r="E3696" s="18"/>
      <c r="F3696" s="18"/>
      <c r="G3696" s="18"/>
      <c r="H3696" s="30" t="str">
        <f t="shared" si="399"/>
        <v/>
      </c>
      <c r="I3696" s="31" t="str">
        <f>IF(OR(B3696="",C3696=""),"",IFERROR(E3696*IF(E3696="",0,VLOOKUP(C3696,'📦 Precios Proforma'!$B$5:$D$104,IF(D3696="DIA",2,3),FALSE)),0))</f>
        <v/>
      </c>
      <c r="J3696" s="31" t="str">
        <f t="shared" si="400"/>
        <v/>
      </c>
      <c r="K3696" s="31" t="str">
        <f t="shared" si="401"/>
        <v/>
      </c>
      <c r="L3696" s="31" t="str">
        <f>IF(OR(B3696="",C3696=""),"",IFERROR(E3696 / SUMIFS('📅 Resumen Diario'!$D$5:$D$504, '📅 Resumen Diario'!$B$5:$B$504, B3696, '📅 Resumen Diario'!$C$5:$C$504, D3696) * SUMIFS('📅 Resumen Diario'!$K$5:$K$504, '📅 Resumen Diario'!$B$5:$B$504, B3696, '📅 Resumen Diario'!$C$5:$C$504, D3696), 0))</f>
        <v/>
      </c>
      <c r="M3696" s="31" t="str">
        <f t="shared" si="402"/>
        <v/>
      </c>
      <c r="N3696" s="31" t="str">
        <f t="shared" si="403"/>
        <v/>
      </c>
      <c r="O3696" s="31" t="str">
        <f>IF(OR(B3696="",C3696=""),"",K3696-N3696 + IFERROR(E3696 / SUMIFS('📅 Resumen Diario'!$D$5:$D$504, '📅 Resumen Diario'!$B$5:$B$504, B3696, '📅 Resumen Diario'!$C$5:$C$504, D3696) * (SUMIFS('📋 Detalle Diario'!$E$5:$E$489, '📋 Detalle Diario'!$B$5:$B$489, B3696, '📋 Detalle Diario'!$C$5:$C$489, D3696) * 135 + SUMIFS('📋 Detalle Diario'!$I$5:$I$489, '📋 Detalle Diario'!$B$5:$B$489, B3696, '📋 Detalle Diario'!$C$5:$C$489, D3696) * 200), 0))</f>
        <v/>
      </c>
      <c r="P3696" s="32" t="str">
        <f t="shared" si="404"/>
        <v/>
      </c>
      <c r="Q3696" s="33" t="str">
        <f t="shared" si="405"/>
        <v/>
      </c>
    </row>
    <row r="3697" spans="2:17" ht="18" customHeight="1" x14ac:dyDescent="0.3">
      <c r="B3697" s="26"/>
      <c r="C3697" s="28"/>
      <c r="D3697" s="27"/>
      <c r="E3697" s="29"/>
      <c r="F3697" s="29"/>
      <c r="G3697" s="29"/>
      <c r="H3697" s="30" t="str">
        <f t="shared" si="399"/>
        <v/>
      </c>
      <c r="I3697" s="31" t="str">
        <f>IF(OR(B3697="",C3697=""),"",IFERROR(E3697*IF(E3697="",0,VLOOKUP(C3697,'📦 Precios Proforma'!$B$5:$D$104,IF(D3697="DIA",2,3),FALSE)),0))</f>
        <v/>
      </c>
      <c r="J3697" s="31" t="str">
        <f t="shared" si="400"/>
        <v/>
      </c>
      <c r="K3697" s="31" t="str">
        <f t="shared" si="401"/>
        <v/>
      </c>
      <c r="L3697" s="31" t="str">
        <f>IF(OR(B3697="",C3697=""),"",IFERROR(E3697 / SUMIFS('📅 Resumen Diario'!$D$5:$D$504, '📅 Resumen Diario'!$B$5:$B$504, B3697, '📅 Resumen Diario'!$C$5:$C$504, D3697) * SUMIFS('📅 Resumen Diario'!$K$5:$K$504, '📅 Resumen Diario'!$B$5:$B$504, B3697, '📅 Resumen Diario'!$C$5:$C$504, D3697), 0))</f>
        <v/>
      </c>
      <c r="M3697" s="31" t="str">
        <f t="shared" si="402"/>
        <v/>
      </c>
      <c r="N3697" s="31" t="str">
        <f t="shared" si="403"/>
        <v/>
      </c>
      <c r="O3697" s="31" t="str">
        <f>IF(OR(B3697="",C3697=""),"",K3697-N3697 + IFERROR(E3697 / SUMIFS('📅 Resumen Diario'!$D$5:$D$504, '📅 Resumen Diario'!$B$5:$B$504, B3697, '📅 Resumen Diario'!$C$5:$C$504, D3697) * (SUMIFS('📋 Detalle Diario'!$E$5:$E$489, '📋 Detalle Diario'!$B$5:$B$489, B3697, '📋 Detalle Diario'!$C$5:$C$489, D3697) * 135 + SUMIFS('📋 Detalle Diario'!$I$5:$I$489, '📋 Detalle Diario'!$B$5:$B$489, B3697, '📋 Detalle Diario'!$C$5:$C$489, D3697) * 200), 0))</f>
        <v/>
      </c>
      <c r="P3697" s="32" t="str">
        <f t="shared" si="404"/>
        <v/>
      </c>
      <c r="Q3697" s="33" t="str">
        <f t="shared" si="405"/>
        <v/>
      </c>
    </row>
    <row r="3698" spans="2:17" ht="18" customHeight="1" x14ac:dyDescent="0.3">
      <c r="B3698" s="26"/>
      <c r="C3698" s="17"/>
      <c r="D3698" s="27"/>
      <c r="E3698" s="18"/>
      <c r="F3698" s="18"/>
      <c r="G3698" s="18"/>
      <c r="H3698" s="30" t="str">
        <f t="shared" si="399"/>
        <v/>
      </c>
      <c r="I3698" s="31" t="str">
        <f>IF(OR(B3698="",C3698=""),"",IFERROR(E3698*IF(E3698="",0,VLOOKUP(C3698,'📦 Precios Proforma'!$B$5:$D$104,IF(D3698="DIA",2,3),FALSE)),0))</f>
        <v/>
      </c>
      <c r="J3698" s="31" t="str">
        <f t="shared" si="400"/>
        <v/>
      </c>
      <c r="K3698" s="31" t="str">
        <f t="shared" si="401"/>
        <v/>
      </c>
      <c r="L3698" s="31" t="str">
        <f>IF(OR(B3698="",C3698=""),"",IFERROR(E3698 / SUMIFS('📅 Resumen Diario'!$D$5:$D$504, '📅 Resumen Diario'!$B$5:$B$504, B3698, '📅 Resumen Diario'!$C$5:$C$504, D3698) * SUMIFS('📅 Resumen Diario'!$K$5:$K$504, '📅 Resumen Diario'!$B$5:$B$504, B3698, '📅 Resumen Diario'!$C$5:$C$504, D3698), 0))</f>
        <v/>
      </c>
      <c r="M3698" s="31" t="str">
        <f t="shared" si="402"/>
        <v/>
      </c>
      <c r="N3698" s="31" t="str">
        <f t="shared" si="403"/>
        <v/>
      </c>
      <c r="O3698" s="31" t="str">
        <f>IF(OR(B3698="",C3698=""),"",K3698-N3698 + IFERROR(E3698 / SUMIFS('📅 Resumen Diario'!$D$5:$D$504, '📅 Resumen Diario'!$B$5:$B$504, B3698, '📅 Resumen Diario'!$C$5:$C$504, D3698) * (SUMIFS('📋 Detalle Diario'!$E$5:$E$489, '📋 Detalle Diario'!$B$5:$B$489, B3698, '📋 Detalle Diario'!$C$5:$C$489, D3698) * 135 + SUMIFS('📋 Detalle Diario'!$I$5:$I$489, '📋 Detalle Diario'!$B$5:$B$489, B3698, '📋 Detalle Diario'!$C$5:$C$489, D3698) * 200), 0))</f>
        <v/>
      </c>
      <c r="P3698" s="32" t="str">
        <f t="shared" si="404"/>
        <v/>
      </c>
      <c r="Q3698" s="33" t="str">
        <f t="shared" si="405"/>
        <v/>
      </c>
    </row>
    <row r="3699" spans="2:17" ht="18" customHeight="1" x14ac:dyDescent="0.3">
      <c r="B3699" s="26"/>
      <c r="C3699" s="28"/>
      <c r="D3699" s="27"/>
      <c r="E3699" s="29"/>
      <c r="F3699" s="29"/>
      <c r="G3699" s="29"/>
      <c r="H3699" s="30" t="str">
        <f t="shared" si="399"/>
        <v/>
      </c>
      <c r="I3699" s="31" t="str">
        <f>IF(OR(B3699="",C3699=""),"",IFERROR(E3699*IF(E3699="",0,VLOOKUP(C3699,'📦 Precios Proforma'!$B$5:$D$104,IF(D3699="DIA",2,3),FALSE)),0))</f>
        <v/>
      </c>
      <c r="J3699" s="31" t="str">
        <f t="shared" si="400"/>
        <v/>
      </c>
      <c r="K3699" s="31" t="str">
        <f t="shared" si="401"/>
        <v/>
      </c>
      <c r="L3699" s="31" t="str">
        <f>IF(OR(B3699="",C3699=""),"",IFERROR(E3699 / SUMIFS('📅 Resumen Diario'!$D$5:$D$504, '📅 Resumen Diario'!$B$5:$B$504, B3699, '📅 Resumen Diario'!$C$5:$C$504, D3699) * SUMIFS('📅 Resumen Diario'!$K$5:$K$504, '📅 Resumen Diario'!$B$5:$B$504, B3699, '📅 Resumen Diario'!$C$5:$C$504, D3699), 0))</f>
        <v/>
      </c>
      <c r="M3699" s="31" t="str">
        <f t="shared" si="402"/>
        <v/>
      </c>
      <c r="N3699" s="31" t="str">
        <f t="shared" si="403"/>
        <v/>
      </c>
      <c r="O3699" s="31" t="str">
        <f>IF(OR(B3699="",C3699=""),"",K3699-N3699 + IFERROR(E3699 / SUMIFS('📅 Resumen Diario'!$D$5:$D$504, '📅 Resumen Diario'!$B$5:$B$504, B3699, '📅 Resumen Diario'!$C$5:$C$504, D3699) * (SUMIFS('📋 Detalle Diario'!$E$5:$E$489, '📋 Detalle Diario'!$B$5:$B$489, B3699, '📋 Detalle Diario'!$C$5:$C$489, D3699) * 135 + SUMIFS('📋 Detalle Diario'!$I$5:$I$489, '📋 Detalle Diario'!$B$5:$B$489, B3699, '📋 Detalle Diario'!$C$5:$C$489, D3699) * 200), 0))</f>
        <v/>
      </c>
      <c r="P3699" s="32" t="str">
        <f t="shared" si="404"/>
        <v/>
      </c>
      <c r="Q3699" s="33" t="str">
        <f t="shared" si="405"/>
        <v/>
      </c>
    </row>
    <row r="3700" spans="2:17" ht="18" customHeight="1" x14ac:dyDescent="0.3">
      <c r="B3700" s="26"/>
      <c r="C3700" s="17"/>
      <c r="D3700" s="27"/>
      <c r="E3700" s="18"/>
      <c r="F3700" s="18"/>
      <c r="G3700" s="18"/>
      <c r="H3700" s="30" t="str">
        <f t="shared" si="399"/>
        <v/>
      </c>
      <c r="I3700" s="31" t="str">
        <f>IF(OR(B3700="",C3700=""),"",IFERROR(E3700*IF(E3700="",0,VLOOKUP(C3700,'📦 Precios Proforma'!$B$5:$D$104,IF(D3700="DIA",2,3),FALSE)),0))</f>
        <v/>
      </c>
      <c r="J3700" s="31" t="str">
        <f t="shared" si="400"/>
        <v/>
      </c>
      <c r="K3700" s="31" t="str">
        <f t="shared" si="401"/>
        <v/>
      </c>
      <c r="L3700" s="31" t="str">
        <f>IF(OR(B3700="",C3700=""),"",IFERROR(E3700 / SUMIFS('📅 Resumen Diario'!$D$5:$D$504, '📅 Resumen Diario'!$B$5:$B$504, B3700, '📅 Resumen Diario'!$C$5:$C$504, D3700) * SUMIFS('📅 Resumen Diario'!$K$5:$K$504, '📅 Resumen Diario'!$B$5:$B$504, B3700, '📅 Resumen Diario'!$C$5:$C$504, D3700), 0))</f>
        <v/>
      </c>
      <c r="M3700" s="31" t="str">
        <f t="shared" si="402"/>
        <v/>
      </c>
      <c r="N3700" s="31" t="str">
        <f t="shared" si="403"/>
        <v/>
      </c>
      <c r="O3700" s="31" t="str">
        <f>IF(OR(B3700="",C3700=""),"",K3700-N3700 + IFERROR(E3700 / SUMIFS('📅 Resumen Diario'!$D$5:$D$504, '📅 Resumen Diario'!$B$5:$B$504, B3700, '📅 Resumen Diario'!$C$5:$C$504, D3700) * (SUMIFS('📋 Detalle Diario'!$E$5:$E$489, '📋 Detalle Diario'!$B$5:$B$489, B3700, '📋 Detalle Diario'!$C$5:$C$489, D3700) * 135 + SUMIFS('📋 Detalle Diario'!$I$5:$I$489, '📋 Detalle Diario'!$B$5:$B$489, B3700, '📋 Detalle Diario'!$C$5:$C$489, D3700) * 200), 0))</f>
        <v/>
      </c>
      <c r="P3700" s="32" t="str">
        <f t="shared" si="404"/>
        <v/>
      </c>
      <c r="Q3700" s="33" t="str">
        <f t="shared" si="405"/>
        <v/>
      </c>
    </row>
    <row r="3701" spans="2:17" ht="18" customHeight="1" x14ac:dyDescent="0.3">
      <c r="B3701" s="26"/>
      <c r="C3701" s="28"/>
      <c r="D3701" s="27"/>
      <c r="E3701" s="29"/>
      <c r="F3701" s="29"/>
      <c r="G3701" s="29"/>
      <c r="H3701" s="30" t="str">
        <f t="shared" si="399"/>
        <v/>
      </c>
      <c r="I3701" s="31" t="str">
        <f>IF(OR(B3701="",C3701=""),"",IFERROR(E3701*IF(E3701="",0,VLOOKUP(C3701,'📦 Precios Proforma'!$B$5:$D$104,IF(D3701="DIA",2,3),FALSE)),0))</f>
        <v/>
      </c>
      <c r="J3701" s="31" t="str">
        <f t="shared" si="400"/>
        <v/>
      </c>
      <c r="K3701" s="31" t="str">
        <f t="shared" si="401"/>
        <v/>
      </c>
      <c r="L3701" s="31" t="str">
        <f>IF(OR(B3701="",C3701=""),"",IFERROR(E3701 / SUMIFS('📅 Resumen Diario'!$D$5:$D$504, '📅 Resumen Diario'!$B$5:$B$504, B3701, '📅 Resumen Diario'!$C$5:$C$504, D3701) * SUMIFS('📅 Resumen Diario'!$K$5:$K$504, '📅 Resumen Diario'!$B$5:$B$504, B3701, '📅 Resumen Diario'!$C$5:$C$504, D3701), 0))</f>
        <v/>
      </c>
      <c r="M3701" s="31" t="str">
        <f t="shared" si="402"/>
        <v/>
      </c>
      <c r="N3701" s="31" t="str">
        <f t="shared" si="403"/>
        <v/>
      </c>
      <c r="O3701" s="31" t="str">
        <f>IF(OR(B3701="",C3701=""),"",K3701-N3701 + IFERROR(E3701 / SUMIFS('📅 Resumen Diario'!$D$5:$D$504, '📅 Resumen Diario'!$B$5:$B$504, B3701, '📅 Resumen Diario'!$C$5:$C$504, D3701) * (SUMIFS('📋 Detalle Diario'!$E$5:$E$489, '📋 Detalle Diario'!$B$5:$B$489, B3701, '📋 Detalle Diario'!$C$5:$C$489, D3701) * 135 + SUMIFS('📋 Detalle Diario'!$I$5:$I$489, '📋 Detalle Diario'!$B$5:$B$489, B3701, '📋 Detalle Diario'!$C$5:$C$489, D3701) * 200), 0))</f>
        <v/>
      </c>
      <c r="P3701" s="32" t="str">
        <f t="shared" si="404"/>
        <v/>
      </c>
      <c r="Q3701" s="33" t="str">
        <f t="shared" si="405"/>
        <v/>
      </c>
    </row>
    <row r="3702" spans="2:17" ht="18" customHeight="1" x14ac:dyDescent="0.3">
      <c r="B3702" s="26"/>
      <c r="C3702" s="17"/>
      <c r="D3702" s="27"/>
      <c r="E3702" s="18"/>
      <c r="F3702" s="18"/>
      <c r="G3702" s="18"/>
      <c r="H3702" s="30" t="str">
        <f t="shared" si="399"/>
        <v/>
      </c>
      <c r="I3702" s="31" t="str">
        <f>IF(OR(B3702="",C3702=""),"",IFERROR(E3702*IF(E3702="",0,VLOOKUP(C3702,'📦 Precios Proforma'!$B$5:$D$104,IF(D3702="DIA",2,3),FALSE)),0))</f>
        <v/>
      </c>
      <c r="J3702" s="31" t="str">
        <f t="shared" si="400"/>
        <v/>
      </c>
      <c r="K3702" s="31" t="str">
        <f t="shared" si="401"/>
        <v/>
      </c>
      <c r="L3702" s="31" t="str">
        <f>IF(OR(B3702="",C3702=""),"",IFERROR(E3702 / SUMIFS('📅 Resumen Diario'!$D$5:$D$504, '📅 Resumen Diario'!$B$5:$B$504, B3702, '📅 Resumen Diario'!$C$5:$C$504, D3702) * SUMIFS('📅 Resumen Diario'!$K$5:$K$504, '📅 Resumen Diario'!$B$5:$B$504, B3702, '📅 Resumen Diario'!$C$5:$C$504, D3702), 0))</f>
        <v/>
      </c>
      <c r="M3702" s="31" t="str">
        <f t="shared" si="402"/>
        <v/>
      </c>
      <c r="N3702" s="31" t="str">
        <f t="shared" si="403"/>
        <v/>
      </c>
      <c r="O3702" s="31" t="str">
        <f>IF(OR(B3702="",C3702=""),"",K3702-N3702 + IFERROR(E3702 / SUMIFS('📅 Resumen Diario'!$D$5:$D$504, '📅 Resumen Diario'!$B$5:$B$504, B3702, '📅 Resumen Diario'!$C$5:$C$504, D3702) * (SUMIFS('📋 Detalle Diario'!$E$5:$E$489, '📋 Detalle Diario'!$B$5:$B$489, B3702, '📋 Detalle Diario'!$C$5:$C$489, D3702) * 135 + SUMIFS('📋 Detalle Diario'!$I$5:$I$489, '📋 Detalle Diario'!$B$5:$B$489, B3702, '📋 Detalle Diario'!$C$5:$C$489, D3702) * 200), 0))</f>
        <v/>
      </c>
      <c r="P3702" s="32" t="str">
        <f t="shared" si="404"/>
        <v/>
      </c>
      <c r="Q3702" s="33" t="str">
        <f t="shared" si="405"/>
        <v/>
      </c>
    </row>
    <row r="3703" spans="2:17" ht="18" customHeight="1" x14ac:dyDescent="0.3">
      <c r="B3703" s="26"/>
      <c r="C3703" s="28"/>
      <c r="D3703" s="27"/>
      <c r="E3703" s="29"/>
      <c r="F3703" s="29"/>
      <c r="G3703" s="29"/>
      <c r="H3703" s="30" t="str">
        <f t="shared" si="399"/>
        <v/>
      </c>
      <c r="I3703" s="31" t="str">
        <f>IF(OR(B3703="",C3703=""),"",IFERROR(E3703*IF(E3703="",0,VLOOKUP(C3703,'📦 Precios Proforma'!$B$5:$D$104,IF(D3703="DIA",2,3),FALSE)),0))</f>
        <v/>
      </c>
      <c r="J3703" s="31" t="str">
        <f t="shared" si="400"/>
        <v/>
      </c>
      <c r="K3703" s="31" t="str">
        <f t="shared" si="401"/>
        <v/>
      </c>
      <c r="L3703" s="31" t="str">
        <f>IF(OR(B3703="",C3703=""),"",IFERROR(E3703 / SUMIFS('📅 Resumen Diario'!$D$5:$D$504, '📅 Resumen Diario'!$B$5:$B$504, B3703, '📅 Resumen Diario'!$C$5:$C$504, D3703) * SUMIFS('📅 Resumen Diario'!$K$5:$K$504, '📅 Resumen Diario'!$B$5:$B$504, B3703, '📅 Resumen Diario'!$C$5:$C$504, D3703), 0))</f>
        <v/>
      </c>
      <c r="M3703" s="31" t="str">
        <f t="shared" si="402"/>
        <v/>
      </c>
      <c r="N3703" s="31" t="str">
        <f t="shared" si="403"/>
        <v/>
      </c>
      <c r="O3703" s="31" t="str">
        <f>IF(OR(B3703="",C3703=""),"",K3703-N3703 + IFERROR(E3703 / SUMIFS('📅 Resumen Diario'!$D$5:$D$504, '📅 Resumen Diario'!$B$5:$B$504, B3703, '📅 Resumen Diario'!$C$5:$C$504, D3703) * (SUMIFS('📋 Detalle Diario'!$E$5:$E$489, '📋 Detalle Diario'!$B$5:$B$489, B3703, '📋 Detalle Diario'!$C$5:$C$489, D3703) * 135 + SUMIFS('📋 Detalle Diario'!$I$5:$I$489, '📋 Detalle Diario'!$B$5:$B$489, B3703, '📋 Detalle Diario'!$C$5:$C$489, D3703) * 200), 0))</f>
        <v/>
      </c>
      <c r="P3703" s="32" t="str">
        <f t="shared" si="404"/>
        <v/>
      </c>
      <c r="Q3703" s="33" t="str">
        <f t="shared" si="405"/>
        <v/>
      </c>
    </row>
    <row r="3704" spans="2:17" ht="18" customHeight="1" x14ac:dyDescent="0.3">
      <c r="B3704" s="26"/>
      <c r="C3704" s="17"/>
      <c r="D3704" s="27"/>
      <c r="E3704" s="18"/>
      <c r="F3704" s="18"/>
      <c r="G3704" s="18"/>
      <c r="H3704" s="30" t="str">
        <f t="shared" si="399"/>
        <v/>
      </c>
      <c r="I3704" s="31" t="str">
        <f>IF(OR(B3704="",C3704=""),"",IFERROR(E3704*IF(E3704="",0,VLOOKUP(C3704,'📦 Precios Proforma'!$B$5:$D$104,IF(D3704="DIA",2,3),FALSE)),0))</f>
        <v/>
      </c>
      <c r="J3704" s="31" t="str">
        <f t="shared" si="400"/>
        <v/>
      </c>
      <c r="K3704" s="31" t="str">
        <f t="shared" si="401"/>
        <v/>
      </c>
      <c r="L3704" s="31" t="str">
        <f>IF(OR(B3704="",C3704=""),"",IFERROR(E3704 / SUMIFS('📅 Resumen Diario'!$D$5:$D$504, '📅 Resumen Diario'!$B$5:$B$504, B3704, '📅 Resumen Diario'!$C$5:$C$504, D3704) * SUMIFS('📅 Resumen Diario'!$K$5:$K$504, '📅 Resumen Diario'!$B$5:$B$504, B3704, '📅 Resumen Diario'!$C$5:$C$504, D3704), 0))</f>
        <v/>
      </c>
      <c r="M3704" s="31" t="str">
        <f t="shared" si="402"/>
        <v/>
      </c>
      <c r="N3704" s="31" t="str">
        <f t="shared" si="403"/>
        <v/>
      </c>
      <c r="O3704" s="31" t="str">
        <f>IF(OR(B3704="",C3704=""),"",K3704-N3704 + IFERROR(E3704 / SUMIFS('📅 Resumen Diario'!$D$5:$D$504, '📅 Resumen Diario'!$B$5:$B$504, B3704, '📅 Resumen Diario'!$C$5:$C$504, D3704) * (SUMIFS('📋 Detalle Diario'!$E$5:$E$489, '📋 Detalle Diario'!$B$5:$B$489, B3704, '📋 Detalle Diario'!$C$5:$C$489, D3704) * 135 + SUMIFS('📋 Detalle Diario'!$I$5:$I$489, '📋 Detalle Diario'!$B$5:$B$489, B3704, '📋 Detalle Diario'!$C$5:$C$489, D3704) * 200), 0))</f>
        <v/>
      </c>
      <c r="P3704" s="32" t="str">
        <f t="shared" si="404"/>
        <v/>
      </c>
      <c r="Q3704" s="33" t="str">
        <f t="shared" si="405"/>
        <v/>
      </c>
    </row>
    <row r="3705" spans="2:17" ht="18" customHeight="1" x14ac:dyDescent="0.3">
      <c r="B3705" s="26"/>
      <c r="C3705" s="28"/>
      <c r="D3705" s="27"/>
      <c r="E3705" s="29"/>
      <c r="F3705" s="29"/>
      <c r="G3705" s="29"/>
      <c r="H3705" s="30" t="str">
        <f t="shared" si="399"/>
        <v/>
      </c>
      <c r="I3705" s="31" t="str">
        <f>IF(OR(B3705="",C3705=""),"",IFERROR(E3705*IF(E3705="",0,VLOOKUP(C3705,'📦 Precios Proforma'!$B$5:$D$104,IF(D3705="DIA",2,3),FALSE)),0))</f>
        <v/>
      </c>
      <c r="J3705" s="31" t="str">
        <f t="shared" si="400"/>
        <v/>
      </c>
      <c r="K3705" s="31" t="str">
        <f t="shared" si="401"/>
        <v/>
      </c>
      <c r="L3705" s="31" t="str">
        <f>IF(OR(B3705="",C3705=""),"",IFERROR(E3705 / SUMIFS('📅 Resumen Diario'!$D$5:$D$504, '📅 Resumen Diario'!$B$5:$B$504, B3705, '📅 Resumen Diario'!$C$5:$C$504, D3705) * SUMIFS('📅 Resumen Diario'!$K$5:$K$504, '📅 Resumen Diario'!$B$5:$B$504, B3705, '📅 Resumen Diario'!$C$5:$C$504, D3705), 0))</f>
        <v/>
      </c>
      <c r="M3705" s="31" t="str">
        <f t="shared" si="402"/>
        <v/>
      </c>
      <c r="N3705" s="31" t="str">
        <f t="shared" si="403"/>
        <v/>
      </c>
      <c r="O3705" s="31" t="str">
        <f>IF(OR(B3705="",C3705=""),"",K3705-N3705 + IFERROR(E3705 / SUMIFS('📅 Resumen Diario'!$D$5:$D$504, '📅 Resumen Diario'!$B$5:$B$504, B3705, '📅 Resumen Diario'!$C$5:$C$504, D3705) * (SUMIFS('📋 Detalle Diario'!$E$5:$E$489, '📋 Detalle Diario'!$B$5:$B$489, B3705, '📋 Detalle Diario'!$C$5:$C$489, D3705) * 135 + SUMIFS('📋 Detalle Diario'!$I$5:$I$489, '📋 Detalle Diario'!$B$5:$B$489, B3705, '📋 Detalle Diario'!$C$5:$C$489, D3705) * 200), 0))</f>
        <v/>
      </c>
      <c r="P3705" s="32" t="str">
        <f t="shared" si="404"/>
        <v/>
      </c>
      <c r="Q3705" s="33" t="str">
        <f t="shared" si="405"/>
        <v/>
      </c>
    </row>
    <row r="3706" spans="2:17" ht="18" customHeight="1" x14ac:dyDescent="0.3">
      <c r="B3706" s="26"/>
      <c r="C3706" s="17"/>
      <c r="D3706" s="27"/>
      <c r="E3706" s="18"/>
      <c r="F3706" s="18"/>
      <c r="G3706" s="18"/>
      <c r="H3706" s="30" t="str">
        <f t="shared" si="399"/>
        <v/>
      </c>
      <c r="I3706" s="31" t="str">
        <f>IF(OR(B3706="",C3706=""),"",IFERROR(E3706*IF(E3706="",0,VLOOKUP(C3706,'📦 Precios Proforma'!$B$5:$D$104,IF(D3706="DIA",2,3),FALSE)),0))</f>
        <v/>
      </c>
      <c r="J3706" s="31" t="str">
        <f t="shared" si="400"/>
        <v/>
      </c>
      <c r="K3706" s="31" t="str">
        <f t="shared" si="401"/>
        <v/>
      </c>
      <c r="L3706" s="31" t="str">
        <f>IF(OR(B3706="",C3706=""),"",IFERROR(E3706 / SUMIFS('📅 Resumen Diario'!$D$5:$D$504, '📅 Resumen Diario'!$B$5:$B$504, B3706, '📅 Resumen Diario'!$C$5:$C$504, D3706) * SUMIFS('📅 Resumen Diario'!$K$5:$K$504, '📅 Resumen Diario'!$B$5:$B$504, B3706, '📅 Resumen Diario'!$C$5:$C$504, D3706), 0))</f>
        <v/>
      </c>
      <c r="M3706" s="31" t="str">
        <f t="shared" si="402"/>
        <v/>
      </c>
      <c r="N3706" s="31" t="str">
        <f t="shared" si="403"/>
        <v/>
      </c>
      <c r="O3706" s="31" t="str">
        <f>IF(OR(B3706="",C3706=""),"",K3706-N3706 + IFERROR(E3706 / SUMIFS('📅 Resumen Diario'!$D$5:$D$504, '📅 Resumen Diario'!$B$5:$B$504, B3706, '📅 Resumen Diario'!$C$5:$C$504, D3706) * (SUMIFS('📋 Detalle Diario'!$E$5:$E$489, '📋 Detalle Diario'!$B$5:$B$489, B3706, '📋 Detalle Diario'!$C$5:$C$489, D3706) * 135 + SUMIFS('📋 Detalle Diario'!$I$5:$I$489, '📋 Detalle Diario'!$B$5:$B$489, B3706, '📋 Detalle Diario'!$C$5:$C$489, D3706) * 200), 0))</f>
        <v/>
      </c>
      <c r="P3706" s="32" t="str">
        <f t="shared" si="404"/>
        <v/>
      </c>
      <c r="Q3706" s="33" t="str">
        <f t="shared" si="405"/>
        <v/>
      </c>
    </row>
    <row r="3707" spans="2:17" ht="18" customHeight="1" x14ac:dyDescent="0.3">
      <c r="B3707" s="26"/>
      <c r="C3707" s="28"/>
      <c r="D3707" s="27"/>
      <c r="E3707" s="29"/>
      <c r="F3707" s="29"/>
      <c r="G3707" s="29"/>
      <c r="H3707" s="30" t="str">
        <f t="shared" si="399"/>
        <v/>
      </c>
      <c r="I3707" s="31" t="str">
        <f>IF(OR(B3707="",C3707=""),"",IFERROR(E3707*IF(E3707="",0,VLOOKUP(C3707,'📦 Precios Proforma'!$B$5:$D$104,IF(D3707="DIA",2,3),FALSE)),0))</f>
        <v/>
      </c>
      <c r="J3707" s="31" t="str">
        <f t="shared" si="400"/>
        <v/>
      </c>
      <c r="K3707" s="31" t="str">
        <f t="shared" si="401"/>
        <v/>
      </c>
      <c r="L3707" s="31" t="str">
        <f>IF(OR(B3707="",C3707=""),"",IFERROR(E3707 / SUMIFS('📅 Resumen Diario'!$D$5:$D$504, '📅 Resumen Diario'!$B$5:$B$504, B3707, '📅 Resumen Diario'!$C$5:$C$504, D3707) * SUMIFS('📅 Resumen Diario'!$K$5:$K$504, '📅 Resumen Diario'!$B$5:$B$504, B3707, '📅 Resumen Diario'!$C$5:$C$504, D3707), 0))</f>
        <v/>
      </c>
      <c r="M3707" s="31" t="str">
        <f t="shared" si="402"/>
        <v/>
      </c>
      <c r="N3707" s="31" t="str">
        <f t="shared" si="403"/>
        <v/>
      </c>
      <c r="O3707" s="31" t="str">
        <f>IF(OR(B3707="",C3707=""),"",K3707-N3707 + IFERROR(E3707 / SUMIFS('📅 Resumen Diario'!$D$5:$D$504, '📅 Resumen Diario'!$B$5:$B$504, B3707, '📅 Resumen Diario'!$C$5:$C$504, D3707) * (SUMIFS('📋 Detalle Diario'!$E$5:$E$489, '📋 Detalle Diario'!$B$5:$B$489, B3707, '📋 Detalle Diario'!$C$5:$C$489, D3707) * 135 + SUMIFS('📋 Detalle Diario'!$I$5:$I$489, '📋 Detalle Diario'!$B$5:$B$489, B3707, '📋 Detalle Diario'!$C$5:$C$489, D3707) * 200), 0))</f>
        <v/>
      </c>
      <c r="P3707" s="32" t="str">
        <f t="shared" si="404"/>
        <v/>
      </c>
      <c r="Q3707" s="33" t="str">
        <f t="shared" si="405"/>
        <v/>
      </c>
    </row>
    <row r="3708" spans="2:17" ht="18" customHeight="1" x14ac:dyDescent="0.3">
      <c r="B3708" s="26"/>
      <c r="C3708" s="17"/>
      <c r="D3708" s="27"/>
      <c r="E3708" s="18"/>
      <c r="F3708" s="18"/>
      <c r="G3708" s="18"/>
      <c r="H3708" s="30" t="str">
        <f t="shared" si="399"/>
        <v/>
      </c>
      <c r="I3708" s="31" t="str">
        <f>IF(OR(B3708="",C3708=""),"",IFERROR(E3708*IF(E3708="",0,VLOOKUP(C3708,'📦 Precios Proforma'!$B$5:$D$104,IF(D3708="DIA",2,3),FALSE)),0))</f>
        <v/>
      </c>
      <c r="J3708" s="31" t="str">
        <f t="shared" si="400"/>
        <v/>
      </c>
      <c r="K3708" s="31" t="str">
        <f t="shared" si="401"/>
        <v/>
      </c>
      <c r="L3708" s="31" t="str">
        <f>IF(OR(B3708="",C3708=""),"",IFERROR(E3708 / SUMIFS('📅 Resumen Diario'!$D$5:$D$504, '📅 Resumen Diario'!$B$5:$B$504, B3708, '📅 Resumen Diario'!$C$5:$C$504, D3708) * SUMIFS('📅 Resumen Diario'!$K$5:$K$504, '📅 Resumen Diario'!$B$5:$B$504, B3708, '📅 Resumen Diario'!$C$5:$C$504, D3708), 0))</f>
        <v/>
      </c>
      <c r="M3708" s="31" t="str">
        <f t="shared" si="402"/>
        <v/>
      </c>
      <c r="N3708" s="31" t="str">
        <f t="shared" si="403"/>
        <v/>
      </c>
      <c r="O3708" s="31" t="str">
        <f>IF(OR(B3708="",C3708=""),"",K3708-N3708 + IFERROR(E3708 / SUMIFS('📅 Resumen Diario'!$D$5:$D$504, '📅 Resumen Diario'!$B$5:$B$504, B3708, '📅 Resumen Diario'!$C$5:$C$504, D3708) * (SUMIFS('📋 Detalle Diario'!$E$5:$E$489, '📋 Detalle Diario'!$B$5:$B$489, B3708, '📋 Detalle Diario'!$C$5:$C$489, D3708) * 135 + SUMIFS('📋 Detalle Diario'!$I$5:$I$489, '📋 Detalle Diario'!$B$5:$B$489, B3708, '📋 Detalle Diario'!$C$5:$C$489, D3708) * 200), 0))</f>
        <v/>
      </c>
      <c r="P3708" s="32" t="str">
        <f t="shared" si="404"/>
        <v/>
      </c>
      <c r="Q3708" s="33" t="str">
        <f t="shared" si="405"/>
        <v/>
      </c>
    </row>
    <row r="3709" spans="2:17" ht="18" customHeight="1" x14ac:dyDescent="0.3">
      <c r="B3709" s="26"/>
      <c r="C3709" s="28"/>
      <c r="D3709" s="27"/>
      <c r="E3709" s="29"/>
      <c r="F3709" s="29"/>
      <c r="G3709" s="29"/>
      <c r="H3709" s="30" t="str">
        <f t="shared" si="399"/>
        <v/>
      </c>
      <c r="I3709" s="31" t="str">
        <f>IF(OR(B3709="",C3709=""),"",IFERROR(E3709*IF(E3709="",0,VLOOKUP(C3709,'📦 Precios Proforma'!$B$5:$D$104,IF(D3709="DIA",2,3),FALSE)),0))</f>
        <v/>
      </c>
      <c r="J3709" s="31" t="str">
        <f t="shared" si="400"/>
        <v/>
      </c>
      <c r="K3709" s="31" t="str">
        <f t="shared" si="401"/>
        <v/>
      </c>
      <c r="L3709" s="31" t="str">
        <f>IF(OR(B3709="",C3709=""),"",IFERROR(E3709 / SUMIFS('📅 Resumen Diario'!$D$5:$D$504, '📅 Resumen Diario'!$B$5:$B$504, B3709, '📅 Resumen Diario'!$C$5:$C$504, D3709) * SUMIFS('📅 Resumen Diario'!$K$5:$K$504, '📅 Resumen Diario'!$B$5:$B$504, B3709, '📅 Resumen Diario'!$C$5:$C$504, D3709), 0))</f>
        <v/>
      </c>
      <c r="M3709" s="31" t="str">
        <f t="shared" si="402"/>
        <v/>
      </c>
      <c r="N3709" s="31" t="str">
        <f t="shared" si="403"/>
        <v/>
      </c>
      <c r="O3709" s="31" t="str">
        <f>IF(OR(B3709="",C3709=""),"",K3709-N3709 + IFERROR(E3709 / SUMIFS('📅 Resumen Diario'!$D$5:$D$504, '📅 Resumen Diario'!$B$5:$B$504, B3709, '📅 Resumen Diario'!$C$5:$C$504, D3709) * (SUMIFS('📋 Detalle Diario'!$E$5:$E$489, '📋 Detalle Diario'!$B$5:$B$489, B3709, '📋 Detalle Diario'!$C$5:$C$489, D3709) * 135 + SUMIFS('📋 Detalle Diario'!$I$5:$I$489, '📋 Detalle Diario'!$B$5:$B$489, B3709, '📋 Detalle Diario'!$C$5:$C$489, D3709) * 200), 0))</f>
        <v/>
      </c>
      <c r="P3709" s="32" t="str">
        <f t="shared" si="404"/>
        <v/>
      </c>
      <c r="Q3709" s="33" t="str">
        <f t="shared" si="405"/>
        <v/>
      </c>
    </row>
    <row r="3710" spans="2:17" ht="18" customHeight="1" x14ac:dyDescent="0.3">
      <c r="B3710" s="26"/>
      <c r="C3710" s="17"/>
      <c r="D3710" s="27"/>
      <c r="E3710" s="18"/>
      <c r="F3710" s="18"/>
      <c r="G3710" s="18"/>
      <c r="H3710" s="30" t="str">
        <f t="shared" si="399"/>
        <v/>
      </c>
      <c r="I3710" s="31" t="str">
        <f>IF(OR(B3710="",C3710=""),"",IFERROR(E3710*IF(E3710="",0,VLOOKUP(C3710,'📦 Precios Proforma'!$B$5:$D$104,IF(D3710="DIA",2,3),FALSE)),0))</f>
        <v/>
      </c>
      <c r="J3710" s="31" t="str">
        <f t="shared" si="400"/>
        <v/>
      </c>
      <c r="K3710" s="31" t="str">
        <f t="shared" si="401"/>
        <v/>
      </c>
      <c r="L3710" s="31" t="str">
        <f>IF(OR(B3710="",C3710=""),"",IFERROR(E3710 / SUMIFS('📅 Resumen Diario'!$D$5:$D$504, '📅 Resumen Diario'!$B$5:$B$504, B3710, '📅 Resumen Diario'!$C$5:$C$504, D3710) * SUMIFS('📅 Resumen Diario'!$K$5:$K$504, '📅 Resumen Diario'!$B$5:$B$504, B3710, '📅 Resumen Diario'!$C$5:$C$504, D3710), 0))</f>
        <v/>
      </c>
      <c r="M3710" s="31" t="str">
        <f t="shared" si="402"/>
        <v/>
      </c>
      <c r="N3710" s="31" t="str">
        <f t="shared" si="403"/>
        <v/>
      </c>
      <c r="O3710" s="31" t="str">
        <f>IF(OR(B3710="",C3710=""),"",K3710-N3710 + IFERROR(E3710 / SUMIFS('📅 Resumen Diario'!$D$5:$D$504, '📅 Resumen Diario'!$B$5:$B$504, B3710, '📅 Resumen Diario'!$C$5:$C$504, D3710) * (SUMIFS('📋 Detalle Diario'!$E$5:$E$489, '📋 Detalle Diario'!$B$5:$B$489, B3710, '📋 Detalle Diario'!$C$5:$C$489, D3710) * 135 + SUMIFS('📋 Detalle Diario'!$I$5:$I$489, '📋 Detalle Diario'!$B$5:$B$489, B3710, '📋 Detalle Diario'!$C$5:$C$489, D3710) * 200), 0))</f>
        <v/>
      </c>
      <c r="P3710" s="32" t="str">
        <f t="shared" si="404"/>
        <v/>
      </c>
      <c r="Q3710" s="33" t="str">
        <f t="shared" si="405"/>
        <v/>
      </c>
    </row>
    <row r="3711" spans="2:17" ht="18" customHeight="1" x14ac:dyDescent="0.3">
      <c r="B3711" s="26"/>
      <c r="C3711" s="28"/>
      <c r="D3711" s="27"/>
      <c r="E3711" s="29"/>
      <c r="F3711" s="29"/>
      <c r="G3711" s="29"/>
      <c r="H3711" s="30" t="str">
        <f t="shared" si="399"/>
        <v/>
      </c>
      <c r="I3711" s="31" t="str">
        <f>IF(OR(B3711="",C3711=""),"",IFERROR(E3711*IF(E3711="",0,VLOOKUP(C3711,'📦 Precios Proforma'!$B$5:$D$104,IF(D3711="DIA",2,3),FALSE)),0))</f>
        <v/>
      </c>
      <c r="J3711" s="31" t="str">
        <f t="shared" si="400"/>
        <v/>
      </c>
      <c r="K3711" s="31" t="str">
        <f t="shared" si="401"/>
        <v/>
      </c>
      <c r="L3711" s="31" t="str">
        <f>IF(OR(B3711="",C3711=""),"",IFERROR(E3711 / SUMIFS('📅 Resumen Diario'!$D$5:$D$504, '📅 Resumen Diario'!$B$5:$B$504, B3711, '📅 Resumen Diario'!$C$5:$C$504, D3711) * SUMIFS('📅 Resumen Diario'!$K$5:$K$504, '📅 Resumen Diario'!$B$5:$B$504, B3711, '📅 Resumen Diario'!$C$5:$C$504, D3711), 0))</f>
        <v/>
      </c>
      <c r="M3711" s="31" t="str">
        <f t="shared" si="402"/>
        <v/>
      </c>
      <c r="N3711" s="31" t="str">
        <f t="shared" si="403"/>
        <v/>
      </c>
      <c r="O3711" s="31" t="str">
        <f>IF(OR(B3711="",C3711=""),"",K3711-N3711 + IFERROR(E3711 / SUMIFS('📅 Resumen Diario'!$D$5:$D$504, '📅 Resumen Diario'!$B$5:$B$504, B3711, '📅 Resumen Diario'!$C$5:$C$504, D3711) * (SUMIFS('📋 Detalle Diario'!$E$5:$E$489, '📋 Detalle Diario'!$B$5:$B$489, B3711, '📋 Detalle Diario'!$C$5:$C$489, D3711) * 135 + SUMIFS('📋 Detalle Diario'!$I$5:$I$489, '📋 Detalle Diario'!$B$5:$B$489, B3711, '📋 Detalle Diario'!$C$5:$C$489, D3711) * 200), 0))</f>
        <v/>
      </c>
      <c r="P3711" s="32" t="str">
        <f t="shared" si="404"/>
        <v/>
      </c>
      <c r="Q3711" s="33" t="str">
        <f t="shared" si="405"/>
        <v/>
      </c>
    </row>
    <row r="3712" spans="2:17" ht="18" customHeight="1" x14ac:dyDescent="0.3">
      <c r="B3712" s="26"/>
      <c r="C3712" s="17"/>
      <c r="D3712" s="27"/>
      <c r="E3712" s="18"/>
      <c r="F3712" s="18"/>
      <c r="G3712" s="18"/>
      <c r="H3712" s="30" t="str">
        <f t="shared" si="399"/>
        <v/>
      </c>
      <c r="I3712" s="31" t="str">
        <f>IF(OR(B3712="",C3712=""),"",IFERROR(E3712*IF(E3712="",0,VLOOKUP(C3712,'📦 Precios Proforma'!$B$5:$D$104,IF(D3712="DIA",2,3),FALSE)),0))</f>
        <v/>
      </c>
      <c r="J3712" s="31" t="str">
        <f t="shared" si="400"/>
        <v/>
      </c>
      <c r="K3712" s="31" t="str">
        <f t="shared" si="401"/>
        <v/>
      </c>
      <c r="L3712" s="31" t="str">
        <f>IF(OR(B3712="",C3712=""),"",IFERROR(E3712 / SUMIFS('📅 Resumen Diario'!$D$5:$D$504, '📅 Resumen Diario'!$B$5:$B$504, B3712, '📅 Resumen Diario'!$C$5:$C$504, D3712) * SUMIFS('📅 Resumen Diario'!$K$5:$K$504, '📅 Resumen Diario'!$B$5:$B$504, B3712, '📅 Resumen Diario'!$C$5:$C$504, D3712), 0))</f>
        <v/>
      </c>
      <c r="M3712" s="31" t="str">
        <f t="shared" si="402"/>
        <v/>
      </c>
      <c r="N3712" s="31" t="str">
        <f t="shared" si="403"/>
        <v/>
      </c>
      <c r="O3712" s="31" t="str">
        <f>IF(OR(B3712="",C3712=""),"",K3712-N3712 + IFERROR(E3712 / SUMIFS('📅 Resumen Diario'!$D$5:$D$504, '📅 Resumen Diario'!$B$5:$B$504, B3712, '📅 Resumen Diario'!$C$5:$C$504, D3712) * (SUMIFS('📋 Detalle Diario'!$E$5:$E$489, '📋 Detalle Diario'!$B$5:$B$489, B3712, '📋 Detalle Diario'!$C$5:$C$489, D3712) * 135 + SUMIFS('📋 Detalle Diario'!$I$5:$I$489, '📋 Detalle Diario'!$B$5:$B$489, B3712, '📋 Detalle Diario'!$C$5:$C$489, D3712) * 200), 0))</f>
        <v/>
      </c>
      <c r="P3712" s="32" t="str">
        <f t="shared" si="404"/>
        <v/>
      </c>
      <c r="Q3712" s="33" t="str">
        <f t="shared" si="405"/>
        <v/>
      </c>
    </row>
    <row r="3713" spans="2:17" ht="18" customHeight="1" x14ac:dyDescent="0.3">
      <c r="B3713" s="26"/>
      <c r="C3713" s="28"/>
      <c r="D3713" s="27"/>
      <c r="E3713" s="29"/>
      <c r="F3713" s="29"/>
      <c r="G3713" s="29"/>
      <c r="H3713" s="30" t="str">
        <f t="shared" si="399"/>
        <v/>
      </c>
      <c r="I3713" s="31" t="str">
        <f>IF(OR(B3713="",C3713=""),"",IFERROR(E3713*IF(E3713="",0,VLOOKUP(C3713,'📦 Precios Proforma'!$B$5:$D$104,IF(D3713="DIA",2,3),FALSE)),0))</f>
        <v/>
      </c>
      <c r="J3713" s="31" t="str">
        <f t="shared" si="400"/>
        <v/>
      </c>
      <c r="K3713" s="31" t="str">
        <f t="shared" si="401"/>
        <v/>
      </c>
      <c r="L3713" s="31" t="str">
        <f>IF(OR(B3713="",C3713=""),"",IFERROR(E3713 / SUMIFS('📅 Resumen Diario'!$D$5:$D$504, '📅 Resumen Diario'!$B$5:$B$504, B3713, '📅 Resumen Diario'!$C$5:$C$504, D3713) * SUMIFS('📅 Resumen Diario'!$K$5:$K$504, '📅 Resumen Diario'!$B$5:$B$504, B3713, '📅 Resumen Diario'!$C$5:$C$504, D3713), 0))</f>
        <v/>
      </c>
      <c r="M3713" s="31" t="str">
        <f t="shared" si="402"/>
        <v/>
      </c>
      <c r="N3713" s="31" t="str">
        <f t="shared" si="403"/>
        <v/>
      </c>
      <c r="O3713" s="31" t="str">
        <f>IF(OR(B3713="",C3713=""),"",K3713-N3713 + IFERROR(E3713 / SUMIFS('📅 Resumen Diario'!$D$5:$D$504, '📅 Resumen Diario'!$B$5:$B$504, B3713, '📅 Resumen Diario'!$C$5:$C$504, D3713) * (SUMIFS('📋 Detalle Diario'!$E$5:$E$489, '📋 Detalle Diario'!$B$5:$B$489, B3713, '📋 Detalle Diario'!$C$5:$C$489, D3713) * 135 + SUMIFS('📋 Detalle Diario'!$I$5:$I$489, '📋 Detalle Diario'!$B$5:$B$489, B3713, '📋 Detalle Diario'!$C$5:$C$489, D3713) * 200), 0))</f>
        <v/>
      </c>
      <c r="P3713" s="32" t="str">
        <f t="shared" si="404"/>
        <v/>
      </c>
      <c r="Q3713" s="33" t="str">
        <f t="shared" si="405"/>
        <v/>
      </c>
    </row>
    <row r="3714" spans="2:17" ht="18" customHeight="1" x14ac:dyDescent="0.3">
      <c r="B3714" s="26"/>
      <c r="C3714" s="17"/>
      <c r="D3714" s="27"/>
      <c r="E3714" s="18"/>
      <c r="F3714" s="18"/>
      <c r="G3714" s="18"/>
      <c r="H3714" s="30" t="str">
        <f t="shared" si="399"/>
        <v/>
      </c>
      <c r="I3714" s="31" t="str">
        <f>IF(OR(B3714="",C3714=""),"",IFERROR(E3714*IF(E3714="",0,VLOOKUP(C3714,'📦 Precios Proforma'!$B$5:$D$104,IF(D3714="DIA",2,3),FALSE)),0))</f>
        <v/>
      </c>
      <c r="J3714" s="31" t="str">
        <f t="shared" si="400"/>
        <v/>
      </c>
      <c r="K3714" s="31" t="str">
        <f t="shared" si="401"/>
        <v/>
      </c>
      <c r="L3714" s="31" t="str">
        <f>IF(OR(B3714="",C3714=""),"",IFERROR(E3714 / SUMIFS('📅 Resumen Diario'!$D$5:$D$504, '📅 Resumen Diario'!$B$5:$B$504, B3714, '📅 Resumen Diario'!$C$5:$C$504, D3714) * SUMIFS('📅 Resumen Diario'!$K$5:$K$504, '📅 Resumen Diario'!$B$5:$B$504, B3714, '📅 Resumen Diario'!$C$5:$C$504, D3714), 0))</f>
        <v/>
      </c>
      <c r="M3714" s="31" t="str">
        <f t="shared" si="402"/>
        <v/>
      </c>
      <c r="N3714" s="31" t="str">
        <f t="shared" si="403"/>
        <v/>
      </c>
      <c r="O3714" s="31" t="str">
        <f>IF(OR(B3714="",C3714=""),"",K3714-N3714 + IFERROR(E3714 / SUMIFS('📅 Resumen Diario'!$D$5:$D$504, '📅 Resumen Diario'!$B$5:$B$504, B3714, '📅 Resumen Diario'!$C$5:$C$504, D3714) * (SUMIFS('📋 Detalle Diario'!$E$5:$E$489, '📋 Detalle Diario'!$B$5:$B$489, B3714, '📋 Detalle Diario'!$C$5:$C$489, D3714) * 135 + SUMIFS('📋 Detalle Diario'!$I$5:$I$489, '📋 Detalle Diario'!$B$5:$B$489, B3714, '📋 Detalle Diario'!$C$5:$C$489, D3714) * 200), 0))</f>
        <v/>
      </c>
      <c r="P3714" s="32" t="str">
        <f t="shared" si="404"/>
        <v/>
      </c>
      <c r="Q3714" s="33" t="str">
        <f t="shared" si="405"/>
        <v/>
      </c>
    </row>
    <row r="3715" spans="2:17" ht="18" customHeight="1" x14ac:dyDescent="0.3">
      <c r="B3715" s="26"/>
      <c r="C3715" s="28"/>
      <c r="D3715" s="27"/>
      <c r="E3715" s="29"/>
      <c r="F3715" s="29"/>
      <c r="G3715" s="29"/>
      <c r="H3715" s="30" t="str">
        <f t="shared" si="399"/>
        <v/>
      </c>
      <c r="I3715" s="31" t="str">
        <f>IF(OR(B3715="",C3715=""),"",IFERROR(E3715*IF(E3715="",0,VLOOKUP(C3715,'📦 Precios Proforma'!$B$5:$D$104,IF(D3715="DIA",2,3),FALSE)),0))</f>
        <v/>
      </c>
      <c r="J3715" s="31" t="str">
        <f t="shared" si="400"/>
        <v/>
      </c>
      <c r="K3715" s="31" t="str">
        <f t="shared" si="401"/>
        <v/>
      </c>
      <c r="L3715" s="31" t="str">
        <f>IF(OR(B3715="",C3715=""),"",IFERROR(E3715 / SUMIFS('📅 Resumen Diario'!$D$5:$D$504, '📅 Resumen Diario'!$B$5:$B$504, B3715, '📅 Resumen Diario'!$C$5:$C$504, D3715) * SUMIFS('📅 Resumen Diario'!$K$5:$K$504, '📅 Resumen Diario'!$B$5:$B$504, B3715, '📅 Resumen Diario'!$C$5:$C$504, D3715), 0))</f>
        <v/>
      </c>
      <c r="M3715" s="31" t="str">
        <f t="shared" si="402"/>
        <v/>
      </c>
      <c r="N3715" s="31" t="str">
        <f t="shared" si="403"/>
        <v/>
      </c>
      <c r="O3715" s="31" t="str">
        <f>IF(OR(B3715="",C3715=""),"",K3715-N3715 + IFERROR(E3715 / SUMIFS('📅 Resumen Diario'!$D$5:$D$504, '📅 Resumen Diario'!$B$5:$B$504, B3715, '📅 Resumen Diario'!$C$5:$C$504, D3715) * (SUMIFS('📋 Detalle Diario'!$E$5:$E$489, '📋 Detalle Diario'!$B$5:$B$489, B3715, '📋 Detalle Diario'!$C$5:$C$489, D3715) * 135 + SUMIFS('📋 Detalle Diario'!$I$5:$I$489, '📋 Detalle Diario'!$B$5:$B$489, B3715, '📋 Detalle Diario'!$C$5:$C$489, D3715) * 200), 0))</f>
        <v/>
      </c>
      <c r="P3715" s="32" t="str">
        <f t="shared" si="404"/>
        <v/>
      </c>
      <c r="Q3715" s="33" t="str">
        <f t="shared" si="405"/>
        <v/>
      </c>
    </row>
    <row r="3716" spans="2:17" ht="18" customHeight="1" x14ac:dyDescent="0.3">
      <c r="B3716" s="26"/>
      <c r="C3716" s="17"/>
      <c r="D3716" s="27"/>
      <c r="E3716" s="18"/>
      <c r="F3716" s="18"/>
      <c r="G3716" s="18"/>
      <c r="H3716" s="30" t="str">
        <f t="shared" si="399"/>
        <v/>
      </c>
      <c r="I3716" s="31" t="str">
        <f>IF(OR(B3716="",C3716=""),"",IFERROR(E3716*IF(E3716="",0,VLOOKUP(C3716,'📦 Precios Proforma'!$B$5:$D$104,IF(D3716="DIA",2,3),FALSE)),0))</f>
        <v/>
      </c>
      <c r="J3716" s="31" t="str">
        <f t="shared" si="400"/>
        <v/>
      </c>
      <c r="K3716" s="31" t="str">
        <f t="shared" si="401"/>
        <v/>
      </c>
      <c r="L3716" s="31" t="str">
        <f>IF(OR(B3716="",C3716=""),"",IFERROR(E3716 / SUMIFS('📅 Resumen Diario'!$D$5:$D$504, '📅 Resumen Diario'!$B$5:$B$504, B3716, '📅 Resumen Diario'!$C$5:$C$504, D3716) * SUMIFS('📅 Resumen Diario'!$K$5:$K$504, '📅 Resumen Diario'!$B$5:$B$504, B3716, '📅 Resumen Diario'!$C$5:$C$504, D3716), 0))</f>
        <v/>
      </c>
      <c r="M3716" s="31" t="str">
        <f t="shared" si="402"/>
        <v/>
      </c>
      <c r="N3716" s="31" t="str">
        <f t="shared" si="403"/>
        <v/>
      </c>
      <c r="O3716" s="31" t="str">
        <f>IF(OR(B3716="",C3716=""),"",K3716-N3716 + IFERROR(E3716 / SUMIFS('📅 Resumen Diario'!$D$5:$D$504, '📅 Resumen Diario'!$B$5:$B$504, B3716, '📅 Resumen Diario'!$C$5:$C$504, D3716) * (SUMIFS('📋 Detalle Diario'!$E$5:$E$489, '📋 Detalle Diario'!$B$5:$B$489, B3716, '📋 Detalle Diario'!$C$5:$C$489, D3716) * 135 + SUMIFS('📋 Detalle Diario'!$I$5:$I$489, '📋 Detalle Diario'!$B$5:$B$489, B3716, '📋 Detalle Diario'!$C$5:$C$489, D3716) * 200), 0))</f>
        <v/>
      </c>
      <c r="P3716" s="32" t="str">
        <f t="shared" si="404"/>
        <v/>
      </c>
      <c r="Q3716" s="33" t="str">
        <f t="shared" si="405"/>
        <v/>
      </c>
    </row>
    <row r="3717" spans="2:17" ht="18" customHeight="1" x14ac:dyDescent="0.3">
      <c r="B3717" s="26"/>
      <c r="C3717" s="28"/>
      <c r="D3717" s="27"/>
      <c r="E3717" s="29"/>
      <c r="F3717" s="29"/>
      <c r="G3717" s="29"/>
      <c r="H3717" s="30" t="str">
        <f t="shared" si="399"/>
        <v/>
      </c>
      <c r="I3717" s="31" t="str">
        <f>IF(OR(B3717="",C3717=""),"",IFERROR(E3717*IF(E3717="",0,VLOOKUP(C3717,'📦 Precios Proforma'!$B$5:$D$104,IF(D3717="DIA",2,3),FALSE)),0))</f>
        <v/>
      </c>
      <c r="J3717" s="31" t="str">
        <f t="shared" si="400"/>
        <v/>
      </c>
      <c r="K3717" s="31" t="str">
        <f t="shared" si="401"/>
        <v/>
      </c>
      <c r="L3717" s="31" t="str">
        <f>IF(OR(B3717="",C3717=""),"",IFERROR(E3717 / SUMIFS('📅 Resumen Diario'!$D$5:$D$504, '📅 Resumen Diario'!$B$5:$B$504, B3717, '📅 Resumen Diario'!$C$5:$C$504, D3717) * SUMIFS('📅 Resumen Diario'!$K$5:$K$504, '📅 Resumen Diario'!$B$5:$B$504, B3717, '📅 Resumen Diario'!$C$5:$C$504, D3717), 0))</f>
        <v/>
      </c>
      <c r="M3717" s="31" t="str">
        <f t="shared" si="402"/>
        <v/>
      </c>
      <c r="N3717" s="31" t="str">
        <f t="shared" si="403"/>
        <v/>
      </c>
      <c r="O3717" s="31" t="str">
        <f>IF(OR(B3717="",C3717=""),"",K3717-N3717 + IFERROR(E3717 / SUMIFS('📅 Resumen Diario'!$D$5:$D$504, '📅 Resumen Diario'!$B$5:$B$504, B3717, '📅 Resumen Diario'!$C$5:$C$504, D3717) * (SUMIFS('📋 Detalle Diario'!$E$5:$E$489, '📋 Detalle Diario'!$B$5:$B$489, B3717, '📋 Detalle Diario'!$C$5:$C$489, D3717) * 135 + SUMIFS('📋 Detalle Diario'!$I$5:$I$489, '📋 Detalle Diario'!$B$5:$B$489, B3717, '📋 Detalle Diario'!$C$5:$C$489, D3717) * 200), 0))</f>
        <v/>
      </c>
      <c r="P3717" s="32" t="str">
        <f t="shared" si="404"/>
        <v/>
      </c>
      <c r="Q3717" s="33" t="str">
        <f t="shared" si="405"/>
        <v/>
      </c>
    </row>
    <row r="3718" spans="2:17" ht="18" customHeight="1" x14ac:dyDescent="0.3">
      <c r="B3718" s="26"/>
      <c r="C3718" s="17"/>
      <c r="D3718" s="27"/>
      <c r="E3718" s="18"/>
      <c r="F3718" s="18"/>
      <c r="G3718" s="18"/>
      <c r="H3718" s="30" t="str">
        <f t="shared" si="399"/>
        <v/>
      </c>
      <c r="I3718" s="31" t="str">
        <f>IF(OR(B3718="",C3718=""),"",IFERROR(E3718*IF(E3718="",0,VLOOKUP(C3718,'📦 Precios Proforma'!$B$5:$D$104,IF(D3718="DIA",2,3),FALSE)),0))</f>
        <v/>
      </c>
      <c r="J3718" s="31" t="str">
        <f t="shared" si="400"/>
        <v/>
      </c>
      <c r="K3718" s="31" t="str">
        <f t="shared" si="401"/>
        <v/>
      </c>
      <c r="L3718" s="31" t="str">
        <f>IF(OR(B3718="",C3718=""),"",IFERROR(E3718 / SUMIFS('📅 Resumen Diario'!$D$5:$D$504, '📅 Resumen Diario'!$B$5:$B$504, B3718, '📅 Resumen Diario'!$C$5:$C$504, D3718) * SUMIFS('📅 Resumen Diario'!$K$5:$K$504, '📅 Resumen Diario'!$B$5:$B$504, B3718, '📅 Resumen Diario'!$C$5:$C$504, D3718), 0))</f>
        <v/>
      </c>
      <c r="M3718" s="31" t="str">
        <f t="shared" si="402"/>
        <v/>
      </c>
      <c r="N3718" s="31" t="str">
        <f t="shared" si="403"/>
        <v/>
      </c>
      <c r="O3718" s="31" t="str">
        <f>IF(OR(B3718="",C3718=""),"",K3718-N3718 + IFERROR(E3718 / SUMIFS('📅 Resumen Diario'!$D$5:$D$504, '📅 Resumen Diario'!$B$5:$B$504, B3718, '📅 Resumen Diario'!$C$5:$C$504, D3718) * (SUMIFS('📋 Detalle Diario'!$E$5:$E$489, '📋 Detalle Diario'!$B$5:$B$489, B3718, '📋 Detalle Diario'!$C$5:$C$489, D3718) * 135 + SUMIFS('📋 Detalle Diario'!$I$5:$I$489, '📋 Detalle Diario'!$B$5:$B$489, B3718, '📋 Detalle Diario'!$C$5:$C$489, D3718) * 200), 0))</f>
        <v/>
      </c>
      <c r="P3718" s="32" t="str">
        <f t="shared" si="404"/>
        <v/>
      </c>
      <c r="Q3718" s="33" t="str">
        <f t="shared" si="405"/>
        <v/>
      </c>
    </row>
    <row r="3719" spans="2:17" ht="18" customHeight="1" x14ac:dyDescent="0.3">
      <c r="B3719" s="26"/>
      <c r="C3719" s="28"/>
      <c r="D3719" s="27"/>
      <c r="E3719" s="29"/>
      <c r="F3719" s="29"/>
      <c r="G3719" s="29"/>
      <c r="H3719" s="30" t="str">
        <f t="shared" ref="H3719:H3782" si="406">IF(OR(B3719="",C3719=""),"",F3719+G3719)</f>
        <v/>
      </c>
      <c r="I3719" s="31" t="str">
        <f>IF(OR(B3719="",C3719=""),"",IFERROR(E3719*IF(E3719="",0,VLOOKUP(C3719,'📦 Precios Proforma'!$B$5:$D$104,IF(D3719="DIA",2,3),FALSE)),0))</f>
        <v/>
      </c>
      <c r="J3719" s="31" t="str">
        <f t="shared" ref="J3719:J3782" si="407">IF(OR(B3719="",C3719=""),"",IF(D3719="DIA",H3719*1.01,H3719*1.35))</f>
        <v/>
      </c>
      <c r="K3719" s="31" t="str">
        <f t="shared" ref="K3719:K3782" si="408">IF(OR(B3719="",C3719=""),"",I3719+J3719)</f>
        <v/>
      </c>
      <c r="L3719" s="31" t="str">
        <f>IF(OR(B3719="",C3719=""),"",IFERROR(E3719 / SUMIFS('📅 Resumen Diario'!$D$5:$D$504, '📅 Resumen Diario'!$B$5:$B$504, B3719, '📅 Resumen Diario'!$C$5:$C$504, D3719) * SUMIFS('📅 Resumen Diario'!$K$5:$K$504, '📅 Resumen Diario'!$B$5:$B$504, B3719, '📅 Resumen Diario'!$C$5:$C$504, D3719), 0))</f>
        <v/>
      </c>
      <c r="M3719" s="31" t="str">
        <f t="shared" ref="M3719:M3782" si="409">IF(OR(B3719="",C3719=""),"",H3719*0.09)</f>
        <v/>
      </c>
      <c r="N3719" s="31" t="str">
        <f t="shared" ref="N3719:N3782" si="410">IF(OR(B3719="",C3719=""),"",L3719+M3719)</f>
        <v/>
      </c>
      <c r="O3719" s="31" t="str">
        <f>IF(OR(B3719="",C3719=""),"",K3719-N3719 + IFERROR(E3719 / SUMIFS('📅 Resumen Diario'!$D$5:$D$504, '📅 Resumen Diario'!$B$5:$B$504, B3719, '📅 Resumen Diario'!$C$5:$C$504, D3719) * (SUMIFS('📋 Detalle Diario'!$E$5:$E$489, '📋 Detalle Diario'!$B$5:$B$489, B3719, '📋 Detalle Diario'!$C$5:$C$489, D3719) * 135 + SUMIFS('📋 Detalle Diario'!$I$5:$I$489, '📋 Detalle Diario'!$B$5:$B$489, B3719, '📋 Detalle Diario'!$C$5:$C$489, D3719) * 200), 0))</f>
        <v/>
      </c>
      <c r="P3719" s="32" t="str">
        <f t="shared" ref="P3719:P3782" si="411">IF(OR(B3719="",C3719=""),"",IF(K3719=0, 0, O3719/K3719))</f>
        <v/>
      </c>
      <c r="Q3719" s="33" t="str">
        <f t="shared" ref="Q3719:Q3782" si="412">IF(B3719="","",IF(ISNUMBER(B3719),YEAR(B3719)&amp;"-"&amp;IF(MONTH(B3719)&lt;10,"0","")&amp;MONTH(B3719),LEFT(B3719,7)))</f>
        <v/>
      </c>
    </row>
    <row r="3720" spans="2:17" ht="18" customHeight="1" x14ac:dyDescent="0.3">
      <c r="B3720" s="26"/>
      <c r="C3720" s="17"/>
      <c r="D3720" s="27"/>
      <c r="E3720" s="18"/>
      <c r="F3720" s="18"/>
      <c r="G3720" s="18"/>
      <c r="H3720" s="30" t="str">
        <f t="shared" si="406"/>
        <v/>
      </c>
      <c r="I3720" s="31" t="str">
        <f>IF(OR(B3720="",C3720=""),"",IFERROR(E3720*IF(E3720="",0,VLOOKUP(C3720,'📦 Precios Proforma'!$B$5:$D$104,IF(D3720="DIA",2,3),FALSE)),0))</f>
        <v/>
      </c>
      <c r="J3720" s="31" t="str">
        <f t="shared" si="407"/>
        <v/>
      </c>
      <c r="K3720" s="31" t="str">
        <f t="shared" si="408"/>
        <v/>
      </c>
      <c r="L3720" s="31" t="str">
        <f>IF(OR(B3720="",C3720=""),"",IFERROR(E3720 / SUMIFS('📅 Resumen Diario'!$D$5:$D$504, '📅 Resumen Diario'!$B$5:$B$504, B3720, '📅 Resumen Diario'!$C$5:$C$504, D3720) * SUMIFS('📅 Resumen Diario'!$K$5:$K$504, '📅 Resumen Diario'!$B$5:$B$504, B3720, '📅 Resumen Diario'!$C$5:$C$504, D3720), 0))</f>
        <v/>
      </c>
      <c r="M3720" s="31" t="str">
        <f t="shared" si="409"/>
        <v/>
      </c>
      <c r="N3720" s="31" t="str">
        <f t="shared" si="410"/>
        <v/>
      </c>
      <c r="O3720" s="31" t="str">
        <f>IF(OR(B3720="",C3720=""),"",K3720-N3720 + IFERROR(E3720 / SUMIFS('📅 Resumen Diario'!$D$5:$D$504, '📅 Resumen Diario'!$B$5:$B$504, B3720, '📅 Resumen Diario'!$C$5:$C$504, D3720) * (SUMIFS('📋 Detalle Diario'!$E$5:$E$489, '📋 Detalle Diario'!$B$5:$B$489, B3720, '📋 Detalle Diario'!$C$5:$C$489, D3720) * 135 + SUMIFS('📋 Detalle Diario'!$I$5:$I$489, '📋 Detalle Diario'!$B$5:$B$489, B3720, '📋 Detalle Diario'!$C$5:$C$489, D3720) * 200), 0))</f>
        <v/>
      </c>
      <c r="P3720" s="32" t="str">
        <f t="shared" si="411"/>
        <v/>
      </c>
      <c r="Q3720" s="33" t="str">
        <f t="shared" si="412"/>
        <v/>
      </c>
    </row>
    <row r="3721" spans="2:17" ht="18" customHeight="1" x14ac:dyDescent="0.3">
      <c r="B3721" s="26"/>
      <c r="C3721" s="28"/>
      <c r="D3721" s="27"/>
      <c r="E3721" s="29"/>
      <c r="F3721" s="29"/>
      <c r="G3721" s="29"/>
      <c r="H3721" s="30" t="str">
        <f t="shared" si="406"/>
        <v/>
      </c>
      <c r="I3721" s="31" t="str">
        <f>IF(OR(B3721="",C3721=""),"",IFERROR(E3721*IF(E3721="",0,VLOOKUP(C3721,'📦 Precios Proforma'!$B$5:$D$104,IF(D3721="DIA",2,3),FALSE)),0))</f>
        <v/>
      </c>
      <c r="J3721" s="31" t="str">
        <f t="shared" si="407"/>
        <v/>
      </c>
      <c r="K3721" s="31" t="str">
        <f t="shared" si="408"/>
        <v/>
      </c>
      <c r="L3721" s="31" t="str">
        <f>IF(OR(B3721="",C3721=""),"",IFERROR(E3721 / SUMIFS('📅 Resumen Diario'!$D$5:$D$504, '📅 Resumen Diario'!$B$5:$B$504, B3721, '📅 Resumen Diario'!$C$5:$C$504, D3721) * SUMIFS('📅 Resumen Diario'!$K$5:$K$504, '📅 Resumen Diario'!$B$5:$B$504, B3721, '📅 Resumen Diario'!$C$5:$C$504, D3721), 0))</f>
        <v/>
      </c>
      <c r="M3721" s="31" t="str">
        <f t="shared" si="409"/>
        <v/>
      </c>
      <c r="N3721" s="31" t="str">
        <f t="shared" si="410"/>
        <v/>
      </c>
      <c r="O3721" s="31" t="str">
        <f>IF(OR(B3721="",C3721=""),"",K3721-N3721 + IFERROR(E3721 / SUMIFS('📅 Resumen Diario'!$D$5:$D$504, '📅 Resumen Diario'!$B$5:$B$504, B3721, '📅 Resumen Diario'!$C$5:$C$504, D3721) * (SUMIFS('📋 Detalle Diario'!$E$5:$E$489, '📋 Detalle Diario'!$B$5:$B$489, B3721, '📋 Detalle Diario'!$C$5:$C$489, D3721) * 135 + SUMIFS('📋 Detalle Diario'!$I$5:$I$489, '📋 Detalle Diario'!$B$5:$B$489, B3721, '📋 Detalle Diario'!$C$5:$C$489, D3721) * 200), 0))</f>
        <v/>
      </c>
      <c r="P3721" s="32" t="str">
        <f t="shared" si="411"/>
        <v/>
      </c>
      <c r="Q3721" s="33" t="str">
        <f t="shared" si="412"/>
        <v/>
      </c>
    </row>
    <row r="3722" spans="2:17" ht="18" customHeight="1" x14ac:dyDescent="0.3">
      <c r="B3722" s="26"/>
      <c r="C3722" s="17"/>
      <c r="D3722" s="27"/>
      <c r="E3722" s="18"/>
      <c r="F3722" s="18"/>
      <c r="G3722" s="18"/>
      <c r="H3722" s="30" t="str">
        <f t="shared" si="406"/>
        <v/>
      </c>
      <c r="I3722" s="31" t="str">
        <f>IF(OR(B3722="",C3722=""),"",IFERROR(E3722*IF(E3722="",0,VLOOKUP(C3722,'📦 Precios Proforma'!$B$5:$D$104,IF(D3722="DIA",2,3),FALSE)),0))</f>
        <v/>
      </c>
      <c r="J3722" s="31" t="str">
        <f t="shared" si="407"/>
        <v/>
      </c>
      <c r="K3722" s="31" t="str">
        <f t="shared" si="408"/>
        <v/>
      </c>
      <c r="L3722" s="31" t="str">
        <f>IF(OR(B3722="",C3722=""),"",IFERROR(E3722 / SUMIFS('📅 Resumen Diario'!$D$5:$D$504, '📅 Resumen Diario'!$B$5:$B$504, B3722, '📅 Resumen Diario'!$C$5:$C$504, D3722) * SUMIFS('📅 Resumen Diario'!$K$5:$K$504, '📅 Resumen Diario'!$B$5:$B$504, B3722, '📅 Resumen Diario'!$C$5:$C$504, D3722), 0))</f>
        <v/>
      </c>
      <c r="M3722" s="31" t="str">
        <f t="shared" si="409"/>
        <v/>
      </c>
      <c r="N3722" s="31" t="str">
        <f t="shared" si="410"/>
        <v/>
      </c>
      <c r="O3722" s="31" t="str">
        <f>IF(OR(B3722="",C3722=""),"",K3722-N3722 + IFERROR(E3722 / SUMIFS('📅 Resumen Diario'!$D$5:$D$504, '📅 Resumen Diario'!$B$5:$B$504, B3722, '📅 Resumen Diario'!$C$5:$C$504, D3722) * (SUMIFS('📋 Detalle Diario'!$E$5:$E$489, '📋 Detalle Diario'!$B$5:$B$489, B3722, '📋 Detalle Diario'!$C$5:$C$489, D3722) * 135 + SUMIFS('📋 Detalle Diario'!$I$5:$I$489, '📋 Detalle Diario'!$B$5:$B$489, B3722, '📋 Detalle Diario'!$C$5:$C$489, D3722) * 200), 0))</f>
        <v/>
      </c>
      <c r="P3722" s="32" t="str">
        <f t="shared" si="411"/>
        <v/>
      </c>
      <c r="Q3722" s="33" t="str">
        <f t="shared" si="412"/>
        <v/>
      </c>
    </row>
    <row r="3723" spans="2:17" ht="18" customHeight="1" x14ac:dyDescent="0.3">
      <c r="B3723" s="26"/>
      <c r="C3723" s="28"/>
      <c r="D3723" s="27"/>
      <c r="E3723" s="29"/>
      <c r="F3723" s="29"/>
      <c r="G3723" s="29"/>
      <c r="H3723" s="30" t="str">
        <f t="shared" si="406"/>
        <v/>
      </c>
      <c r="I3723" s="31" t="str">
        <f>IF(OR(B3723="",C3723=""),"",IFERROR(E3723*IF(E3723="",0,VLOOKUP(C3723,'📦 Precios Proforma'!$B$5:$D$104,IF(D3723="DIA",2,3),FALSE)),0))</f>
        <v/>
      </c>
      <c r="J3723" s="31" t="str">
        <f t="shared" si="407"/>
        <v/>
      </c>
      <c r="K3723" s="31" t="str">
        <f t="shared" si="408"/>
        <v/>
      </c>
      <c r="L3723" s="31" t="str">
        <f>IF(OR(B3723="",C3723=""),"",IFERROR(E3723 / SUMIFS('📅 Resumen Diario'!$D$5:$D$504, '📅 Resumen Diario'!$B$5:$B$504, B3723, '📅 Resumen Diario'!$C$5:$C$504, D3723) * SUMIFS('📅 Resumen Diario'!$K$5:$K$504, '📅 Resumen Diario'!$B$5:$B$504, B3723, '📅 Resumen Diario'!$C$5:$C$504, D3723), 0))</f>
        <v/>
      </c>
      <c r="M3723" s="31" t="str">
        <f t="shared" si="409"/>
        <v/>
      </c>
      <c r="N3723" s="31" t="str">
        <f t="shared" si="410"/>
        <v/>
      </c>
      <c r="O3723" s="31" t="str">
        <f>IF(OR(B3723="",C3723=""),"",K3723-N3723 + IFERROR(E3723 / SUMIFS('📅 Resumen Diario'!$D$5:$D$504, '📅 Resumen Diario'!$B$5:$B$504, B3723, '📅 Resumen Diario'!$C$5:$C$504, D3723) * (SUMIFS('📋 Detalle Diario'!$E$5:$E$489, '📋 Detalle Diario'!$B$5:$B$489, B3723, '📋 Detalle Diario'!$C$5:$C$489, D3723) * 135 + SUMIFS('📋 Detalle Diario'!$I$5:$I$489, '📋 Detalle Diario'!$B$5:$B$489, B3723, '📋 Detalle Diario'!$C$5:$C$489, D3723) * 200), 0))</f>
        <v/>
      </c>
      <c r="P3723" s="32" t="str">
        <f t="shared" si="411"/>
        <v/>
      </c>
      <c r="Q3723" s="33" t="str">
        <f t="shared" si="412"/>
        <v/>
      </c>
    </row>
    <row r="3724" spans="2:17" ht="18" customHeight="1" x14ac:dyDescent="0.3">
      <c r="B3724" s="26"/>
      <c r="C3724" s="17"/>
      <c r="D3724" s="27"/>
      <c r="E3724" s="18"/>
      <c r="F3724" s="18"/>
      <c r="G3724" s="18"/>
      <c r="H3724" s="30" t="str">
        <f t="shared" si="406"/>
        <v/>
      </c>
      <c r="I3724" s="31" t="str">
        <f>IF(OR(B3724="",C3724=""),"",IFERROR(E3724*IF(E3724="",0,VLOOKUP(C3724,'📦 Precios Proforma'!$B$5:$D$104,IF(D3724="DIA",2,3),FALSE)),0))</f>
        <v/>
      </c>
      <c r="J3724" s="31" t="str">
        <f t="shared" si="407"/>
        <v/>
      </c>
      <c r="K3724" s="31" t="str">
        <f t="shared" si="408"/>
        <v/>
      </c>
      <c r="L3724" s="31" t="str">
        <f>IF(OR(B3724="",C3724=""),"",IFERROR(E3724 / SUMIFS('📅 Resumen Diario'!$D$5:$D$504, '📅 Resumen Diario'!$B$5:$B$504, B3724, '📅 Resumen Diario'!$C$5:$C$504, D3724) * SUMIFS('📅 Resumen Diario'!$K$5:$K$504, '📅 Resumen Diario'!$B$5:$B$504, B3724, '📅 Resumen Diario'!$C$5:$C$504, D3724), 0))</f>
        <v/>
      </c>
      <c r="M3724" s="31" t="str">
        <f t="shared" si="409"/>
        <v/>
      </c>
      <c r="N3724" s="31" t="str">
        <f t="shared" si="410"/>
        <v/>
      </c>
      <c r="O3724" s="31" t="str">
        <f>IF(OR(B3724="",C3724=""),"",K3724-N3724 + IFERROR(E3724 / SUMIFS('📅 Resumen Diario'!$D$5:$D$504, '📅 Resumen Diario'!$B$5:$B$504, B3724, '📅 Resumen Diario'!$C$5:$C$504, D3724) * (SUMIFS('📋 Detalle Diario'!$E$5:$E$489, '📋 Detalle Diario'!$B$5:$B$489, B3724, '📋 Detalle Diario'!$C$5:$C$489, D3724) * 135 + SUMIFS('📋 Detalle Diario'!$I$5:$I$489, '📋 Detalle Diario'!$B$5:$B$489, B3724, '📋 Detalle Diario'!$C$5:$C$489, D3724) * 200), 0))</f>
        <v/>
      </c>
      <c r="P3724" s="32" t="str">
        <f t="shared" si="411"/>
        <v/>
      </c>
      <c r="Q3724" s="33" t="str">
        <f t="shared" si="412"/>
        <v/>
      </c>
    </row>
    <row r="3725" spans="2:17" ht="18" customHeight="1" x14ac:dyDescent="0.3">
      <c r="B3725" s="26"/>
      <c r="C3725" s="28"/>
      <c r="D3725" s="27"/>
      <c r="E3725" s="29"/>
      <c r="F3725" s="29"/>
      <c r="G3725" s="29"/>
      <c r="H3725" s="30" t="str">
        <f t="shared" si="406"/>
        <v/>
      </c>
      <c r="I3725" s="31" t="str">
        <f>IF(OR(B3725="",C3725=""),"",IFERROR(E3725*IF(E3725="",0,VLOOKUP(C3725,'📦 Precios Proforma'!$B$5:$D$104,IF(D3725="DIA",2,3),FALSE)),0))</f>
        <v/>
      </c>
      <c r="J3725" s="31" t="str">
        <f t="shared" si="407"/>
        <v/>
      </c>
      <c r="K3725" s="31" t="str">
        <f t="shared" si="408"/>
        <v/>
      </c>
      <c r="L3725" s="31" t="str">
        <f>IF(OR(B3725="",C3725=""),"",IFERROR(E3725 / SUMIFS('📅 Resumen Diario'!$D$5:$D$504, '📅 Resumen Diario'!$B$5:$B$504, B3725, '📅 Resumen Diario'!$C$5:$C$504, D3725) * SUMIFS('📅 Resumen Diario'!$K$5:$K$504, '📅 Resumen Diario'!$B$5:$B$504, B3725, '📅 Resumen Diario'!$C$5:$C$504, D3725), 0))</f>
        <v/>
      </c>
      <c r="M3725" s="31" t="str">
        <f t="shared" si="409"/>
        <v/>
      </c>
      <c r="N3725" s="31" t="str">
        <f t="shared" si="410"/>
        <v/>
      </c>
      <c r="O3725" s="31" t="str">
        <f>IF(OR(B3725="",C3725=""),"",K3725-N3725 + IFERROR(E3725 / SUMIFS('📅 Resumen Diario'!$D$5:$D$504, '📅 Resumen Diario'!$B$5:$B$504, B3725, '📅 Resumen Diario'!$C$5:$C$504, D3725) * (SUMIFS('📋 Detalle Diario'!$E$5:$E$489, '📋 Detalle Diario'!$B$5:$B$489, B3725, '📋 Detalle Diario'!$C$5:$C$489, D3725) * 135 + SUMIFS('📋 Detalle Diario'!$I$5:$I$489, '📋 Detalle Diario'!$B$5:$B$489, B3725, '📋 Detalle Diario'!$C$5:$C$489, D3725) * 200), 0))</f>
        <v/>
      </c>
      <c r="P3725" s="32" t="str">
        <f t="shared" si="411"/>
        <v/>
      </c>
      <c r="Q3725" s="33" t="str">
        <f t="shared" si="412"/>
        <v/>
      </c>
    </row>
    <row r="3726" spans="2:17" ht="18" customHeight="1" x14ac:dyDescent="0.3">
      <c r="B3726" s="26"/>
      <c r="C3726" s="17"/>
      <c r="D3726" s="27"/>
      <c r="E3726" s="18"/>
      <c r="F3726" s="18"/>
      <c r="G3726" s="18"/>
      <c r="H3726" s="30" t="str">
        <f t="shared" si="406"/>
        <v/>
      </c>
      <c r="I3726" s="31" t="str">
        <f>IF(OR(B3726="",C3726=""),"",IFERROR(E3726*IF(E3726="",0,VLOOKUP(C3726,'📦 Precios Proforma'!$B$5:$D$104,IF(D3726="DIA",2,3),FALSE)),0))</f>
        <v/>
      </c>
      <c r="J3726" s="31" t="str">
        <f t="shared" si="407"/>
        <v/>
      </c>
      <c r="K3726" s="31" t="str">
        <f t="shared" si="408"/>
        <v/>
      </c>
      <c r="L3726" s="31" t="str">
        <f>IF(OR(B3726="",C3726=""),"",IFERROR(E3726 / SUMIFS('📅 Resumen Diario'!$D$5:$D$504, '📅 Resumen Diario'!$B$5:$B$504, B3726, '📅 Resumen Diario'!$C$5:$C$504, D3726) * SUMIFS('📅 Resumen Diario'!$K$5:$K$504, '📅 Resumen Diario'!$B$5:$B$504, B3726, '📅 Resumen Diario'!$C$5:$C$504, D3726), 0))</f>
        <v/>
      </c>
      <c r="M3726" s="31" t="str">
        <f t="shared" si="409"/>
        <v/>
      </c>
      <c r="N3726" s="31" t="str">
        <f t="shared" si="410"/>
        <v/>
      </c>
      <c r="O3726" s="31" t="str">
        <f>IF(OR(B3726="",C3726=""),"",K3726-N3726 + IFERROR(E3726 / SUMIFS('📅 Resumen Diario'!$D$5:$D$504, '📅 Resumen Diario'!$B$5:$B$504, B3726, '📅 Resumen Diario'!$C$5:$C$504, D3726) * (SUMIFS('📋 Detalle Diario'!$E$5:$E$489, '📋 Detalle Diario'!$B$5:$B$489, B3726, '📋 Detalle Diario'!$C$5:$C$489, D3726) * 135 + SUMIFS('📋 Detalle Diario'!$I$5:$I$489, '📋 Detalle Diario'!$B$5:$B$489, B3726, '📋 Detalle Diario'!$C$5:$C$489, D3726) * 200), 0))</f>
        <v/>
      </c>
      <c r="P3726" s="32" t="str">
        <f t="shared" si="411"/>
        <v/>
      </c>
      <c r="Q3726" s="33" t="str">
        <f t="shared" si="412"/>
        <v/>
      </c>
    </row>
    <row r="3727" spans="2:17" ht="18" customHeight="1" x14ac:dyDescent="0.3">
      <c r="B3727" s="26"/>
      <c r="C3727" s="28"/>
      <c r="D3727" s="27"/>
      <c r="E3727" s="29"/>
      <c r="F3727" s="29"/>
      <c r="G3727" s="29"/>
      <c r="H3727" s="30" t="str">
        <f t="shared" si="406"/>
        <v/>
      </c>
      <c r="I3727" s="31" t="str">
        <f>IF(OR(B3727="",C3727=""),"",IFERROR(E3727*IF(E3727="",0,VLOOKUP(C3727,'📦 Precios Proforma'!$B$5:$D$104,IF(D3727="DIA",2,3),FALSE)),0))</f>
        <v/>
      </c>
      <c r="J3727" s="31" t="str">
        <f t="shared" si="407"/>
        <v/>
      </c>
      <c r="K3727" s="31" t="str">
        <f t="shared" si="408"/>
        <v/>
      </c>
      <c r="L3727" s="31" t="str">
        <f>IF(OR(B3727="",C3727=""),"",IFERROR(E3727 / SUMIFS('📅 Resumen Diario'!$D$5:$D$504, '📅 Resumen Diario'!$B$5:$B$504, B3727, '📅 Resumen Diario'!$C$5:$C$504, D3727) * SUMIFS('📅 Resumen Diario'!$K$5:$K$504, '📅 Resumen Diario'!$B$5:$B$504, B3727, '📅 Resumen Diario'!$C$5:$C$504, D3727), 0))</f>
        <v/>
      </c>
      <c r="M3727" s="31" t="str">
        <f t="shared" si="409"/>
        <v/>
      </c>
      <c r="N3727" s="31" t="str">
        <f t="shared" si="410"/>
        <v/>
      </c>
      <c r="O3727" s="31" t="str">
        <f>IF(OR(B3727="",C3727=""),"",K3727-N3727 + IFERROR(E3727 / SUMIFS('📅 Resumen Diario'!$D$5:$D$504, '📅 Resumen Diario'!$B$5:$B$504, B3727, '📅 Resumen Diario'!$C$5:$C$504, D3727) * (SUMIFS('📋 Detalle Diario'!$E$5:$E$489, '📋 Detalle Diario'!$B$5:$B$489, B3727, '📋 Detalle Diario'!$C$5:$C$489, D3727) * 135 + SUMIFS('📋 Detalle Diario'!$I$5:$I$489, '📋 Detalle Diario'!$B$5:$B$489, B3727, '📋 Detalle Diario'!$C$5:$C$489, D3727) * 200), 0))</f>
        <v/>
      </c>
      <c r="P3727" s="32" t="str">
        <f t="shared" si="411"/>
        <v/>
      </c>
      <c r="Q3727" s="33" t="str">
        <f t="shared" si="412"/>
        <v/>
      </c>
    </row>
    <row r="3728" spans="2:17" ht="18" customHeight="1" x14ac:dyDescent="0.3">
      <c r="B3728" s="26"/>
      <c r="C3728" s="17"/>
      <c r="D3728" s="27"/>
      <c r="E3728" s="18"/>
      <c r="F3728" s="18"/>
      <c r="G3728" s="18"/>
      <c r="H3728" s="30" t="str">
        <f t="shared" si="406"/>
        <v/>
      </c>
      <c r="I3728" s="31" t="str">
        <f>IF(OR(B3728="",C3728=""),"",IFERROR(E3728*IF(E3728="",0,VLOOKUP(C3728,'📦 Precios Proforma'!$B$5:$D$104,IF(D3728="DIA",2,3),FALSE)),0))</f>
        <v/>
      </c>
      <c r="J3728" s="31" t="str">
        <f t="shared" si="407"/>
        <v/>
      </c>
      <c r="K3728" s="31" t="str">
        <f t="shared" si="408"/>
        <v/>
      </c>
      <c r="L3728" s="31" t="str">
        <f>IF(OR(B3728="",C3728=""),"",IFERROR(E3728 / SUMIFS('📅 Resumen Diario'!$D$5:$D$504, '📅 Resumen Diario'!$B$5:$B$504, B3728, '📅 Resumen Diario'!$C$5:$C$504, D3728) * SUMIFS('📅 Resumen Diario'!$K$5:$K$504, '📅 Resumen Diario'!$B$5:$B$504, B3728, '📅 Resumen Diario'!$C$5:$C$504, D3728), 0))</f>
        <v/>
      </c>
      <c r="M3728" s="31" t="str">
        <f t="shared" si="409"/>
        <v/>
      </c>
      <c r="N3728" s="31" t="str">
        <f t="shared" si="410"/>
        <v/>
      </c>
      <c r="O3728" s="31" t="str">
        <f>IF(OR(B3728="",C3728=""),"",K3728-N3728 + IFERROR(E3728 / SUMIFS('📅 Resumen Diario'!$D$5:$D$504, '📅 Resumen Diario'!$B$5:$B$504, B3728, '📅 Resumen Diario'!$C$5:$C$504, D3728) * (SUMIFS('📋 Detalle Diario'!$E$5:$E$489, '📋 Detalle Diario'!$B$5:$B$489, B3728, '📋 Detalle Diario'!$C$5:$C$489, D3728) * 135 + SUMIFS('📋 Detalle Diario'!$I$5:$I$489, '📋 Detalle Diario'!$B$5:$B$489, B3728, '📋 Detalle Diario'!$C$5:$C$489, D3728) * 200), 0))</f>
        <v/>
      </c>
      <c r="P3728" s="32" t="str">
        <f t="shared" si="411"/>
        <v/>
      </c>
      <c r="Q3728" s="33" t="str">
        <f t="shared" si="412"/>
        <v/>
      </c>
    </row>
    <row r="3729" spans="2:17" ht="18" customHeight="1" x14ac:dyDescent="0.3">
      <c r="B3729" s="26"/>
      <c r="C3729" s="28"/>
      <c r="D3729" s="27"/>
      <c r="E3729" s="29"/>
      <c r="F3729" s="29"/>
      <c r="G3729" s="29"/>
      <c r="H3729" s="30" t="str">
        <f t="shared" si="406"/>
        <v/>
      </c>
      <c r="I3729" s="31" t="str">
        <f>IF(OR(B3729="",C3729=""),"",IFERROR(E3729*IF(E3729="",0,VLOOKUP(C3729,'📦 Precios Proforma'!$B$5:$D$104,IF(D3729="DIA",2,3),FALSE)),0))</f>
        <v/>
      </c>
      <c r="J3729" s="31" t="str">
        <f t="shared" si="407"/>
        <v/>
      </c>
      <c r="K3729" s="31" t="str">
        <f t="shared" si="408"/>
        <v/>
      </c>
      <c r="L3729" s="31" t="str">
        <f>IF(OR(B3729="",C3729=""),"",IFERROR(E3729 / SUMIFS('📅 Resumen Diario'!$D$5:$D$504, '📅 Resumen Diario'!$B$5:$B$504, B3729, '📅 Resumen Diario'!$C$5:$C$504, D3729) * SUMIFS('📅 Resumen Diario'!$K$5:$K$504, '📅 Resumen Diario'!$B$5:$B$504, B3729, '📅 Resumen Diario'!$C$5:$C$504, D3729), 0))</f>
        <v/>
      </c>
      <c r="M3729" s="31" t="str">
        <f t="shared" si="409"/>
        <v/>
      </c>
      <c r="N3729" s="31" t="str">
        <f t="shared" si="410"/>
        <v/>
      </c>
      <c r="O3729" s="31" t="str">
        <f>IF(OR(B3729="",C3729=""),"",K3729-N3729 + IFERROR(E3729 / SUMIFS('📅 Resumen Diario'!$D$5:$D$504, '📅 Resumen Diario'!$B$5:$B$504, B3729, '📅 Resumen Diario'!$C$5:$C$504, D3729) * (SUMIFS('📋 Detalle Diario'!$E$5:$E$489, '📋 Detalle Diario'!$B$5:$B$489, B3729, '📋 Detalle Diario'!$C$5:$C$489, D3729) * 135 + SUMIFS('📋 Detalle Diario'!$I$5:$I$489, '📋 Detalle Diario'!$B$5:$B$489, B3729, '📋 Detalle Diario'!$C$5:$C$489, D3729) * 200), 0))</f>
        <v/>
      </c>
      <c r="P3729" s="32" t="str">
        <f t="shared" si="411"/>
        <v/>
      </c>
      <c r="Q3729" s="33" t="str">
        <f t="shared" si="412"/>
        <v/>
      </c>
    </row>
    <row r="3730" spans="2:17" ht="18" customHeight="1" x14ac:dyDescent="0.3">
      <c r="B3730" s="26"/>
      <c r="C3730" s="17"/>
      <c r="D3730" s="27"/>
      <c r="E3730" s="18"/>
      <c r="F3730" s="18"/>
      <c r="G3730" s="18"/>
      <c r="H3730" s="30" t="str">
        <f t="shared" si="406"/>
        <v/>
      </c>
      <c r="I3730" s="31" t="str">
        <f>IF(OR(B3730="",C3730=""),"",IFERROR(E3730*IF(E3730="",0,VLOOKUP(C3730,'📦 Precios Proforma'!$B$5:$D$104,IF(D3730="DIA",2,3),FALSE)),0))</f>
        <v/>
      </c>
      <c r="J3730" s="31" t="str">
        <f t="shared" si="407"/>
        <v/>
      </c>
      <c r="K3730" s="31" t="str">
        <f t="shared" si="408"/>
        <v/>
      </c>
      <c r="L3730" s="31" t="str">
        <f>IF(OR(B3730="",C3730=""),"",IFERROR(E3730 / SUMIFS('📅 Resumen Diario'!$D$5:$D$504, '📅 Resumen Diario'!$B$5:$B$504, B3730, '📅 Resumen Diario'!$C$5:$C$504, D3730) * SUMIFS('📅 Resumen Diario'!$K$5:$K$504, '📅 Resumen Diario'!$B$5:$B$504, B3730, '📅 Resumen Diario'!$C$5:$C$504, D3730), 0))</f>
        <v/>
      </c>
      <c r="M3730" s="31" t="str">
        <f t="shared" si="409"/>
        <v/>
      </c>
      <c r="N3730" s="31" t="str">
        <f t="shared" si="410"/>
        <v/>
      </c>
      <c r="O3730" s="31" t="str">
        <f>IF(OR(B3730="",C3730=""),"",K3730-N3730 + IFERROR(E3730 / SUMIFS('📅 Resumen Diario'!$D$5:$D$504, '📅 Resumen Diario'!$B$5:$B$504, B3730, '📅 Resumen Diario'!$C$5:$C$504, D3730) * (SUMIFS('📋 Detalle Diario'!$E$5:$E$489, '📋 Detalle Diario'!$B$5:$B$489, B3730, '📋 Detalle Diario'!$C$5:$C$489, D3730) * 135 + SUMIFS('📋 Detalle Diario'!$I$5:$I$489, '📋 Detalle Diario'!$B$5:$B$489, B3730, '📋 Detalle Diario'!$C$5:$C$489, D3730) * 200), 0))</f>
        <v/>
      </c>
      <c r="P3730" s="32" t="str">
        <f t="shared" si="411"/>
        <v/>
      </c>
      <c r="Q3730" s="33" t="str">
        <f t="shared" si="412"/>
        <v/>
      </c>
    </row>
    <row r="3731" spans="2:17" ht="18" customHeight="1" x14ac:dyDescent="0.3">
      <c r="B3731" s="26"/>
      <c r="C3731" s="28"/>
      <c r="D3731" s="27"/>
      <c r="E3731" s="29"/>
      <c r="F3731" s="29"/>
      <c r="G3731" s="29"/>
      <c r="H3731" s="30" t="str">
        <f t="shared" si="406"/>
        <v/>
      </c>
      <c r="I3731" s="31" t="str">
        <f>IF(OR(B3731="",C3731=""),"",IFERROR(E3731*IF(E3731="",0,VLOOKUP(C3731,'📦 Precios Proforma'!$B$5:$D$104,IF(D3731="DIA",2,3),FALSE)),0))</f>
        <v/>
      </c>
      <c r="J3731" s="31" t="str">
        <f t="shared" si="407"/>
        <v/>
      </c>
      <c r="K3731" s="31" t="str">
        <f t="shared" si="408"/>
        <v/>
      </c>
      <c r="L3731" s="31" t="str">
        <f>IF(OR(B3731="",C3731=""),"",IFERROR(E3731 / SUMIFS('📅 Resumen Diario'!$D$5:$D$504, '📅 Resumen Diario'!$B$5:$B$504, B3731, '📅 Resumen Diario'!$C$5:$C$504, D3731) * SUMIFS('📅 Resumen Diario'!$K$5:$K$504, '📅 Resumen Diario'!$B$5:$B$504, B3731, '📅 Resumen Diario'!$C$5:$C$504, D3731), 0))</f>
        <v/>
      </c>
      <c r="M3731" s="31" t="str">
        <f t="shared" si="409"/>
        <v/>
      </c>
      <c r="N3731" s="31" t="str">
        <f t="shared" si="410"/>
        <v/>
      </c>
      <c r="O3731" s="31" t="str">
        <f>IF(OR(B3731="",C3731=""),"",K3731-N3731 + IFERROR(E3731 / SUMIFS('📅 Resumen Diario'!$D$5:$D$504, '📅 Resumen Diario'!$B$5:$B$504, B3731, '📅 Resumen Diario'!$C$5:$C$504, D3731) * (SUMIFS('📋 Detalle Diario'!$E$5:$E$489, '📋 Detalle Diario'!$B$5:$B$489, B3731, '📋 Detalle Diario'!$C$5:$C$489, D3731) * 135 + SUMIFS('📋 Detalle Diario'!$I$5:$I$489, '📋 Detalle Diario'!$B$5:$B$489, B3731, '📋 Detalle Diario'!$C$5:$C$489, D3731) * 200), 0))</f>
        <v/>
      </c>
      <c r="P3731" s="32" t="str">
        <f t="shared" si="411"/>
        <v/>
      </c>
      <c r="Q3731" s="33" t="str">
        <f t="shared" si="412"/>
        <v/>
      </c>
    </row>
    <row r="3732" spans="2:17" ht="18" customHeight="1" x14ac:dyDescent="0.3">
      <c r="B3732" s="26"/>
      <c r="C3732" s="17"/>
      <c r="D3732" s="27"/>
      <c r="E3732" s="18"/>
      <c r="F3732" s="18"/>
      <c r="G3732" s="18"/>
      <c r="H3732" s="30" t="str">
        <f t="shared" si="406"/>
        <v/>
      </c>
      <c r="I3732" s="31" t="str">
        <f>IF(OR(B3732="",C3732=""),"",IFERROR(E3732*IF(E3732="",0,VLOOKUP(C3732,'📦 Precios Proforma'!$B$5:$D$104,IF(D3732="DIA",2,3),FALSE)),0))</f>
        <v/>
      </c>
      <c r="J3732" s="31" t="str">
        <f t="shared" si="407"/>
        <v/>
      </c>
      <c r="K3732" s="31" t="str">
        <f t="shared" si="408"/>
        <v/>
      </c>
      <c r="L3732" s="31" t="str">
        <f>IF(OR(B3732="",C3732=""),"",IFERROR(E3732 / SUMIFS('📅 Resumen Diario'!$D$5:$D$504, '📅 Resumen Diario'!$B$5:$B$504, B3732, '📅 Resumen Diario'!$C$5:$C$504, D3732) * SUMIFS('📅 Resumen Diario'!$K$5:$K$504, '📅 Resumen Diario'!$B$5:$B$504, B3732, '📅 Resumen Diario'!$C$5:$C$504, D3732), 0))</f>
        <v/>
      </c>
      <c r="M3732" s="31" t="str">
        <f t="shared" si="409"/>
        <v/>
      </c>
      <c r="N3732" s="31" t="str">
        <f t="shared" si="410"/>
        <v/>
      </c>
      <c r="O3732" s="31" t="str">
        <f>IF(OR(B3732="",C3732=""),"",K3732-N3732 + IFERROR(E3732 / SUMIFS('📅 Resumen Diario'!$D$5:$D$504, '📅 Resumen Diario'!$B$5:$B$504, B3732, '📅 Resumen Diario'!$C$5:$C$504, D3732) * (SUMIFS('📋 Detalle Diario'!$E$5:$E$489, '📋 Detalle Diario'!$B$5:$B$489, B3732, '📋 Detalle Diario'!$C$5:$C$489, D3732) * 135 + SUMIFS('📋 Detalle Diario'!$I$5:$I$489, '📋 Detalle Diario'!$B$5:$B$489, B3732, '📋 Detalle Diario'!$C$5:$C$489, D3732) * 200), 0))</f>
        <v/>
      </c>
      <c r="P3732" s="32" t="str">
        <f t="shared" si="411"/>
        <v/>
      </c>
      <c r="Q3732" s="33" t="str">
        <f t="shared" si="412"/>
        <v/>
      </c>
    </row>
    <row r="3733" spans="2:17" ht="18" customHeight="1" x14ac:dyDescent="0.3">
      <c r="B3733" s="26"/>
      <c r="C3733" s="28"/>
      <c r="D3733" s="27"/>
      <c r="E3733" s="29"/>
      <c r="F3733" s="29"/>
      <c r="G3733" s="29"/>
      <c r="H3733" s="30" t="str">
        <f t="shared" si="406"/>
        <v/>
      </c>
      <c r="I3733" s="31" t="str">
        <f>IF(OR(B3733="",C3733=""),"",IFERROR(E3733*IF(E3733="",0,VLOOKUP(C3733,'📦 Precios Proforma'!$B$5:$D$104,IF(D3733="DIA",2,3),FALSE)),0))</f>
        <v/>
      </c>
      <c r="J3733" s="31" t="str">
        <f t="shared" si="407"/>
        <v/>
      </c>
      <c r="K3733" s="31" t="str">
        <f t="shared" si="408"/>
        <v/>
      </c>
      <c r="L3733" s="31" t="str">
        <f>IF(OR(B3733="",C3733=""),"",IFERROR(E3733 / SUMIFS('📅 Resumen Diario'!$D$5:$D$504, '📅 Resumen Diario'!$B$5:$B$504, B3733, '📅 Resumen Diario'!$C$5:$C$504, D3733) * SUMIFS('📅 Resumen Diario'!$K$5:$K$504, '📅 Resumen Diario'!$B$5:$B$504, B3733, '📅 Resumen Diario'!$C$5:$C$504, D3733), 0))</f>
        <v/>
      </c>
      <c r="M3733" s="31" t="str">
        <f t="shared" si="409"/>
        <v/>
      </c>
      <c r="N3733" s="31" t="str">
        <f t="shared" si="410"/>
        <v/>
      </c>
      <c r="O3733" s="31" t="str">
        <f>IF(OR(B3733="",C3733=""),"",K3733-N3733 + IFERROR(E3733 / SUMIFS('📅 Resumen Diario'!$D$5:$D$504, '📅 Resumen Diario'!$B$5:$B$504, B3733, '📅 Resumen Diario'!$C$5:$C$504, D3733) * (SUMIFS('📋 Detalle Diario'!$E$5:$E$489, '📋 Detalle Diario'!$B$5:$B$489, B3733, '📋 Detalle Diario'!$C$5:$C$489, D3733) * 135 + SUMIFS('📋 Detalle Diario'!$I$5:$I$489, '📋 Detalle Diario'!$B$5:$B$489, B3733, '📋 Detalle Diario'!$C$5:$C$489, D3733) * 200), 0))</f>
        <v/>
      </c>
      <c r="P3733" s="32" t="str">
        <f t="shared" si="411"/>
        <v/>
      </c>
      <c r="Q3733" s="33" t="str">
        <f t="shared" si="412"/>
        <v/>
      </c>
    </row>
    <row r="3734" spans="2:17" ht="18" customHeight="1" x14ac:dyDescent="0.3">
      <c r="B3734" s="26"/>
      <c r="C3734" s="17"/>
      <c r="D3734" s="27"/>
      <c r="E3734" s="18"/>
      <c r="F3734" s="18"/>
      <c r="G3734" s="18"/>
      <c r="H3734" s="30" t="str">
        <f t="shared" si="406"/>
        <v/>
      </c>
      <c r="I3734" s="31" t="str">
        <f>IF(OR(B3734="",C3734=""),"",IFERROR(E3734*IF(E3734="",0,VLOOKUP(C3734,'📦 Precios Proforma'!$B$5:$D$104,IF(D3734="DIA",2,3),FALSE)),0))</f>
        <v/>
      </c>
      <c r="J3734" s="31" t="str">
        <f t="shared" si="407"/>
        <v/>
      </c>
      <c r="K3734" s="31" t="str">
        <f t="shared" si="408"/>
        <v/>
      </c>
      <c r="L3734" s="31" t="str">
        <f>IF(OR(B3734="",C3734=""),"",IFERROR(E3734 / SUMIFS('📅 Resumen Diario'!$D$5:$D$504, '📅 Resumen Diario'!$B$5:$B$504, B3734, '📅 Resumen Diario'!$C$5:$C$504, D3734) * SUMIFS('📅 Resumen Diario'!$K$5:$K$504, '📅 Resumen Diario'!$B$5:$B$504, B3734, '📅 Resumen Diario'!$C$5:$C$504, D3734), 0))</f>
        <v/>
      </c>
      <c r="M3734" s="31" t="str">
        <f t="shared" si="409"/>
        <v/>
      </c>
      <c r="N3734" s="31" t="str">
        <f t="shared" si="410"/>
        <v/>
      </c>
      <c r="O3734" s="31" t="str">
        <f>IF(OR(B3734="",C3734=""),"",K3734-N3734 + IFERROR(E3734 / SUMIFS('📅 Resumen Diario'!$D$5:$D$504, '📅 Resumen Diario'!$B$5:$B$504, B3734, '📅 Resumen Diario'!$C$5:$C$504, D3734) * (SUMIFS('📋 Detalle Diario'!$E$5:$E$489, '📋 Detalle Diario'!$B$5:$B$489, B3734, '📋 Detalle Diario'!$C$5:$C$489, D3734) * 135 + SUMIFS('📋 Detalle Diario'!$I$5:$I$489, '📋 Detalle Diario'!$B$5:$B$489, B3734, '📋 Detalle Diario'!$C$5:$C$489, D3734) * 200), 0))</f>
        <v/>
      </c>
      <c r="P3734" s="32" t="str">
        <f t="shared" si="411"/>
        <v/>
      </c>
      <c r="Q3734" s="33" t="str">
        <f t="shared" si="412"/>
        <v/>
      </c>
    </row>
    <row r="3735" spans="2:17" ht="18" customHeight="1" x14ac:dyDescent="0.3">
      <c r="B3735" s="26"/>
      <c r="C3735" s="28"/>
      <c r="D3735" s="27"/>
      <c r="E3735" s="29"/>
      <c r="F3735" s="29"/>
      <c r="G3735" s="29"/>
      <c r="H3735" s="30" t="str">
        <f t="shared" si="406"/>
        <v/>
      </c>
      <c r="I3735" s="31" t="str">
        <f>IF(OR(B3735="",C3735=""),"",IFERROR(E3735*IF(E3735="",0,VLOOKUP(C3735,'📦 Precios Proforma'!$B$5:$D$104,IF(D3735="DIA",2,3),FALSE)),0))</f>
        <v/>
      </c>
      <c r="J3735" s="31" t="str">
        <f t="shared" si="407"/>
        <v/>
      </c>
      <c r="K3735" s="31" t="str">
        <f t="shared" si="408"/>
        <v/>
      </c>
      <c r="L3735" s="31" t="str">
        <f>IF(OR(B3735="",C3735=""),"",IFERROR(E3735 / SUMIFS('📅 Resumen Diario'!$D$5:$D$504, '📅 Resumen Diario'!$B$5:$B$504, B3735, '📅 Resumen Diario'!$C$5:$C$504, D3735) * SUMIFS('📅 Resumen Diario'!$K$5:$K$504, '📅 Resumen Diario'!$B$5:$B$504, B3735, '📅 Resumen Diario'!$C$5:$C$504, D3735), 0))</f>
        <v/>
      </c>
      <c r="M3735" s="31" t="str">
        <f t="shared" si="409"/>
        <v/>
      </c>
      <c r="N3735" s="31" t="str">
        <f t="shared" si="410"/>
        <v/>
      </c>
      <c r="O3735" s="31" t="str">
        <f>IF(OR(B3735="",C3735=""),"",K3735-N3735 + IFERROR(E3735 / SUMIFS('📅 Resumen Diario'!$D$5:$D$504, '📅 Resumen Diario'!$B$5:$B$504, B3735, '📅 Resumen Diario'!$C$5:$C$504, D3735) * (SUMIFS('📋 Detalle Diario'!$E$5:$E$489, '📋 Detalle Diario'!$B$5:$B$489, B3735, '📋 Detalle Diario'!$C$5:$C$489, D3735) * 135 + SUMIFS('📋 Detalle Diario'!$I$5:$I$489, '📋 Detalle Diario'!$B$5:$B$489, B3735, '📋 Detalle Diario'!$C$5:$C$489, D3735) * 200), 0))</f>
        <v/>
      </c>
      <c r="P3735" s="32" t="str">
        <f t="shared" si="411"/>
        <v/>
      </c>
      <c r="Q3735" s="33" t="str">
        <f t="shared" si="412"/>
        <v/>
      </c>
    </row>
    <row r="3736" spans="2:17" ht="18" customHeight="1" x14ac:dyDescent="0.3">
      <c r="B3736" s="26"/>
      <c r="C3736" s="17"/>
      <c r="D3736" s="27"/>
      <c r="E3736" s="18"/>
      <c r="F3736" s="18"/>
      <c r="G3736" s="18"/>
      <c r="H3736" s="30" t="str">
        <f t="shared" si="406"/>
        <v/>
      </c>
      <c r="I3736" s="31" t="str">
        <f>IF(OR(B3736="",C3736=""),"",IFERROR(E3736*IF(E3736="",0,VLOOKUP(C3736,'📦 Precios Proforma'!$B$5:$D$104,IF(D3736="DIA",2,3),FALSE)),0))</f>
        <v/>
      </c>
      <c r="J3736" s="31" t="str">
        <f t="shared" si="407"/>
        <v/>
      </c>
      <c r="K3736" s="31" t="str">
        <f t="shared" si="408"/>
        <v/>
      </c>
      <c r="L3736" s="31" t="str">
        <f>IF(OR(B3736="",C3736=""),"",IFERROR(E3736 / SUMIFS('📅 Resumen Diario'!$D$5:$D$504, '📅 Resumen Diario'!$B$5:$B$504, B3736, '📅 Resumen Diario'!$C$5:$C$504, D3736) * SUMIFS('📅 Resumen Diario'!$K$5:$K$504, '📅 Resumen Diario'!$B$5:$B$504, B3736, '📅 Resumen Diario'!$C$5:$C$504, D3736), 0))</f>
        <v/>
      </c>
      <c r="M3736" s="31" t="str">
        <f t="shared" si="409"/>
        <v/>
      </c>
      <c r="N3736" s="31" t="str">
        <f t="shared" si="410"/>
        <v/>
      </c>
      <c r="O3736" s="31" t="str">
        <f>IF(OR(B3736="",C3736=""),"",K3736-N3736 + IFERROR(E3736 / SUMIFS('📅 Resumen Diario'!$D$5:$D$504, '📅 Resumen Diario'!$B$5:$B$504, B3736, '📅 Resumen Diario'!$C$5:$C$504, D3736) * (SUMIFS('📋 Detalle Diario'!$E$5:$E$489, '📋 Detalle Diario'!$B$5:$B$489, B3736, '📋 Detalle Diario'!$C$5:$C$489, D3736) * 135 + SUMIFS('📋 Detalle Diario'!$I$5:$I$489, '📋 Detalle Diario'!$B$5:$B$489, B3736, '📋 Detalle Diario'!$C$5:$C$489, D3736) * 200), 0))</f>
        <v/>
      </c>
      <c r="P3736" s="32" t="str">
        <f t="shared" si="411"/>
        <v/>
      </c>
      <c r="Q3736" s="33" t="str">
        <f t="shared" si="412"/>
        <v/>
      </c>
    </row>
    <row r="3737" spans="2:17" ht="18" customHeight="1" x14ac:dyDescent="0.3">
      <c r="B3737" s="26"/>
      <c r="C3737" s="28"/>
      <c r="D3737" s="27"/>
      <c r="E3737" s="29"/>
      <c r="F3737" s="29"/>
      <c r="G3737" s="29"/>
      <c r="H3737" s="30" t="str">
        <f t="shared" si="406"/>
        <v/>
      </c>
      <c r="I3737" s="31" t="str">
        <f>IF(OR(B3737="",C3737=""),"",IFERROR(E3737*IF(E3737="",0,VLOOKUP(C3737,'📦 Precios Proforma'!$B$5:$D$104,IF(D3737="DIA",2,3),FALSE)),0))</f>
        <v/>
      </c>
      <c r="J3737" s="31" t="str">
        <f t="shared" si="407"/>
        <v/>
      </c>
      <c r="K3737" s="31" t="str">
        <f t="shared" si="408"/>
        <v/>
      </c>
      <c r="L3737" s="31" t="str">
        <f>IF(OR(B3737="",C3737=""),"",IFERROR(E3737 / SUMIFS('📅 Resumen Diario'!$D$5:$D$504, '📅 Resumen Diario'!$B$5:$B$504, B3737, '📅 Resumen Diario'!$C$5:$C$504, D3737) * SUMIFS('📅 Resumen Diario'!$K$5:$K$504, '📅 Resumen Diario'!$B$5:$B$504, B3737, '📅 Resumen Diario'!$C$5:$C$504, D3737), 0))</f>
        <v/>
      </c>
      <c r="M3737" s="31" t="str">
        <f t="shared" si="409"/>
        <v/>
      </c>
      <c r="N3737" s="31" t="str">
        <f t="shared" si="410"/>
        <v/>
      </c>
      <c r="O3737" s="31" t="str">
        <f>IF(OR(B3737="",C3737=""),"",K3737-N3737 + IFERROR(E3737 / SUMIFS('📅 Resumen Diario'!$D$5:$D$504, '📅 Resumen Diario'!$B$5:$B$504, B3737, '📅 Resumen Diario'!$C$5:$C$504, D3737) * (SUMIFS('📋 Detalle Diario'!$E$5:$E$489, '📋 Detalle Diario'!$B$5:$B$489, B3737, '📋 Detalle Diario'!$C$5:$C$489, D3737) * 135 + SUMIFS('📋 Detalle Diario'!$I$5:$I$489, '📋 Detalle Diario'!$B$5:$B$489, B3737, '📋 Detalle Diario'!$C$5:$C$489, D3737) * 200), 0))</f>
        <v/>
      </c>
      <c r="P3737" s="32" t="str">
        <f t="shared" si="411"/>
        <v/>
      </c>
      <c r="Q3737" s="33" t="str">
        <f t="shared" si="412"/>
        <v/>
      </c>
    </row>
    <row r="3738" spans="2:17" ht="18" customHeight="1" x14ac:dyDescent="0.3">
      <c r="B3738" s="26"/>
      <c r="C3738" s="17"/>
      <c r="D3738" s="27"/>
      <c r="E3738" s="18"/>
      <c r="F3738" s="18"/>
      <c r="G3738" s="18"/>
      <c r="H3738" s="30" t="str">
        <f t="shared" si="406"/>
        <v/>
      </c>
      <c r="I3738" s="31" t="str">
        <f>IF(OR(B3738="",C3738=""),"",IFERROR(E3738*IF(E3738="",0,VLOOKUP(C3738,'📦 Precios Proforma'!$B$5:$D$104,IF(D3738="DIA",2,3),FALSE)),0))</f>
        <v/>
      </c>
      <c r="J3738" s="31" t="str">
        <f t="shared" si="407"/>
        <v/>
      </c>
      <c r="K3738" s="31" t="str">
        <f t="shared" si="408"/>
        <v/>
      </c>
      <c r="L3738" s="31" t="str">
        <f>IF(OR(B3738="",C3738=""),"",IFERROR(E3738 / SUMIFS('📅 Resumen Diario'!$D$5:$D$504, '📅 Resumen Diario'!$B$5:$B$504, B3738, '📅 Resumen Diario'!$C$5:$C$504, D3738) * SUMIFS('📅 Resumen Diario'!$K$5:$K$504, '📅 Resumen Diario'!$B$5:$B$504, B3738, '📅 Resumen Diario'!$C$5:$C$504, D3738), 0))</f>
        <v/>
      </c>
      <c r="M3738" s="31" t="str">
        <f t="shared" si="409"/>
        <v/>
      </c>
      <c r="N3738" s="31" t="str">
        <f t="shared" si="410"/>
        <v/>
      </c>
      <c r="O3738" s="31" t="str">
        <f>IF(OR(B3738="",C3738=""),"",K3738-N3738 + IFERROR(E3738 / SUMIFS('📅 Resumen Diario'!$D$5:$D$504, '📅 Resumen Diario'!$B$5:$B$504, B3738, '📅 Resumen Diario'!$C$5:$C$504, D3738) * (SUMIFS('📋 Detalle Diario'!$E$5:$E$489, '📋 Detalle Diario'!$B$5:$B$489, B3738, '📋 Detalle Diario'!$C$5:$C$489, D3738) * 135 + SUMIFS('📋 Detalle Diario'!$I$5:$I$489, '📋 Detalle Diario'!$B$5:$B$489, B3738, '📋 Detalle Diario'!$C$5:$C$489, D3738) * 200), 0))</f>
        <v/>
      </c>
      <c r="P3738" s="32" t="str">
        <f t="shared" si="411"/>
        <v/>
      </c>
      <c r="Q3738" s="33" t="str">
        <f t="shared" si="412"/>
        <v/>
      </c>
    </row>
    <row r="3739" spans="2:17" ht="18" customHeight="1" x14ac:dyDescent="0.3">
      <c r="B3739" s="26"/>
      <c r="C3739" s="28"/>
      <c r="D3739" s="27"/>
      <c r="E3739" s="29"/>
      <c r="F3739" s="29"/>
      <c r="G3739" s="29"/>
      <c r="H3739" s="30" t="str">
        <f t="shared" si="406"/>
        <v/>
      </c>
      <c r="I3739" s="31" t="str">
        <f>IF(OR(B3739="",C3739=""),"",IFERROR(E3739*IF(E3739="",0,VLOOKUP(C3739,'📦 Precios Proforma'!$B$5:$D$104,IF(D3739="DIA",2,3),FALSE)),0))</f>
        <v/>
      </c>
      <c r="J3739" s="31" t="str">
        <f t="shared" si="407"/>
        <v/>
      </c>
      <c r="K3739" s="31" t="str">
        <f t="shared" si="408"/>
        <v/>
      </c>
      <c r="L3739" s="31" t="str">
        <f>IF(OR(B3739="",C3739=""),"",IFERROR(E3739 / SUMIFS('📅 Resumen Diario'!$D$5:$D$504, '📅 Resumen Diario'!$B$5:$B$504, B3739, '📅 Resumen Diario'!$C$5:$C$504, D3739) * SUMIFS('📅 Resumen Diario'!$K$5:$K$504, '📅 Resumen Diario'!$B$5:$B$504, B3739, '📅 Resumen Diario'!$C$5:$C$504, D3739), 0))</f>
        <v/>
      </c>
      <c r="M3739" s="31" t="str">
        <f t="shared" si="409"/>
        <v/>
      </c>
      <c r="N3739" s="31" t="str">
        <f t="shared" si="410"/>
        <v/>
      </c>
      <c r="O3739" s="31" t="str">
        <f>IF(OR(B3739="",C3739=""),"",K3739-N3739 + IFERROR(E3739 / SUMIFS('📅 Resumen Diario'!$D$5:$D$504, '📅 Resumen Diario'!$B$5:$B$504, B3739, '📅 Resumen Diario'!$C$5:$C$504, D3739) * (SUMIFS('📋 Detalle Diario'!$E$5:$E$489, '📋 Detalle Diario'!$B$5:$B$489, B3739, '📋 Detalle Diario'!$C$5:$C$489, D3739) * 135 + SUMIFS('📋 Detalle Diario'!$I$5:$I$489, '📋 Detalle Diario'!$B$5:$B$489, B3739, '📋 Detalle Diario'!$C$5:$C$489, D3739) * 200), 0))</f>
        <v/>
      </c>
      <c r="P3739" s="32" t="str">
        <f t="shared" si="411"/>
        <v/>
      </c>
      <c r="Q3739" s="33" t="str">
        <f t="shared" si="412"/>
        <v/>
      </c>
    </row>
    <row r="3740" spans="2:17" ht="18" customHeight="1" x14ac:dyDescent="0.3">
      <c r="B3740" s="26"/>
      <c r="C3740" s="17"/>
      <c r="D3740" s="27"/>
      <c r="E3740" s="18"/>
      <c r="F3740" s="18"/>
      <c r="G3740" s="18"/>
      <c r="H3740" s="30" t="str">
        <f t="shared" si="406"/>
        <v/>
      </c>
      <c r="I3740" s="31" t="str">
        <f>IF(OR(B3740="",C3740=""),"",IFERROR(E3740*IF(E3740="",0,VLOOKUP(C3740,'📦 Precios Proforma'!$B$5:$D$104,IF(D3740="DIA",2,3),FALSE)),0))</f>
        <v/>
      </c>
      <c r="J3740" s="31" t="str">
        <f t="shared" si="407"/>
        <v/>
      </c>
      <c r="K3740" s="31" t="str">
        <f t="shared" si="408"/>
        <v/>
      </c>
      <c r="L3740" s="31" t="str">
        <f>IF(OR(B3740="",C3740=""),"",IFERROR(E3740 / SUMIFS('📅 Resumen Diario'!$D$5:$D$504, '📅 Resumen Diario'!$B$5:$B$504, B3740, '📅 Resumen Diario'!$C$5:$C$504, D3740) * SUMIFS('📅 Resumen Diario'!$K$5:$K$504, '📅 Resumen Diario'!$B$5:$B$504, B3740, '📅 Resumen Diario'!$C$5:$C$504, D3740), 0))</f>
        <v/>
      </c>
      <c r="M3740" s="31" t="str">
        <f t="shared" si="409"/>
        <v/>
      </c>
      <c r="N3740" s="31" t="str">
        <f t="shared" si="410"/>
        <v/>
      </c>
      <c r="O3740" s="31" t="str">
        <f>IF(OR(B3740="",C3740=""),"",K3740-N3740 + IFERROR(E3740 / SUMIFS('📅 Resumen Diario'!$D$5:$D$504, '📅 Resumen Diario'!$B$5:$B$504, B3740, '📅 Resumen Diario'!$C$5:$C$504, D3740) * (SUMIFS('📋 Detalle Diario'!$E$5:$E$489, '📋 Detalle Diario'!$B$5:$B$489, B3740, '📋 Detalle Diario'!$C$5:$C$489, D3740) * 135 + SUMIFS('📋 Detalle Diario'!$I$5:$I$489, '📋 Detalle Diario'!$B$5:$B$489, B3740, '📋 Detalle Diario'!$C$5:$C$489, D3740) * 200), 0))</f>
        <v/>
      </c>
      <c r="P3740" s="32" t="str">
        <f t="shared" si="411"/>
        <v/>
      </c>
      <c r="Q3740" s="33" t="str">
        <f t="shared" si="412"/>
        <v/>
      </c>
    </row>
    <row r="3741" spans="2:17" ht="18" customHeight="1" x14ac:dyDescent="0.3">
      <c r="B3741" s="26"/>
      <c r="C3741" s="28"/>
      <c r="D3741" s="27"/>
      <c r="E3741" s="29"/>
      <c r="F3741" s="29"/>
      <c r="G3741" s="29"/>
      <c r="H3741" s="30" t="str">
        <f t="shared" si="406"/>
        <v/>
      </c>
      <c r="I3741" s="31" t="str">
        <f>IF(OR(B3741="",C3741=""),"",IFERROR(E3741*IF(E3741="",0,VLOOKUP(C3741,'📦 Precios Proforma'!$B$5:$D$104,IF(D3741="DIA",2,3),FALSE)),0))</f>
        <v/>
      </c>
      <c r="J3741" s="31" t="str">
        <f t="shared" si="407"/>
        <v/>
      </c>
      <c r="K3741" s="31" t="str">
        <f t="shared" si="408"/>
        <v/>
      </c>
      <c r="L3741" s="31" t="str">
        <f>IF(OR(B3741="",C3741=""),"",IFERROR(E3741 / SUMIFS('📅 Resumen Diario'!$D$5:$D$504, '📅 Resumen Diario'!$B$5:$B$504, B3741, '📅 Resumen Diario'!$C$5:$C$504, D3741) * SUMIFS('📅 Resumen Diario'!$K$5:$K$504, '📅 Resumen Diario'!$B$5:$B$504, B3741, '📅 Resumen Diario'!$C$5:$C$504, D3741), 0))</f>
        <v/>
      </c>
      <c r="M3741" s="31" t="str">
        <f t="shared" si="409"/>
        <v/>
      </c>
      <c r="N3741" s="31" t="str">
        <f t="shared" si="410"/>
        <v/>
      </c>
      <c r="O3741" s="31" t="str">
        <f>IF(OR(B3741="",C3741=""),"",K3741-N3741 + IFERROR(E3741 / SUMIFS('📅 Resumen Diario'!$D$5:$D$504, '📅 Resumen Diario'!$B$5:$B$504, B3741, '📅 Resumen Diario'!$C$5:$C$504, D3741) * (SUMIFS('📋 Detalle Diario'!$E$5:$E$489, '📋 Detalle Diario'!$B$5:$B$489, B3741, '📋 Detalle Diario'!$C$5:$C$489, D3741) * 135 + SUMIFS('📋 Detalle Diario'!$I$5:$I$489, '📋 Detalle Diario'!$B$5:$B$489, B3741, '📋 Detalle Diario'!$C$5:$C$489, D3741) * 200), 0))</f>
        <v/>
      </c>
      <c r="P3741" s="32" t="str">
        <f t="shared" si="411"/>
        <v/>
      </c>
      <c r="Q3741" s="33" t="str">
        <f t="shared" si="412"/>
        <v/>
      </c>
    </row>
    <row r="3742" spans="2:17" ht="18" customHeight="1" x14ac:dyDescent="0.3">
      <c r="B3742" s="26"/>
      <c r="C3742" s="17"/>
      <c r="D3742" s="27"/>
      <c r="E3742" s="18"/>
      <c r="F3742" s="18"/>
      <c r="G3742" s="18"/>
      <c r="H3742" s="30" t="str">
        <f t="shared" si="406"/>
        <v/>
      </c>
      <c r="I3742" s="31" t="str">
        <f>IF(OR(B3742="",C3742=""),"",IFERROR(E3742*IF(E3742="",0,VLOOKUP(C3742,'📦 Precios Proforma'!$B$5:$D$104,IF(D3742="DIA",2,3),FALSE)),0))</f>
        <v/>
      </c>
      <c r="J3742" s="31" t="str">
        <f t="shared" si="407"/>
        <v/>
      </c>
      <c r="K3742" s="31" t="str">
        <f t="shared" si="408"/>
        <v/>
      </c>
      <c r="L3742" s="31" t="str">
        <f>IF(OR(B3742="",C3742=""),"",IFERROR(E3742 / SUMIFS('📅 Resumen Diario'!$D$5:$D$504, '📅 Resumen Diario'!$B$5:$B$504, B3742, '📅 Resumen Diario'!$C$5:$C$504, D3742) * SUMIFS('📅 Resumen Diario'!$K$5:$K$504, '📅 Resumen Diario'!$B$5:$B$504, B3742, '📅 Resumen Diario'!$C$5:$C$504, D3742), 0))</f>
        <v/>
      </c>
      <c r="M3742" s="31" t="str">
        <f t="shared" si="409"/>
        <v/>
      </c>
      <c r="N3742" s="31" t="str">
        <f t="shared" si="410"/>
        <v/>
      </c>
      <c r="O3742" s="31" t="str">
        <f>IF(OR(B3742="",C3742=""),"",K3742-N3742 + IFERROR(E3742 / SUMIFS('📅 Resumen Diario'!$D$5:$D$504, '📅 Resumen Diario'!$B$5:$B$504, B3742, '📅 Resumen Diario'!$C$5:$C$504, D3742) * (SUMIFS('📋 Detalle Diario'!$E$5:$E$489, '📋 Detalle Diario'!$B$5:$B$489, B3742, '📋 Detalle Diario'!$C$5:$C$489, D3742) * 135 + SUMIFS('📋 Detalle Diario'!$I$5:$I$489, '📋 Detalle Diario'!$B$5:$B$489, B3742, '📋 Detalle Diario'!$C$5:$C$489, D3742) * 200), 0))</f>
        <v/>
      </c>
      <c r="P3742" s="32" t="str">
        <f t="shared" si="411"/>
        <v/>
      </c>
      <c r="Q3742" s="33" t="str">
        <f t="shared" si="412"/>
        <v/>
      </c>
    </row>
    <row r="3743" spans="2:17" ht="18" customHeight="1" x14ac:dyDescent="0.3">
      <c r="B3743" s="26"/>
      <c r="C3743" s="28"/>
      <c r="D3743" s="27"/>
      <c r="E3743" s="29"/>
      <c r="F3743" s="29"/>
      <c r="G3743" s="29"/>
      <c r="H3743" s="30" t="str">
        <f t="shared" si="406"/>
        <v/>
      </c>
      <c r="I3743" s="31" t="str">
        <f>IF(OR(B3743="",C3743=""),"",IFERROR(E3743*IF(E3743="",0,VLOOKUP(C3743,'📦 Precios Proforma'!$B$5:$D$104,IF(D3743="DIA",2,3),FALSE)),0))</f>
        <v/>
      </c>
      <c r="J3743" s="31" t="str">
        <f t="shared" si="407"/>
        <v/>
      </c>
      <c r="K3743" s="31" t="str">
        <f t="shared" si="408"/>
        <v/>
      </c>
      <c r="L3743" s="31" t="str">
        <f>IF(OR(B3743="",C3743=""),"",IFERROR(E3743 / SUMIFS('📅 Resumen Diario'!$D$5:$D$504, '📅 Resumen Diario'!$B$5:$B$504, B3743, '📅 Resumen Diario'!$C$5:$C$504, D3743) * SUMIFS('📅 Resumen Diario'!$K$5:$K$504, '📅 Resumen Diario'!$B$5:$B$504, B3743, '📅 Resumen Diario'!$C$5:$C$504, D3743), 0))</f>
        <v/>
      </c>
      <c r="M3743" s="31" t="str">
        <f t="shared" si="409"/>
        <v/>
      </c>
      <c r="N3743" s="31" t="str">
        <f t="shared" si="410"/>
        <v/>
      </c>
      <c r="O3743" s="31" t="str">
        <f>IF(OR(B3743="",C3743=""),"",K3743-N3743 + IFERROR(E3743 / SUMIFS('📅 Resumen Diario'!$D$5:$D$504, '📅 Resumen Diario'!$B$5:$B$504, B3743, '📅 Resumen Diario'!$C$5:$C$504, D3743) * (SUMIFS('📋 Detalle Diario'!$E$5:$E$489, '📋 Detalle Diario'!$B$5:$B$489, B3743, '📋 Detalle Diario'!$C$5:$C$489, D3743) * 135 + SUMIFS('📋 Detalle Diario'!$I$5:$I$489, '📋 Detalle Diario'!$B$5:$B$489, B3743, '📋 Detalle Diario'!$C$5:$C$489, D3743) * 200), 0))</f>
        <v/>
      </c>
      <c r="P3743" s="32" t="str">
        <f t="shared" si="411"/>
        <v/>
      </c>
      <c r="Q3743" s="33" t="str">
        <f t="shared" si="412"/>
        <v/>
      </c>
    </row>
    <row r="3744" spans="2:17" ht="18" customHeight="1" x14ac:dyDescent="0.3">
      <c r="B3744" s="26"/>
      <c r="C3744" s="17"/>
      <c r="D3744" s="27"/>
      <c r="E3744" s="18"/>
      <c r="F3744" s="18"/>
      <c r="G3744" s="18"/>
      <c r="H3744" s="30" t="str">
        <f t="shared" si="406"/>
        <v/>
      </c>
      <c r="I3744" s="31" t="str">
        <f>IF(OR(B3744="",C3744=""),"",IFERROR(E3744*IF(E3744="",0,VLOOKUP(C3744,'📦 Precios Proforma'!$B$5:$D$104,IF(D3744="DIA",2,3),FALSE)),0))</f>
        <v/>
      </c>
      <c r="J3744" s="31" t="str">
        <f t="shared" si="407"/>
        <v/>
      </c>
      <c r="K3744" s="31" t="str">
        <f t="shared" si="408"/>
        <v/>
      </c>
      <c r="L3744" s="31" t="str">
        <f>IF(OR(B3744="",C3744=""),"",IFERROR(E3744 / SUMIFS('📅 Resumen Diario'!$D$5:$D$504, '📅 Resumen Diario'!$B$5:$B$504, B3744, '📅 Resumen Diario'!$C$5:$C$504, D3744) * SUMIFS('📅 Resumen Diario'!$K$5:$K$504, '📅 Resumen Diario'!$B$5:$B$504, B3744, '📅 Resumen Diario'!$C$5:$C$504, D3744), 0))</f>
        <v/>
      </c>
      <c r="M3744" s="31" t="str">
        <f t="shared" si="409"/>
        <v/>
      </c>
      <c r="N3744" s="31" t="str">
        <f t="shared" si="410"/>
        <v/>
      </c>
      <c r="O3744" s="31" t="str">
        <f>IF(OR(B3744="",C3744=""),"",K3744-N3744 + IFERROR(E3744 / SUMIFS('📅 Resumen Diario'!$D$5:$D$504, '📅 Resumen Diario'!$B$5:$B$504, B3744, '📅 Resumen Diario'!$C$5:$C$504, D3744) * (SUMIFS('📋 Detalle Diario'!$E$5:$E$489, '📋 Detalle Diario'!$B$5:$B$489, B3744, '📋 Detalle Diario'!$C$5:$C$489, D3744) * 135 + SUMIFS('📋 Detalle Diario'!$I$5:$I$489, '📋 Detalle Diario'!$B$5:$B$489, B3744, '📋 Detalle Diario'!$C$5:$C$489, D3744) * 200), 0))</f>
        <v/>
      </c>
      <c r="P3744" s="32" t="str">
        <f t="shared" si="411"/>
        <v/>
      </c>
      <c r="Q3744" s="33" t="str">
        <f t="shared" si="412"/>
        <v/>
      </c>
    </row>
    <row r="3745" spans="2:17" ht="18" customHeight="1" x14ac:dyDescent="0.3">
      <c r="B3745" s="26"/>
      <c r="C3745" s="28"/>
      <c r="D3745" s="27"/>
      <c r="E3745" s="29"/>
      <c r="F3745" s="29"/>
      <c r="G3745" s="29"/>
      <c r="H3745" s="30" t="str">
        <f t="shared" si="406"/>
        <v/>
      </c>
      <c r="I3745" s="31" t="str">
        <f>IF(OR(B3745="",C3745=""),"",IFERROR(E3745*IF(E3745="",0,VLOOKUP(C3745,'📦 Precios Proforma'!$B$5:$D$104,IF(D3745="DIA",2,3),FALSE)),0))</f>
        <v/>
      </c>
      <c r="J3745" s="31" t="str">
        <f t="shared" si="407"/>
        <v/>
      </c>
      <c r="K3745" s="31" t="str">
        <f t="shared" si="408"/>
        <v/>
      </c>
      <c r="L3745" s="31" t="str">
        <f>IF(OR(B3745="",C3745=""),"",IFERROR(E3745 / SUMIFS('📅 Resumen Diario'!$D$5:$D$504, '📅 Resumen Diario'!$B$5:$B$504, B3745, '📅 Resumen Diario'!$C$5:$C$504, D3745) * SUMIFS('📅 Resumen Diario'!$K$5:$K$504, '📅 Resumen Diario'!$B$5:$B$504, B3745, '📅 Resumen Diario'!$C$5:$C$504, D3745), 0))</f>
        <v/>
      </c>
      <c r="M3745" s="31" t="str">
        <f t="shared" si="409"/>
        <v/>
      </c>
      <c r="N3745" s="31" t="str">
        <f t="shared" si="410"/>
        <v/>
      </c>
      <c r="O3745" s="31" t="str">
        <f>IF(OR(B3745="",C3745=""),"",K3745-N3745 + IFERROR(E3745 / SUMIFS('📅 Resumen Diario'!$D$5:$D$504, '📅 Resumen Diario'!$B$5:$B$504, B3745, '📅 Resumen Diario'!$C$5:$C$504, D3745) * (SUMIFS('📋 Detalle Diario'!$E$5:$E$489, '📋 Detalle Diario'!$B$5:$B$489, B3745, '📋 Detalle Diario'!$C$5:$C$489, D3745) * 135 + SUMIFS('📋 Detalle Diario'!$I$5:$I$489, '📋 Detalle Diario'!$B$5:$B$489, B3745, '📋 Detalle Diario'!$C$5:$C$489, D3745) * 200), 0))</f>
        <v/>
      </c>
      <c r="P3745" s="32" t="str">
        <f t="shared" si="411"/>
        <v/>
      </c>
      <c r="Q3745" s="33" t="str">
        <f t="shared" si="412"/>
        <v/>
      </c>
    </row>
    <row r="3746" spans="2:17" ht="18" customHeight="1" x14ac:dyDescent="0.3">
      <c r="B3746" s="26"/>
      <c r="C3746" s="17"/>
      <c r="D3746" s="27"/>
      <c r="E3746" s="18"/>
      <c r="F3746" s="18"/>
      <c r="G3746" s="18"/>
      <c r="H3746" s="30" t="str">
        <f t="shared" si="406"/>
        <v/>
      </c>
      <c r="I3746" s="31" t="str">
        <f>IF(OR(B3746="",C3746=""),"",IFERROR(E3746*IF(E3746="",0,VLOOKUP(C3746,'📦 Precios Proforma'!$B$5:$D$104,IF(D3746="DIA",2,3),FALSE)),0))</f>
        <v/>
      </c>
      <c r="J3746" s="31" t="str">
        <f t="shared" si="407"/>
        <v/>
      </c>
      <c r="K3746" s="31" t="str">
        <f t="shared" si="408"/>
        <v/>
      </c>
      <c r="L3746" s="31" t="str">
        <f>IF(OR(B3746="",C3746=""),"",IFERROR(E3746 / SUMIFS('📅 Resumen Diario'!$D$5:$D$504, '📅 Resumen Diario'!$B$5:$B$504, B3746, '📅 Resumen Diario'!$C$5:$C$504, D3746) * SUMIFS('📅 Resumen Diario'!$K$5:$K$504, '📅 Resumen Diario'!$B$5:$B$504, B3746, '📅 Resumen Diario'!$C$5:$C$504, D3746), 0))</f>
        <v/>
      </c>
      <c r="M3746" s="31" t="str">
        <f t="shared" si="409"/>
        <v/>
      </c>
      <c r="N3746" s="31" t="str">
        <f t="shared" si="410"/>
        <v/>
      </c>
      <c r="O3746" s="31" t="str">
        <f>IF(OR(B3746="",C3746=""),"",K3746-N3746 + IFERROR(E3746 / SUMIFS('📅 Resumen Diario'!$D$5:$D$504, '📅 Resumen Diario'!$B$5:$B$504, B3746, '📅 Resumen Diario'!$C$5:$C$504, D3746) * (SUMIFS('📋 Detalle Diario'!$E$5:$E$489, '📋 Detalle Diario'!$B$5:$B$489, B3746, '📋 Detalle Diario'!$C$5:$C$489, D3746) * 135 + SUMIFS('📋 Detalle Diario'!$I$5:$I$489, '📋 Detalle Diario'!$B$5:$B$489, B3746, '📋 Detalle Diario'!$C$5:$C$489, D3746) * 200), 0))</f>
        <v/>
      </c>
      <c r="P3746" s="32" t="str">
        <f t="shared" si="411"/>
        <v/>
      </c>
      <c r="Q3746" s="33" t="str">
        <f t="shared" si="412"/>
        <v/>
      </c>
    </row>
    <row r="3747" spans="2:17" ht="18" customHeight="1" x14ac:dyDescent="0.3">
      <c r="B3747" s="26"/>
      <c r="C3747" s="28"/>
      <c r="D3747" s="27"/>
      <c r="E3747" s="29"/>
      <c r="F3747" s="29"/>
      <c r="G3747" s="29"/>
      <c r="H3747" s="30" t="str">
        <f t="shared" si="406"/>
        <v/>
      </c>
      <c r="I3747" s="31" t="str">
        <f>IF(OR(B3747="",C3747=""),"",IFERROR(E3747*IF(E3747="",0,VLOOKUP(C3747,'📦 Precios Proforma'!$B$5:$D$104,IF(D3747="DIA",2,3),FALSE)),0))</f>
        <v/>
      </c>
      <c r="J3747" s="31" t="str">
        <f t="shared" si="407"/>
        <v/>
      </c>
      <c r="K3747" s="31" t="str">
        <f t="shared" si="408"/>
        <v/>
      </c>
      <c r="L3747" s="31" t="str">
        <f>IF(OR(B3747="",C3747=""),"",IFERROR(E3747 / SUMIFS('📅 Resumen Diario'!$D$5:$D$504, '📅 Resumen Diario'!$B$5:$B$504, B3747, '📅 Resumen Diario'!$C$5:$C$504, D3747) * SUMIFS('📅 Resumen Diario'!$K$5:$K$504, '📅 Resumen Diario'!$B$5:$B$504, B3747, '📅 Resumen Diario'!$C$5:$C$504, D3747), 0))</f>
        <v/>
      </c>
      <c r="M3747" s="31" t="str">
        <f t="shared" si="409"/>
        <v/>
      </c>
      <c r="N3747" s="31" t="str">
        <f t="shared" si="410"/>
        <v/>
      </c>
      <c r="O3747" s="31" t="str">
        <f>IF(OR(B3747="",C3747=""),"",K3747-N3747 + IFERROR(E3747 / SUMIFS('📅 Resumen Diario'!$D$5:$D$504, '📅 Resumen Diario'!$B$5:$B$504, B3747, '📅 Resumen Diario'!$C$5:$C$504, D3747) * (SUMIFS('📋 Detalle Diario'!$E$5:$E$489, '📋 Detalle Diario'!$B$5:$B$489, B3747, '📋 Detalle Diario'!$C$5:$C$489, D3747) * 135 + SUMIFS('📋 Detalle Diario'!$I$5:$I$489, '📋 Detalle Diario'!$B$5:$B$489, B3747, '📋 Detalle Diario'!$C$5:$C$489, D3747) * 200), 0))</f>
        <v/>
      </c>
      <c r="P3747" s="32" t="str">
        <f t="shared" si="411"/>
        <v/>
      </c>
      <c r="Q3747" s="33" t="str">
        <f t="shared" si="412"/>
        <v/>
      </c>
    </row>
    <row r="3748" spans="2:17" ht="18" customHeight="1" x14ac:dyDescent="0.3">
      <c r="B3748" s="26"/>
      <c r="C3748" s="17"/>
      <c r="D3748" s="27"/>
      <c r="E3748" s="18"/>
      <c r="F3748" s="18"/>
      <c r="G3748" s="18"/>
      <c r="H3748" s="30" t="str">
        <f t="shared" si="406"/>
        <v/>
      </c>
      <c r="I3748" s="31" t="str">
        <f>IF(OR(B3748="",C3748=""),"",IFERROR(E3748*IF(E3748="",0,VLOOKUP(C3748,'📦 Precios Proforma'!$B$5:$D$104,IF(D3748="DIA",2,3),FALSE)),0))</f>
        <v/>
      </c>
      <c r="J3748" s="31" t="str">
        <f t="shared" si="407"/>
        <v/>
      </c>
      <c r="K3748" s="31" t="str">
        <f t="shared" si="408"/>
        <v/>
      </c>
      <c r="L3748" s="31" t="str">
        <f>IF(OR(B3748="",C3748=""),"",IFERROR(E3748 / SUMIFS('📅 Resumen Diario'!$D$5:$D$504, '📅 Resumen Diario'!$B$5:$B$504, B3748, '📅 Resumen Diario'!$C$5:$C$504, D3748) * SUMIFS('📅 Resumen Diario'!$K$5:$K$504, '📅 Resumen Diario'!$B$5:$B$504, B3748, '📅 Resumen Diario'!$C$5:$C$504, D3748), 0))</f>
        <v/>
      </c>
      <c r="M3748" s="31" t="str">
        <f t="shared" si="409"/>
        <v/>
      </c>
      <c r="N3748" s="31" t="str">
        <f t="shared" si="410"/>
        <v/>
      </c>
      <c r="O3748" s="31" t="str">
        <f>IF(OR(B3748="",C3748=""),"",K3748-N3748 + IFERROR(E3748 / SUMIFS('📅 Resumen Diario'!$D$5:$D$504, '📅 Resumen Diario'!$B$5:$B$504, B3748, '📅 Resumen Diario'!$C$5:$C$504, D3748) * (SUMIFS('📋 Detalle Diario'!$E$5:$E$489, '📋 Detalle Diario'!$B$5:$B$489, B3748, '📋 Detalle Diario'!$C$5:$C$489, D3748) * 135 + SUMIFS('📋 Detalle Diario'!$I$5:$I$489, '📋 Detalle Diario'!$B$5:$B$489, B3748, '📋 Detalle Diario'!$C$5:$C$489, D3748) * 200), 0))</f>
        <v/>
      </c>
      <c r="P3748" s="32" t="str">
        <f t="shared" si="411"/>
        <v/>
      </c>
      <c r="Q3748" s="33" t="str">
        <f t="shared" si="412"/>
        <v/>
      </c>
    </row>
    <row r="3749" spans="2:17" ht="18" customHeight="1" x14ac:dyDescent="0.3">
      <c r="B3749" s="26"/>
      <c r="C3749" s="28"/>
      <c r="D3749" s="27"/>
      <c r="E3749" s="29"/>
      <c r="F3749" s="29"/>
      <c r="G3749" s="29"/>
      <c r="H3749" s="30" t="str">
        <f t="shared" si="406"/>
        <v/>
      </c>
      <c r="I3749" s="31" t="str">
        <f>IF(OR(B3749="",C3749=""),"",IFERROR(E3749*IF(E3749="",0,VLOOKUP(C3749,'📦 Precios Proforma'!$B$5:$D$104,IF(D3749="DIA",2,3),FALSE)),0))</f>
        <v/>
      </c>
      <c r="J3749" s="31" t="str">
        <f t="shared" si="407"/>
        <v/>
      </c>
      <c r="K3749" s="31" t="str">
        <f t="shared" si="408"/>
        <v/>
      </c>
      <c r="L3749" s="31" t="str">
        <f>IF(OR(B3749="",C3749=""),"",IFERROR(E3749 / SUMIFS('📅 Resumen Diario'!$D$5:$D$504, '📅 Resumen Diario'!$B$5:$B$504, B3749, '📅 Resumen Diario'!$C$5:$C$504, D3749) * SUMIFS('📅 Resumen Diario'!$K$5:$K$504, '📅 Resumen Diario'!$B$5:$B$504, B3749, '📅 Resumen Diario'!$C$5:$C$504, D3749), 0))</f>
        <v/>
      </c>
      <c r="M3749" s="31" t="str">
        <f t="shared" si="409"/>
        <v/>
      </c>
      <c r="N3749" s="31" t="str">
        <f t="shared" si="410"/>
        <v/>
      </c>
      <c r="O3749" s="31" t="str">
        <f>IF(OR(B3749="",C3749=""),"",K3749-N3749 + IFERROR(E3749 / SUMIFS('📅 Resumen Diario'!$D$5:$D$504, '📅 Resumen Diario'!$B$5:$B$504, B3749, '📅 Resumen Diario'!$C$5:$C$504, D3749) * (SUMIFS('📋 Detalle Diario'!$E$5:$E$489, '📋 Detalle Diario'!$B$5:$B$489, B3749, '📋 Detalle Diario'!$C$5:$C$489, D3749) * 135 + SUMIFS('📋 Detalle Diario'!$I$5:$I$489, '📋 Detalle Diario'!$B$5:$B$489, B3749, '📋 Detalle Diario'!$C$5:$C$489, D3749) * 200), 0))</f>
        <v/>
      </c>
      <c r="P3749" s="32" t="str">
        <f t="shared" si="411"/>
        <v/>
      </c>
      <c r="Q3749" s="33" t="str">
        <f t="shared" si="412"/>
        <v/>
      </c>
    </row>
    <row r="3750" spans="2:17" ht="18" customHeight="1" x14ac:dyDescent="0.3">
      <c r="B3750" s="26"/>
      <c r="C3750" s="17"/>
      <c r="D3750" s="27"/>
      <c r="E3750" s="18"/>
      <c r="F3750" s="18"/>
      <c r="G3750" s="18"/>
      <c r="H3750" s="30" t="str">
        <f t="shared" si="406"/>
        <v/>
      </c>
      <c r="I3750" s="31" t="str">
        <f>IF(OR(B3750="",C3750=""),"",IFERROR(E3750*IF(E3750="",0,VLOOKUP(C3750,'📦 Precios Proforma'!$B$5:$D$104,IF(D3750="DIA",2,3),FALSE)),0))</f>
        <v/>
      </c>
      <c r="J3750" s="31" t="str">
        <f t="shared" si="407"/>
        <v/>
      </c>
      <c r="K3750" s="31" t="str">
        <f t="shared" si="408"/>
        <v/>
      </c>
      <c r="L3750" s="31" t="str">
        <f>IF(OR(B3750="",C3750=""),"",IFERROR(E3750 / SUMIFS('📅 Resumen Diario'!$D$5:$D$504, '📅 Resumen Diario'!$B$5:$B$504, B3750, '📅 Resumen Diario'!$C$5:$C$504, D3750) * SUMIFS('📅 Resumen Diario'!$K$5:$K$504, '📅 Resumen Diario'!$B$5:$B$504, B3750, '📅 Resumen Diario'!$C$5:$C$504, D3750), 0))</f>
        <v/>
      </c>
      <c r="M3750" s="31" t="str">
        <f t="shared" si="409"/>
        <v/>
      </c>
      <c r="N3750" s="31" t="str">
        <f t="shared" si="410"/>
        <v/>
      </c>
      <c r="O3750" s="31" t="str">
        <f>IF(OR(B3750="",C3750=""),"",K3750-N3750 + IFERROR(E3750 / SUMIFS('📅 Resumen Diario'!$D$5:$D$504, '📅 Resumen Diario'!$B$5:$B$504, B3750, '📅 Resumen Diario'!$C$5:$C$504, D3750) * (SUMIFS('📋 Detalle Diario'!$E$5:$E$489, '📋 Detalle Diario'!$B$5:$B$489, B3750, '📋 Detalle Diario'!$C$5:$C$489, D3750) * 135 + SUMIFS('📋 Detalle Diario'!$I$5:$I$489, '📋 Detalle Diario'!$B$5:$B$489, B3750, '📋 Detalle Diario'!$C$5:$C$489, D3750) * 200), 0))</f>
        <v/>
      </c>
      <c r="P3750" s="32" t="str">
        <f t="shared" si="411"/>
        <v/>
      </c>
      <c r="Q3750" s="33" t="str">
        <f t="shared" si="412"/>
        <v/>
      </c>
    </row>
    <row r="3751" spans="2:17" ht="18" customHeight="1" x14ac:dyDescent="0.3">
      <c r="B3751" s="26"/>
      <c r="C3751" s="28"/>
      <c r="D3751" s="27"/>
      <c r="E3751" s="29"/>
      <c r="F3751" s="29"/>
      <c r="G3751" s="29"/>
      <c r="H3751" s="30" t="str">
        <f t="shared" si="406"/>
        <v/>
      </c>
      <c r="I3751" s="31" t="str">
        <f>IF(OR(B3751="",C3751=""),"",IFERROR(E3751*IF(E3751="",0,VLOOKUP(C3751,'📦 Precios Proforma'!$B$5:$D$104,IF(D3751="DIA",2,3),FALSE)),0))</f>
        <v/>
      </c>
      <c r="J3751" s="31" t="str">
        <f t="shared" si="407"/>
        <v/>
      </c>
      <c r="K3751" s="31" t="str">
        <f t="shared" si="408"/>
        <v/>
      </c>
      <c r="L3751" s="31" t="str">
        <f>IF(OR(B3751="",C3751=""),"",IFERROR(E3751 / SUMIFS('📅 Resumen Diario'!$D$5:$D$504, '📅 Resumen Diario'!$B$5:$B$504, B3751, '📅 Resumen Diario'!$C$5:$C$504, D3751) * SUMIFS('📅 Resumen Diario'!$K$5:$K$504, '📅 Resumen Diario'!$B$5:$B$504, B3751, '📅 Resumen Diario'!$C$5:$C$504, D3751), 0))</f>
        <v/>
      </c>
      <c r="M3751" s="31" t="str">
        <f t="shared" si="409"/>
        <v/>
      </c>
      <c r="N3751" s="31" t="str">
        <f t="shared" si="410"/>
        <v/>
      </c>
      <c r="O3751" s="31" t="str">
        <f>IF(OR(B3751="",C3751=""),"",K3751-N3751 + IFERROR(E3751 / SUMIFS('📅 Resumen Diario'!$D$5:$D$504, '📅 Resumen Diario'!$B$5:$B$504, B3751, '📅 Resumen Diario'!$C$5:$C$504, D3751) * (SUMIFS('📋 Detalle Diario'!$E$5:$E$489, '📋 Detalle Diario'!$B$5:$B$489, B3751, '📋 Detalle Diario'!$C$5:$C$489, D3751) * 135 + SUMIFS('📋 Detalle Diario'!$I$5:$I$489, '📋 Detalle Diario'!$B$5:$B$489, B3751, '📋 Detalle Diario'!$C$5:$C$489, D3751) * 200), 0))</f>
        <v/>
      </c>
      <c r="P3751" s="32" t="str">
        <f t="shared" si="411"/>
        <v/>
      </c>
      <c r="Q3751" s="33" t="str">
        <f t="shared" si="412"/>
        <v/>
      </c>
    </row>
    <row r="3752" spans="2:17" ht="18" customHeight="1" x14ac:dyDescent="0.3">
      <c r="B3752" s="26"/>
      <c r="C3752" s="17"/>
      <c r="D3752" s="27"/>
      <c r="E3752" s="18"/>
      <c r="F3752" s="18"/>
      <c r="G3752" s="18"/>
      <c r="H3752" s="30" t="str">
        <f t="shared" si="406"/>
        <v/>
      </c>
      <c r="I3752" s="31" t="str">
        <f>IF(OR(B3752="",C3752=""),"",IFERROR(E3752*IF(E3752="",0,VLOOKUP(C3752,'📦 Precios Proforma'!$B$5:$D$104,IF(D3752="DIA",2,3),FALSE)),0))</f>
        <v/>
      </c>
      <c r="J3752" s="31" t="str">
        <f t="shared" si="407"/>
        <v/>
      </c>
      <c r="K3752" s="31" t="str">
        <f t="shared" si="408"/>
        <v/>
      </c>
      <c r="L3752" s="31" t="str">
        <f>IF(OR(B3752="",C3752=""),"",IFERROR(E3752 / SUMIFS('📅 Resumen Diario'!$D$5:$D$504, '📅 Resumen Diario'!$B$5:$B$504, B3752, '📅 Resumen Diario'!$C$5:$C$504, D3752) * SUMIFS('📅 Resumen Diario'!$K$5:$K$504, '📅 Resumen Diario'!$B$5:$B$504, B3752, '📅 Resumen Diario'!$C$5:$C$504, D3752), 0))</f>
        <v/>
      </c>
      <c r="M3752" s="31" t="str">
        <f t="shared" si="409"/>
        <v/>
      </c>
      <c r="N3752" s="31" t="str">
        <f t="shared" si="410"/>
        <v/>
      </c>
      <c r="O3752" s="31" t="str">
        <f>IF(OR(B3752="",C3752=""),"",K3752-N3752 + IFERROR(E3752 / SUMIFS('📅 Resumen Diario'!$D$5:$D$504, '📅 Resumen Diario'!$B$5:$B$504, B3752, '📅 Resumen Diario'!$C$5:$C$504, D3752) * (SUMIFS('📋 Detalle Diario'!$E$5:$E$489, '📋 Detalle Diario'!$B$5:$B$489, B3752, '📋 Detalle Diario'!$C$5:$C$489, D3752) * 135 + SUMIFS('📋 Detalle Diario'!$I$5:$I$489, '📋 Detalle Diario'!$B$5:$B$489, B3752, '📋 Detalle Diario'!$C$5:$C$489, D3752) * 200), 0))</f>
        <v/>
      </c>
      <c r="P3752" s="32" t="str">
        <f t="shared" si="411"/>
        <v/>
      </c>
      <c r="Q3752" s="33" t="str">
        <f t="shared" si="412"/>
        <v/>
      </c>
    </row>
    <row r="3753" spans="2:17" ht="18" customHeight="1" x14ac:dyDescent="0.3">
      <c r="B3753" s="26"/>
      <c r="C3753" s="28"/>
      <c r="D3753" s="27"/>
      <c r="E3753" s="29"/>
      <c r="F3753" s="29"/>
      <c r="G3753" s="29"/>
      <c r="H3753" s="30" t="str">
        <f t="shared" si="406"/>
        <v/>
      </c>
      <c r="I3753" s="31" t="str">
        <f>IF(OR(B3753="",C3753=""),"",IFERROR(E3753*IF(E3753="",0,VLOOKUP(C3753,'📦 Precios Proforma'!$B$5:$D$104,IF(D3753="DIA",2,3),FALSE)),0))</f>
        <v/>
      </c>
      <c r="J3753" s="31" t="str">
        <f t="shared" si="407"/>
        <v/>
      </c>
      <c r="K3753" s="31" t="str">
        <f t="shared" si="408"/>
        <v/>
      </c>
      <c r="L3753" s="31" t="str">
        <f>IF(OR(B3753="",C3753=""),"",IFERROR(E3753 / SUMIFS('📅 Resumen Diario'!$D$5:$D$504, '📅 Resumen Diario'!$B$5:$B$504, B3753, '📅 Resumen Diario'!$C$5:$C$504, D3753) * SUMIFS('📅 Resumen Diario'!$K$5:$K$504, '📅 Resumen Diario'!$B$5:$B$504, B3753, '📅 Resumen Diario'!$C$5:$C$504, D3753), 0))</f>
        <v/>
      </c>
      <c r="M3753" s="31" t="str">
        <f t="shared" si="409"/>
        <v/>
      </c>
      <c r="N3753" s="31" t="str">
        <f t="shared" si="410"/>
        <v/>
      </c>
      <c r="O3753" s="31" t="str">
        <f>IF(OR(B3753="",C3753=""),"",K3753-N3753 + IFERROR(E3753 / SUMIFS('📅 Resumen Diario'!$D$5:$D$504, '📅 Resumen Diario'!$B$5:$B$504, B3753, '📅 Resumen Diario'!$C$5:$C$504, D3753) * (SUMIFS('📋 Detalle Diario'!$E$5:$E$489, '📋 Detalle Diario'!$B$5:$B$489, B3753, '📋 Detalle Diario'!$C$5:$C$489, D3753) * 135 + SUMIFS('📋 Detalle Diario'!$I$5:$I$489, '📋 Detalle Diario'!$B$5:$B$489, B3753, '📋 Detalle Diario'!$C$5:$C$489, D3753) * 200), 0))</f>
        <v/>
      </c>
      <c r="P3753" s="32" t="str">
        <f t="shared" si="411"/>
        <v/>
      </c>
      <c r="Q3753" s="33" t="str">
        <f t="shared" si="412"/>
        <v/>
      </c>
    </row>
    <row r="3754" spans="2:17" ht="18" customHeight="1" x14ac:dyDescent="0.3">
      <c r="B3754" s="26"/>
      <c r="C3754" s="17"/>
      <c r="D3754" s="27"/>
      <c r="E3754" s="18"/>
      <c r="F3754" s="18"/>
      <c r="G3754" s="18"/>
      <c r="H3754" s="30" t="str">
        <f t="shared" si="406"/>
        <v/>
      </c>
      <c r="I3754" s="31" t="str">
        <f>IF(OR(B3754="",C3754=""),"",IFERROR(E3754*IF(E3754="",0,VLOOKUP(C3754,'📦 Precios Proforma'!$B$5:$D$104,IF(D3754="DIA",2,3),FALSE)),0))</f>
        <v/>
      </c>
      <c r="J3754" s="31" t="str">
        <f t="shared" si="407"/>
        <v/>
      </c>
      <c r="K3754" s="31" t="str">
        <f t="shared" si="408"/>
        <v/>
      </c>
      <c r="L3754" s="31" t="str">
        <f>IF(OR(B3754="",C3754=""),"",IFERROR(E3754 / SUMIFS('📅 Resumen Diario'!$D$5:$D$504, '📅 Resumen Diario'!$B$5:$B$504, B3754, '📅 Resumen Diario'!$C$5:$C$504, D3754) * SUMIFS('📅 Resumen Diario'!$K$5:$K$504, '📅 Resumen Diario'!$B$5:$B$504, B3754, '📅 Resumen Diario'!$C$5:$C$504, D3754), 0))</f>
        <v/>
      </c>
      <c r="M3754" s="31" t="str">
        <f t="shared" si="409"/>
        <v/>
      </c>
      <c r="N3754" s="31" t="str">
        <f t="shared" si="410"/>
        <v/>
      </c>
      <c r="O3754" s="31" t="str">
        <f>IF(OR(B3754="",C3754=""),"",K3754-N3754 + IFERROR(E3754 / SUMIFS('📅 Resumen Diario'!$D$5:$D$504, '📅 Resumen Diario'!$B$5:$B$504, B3754, '📅 Resumen Diario'!$C$5:$C$504, D3754) * (SUMIFS('📋 Detalle Diario'!$E$5:$E$489, '📋 Detalle Diario'!$B$5:$B$489, B3754, '📋 Detalle Diario'!$C$5:$C$489, D3754) * 135 + SUMIFS('📋 Detalle Diario'!$I$5:$I$489, '📋 Detalle Diario'!$B$5:$B$489, B3754, '📋 Detalle Diario'!$C$5:$C$489, D3754) * 200), 0))</f>
        <v/>
      </c>
      <c r="P3754" s="32" t="str">
        <f t="shared" si="411"/>
        <v/>
      </c>
      <c r="Q3754" s="33" t="str">
        <f t="shared" si="412"/>
        <v/>
      </c>
    </row>
    <row r="3755" spans="2:17" ht="18" customHeight="1" x14ac:dyDescent="0.3">
      <c r="B3755" s="26"/>
      <c r="C3755" s="28"/>
      <c r="D3755" s="27"/>
      <c r="E3755" s="29"/>
      <c r="F3755" s="29"/>
      <c r="G3755" s="29"/>
      <c r="H3755" s="30" t="str">
        <f t="shared" si="406"/>
        <v/>
      </c>
      <c r="I3755" s="31" t="str">
        <f>IF(OR(B3755="",C3755=""),"",IFERROR(E3755*IF(E3755="",0,VLOOKUP(C3755,'📦 Precios Proforma'!$B$5:$D$104,IF(D3755="DIA",2,3),FALSE)),0))</f>
        <v/>
      </c>
      <c r="J3755" s="31" t="str">
        <f t="shared" si="407"/>
        <v/>
      </c>
      <c r="K3755" s="31" t="str">
        <f t="shared" si="408"/>
        <v/>
      </c>
      <c r="L3755" s="31" t="str">
        <f>IF(OR(B3755="",C3755=""),"",IFERROR(E3755 / SUMIFS('📅 Resumen Diario'!$D$5:$D$504, '📅 Resumen Diario'!$B$5:$B$504, B3755, '📅 Resumen Diario'!$C$5:$C$504, D3755) * SUMIFS('📅 Resumen Diario'!$K$5:$K$504, '📅 Resumen Diario'!$B$5:$B$504, B3755, '📅 Resumen Diario'!$C$5:$C$504, D3755), 0))</f>
        <v/>
      </c>
      <c r="M3755" s="31" t="str">
        <f t="shared" si="409"/>
        <v/>
      </c>
      <c r="N3755" s="31" t="str">
        <f t="shared" si="410"/>
        <v/>
      </c>
      <c r="O3755" s="31" t="str">
        <f>IF(OR(B3755="",C3755=""),"",K3755-N3755 + IFERROR(E3755 / SUMIFS('📅 Resumen Diario'!$D$5:$D$504, '📅 Resumen Diario'!$B$5:$B$504, B3755, '📅 Resumen Diario'!$C$5:$C$504, D3755) * (SUMIFS('📋 Detalle Diario'!$E$5:$E$489, '📋 Detalle Diario'!$B$5:$B$489, B3755, '📋 Detalle Diario'!$C$5:$C$489, D3755) * 135 + SUMIFS('📋 Detalle Diario'!$I$5:$I$489, '📋 Detalle Diario'!$B$5:$B$489, B3755, '📋 Detalle Diario'!$C$5:$C$489, D3755) * 200), 0))</f>
        <v/>
      </c>
      <c r="P3755" s="32" t="str">
        <f t="shared" si="411"/>
        <v/>
      </c>
      <c r="Q3755" s="33" t="str">
        <f t="shared" si="412"/>
        <v/>
      </c>
    </row>
    <row r="3756" spans="2:17" ht="18" customHeight="1" x14ac:dyDescent="0.3">
      <c r="B3756" s="26"/>
      <c r="C3756" s="17"/>
      <c r="D3756" s="27"/>
      <c r="E3756" s="18"/>
      <c r="F3756" s="18"/>
      <c r="G3756" s="18"/>
      <c r="H3756" s="30" t="str">
        <f t="shared" si="406"/>
        <v/>
      </c>
      <c r="I3756" s="31" t="str">
        <f>IF(OR(B3756="",C3756=""),"",IFERROR(E3756*IF(E3756="",0,VLOOKUP(C3756,'📦 Precios Proforma'!$B$5:$D$104,IF(D3756="DIA",2,3),FALSE)),0))</f>
        <v/>
      </c>
      <c r="J3756" s="31" t="str">
        <f t="shared" si="407"/>
        <v/>
      </c>
      <c r="K3756" s="31" t="str">
        <f t="shared" si="408"/>
        <v/>
      </c>
      <c r="L3756" s="31" t="str">
        <f>IF(OR(B3756="",C3756=""),"",IFERROR(E3756 / SUMIFS('📅 Resumen Diario'!$D$5:$D$504, '📅 Resumen Diario'!$B$5:$B$504, B3756, '📅 Resumen Diario'!$C$5:$C$504, D3756) * SUMIFS('📅 Resumen Diario'!$K$5:$K$504, '📅 Resumen Diario'!$B$5:$B$504, B3756, '📅 Resumen Diario'!$C$5:$C$504, D3756), 0))</f>
        <v/>
      </c>
      <c r="M3756" s="31" t="str">
        <f t="shared" si="409"/>
        <v/>
      </c>
      <c r="N3756" s="31" t="str">
        <f t="shared" si="410"/>
        <v/>
      </c>
      <c r="O3756" s="31" t="str">
        <f>IF(OR(B3756="",C3756=""),"",K3756-N3756 + IFERROR(E3756 / SUMIFS('📅 Resumen Diario'!$D$5:$D$504, '📅 Resumen Diario'!$B$5:$B$504, B3756, '📅 Resumen Diario'!$C$5:$C$504, D3756) * (SUMIFS('📋 Detalle Diario'!$E$5:$E$489, '📋 Detalle Diario'!$B$5:$B$489, B3756, '📋 Detalle Diario'!$C$5:$C$489, D3756) * 135 + SUMIFS('📋 Detalle Diario'!$I$5:$I$489, '📋 Detalle Diario'!$B$5:$B$489, B3756, '📋 Detalle Diario'!$C$5:$C$489, D3756) * 200), 0))</f>
        <v/>
      </c>
      <c r="P3756" s="32" t="str">
        <f t="shared" si="411"/>
        <v/>
      </c>
      <c r="Q3756" s="33" t="str">
        <f t="shared" si="412"/>
        <v/>
      </c>
    </row>
    <row r="3757" spans="2:17" ht="18" customHeight="1" x14ac:dyDescent="0.3">
      <c r="B3757" s="26"/>
      <c r="C3757" s="28"/>
      <c r="D3757" s="27"/>
      <c r="E3757" s="29"/>
      <c r="F3757" s="29"/>
      <c r="G3757" s="29"/>
      <c r="H3757" s="30" t="str">
        <f t="shared" si="406"/>
        <v/>
      </c>
      <c r="I3757" s="31" t="str">
        <f>IF(OR(B3757="",C3757=""),"",IFERROR(E3757*IF(E3757="",0,VLOOKUP(C3757,'📦 Precios Proforma'!$B$5:$D$104,IF(D3757="DIA",2,3),FALSE)),0))</f>
        <v/>
      </c>
      <c r="J3757" s="31" t="str">
        <f t="shared" si="407"/>
        <v/>
      </c>
      <c r="K3757" s="31" t="str">
        <f t="shared" si="408"/>
        <v/>
      </c>
      <c r="L3757" s="31" t="str">
        <f>IF(OR(B3757="",C3757=""),"",IFERROR(E3757 / SUMIFS('📅 Resumen Diario'!$D$5:$D$504, '📅 Resumen Diario'!$B$5:$B$504, B3757, '📅 Resumen Diario'!$C$5:$C$504, D3757) * SUMIFS('📅 Resumen Diario'!$K$5:$K$504, '📅 Resumen Diario'!$B$5:$B$504, B3757, '📅 Resumen Diario'!$C$5:$C$504, D3757), 0))</f>
        <v/>
      </c>
      <c r="M3757" s="31" t="str">
        <f t="shared" si="409"/>
        <v/>
      </c>
      <c r="N3757" s="31" t="str">
        <f t="shared" si="410"/>
        <v/>
      </c>
      <c r="O3757" s="31" t="str">
        <f>IF(OR(B3757="",C3757=""),"",K3757-N3757 + IFERROR(E3757 / SUMIFS('📅 Resumen Diario'!$D$5:$D$504, '📅 Resumen Diario'!$B$5:$B$504, B3757, '📅 Resumen Diario'!$C$5:$C$504, D3757) * (SUMIFS('📋 Detalle Diario'!$E$5:$E$489, '📋 Detalle Diario'!$B$5:$B$489, B3757, '📋 Detalle Diario'!$C$5:$C$489, D3757) * 135 + SUMIFS('📋 Detalle Diario'!$I$5:$I$489, '📋 Detalle Diario'!$B$5:$B$489, B3757, '📋 Detalle Diario'!$C$5:$C$489, D3757) * 200), 0))</f>
        <v/>
      </c>
      <c r="P3757" s="32" t="str">
        <f t="shared" si="411"/>
        <v/>
      </c>
      <c r="Q3757" s="33" t="str">
        <f t="shared" si="412"/>
        <v/>
      </c>
    </row>
    <row r="3758" spans="2:17" ht="18" customHeight="1" x14ac:dyDescent="0.3">
      <c r="B3758" s="26"/>
      <c r="C3758" s="17"/>
      <c r="D3758" s="27"/>
      <c r="E3758" s="18"/>
      <c r="F3758" s="18"/>
      <c r="G3758" s="18"/>
      <c r="H3758" s="30" t="str">
        <f t="shared" si="406"/>
        <v/>
      </c>
      <c r="I3758" s="31" t="str">
        <f>IF(OR(B3758="",C3758=""),"",IFERROR(E3758*IF(E3758="",0,VLOOKUP(C3758,'📦 Precios Proforma'!$B$5:$D$104,IF(D3758="DIA",2,3),FALSE)),0))</f>
        <v/>
      </c>
      <c r="J3758" s="31" t="str">
        <f t="shared" si="407"/>
        <v/>
      </c>
      <c r="K3758" s="31" t="str">
        <f t="shared" si="408"/>
        <v/>
      </c>
      <c r="L3758" s="31" t="str">
        <f>IF(OR(B3758="",C3758=""),"",IFERROR(E3758 / SUMIFS('📅 Resumen Diario'!$D$5:$D$504, '📅 Resumen Diario'!$B$5:$B$504, B3758, '📅 Resumen Diario'!$C$5:$C$504, D3758) * SUMIFS('📅 Resumen Diario'!$K$5:$K$504, '📅 Resumen Diario'!$B$5:$B$504, B3758, '📅 Resumen Diario'!$C$5:$C$504, D3758), 0))</f>
        <v/>
      </c>
      <c r="M3758" s="31" t="str">
        <f t="shared" si="409"/>
        <v/>
      </c>
      <c r="N3758" s="31" t="str">
        <f t="shared" si="410"/>
        <v/>
      </c>
      <c r="O3758" s="31" t="str">
        <f>IF(OR(B3758="",C3758=""),"",K3758-N3758 + IFERROR(E3758 / SUMIFS('📅 Resumen Diario'!$D$5:$D$504, '📅 Resumen Diario'!$B$5:$B$504, B3758, '📅 Resumen Diario'!$C$5:$C$504, D3758) * (SUMIFS('📋 Detalle Diario'!$E$5:$E$489, '📋 Detalle Diario'!$B$5:$B$489, B3758, '📋 Detalle Diario'!$C$5:$C$489, D3758) * 135 + SUMIFS('📋 Detalle Diario'!$I$5:$I$489, '📋 Detalle Diario'!$B$5:$B$489, B3758, '📋 Detalle Diario'!$C$5:$C$489, D3758) * 200), 0))</f>
        <v/>
      </c>
      <c r="P3758" s="32" t="str">
        <f t="shared" si="411"/>
        <v/>
      </c>
      <c r="Q3758" s="33" t="str">
        <f t="shared" si="412"/>
        <v/>
      </c>
    </row>
    <row r="3759" spans="2:17" ht="18" customHeight="1" x14ac:dyDescent="0.3">
      <c r="B3759" s="26"/>
      <c r="C3759" s="28"/>
      <c r="D3759" s="27"/>
      <c r="E3759" s="29"/>
      <c r="F3759" s="29"/>
      <c r="G3759" s="29"/>
      <c r="H3759" s="30" t="str">
        <f t="shared" si="406"/>
        <v/>
      </c>
      <c r="I3759" s="31" t="str">
        <f>IF(OR(B3759="",C3759=""),"",IFERROR(E3759*IF(E3759="",0,VLOOKUP(C3759,'📦 Precios Proforma'!$B$5:$D$104,IF(D3759="DIA",2,3),FALSE)),0))</f>
        <v/>
      </c>
      <c r="J3759" s="31" t="str">
        <f t="shared" si="407"/>
        <v/>
      </c>
      <c r="K3759" s="31" t="str">
        <f t="shared" si="408"/>
        <v/>
      </c>
      <c r="L3759" s="31" t="str">
        <f>IF(OR(B3759="",C3759=""),"",IFERROR(E3759 / SUMIFS('📅 Resumen Diario'!$D$5:$D$504, '📅 Resumen Diario'!$B$5:$B$504, B3759, '📅 Resumen Diario'!$C$5:$C$504, D3759) * SUMIFS('📅 Resumen Diario'!$K$5:$K$504, '📅 Resumen Diario'!$B$5:$B$504, B3759, '📅 Resumen Diario'!$C$5:$C$504, D3759), 0))</f>
        <v/>
      </c>
      <c r="M3759" s="31" t="str">
        <f t="shared" si="409"/>
        <v/>
      </c>
      <c r="N3759" s="31" t="str">
        <f t="shared" si="410"/>
        <v/>
      </c>
      <c r="O3759" s="31" t="str">
        <f>IF(OR(B3759="",C3759=""),"",K3759-N3759 + IFERROR(E3759 / SUMIFS('📅 Resumen Diario'!$D$5:$D$504, '📅 Resumen Diario'!$B$5:$B$504, B3759, '📅 Resumen Diario'!$C$5:$C$504, D3759) * (SUMIFS('📋 Detalle Diario'!$E$5:$E$489, '📋 Detalle Diario'!$B$5:$B$489, B3759, '📋 Detalle Diario'!$C$5:$C$489, D3759) * 135 + SUMIFS('📋 Detalle Diario'!$I$5:$I$489, '📋 Detalle Diario'!$B$5:$B$489, B3759, '📋 Detalle Diario'!$C$5:$C$489, D3759) * 200), 0))</f>
        <v/>
      </c>
      <c r="P3759" s="32" t="str">
        <f t="shared" si="411"/>
        <v/>
      </c>
      <c r="Q3759" s="33" t="str">
        <f t="shared" si="412"/>
        <v/>
      </c>
    </row>
    <row r="3760" spans="2:17" ht="18" customHeight="1" x14ac:dyDescent="0.3">
      <c r="B3760" s="26"/>
      <c r="C3760" s="17"/>
      <c r="D3760" s="27"/>
      <c r="E3760" s="18"/>
      <c r="F3760" s="18"/>
      <c r="G3760" s="18"/>
      <c r="H3760" s="30" t="str">
        <f t="shared" si="406"/>
        <v/>
      </c>
      <c r="I3760" s="31" t="str">
        <f>IF(OR(B3760="",C3760=""),"",IFERROR(E3760*IF(E3760="",0,VLOOKUP(C3760,'📦 Precios Proforma'!$B$5:$D$104,IF(D3760="DIA",2,3),FALSE)),0))</f>
        <v/>
      </c>
      <c r="J3760" s="31" t="str">
        <f t="shared" si="407"/>
        <v/>
      </c>
      <c r="K3760" s="31" t="str">
        <f t="shared" si="408"/>
        <v/>
      </c>
      <c r="L3760" s="31" t="str">
        <f>IF(OR(B3760="",C3760=""),"",IFERROR(E3760 / SUMIFS('📅 Resumen Diario'!$D$5:$D$504, '📅 Resumen Diario'!$B$5:$B$504, B3760, '📅 Resumen Diario'!$C$5:$C$504, D3760) * SUMIFS('📅 Resumen Diario'!$K$5:$K$504, '📅 Resumen Diario'!$B$5:$B$504, B3760, '📅 Resumen Diario'!$C$5:$C$504, D3760), 0))</f>
        <v/>
      </c>
      <c r="M3760" s="31" t="str">
        <f t="shared" si="409"/>
        <v/>
      </c>
      <c r="N3760" s="31" t="str">
        <f t="shared" si="410"/>
        <v/>
      </c>
      <c r="O3760" s="31" t="str">
        <f>IF(OR(B3760="",C3760=""),"",K3760-N3760 + IFERROR(E3760 / SUMIFS('📅 Resumen Diario'!$D$5:$D$504, '📅 Resumen Diario'!$B$5:$B$504, B3760, '📅 Resumen Diario'!$C$5:$C$504, D3760) * (SUMIFS('📋 Detalle Diario'!$E$5:$E$489, '📋 Detalle Diario'!$B$5:$B$489, B3760, '📋 Detalle Diario'!$C$5:$C$489, D3760) * 135 + SUMIFS('📋 Detalle Diario'!$I$5:$I$489, '📋 Detalle Diario'!$B$5:$B$489, B3760, '📋 Detalle Diario'!$C$5:$C$489, D3760) * 200), 0))</f>
        <v/>
      </c>
      <c r="P3760" s="32" t="str">
        <f t="shared" si="411"/>
        <v/>
      </c>
      <c r="Q3760" s="33" t="str">
        <f t="shared" si="412"/>
        <v/>
      </c>
    </row>
    <row r="3761" spans="2:17" ht="18" customHeight="1" x14ac:dyDescent="0.3">
      <c r="B3761" s="26"/>
      <c r="C3761" s="28"/>
      <c r="D3761" s="27"/>
      <c r="E3761" s="29"/>
      <c r="F3761" s="29"/>
      <c r="G3761" s="29"/>
      <c r="H3761" s="30" t="str">
        <f t="shared" si="406"/>
        <v/>
      </c>
      <c r="I3761" s="31" t="str">
        <f>IF(OR(B3761="",C3761=""),"",IFERROR(E3761*IF(E3761="",0,VLOOKUP(C3761,'📦 Precios Proforma'!$B$5:$D$104,IF(D3761="DIA",2,3),FALSE)),0))</f>
        <v/>
      </c>
      <c r="J3761" s="31" t="str">
        <f t="shared" si="407"/>
        <v/>
      </c>
      <c r="K3761" s="31" t="str">
        <f t="shared" si="408"/>
        <v/>
      </c>
      <c r="L3761" s="31" t="str">
        <f>IF(OR(B3761="",C3761=""),"",IFERROR(E3761 / SUMIFS('📅 Resumen Diario'!$D$5:$D$504, '📅 Resumen Diario'!$B$5:$B$504, B3761, '📅 Resumen Diario'!$C$5:$C$504, D3761) * SUMIFS('📅 Resumen Diario'!$K$5:$K$504, '📅 Resumen Diario'!$B$5:$B$504, B3761, '📅 Resumen Diario'!$C$5:$C$504, D3761), 0))</f>
        <v/>
      </c>
      <c r="M3761" s="31" t="str">
        <f t="shared" si="409"/>
        <v/>
      </c>
      <c r="N3761" s="31" t="str">
        <f t="shared" si="410"/>
        <v/>
      </c>
      <c r="O3761" s="31" t="str">
        <f>IF(OR(B3761="",C3761=""),"",K3761-N3761 + IFERROR(E3761 / SUMIFS('📅 Resumen Diario'!$D$5:$D$504, '📅 Resumen Diario'!$B$5:$B$504, B3761, '📅 Resumen Diario'!$C$5:$C$504, D3761) * (SUMIFS('📋 Detalle Diario'!$E$5:$E$489, '📋 Detalle Diario'!$B$5:$B$489, B3761, '📋 Detalle Diario'!$C$5:$C$489, D3761) * 135 + SUMIFS('📋 Detalle Diario'!$I$5:$I$489, '📋 Detalle Diario'!$B$5:$B$489, B3761, '📋 Detalle Diario'!$C$5:$C$489, D3761) * 200), 0))</f>
        <v/>
      </c>
      <c r="P3761" s="32" t="str">
        <f t="shared" si="411"/>
        <v/>
      </c>
      <c r="Q3761" s="33" t="str">
        <f t="shared" si="412"/>
        <v/>
      </c>
    </row>
    <row r="3762" spans="2:17" ht="18" customHeight="1" x14ac:dyDescent="0.3">
      <c r="B3762" s="26"/>
      <c r="C3762" s="17"/>
      <c r="D3762" s="27"/>
      <c r="E3762" s="18"/>
      <c r="F3762" s="18"/>
      <c r="G3762" s="18"/>
      <c r="H3762" s="30" t="str">
        <f t="shared" si="406"/>
        <v/>
      </c>
      <c r="I3762" s="31" t="str">
        <f>IF(OR(B3762="",C3762=""),"",IFERROR(E3762*IF(E3762="",0,VLOOKUP(C3762,'📦 Precios Proforma'!$B$5:$D$104,IF(D3762="DIA",2,3),FALSE)),0))</f>
        <v/>
      </c>
      <c r="J3762" s="31" t="str">
        <f t="shared" si="407"/>
        <v/>
      </c>
      <c r="K3762" s="31" t="str">
        <f t="shared" si="408"/>
        <v/>
      </c>
      <c r="L3762" s="31" t="str">
        <f>IF(OR(B3762="",C3762=""),"",IFERROR(E3762 / SUMIFS('📅 Resumen Diario'!$D$5:$D$504, '📅 Resumen Diario'!$B$5:$B$504, B3762, '📅 Resumen Diario'!$C$5:$C$504, D3762) * SUMIFS('📅 Resumen Diario'!$K$5:$K$504, '📅 Resumen Diario'!$B$5:$B$504, B3762, '📅 Resumen Diario'!$C$5:$C$504, D3762), 0))</f>
        <v/>
      </c>
      <c r="M3762" s="31" t="str">
        <f t="shared" si="409"/>
        <v/>
      </c>
      <c r="N3762" s="31" t="str">
        <f t="shared" si="410"/>
        <v/>
      </c>
      <c r="O3762" s="31" t="str">
        <f>IF(OR(B3762="",C3762=""),"",K3762-N3762 + IFERROR(E3762 / SUMIFS('📅 Resumen Diario'!$D$5:$D$504, '📅 Resumen Diario'!$B$5:$B$504, B3762, '📅 Resumen Diario'!$C$5:$C$504, D3762) * (SUMIFS('📋 Detalle Diario'!$E$5:$E$489, '📋 Detalle Diario'!$B$5:$B$489, B3762, '📋 Detalle Diario'!$C$5:$C$489, D3762) * 135 + SUMIFS('📋 Detalle Diario'!$I$5:$I$489, '📋 Detalle Diario'!$B$5:$B$489, B3762, '📋 Detalle Diario'!$C$5:$C$489, D3762) * 200), 0))</f>
        <v/>
      </c>
      <c r="P3762" s="32" t="str">
        <f t="shared" si="411"/>
        <v/>
      </c>
      <c r="Q3762" s="33" t="str">
        <f t="shared" si="412"/>
        <v/>
      </c>
    </row>
    <row r="3763" spans="2:17" ht="18" customHeight="1" x14ac:dyDescent="0.3">
      <c r="B3763" s="26"/>
      <c r="C3763" s="28"/>
      <c r="D3763" s="27"/>
      <c r="E3763" s="29"/>
      <c r="F3763" s="29"/>
      <c r="G3763" s="29"/>
      <c r="H3763" s="30" t="str">
        <f t="shared" si="406"/>
        <v/>
      </c>
      <c r="I3763" s="31" t="str">
        <f>IF(OR(B3763="",C3763=""),"",IFERROR(E3763*IF(E3763="",0,VLOOKUP(C3763,'📦 Precios Proforma'!$B$5:$D$104,IF(D3763="DIA",2,3),FALSE)),0))</f>
        <v/>
      </c>
      <c r="J3763" s="31" t="str">
        <f t="shared" si="407"/>
        <v/>
      </c>
      <c r="K3763" s="31" t="str">
        <f t="shared" si="408"/>
        <v/>
      </c>
      <c r="L3763" s="31" t="str">
        <f>IF(OR(B3763="",C3763=""),"",IFERROR(E3763 / SUMIFS('📅 Resumen Diario'!$D$5:$D$504, '📅 Resumen Diario'!$B$5:$B$504, B3763, '📅 Resumen Diario'!$C$5:$C$504, D3763) * SUMIFS('📅 Resumen Diario'!$K$5:$K$504, '📅 Resumen Diario'!$B$5:$B$504, B3763, '📅 Resumen Diario'!$C$5:$C$504, D3763), 0))</f>
        <v/>
      </c>
      <c r="M3763" s="31" t="str">
        <f t="shared" si="409"/>
        <v/>
      </c>
      <c r="N3763" s="31" t="str">
        <f t="shared" si="410"/>
        <v/>
      </c>
      <c r="O3763" s="31" t="str">
        <f>IF(OR(B3763="",C3763=""),"",K3763-N3763 + IFERROR(E3763 / SUMIFS('📅 Resumen Diario'!$D$5:$D$504, '📅 Resumen Diario'!$B$5:$B$504, B3763, '📅 Resumen Diario'!$C$5:$C$504, D3763) * (SUMIFS('📋 Detalle Diario'!$E$5:$E$489, '📋 Detalle Diario'!$B$5:$B$489, B3763, '📋 Detalle Diario'!$C$5:$C$489, D3763) * 135 + SUMIFS('📋 Detalle Diario'!$I$5:$I$489, '📋 Detalle Diario'!$B$5:$B$489, B3763, '📋 Detalle Diario'!$C$5:$C$489, D3763) * 200), 0))</f>
        <v/>
      </c>
      <c r="P3763" s="32" t="str">
        <f t="shared" si="411"/>
        <v/>
      </c>
      <c r="Q3763" s="33" t="str">
        <f t="shared" si="412"/>
        <v/>
      </c>
    </row>
    <row r="3764" spans="2:17" ht="18" customHeight="1" x14ac:dyDescent="0.3">
      <c r="B3764" s="26"/>
      <c r="C3764" s="17"/>
      <c r="D3764" s="27"/>
      <c r="E3764" s="18"/>
      <c r="F3764" s="18"/>
      <c r="G3764" s="18"/>
      <c r="H3764" s="30" t="str">
        <f t="shared" si="406"/>
        <v/>
      </c>
      <c r="I3764" s="31" t="str">
        <f>IF(OR(B3764="",C3764=""),"",IFERROR(E3764*IF(E3764="",0,VLOOKUP(C3764,'📦 Precios Proforma'!$B$5:$D$104,IF(D3764="DIA",2,3),FALSE)),0))</f>
        <v/>
      </c>
      <c r="J3764" s="31" t="str">
        <f t="shared" si="407"/>
        <v/>
      </c>
      <c r="K3764" s="31" t="str">
        <f t="shared" si="408"/>
        <v/>
      </c>
      <c r="L3764" s="31" t="str">
        <f>IF(OR(B3764="",C3764=""),"",IFERROR(E3764 / SUMIFS('📅 Resumen Diario'!$D$5:$D$504, '📅 Resumen Diario'!$B$5:$B$504, B3764, '📅 Resumen Diario'!$C$5:$C$504, D3764) * SUMIFS('📅 Resumen Diario'!$K$5:$K$504, '📅 Resumen Diario'!$B$5:$B$504, B3764, '📅 Resumen Diario'!$C$5:$C$504, D3764), 0))</f>
        <v/>
      </c>
      <c r="M3764" s="31" t="str">
        <f t="shared" si="409"/>
        <v/>
      </c>
      <c r="N3764" s="31" t="str">
        <f t="shared" si="410"/>
        <v/>
      </c>
      <c r="O3764" s="31" t="str">
        <f>IF(OR(B3764="",C3764=""),"",K3764-N3764 + IFERROR(E3764 / SUMIFS('📅 Resumen Diario'!$D$5:$D$504, '📅 Resumen Diario'!$B$5:$B$504, B3764, '📅 Resumen Diario'!$C$5:$C$504, D3764) * (SUMIFS('📋 Detalle Diario'!$E$5:$E$489, '📋 Detalle Diario'!$B$5:$B$489, B3764, '📋 Detalle Diario'!$C$5:$C$489, D3764) * 135 + SUMIFS('📋 Detalle Diario'!$I$5:$I$489, '📋 Detalle Diario'!$B$5:$B$489, B3764, '📋 Detalle Diario'!$C$5:$C$489, D3764) * 200), 0))</f>
        <v/>
      </c>
      <c r="P3764" s="32" t="str">
        <f t="shared" si="411"/>
        <v/>
      </c>
      <c r="Q3764" s="33" t="str">
        <f t="shared" si="412"/>
        <v/>
      </c>
    </row>
    <row r="3765" spans="2:17" ht="18" customHeight="1" x14ac:dyDescent="0.3">
      <c r="B3765" s="26"/>
      <c r="C3765" s="28"/>
      <c r="D3765" s="27"/>
      <c r="E3765" s="29"/>
      <c r="F3765" s="29"/>
      <c r="G3765" s="29"/>
      <c r="H3765" s="30" t="str">
        <f t="shared" si="406"/>
        <v/>
      </c>
      <c r="I3765" s="31" t="str">
        <f>IF(OR(B3765="",C3765=""),"",IFERROR(E3765*IF(E3765="",0,VLOOKUP(C3765,'📦 Precios Proforma'!$B$5:$D$104,IF(D3765="DIA",2,3),FALSE)),0))</f>
        <v/>
      </c>
      <c r="J3765" s="31" t="str">
        <f t="shared" si="407"/>
        <v/>
      </c>
      <c r="K3765" s="31" t="str">
        <f t="shared" si="408"/>
        <v/>
      </c>
      <c r="L3765" s="31" t="str">
        <f>IF(OR(B3765="",C3765=""),"",IFERROR(E3765 / SUMIFS('📅 Resumen Diario'!$D$5:$D$504, '📅 Resumen Diario'!$B$5:$B$504, B3765, '📅 Resumen Diario'!$C$5:$C$504, D3765) * SUMIFS('📅 Resumen Diario'!$K$5:$K$504, '📅 Resumen Diario'!$B$5:$B$504, B3765, '📅 Resumen Diario'!$C$5:$C$504, D3765), 0))</f>
        <v/>
      </c>
      <c r="M3765" s="31" t="str">
        <f t="shared" si="409"/>
        <v/>
      </c>
      <c r="N3765" s="31" t="str">
        <f t="shared" si="410"/>
        <v/>
      </c>
      <c r="O3765" s="31" t="str">
        <f>IF(OR(B3765="",C3765=""),"",K3765-N3765 + IFERROR(E3765 / SUMIFS('📅 Resumen Diario'!$D$5:$D$504, '📅 Resumen Diario'!$B$5:$B$504, B3765, '📅 Resumen Diario'!$C$5:$C$504, D3765) * (SUMIFS('📋 Detalle Diario'!$E$5:$E$489, '📋 Detalle Diario'!$B$5:$B$489, B3765, '📋 Detalle Diario'!$C$5:$C$489, D3765) * 135 + SUMIFS('📋 Detalle Diario'!$I$5:$I$489, '📋 Detalle Diario'!$B$5:$B$489, B3765, '📋 Detalle Diario'!$C$5:$C$489, D3765) * 200), 0))</f>
        <v/>
      </c>
      <c r="P3765" s="32" t="str">
        <f t="shared" si="411"/>
        <v/>
      </c>
      <c r="Q3765" s="33" t="str">
        <f t="shared" si="412"/>
        <v/>
      </c>
    </row>
    <row r="3766" spans="2:17" ht="18" customHeight="1" x14ac:dyDescent="0.3">
      <c r="B3766" s="26"/>
      <c r="C3766" s="17"/>
      <c r="D3766" s="27"/>
      <c r="E3766" s="18"/>
      <c r="F3766" s="18"/>
      <c r="G3766" s="18"/>
      <c r="H3766" s="30" t="str">
        <f t="shared" si="406"/>
        <v/>
      </c>
      <c r="I3766" s="31" t="str">
        <f>IF(OR(B3766="",C3766=""),"",IFERROR(E3766*IF(E3766="",0,VLOOKUP(C3766,'📦 Precios Proforma'!$B$5:$D$104,IF(D3766="DIA",2,3),FALSE)),0))</f>
        <v/>
      </c>
      <c r="J3766" s="31" t="str">
        <f t="shared" si="407"/>
        <v/>
      </c>
      <c r="K3766" s="31" t="str">
        <f t="shared" si="408"/>
        <v/>
      </c>
      <c r="L3766" s="31" t="str">
        <f>IF(OR(B3766="",C3766=""),"",IFERROR(E3766 / SUMIFS('📅 Resumen Diario'!$D$5:$D$504, '📅 Resumen Diario'!$B$5:$B$504, B3766, '📅 Resumen Diario'!$C$5:$C$504, D3766) * SUMIFS('📅 Resumen Diario'!$K$5:$K$504, '📅 Resumen Diario'!$B$5:$B$504, B3766, '📅 Resumen Diario'!$C$5:$C$504, D3766), 0))</f>
        <v/>
      </c>
      <c r="M3766" s="31" t="str">
        <f t="shared" si="409"/>
        <v/>
      </c>
      <c r="N3766" s="31" t="str">
        <f t="shared" si="410"/>
        <v/>
      </c>
      <c r="O3766" s="31" t="str">
        <f>IF(OR(B3766="",C3766=""),"",K3766-N3766 + IFERROR(E3766 / SUMIFS('📅 Resumen Diario'!$D$5:$D$504, '📅 Resumen Diario'!$B$5:$B$504, B3766, '📅 Resumen Diario'!$C$5:$C$504, D3766) * (SUMIFS('📋 Detalle Diario'!$E$5:$E$489, '📋 Detalle Diario'!$B$5:$B$489, B3766, '📋 Detalle Diario'!$C$5:$C$489, D3766) * 135 + SUMIFS('📋 Detalle Diario'!$I$5:$I$489, '📋 Detalle Diario'!$B$5:$B$489, B3766, '📋 Detalle Diario'!$C$5:$C$489, D3766) * 200), 0))</f>
        <v/>
      </c>
      <c r="P3766" s="32" t="str">
        <f t="shared" si="411"/>
        <v/>
      </c>
      <c r="Q3766" s="33" t="str">
        <f t="shared" si="412"/>
        <v/>
      </c>
    </row>
    <row r="3767" spans="2:17" ht="18" customHeight="1" x14ac:dyDescent="0.3">
      <c r="B3767" s="26"/>
      <c r="C3767" s="28"/>
      <c r="D3767" s="27"/>
      <c r="E3767" s="29"/>
      <c r="F3767" s="29"/>
      <c r="G3767" s="29"/>
      <c r="H3767" s="30" t="str">
        <f t="shared" si="406"/>
        <v/>
      </c>
      <c r="I3767" s="31" t="str">
        <f>IF(OR(B3767="",C3767=""),"",IFERROR(E3767*IF(E3767="",0,VLOOKUP(C3767,'📦 Precios Proforma'!$B$5:$D$104,IF(D3767="DIA",2,3),FALSE)),0))</f>
        <v/>
      </c>
      <c r="J3767" s="31" t="str">
        <f t="shared" si="407"/>
        <v/>
      </c>
      <c r="K3767" s="31" t="str">
        <f t="shared" si="408"/>
        <v/>
      </c>
      <c r="L3767" s="31" t="str">
        <f>IF(OR(B3767="",C3767=""),"",IFERROR(E3767 / SUMIFS('📅 Resumen Diario'!$D$5:$D$504, '📅 Resumen Diario'!$B$5:$B$504, B3767, '📅 Resumen Diario'!$C$5:$C$504, D3767) * SUMIFS('📅 Resumen Diario'!$K$5:$K$504, '📅 Resumen Diario'!$B$5:$B$504, B3767, '📅 Resumen Diario'!$C$5:$C$504, D3767), 0))</f>
        <v/>
      </c>
      <c r="M3767" s="31" t="str">
        <f t="shared" si="409"/>
        <v/>
      </c>
      <c r="N3767" s="31" t="str">
        <f t="shared" si="410"/>
        <v/>
      </c>
      <c r="O3767" s="31" t="str">
        <f>IF(OR(B3767="",C3767=""),"",K3767-N3767 + IFERROR(E3767 / SUMIFS('📅 Resumen Diario'!$D$5:$D$504, '📅 Resumen Diario'!$B$5:$B$504, B3767, '📅 Resumen Diario'!$C$5:$C$504, D3767) * (SUMIFS('📋 Detalle Diario'!$E$5:$E$489, '📋 Detalle Diario'!$B$5:$B$489, B3767, '📋 Detalle Diario'!$C$5:$C$489, D3767) * 135 + SUMIFS('📋 Detalle Diario'!$I$5:$I$489, '📋 Detalle Diario'!$B$5:$B$489, B3767, '📋 Detalle Diario'!$C$5:$C$489, D3767) * 200), 0))</f>
        <v/>
      </c>
      <c r="P3767" s="32" t="str">
        <f t="shared" si="411"/>
        <v/>
      </c>
      <c r="Q3767" s="33" t="str">
        <f t="shared" si="412"/>
        <v/>
      </c>
    </row>
    <row r="3768" spans="2:17" ht="18" customHeight="1" x14ac:dyDescent="0.3">
      <c r="B3768" s="26"/>
      <c r="C3768" s="17"/>
      <c r="D3768" s="27"/>
      <c r="E3768" s="18"/>
      <c r="F3768" s="18"/>
      <c r="G3768" s="18"/>
      <c r="H3768" s="30" t="str">
        <f t="shared" si="406"/>
        <v/>
      </c>
      <c r="I3768" s="31" t="str">
        <f>IF(OR(B3768="",C3768=""),"",IFERROR(E3768*IF(E3768="",0,VLOOKUP(C3768,'📦 Precios Proforma'!$B$5:$D$104,IF(D3768="DIA",2,3),FALSE)),0))</f>
        <v/>
      </c>
      <c r="J3768" s="31" t="str">
        <f t="shared" si="407"/>
        <v/>
      </c>
      <c r="K3768" s="31" t="str">
        <f t="shared" si="408"/>
        <v/>
      </c>
      <c r="L3768" s="31" t="str">
        <f>IF(OR(B3768="",C3768=""),"",IFERROR(E3768 / SUMIFS('📅 Resumen Diario'!$D$5:$D$504, '📅 Resumen Diario'!$B$5:$B$504, B3768, '📅 Resumen Diario'!$C$5:$C$504, D3768) * SUMIFS('📅 Resumen Diario'!$K$5:$K$504, '📅 Resumen Diario'!$B$5:$B$504, B3768, '📅 Resumen Diario'!$C$5:$C$504, D3768), 0))</f>
        <v/>
      </c>
      <c r="M3768" s="31" t="str">
        <f t="shared" si="409"/>
        <v/>
      </c>
      <c r="N3768" s="31" t="str">
        <f t="shared" si="410"/>
        <v/>
      </c>
      <c r="O3768" s="31" t="str">
        <f>IF(OR(B3768="",C3768=""),"",K3768-N3768 + IFERROR(E3768 / SUMIFS('📅 Resumen Diario'!$D$5:$D$504, '📅 Resumen Diario'!$B$5:$B$504, B3768, '📅 Resumen Diario'!$C$5:$C$504, D3768) * (SUMIFS('📋 Detalle Diario'!$E$5:$E$489, '📋 Detalle Diario'!$B$5:$B$489, B3768, '📋 Detalle Diario'!$C$5:$C$489, D3768) * 135 + SUMIFS('📋 Detalle Diario'!$I$5:$I$489, '📋 Detalle Diario'!$B$5:$B$489, B3768, '📋 Detalle Diario'!$C$5:$C$489, D3768) * 200), 0))</f>
        <v/>
      </c>
      <c r="P3768" s="32" t="str">
        <f t="shared" si="411"/>
        <v/>
      </c>
      <c r="Q3768" s="33" t="str">
        <f t="shared" si="412"/>
        <v/>
      </c>
    </row>
    <row r="3769" spans="2:17" ht="18" customHeight="1" x14ac:dyDescent="0.3">
      <c r="B3769" s="26"/>
      <c r="C3769" s="28"/>
      <c r="D3769" s="27"/>
      <c r="E3769" s="29"/>
      <c r="F3769" s="29"/>
      <c r="G3769" s="29"/>
      <c r="H3769" s="30" t="str">
        <f t="shared" si="406"/>
        <v/>
      </c>
      <c r="I3769" s="31" t="str">
        <f>IF(OR(B3769="",C3769=""),"",IFERROR(E3769*IF(E3769="",0,VLOOKUP(C3769,'📦 Precios Proforma'!$B$5:$D$104,IF(D3769="DIA",2,3),FALSE)),0))</f>
        <v/>
      </c>
      <c r="J3769" s="31" t="str">
        <f t="shared" si="407"/>
        <v/>
      </c>
      <c r="K3769" s="31" t="str">
        <f t="shared" si="408"/>
        <v/>
      </c>
      <c r="L3769" s="31" t="str">
        <f>IF(OR(B3769="",C3769=""),"",IFERROR(E3769 / SUMIFS('📅 Resumen Diario'!$D$5:$D$504, '📅 Resumen Diario'!$B$5:$B$504, B3769, '📅 Resumen Diario'!$C$5:$C$504, D3769) * SUMIFS('📅 Resumen Diario'!$K$5:$K$504, '📅 Resumen Diario'!$B$5:$B$504, B3769, '📅 Resumen Diario'!$C$5:$C$504, D3769), 0))</f>
        <v/>
      </c>
      <c r="M3769" s="31" t="str">
        <f t="shared" si="409"/>
        <v/>
      </c>
      <c r="N3769" s="31" t="str">
        <f t="shared" si="410"/>
        <v/>
      </c>
      <c r="O3769" s="31" t="str">
        <f>IF(OR(B3769="",C3769=""),"",K3769-N3769 + IFERROR(E3769 / SUMIFS('📅 Resumen Diario'!$D$5:$D$504, '📅 Resumen Diario'!$B$5:$B$504, B3769, '📅 Resumen Diario'!$C$5:$C$504, D3769) * (SUMIFS('📋 Detalle Diario'!$E$5:$E$489, '📋 Detalle Diario'!$B$5:$B$489, B3769, '📋 Detalle Diario'!$C$5:$C$489, D3769) * 135 + SUMIFS('📋 Detalle Diario'!$I$5:$I$489, '📋 Detalle Diario'!$B$5:$B$489, B3769, '📋 Detalle Diario'!$C$5:$C$489, D3769) * 200), 0))</f>
        <v/>
      </c>
      <c r="P3769" s="32" t="str">
        <f t="shared" si="411"/>
        <v/>
      </c>
      <c r="Q3769" s="33" t="str">
        <f t="shared" si="412"/>
        <v/>
      </c>
    </row>
    <row r="3770" spans="2:17" ht="18" customHeight="1" x14ac:dyDescent="0.3">
      <c r="B3770" s="26"/>
      <c r="C3770" s="17"/>
      <c r="D3770" s="27"/>
      <c r="E3770" s="18"/>
      <c r="F3770" s="18"/>
      <c r="G3770" s="18"/>
      <c r="H3770" s="30" t="str">
        <f t="shared" si="406"/>
        <v/>
      </c>
      <c r="I3770" s="31" t="str">
        <f>IF(OR(B3770="",C3770=""),"",IFERROR(E3770*IF(E3770="",0,VLOOKUP(C3770,'📦 Precios Proforma'!$B$5:$D$104,IF(D3770="DIA",2,3),FALSE)),0))</f>
        <v/>
      </c>
      <c r="J3770" s="31" t="str">
        <f t="shared" si="407"/>
        <v/>
      </c>
      <c r="K3770" s="31" t="str">
        <f t="shared" si="408"/>
        <v/>
      </c>
      <c r="L3770" s="31" t="str">
        <f>IF(OR(B3770="",C3770=""),"",IFERROR(E3770 / SUMIFS('📅 Resumen Diario'!$D$5:$D$504, '📅 Resumen Diario'!$B$5:$B$504, B3770, '📅 Resumen Diario'!$C$5:$C$504, D3770) * SUMIFS('📅 Resumen Diario'!$K$5:$K$504, '📅 Resumen Diario'!$B$5:$B$504, B3770, '📅 Resumen Diario'!$C$5:$C$504, D3770), 0))</f>
        <v/>
      </c>
      <c r="M3770" s="31" t="str">
        <f t="shared" si="409"/>
        <v/>
      </c>
      <c r="N3770" s="31" t="str">
        <f t="shared" si="410"/>
        <v/>
      </c>
      <c r="O3770" s="31" t="str">
        <f>IF(OR(B3770="",C3770=""),"",K3770-N3770 + IFERROR(E3770 / SUMIFS('📅 Resumen Diario'!$D$5:$D$504, '📅 Resumen Diario'!$B$5:$B$504, B3770, '📅 Resumen Diario'!$C$5:$C$504, D3770) * (SUMIFS('📋 Detalle Diario'!$E$5:$E$489, '📋 Detalle Diario'!$B$5:$B$489, B3770, '📋 Detalle Diario'!$C$5:$C$489, D3770) * 135 + SUMIFS('📋 Detalle Diario'!$I$5:$I$489, '📋 Detalle Diario'!$B$5:$B$489, B3770, '📋 Detalle Diario'!$C$5:$C$489, D3770) * 200), 0))</f>
        <v/>
      </c>
      <c r="P3770" s="32" t="str">
        <f t="shared" si="411"/>
        <v/>
      </c>
      <c r="Q3770" s="33" t="str">
        <f t="shared" si="412"/>
        <v/>
      </c>
    </row>
    <row r="3771" spans="2:17" ht="18" customHeight="1" x14ac:dyDescent="0.3">
      <c r="B3771" s="26"/>
      <c r="C3771" s="28"/>
      <c r="D3771" s="27"/>
      <c r="E3771" s="29"/>
      <c r="F3771" s="29"/>
      <c r="G3771" s="29"/>
      <c r="H3771" s="30" t="str">
        <f t="shared" si="406"/>
        <v/>
      </c>
      <c r="I3771" s="31" t="str">
        <f>IF(OR(B3771="",C3771=""),"",IFERROR(E3771*IF(E3771="",0,VLOOKUP(C3771,'📦 Precios Proforma'!$B$5:$D$104,IF(D3771="DIA",2,3),FALSE)),0))</f>
        <v/>
      </c>
      <c r="J3771" s="31" t="str">
        <f t="shared" si="407"/>
        <v/>
      </c>
      <c r="K3771" s="31" t="str">
        <f t="shared" si="408"/>
        <v/>
      </c>
      <c r="L3771" s="31" t="str">
        <f>IF(OR(B3771="",C3771=""),"",IFERROR(E3771 / SUMIFS('📅 Resumen Diario'!$D$5:$D$504, '📅 Resumen Diario'!$B$5:$B$504, B3771, '📅 Resumen Diario'!$C$5:$C$504, D3771) * SUMIFS('📅 Resumen Diario'!$K$5:$K$504, '📅 Resumen Diario'!$B$5:$B$504, B3771, '📅 Resumen Diario'!$C$5:$C$504, D3771), 0))</f>
        <v/>
      </c>
      <c r="M3771" s="31" t="str">
        <f t="shared" si="409"/>
        <v/>
      </c>
      <c r="N3771" s="31" t="str">
        <f t="shared" si="410"/>
        <v/>
      </c>
      <c r="O3771" s="31" t="str">
        <f>IF(OR(B3771="",C3771=""),"",K3771-N3771 + IFERROR(E3771 / SUMIFS('📅 Resumen Diario'!$D$5:$D$504, '📅 Resumen Diario'!$B$5:$B$504, B3771, '📅 Resumen Diario'!$C$5:$C$504, D3771) * (SUMIFS('📋 Detalle Diario'!$E$5:$E$489, '📋 Detalle Diario'!$B$5:$B$489, B3771, '📋 Detalle Diario'!$C$5:$C$489, D3771) * 135 + SUMIFS('📋 Detalle Diario'!$I$5:$I$489, '📋 Detalle Diario'!$B$5:$B$489, B3771, '📋 Detalle Diario'!$C$5:$C$489, D3771) * 200), 0))</f>
        <v/>
      </c>
      <c r="P3771" s="32" t="str">
        <f t="shared" si="411"/>
        <v/>
      </c>
      <c r="Q3771" s="33" t="str">
        <f t="shared" si="412"/>
        <v/>
      </c>
    </row>
    <row r="3772" spans="2:17" ht="18" customHeight="1" x14ac:dyDescent="0.3">
      <c r="B3772" s="26"/>
      <c r="C3772" s="17"/>
      <c r="D3772" s="27"/>
      <c r="E3772" s="18"/>
      <c r="F3772" s="18"/>
      <c r="G3772" s="18"/>
      <c r="H3772" s="30" t="str">
        <f t="shared" si="406"/>
        <v/>
      </c>
      <c r="I3772" s="31" t="str">
        <f>IF(OR(B3772="",C3772=""),"",IFERROR(E3772*IF(E3772="",0,VLOOKUP(C3772,'📦 Precios Proforma'!$B$5:$D$104,IF(D3772="DIA",2,3),FALSE)),0))</f>
        <v/>
      </c>
      <c r="J3772" s="31" t="str">
        <f t="shared" si="407"/>
        <v/>
      </c>
      <c r="K3772" s="31" t="str">
        <f t="shared" si="408"/>
        <v/>
      </c>
      <c r="L3772" s="31" t="str">
        <f>IF(OR(B3772="",C3772=""),"",IFERROR(E3772 / SUMIFS('📅 Resumen Diario'!$D$5:$D$504, '📅 Resumen Diario'!$B$5:$B$504, B3772, '📅 Resumen Diario'!$C$5:$C$504, D3772) * SUMIFS('📅 Resumen Diario'!$K$5:$K$504, '📅 Resumen Diario'!$B$5:$B$504, B3772, '📅 Resumen Diario'!$C$5:$C$504, D3772), 0))</f>
        <v/>
      </c>
      <c r="M3772" s="31" t="str">
        <f t="shared" si="409"/>
        <v/>
      </c>
      <c r="N3772" s="31" t="str">
        <f t="shared" si="410"/>
        <v/>
      </c>
      <c r="O3772" s="31" t="str">
        <f>IF(OR(B3772="",C3772=""),"",K3772-N3772 + IFERROR(E3772 / SUMIFS('📅 Resumen Diario'!$D$5:$D$504, '📅 Resumen Diario'!$B$5:$B$504, B3772, '📅 Resumen Diario'!$C$5:$C$504, D3772) * (SUMIFS('📋 Detalle Diario'!$E$5:$E$489, '📋 Detalle Diario'!$B$5:$B$489, B3772, '📋 Detalle Diario'!$C$5:$C$489, D3772) * 135 + SUMIFS('📋 Detalle Diario'!$I$5:$I$489, '📋 Detalle Diario'!$B$5:$B$489, B3772, '📋 Detalle Diario'!$C$5:$C$489, D3772) * 200), 0))</f>
        <v/>
      </c>
      <c r="P3772" s="32" t="str">
        <f t="shared" si="411"/>
        <v/>
      </c>
      <c r="Q3772" s="33" t="str">
        <f t="shared" si="412"/>
        <v/>
      </c>
    </row>
    <row r="3773" spans="2:17" ht="18" customHeight="1" x14ac:dyDescent="0.3">
      <c r="B3773" s="26"/>
      <c r="C3773" s="28"/>
      <c r="D3773" s="27"/>
      <c r="E3773" s="29"/>
      <c r="F3773" s="29"/>
      <c r="G3773" s="29"/>
      <c r="H3773" s="30" t="str">
        <f t="shared" si="406"/>
        <v/>
      </c>
      <c r="I3773" s="31" t="str">
        <f>IF(OR(B3773="",C3773=""),"",IFERROR(E3773*IF(E3773="",0,VLOOKUP(C3773,'📦 Precios Proforma'!$B$5:$D$104,IF(D3773="DIA",2,3),FALSE)),0))</f>
        <v/>
      </c>
      <c r="J3773" s="31" t="str">
        <f t="shared" si="407"/>
        <v/>
      </c>
      <c r="K3773" s="31" t="str">
        <f t="shared" si="408"/>
        <v/>
      </c>
      <c r="L3773" s="31" t="str">
        <f>IF(OR(B3773="",C3773=""),"",IFERROR(E3773 / SUMIFS('📅 Resumen Diario'!$D$5:$D$504, '📅 Resumen Diario'!$B$5:$B$504, B3773, '📅 Resumen Diario'!$C$5:$C$504, D3773) * SUMIFS('📅 Resumen Diario'!$K$5:$K$504, '📅 Resumen Diario'!$B$5:$B$504, B3773, '📅 Resumen Diario'!$C$5:$C$504, D3773), 0))</f>
        <v/>
      </c>
      <c r="M3773" s="31" t="str">
        <f t="shared" si="409"/>
        <v/>
      </c>
      <c r="N3773" s="31" t="str">
        <f t="shared" si="410"/>
        <v/>
      </c>
      <c r="O3773" s="31" t="str">
        <f>IF(OR(B3773="",C3773=""),"",K3773-N3773 + IFERROR(E3773 / SUMIFS('📅 Resumen Diario'!$D$5:$D$504, '📅 Resumen Diario'!$B$5:$B$504, B3773, '📅 Resumen Diario'!$C$5:$C$504, D3773) * (SUMIFS('📋 Detalle Diario'!$E$5:$E$489, '📋 Detalle Diario'!$B$5:$B$489, B3773, '📋 Detalle Diario'!$C$5:$C$489, D3773) * 135 + SUMIFS('📋 Detalle Diario'!$I$5:$I$489, '📋 Detalle Diario'!$B$5:$B$489, B3773, '📋 Detalle Diario'!$C$5:$C$489, D3773) * 200), 0))</f>
        <v/>
      </c>
      <c r="P3773" s="32" t="str">
        <f t="shared" si="411"/>
        <v/>
      </c>
      <c r="Q3773" s="33" t="str">
        <f t="shared" si="412"/>
        <v/>
      </c>
    </row>
    <row r="3774" spans="2:17" ht="18" customHeight="1" x14ac:dyDescent="0.3">
      <c r="B3774" s="26"/>
      <c r="C3774" s="17"/>
      <c r="D3774" s="27"/>
      <c r="E3774" s="18"/>
      <c r="F3774" s="18"/>
      <c r="G3774" s="18"/>
      <c r="H3774" s="30" t="str">
        <f t="shared" si="406"/>
        <v/>
      </c>
      <c r="I3774" s="31" t="str">
        <f>IF(OR(B3774="",C3774=""),"",IFERROR(E3774*IF(E3774="",0,VLOOKUP(C3774,'📦 Precios Proforma'!$B$5:$D$104,IF(D3774="DIA",2,3),FALSE)),0))</f>
        <v/>
      </c>
      <c r="J3774" s="31" t="str">
        <f t="shared" si="407"/>
        <v/>
      </c>
      <c r="K3774" s="31" t="str">
        <f t="shared" si="408"/>
        <v/>
      </c>
      <c r="L3774" s="31" t="str">
        <f>IF(OR(B3774="",C3774=""),"",IFERROR(E3774 / SUMIFS('📅 Resumen Diario'!$D$5:$D$504, '📅 Resumen Diario'!$B$5:$B$504, B3774, '📅 Resumen Diario'!$C$5:$C$504, D3774) * SUMIFS('📅 Resumen Diario'!$K$5:$K$504, '📅 Resumen Diario'!$B$5:$B$504, B3774, '📅 Resumen Diario'!$C$5:$C$504, D3774), 0))</f>
        <v/>
      </c>
      <c r="M3774" s="31" t="str">
        <f t="shared" si="409"/>
        <v/>
      </c>
      <c r="N3774" s="31" t="str">
        <f t="shared" si="410"/>
        <v/>
      </c>
      <c r="O3774" s="31" t="str">
        <f>IF(OR(B3774="",C3774=""),"",K3774-N3774 + IFERROR(E3774 / SUMIFS('📅 Resumen Diario'!$D$5:$D$504, '📅 Resumen Diario'!$B$5:$B$504, B3774, '📅 Resumen Diario'!$C$5:$C$504, D3774) * (SUMIFS('📋 Detalle Diario'!$E$5:$E$489, '📋 Detalle Diario'!$B$5:$B$489, B3774, '📋 Detalle Diario'!$C$5:$C$489, D3774) * 135 + SUMIFS('📋 Detalle Diario'!$I$5:$I$489, '📋 Detalle Diario'!$B$5:$B$489, B3774, '📋 Detalle Diario'!$C$5:$C$489, D3774) * 200), 0))</f>
        <v/>
      </c>
      <c r="P3774" s="32" t="str">
        <f t="shared" si="411"/>
        <v/>
      </c>
      <c r="Q3774" s="33" t="str">
        <f t="shared" si="412"/>
        <v/>
      </c>
    </row>
    <row r="3775" spans="2:17" ht="18" customHeight="1" x14ac:dyDescent="0.3">
      <c r="B3775" s="26"/>
      <c r="C3775" s="28"/>
      <c r="D3775" s="27"/>
      <c r="E3775" s="29"/>
      <c r="F3775" s="29"/>
      <c r="G3775" s="29"/>
      <c r="H3775" s="30" t="str">
        <f t="shared" si="406"/>
        <v/>
      </c>
      <c r="I3775" s="31" t="str">
        <f>IF(OR(B3775="",C3775=""),"",IFERROR(E3775*IF(E3775="",0,VLOOKUP(C3775,'📦 Precios Proforma'!$B$5:$D$104,IF(D3775="DIA",2,3),FALSE)),0))</f>
        <v/>
      </c>
      <c r="J3775" s="31" t="str">
        <f t="shared" si="407"/>
        <v/>
      </c>
      <c r="K3775" s="31" t="str">
        <f t="shared" si="408"/>
        <v/>
      </c>
      <c r="L3775" s="31" t="str">
        <f>IF(OR(B3775="",C3775=""),"",IFERROR(E3775 / SUMIFS('📅 Resumen Diario'!$D$5:$D$504, '📅 Resumen Diario'!$B$5:$B$504, B3775, '📅 Resumen Diario'!$C$5:$C$504, D3775) * SUMIFS('📅 Resumen Diario'!$K$5:$K$504, '📅 Resumen Diario'!$B$5:$B$504, B3775, '📅 Resumen Diario'!$C$5:$C$504, D3775), 0))</f>
        <v/>
      </c>
      <c r="M3775" s="31" t="str">
        <f t="shared" si="409"/>
        <v/>
      </c>
      <c r="N3775" s="31" t="str">
        <f t="shared" si="410"/>
        <v/>
      </c>
      <c r="O3775" s="31" t="str">
        <f>IF(OR(B3775="",C3775=""),"",K3775-N3775 + IFERROR(E3775 / SUMIFS('📅 Resumen Diario'!$D$5:$D$504, '📅 Resumen Diario'!$B$5:$B$504, B3775, '📅 Resumen Diario'!$C$5:$C$504, D3775) * (SUMIFS('📋 Detalle Diario'!$E$5:$E$489, '📋 Detalle Diario'!$B$5:$B$489, B3775, '📋 Detalle Diario'!$C$5:$C$489, D3775) * 135 + SUMIFS('📋 Detalle Diario'!$I$5:$I$489, '📋 Detalle Diario'!$B$5:$B$489, B3775, '📋 Detalle Diario'!$C$5:$C$489, D3775) * 200), 0))</f>
        <v/>
      </c>
      <c r="P3775" s="32" t="str">
        <f t="shared" si="411"/>
        <v/>
      </c>
      <c r="Q3775" s="33" t="str">
        <f t="shared" si="412"/>
        <v/>
      </c>
    </row>
    <row r="3776" spans="2:17" ht="18" customHeight="1" x14ac:dyDescent="0.3">
      <c r="B3776" s="26"/>
      <c r="C3776" s="17"/>
      <c r="D3776" s="27"/>
      <c r="E3776" s="18"/>
      <c r="F3776" s="18"/>
      <c r="G3776" s="18"/>
      <c r="H3776" s="30" t="str">
        <f t="shared" si="406"/>
        <v/>
      </c>
      <c r="I3776" s="31" t="str">
        <f>IF(OR(B3776="",C3776=""),"",IFERROR(E3776*IF(E3776="",0,VLOOKUP(C3776,'📦 Precios Proforma'!$B$5:$D$104,IF(D3776="DIA",2,3),FALSE)),0))</f>
        <v/>
      </c>
      <c r="J3776" s="31" t="str">
        <f t="shared" si="407"/>
        <v/>
      </c>
      <c r="K3776" s="31" t="str">
        <f t="shared" si="408"/>
        <v/>
      </c>
      <c r="L3776" s="31" t="str">
        <f>IF(OR(B3776="",C3776=""),"",IFERROR(E3776 / SUMIFS('📅 Resumen Diario'!$D$5:$D$504, '📅 Resumen Diario'!$B$5:$B$504, B3776, '📅 Resumen Diario'!$C$5:$C$504, D3776) * SUMIFS('📅 Resumen Diario'!$K$5:$K$504, '📅 Resumen Diario'!$B$5:$B$504, B3776, '📅 Resumen Diario'!$C$5:$C$504, D3776), 0))</f>
        <v/>
      </c>
      <c r="M3776" s="31" t="str">
        <f t="shared" si="409"/>
        <v/>
      </c>
      <c r="N3776" s="31" t="str">
        <f t="shared" si="410"/>
        <v/>
      </c>
      <c r="O3776" s="31" t="str">
        <f>IF(OR(B3776="",C3776=""),"",K3776-N3776 + IFERROR(E3776 / SUMIFS('📅 Resumen Diario'!$D$5:$D$504, '📅 Resumen Diario'!$B$5:$B$504, B3776, '📅 Resumen Diario'!$C$5:$C$504, D3776) * (SUMIFS('📋 Detalle Diario'!$E$5:$E$489, '📋 Detalle Diario'!$B$5:$B$489, B3776, '📋 Detalle Diario'!$C$5:$C$489, D3776) * 135 + SUMIFS('📋 Detalle Diario'!$I$5:$I$489, '📋 Detalle Diario'!$B$5:$B$489, B3776, '📋 Detalle Diario'!$C$5:$C$489, D3776) * 200), 0))</f>
        <v/>
      </c>
      <c r="P3776" s="32" t="str">
        <f t="shared" si="411"/>
        <v/>
      </c>
      <c r="Q3776" s="33" t="str">
        <f t="shared" si="412"/>
        <v/>
      </c>
    </row>
    <row r="3777" spans="2:17" ht="18" customHeight="1" x14ac:dyDescent="0.3">
      <c r="B3777" s="26"/>
      <c r="C3777" s="28"/>
      <c r="D3777" s="27"/>
      <c r="E3777" s="29"/>
      <c r="F3777" s="29"/>
      <c r="G3777" s="29"/>
      <c r="H3777" s="30" t="str">
        <f t="shared" si="406"/>
        <v/>
      </c>
      <c r="I3777" s="31" t="str">
        <f>IF(OR(B3777="",C3777=""),"",IFERROR(E3777*IF(E3777="",0,VLOOKUP(C3777,'📦 Precios Proforma'!$B$5:$D$104,IF(D3777="DIA",2,3),FALSE)),0))</f>
        <v/>
      </c>
      <c r="J3777" s="31" t="str">
        <f t="shared" si="407"/>
        <v/>
      </c>
      <c r="K3777" s="31" t="str">
        <f t="shared" si="408"/>
        <v/>
      </c>
      <c r="L3777" s="31" t="str">
        <f>IF(OR(B3777="",C3777=""),"",IFERROR(E3777 / SUMIFS('📅 Resumen Diario'!$D$5:$D$504, '📅 Resumen Diario'!$B$5:$B$504, B3777, '📅 Resumen Diario'!$C$5:$C$504, D3777) * SUMIFS('📅 Resumen Diario'!$K$5:$K$504, '📅 Resumen Diario'!$B$5:$B$504, B3777, '📅 Resumen Diario'!$C$5:$C$504, D3777), 0))</f>
        <v/>
      </c>
      <c r="M3777" s="31" t="str">
        <f t="shared" si="409"/>
        <v/>
      </c>
      <c r="N3777" s="31" t="str">
        <f t="shared" si="410"/>
        <v/>
      </c>
      <c r="O3777" s="31" t="str">
        <f>IF(OR(B3777="",C3777=""),"",K3777-N3777 + IFERROR(E3777 / SUMIFS('📅 Resumen Diario'!$D$5:$D$504, '📅 Resumen Diario'!$B$5:$B$504, B3777, '📅 Resumen Diario'!$C$5:$C$504, D3777) * (SUMIFS('📋 Detalle Diario'!$E$5:$E$489, '📋 Detalle Diario'!$B$5:$B$489, B3777, '📋 Detalle Diario'!$C$5:$C$489, D3777) * 135 + SUMIFS('📋 Detalle Diario'!$I$5:$I$489, '📋 Detalle Diario'!$B$5:$B$489, B3777, '📋 Detalle Diario'!$C$5:$C$489, D3777) * 200), 0))</f>
        <v/>
      </c>
      <c r="P3777" s="32" t="str">
        <f t="shared" si="411"/>
        <v/>
      </c>
      <c r="Q3777" s="33" t="str">
        <f t="shared" si="412"/>
        <v/>
      </c>
    </row>
    <row r="3778" spans="2:17" ht="18" customHeight="1" x14ac:dyDescent="0.3">
      <c r="B3778" s="26"/>
      <c r="C3778" s="17"/>
      <c r="D3778" s="27"/>
      <c r="E3778" s="18"/>
      <c r="F3778" s="18"/>
      <c r="G3778" s="18"/>
      <c r="H3778" s="30" t="str">
        <f t="shared" si="406"/>
        <v/>
      </c>
      <c r="I3778" s="31" t="str">
        <f>IF(OR(B3778="",C3778=""),"",IFERROR(E3778*IF(E3778="",0,VLOOKUP(C3778,'📦 Precios Proforma'!$B$5:$D$104,IF(D3778="DIA",2,3),FALSE)),0))</f>
        <v/>
      </c>
      <c r="J3778" s="31" t="str">
        <f t="shared" si="407"/>
        <v/>
      </c>
      <c r="K3778" s="31" t="str">
        <f t="shared" si="408"/>
        <v/>
      </c>
      <c r="L3778" s="31" t="str">
        <f>IF(OR(B3778="",C3778=""),"",IFERROR(E3778 / SUMIFS('📅 Resumen Diario'!$D$5:$D$504, '📅 Resumen Diario'!$B$5:$B$504, B3778, '📅 Resumen Diario'!$C$5:$C$504, D3778) * SUMIFS('📅 Resumen Diario'!$K$5:$K$504, '📅 Resumen Diario'!$B$5:$B$504, B3778, '📅 Resumen Diario'!$C$5:$C$504, D3778), 0))</f>
        <v/>
      </c>
      <c r="M3778" s="31" t="str">
        <f t="shared" si="409"/>
        <v/>
      </c>
      <c r="N3778" s="31" t="str">
        <f t="shared" si="410"/>
        <v/>
      </c>
      <c r="O3778" s="31" t="str">
        <f>IF(OR(B3778="",C3778=""),"",K3778-N3778 + IFERROR(E3778 / SUMIFS('📅 Resumen Diario'!$D$5:$D$504, '📅 Resumen Diario'!$B$5:$B$504, B3778, '📅 Resumen Diario'!$C$5:$C$504, D3778) * (SUMIFS('📋 Detalle Diario'!$E$5:$E$489, '📋 Detalle Diario'!$B$5:$B$489, B3778, '📋 Detalle Diario'!$C$5:$C$489, D3778) * 135 + SUMIFS('📋 Detalle Diario'!$I$5:$I$489, '📋 Detalle Diario'!$B$5:$B$489, B3778, '📋 Detalle Diario'!$C$5:$C$489, D3778) * 200), 0))</f>
        <v/>
      </c>
      <c r="P3778" s="32" t="str">
        <f t="shared" si="411"/>
        <v/>
      </c>
      <c r="Q3778" s="33" t="str">
        <f t="shared" si="412"/>
        <v/>
      </c>
    </row>
    <row r="3779" spans="2:17" ht="18" customHeight="1" x14ac:dyDescent="0.3">
      <c r="B3779" s="26"/>
      <c r="C3779" s="28"/>
      <c r="D3779" s="27"/>
      <c r="E3779" s="29"/>
      <c r="F3779" s="29"/>
      <c r="G3779" s="29"/>
      <c r="H3779" s="30" t="str">
        <f t="shared" si="406"/>
        <v/>
      </c>
      <c r="I3779" s="31" t="str">
        <f>IF(OR(B3779="",C3779=""),"",IFERROR(E3779*IF(E3779="",0,VLOOKUP(C3779,'📦 Precios Proforma'!$B$5:$D$104,IF(D3779="DIA",2,3),FALSE)),0))</f>
        <v/>
      </c>
      <c r="J3779" s="31" t="str">
        <f t="shared" si="407"/>
        <v/>
      </c>
      <c r="K3779" s="31" t="str">
        <f t="shared" si="408"/>
        <v/>
      </c>
      <c r="L3779" s="31" t="str">
        <f>IF(OR(B3779="",C3779=""),"",IFERROR(E3779 / SUMIFS('📅 Resumen Diario'!$D$5:$D$504, '📅 Resumen Diario'!$B$5:$B$504, B3779, '📅 Resumen Diario'!$C$5:$C$504, D3779) * SUMIFS('📅 Resumen Diario'!$K$5:$K$504, '📅 Resumen Diario'!$B$5:$B$504, B3779, '📅 Resumen Diario'!$C$5:$C$504, D3779), 0))</f>
        <v/>
      </c>
      <c r="M3779" s="31" t="str">
        <f t="shared" si="409"/>
        <v/>
      </c>
      <c r="N3779" s="31" t="str">
        <f t="shared" si="410"/>
        <v/>
      </c>
      <c r="O3779" s="31" t="str">
        <f>IF(OR(B3779="",C3779=""),"",K3779-N3779 + IFERROR(E3779 / SUMIFS('📅 Resumen Diario'!$D$5:$D$504, '📅 Resumen Diario'!$B$5:$B$504, B3779, '📅 Resumen Diario'!$C$5:$C$504, D3779) * (SUMIFS('📋 Detalle Diario'!$E$5:$E$489, '📋 Detalle Diario'!$B$5:$B$489, B3779, '📋 Detalle Diario'!$C$5:$C$489, D3779) * 135 + SUMIFS('📋 Detalle Diario'!$I$5:$I$489, '📋 Detalle Diario'!$B$5:$B$489, B3779, '📋 Detalle Diario'!$C$5:$C$489, D3779) * 200), 0))</f>
        <v/>
      </c>
      <c r="P3779" s="32" t="str">
        <f t="shared" si="411"/>
        <v/>
      </c>
      <c r="Q3779" s="33" t="str">
        <f t="shared" si="412"/>
        <v/>
      </c>
    </row>
    <row r="3780" spans="2:17" ht="18" customHeight="1" x14ac:dyDescent="0.3">
      <c r="B3780" s="26"/>
      <c r="C3780" s="17"/>
      <c r="D3780" s="27"/>
      <c r="E3780" s="18"/>
      <c r="F3780" s="18"/>
      <c r="G3780" s="18"/>
      <c r="H3780" s="30" t="str">
        <f t="shared" si="406"/>
        <v/>
      </c>
      <c r="I3780" s="31" t="str">
        <f>IF(OR(B3780="",C3780=""),"",IFERROR(E3780*IF(E3780="",0,VLOOKUP(C3780,'📦 Precios Proforma'!$B$5:$D$104,IF(D3780="DIA",2,3),FALSE)),0))</f>
        <v/>
      </c>
      <c r="J3780" s="31" t="str">
        <f t="shared" si="407"/>
        <v/>
      </c>
      <c r="K3780" s="31" t="str">
        <f t="shared" si="408"/>
        <v/>
      </c>
      <c r="L3780" s="31" t="str">
        <f>IF(OR(B3780="",C3780=""),"",IFERROR(E3780 / SUMIFS('📅 Resumen Diario'!$D$5:$D$504, '📅 Resumen Diario'!$B$5:$B$504, B3780, '📅 Resumen Diario'!$C$5:$C$504, D3780) * SUMIFS('📅 Resumen Diario'!$K$5:$K$504, '📅 Resumen Diario'!$B$5:$B$504, B3780, '📅 Resumen Diario'!$C$5:$C$504, D3780), 0))</f>
        <v/>
      </c>
      <c r="M3780" s="31" t="str">
        <f t="shared" si="409"/>
        <v/>
      </c>
      <c r="N3780" s="31" t="str">
        <f t="shared" si="410"/>
        <v/>
      </c>
      <c r="O3780" s="31" t="str">
        <f>IF(OR(B3780="",C3780=""),"",K3780-N3780 + IFERROR(E3780 / SUMIFS('📅 Resumen Diario'!$D$5:$D$504, '📅 Resumen Diario'!$B$5:$B$504, B3780, '📅 Resumen Diario'!$C$5:$C$504, D3780) * (SUMIFS('📋 Detalle Diario'!$E$5:$E$489, '📋 Detalle Diario'!$B$5:$B$489, B3780, '📋 Detalle Diario'!$C$5:$C$489, D3780) * 135 + SUMIFS('📋 Detalle Diario'!$I$5:$I$489, '📋 Detalle Diario'!$B$5:$B$489, B3780, '📋 Detalle Diario'!$C$5:$C$489, D3780) * 200), 0))</f>
        <v/>
      </c>
      <c r="P3780" s="32" t="str">
        <f t="shared" si="411"/>
        <v/>
      </c>
      <c r="Q3780" s="33" t="str">
        <f t="shared" si="412"/>
        <v/>
      </c>
    </row>
    <row r="3781" spans="2:17" ht="18" customHeight="1" x14ac:dyDescent="0.3">
      <c r="B3781" s="26"/>
      <c r="C3781" s="28"/>
      <c r="D3781" s="27"/>
      <c r="E3781" s="29"/>
      <c r="F3781" s="29"/>
      <c r="G3781" s="29"/>
      <c r="H3781" s="30" t="str">
        <f t="shared" si="406"/>
        <v/>
      </c>
      <c r="I3781" s="31" t="str">
        <f>IF(OR(B3781="",C3781=""),"",IFERROR(E3781*IF(E3781="",0,VLOOKUP(C3781,'📦 Precios Proforma'!$B$5:$D$104,IF(D3781="DIA",2,3),FALSE)),0))</f>
        <v/>
      </c>
      <c r="J3781" s="31" t="str">
        <f t="shared" si="407"/>
        <v/>
      </c>
      <c r="K3781" s="31" t="str">
        <f t="shared" si="408"/>
        <v/>
      </c>
      <c r="L3781" s="31" t="str">
        <f>IF(OR(B3781="",C3781=""),"",IFERROR(E3781 / SUMIFS('📅 Resumen Diario'!$D$5:$D$504, '📅 Resumen Diario'!$B$5:$B$504, B3781, '📅 Resumen Diario'!$C$5:$C$504, D3781) * SUMIFS('📅 Resumen Diario'!$K$5:$K$504, '📅 Resumen Diario'!$B$5:$B$504, B3781, '📅 Resumen Diario'!$C$5:$C$504, D3781), 0))</f>
        <v/>
      </c>
      <c r="M3781" s="31" t="str">
        <f t="shared" si="409"/>
        <v/>
      </c>
      <c r="N3781" s="31" t="str">
        <f t="shared" si="410"/>
        <v/>
      </c>
      <c r="O3781" s="31" t="str">
        <f>IF(OR(B3781="",C3781=""),"",K3781-N3781 + IFERROR(E3781 / SUMIFS('📅 Resumen Diario'!$D$5:$D$504, '📅 Resumen Diario'!$B$5:$B$504, B3781, '📅 Resumen Diario'!$C$5:$C$504, D3781) * (SUMIFS('📋 Detalle Diario'!$E$5:$E$489, '📋 Detalle Diario'!$B$5:$B$489, B3781, '📋 Detalle Diario'!$C$5:$C$489, D3781) * 135 + SUMIFS('📋 Detalle Diario'!$I$5:$I$489, '📋 Detalle Diario'!$B$5:$B$489, B3781, '📋 Detalle Diario'!$C$5:$C$489, D3781) * 200), 0))</f>
        <v/>
      </c>
      <c r="P3781" s="32" t="str">
        <f t="shared" si="411"/>
        <v/>
      </c>
      <c r="Q3781" s="33" t="str">
        <f t="shared" si="412"/>
        <v/>
      </c>
    </row>
    <row r="3782" spans="2:17" ht="18" customHeight="1" x14ac:dyDescent="0.3">
      <c r="B3782" s="26"/>
      <c r="C3782" s="17"/>
      <c r="D3782" s="27"/>
      <c r="E3782" s="18"/>
      <c r="F3782" s="18"/>
      <c r="G3782" s="18"/>
      <c r="H3782" s="30" t="str">
        <f t="shared" si="406"/>
        <v/>
      </c>
      <c r="I3782" s="31" t="str">
        <f>IF(OR(B3782="",C3782=""),"",IFERROR(E3782*IF(E3782="",0,VLOOKUP(C3782,'📦 Precios Proforma'!$B$5:$D$104,IF(D3782="DIA",2,3),FALSE)),0))</f>
        <v/>
      </c>
      <c r="J3782" s="31" t="str">
        <f t="shared" si="407"/>
        <v/>
      </c>
      <c r="K3782" s="31" t="str">
        <f t="shared" si="408"/>
        <v/>
      </c>
      <c r="L3782" s="31" t="str">
        <f>IF(OR(B3782="",C3782=""),"",IFERROR(E3782 / SUMIFS('📅 Resumen Diario'!$D$5:$D$504, '📅 Resumen Diario'!$B$5:$B$504, B3782, '📅 Resumen Diario'!$C$5:$C$504, D3782) * SUMIFS('📅 Resumen Diario'!$K$5:$K$504, '📅 Resumen Diario'!$B$5:$B$504, B3782, '📅 Resumen Diario'!$C$5:$C$504, D3782), 0))</f>
        <v/>
      </c>
      <c r="M3782" s="31" t="str">
        <f t="shared" si="409"/>
        <v/>
      </c>
      <c r="N3782" s="31" t="str">
        <f t="shared" si="410"/>
        <v/>
      </c>
      <c r="O3782" s="31" t="str">
        <f>IF(OR(B3782="",C3782=""),"",K3782-N3782 + IFERROR(E3782 / SUMIFS('📅 Resumen Diario'!$D$5:$D$504, '📅 Resumen Diario'!$B$5:$B$504, B3782, '📅 Resumen Diario'!$C$5:$C$504, D3782) * (SUMIFS('📋 Detalle Diario'!$E$5:$E$489, '📋 Detalle Diario'!$B$5:$B$489, B3782, '📋 Detalle Diario'!$C$5:$C$489, D3782) * 135 + SUMIFS('📋 Detalle Diario'!$I$5:$I$489, '📋 Detalle Diario'!$B$5:$B$489, B3782, '📋 Detalle Diario'!$C$5:$C$489, D3782) * 200), 0))</f>
        <v/>
      </c>
      <c r="P3782" s="32" t="str">
        <f t="shared" si="411"/>
        <v/>
      </c>
      <c r="Q3782" s="33" t="str">
        <f t="shared" si="412"/>
        <v/>
      </c>
    </row>
    <row r="3783" spans="2:17" ht="18" customHeight="1" x14ac:dyDescent="0.3">
      <c r="B3783" s="26"/>
      <c r="C3783" s="28"/>
      <c r="D3783" s="27"/>
      <c r="E3783" s="29"/>
      <c r="F3783" s="29"/>
      <c r="G3783" s="29"/>
      <c r="H3783" s="30" t="str">
        <f t="shared" ref="H3783:H3846" si="413">IF(OR(B3783="",C3783=""),"",F3783+G3783)</f>
        <v/>
      </c>
      <c r="I3783" s="31" t="str">
        <f>IF(OR(B3783="",C3783=""),"",IFERROR(E3783*IF(E3783="",0,VLOOKUP(C3783,'📦 Precios Proforma'!$B$5:$D$104,IF(D3783="DIA",2,3),FALSE)),0))</f>
        <v/>
      </c>
      <c r="J3783" s="31" t="str">
        <f t="shared" ref="J3783:J3846" si="414">IF(OR(B3783="",C3783=""),"",IF(D3783="DIA",H3783*1.01,H3783*1.35))</f>
        <v/>
      </c>
      <c r="K3783" s="31" t="str">
        <f t="shared" ref="K3783:K3846" si="415">IF(OR(B3783="",C3783=""),"",I3783+J3783)</f>
        <v/>
      </c>
      <c r="L3783" s="31" t="str">
        <f>IF(OR(B3783="",C3783=""),"",IFERROR(E3783 / SUMIFS('📅 Resumen Diario'!$D$5:$D$504, '📅 Resumen Diario'!$B$5:$B$504, B3783, '📅 Resumen Diario'!$C$5:$C$504, D3783) * SUMIFS('📅 Resumen Diario'!$K$5:$K$504, '📅 Resumen Diario'!$B$5:$B$504, B3783, '📅 Resumen Diario'!$C$5:$C$504, D3783), 0))</f>
        <v/>
      </c>
      <c r="M3783" s="31" t="str">
        <f t="shared" ref="M3783:M3846" si="416">IF(OR(B3783="",C3783=""),"",H3783*0.09)</f>
        <v/>
      </c>
      <c r="N3783" s="31" t="str">
        <f t="shared" ref="N3783:N3846" si="417">IF(OR(B3783="",C3783=""),"",L3783+M3783)</f>
        <v/>
      </c>
      <c r="O3783" s="31" t="str">
        <f>IF(OR(B3783="",C3783=""),"",K3783-N3783 + IFERROR(E3783 / SUMIFS('📅 Resumen Diario'!$D$5:$D$504, '📅 Resumen Diario'!$B$5:$B$504, B3783, '📅 Resumen Diario'!$C$5:$C$504, D3783) * (SUMIFS('📋 Detalle Diario'!$E$5:$E$489, '📋 Detalle Diario'!$B$5:$B$489, B3783, '📋 Detalle Diario'!$C$5:$C$489, D3783) * 135 + SUMIFS('📋 Detalle Diario'!$I$5:$I$489, '📋 Detalle Diario'!$B$5:$B$489, B3783, '📋 Detalle Diario'!$C$5:$C$489, D3783) * 200), 0))</f>
        <v/>
      </c>
      <c r="P3783" s="32" t="str">
        <f t="shared" ref="P3783:P3846" si="418">IF(OR(B3783="",C3783=""),"",IF(K3783=0, 0, O3783/K3783))</f>
        <v/>
      </c>
      <c r="Q3783" s="33" t="str">
        <f t="shared" ref="Q3783:Q3846" si="419">IF(B3783="","",IF(ISNUMBER(B3783),YEAR(B3783)&amp;"-"&amp;IF(MONTH(B3783)&lt;10,"0","")&amp;MONTH(B3783),LEFT(B3783,7)))</f>
        <v/>
      </c>
    </row>
    <row r="3784" spans="2:17" ht="18" customHeight="1" x14ac:dyDescent="0.3">
      <c r="B3784" s="26"/>
      <c r="C3784" s="17"/>
      <c r="D3784" s="27"/>
      <c r="E3784" s="18"/>
      <c r="F3784" s="18"/>
      <c r="G3784" s="18"/>
      <c r="H3784" s="30" t="str">
        <f t="shared" si="413"/>
        <v/>
      </c>
      <c r="I3784" s="31" t="str">
        <f>IF(OR(B3784="",C3784=""),"",IFERROR(E3784*IF(E3784="",0,VLOOKUP(C3784,'📦 Precios Proforma'!$B$5:$D$104,IF(D3784="DIA",2,3),FALSE)),0))</f>
        <v/>
      </c>
      <c r="J3784" s="31" t="str">
        <f t="shared" si="414"/>
        <v/>
      </c>
      <c r="K3784" s="31" t="str">
        <f t="shared" si="415"/>
        <v/>
      </c>
      <c r="L3784" s="31" t="str">
        <f>IF(OR(B3784="",C3784=""),"",IFERROR(E3784 / SUMIFS('📅 Resumen Diario'!$D$5:$D$504, '📅 Resumen Diario'!$B$5:$B$504, B3784, '📅 Resumen Diario'!$C$5:$C$504, D3784) * SUMIFS('📅 Resumen Diario'!$K$5:$K$504, '📅 Resumen Diario'!$B$5:$B$504, B3784, '📅 Resumen Diario'!$C$5:$C$504, D3784), 0))</f>
        <v/>
      </c>
      <c r="M3784" s="31" t="str">
        <f t="shared" si="416"/>
        <v/>
      </c>
      <c r="N3784" s="31" t="str">
        <f t="shared" si="417"/>
        <v/>
      </c>
      <c r="O3784" s="31" t="str">
        <f>IF(OR(B3784="",C3784=""),"",K3784-N3784 + IFERROR(E3784 / SUMIFS('📅 Resumen Diario'!$D$5:$D$504, '📅 Resumen Diario'!$B$5:$B$504, B3784, '📅 Resumen Diario'!$C$5:$C$504, D3784) * (SUMIFS('📋 Detalle Diario'!$E$5:$E$489, '📋 Detalle Diario'!$B$5:$B$489, B3784, '📋 Detalle Diario'!$C$5:$C$489, D3784) * 135 + SUMIFS('📋 Detalle Diario'!$I$5:$I$489, '📋 Detalle Diario'!$B$5:$B$489, B3784, '📋 Detalle Diario'!$C$5:$C$489, D3784) * 200), 0))</f>
        <v/>
      </c>
      <c r="P3784" s="32" t="str">
        <f t="shared" si="418"/>
        <v/>
      </c>
      <c r="Q3784" s="33" t="str">
        <f t="shared" si="419"/>
        <v/>
      </c>
    </row>
    <row r="3785" spans="2:17" ht="18" customHeight="1" x14ac:dyDescent="0.3">
      <c r="B3785" s="26"/>
      <c r="C3785" s="28"/>
      <c r="D3785" s="27"/>
      <c r="E3785" s="29"/>
      <c r="F3785" s="29"/>
      <c r="G3785" s="29"/>
      <c r="H3785" s="30" t="str">
        <f t="shared" si="413"/>
        <v/>
      </c>
      <c r="I3785" s="31" t="str">
        <f>IF(OR(B3785="",C3785=""),"",IFERROR(E3785*IF(E3785="",0,VLOOKUP(C3785,'📦 Precios Proforma'!$B$5:$D$104,IF(D3785="DIA",2,3),FALSE)),0))</f>
        <v/>
      </c>
      <c r="J3785" s="31" t="str">
        <f t="shared" si="414"/>
        <v/>
      </c>
      <c r="K3785" s="31" t="str">
        <f t="shared" si="415"/>
        <v/>
      </c>
      <c r="L3785" s="31" t="str">
        <f>IF(OR(B3785="",C3785=""),"",IFERROR(E3785 / SUMIFS('📅 Resumen Diario'!$D$5:$D$504, '📅 Resumen Diario'!$B$5:$B$504, B3785, '📅 Resumen Diario'!$C$5:$C$504, D3785) * SUMIFS('📅 Resumen Diario'!$K$5:$K$504, '📅 Resumen Diario'!$B$5:$B$504, B3785, '📅 Resumen Diario'!$C$5:$C$504, D3785), 0))</f>
        <v/>
      </c>
      <c r="M3785" s="31" t="str">
        <f t="shared" si="416"/>
        <v/>
      </c>
      <c r="N3785" s="31" t="str">
        <f t="shared" si="417"/>
        <v/>
      </c>
      <c r="O3785" s="31" t="str">
        <f>IF(OR(B3785="",C3785=""),"",K3785-N3785 + IFERROR(E3785 / SUMIFS('📅 Resumen Diario'!$D$5:$D$504, '📅 Resumen Diario'!$B$5:$B$504, B3785, '📅 Resumen Diario'!$C$5:$C$504, D3785) * (SUMIFS('📋 Detalle Diario'!$E$5:$E$489, '📋 Detalle Diario'!$B$5:$B$489, B3785, '📋 Detalle Diario'!$C$5:$C$489, D3785) * 135 + SUMIFS('📋 Detalle Diario'!$I$5:$I$489, '📋 Detalle Diario'!$B$5:$B$489, B3785, '📋 Detalle Diario'!$C$5:$C$489, D3785) * 200), 0))</f>
        <v/>
      </c>
      <c r="P3785" s="32" t="str">
        <f t="shared" si="418"/>
        <v/>
      </c>
      <c r="Q3785" s="33" t="str">
        <f t="shared" si="419"/>
        <v/>
      </c>
    </row>
    <row r="3786" spans="2:17" ht="18" customHeight="1" x14ac:dyDescent="0.3">
      <c r="B3786" s="26"/>
      <c r="C3786" s="17"/>
      <c r="D3786" s="27"/>
      <c r="E3786" s="18"/>
      <c r="F3786" s="18"/>
      <c r="G3786" s="18"/>
      <c r="H3786" s="30" t="str">
        <f t="shared" si="413"/>
        <v/>
      </c>
      <c r="I3786" s="31" t="str">
        <f>IF(OR(B3786="",C3786=""),"",IFERROR(E3786*IF(E3786="",0,VLOOKUP(C3786,'📦 Precios Proforma'!$B$5:$D$104,IF(D3786="DIA",2,3),FALSE)),0))</f>
        <v/>
      </c>
      <c r="J3786" s="31" t="str">
        <f t="shared" si="414"/>
        <v/>
      </c>
      <c r="K3786" s="31" t="str">
        <f t="shared" si="415"/>
        <v/>
      </c>
      <c r="L3786" s="31" t="str">
        <f>IF(OR(B3786="",C3786=""),"",IFERROR(E3786 / SUMIFS('📅 Resumen Diario'!$D$5:$D$504, '📅 Resumen Diario'!$B$5:$B$504, B3786, '📅 Resumen Diario'!$C$5:$C$504, D3786) * SUMIFS('📅 Resumen Diario'!$K$5:$K$504, '📅 Resumen Diario'!$B$5:$B$504, B3786, '📅 Resumen Diario'!$C$5:$C$504, D3786), 0))</f>
        <v/>
      </c>
      <c r="M3786" s="31" t="str">
        <f t="shared" si="416"/>
        <v/>
      </c>
      <c r="N3786" s="31" t="str">
        <f t="shared" si="417"/>
        <v/>
      </c>
      <c r="O3786" s="31" t="str">
        <f>IF(OR(B3786="",C3786=""),"",K3786-N3786 + IFERROR(E3786 / SUMIFS('📅 Resumen Diario'!$D$5:$D$504, '📅 Resumen Diario'!$B$5:$B$504, B3786, '📅 Resumen Diario'!$C$5:$C$504, D3786) * (SUMIFS('📋 Detalle Diario'!$E$5:$E$489, '📋 Detalle Diario'!$B$5:$B$489, B3786, '📋 Detalle Diario'!$C$5:$C$489, D3786) * 135 + SUMIFS('📋 Detalle Diario'!$I$5:$I$489, '📋 Detalle Diario'!$B$5:$B$489, B3786, '📋 Detalle Diario'!$C$5:$C$489, D3786) * 200), 0))</f>
        <v/>
      </c>
      <c r="P3786" s="32" t="str">
        <f t="shared" si="418"/>
        <v/>
      </c>
      <c r="Q3786" s="33" t="str">
        <f t="shared" si="419"/>
        <v/>
      </c>
    </row>
    <row r="3787" spans="2:17" ht="18" customHeight="1" x14ac:dyDescent="0.3">
      <c r="B3787" s="26"/>
      <c r="C3787" s="28"/>
      <c r="D3787" s="27"/>
      <c r="E3787" s="29"/>
      <c r="F3787" s="29"/>
      <c r="G3787" s="29"/>
      <c r="H3787" s="30" t="str">
        <f t="shared" si="413"/>
        <v/>
      </c>
      <c r="I3787" s="31" t="str">
        <f>IF(OR(B3787="",C3787=""),"",IFERROR(E3787*IF(E3787="",0,VLOOKUP(C3787,'📦 Precios Proforma'!$B$5:$D$104,IF(D3787="DIA",2,3),FALSE)),0))</f>
        <v/>
      </c>
      <c r="J3787" s="31" t="str">
        <f t="shared" si="414"/>
        <v/>
      </c>
      <c r="K3787" s="31" t="str">
        <f t="shared" si="415"/>
        <v/>
      </c>
      <c r="L3787" s="31" t="str">
        <f>IF(OR(B3787="",C3787=""),"",IFERROR(E3787 / SUMIFS('📅 Resumen Diario'!$D$5:$D$504, '📅 Resumen Diario'!$B$5:$B$504, B3787, '📅 Resumen Diario'!$C$5:$C$504, D3787) * SUMIFS('📅 Resumen Diario'!$K$5:$K$504, '📅 Resumen Diario'!$B$5:$B$504, B3787, '📅 Resumen Diario'!$C$5:$C$504, D3787), 0))</f>
        <v/>
      </c>
      <c r="M3787" s="31" t="str">
        <f t="shared" si="416"/>
        <v/>
      </c>
      <c r="N3787" s="31" t="str">
        <f t="shared" si="417"/>
        <v/>
      </c>
      <c r="O3787" s="31" t="str">
        <f>IF(OR(B3787="",C3787=""),"",K3787-N3787 + IFERROR(E3787 / SUMIFS('📅 Resumen Diario'!$D$5:$D$504, '📅 Resumen Diario'!$B$5:$B$504, B3787, '📅 Resumen Diario'!$C$5:$C$504, D3787) * (SUMIFS('📋 Detalle Diario'!$E$5:$E$489, '📋 Detalle Diario'!$B$5:$B$489, B3787, '📋 Detalle Diario'!$C$5:$C$489, D3787) * 135 + SUMIFS('📋 Detalle Diario'!$I$5:$I$489, '📋 Detalle Diario'!$B$5:$B$489, B3787, '📋 Detalle Diario'!$C$5:$C$489, D3787) * 200), 0))</f>
        <v/>
      </c>
      <c r="P3787" s="32" t="str">
        <f t="shared" si="418"/>
        <v/>
      </c>
      <c r="Q3787" s="33" t="str">
        <f t="shared" si="419"/>
        <v/>
      </c>
    </row>
    <row r="3788" spans="2:17" ht="18" customHeight="1" x14ac:dyDescent="0.3">
      <c r="B3788" s="26"/>
      <c r="C3788" s="17"/>
      <c r="D3788" s="27"/>
      <c r="E3788" s="18"/>
      <c r="F3788" s="18"/>
      <c r="G3788" s="18"/>
      <c r="H3788" s="30" t="str">
        <f t="shared" si="413"/>
        <v/>
      </c>
      <c r="I3788" s="31" t="str">
        <f>IF(OR(B3788="",C3788=""),"",IFERROR(E3788*IF(E3788="",0,VLOOKUP(C3788,'📦 Precios Proforma'!$B$5:$D$104,IF(D3788="DIA",2,3),FALSE)),0))</f>
        <v/>
      </c>
      <c r="J3788" s="31" t="str">
        <f t="shared" si="414"/>
        <v/>
      </c>
      <c r="K3788" s="31" t="str">
        <f t="shared" si="415"/>
        <v/>
      </c>
      <c r="L3788" s="31" t="str">
        <f>IF(OR(B3788="",C3788=""),"",IFERROR(E3788 / SUMIFS('📅 Resumen Diario'!$D$5:$D$504, '📅 Resumen Diario'!$B$5:$B$504, B3788, '📅 Resumen Diario'!$C$5:$C$504, D3788) * SUMIFS('📅 Resumen Diario'!$K$5:$K$504, '📅 Resumen Diario'!$B$5:$B$504, B3788, '📅 Resumen Diario'!$C$5:$C$504, D3788), 0))</f>
        <v/>
      </c>
      <c r="M3788" s="31" t="str">
        <f t="shared" si="416"/>
        <v/>
      </c>
      <c r="N3788" s="31" t="str">
        <f t="shared" si="417"/>
        <v/>
      </c>
      <c r="O3788" s="31" t="str">
        <f>IF(OR(B3788="",C3788=""),"",K3788-N3788 + IFERROR(E3788 / SUMIFS('📅 Resumen Diario'!$D$5:$D$504, '📅 Resumen Diario'!$B$5:$B$504, B3788, '📅 Resumen Diario'!$C$5:$C$504, D3788) * (SUMIFS('📋 Detalle Diario'!$E$5:$E$489, '📋 Detalle Diario'!$B$5:$B$489, B3788, '📋 Detalle Diario'!$C$5:$C$489, D3788) * 135 + SUMIFS('📋 Detalle Diario'!$I$5:$I$489, '📋 Detalle Diario'!$B$5:$B$489, B3788, '📋 Detalle Diario'!$C$5:$C$489, D3788) * 200), 0))</f>
        <v/>
      </c>
      <c r="P3788" s="32" t="str">
        <f t="shared" si="418"/>
        <v/>
      </c>
      <c r="Q3788" s="33" t="str">
        <f t="shared" si="419"/>
        <v/>
      </c>
    </row>
    <row r="3789" spans="2:17" ht="18" customHeight="1" x14ac:dyDescent="0.3">
      <c r="B3789" s="26"/>
      <c r="C3789" s="28"/>
      <c r="D3789" s="27"/>
      <c r="E3789" s="29"/>
      <c r="F3789" s="29"/>
      <c r="G3789" s="29"/>
      <c r="H3789" s="30" t="str">
        <f t="shared" si="413"/>
        <v/>
      </c>
      <c r="I3789" s="31" t="str">
        <f>IF(OR(B3789="",C3789=""),"",IFERROR(E3789*IF(E3789="",0,VLOOKUP(C3789,'📦 Precios Proforma'!$B$5:$D$104,IF(D3789="DIA",2,3),FALSE)),0))</f>
        <v/>
      </c>
      <c r="J3789" s="31" t="str">
        <f t="shared" si="414"/>
        <v/>
      </c>
      <c r="K3789" s="31" t="str">
        <f t="shared" si="415"/>
        <v/>
      </c>
      <c r="L3789" s="31" t="str">
        <f>IF(OR(B3789="",C3789=""),"",IFERROR(E3789 / SUMIFS('📅 Resumen Diario'!$D$5:$D$504, '📅 Resumen Diario'!$B$5:$B$504, B3789, '📅 Resumen Diario'!$C$5:$C$504, D3789) * SUMIFS('📅 Resumen Diario'!$K$5:$K$504, '📅 Resumen Diario'!$B$5:$B$504, B3789, '📅 Resumen Diario'!$C$5:$C$504, D3789), 0))</f>
        <v/>
      </c>
      <c r="M3789" s="31" t="str">
        <f t="shared" si="416"/>
        <v/>
      </c>
      <c r="N3789" s="31" t="str">
        <f t="shared" si="417"/>
        <v/>
      </c>
      <c r="O3789" s="31" t="str">
        <f>IF(OR(B3789="",C3789=""),"",K3789-N3789 + IFERROR(E3789 / SUMIFS('📅 Resumen Diario'!$D$5:$D$504, '📅 Resumen Diario'!$B$5:$B$504, B3789, '📅 Resumen Diario'!$C$5:$C$504, D3789) * (SUMIFS('📋 Detalle Diario'!$E$5:$E$489, '📋 Detalle Diario'!$B$5:$B$489, B3789, '📋 Detalle Diario'!$C$5:$C$489, D3789) * 135 + SUMIFS('📋 Detalle Diario'!$I$5:$I$489, '📋 Detalle Diario'!$B$5:$B$489, B3789, '📋 Detalle Diario'!$C$5:$C$489, D3789) * 200), 0))</f>
        <v/>
      </c>
      <c r="P3789" s="32" t="str">
        <f t="shared" si="418"/>
        <v/>
      </c>
      <c r="Q3789" s="33" t="str">
        <f t="shared" si="419"/>
        <v/>
      </c>
    </row>
    <row r="3790" spans="2:17" ht="18" customHeight="1" x14ac:dyDescent="0.3">
      <c r="B3790" s="26"/>
      <c r="C3790" s="17"/>
      <c r="D3790" s="27"/>
      <c r="E3790" s="18"/>
      <c r="F3790" s="18"/>
      <c r="G3790" s="18"/>
      <c r="H3790" s="30" t="str">
        <f t="shared" si="413"/>
        <v/>
      </c>
      <c r="I3790" s="31" t="str">
        <f>IF(OR(B3790="",C3790=""),"",IFERROR(E3790*IF(E3790="",0,VLOOKUP(C3790,'📦 Precios Proforma'!$B$5:$D$104,IF(D3790="DIA",2,3),FALSE)),0))</f>
        <v/>
      </c>
      <c r="J3790" s="31" t="str">
        <f t="shared" si="414"/>
        <v/>
      </c>
      <c r="K3790" s="31" t="str">
        <f t="shared" si="415"/>
        <v/>
      </c>
      <c r="L3790" s="31" t="str">
        <f>IF(OR(B3790="",C3790=""),"",IFERROR(E3790 / SUMIFS('📅 Resumen Diario'!$D$5:$D$504, '📅 Resumen Diario'!$B$5:$B$504, B3790, '📅 Resumen Diario'!$C$5:$C$504, D3790) * SUMIFS('📅 Resumen Diario'!$K$5:$K$504, '📅 Resumen Diario'!$B$5:$B$504, B3790, '📅 Resumen Diario'!$C$5:$C$504, D3790), 0))</f>
        <v/>
      </c>
      <c r="M3790" s="31" t="str">
        <f t="shared" si="416"/>
        <v/>
      </c>
      <c r="N3790" s="31" t="str">
        <f t="shared" si="417"/>
        <v/>
      </c>
      <c r="O3790" s="31" t="str">
        <f>IF(OR(B3790="",C3790=""),"",K3790-N3790 + IFERROR(E3790 / SUMIFS('📅 Resumen Diario'!$D$5:$D$504, '📅 Resumen Diario'!$B$5:$B$504, B3790, '📅 Resumen Diario'!$C$5:$C$504, D3790) * (SUMIFS('📋 Detalle Diario'!$E$5:$E$489, '📋 Detalle Diario'!$B$5:$B$489, B3790, '📋 Detalle Diario'!$C$5:$C$489, D3790) * 135 + SUMIFS('📋 Detalle Diario'!$I$5:$I$489, '📋 Detalle Diario'!$B$5:$B$489, B3790, '📋 Detalle Diario'!$C$5:$C$489, D3790) * 200), 0))</f>
        <v/>
      </c>
      <c r="P3790" s="32" t="str">
        <f t="shared" si="418"/>
        <v/>
      </c>
      <c r="Q3790" s="33" t="str">
        <f t="shared" si="419"/>
        <v/>
      </c>
    </row>
    <row r="3791" spans="2:17" ht="18" customHeight="1" x14ac:dyDescent="0.3">
      <c r="B3791" s="26"/>
      <c r="C3791" s="28"/>
      <c r="D3791" s="27"/>
      <c r="E3791" s="29"/>
      <c r="F3791" s="29"/>
      <c r="G3791" s="29"/>
      <c r="H3791" s="30" t="str">
        <f t="shared" si="413"/>
        <v/>
      </c>
      <c r="I3791" s="31" t="str">
        <f>IF(OR(B3791="",C3791=""),"",IFERROR(E3791*IF(E3791="",0,VLOOKUP(C3791,'📦 Precios Proforma'!$B$5:$D$104,IF(D3791="DIA",2,3),FALSE)),0))</f>
        <v/>
      </c>
      <c r="J3791" s="31" t="str">
        <f t="shared" si="414"/>
        <v/>
      </c>
      <c r="K3791" s="31" t="str">
        <f t="shared" si="415"/>
        <v/>
      </c>
      <c r="L3791" s="31" t="str">
        <f>IF(OR(B3791="",C3791=""),"",IFERROR(E3791 / SUMIFS('📅 Resumen Diario'!$D$5:$D$504, '📅 Resumen Diario'!$B$5:$B$504, B3791, '📅 Resumen Diario'!$C$5:$C$504, D3791) * SUMIFS('📅 Resumen Diario'!$K$5:$K$504, '📅 Resumen Diario'!$B$5:$B$504, B3791, '📅 Resumen Diario'!$C$5:$C$504, D3791), 0))</f>
        <v/>
      </c>
      <c r="M3791" s="31" t="str">
        <f t="shared" si="416"/>
        <v/>
      </c>
      <c r="N3791" s="31" t="str">
        <f t="shared" si="417"/>
        <v/>
      </c>
      <c r="O3791" s="31" t="str">
        <f>IF(OR(B3791="",C3791=""),"",K3791-N3791 + IFERROR(E3791 / SUMIFS('📅 Resumen Diario'!$D$5:$D$504, '📅 Resumen Diario'!$B$5:$B$504, B3791, '📅 Resumen Diario'!$C$5:$C$504, D3791) * (SUMIFS('📋 Detalle Diario'!$E$5:$E$489, '📋 Detalle Diario'!$B$5:$B$489, B3791, '📋 Detalle Diario'!$C$5:$C$489, D3791) * 135 + SUMIFS('📋 Detalle Diario'!$I$5:$I$489, '📋 Detalle Diario'!$B$5:$B$489, B3791, '📋 Detalle Diario'!$C$5:$C$489, D3791) * 200), 0))</f>
        <v/>
      </c>
      <c r="P3791" s="32" t="str">
        <f t="shared" si="418"/>
        <v/>
      </c>
      <c r="Q3791" s="33" t="str">
        <f t="shared" si="419"/>
        <v/>
      </c>
    </row>
    <row r="3792" spans="2:17" ht="18" customHeight="1" x14ac:dyDescent="0.3">
      <c r="B3792" s="26"/>
      <c r="C3792" s="17"/>
      <c r="D3792" s="27"/>
      <c r="E3792" s="18"/>
      <c r="F3792" s="18"/>
      <c r="G3792" s="18"/>
      <c r="H3792" s="30" t="str">
        <f t="shared" si="413"/>
        <v/>
      </c>
      <c r="I3792" s="31" t="str">
        <f>IF(OR(B3792="",C3792=""),"",IFERROR(E3792*IF(E3792="",0,VLOOKUP(C3792,'📦 Precios Proforma'!$B$5:$D$104,IF(D3792="DIA",2,3),FALSE)),0))</f>
        <v/>
      </c>
      <c r="J3792" s="31" t="str">
        <f t="shared" si="414"/>
        <v/>
      </c>
      <c r="K3792" s="31" t="str">
        <f t="shared" si="415"/>
        <v/>
      </c>
      <c r="L3792" s="31" t="str">
        <f>IF(OR(B3792="",C3792=""),"",IFERROR(E3792 / SUMIFS('📅 Resumen Diario'!$D$5:$D$504, '📅 Resumen Diario'!$B$5:$B$504, B3792, '📅 Resumen Diario'!$C$5:$C$504, D3792) * SUMIFS('📅 Resumen Diario'!$K$5:$K$504, '📅 Resumen Diario'!$B$5:$B$504, B3792, '📅 Resumen Diario'!$C$5:$C$504, D3792), 0))</f>
        <v/>
      </c>
      <c r="M3792" s="31" t="str">
        <f t="shared" si="416"/>
        <v/>
      </c>
      <c r="N3792" s="31" t="str">
        <f t="shared" si="417"/>
        <v/>
      </c>
      <c r="O3792" s="31" t="str">
        <f>IF(OR(B3792="",C3792=""),"",K3792-N3792 + IFERROR(E3792 / SUMIFS('📅 Resumen Diario'!$D$5:$D$504, '📅 Resumen Diario'!$B$5:$B$504, B3792, '📅 Resumen Diario'!$C$5:$C$504, D3792) * (SUMIFS('📋 Detalle Diario'!$E$5:$E$489, '📋 Detalle Diario'!$B$5:$B$489, B3792, '📋 Detalle Diario'!$C$5:$C$489, D3792) * 135 + SUMIFS('📋 Detalle Diario'!$I$5:$I$489, '📋 Detalle Diario'!$B$5:$B$489, B3792, '📋 Detalle Diario'!$C$5:$C$489, D3792) * 200), 0))</f>
        <v/>
      </c>
      <c r="P3792" s="32" t="str">
        <f t="shared" si="418"/>
        <v/>
      </c>
      <c r="Q3792" s="33" t="str">
        <f t="shared" si="419"/>
        <v/>
      </c>
    </row>
    <row r="3793" spans="2:17" ht="18" customHeight="1" x14ac:dyDescent="0.3">
      <c r="B3793" s="26"/>
      <c r="C3793" s="28"/>
      <c r="D3793" s="27"/>
      <c r="E3793" s="29"/>
      <c r="F3793" s="29"/>
      <c r="G3793" s="29"/>
      <c r="H3793" s="30" t="str">
        <f t="shared" si="413"/>
        <v/>
      </c>
      <c r="I3793" s="31" t="str">
        <f>IF(OR(B3793="",C3793=""),"",IFERROR(E3793*IF(E3793="",0,VLOOKUP(C3793,'📦 Precios Proforma'!$B$5:$D$104,IF(D3793="DIA",2,3),FALSE)),0))</f>
        <v/>
      </c>
      <c r="J3793" s="31" t="str">
        <f t="shared" si="414"/>
        <v/>
      </c>
      <c r="K3793" s="31" t="str">
        <f t="shared" si="415"/>
        <v/>
      </c>
      <c r="L3793" s="31" t="str">
        <f>IF(OR(B3793="",C3793=""),"",IFERROR(E3793 / SUMIFS('📅 Resumen Diario'!$D$5:$D$504, '📅 Resumen Diario'!$B$5:$B$504, B3793, '📅 Resumen Diario'!$C$5:$C$504, D3793) * SUMIFS('📅 Resumen Diario'!$K$5:$K$504, '📅 Resumen Diario'!$B$5:$B$504, B3793, '📅 Resumen Diario'!$C$5:$C$504, D3793), 0))</f>
        <v/>
      </c>
      <c r="M3793" s="31" t="str">
        <f t="shared" si="416"/>
        <v/>
      </c>
      <c r="N3793" s="31" t="str">
        <f t="shared" si="417"/>
        <v/>
      </c>
      <c r="O3793" s="31" t="str">
        <f>IF(OR(B3793="",C3793=""),"",K3793-N3793 + IFERROR(E3793 / SUMIFS('📅 Resumen Diario'!$D$5:$D$504, '📅 Resumen Diario'!$B$5:$B$504, B3793, '📅 Resumen Diario'!$C$5:$C$504, D3793) * (SUMIFS('📋 Detalle Diario'!$E$5:$E$489, '📋 Detalle Diario'!$B$5:$B$489, B3793, '📋 Detalle Diario'!$C$5:$C$489, D3793) * 135 + SUMIFS('📋 Detalle Diario'!$I$5:$I$489, '📋 Detalle Diario'!$B$5:$B$489, B3793, '📋 Detalle Diario'!$C$5:$C$489, D3793) * 200), 0))</f>
        <v/>
      </c>
      <c r="P3793" s="32" t="str">
        <f t="shared" si="418"/>
        <v/>
      </c>
      <c r="Q3793" s="33" t="str">
        <f t="shared" si="419"/>
        <v/>
      </c>
    </row>
    <row r="3794" spans="2:17" ht="18" customHeight="1" x14ac:dyDescent="0.3">
      <c r="B3794" s="26"/>
      <c r="C3794" s="17"/>
      <c r="D3794" s="27"/>
      <c r="E3794" s="18"/>
      <c r="F3794" s="18"/>
      <c r="G3794" s="18"/>
      <c r="H3794" s="30" t="str">
        <f t="shared" si="413"/>
        <v/>
      </c>
      <c r="I3794" s="31" t="str">
        <f>IF(OR(B3794="",C3794=""),"",IFERROR(E3794*IF(E3794="",0,VLOOKUP(C3794,'📦 Precios Proforma'!$B$5:$D$104,IF(D3794="DIA",2,3),FALSE)),0))</f>
        <v/>
      </c>
      <c r="J3794" s="31" t="str">
        <f t="shared" si="414"/>
        <v/>
      </c>
      <c r="K3794" s="31" t="str">
        <f t="shared" si="415"/>
        <v/>
      </c>
      <c r="L3794" s="31" t="str">
        <f>IF(OR(B3794="",C3794=""),"",IFERROR(E3794 / SUMIFS('📅 Resumen Diario'!$D$5:$D$504, '📅 Resumen Diario'!$B$5:$B$504, B3794, '📅 Resumen Diario'!$C$5:$C$504, D3794) * SUMIFS('📅 Resumen Diario'!$K$5:$K$504, '📅 Resumen Diario'!$B$5:$B$504, B3794, '📅 Resumen Diario'!$C$5:$C$504, D3794), 0))</f>
        <v/>
      </c>
      <c r="M3794" s="31" t="str">
        <f t="shared" si="416"/>
        <v/>
      </c>
      <c r="N3794" s="31" t="str">
        <f t="shared" si="417"/>
        <v/>
      </c>
      <c r="O3794" s="31" t="str">
        <f>IF(OR(B3794="",C3794=""),"",K3794-N3794 + IFERROR(E3794 / SUMIFS('📅 Resumen Diario'!$D$5:$D$504, '📅 Resumen Diario'!$B$5:$B$504, B3794, '📅 Resumen Diario'!$C$5:$C$504, D3794) * (SUMIFS('📋 Detalle Diario'!$E$5:$E$489, '📋 Detalle Diario'!$B$5:$B$489, B3794, '📋 Detalle Diario'!$C$5:$C$489, D3794) * 135 + SUMIFS('📋 Detalle Diario'!$I$5:$I$489, '📋 Detalle Diario'!$B$5:$B$489, B3794, '📋 Detalle Diario'!$C$5:$C$489, D3794) * 200), 0))</f>
        <v/>
      </c>
      <c r="P3794" s="32" t="str">
        <f t="shared" si="418"/>
        <v/>
      </c>
      <c r="Q3794" s="33" t="str">
        <f t="shared" si="419"/>
        <v/>
      </c>
    </row>
    <row r="3795" spans="2:17" ht="18" customHeight="1" x14ac:dyDescent="0.3">
      <c r="B3795" s="26"/>
      <c r="C3795" s="28"/>
      <c r="D3795" s="27"/>
      <c r="E3795" s="29"/>
      <c r="F3795" s="29"/>
      <c r="G3795" s="29"/>
      <c r="H3795" s="30" t="str">
        <f t="shared" si="413"/>
        <v/>
      </c>
      <c r="I3795" s="31" t="str">
        <f>IF(OR(B3795="",C3795=""),"",IFERROR(E3795*IF(E3795="",0,VLOOKUP(C3795,'📦 Precios Proforma'!$B$5:$D$104,IF(D3795="DIA",2,3),FALSE)),0))</f>
        <v/>
      </c>
      <c r="J3795" s="31" t="str">
        <f t="shared" si="414"/>
        <v/>
      </c>
      <c r="K3795" s="31" t="str">
        <f t="shared" si="415"/>
        <v/>
      </c>
      <c r="L3795" s="31" t="str">
        <f>IF(OR(B3795="",C3795=""),"",IFERROR(E3795 / SUMIFS('📅 Resumen Diario'!$D$5:$D$504, '📅 Resumen Diario'!$B$5:$B$504, B3795, '📅 Resumen Diario'!$C$5:$C$504, D3795) * SUMIFS('📅 Resumen Diario'!$K$5:$K$504, '📅 Resumen Diario'!$B$5:$B$504, B3795, '📅 Resumen Diario'!$C$5:$C$504, D3795), 0))</f>
        <v/>
      </c>
      <c r="M3795" s="31" t="str">
        <f t="shared" si="416"/>
        <v/>
      </c>
      <c r="N3795" s="31" t="str">
        <f t="shared" si="417"/>
        <v/>
      </c>
      <c r="O3795" s="31" t="str">
        <f>IF(OR(B3795="",C3795=""),"",K3795-N3795 + IFERROR(E3795 / SUMIFS('📅 Resumen Diario'!$D$5:$D$504, '📅 Resumen Diario'!$B$5:$B$504, B3795, '📅 Resumen Diario'!$C$5:$C$504, D3795) * (SUMIFS('📋 Detalle Diario'!$E$5:$E$489, '📋 Detalle Diario'!$B$5:$B$489, B3795, '📋 Detalle Diario'!$C$5:$C$489, D3795) * 135 + SUMIFS('📋 Detalle Diario'!$I$5:$I$489, '📋 Detalle Diario'!$B$5:$B$489, B3795, '📋 Detalle Diario'!$C$5:$C$489, D3795) * 200), 0))</f>
        <v/>
      </c>
      <c r="P3795" s="32" t="str">
        <f t="shared" si="418"/>
        <v/>
      </c>
      <c r="Q3795" s="33" t="str">
        <f t="shared" si="419"/>
        <v/>
      </c>
    </row>
    <row r="3796" spans="2:17" ht="18" customHeight="1" x14ac:dyDescent="0.3">
      <c r="B3796" s="26"/>
      <c r="C3796" s="17"/>
      <c r="D3796" s="27"/>
      <c r="E3796" s="18"/>
      <c r="F3796" s="18"/>
      <c r="G3796" s="18"/>
      <c r="H3796" s="30" t="str">
        <f t="shared" si="413"/>
        <v/>
      </c>
      <c r="I3796" s="31" t="str">
        <f>IF(OR(B3796="",C3796=""),"",IFERROR(E3796*IF(E3796="",0,VLOOKUP(C3796,'📦 Precios Proforma'!$B$5:$D$104,IF(D3796="DIA",2,3),FALSE)),0))</f>
        <v/>
      </c>
      <c r="J3796" s="31" t="str">
        <f t="shared" si="414"/>
        <v/>
      </c>
      <c r="K3796" s="31" t="str">
        <f t="shared" si="415"/>
        <v/>
      </c>
      <c r="L3796" s="31" t="str">
        <f>IF(OR(B3796="",C3796=""),"",IFERROR(E3796 / SUMIFS('📅 Resumen Diario'!$D$5:$D$504, '📅 Resumen Diario'!$B$5:$B$504, B3796, '📅 Resumen Diario'!$C$5:$C$504, D3796) * SUMIFS('📅 Resumen Diario'!$K$5:$K$504, '📅 Resumen Diario'!$B$5:$B$504, B3796, '📅 Resumen Diario'!$C$5:$C$504, D3796), 0))</f>
        <v/>
      </c>
      <c r="M3796" s="31" t="str">
        <f t="shared" si="416"/>
        <v/>
      </c>
      <c r="N3796" s="31" t="str">
        <f t="shared" si="417"/>
        <v/>
      </c>
      <c r="O3796" s="31" t="str">
        <f>IF(OR(B3796="",C3796=""),"",K3796-N3796 + IFERROR(E3796 / SUMIFS('📅 Resumen Diario'!$D$5:$D$504, '📅 Resumen Diario'!$B$5:$B$504, B3796, '📅 Resumen Diario'!$C$5:$C$504, D3796) * (SUMIFS('📋 Detalle Diario'!$E$5:$E$489, '📋 Detalle Diario'!$B$5:$B$489, B3796, '📋 Detalle Diario'!$C$5:$C$489, D3796) * 135 + SUMIFS('📋 Detalle Diario'!$I$5:$I$489, '📋 Detalle Diario'!$B$5:$B$489, B3796, '📋 Detalle Diario'!$C$5:$C$489, D3796) * 200), 0))</f>
        <v/>
      </c>
      <c r="P3796" s="32" t="str">
        <f t="shared" si="418"/>
        <v/>
      </c>
      <c r="Q3796" s="33" t="str">
        <f t="shared" si="419"/>
        <v/>
      </c>
    </row>
    <row r="3797" spans="2:17" ht="18" customHeight="1" x14ac:dyDescent="0.3">
      <c r="B3797" s="26"/>
      <c r="C3797" s="28"/>
      <c r="D3797" s="27"/>
      <c r="E3797" s="29"/>
      <c r="F3797" s="29"/>
      <c r="G3797" s="29"/>
      <c r="H3797" s="30" t="str">
        <f t="shared" si="413"/>
        <v/>
      </c>
      <c r="I3797" s="31" t="str">
        <f>IF(OR(B3797="",C3797=""),"",IFERROR(E3797*IF(E3797="",0,VLOOKUP(C3797,'📦 Precios Proforma'!$B$5:$D$104,IF(D3797="DIA",2,3),FALSE)),0))</f>
        <v/>
      </c>
      <c r="J3797" s="31" t="str">
        <f t="shared" si="414"/>
        <v/>
      </c>
      <c r="K3797" s="31" t="str">
        <f t="shared" si="415"/>
        <v/>
      </c>
      <c r="L3797" s="31" t="str">
        <f>IF(OR(B3797="",C3797=""),"",IFERROR(E3797 / SUMIFS('📅 Resumen Diario'!$D$5:$D$504, '📅 Resumen Diario'!$B$5:$B$504, B3797, '📅 Resumen Diario'!$C$5:$C$504, D3797) * SUMIFS('📅 Resumen Diario'!$K$5:$K$504, '📅 Resumen Diario'!$B$5:$B$504, B3797, '📅 Resumen Diario'!$C$5:$C$504, D3797), 0))</f>
        <v/>
      </c>
      <c r="M3797" s="31" t="str">
        <f t="shared" si="416"/>
        <v/>
      </c>
      <c r="N3797" s="31" t="str">
        <f t="shared" si="417"/>
        <v/>
      </c>
      <c r="O3797" s="31" t="str">
        <f>IF(OR(B3797="",C3797=""),"",K3797-N3797 + IFERROR(E3797 / SUMIFS('📅 Resumen Diario'!$D$5:$D$504, '📅 Resumen Diario'!$B$5:$B$504, B3797, '📅 Resumen Diario'!$C$5:$C$504, D3797) * (SUMIFS('📋 Detalle Diario'!$E$5:$E$489, '📋 Detalle Diario'!$B$5:$B$489, B3797, '📋 Detalle Diario'!$C$5:$C$489, D3797) * 135 + SUMIFS('📋 Detalle Diario'!$I$5:$I$489, '📋 Detalle Diario'!$B$5:$B$489, B3797, '📋 Detalle Diario'!$C$5:$C$489, D3797) * 200), 0))</f>
        <v/>
      </c>
      <c r="P3797" s="32" t="str">
        <f t="shared" si="418"/>
        <v/>
      </c>
      <c r="Q3797" s="33" t="str">
        <f t="shared" si="419"/>
        <v/>
      </c>
    </row>
    <row r="3798" spans="2:17" ht="18" customHeight="1" x14ac:dyDescent="0.3">
      <c r="B3798" s="26"/>
      <c r="C3798" s="17"/>
      <c r="D3798" s="27"/>
      <c r="E3798" s="18"/>
      <c r="F3798" s="18"/>
      <c r="G3798" s="18"/>
      <c r="H3798" s="30" t="str">
        <f t="shared" si="413"/>
        <v/>
      </c>
      <c r="I3798" s="31" t="str">
        <f>IF(OR(B3798="",C3798=""),"",IFERROR(E3798*IF(E3798="",0,VLOOKUP(C3798,'📦 Precios Proforma'!$B$5:$D$104,IF(D3798="DIA",2,3),FALSE)),0))</f>
        <v/>
      </c>
      <c r="J3798" s="31" t="str">
        <f t="shared" si="414"/>
        <v/>
      </c>
      <c r="K3798" s="31" t="str">
        <f t="shared" si="415"/>
        <v/>
      </c>
      <c r="L3798" s="31" t="str">
        <f>IF(OR(B3798="",C3798=""),"",IFERROR(E3798 / SUMIFS('📅 Resumen Diario'!$D$5:$D$504, '📅 Resumen Diario'!$B$5:$B$504, B3798, '📅 Resumen Diario'!$C$5:$C$504, D3798) * SUMIFS('📅 Resumen Diario'!$K$5:$K$504, '📅 Resumen Diario'!$B$5:$B$504, B3798, '📅 Resumen Diario'!$C$5:$C$504, D3798), 0))</f>
        <v/>
      </c>
      <c r="M3798" s="31" t="str">
        <f t="shared" si="416"/>
        <v/>
      </c>
      <c r="N3798" s="31" t="str">
        <f t="shared" si="417"/>
        <v/>
      </c>
      <c r="O3798" s="31" t="str">
        <f>IF(OR(B3798="",C3798=""),"",K3798-N3798 + IFERROR(E3798 / SUMIFS('📅 Resumen Diario'!$D$5:$D$504, '📅 Resumen Diario'!$B$5:$B$504, B3798, '📅 Resumen Diario'!$C$5:$C$504, D3798) * (SUMIFS('📋 Detalle Diario'!$E$5:$E$489, '📋 Detalle Diario'!$B$5:$B$489, B3798, '📋 Detalle Diario'!$C$5:$C$489, D3798) * 135 + SUMIFS('📋 Detalle Diario'!$I$5:$I$489, '📋 Detalle Diario'!$B$5:$B$489, B3798, '📋 Detalle Diario'!$C$5:$C$489, D3798) * 200), 0))</f>
        <v/>
      </c>
      <c r="P3798" s="32" t="str">
        <f t="shared" si="418"/>
        <v/>
      </c>
      <c r="Q3798" s="33" t="str">
        <f t="shared" si="419"/>
        <v/>
      </c>
    </row>
    <row r="3799" spans="2:17" ht="18" customHeight="1" x14ac:dyDescent="0.3">
      <c r="B3799" s="26"/>
      <c r="C3799" s="28"/>
      <c r="D3799" s="27"/>
      <c r="E3799" s="29"/>
      <c r="F3799" s="29"/>
      <c r="G3799" s="29"/>
      <c r="H3799" s="30" t="str">
        <f t="shared" si="413"/>
        <v/>
      </c>
      <c r="I3799" s="31" t="str">
        <f>IF(OR(B3799="",C3799=""),"",IFERROR(E3799*IF(E3799="",0,VLOOKUP(C3799,'📦 Precios Proforma'!$B$5:$D$104,IF(D3799="DIA",2,3),FALSE)),0))</f>
        <v/>
      </c>
      <c r="J3799" s="31" t="str">
        <f t="shared" si="414"/>
        <v/>
      </c>
      <c r="K3799" s="31" t="str">
        <f t="shared" si="415"/>
        <v/>
      </c>
      <c r="L3799" s="31" t="str">
        <f>IF(OR(B3799="",C3799=""),"",IFERROR(E3799 / SUMIFS('📅 Resumen Diario'!$D$5:$D$504, '📅 Resumen Diario'!$B$5:$B$504, B3799, '📅 Resumen Diario'!$C$5:$C$504, D3799) * SUMIFS('📅 Resumen Diario'!$K$5:$K$504, '📅 Resumen Diario'!$B$5:$B$504, B3799, '📅 Resumen Diario'!$C$5:$C$504, D3799), 0))</f>
        <v/>
      </c>
      <c r="M3799" s="31" t="str">
        <f t="shared" si="416"/>
        <v/>
      </c>
      <c r="N3799" s="31" t="str">
        <f t="shared" si="417"/>
        <v/>
      </c>
      <c r="O3799" s="31" t="str">
        <f>IF(OR(B3799="",C3799=""),"",K3799-N3799 + IFERROR(E3799 / SUMIFS('📅 Resumen Diario'!$D$5:$D$504, '📅 Resumen Diario'!$B$5:$B$504, B3799, '📅 Resumen Diario'!$C$5:$C$504, D3799) * (SUMIFS('📋 Detalle Diario'!$E$5:$E$489, '📋 Detalle Diario'!$B$5:$B$489, B3799, '📋 Detalle Diario'!$C$5:$C$489, D3799) * 135 + SUMIFS('📋 Detalle Diario'!$I$5:$I$489, '📋 Detalle Diario'!$B$5:$B$489, B3799, '📋 Detalle Diario'!$C$5:$C$489, D3799) * 200), 0))</f>
        <v/>
      </c>
      <c r="P3799" s="32" t="str">
        <f t="shared" si="418"/>
        <v/>
      </c>
      <c r="Q3799" s="33" t="str">
        <f t="shared" si="419"/>
        <v/>
      </c>
    </row>
    <row r="3800" spans="2:17" ht="18" customHeight="1" x14ac:dyDescent="0.3">
      <c r="B3800" s="26"/>
      <c r="C3800" s="17"/>
      <c r="D3800" s="27"/>
      <c r="E3800" s="18"/>
      <c r="F3800" s="18"/>
      <c r="G3800" s="18"/>
      <c r="H3800" s="30" t="str">
        <f t="shared" si="413"/>
        <v/>
      </c>
      <c r="I3800" s="31" t="str">
        <f>IF(OR(B3800="",C3800=""),"",IFERROR(E3800*IF(E3800="",0,VLOOKUP(C3800,'📦 Precios Proforma'!$B$5:$D$104,IF(D3800="DIA",2,3),FALSE)),0))</f>
        <v/>
      </c>
      <c r="J3800" s="31" t="str">
        <f t="shared" si="414"/>
        <v/>
      </c>
      <c r="K3800" s="31" t="str">
        <f t="shared" si="415"/>
        <v/>
      </c>
      <c r="L3800" s="31" t="str">
        <f>IF(OR(B3800="",C3800=""),"",IFERROR(E3800 / SUMIFS('📅 Resumen Diario'!$D$5:$D$504, '📅 Resumen Diario'!$B$5:$B$504, B3800, '📅 Resumen Diario'!$C$5:$C$504, D3800) * SUMIFS('📅 Resumen Diario'!$K$5:$K$504, '📅 Resumen Diario'!$B$5:$B$504, B3800, '📅 Resumen Diario'!$C$5:$C$504, D3800), 0))</f>
        <v/>
      </c>
      <c r="M3800" s="31" t="str">
        <f t="shared" si="416"/>
        <v/>
      </c>
      <c r="N3800" s="31" t="str">
        <f t="shared" si="417"/>
        <v/>
      </c>
      <c r="O3800" s="31" t="str">
        <f>IF(OR(B3800="",C3800=""),"",K3800-N3800 + IFERROR(E3800 / SUMIFS('📅 Resumen Diario'!$D$5:$D$504, '📅 Resumen Diario'!$B$5:$B$504, B3800, '📅 Resumen Diario'!$C$5:$C$504, D3800) * (SUMIFS('📋 Detalle Diario'!$E$5:$E$489, '📋 Detalle Diario'!$B$5:$B$489, B3800, '📋 Detalle Diario'!$C$5:$C$489, D3800) * 135 + SUMIFS('📋 Detalle Diario'!$I$5:$I$489, '📋 Detalle Diario'!$B$5:$B$489, B3800, '📋 Detalle Diario'!$C$5:$C$489, D3800) * 200), 0))</f>
        <v/>
      </c>
      <c r="P3800" s="32" t="str">
        <f t="shared" si="418"/>
        <v/>
      </c>
      <c r="Q3800" s="33" t="str">
        <f t="shared" si="419"/>
        <v/>
      </c>
    </row>
    <row r="3801" spans="2:17" ht="18" customHeight="1" x14ac:dyDescent="0.3">
      <c r="B3801" s="26"/>
      <c r="C3801" s="28"/>
      <c r="D3801" s="27"/>
      <c r="E3801" s="29"/>
      <c r="F3801" s="29"/>
      <c r="G3801" s="29"/>
      <c r="H3801" s="30" t="str">
        <f t="shared" si="413"/>
        <v/>
      </c>
      <c r="I3801" s="31" t="str">
        <f>IF(OR(B3801="",C3801=""),"",IFERROR(E3801*IF(E3801="",0,VLOOKUP(C3801,'📦 Precios Proforma'!$B$5:$D$104,IF(D3801="DIA",2,3),FALSE)),0))</f>
        <v/>
      </c>
      <c r="J3801" s="31" t="str">
        <f t="shared" si="414"/>
        <v/>
      </c>
      <c r="K3801" s="31" t="str">
        <f t="shared" si="415"/>
        <v/>
      </c>
      <c r="L3801" s="31" t="str">
        <f>IF(OR(B3801="",C3801=""),"",IFERROR(E3801 / SUMIFS('📅 Resumen Diario'!$D$5:$D$504, '📅 Resumen Diario'!$B$5:$B$504, B3801, '📅 Resumen Diario'!$C$5:$C$504, D3801) * SUMIFS('📅 Resumen Diario'!$K$5:$K$504, '📅 Resumen Diario'!$B$5:$B$504, B3801, '📅 Resumen Diario'!$C$5:$C$504, D3801), 0))</f>
        <v/>
      </c>
      <c r="M3801" s="31" t="str">
        <f t="shared" si="416"/>
        <v/>
      </c>
      <c r="N3801" s="31" t="str">
        <f t="shared" si="417"/>
        <v/>
      </c>
      <c r="O3801" s="31" t="str">
        <f>IF(OR(B3801="",C3801=""),"",K3801-N3801 + IFERROR(E3801 / SUMIFS('📅 Resumen Diario'!$D$5:$D$504, '📅 Resumen Diario'!$B$5:$B$504, B3801, '📅 Resumen Diario'!$C$5:$C$504, D3801) * (SUMIFS('📋 Detalle Diario'!$E$5:$E$489, '📋 Detalle Diario'!$B$5:$B$489, B3801, '📋 Detalle Diario'!$C$5:$C$489, D3801) * 135 + SUMIFS('📋 Detalle Diario'!$I$5:$I$489, '📋 Detalle Diario'!$B$5:$B$489, B3801, '📋 Detalle Diario'!$C$5:$C$489, D3801) * 200), 0))</f>
        <v/>
      </c>
      <c r="P3801" s="32" t="str">
        <f t="shared" si="418"/>
        <v/>
      </c>
      <c r="Q3801" s="33" t="str">
        <f t="shared" si="419"/>
        <v/>
      </c>
    </row>
    <row r="3802" spans="2:17" ht="18" customHeight="1" x14ac:dyDescent="0.3">
      <c r="B3802" s="26"/>
      <c r="C3802" s="17"/>
      <c r="D3802" s="27"/>
      <c r="E3802" s="18"/>
      <c r="F3802" s="18"/>
      <c r="G3802" s="18"/>
      <c r="H3802" s="30" t="str">
        <f t="shared" si="413"/>
        <v/>
      </c>
      <c r="I3802" s="31" t="str">
        <f>IF(OR(B3802="",C3802=""),"",IFERROR(E3802*IF(E3802="",0,VLOOKUP(C3802,'📦 Precios Proforma'!$B$5:$D$104,IF(D3802="DIA",2,3),FALSE)),0))</f>
        <v/>
      </c>
      <c r="J3802" s="31" t="str">
        <f t="shared" si="414"/>
        <v/>
      </c>
      <c r="K3802" s="31" t="str">
        <f t="shared" si="415"/>
        <v/>
      </c>
      <c r="L3802" s="31" t="str">
        <f>IF(OR(B3802="",C3802=""),"",IFERROR(E3802 / SUMIFS('📅 Resumen Diario'!$D$5:$D$504, '📅 Resumen Diario'!$B$5:$B$504, B3802, '📅 Resumen Diario'!$C$5:$C$504, D3802) * SUMIFS('📅 Resumen Diario'!$K$5:$K$504, '📅 Resumen Diario'!$B$5:$B$504, B3802, '📅 Resumen Diario'!$C$5:$C$504, D3802), 0))</f>
        <v/>
      </c>
      <c r="M3802" s="31" t="str">
        <f t="shared" si="416"/>
        <v/>
      </c>
      <c r="N3802" s="31" t="str">
        <f t="shared" si="417"/>
        <v/>
      </c>
      <c r="O3802" s="31" t="str">
        <f>IF(OR(B3802="",C3802=""),"",K3802-N3802 + IFERROR(E3802 / SUMIFS('📅 Resumen Diario'!$D$5:$D$504, '📅 Resumen Diario'!$B$5:$B$504, B3802, '📅 Resumen Diario'!$C$5:$C$504, D3802) * (SUMIFS('📋 Detalle Diario'!$E$5:$E$489, '📋 Detalle Diario'!$B$5:$B$489, B3802, '📋 Detalle Diario'!$C$5:$C$489, D3802) * 135 + SUMIFS('📋 Detalle Diario'!$I$5:$I$489, '📋 Detalle Diario'!$B$5:$B$489, B3802, '📋 Detalle Diario'!$C$5:$C$489, D3802) * 200), 0))</f>
        <v/>
      </c>
      <c r="P3802" s="32" t="str">
        <f t="shared" si="418"/>
        <v/>
      </c>
      <c r="Q3802" s="33" t="str">
        <f t="shared" si="419"/>
        <v/>
      </c>
    </row>
    <row r="3803" spans="2:17" ht="18" customHeight="1" x14ac:dyDescent="0.3">
      <c r="B3803" s="26"/>
      <c r="C3803" s="28"/>
      <c r="D3803" s="27"/>
      <c r="E3803" s="29"/>
      <c r="F3803" s="29"/>
      <c r="G3803" s="29"/>
      <c r="H3803" s="30" t="str">
        <f t="shared" si="413"/>
        <v/>
      </c>
      <c r="I3803" s="31" t="str">
        <f>IF(OR(B3803="",C3803=""),"",IFERROR(E3803*IF(E3803="",0,VLOOKUP(C3803,'📦 Precios Proforma'!$B$5:$D$104,IF(D3803="DIA",2,3),FALSE)),0))</f>
        <v/>
      </c>
      <c r="J3803" s="31" t="str">
        <f t="shared" si="414"/>
        <v/>
      </c>
      <c r="K3803" s="31" t="str">
        <f t="shared" si="415"/>
        <v/>
      </c>
      <c r="L3803" s="31" t="str">
        <f>IF(OR(B3803="",C3803=""),"",IFERROR(E3803 / SUMIFS('📅 Resumen Diario'!$D$5:$D$504, '📅 Resumen Diario'!$B$5:$B$504, B3803, '📅 Resumen Diario'!$C$5:$C$504, D3803) * SUMIFS('📅 Resumen Diario'!$K$5:$K$504, '📅 Resumen Diario'!$B$5:$B$504, B3803, '📅 Resumen Diario'!$C$5:$C$504, D3803), 0))</f>
        <v/>
      </c>
      <c r="M3803" s="31" t="str">
        <f t="shared" si="416"/>
        <v/>
      </c>
      <c r="N3803" s="31" t="str">
        <f t="shared" si="417"/>
        <v/>
      </c>
      <c r="O3803" s="31" t="str">
        <f>IF(OR(B3803="",C3803=""),"",K3803-N3803 + IFERROR(E3803 / SUMIFS('📅 Resumen Diario'!$D$5:$D$504, '📅 Resumen Diario'!$B$5:$B$504, B3803, '📅 Resumen Diario'!$C$5:$C$504, D3803) * (SUMIFS('📋 Detalle Diario'!$E$5:$E$489, '📋 Detalle Diario'!$B$5:$B$489, B3803, '📋 Detalle Diario'!$C$5:$C$489, D3803) * 135 + SUMIFS('📋 Detalle Diario'!$I$5:$I$489, '📋 Detalle Diario'!$B$5:$B$489, B3803, '📋 Detalle Diario'!$C$5:$C$489, D3803) * 200), 0))</f>
        <v/>
      </c>
      <c r="P3803" s="32" t="str">
        <f t="shared" si="418"/>
        <v/>
      </c>
      <c r="Q3803" s="33" t="str">
        <f t="shared" si="419"/>
        <v/>
      </c>
    </row>
    <row r="3804" spans="2:17" ht="18" customHeight="1" x14ac:dyDescent="0.3">
      <c r="B3804" s="26"/>
      <c r="C3804" s="17"/>
      <c r="D3804" s="27"/>
      <c r="E3804" s="18"/>
      <c r="F3804" s="18"/>
      <c r="G3804" s="18"/>
      <c r="H3804" s="30" t="str">
        <f t="shared" si="413"/>
        <v/>
      </c>
      <c r="I3804" s="31" t="str">
        <f>IF(OR(B3804="",C3804=""),"",IFERROR(E3804*IF(E3804="",0,VLOOKUP(C3804,'📦 Precios Proforma'!$B$5:$D$104,IF(D3804="DIA",2,3),FALSE)),0))</f>
        <v/>
      </c>
      <c r="J3804" s="31" t="str">
        <f t="shared" si="414"/>
        <v/>
      </c>
      <c r="K3804" s="31" t="str">
        <f t="shared" si="415"/>
        <v/>
      </c>
      <c r="L3804" s="31" t="str">
        <f>IF(OR(B3804="",C3804=""),"",IFERROR(E3804 / SUMIFS('📅 Resumen Diario'!$D$5:$D$504, '📅 Resumen Diario'!$B$5:$B$504, B3804, '📅 Resumen Diario'!$C$5:$C$504, D3804) * SUMIFS('📅 Resumen Diario'!$K$5:$K$504, '📅 Resumen Diario'!$B$5:$B$504, B3804, '📅 Resumen Diario'!$C$5:$C$504, D3804), 0))</f>
        <v/>
      </c>
      <c r="M3804" s="31" t="str">
        <f t="shared" si="416"/>
        <v/>
      </c>
      <c r="N3804" s="31" t="str">
        <f t="shared" si="417"/>
        <v/>
      </c>
      <c r="O3804" s="31" t="str">
        <f>IF(OR(B3804="",C3804=""),"",K3804-N3804 + IFERROR(E3804 / SUMIFS('📅 Resumen Diario'!$D$5:$D$504, '📅 Resumen Diario'!$B$5:$B$504, B3804, '📅 Resumen Diario'!$C$5:$C$504, D3804) * (SUMIFS('📋 Detalle Diario'!$E$5:$E$489, '📋 Detalle Diario'!$B$5:$B$489, B3804, '📋 Detalle Diario'!$C$5:$C$489, D3804) * 135 + SUMIFS('📋 Detalle Diario'!$I$5:$I$489, '📋 Detalle Diario'!$B$5:$B$489, B3804, '📋 Detalle Diario'!$C$5:$C$489, D3804) * 200), 0))</f>
        <v/>
      </c>
      <c r="P3804" s="32" t="str">
        <f t="shared" si="418"/>
        <v/>
      </c>
      <c r="Q3804" s="33" t="str">
        <f t="shared" si="419"/>
        <v/>
      </c>
    </row>
    <row r="3805" spans="2:17" ht="18" customHeight="1" x14ac:dyDescent="0.3">
      <c r="B3805" s="26"/>
      <c r="C3805" s="28"/>
      <c r="D3805" s="27"/>
      <c r="E3805" s="29"/>
      <c r="F3805" s="29"/>
      <c r="G3805" s="29"/>
      <c r="H3805" s="30" t="str">
        <f t="shared" si="413"/>
        <v/>
      </c>
      <c r="I3805" s="31" t="str">
        <f>IF(OR(B3805="",C3805=""),"",IFERROR(E3805*IF(E3805="",0,VLOOKUP(C3805,'📦 Precios Proforma'!$B$5:$D$104,IF(D3805="DIA",2,3),FALSE)),0))</f>
        <v/>
      </c>
      <c r="J3805" s="31" t="str">
        <f t="shared" si="414"/>
        <v/>
      </c>
      <c r="K3805" s="31" t="str">
        <f t="shared" si="415"/>
        <v/>
      </c>
      <c r="L3805" s="31" t="str">
        <f>IF(OR(B3805="",C3805=""),"",IFERROR(E3805 / SUMIFS('📅 Resumen Diario'!$D$5:$D$504, '📅 Resumen Diario'!$B$5:$B$504, B3805, '📅 Resumen Diario'!$C$5:$C$504, D3805) * SUMIFS('📅 Resumen Diario'!$K$5:$K$504, '📅 Resumen Diario'!$B$5:$B$504, B3805, '📅 Resumen Diario'!$C$5:$C$504, D3805), 0))</f>
        <v/>
      </c>
      <c r="M3805" s="31" t="str">
        <f t="shared" si="416"/>
        <v/>
      </c>
      <c r="N3805" s="31" t="str">
        <f t="shared" si="417"/>
        <v/>
      </c>
      <c r="O3805" s="31" t="str">
        <f>IF(OR(B3805="",C3805=""),"",K3805-N3805 + IFERROR(E3805 / SUMIFS('📅 Resumen Diario'!$D$5:$D$504, '📅 Resumen Diario'!$B$5:$B$504, B3805, '📅 Resumen Diario'!$C$5:$C$504, D3805) * (SUMIFS('📋 Detalle Diario'!$E$5:$E$489, '📋 Detalle Diario'!$B$5:$B$489, B3805, '📋 Detalle Diario'!$C$5:$C$489, D3805) * 135 + SUMIFS('📋 Detalle Diario'!$I$5:$I$489, '📋 Detalle Diario'!$B$5:$B$489, B3805, '📋 Detalle Diario'!$C$5:$C$489, D3805) * 200), 0))</f>
        <v/>
      </c>
      <c r="P3805" s="32" t="str">
        <f t="shared" si="418"/>
        <v/>
      </c>
      <c r="Q3805" s="33" t="str">
        <f t="shared" si="419"/>
        <v/>
      </c>
    </row>
    <row r="3806" spans="2:17" ht="18" customHeight="1" x14ac:dyDescent="0.3">
      <c r="B3806" s="26"/>
      <c r="C3806" s="17"/>
      <c r="D3806" s="27"/>
      <c r="E3806" s="18"/>
      <c r="F3806" s="18"/>
      <c r="G3806" s="18"/>
      <c r="H3806" s="30" t="str">
        <f t="shared" si="413"/>
        <v/>
      </c>
      <c r="I3806" s="31" t="str">
        <f>IF(OR(B3806="",C3806=""),"",IFERROR(E3806*IF(E3806="",0,VLOOKUP(C3806,'📦 Precios Proforma'!$B$5:$D$104,IF(D3806="DIA",2,3),FALSE)),0))</f>
        <v/>
      </c>
      <c r="J3806" s="31" t="str">
        <f t="shared" si="414"/>
        <v/>
      </c>
      <c r="K3806" s="31" t="str">
        <f t="shared" si="415"/>
        <v/>
      </c>
      <c r="L3806" s="31" t="str">
        <f>IF(OR(B3806="",C3806=""),"",IFERROR(E3806 / SUMIFS('📅 Resumen Diario'!$D$5:$D$504, '📅 Resumen Diario'!$B$5:$B$504, B3806, '📅 Resumen Diario'!$C$5:$C$504, D3806) * SUMIFS('📅 Resumen Diario'!$K$5:$K$504, '📅 Resumen Diario'!$B$5:$B$504, B3806, '📅 Resumen Diario'!$C$5:$C$504, D3806), 0))</f>
        <v/>
      </c>
      <c r="M3806" s="31" t="str">
        <f t="shared" si="416"/>
        <v/>
      </c>
      <c r="N3806" s="31" t="str">
        <f t="shared" si="417"/>
        <v/>
      </c>
      <c r="O3806" s="31" t="str">
        <f>IF(OR(B3806="",C3806=""),"",K3806-N3806 + IFERROR(E3806 / SUMIFS('📅 Resumen Diario'!$D$5:$D$504, '📅 Resumen Diario'!$B$5:$B$504, B3806, '📅 Resumen Diario'!$C$5:$C$504, D3806) * (SUMIFS('📋 Detalle Diario'!$E$5:$E$489, '📋 Detalle Diario'!$B$5:$B$489, B3806, '📋 Detalle Diario'!$C$5:$C$489, D3806) * 135 + SUMIFS('📋 Detalle Diario'!$I$5:$I$489, '📋 Detalle Diario'!$B$5:$B$489, B3806, '📋 Detalle Diario'!$C$5:$C$489, D3806) * 200), 0))</f>
        <v/>
      </c>
      <c r="P3806" s="32" t="str">
        <f t="shared" si="418"/>
        <v/>
      </c>
      <c r="Q3806" s="33" t="str">
        <f t="shared" si="419"/>
        <v/>
      </c>
    </row>
    <row r="3807" spans="2:17" ht="18" customHeight="1" x14ac:dyDescent="0.3">
      <c r="B3807" s="26"/>
      <c r="C3807" s="28"/>
      <c r="D3807" s="27"/>
      <c r="E3807" s="29"/>
      <c r="F3807" s="29"/>
      <c r="G3807" s="29"/>
      <c r="H3807" s="30" t="str">
        <f t="shared" si="413"/>
        <v/>
      </c>
      <c r="I3807" s="31" t="str">
        <f>IF(OR(B3807="",C3807=""),"",IFERROR(E3807*IF(E3807="",0,VLOOKUP(C3807,'📦 Precios Proforma'!$B$5:$D$104,IF(D3807="DIA",2,3),FALSE)),0))</f>
        <v/>
      </c>
      <c r="J3807" s="31" t="str">
        <f t="shared" si="414"/>
        <v/>
      </c>
      <c r="K3807" s="31" t="str">
        <f t="shared" si="415"/>
        <v/>
      </c>
      <c r="L3807" s="31" t="str">
        <f>IF(OR(B3807="",C3807=""),"",IFERROR(E3807 / SUMIFS('📅 Resumen Diario'!$D$5:$D$504, '📅 Resumen Diario'!$B$5:$B$504, B3807, '📅 Resumen Diario'!$C$5:$C$504, D3807) * SUMIFS('📅 Resumen Diario'!$K$5:$K$504, '📅 Resumen Diario'!$B$5:$B$504, B3807, '📅 Resumen Diario'!$C$5:$C$504, D3807), 0))</f>
        <v/>
      </c>
      <c r="M3807" s="31" t="str">
        <f t="shared" si="416"/>
        <v/>
      </c>
      <c r="N3807" s="31" t="str">
        <f t="shared" si="417"/>
        <v/>
      </c>
      <c r="O3807" s="31" t="str">
        <f>IF(OR(B3807="",C3807=""),"",K3807-N3807 + IFERROR(E3807 / SUMIFS('📅 Resumen Diario'!$D$5:$D$504, '📅 Resumen Diario'!$B$5:$B$504, B3807, '📅 Resumen Diario'!$C$5:$C$504, D3807) * (SUMIFS('📋 Detalle Diario'!$E$5:$E$489, '📋 Detalle Diario'!$B$5:$B$489, B3807, '📋 Detalle Diario'!$C$5:$C$489, D3807) * 135 + SUMIFS('📋 Detalle Diario'!$I$5:$I$489, '📋 Detalle Diario'!$B$5:$B$489, B3807, '📋 Detalle Diario'!$C$5:$C$489, D3807) * 200), 0))</f>
        <v/>
      </c>
      <c r="P3807" s="32" t="str">
        <f t="shared" si="418"/>
        <v/>
      </c>
      <c r="Q3807" s="33" t="str">
        <f t="shared" si="419"/>
        <v/>
      </c>
    </row>
    <row r="3808" spans="2:17" ht="18" customHeight="1" x14ac:dyDescent="0.3">
      <c r="B3808" s="26"/>
      <c r="C3808" s="17"/>
      <c r="D3808" s="27"/>
      <c r="E3808" s="18"/>
      <c r="F3808" s="18"/>
      <c r="G3808" s="18"/>
      <c r="H3808" s="30" t="str">
        <f t="shared" si="413"/>
        <v/>
      </c>
      <c r="I3808" s="31" t="str">
        <f>IF(OR(B3808="",C3808=""),"",IFERROR(E3808*IF(E3808="",0,VLOOKUP(C3808,'📦 Precios Proforma'!$B$5:$D$104,IF(D3808="DIA",2,3),FALSE)),0))</f>
        <v/>
      </c>
      <c r="J3808" s="31" t="str">
        <f t="shared" si="414"/>
        <v/>
      </c>
      <c r="K3808" s="31" t="str">
        <f t="shared" si="415"/>
        <v/>
      </c>
      <c r="L3808" s="31" t="str">
        <f>IF(OR(B3808="",C3808=""),"",IFERROR(E3808 / SUMIFS('📅 Resumen Diario'!$D$5:$D$504, '📅 Resumen Diario'!$B$5:$B$504, B3808, '📅 Resumen Diario'!$C$5:$C$504, D3808) * SUMIFS('📅 Resumen Diario'!$K$5:$K$504, '📅 Resumen Diario'!$B$5:$B$504, B3808, '📅 Resumen Diario'!$C$5:$C$504, D3808), 0))</f>
        <v/>
      </c>
      <c r="M3808" s="31" t="str">
        <f t="shared" si="416"/>
        <v/>
      </c>
      <c r="N3808" s="31" t="str">
        <f t="shared" si="417"/>
        <v/>
      </c>
      <c r="O3808" s="31" t="str">
        <f>IF(OR(B3808="",C3808=""),"",K3808-N3808 + IFERROR(E3808 / SUMIFS('📅 Resumen Diario'!$D$5:$D$504, '📅 Resumen Diario'!$B$5:$B$504, B3808, '📅 Resumen Diario'!$C$5:$C$504, D3808) * (SUMIFS('📋 Detalle Diario'!$E$5:$E$489, '📋 Detalle Diario'!$B$5:$B$489, B3808, '📋 Detalle Diario'!$C$5:$C$489, D3808) * 135 + SUMIFS('📋 Detalle Diario'!$I$5:$I$489, '📋 Detalle Diario'!$B$5:$B$489, B3808, '📋 Detalle Diario'!$C$5:$C$489, D3808) * 200), 0))</f>
        <v/>
      </c>
      <c r="P3808" s="32" t="str">
        <f t="shared" si="418"/>
        <v/>
      </c>
      <c r="Q3808" s="33" t="str">
        <f t="shared" si="419"/>
        <v/>
      </c>
    </row>
    <row r="3809" spans="2:17" ht="18" customHeight="1" x14ac:dyDescent="0.3">
      <c r="B3809" s="26"/>
      <c r="C3809" s="28"/>
      <c r="D3809" s="27"/>
      <c r="E3809" s="29"/>
      <c r="F3809" s="29"/>
      <c r="G3809" s="29"/>
      <c r="H3809" s="30" t="str">
        <f t="shared" si="413"/>
        <v/>
      </c>
      <c r="I3809" s="31" t="str">
        <f>IF(OR(B3809="",C3809=""),"",IFERROR(E3809*IF(E3809="",0,VLOOKUP(C3809,'📦 Precios Proforma'!$B$5:$D$104,IF(D3809="DIA",2,3),FALSE)),0))</f>
        <v/>
      </c>
      <c r="J3809" s="31" t="str">
        <f t="shared" si="414"/>
        <v/>
      </c>
      <c r="K3809" s="31" t="str">
        <f t="shared" si="415"/>
        <v/>
      </c>
      <c r="L3809" s="31" t="str">
        <f>IF(OR(B3809="",C3809=""),"",IFERROR(E3809 / SUMIFS('📅 Resumen Diario'!$D$5:$D$504, '📅 Resumen Diario'!$B$5:$B$504, B3809, '📅 Resumen Diario'!$C$5:$C$504, D3809) * SUMIFS('📅 Resumen Diario'!$K$5:$K$504, '📅 Resumen Diario'!$B$5:$B$504, B3809, '📅 Resumen Diario'!$C$5:$C$504, D3809), 0))</f>
        <v/>
      </c>
      <c r="M3809" s="31" t="str">
        <f t="shared" si="416"/>
        <v/>
      </c>
      <c r="N3809" s="31" t="str">
        <f t="shared" si="417"/>
        <v/>
      </c>
      <c r="O3809" s="31" t="str">
        <f>IF(OR(B3809="",C3809=""),"",K3809-N3809 + IFERROR(E3809 / SUMIFS('📅 Resumen Diario'!$D$5:$D$504, '📅 Resumen Diario'!$B$5:$B$504, B3809, '📅 Resumen Diario'!$C$5:$C$504, D3809) * (SUMIFS('📋 Detalle Diario'!$E$5:$E$489, '📋 Detalle Diario'!$B$5:$B$489, B3809, '📋 Detalle Diario'!$C$5:$C$489, D3809) * 135 + SUMIFS('📋 Detalle Diario'!$I$5:$I$489, '📋 Detalle Diario'!$B$5:$B$489, B3809, '📋 Detalle Diario'!$C$5:$C$489, D3809) * 200), 0))</f>
        <v/>
      </c>
      <c r="P3809" s="32" t="str">
        <f t="shared" si="418"/>
        <v/>
      </c>
      <c r="Q3809" s="33" t="str">
        <f t="shared" si="419"/>
        <v/>
      </c>
    </row>
    <row r="3810" spans="2:17" ht="18" customHeight="1" x14ac:dyDescent="0.3">
      <c r="B3810" s="26"/>
      <c r="C3810" s="17"/>
      <c r="D3810" s="27"/>
      <c r="E3810" s="18"/>
      <c r="F3810" s="18"/>
      <c r="G3810" s="18"/>
      <c r="H3810" s="30" t="str">
        <f t="shared" si="413"/>
        <v/>
      </c>
      <c r="I3810" s="31" t="str">
        <f>IF(OR(B3810="",C3810=""),"",IFERROR(E3810*IF(E3810="",0,VLOOKUP(C3810,'📦 Precios Proforma'!$B$5:$D$104,IF(D3810="DIA",2,3),FALSE)),0))</f>
        <v/>
      </c>
      <c r="J3810" s="31" t="str">
        <f t="shared" si="414"/>
        <v/>
      </c>
      <c r="K3810" s="31" t="str">
        <f t="shared" si="415"/>
        <v/>
      </c>
      <c r="L3810" s="31" t="str">
        <f>IF(OR(B3810="",C3810=""),"",IFERROR(E3810 / SUMIFS('📅 Resumen Diario'!$D$5:$D$504, '📅 Resumen Diario'!$B$5:$B$504, B3810, '📅 Resumen Diario'!$C$5:$C$504, D3810) * SUMIFS('📅 Resumen Diario'!$K$5:$K$504, '📅 Resumen Diario'!$B$5:$B$504, B3810, '📅 Resumen Diario'!$C$5:$C$504, D3810), 0))</f>
        <v/>
      </c>
      <c r="M3810" s="31" t="str">
        <f t="shared" si="416"/>
        <v/>
      </c>
      <c r="N3810" s="31" t="str">
        <f t="shared" si="417"/>
        <v/>
      </c>
      <c r="O3810" s="31" t="str">
        <f>IF(OR(B3810="",C3810=""),"",K3810-N3810 + IFERROR(E3810 / SUMIFS('📅 Resumen Diario'!$D$5:$D$504, '📅 Resumen Diario'!$B$5:$B$504, B3810, '📅 Resumen Diario'!$C$5:$C$504, D3810) * (SUMIFS('📋 Detalle Diario'!$E$5:$E$489, '📋 Detalle Diario'!$B$5:$B$489, B3810, '📋 Detalle Diario'!$C$5:$C$489, D3810) * 135 + SUMIFS('📋 Detalle Diario'!$I$5:$I$489, '📋 Detalle Diario'!$B$5:$B$489, B3810, '📋 Detalle Diario'!$C$5:$C$489, D3810) * 200), 0))</f>
        <v/>
      </c>
      <c r="P3810" s="32" t="str">
        <f t="shared" si="418"/>
        <v/>
      </c>
      <c r="Q3810" s="33" t="str">
        <f t="shared" si="419"/>
        <v/>
      </c>
    </row>
    <row r="3811" spans="2:17" ht="18" customHeight="1" x14ac:dyDescent="0.3">
      <c r="B3811" s="26"/>
      <c r="C3811" s="28"/>
      <c r="D3811" s="27"/>
      <c r="E3811" s="29"/>
      <c r="F3811" s="29"/>
      <c r="G3811" s="29"/>
      <c r="H3811" s="30" t="str">
        <f t="shared" si="413"/>
        <v/>
      </c>
      <c r="I3811" s="31" t="str">
        <f>IF(OR(B3811="",C3811=""),"",IFERROR(E3811*IF(E3811="",0,VLOOKUP(C3811,'📦 Precios Proforma'!$B$5:$D$104,IF(D3811="DIA",2,3),FALSE)),0))</f>
        <v/>
      </c>
      <c r="J3811" s="31" t="str">
        <f t="shared" si="414"/>
        <v/>
      </c>
      <c r="K3811" s="31" t="str">
        <f t="shared" si="415"/>
        <v/>
      </c>
      <c r="L3811" s="31" t="str">
        <f>IF(OR(B3811="",C3811=""),"",IFERROR(E3811 / SUMIFS('📅 Resumen Diario'!$D$5:$D$504, '📅 Resumen Diario'!$B$5:$B$504, B3811, '📅 Resumen Diario'!$C$5:$C$504, D3811) * SUMIFS('📅 Resumen Diario'!$K$5:$K$504, '📅 Resumen Diario'!$B$5:$B$504, B3811, '📅 Resumen Diario'!$C$5:$C$504, D3811), 0))</f>
        <v/>
      </c>
      <c r="M3811" s="31" t="str">
        <f t="shared" si="416"/>
        <v/>
      </c>
      <c r="N3811" s="31" t="str">
        <f t="shared" si="417"/>
        <v/>
      </c>
      <c r="O3811" s="31" t="str">
        <f>IF(OR(B3811="",C3811=""),"",K3811-N3811 + IFERROR(E3811 / SUMIFS('📅 Resumen Diario'!$D$5:$D$504, '📅 Resumen Diario'!$B$5:$B$504, B3811, '📅 Resumen Diario'!$C$5:$C$504, D3811) * (SUMIFS('📋 Detalle Diario'!$E$5:$E$489, '📋 Detalle Diario'!$B$5:$B$489, B3811, '📋 Detalle Diario'!$C$5:$C$489, D3811) * 135 + SUMIFS('📋 Detalle Diario'!$I$5:$I$489, '📋 Detalle Diario'!$B$5:$B$489, B3811, '📋 Detalle Diario'!$C$5:$C$489, D3811) * 200), 0))</f>
        <v/>
      </c>
      <c r="P3811" s="32" t="str">
        <f t="shared" si="418"/>
        <v/>
      </c>
      <c r="Q3811" s="33" t="str">
        <f t="shared" si="419"/>
        <v/>
      </c>
    </row>
    <row r="3812" spans="2:17" ht="18" customHeight="1" x14ac:dyDescent="0.3">
      <c r="B3812" s="26"/>
      <c r="C3812" s="17"/>
      <c r="D3812" s="27"/>
      <c r="E3812" s="18"/>
      <c r="F3812" s="18"/>
      <c r="G3812" s="18"/>
      <c r="H3812" s="30" t="str">
        <f t="shared" si="413"/>
        <v/>
      </c>
      <c r="I3812" s="31" t="str">
        <f>IF(OR(B3812="",C3812=""),"",IFERROR(E3812*IF(E3812="",0,VLOOKUP(C3812,'📦 Precios Proforma'!$B$5:$D$104,IF(D3812="DIA",2,3),FALSE)),0))</f>
        <v/>
      </c>
      <c r="J3812" s="31" t="str">
        <f t="shared" si="414"/>
        <v/>
      </c>
      <c r="K3812" s="31" t="str">
        <f t="shared" si="415"/>
        <v/>
      </c>
      <c r="L3812" s="31" t="str">
        <f>IF(OR(B3812="",C3812=""),"",IFERROR(E3812 / SUMIFS('📅 Resumen Diario'!$D$5:$D$504, '📅 Resumen Diario'!$B$5:$B$504, B3812, '📅 Resumen Diario'!$C$5:$C$504, D3812) * SUMIFS('📅 Resumen Diario'!$K$5:$K$504, '📅 Resumen Diario'!$B$5:$B$504, B3812, '📅 Resumen Diario'!$C$5:$C$504, D3812), 0))</f>
        <v/>
      </c>
      <c r="M3812" s="31" t="str">
        <f t="shared" si="416"/>
        <v/>
      </c>
      <c r="N3812" s="31" t="str">
        <f t="shared" si="417"/>
        <v/>
      </c>
      <c r="O3812" s="31" t="str">
        <f>IF(OR(B3812="",C3812=""),"",K3812-N3812 + IFERROR(E3812 / SUMIFS('📅 Resumen Diario'!$D$5:$D$504, '📅 Resumen Diario'!$B$5:$B$504, B3812, '📅 Resumen Diario'!$C$5:$C$504, D3812) * (SUMIFS('📋 Detalle Diario'!$E$5:$E$489, '📋 Detalle Diario'!$B$5:$B$489, B3812, '📋 Detalle Diario'!$C$5:$C$489, D3812) * 135 + SUMIFS('📋 Detalle Diario'!$I$5:$I$489, '📋 Detalle Diario'!$B$5:$B$489, B3812, '📋 Detalle Diario'!$C$5:$C$489, D3812) * 200), 0))</f>
        <v/>
      </c>
      <c r="P3812" s="32" t="str">
        <f t="shared" si="418"/>
        <v/>
      </c>
      <c r="Q3812" s="33" t="str">
        <f t="shared" si="419"/>
        <v/>
      </c>
    </row>
    <row r="3813" spans="2:17" ht="18" customHeight="1" x14ac:dyDescent="0.3">
      <c r="B3813" s="26"/>
      <c r="C3813" s="28"/>
      <c r="D3813" s="27"/>
      <c r="E3813" s="29"/>
      <c r="F3813" s="29"/>
      <c r="G3813" s="29"/>
      <c r="H3813" s="30" t="str">
        <f t="shared" si="413"/>
        <v/>
      </c>
      <c r="I3813" s="31" t="str">
        <f>IF(OR(B3813="",C3813=""),"",IFERROR(E3813*IF(E3813="",0,VLOOKUP(C3813,'📦 Precios Proforma'!$B$5:$D$104,IF(D3813="DIA",2,3),FALSE)),0))</f>
        <v/>
      </c>
      <c r="J3813" s="31" t="str">
        <f t="shared" si="414"/>
        <v/>
      </c>
      <c r="K3813" s="31" t="str">
        <f t="shared" si="415"/>
        <v/>
      </c>
      <c r="L3813" s="31" t="str">
        <f>IF(OR(B3813="",C3813=""),"",IFERROR(E3813 / SUMIFS('📅 Resumen Diario'!$D$5:$D$504, '📅 Resumen Diario'!$B$5:$B$504, B3813, '📅 Resumen Diario'!$C$5:$C$504, D3813) * SUMIFS('📅 Resumen Diario'!$K$5:$K$504, '📅 Resumen Diario'!$B$5:$B$504, B3813, '📅 Resumen Diario'!$C$5:$C$504, D3813), 0))</f>
        <v/>
      </c>
      <c r="M3813" s="31" t="str">
        <f t="shared" si="416"/>
        <v/>
      </c>
      <c r="N3813" s="31" t="str">
        <f t="shared" si="417"/>
        <v/>
      </c>
      <c r="O3813" s="31" t="str">
        <f>IF(OR(B3813="",C3813=""),"",K3813-N3813 + IFERROR(E3813 / SUMIFS('📅 Resumen Diario'!$D$5:$D$504, '📅 Resumen Diario'!$B$5:$B$504, B3813, '📅 Resumen Diario'!$C$5:$C$504, D3813) * (SUMIFS('📋 Detalle Diario'!$E$5:$E$489, '📋 Detalle Diario'!$B$5:$B$489, B3813, '📋 Detalle Diario'!$C$5:$C$489, D3813) * 135 + SUMIFS('📋 Detalle Diario'!$I$5:$I$489, '📋 Detalle Diario'!$B$5:$B$489, B3813, '📋 Detalle Diario'!$C$5:$C$489, D3813) * 200), 0))</f>
        <v/>
      </c>
      <c r="P3813" s="32" t="str">
        <f t="shared" si="418"/>
        <v/>
      </c>
      <c r="Q3813" s="33" t="str">
        <f t="shared" si="419"/>
        <v/>
      </c>
    </row>
    <row r="3814" spans="2:17" ht="18" customHeight="1" x14ac:dyDescent="0.3">
      <c r="B3814" s="26"/>
      <c r="C3814" s="17"/>
      <c r="D3814" s="27"/>
      <c r="E3814" s="18"/>
      <c r="F3814" s="18"/>
      <c r="G3814" s="18"/>
      <c r="H3814" s="30" t="str">
        <f t="shared" si="413"/>
        <v/>
      </c>
      <c r="I3814" s="31" t="str">
        <f>IF(OR(B3814="",C3814=""),"",IFERROR(E3814*IF(E3814="",0,VLOOKUP(C3814,'📦 Precios Proforma'!$B$5:$D$104,IF(D3814="DIA",2,3),FALSE)),0))</f>
        <v/>
      </c>
      <c r="J3814" s="31" t="str">
        <f t="shared" si="414"/>
        <v/>
      </c>
      <c r="K3814" s="31" t="str">
        <f t="shared" si="415"/>
        <v/>
      </c>
      <c r="L3814" s="31" t="str">
        <f>IF(OR(B3814="",C3814=""),"",IFERROR(E3814 / SUMIFS('📅 Resumen Diario'!$D$5:$D$504, '📅 Resumen Diario'!$B$5:$B$504, B3814, '📅 Resumen Diario'!$C$5:$C$504, D3814) * SUMIFS('📅 Resumen Diario'!$K$5:$K$504, '📅 Resumen Diario'!$B$5:$B$504, B3814, '📅 Resumen Diario'!$C$5:$C$504, D3814), 0))</f>
        <v/>
      </c>
      <c r="M3814" s="31" t="str">
        <f t="shared" si="416"/>
        <v/>
      </c>
      <c r="N3814" s="31" t="str">
        <f t="shared" si="417"/>
        <v/>
      </c>
      <c r="O3814" s="31" t="str">
        <f>IF(OR(B3814="",C3814=""),"",K3814-N3814 + IFERROR(E3814 / SUMIFS('📅 Resumen Diario'!$D$5:$D$504, '📅 Resumen Diario'!$B$5:$B$504, B3814, '📅 Resumen Diario'!$C$5:$C$504, D3814) * (SUMIFS('📋 Detalle Diario'!$E$5:$E$489, '📋 Detalle Diario'!$B$5:$B$489, B3814, '📋 Detalle Diario'!$C$5:$C$489, D3814) * 135 + SUMIFS('📋 Detalle Diario'!$I$5:$I$489, '📋 Detalle Diario'!$B$5:$B$489, B3814, '📋 Detalle Diario'!$C$5:$C$489, D3814) * 200), 0))</f>
        <v/>
      </c>
      <c r="P3814" s="32" t="str">
        <f t="shared" si="418"/>
        <v/>
      </c>
      <c r="Q3814" s="33" t="str">
        <f t="shared" si="419"/>
        <v/>
      </c>
    </row>
    <row r="3815" spans="2:17" ht="18" customHeight="1" x14ac:dyDescent="0.3">
      <c r="B3815" s="26"/>
      <c r="C3815" s="28"/>
      <c r="D3815" s="27"/>
      <c r="E3815" s="29"/>
      <c r="F3815" s="29"/>
      <c r="G3815" s="29"/>
      <c r="H3815" s="30" t="str">
        <f t="shared" si="413"/>
        <v/>
      </c>
      <c r="I3815" s="31" t="str">
        <f>IF(OR(B3815="",C3815=""),"",IFERROR(E3815*IF(E3815="",0,VLOOKUP(C3815,'📦 Precios Proforma'!$B$5:$D$104,IF(D3815="DIA",2,3),FALSE)),0))</f>
        <v/>
      </c>
      <c r="J3815" s="31" t="str">
        <f t="shared" si="414"/>
        <v/>
      </c>
      <c r="K3815" s="31" t="str">
        <f t="shared" si="415"/>
        <v/>
      </c>
      <c r="L3815" s="31" t="str">
        <f>IF(OR(B3815="",C3815=""),"",IFERROR(E3815 / SUMIFS('📅 Resumen Diario'!$D$5:$D$504, '📅 Resumen Diario'!$B$5:$B$504, B3815, '📅 Resumen Diario'!$C$5:$C$504, D3815) * SUMIFS('📅 Resumen Diario'!$K$5:$K$504, '📅 Resumen Diario'!$B$5:$B$504, B3815, '📅 Resumen Diario'!$C$5:$C$504, D3815), 0))</f>
        <v/>
      </c>
      <c r="M3815" s="31" t="str">
        <f t="shared" si="416"/>
        <v/>
      </c>
      <c r="N3815" s="31" t="str">
        <f t="shared" si="417"/>
        <v/>
      </c>
      <c r="O3815" s="31" t="str">
        <f>IF(OR(B3815="",C3815=""),"",K3815-N3815 + IFERROR(E3815 / SUMIFS('📅 Resumen Diario'!$D$5:$D$504, '📅 Resumen Diario'!$B$5:$B$504, B3815, '📅 Resumen Diario'!$C$5:$C$504, D3815) * (SUMIFS('📋 Detalle Diario'!$E$5:$E$489, '📋 Detalle Diario'!$B$5:$B$489, B3815, '📋 Detalle Diario'!$C$5:$C$489, D3815) * 135 + SUMIFS('📋 Detalle Diario'!$I$5:$I$489, '📋 Detalle Diario'!$B$5:$B$489, B3815, '📋 Detalle Diario'!$C$5:$C$489, D3815) * 200), 0))</f>
        <v/>
      </c>
      <c r="P3815" s="32" t="str">
        <f t="shared" si="418"/>
        <v/>
      </c>
      <c r="Q3815" s="33" t="str">
        <f t="shared" si="419"/>
        <v/>
      </c>
    </row>
    <row r="3816" spans="2:17" ht="18" customHeight="1" x14ac:dyDescent="0.3">
      <c r="B3816" s="26"/>
      <c r="C3816" s="17"/>
      <c r="D3816" s="27"/>
      <c r="E3816" s="18"/>
      <c r="F3816" s="18"/>
      <c r="G3816" s="18"/>
      <c r="H3816" s="30" t="str">
        <f t="shared" si="413"/>
        <v/>
      </c>
      <c r="I3816" s="31" t="str">
        <f>IF(OR(B3816="",C3816=""),"",IFERROR(E3816*IF(E3816="",0,VLOOKUP(C3816,'📦 Precios Proforma'!$B$5:$D$104,IF(D3816="DIA",2,3),FALSE)),0))</f>
        <v/>
      </c>
      <c r="J3816" s="31" t="str">
        <f t="shared" si="414"/>
        <v/>
      </c>
      <c r="K3816" s="31" t="str">
        <f t="shared" si="415"/>
        <v/>
      </c>
      <c r="L3816" s="31" t="str">
        <f>IF(OR(B3816="",C3816=""),"",IFERROR(E3816 / SUMIFS('📅 Resumen Diario'!$D$5:$D$504, '📅 Resumen Diario'!$B$5:$B$504, B3816, '📅 Resumen Diario'!$C$5:$C$504, D3816) * SUMIFS('📅 Resumen Diario'!$K$5:$K$504, '📅 Resumen Diario'!$B$5:$B$504, B3816, '📅 Resumen Diario'!$C$5:$C$504, D3816), 0))</f>
        <v/>
      </c>
      <c r="M3816" s="31" t="str">
        <f t="shared" si="416"/>
        <v/>
      </c>
      <c r="N3816" s="31" t="str">
        <f t="shared" si="417"/>
        <v/>
      </c>
      <c r="O3816" s="31" t="str">
        <f>IF(OR(B3816="",C3816=""),"",K3816-N3816 + IFERROR(E3816 / SUMIFS('📅 Resumen Diario'!$D$5:$D$504, '📅 Resumen Diario'!$B$5:$B$504, B3816, '📅 Resumen Diario'!$C$5:$C$504, D3816) * (SUMIFS('📋 Detalle Diario'!$E$5:$E$489, '📋 Detalle Diario'!$B$5:$B$489, B3816, '📋 Detalle Diario'!$C$5:$C$489, D3816) * 135 + SUMIFS('📋 Detalle Diario'!$I$5:$I$489, '📋 Detalle Diario'!$B$5:$B$489, B3816, '📋 Detalle Diario'!$C$5:$C$489, D3816) * 200), 0))</f>
        <v/>
      </c>
      <c r="P3816" s="32" t="str">
        <f t="shared" si="418"/>
        <v/>
      </c>
      <c r="Q3816" s="33" t="str">
        <f t="shared" si="419"/>
        <v/>
      </c>
    </row>
    <row r="3817" spans="2:17" ht="18" customHeight="1" x14ac:dyDescent="0.3">
      <c r="B3817" s="26"/>
      <c r="C3817" s="28"/>
      <c r="D3817" s="27"/>
      <c r="E3817" s="29"/>
      <c r="F3817" s="29"/>
      <c r="G3817" s="29"/>
      <c r="H3817" s="30" t="str">
        <f t="shared" si="413"/>
        <v/>
      </c>
      <c r="I3817" s="31" t="str">
        <f>IF(OR(B3817="",C3817=""),"",IFERROR(E3817*IF(E3817="",0,VLOOKUP(C3817,'📦 Precios Proforma'!$B$5:$D$104,IF(D3817="DIA",2,3),FALSE)),0))</f>
        <v/>
      </c>
      <c r="J3817" s="31" t="str">
        <f t="shared" si="414"/>
        <v/>
      </c>
      <c r="K3817" s="31" t="str">
        <f t="shared" si="415"/>
        <v/>
      </c>
      <c r="L3817" s="31" t="str">
        <f>IF(OR(B3817="",C3817=""),"",IFERROR(E3817 / SUMIFS('📅 Resumen Diario'!$D$5:$D$504, '📅 Resumen Diario'!$B$5:$B$504, B3817, '📅 Resumen Diario'!$C$5:$C$504, D3817) * SUMIFS('📅 Resumen Diario'!$K$5:$K$504, '📅 Resumen Diario'!$B$5:$B$504, B3817, '📅 Resumen Diario'!$C$5:$C$504, D3817), 0))</f>
        <v/>
      </c>
      <c r="M3817" s="31" t="str">
        <f t="shared" si="416"/>
        <v/>
      </c>
      <c r="N3817" s="31" t="str">
        <f t="shared" si="417"/>
        <v/>
      </c>
      <c r="O3817" s="31" t="str">
        <f>IF(OR(B3817="",C3817=""),"",K3817-N3817 + IFERROR(E3817 / SUMIFS('📅 Resumen Diario'!$D$5:$D$504, '📅 Resumen Diario'!$B$5:$B$504, B3817, '📅 Resumen Diario'!$C$5:$C$504, D3817) * (SUMIFS('📋 Detalle Diario'!$E$5:$E$489, '📋 Detalle Diario'!$B$5:$B$489, B3817, '📋 Detalle Diario'!$C$5:$C$489, D3817) * 135 + SUMIFS('📋 Detalle Diario'!$I$5:$I$489, '📋 Detalle Diario'!$B$5:$B$489, B3817, '📋 Detalle Diario'!$C$5:$C$489, D3817) * 200), 0))</f>
        <v/>
      </c>
      <c r="P3817" s="32" t="str">
        <f t="shared" si="418"/>
        <v/>
      </c>
      <c r="Q3817" s="33" t="str">
        <f t="shared" si="419"/>
        <v/>
      </c>
    </row>
    <row r="3818" spans="2:17" ht="18" customHeight="1" x14ac:dyDescent="0.3">
      <c r="B3818" s="26"/>
      <c r="C3818" s="17"/>
      <c r="D3818" s="27"/>
      <c r="E3818" s="18"/>
      <c r="F3818" s="18"/>
      <c r="G3818" s="18"/>
      <c r="H3818" s="30" t="str">
        <f t="shared" si="413"/>
        <v/>
      </c>
      <c r="I3818" s="31" t="str">
        <f>IF(OR(B3818="",C3818=""),"",IFERROR(E3818*IF(E3818="",0,VLOOKUP(C3818,'📦 Precios Proforma'!$B$5:$D$104,IF(D3818="DIA",2,3),FALSE)),0))</f>
        <v/>
      </c>
      <c r="J3818" s="31" t="str">
        <f t="shared" si="414"/>
        <v/>
      </c>
      <c r="K3818" s="31" t="str">
        <f t="shared" si="415"/>
        <v/>
      </c>
      <c r="L3818" s="31" t="str">
        <f>IF(OR(B3818="",C3818=""),"",IFERROR(E3818 / SUMIFS('📅 Resumen Diario'!$D$5:$D$504, '📅 Resumen Diario'!$B$5:$B$504, B3818, '📅 Resumen Diario'!$C$5:$C$504, D3818) * SUMIFS('📅 Resumen Diario'!$K$5:$K$504, '📅 Resumen Diario'!$B$5:$B$504, B3818, '📅 Resumen Diario'!$C$5:$C$504, D3818), 0))</f>
        <v/>
      </c>
      <c r="M3818" s="31" t="str">
        <f t="shared" si="416"/>
        <v/>
      </c>
      <c r="N3818" s="31" t="str">
        <f t="shared" si="417"/>
        <v/>
      </c>
      <c r="O3818" s="31" t="str">
        <f>IF(OR(B3818="",C3818=""),"",K3818-N3818 + IFERROR(E3818 / SUMIFS('📅 Resumen Diario'!$D$5:$D$504, '📅 Resumen Diario'!$B$5:$B$504, B3818, '📅 Resumen Diario'!$C$5:$C$504, D3818) * (SUMIFS('📋 Detalle Diario'!$E$5:$E$489, '📋 Detalle Diario'!$B$5:$B$489, B3818, '📋 Detalle Diario'!$C$5:$C$489, D3818) * 135 + SUMIFS('📋 Detalle Diario'!$I$5:$I$489, '📋 Detalle Diario'!$B$5:$B$489, B3818, '📋 Detalle Diario'!$C$5:$C$489, D3818) * 200), 0))</f>
        <v/>
      </c>
      <c r="P3818" s="32" t="str">
        <f t="shared" si="418"/>
        <v/>
      </c>
      <c r="Q3818" s="33" t="str">
        <f t="shared" si="419"/>
        <v/>
      </c>
    </row>
    <row r="3819" spans="2:17" ht="18" customHeight="1" x14ac:dyDescent="0.3">
      <c r="B3819" s="26"/>
      <c r="C3819" s="28"/>
      <c r="D3819" s="27"/>
      <c r="E3819" s="29"/>
      <c r="F3819" s="29"/>
      <c r="G3819" s="29"/>
      <c r="H3819" s="30" t="str">
        <f t="shared" si="413"/>
        <v/>
      </c>
      <c r="I3819" s="31" t="str">
        <f>IF(OR(B3819="",C3819=""),"",IFERROR(E3819*IF(E3819="",0,VLOOKUP(C3819,'📦 Precios Proforma'!$B$5:$D$104,IF(D3819="DIA",2,3),FALSE)),0))</f>
        <v/>
      </c>
      <c r="J3819" s="31" t="str">
        <f t="shared" si="414"/>
        <v/>
      </c>
      <c r="K3819" s="31" t="str">
        <f t="shared" si="415"/>
        <v/>
      </c>
      <c r="L3819" s="31" t="str">
        <f>IF(OR(B3819="",C3819=""),"",IFERROR(E3819 / SUMIFS('📅 Resumen Diario'!$D$5:$D$504, '📅 Resumen Diario'!$B$5:$B$504, B3819, '📅 Resumen Diario'!$C$5:$C$504, D3819) * SUMIFS('📅 Resumen Diario'!$K$5:$K$504, '📅 Resumen Diario'!$B$5:$B$504, B3819, '📅 Resumen Diario'!$C$5:$C$504, D3819), 0))</f>
        <v/>
      </c>
      <c r="M3819" s="31" t="str">
        <f t="shared" si="416"/>
        <v/>
      </c>
      <c r="N3819" s="31" t="str">
        <f t="shared" si="417"/>
        <v/>
      </c>
      <c r="O3819" s="31" t="str">
        <f>IF(OR(B3819="",C3819=""),"",K3819-N3819 + IFERROR(E3819 / SUMIFS('📅 Resumen Diario'!$D$5:$D$504, '📅 Resumen Diario'!$B$5:$B$504, B3819, '📅 Resumen Diario'!$C$5:$C$504, D3819) * (SUMIFS('📋 Detalle Diario'!$E$5:$E$489, '📋 Detalle Diario'!$B$5:$B$489, B3819, '📋 Detalle Diario'!$C$5:$C$489, D3819) * 135 + SUMIFS('📋 Detalle Diario'!$I$5:$I$489, '📋 Detalle Diario'!$B$5:$B$489, B3819, '📋 Detalle Diario'!$C$5:$C$489, D3819) * 200), 0))</f>
        <v/>
      </c>
      <c r="P3819" s="32" t="str">
        <f t="shared" si="418"/>
        <v/>
      </c>
      <c r="Q3819" s="33" t="str">
        <f t="shared" si="419"/>
        <v/>
      </c>
    </row>
    <row r="3820" spans="2:17" ht="18" customHeight="1" x14ac:dyDescent="0.3">
      <c r="B3820" s="26"/>
      <c r="C3820" s="17"/>
      <c r="D3820" s="27"/>
      <c r="E3820" s="18"/>
      <c r="F3820" s="18"/>
      <c r="G3820" s="18"/>
      <c r="H3820" s="30" t="str">
        <f t="shared" si="413"/>
        <v/>
      </c>
      <c r="I3820" s="31" t="str">
        <f>IF(OR(B3820="",C3820=""),"",IFERROR(E3820*IF(E3820="",0,VLOOKUP(C3820,'📦 Precios Proforma'!$B$5:$D$104,IF(D3820="DIA",2,3),FALSE)),0))</f>
        <v/>
      </c>
      <c r="J3820" s="31" t="str">
        <f t="shared" si="414"/>
        <v/>
      </c>
      <c r="K3820" s="31" t="str">
        <f t="shared" si="415"/>
        <v/>
      </c>
      <c r="L3820" s="31" t="str">
        <f>IF(OR(B3820="",C3820=""),"",IFERROR(E3820 / SUMIFS('📅 Resumen Diario'!$D$5:$D$504, '📅 Resumen Diario'!$B$5:$B$504, B3820, '📅 Resumen Diario'!$C$5:$C$504, D3820) * SUMIFS('📅 Resumen Diario'!$K$5:$K$504, '📅 Resumen Diario'!$B$5:$B$504, B3820, '📅 Resumen Diario'!$C$5:$C$504, D3820), 0))</f>
        <v/>
      </c>
      <c r="M3820" s="31" t="str">
        <f t="shared" si="416"/>
        <v/>
      </c>
      <c r="N3820" s="31" t="str">
        <f t="shared" si="417"/>
        <v/>
      </c>
      <c r="O3820" s="31" t="str">
        <f>IF(OR(B3820="",C3820=""),"",K3820-N3820 + IFERROR(E3820 / SUMIFS('📅 Resumen Diario'!$D$5:$D$504, '📅 Resumen Diario'!$B$5:$B$504, B3820, '📅 Resumen Diario'!$C$5:$C$504, D3820) * (SUMIFS('📋 Detalle Diario'!$E$5:$E$489, '📋 Detalle Diario'!$B$5:$B$489, B3820, '📋 Detalle Diario'!$C$5:$C$489, D3820) * 135 + SUMIFS('📋 Detalle Diario'!$I$5:$I$489, '📋 Detalle Diario'!$B$5:$B$489, B3820, '📋 Detalle Diario'!$C$5:$C$489, D3820) * 200), 0))</f>
        <v/>
      </c>
      <c r="P3820" s="32" t="str">
        <f t="shared" si="418"/>
        <v/>
      </c>
      <c r="Q3820" s="33" t="str">
        <f t="shared" si="419"/>
        <v/>
      </c>
    </row>
    <row r="3821" spans="2:17" ht="18" customHeight="1" x14ac:dyDescent="0.3">
      <c r="B3821" s="26"/>
      <c r="C3821" s="28"/>
      <c r="D3821" s="27"/>
      <c r="E3821" s="29"/>
      <c r="F3821" s="29"/>
      <c r="G3821" s="29"/>
      <c r="H3821" s="30" t="str">
        <f t="shared" si="413"/>
        <v/>
      </c>
      <c r="I3821" s="31" t="str">
        <f>IF(OR(B3821="",C3821=""),"",IFERROR(E3821*IF(E3821="",0,VLOOKUP(C3821,'📦 Precios Proforma'!$B$5:$D$104,IF(D3821="DIA",2,3),FALSE)),0))</f>
        <v/>
      </c>
      <c r="J3821" s="31" t="str">
        <f t="shared" si="414"/>
        <v/>
      </c>
      <c r="K3821" s="31" t="str">
        <f t="shared" si="415"/>
        <v/>
      </c>
      <c r="L3821" s="31" t="str">
        <f>IF(OR(B3821="",C3821=""),"",IFERROR(E3821 / SUMIFS('📅 Resumen Diario'!$D$5:$D$504, '📅 Resumen Diario'!$B$5:$B$504, B3821, '📅 Resumen Diario'!$C$5:$C$504, D3821) * SUMIFS('📅 Resumen Diario'!$K$5:$K$504, '📅 Resumen Diario'!$B$5:$B$504, B3821, '📅 Resumen Diario'!$C$5:$C$504, D3821), 0))</f>
        <v/>
      </c>
      <c r="M3821" s="31" t="str">
        <f t="shared" si="416"/>
        <v/>
      </c>
      <c r="N3821" s="31" t="str">
        <f t="shared" si="417"/>
        <v/>
      </c>
      <c r="O3821" s="31" t="str">
        <f>IF(OR(B3821="",C3821=""),"",K3821-N3821 + IFERROR(E3821 / SUMIFS('📅 Resumen Diario'!$D$5:$D$504, '📅 Resumen Diario'!$B$5:$B$504, B3821, '📅 Resumen Diario'!$C$5:$C$504, D3821) * (SUMIFS('📋 Detalle Diario'!$E$5:$E$489, '📋 Detalle Diario'!$B$5:$B$489, B3821, '📋 Detalle Diario'!$C$5:$C$489, D3821) * 135 + SUMIFS('📋 Detalle Diario'!$I$5:$I$489, '📋 Detalle Diario'!$B$5:$B$489, B3821, '📋 Detalle Diario'!$C$5:$C$489, D3821) * 200), 0))</f>
        <v/>
      </c>
      <c r="P3821" s="32" t="str">
        <f t="shared" si="418"/>
        <v/>
      </c>
      <c r="Q3821" s="33" t="str">
        <f t="shared" si="419"/>
        <v/>
      </c>
    </row>
    <row r="3822" spans="2:17" ht="18" customHeight="1" x14ac:dyDescent="0.3">
      <c r="B3822" s="26"/>
      <c r="C3822" s="17"/>
      <c r="D3822" s="27"/>
      <c r="E3822" s="18"/>
      <c r="F3822" s="18"/>
      <c r="G3822" s="18"/>
      <c r="H3822" s="30" t="str">
        <f t="shared" si="413"/>
        <v/>
      </c>
      <c r="I3822" s="31" t="str">
        <f>IF(OR(B3822="",C3822=""),"",IFERROR(E3822*IF(E3822="",0,VLOOKUP(C3822,'📦 Precios Proforma'!$B$5:$D$104,IF(D3822="DIA",2,3),FALSE)),0))</f>
        <v/>
      </c>
      <c r="J3822" s="31" t="str">
        <f t="shared" si="414"/>
        <v/>
      </c>
      <c r="K3822" s="31" t="str">
        <f t="shared" si="415"/>
        <v/>
      </c>
      <c r="L3822" s="31" t="str">
        <f>IF(OR(B3822="",C3822=""),"",IFERROR(E3822 / SUMIFS('📅 Resumen Diario'!$D$5:$D$504, '📅 Resumen Diario'!$B$5:$B$504, B3822, '📅 Resumen Diario'!$C$5:$C$504, D3822) * SUMIFS('📅 Resumen Diario'!$K$5:$K$504, '📅 Resumen Diario'!$B$5:$B$504, B3822, '📅 Resumen Diario'!$C$5:$C$504, D3822), 0))</f>
        <v/>
      </c>
      <c r="M3822" s="31" t="str">
        <f t="shared" si="416"/>
        <v/>
      </c>
      <c r="N3822" s="31" t="str">
        <f t="shared" si="417"/>
        <v/>
      </c>
      <c r="O3822" s="31" t="str">
        <f>IF(OR(B3822="",C3822=""),"",K3822-N3822 + IFERROR(E3822 / SUMIFS('📅 Resumen Diario'!$D$5:$D$504, '📅 Resumen Diario'!$B$5:$B$504, B3822, '📅 Resumen Diario'!$C$5:$C$504, D3822) * (SUMIFS('📋 Detalle Diario'!$E$5:$E$489, '📋 Detalle Diario'!$B$5:$B$489, B3822, '📋 Detalle Diario'!$C$5:$C$489, D3822) * 135 + SUMIFS('📋 Detalle Diario'!$I$5:$I$489, '📋 Detalle Diario'!$B$5:$B$489, B3822, '📋 Detalle Diario'!$C$5:$C$489, D3822) * 200), 0))</f>
        <v/>
      </c>
      <c r="P3822" s="32" t="str">
        <f t="shared" si="418"/>
        <v/>
      </c>
      <c r="Q3822" s="33" t="str">
        <f t="shared" si="419"/>
        <v/>
      </c>
    </row>
    <row r="3823" spans="2:17" ht="18" customHeight="1" x14ac:dyDescent="0.3">
      <c r="B3823" s="26"/>
      <c r="C3823" s="28"/>
      <c r="D3823" s="27"/>
      <c r="E3823" s="29"/>
      <c r="F3823" s="29"/>
      <c r="G3823" s="29"/>
      <c r="H3823" s="30" t="str">
        <f t="shared" si="413"/>
        <v/>
      </c>
      <c r="I3823" s="31" t="str">
        <f>IF(OR(B3823="",C3823=""),"",IFERROR(E3823*IF(E3823="",0,VLOOKUP(C3823,'📦 Precios Proforma'!$B$5:$D$104,IF(D3823="DIA",2,3),FALSE)),0))</f>
        <v/>
      </c>
      <c r="J3823" s="31" t="str">
        <f t="shared" si="414"/>
        <v/>
      </c>
      <c r="K3823" s="31" t="str">
        <f t="shared" si="415"/>
        <v/>
      </c>
      <c r="L3823" s="31" t="str">
        <f>IF(OR(B3823="",C3823=""),"",IFERROR(E3823 / SUMIFS('📅 Resumen Diario'!$D$5:$D$504, '📅 Resumen Diario'!$B$5:$B$504, B3823, '📅 Resumen Diario'!$C$5:$C$504, D3823) * SUMIFS('📅 Resumen Diario'!$K$5:$K$504, '📅 Resumen Diario'!$B$5:$B$504, B3823, '📅 Resumen Diario'!$C$5:$C$504, D3823), 0))</f>
        <v/>
      </c>
      <c r="M3823" s="31" t="str">
        <f t="shared" si="416"/>
        <v/>
      </c>
      <c r="N3823" s="31" t="str">
        <f t="shared" si="417"/>
        <v/>
      </c>
      <c r="O3823" s="31" t="str">
        <f>IF(OR(B3823="",C3823=""),"",K3823-N3823 + IFERROR(E3823 / SUMIFS('📅 Resumen Diario'!$D$5:$D$504, '📅 Resumen Diario'!$B$5:$B$504, B3823, '📅 Resumen Diario'!$C$5:$C$504, D3823) * (SUMIFS('📋 Detalle Diario'!$E$5:$E$489, '📋 Detalle Diario'!$B$5:$B$489, B3823, '📋 Detalle Diario'!$C$5:$C$489, D3823) * 135 + SUMIFS('📋 Detalle Diario'!$I$5:$I$489, '📋 Detalle Diario'!$B$5:$B$489, B3823, '📋 Detalle Diario'!$C$5:$C$489, D3823) * 200), 0))</f>
        <v/>
      </c>
      <c r="P3823" s="32" t="str">
        <f t="shared" si="418"/>
        <v/>
      </c>
      <c r="Q3823" s="33" t="str">
        <f t="shared" si="419"/>
        <v/>
      </c>
    </row>
    <row r="3824" spans="2:17" ht="18" customHeight="1" x14ac:dyDescent="0.3">
      <c r="B3824" s="26"/>
      <c r="C3824" s="17"/>
      <c r="D3824" s="27"/>
      <c r="E3824" s="18"/>
      <c r="F3824" s="18"/>
      <c r="G3824" s="18"/>
      <c r="H3824" s="30" t="str">
        <f t="shared" si="413"/>
        <v/>
      </c>
      <c r="I3824" s="31" t="str">
        <f>IF(OR(B3824="",C3824=""),"",IFERROR(E3824*IF(E3824="",0,VLOOKUP(C3824,'📦 Precios Proforma'!$B$5:$D$104,IF(D3824="DIA",2,3),FALSE)),0))</f>
        <v/>
      </c>
      <c r="J3824" s="31" t="str">
        <f t="shared" si="414"/>
        <v/>
      </c>
      <c r="K3824" s="31" t="str">
        <f t="shared" si="415"/>
        <v/>
      </c>
      <c r="L3824" s="31" t="str">
        <f>IF(OR(B3824="",C3824=""),"",IFERROR(E3824 / SUMIFS('📅 Resumen Diario'!$D$5:$D$504, '📅 Resumen Diario'!$B$5:$B$504, B3824, '📅 Resumen Diario'!$C$5:$C$504, D3824) * SUMIFS('📅 Resumen Diario'!$K$5:$K$504, '📅 Resumen Diario'!$B$5:$B$504, B3824, '📅 Resumen Diario'!$C$5:$C$504, D3824), 0))</f>
        <v/>
      </c>
      <c r="M3824" s="31" t="str">
        <f t="shared" si="416"/>
        <v/>
      </c>
      <c r="N3824" s="31" t="str">
        <f t="shared" si="417"/>
        <v/>
      </c>
      <c r="O3824" s="31" t="str">
        <f>IF(OR(B3824="",C3824=""),"",K3824-N3824 + IFERROR(E3824 / SUMIFS('📅 Resumen Diario'!$D$5:$D$504, '📅 Resumen Diario'!$B$5:$B$504, B3824, '📅 Resumen Diario'!$C$5:$C$504, D3824) * (SUMIFS('📋 Detalle Diario'!$E$5:$E$489, '📋 Detalle Diario'!$B$5:$B$489, B3824, '📋 Detalle Diario'!$C$5:$C$489, D3824) * 135 + SUMIFS('📋 Detalle Diario'!$I$5:$I$489, '📋 Detalle Diario'!$B$5:$B$489, B3824, '📋 Detalle Diario'!$C$5:$C$489, D3824) * 200), 0))</f>
        <v/>
      </c>
      <c r="P3824" s="32" t="str">
        <f t="shared" si="418"/>
        <v/>
      </c>
      <c r="Q3824" s="33" t="str">
        <f t="shared" si="419"/>
        <v/>
      </c>
    </row>
    <row r="3825" spans="2:17" ht="18" customHeight="1" x14ac:dyDescent="0.3">
      <c r="B3825" s="26"/>
      <c r="C3825" s="28"/>
      <c r="D3825" s="27"/>
      <c r="E3825" s="29"/>
      <c r="F3825" s="29"/>
      <c r="G3825" s="29"/>
      <c r="H3825" s="30" t="str">
        <f t="shared" si="413"/>
        <v/>
      </c>
      <c r="I3825" s="31" t="str">
        <f>IF(OR(B3825="",C3825=""),"",IFERROR(E3825*IF(E3825="",0,VLOOKUP(C3825,'📦 Precios Proforma'!$B$5:$D$104,IF(D3825="DIA",2,3),FALSE)),0))</f>
        <v/>
      </c>
      <c r="J3825" s="31" t="str">
        <f t="shared" si="414"/>
        <v/>
      </c>
      <c r="K3825" s="31" t="str">
        <f t="shared" si="415"/>
        <v/>
      </c>
      <c r="L3825" s="31" t="str">
        <f>IF(OR(B3825="",C3825=""),"",IFERROR(E3825 / SUMIFS('📅 Resumen Diario'!$D$5:$D$504, '📅 Resumen Diario'!$B$5:$B$504, B3825, '📅 Resumen Diario'!$C$5:$C$504, D3825) * SUMIFS('📅 Resumen Diario'!$K$5:$K$504, '📅 Resumen Diario'!$B$5:$B$504, B3825, '📅 Resumen Diario'!$C$5:$C$504, D3825), 0))</f>
        <v/>
      </c>
      <c r="M3825" s="31" t="str">
        <f t="shared" si="416"/>
        <v/>
      </c>
      <c r="N3825" s="31" t="str">
        <f t="shared" si="417"/>
        <v/>
      </c>
      <c r="O3825" s="31" t="str">
        <f>IF(OR(B3825="",C3825=""),"",K3825-N3825 + IFERROR(E3825 / SUMIFS('📅 Resumen Diario'!$D$5:$D$504, '📅 Resumen Diario'!$B$5:$B$504, B3825, '📅 Resumen Diario'!$C$5:$C$504, D3825) * (SUMIFS('📋 Detalle Diario'!$E$5:$E$489, '📋 Detalle Diario'!$B$5:$B$489, B3825, '📋 Detalle Diario'!$C$5:$C$489, D3825) * 135 + SUMIFS('📋 Detalle Diario'!$I$5:$I$489, '📋 Detalle Diario'!$B$5:$B$489, B3825, '📋 Detalle Diario'!$C$5:$C$489, D3825) * 200), 0))</f>
        <v/>
      </c>
      <c r="P3825" s="32" t="str">
        <f t="shared" si="418"/>
        <v/>
      </c>
      <c r="Q3825" s="33" t="str">
        <f t="shared" si="419"/>
        <v/>
      </c>
    </row>
    <row r="3826" spans="2:17" ht="18" customHeight="1" x14ac:dyDescent="0.3">
      <c r="B3826" s="26"/>
      <c r="C3826" s="17"/>
      <c r="D3826" s="27"/>
      <c r="E3826" s="18"/>
      <c r="F3826" s="18"/>
      <c r="G3826" s="18"/>
      <c r="H3826" s="30" t="str">
        <f t="shared" si="413"/>
        <v/>
      </c>
      <c r="I3826" s="31" t="str">
        <f>IF(OR(B3826="",C3826=""),"",IFERROR(E3826*IF(E3826="",0,VLOOKUP(C3826,'📦 Precios Proforma'!$B$5:$D$104,IF(D3826="DIA",2,3),FALSE)),0))</f>
        <v/>
      </c>
      <c r="J3826" s="31" t="str">
        <f t="shared" si="414"/>
        <v/>
      </c>
      <c r="K3826" s="31" t="str">
        <f t="shared" si="415"/>
        <v/>
      </c>
      <c r="L3826" s="31" t="str">
        <f>IF(OR(B3826="",C3826=""),"",IFERROR(E3826 / SUMIFS('📅 Resumen Diario'!$D$5:$D$504, '📅 Resumen Diario'!$B$5:$B$504, B3826, '📅 Resumen Diario'!$C$5:$C$504, D3826) * SUMIFS('📅 Resumen Diario'!$K$5:$K$504, '📅 Resumen Diario'!$B$5:$B$504, B3826, '📅 Resumen Diario'!$C$5:$C$504, D3826), 0))</f>
        <v/>
      </c>
      <c r="M3826" s="31" t="str">
        <f t="shared" si="416"/>
        <v/>
      </c>
      <c r="N3826" s="31" t="str">
        <f t="shared" si="417"/>
        <v/>
      </c>
      <c r="O3826" s="31" t="str">
        <f>IF(OR(B3826="",C3826=""),"",K3826-N3826 + IFERROR(E3826 / SUMIFS('📅 Resumen Diario'!$D$5:$D$504, '📅 Resumen Diario'!$B$5:$B$504, B3826, '📅 Resumen Diario'!$C$5:$C$504, D3826) * (SUMIFS('📋 Detalle Diario'!$E$5:$E$489, '📋 Detalle Diario'!$B$5:$B$489, B3826, '📋 Detalle Diario'!$C$5:$C$489, D3826) * 135 + SUMIFS('📋 Detalle Diario'!$I$5:$I$489, '📋 Detalle Diario'!$B$5:$B$489, B3826, '📋 Detalle Diario'!$C$5:$C$489, D3826) * 200), 0))</f>
        <v/>
      </c>
      <c r="P3826" s="32" t="str">
        <f t="shared" si="418"/>
        <v/>
      </c>
      <c r="Q3826" s="33" t="str">
        <f t="shared" si="419"/>
        <v/>
      </c>
    </row>
    <row r="3827" spans="2:17" ht="18" customHeight="1" x14ac:dyDescent="0.3">
      <c r="B3827" s="26"/>
      <c r="C3827" s="28"/>
      <c r="D3827" s="27"/>
      <c r="E3827" s="29"/>
      <c r="F3827" s="29"/>
      <c r="G3827" s="29"/>
      <c r="H3827" s="30" t="str">
        <f t="shared" si="413"/>
        <v/>
      </c>
      <c r="I3827" s="31" t="str">
        <f>IF(OR(B3827="",C3827=""),"",IFERROR(E3827*IF(E3827="",0,VLOOKUP(C3827,'📦 Precios Proforma'!$B$5:$D$104,IF(D3827="DIA",2,3),FALSE)),0))</f>
        <v/>
      </c>
      <c r="J3827" s="31" t="str">
        <f t="shared" si="414"/>
        <v/>
      </c>
      <c r="K3827" s="31" t="str">
        <f t="shared" si="415"/>
        <v/>
      </c>
      <c r="L3827" s="31" t="str">
        <f>IF(OR(B3827="",C3827=""),"",IFERROR(E3827 / SUMIFS('📅 Resumen Diario'!$D$5:$D$504, '📅 Resumen Diario'!$B$5:$B$504, B3827, '📅 Resumen Diario'!$C$5:$C$504, D3827) * SUMIFS('📅 Resumen Diario'!$K$5:$K$504, '📅 Resumen Diario'!$B$5:$B$504, B3827, '📅 Resumen Diario'!$C$5:$C$504, D3827), 0))</f>
        <v/>
      </c>
      <c r="M3827" s="31" t="str">
        <f t="shared" si="416"/>
        <v/>
      </c>
      <c r="N3827" s="31" t="str">
        <f t="shared" si="417"/>
        <v/>
      </c>
      <c r="O3827" s="31" t="str">
        <f>IF(OR(B3827="",C3827=""),"",K3827-N3827 + IFERROR(E3827 / SUMIFS('📅 Resumen Diario'!$D$5:$D$504, '📅 Resumen Diario'!$B$5:$B$504, B3827, '📅 Resumen Diario'!$C$5:$C$504, D3827) * (SUMIFS('📋 Detalle Diario'!$E$5:$E$489, '📋 Detalle Diario'!$B$5:$B$489, B3827, '📋 Detalle Diario'!$C$5:$C$489, D3827) * 135 + SUMIFS('📋 Detalle Diario'!$I$5:$I$489, '📋 Detalle Diario'!$B$5:$B$489, B3827, '📋 Detalle Diario'!$C$5:$C$489, D3827) * 200), 0))</f>
        <v/>
      </c>
      <c r="P3827" s="32" t="str">
        <f t="shared" si="418"/>
        <v/>
      </c>
      <c r="Q3827" s="33" t="str">
        <f t="shared" si="419"/>
        <v/>
      </c>
    </row>
    <row r="3828" spans="2:17" ht="18" customHeight="1" x14ac:dyDescent="0.3">
      <c r="B3828" s="26"/>
      <c r="C3828" s="17"/>
      <c r="D3828" s="27"/>
      <c r="E3828" s="18"/>
      <c r="F3828" s="18"/>
      <c r="G3828" s="18"/>
      <c r="H3828" s="30" t="str">
        <f t="shared" si="413"/>
        <v/>
      </c>
      <c r="I3828" s="31" t="str">
        <f>IF(OR(B3828="",C3828=""),"",IFERROR(E3828*IF(E3828="",0,VLOOKUP(C3828,'📦 Precios Proforma'!$B$5:$D$104,IF(D3828="DIA",2,3),FALSE)),0))</f>
        <v/>
      </c>
      <c r="J3828" s="31" t="str">
        <f t="shared" si="414"/>
        <v/>
      </c>
      <c r="K3828" s="31" t="str">
        <f t="shared" si="415"/>
        <v/>
      </c>
      <c r="L3828" s="31" t="str">
        <f>IF(OR(B3828="",C3828=""),"",IFERROR(E3828 / SUMIFS('📅 Resumen Diario'!$D$5:$D$504, '📅 Resumen Diario'!$B$5:$B$504, B3828, '📅 Resumen Diario'!$C$5:$C$504, D3828) * SUMIFS('📅 Resumen Diario'!$K$5:$K$504, '📅 Resumen Diario'!$B$5:$B$504, B3828, '📅 Resumen Diario'!$C$5:$C$504, D3828), 0))</f>
        <v/>
      </c>
      <c r="M3828" s="31" t="str">
        <f t="shared" si="416"/>
        <v/>
      </c>
      <c r="N3828" s="31" t="str">
        <f t="shared" si="417"/>
        <v/>
      </c>
      <c r="O3828" s="31" t="str">
        <f>IF(OR(B3828="",C3828=""),"",K3828-N3828 + IFERROR(E3828 / SUMIFS('📅 Resumen Diario'!$D$5:$D$504, '📅 Resumen Diario'!$B$5:$B$504, B3828, '📅 Resumen Diario'!$C$5:$C$504, D3828) * (SUMIFS('📋 Detalle Diario'!$E$5:$E$489, '📋 Detalle Diario'!$B$5:$B$489, B3828, '📋 Detalle Diario'!$C$5:$C$489, D3828) * 135 + SUMIFS('📋 Detalle Diario'!$I$5:$I$489, '📋 Detalle Diario'!$B$5:$B$489, B3828, '📋 Detalle Diario'!$C$5:$C$489, D3828) * 200), 0))</f>
        <v/>
      </c>
      <c r="P3828" s="32" t="str">
        <f t="shared" si="418"/>
        <v/>
      </c>
      <c r="Q3828" s="33" t="str">
        <f t="shared" si="419"/>
        <v/>
      </c>
    </row>
    <row r="3829" spans="2:17" ht="18" customHeight="1" x14ac:dyDescent="0.3">
      <c r="B3829" s="26"/>
      <c r="C3829" s="28"/>
      <c r="D3829" s="27"/>
      <c r="E3829" s="29"/>
      <c r="F3829" s="29"/>
      <c r="G3829" s="29"/>
      <c r="H3829" s="30" t="str">
        <f t="shared" si="413"/>
        <v/>
      </c>
      <c r="I3829" s="31" t="str">
        <f>IF(OR(B3829="",C3829=""),"",IFERROR(E3829*IF(E3829="",0,VLOOKUP(C3829,'📦 Precios Proforma'!$B$5:$D$104,IF(D3829="DIA",2,3),FALSE)),0))</f>
        <v/>
      </c>
      <c r="J3829" s="31" t="str">
        <f t="shared" si="414"/>
        <v/>
      </c>
      <c r="K3829" s="31" t="str">
        <f t="shared" si="415"/>
        <v/>
      </c>
      <c r="L3829" s="31" t="str">
        <f>IF(OR(B3829="",C3829=""),"",IFERROR(E3829 / SUMIFS('📅 Resumen Diario'!$D$5:$D$504, '📅 Resumen Diario'!$B$5:$B$504, B3829, '📅 Resumen Diario'!$C$5:$C$504, D3829) * SUMIFS('📅 Resumen Diario'!$K$5:$K$504, '📅 Resumen Diario'!$B$5:$B$504, B3829, '📅 Resumen Diario'!$C$5:$C$504, D3829), 0))</f>
        <v/>
      </c>
      <c r="M3829" s="31" t="str">
        <f t="shared" si="416"/>
        <v/>
      </c>
      <c r="N3829" s="31" t="str">
        <f t="shared" si="417"/>
        <v/>
      </c>
      <c r="O3829" s="31" t="str">
        <f>IF(OR(B3829="",C3829=""),"",K3829-N3829 + IFERROR(E3829 / SUMIFS('📅 Resumen Diario'!$D$5:$D$504, '📅 Resumen Diario'!$B$5:$B$504, B3829, '📅 Resumen Diario'!$C$5:$C$504, D3829) * (SUMIFS('📋 Detalle Diario'!$E$5:$E$489, '📋 Detalle Diario'!$B$5:$B$489, B3829, '📋 Detalle Diario'!$C$5:$C$489, D3829) * 135 + SUMIFS('📋 Detalle Diario'!$I$5:$I$489, '📋 Detalle Diario'!$B$5:$B$489, B3829, '📋 Detalle Diario'!$C$5:$C$489, D3829) * 200), 0))</f>
        <v/>
      </c>
      <c r="P3829" s="32" t="str">
        <f t="shared" si="418"/>
        <v/>
      </c>
      <c r="Q3829" s="33" t="str">
        <f t="shared" si="419"/>
        <v/>
      </c>
    </row>
    <row r="3830" spans="2:17" ht="18" customHeight="1" x14ac:dyDescent="0.3">
      <c r="B3830" s="26"/>
      <c r="C3830" s="17"/>
      <c r="D3830" s="27"/>
      <c r="E3830" s="18"/>
      <c r="F3830" s="18"/>
      <c r="G3830" s="18"/>
      <c r="H3830" s="30" t="str">
        <f t="shared" si="413"/>
        <v/>
      </c>
      <c r="I3830" s="31" t="str">
        <f>IF(OR(B3830="",C3830=""),"",IFERROR(E3830*IF(E3830="",0,VLOOKUP(C3830,'📦 Precios Proforma'!$B$5:$D$104,IF(D3830="DIA",2,3),FALSE)),0))</f>
        <v/>
      </c>
      <c r="J3830" s="31" t="str">
        <f t="shared" si="414"/>
        <v/>
      </c>
      <c r="K3830" s="31" t="str">
        <f t="shared" si="415"/>
        <v/>
      </c>
      <c r="L3830" s="31" t="str">
        <f>IF(OR(B3830="",C3830=""),"",IFERROR(E3830 / SUMIFS('📅 Resumen Diario'!$D$5:$D$504, '📅 Resumen Diario'!$B$5:$B$504, B3830, '📅 Resumen Diario'!$C$5:$C$504, D3830) * SUMIFS('📅 Resumen Diario'!$K$5:$K$504, '📅 Resumen Diario'!$B$5:$B$504, B3830, '📅 Resumen Diario'!$C$5:$C$504, D3830), 0))</f>
        <v/>
      </c>
      <c r="M3830" s="31" t="str">
        <f t="shared" si="416"/>
        <v/>
      </c>
      <c r="N3830" s="31" t="str">
        <f t="shared" si="417"/>
        <v/>
      </c>
      <c r="O3830" s="31" t="str">
        <f>IF(OR(B3830="",C3830=""),"",K3830-N3830 + IFERROR(E3830 / SUMIFS('📅 Resumen Diario'!$D$5:$D$504, '📅 Resumen Diario'!$B$5:$B$504, B3830, '📅 Resumen Diario'!$C$5:$C$504, D3830) * (SUMIFS('📋 Detalle Diario'!$E$5:$E$489, '📋 Detalle Diario'!$B$5:$B$489, B3830, '📋 Detalle Diario'!$C$5:$C$489, D3830) * 135 + SUMIFS('📋 Detalle Diario'!$I$5:$I$489, '📋 Detalle Diario'!$B$5:$B$489, B3830, '📋 Detalle Diario'!$C$5:$C$489, D3830) * 200), 0))</f>
        <v/>
      </c>
      <c r="P3830" s="32" t="str">
        <f t="shared" si="418"/>
        <v/>
      </c>
      <c r="Q3830" s="33" t="str">
        <f t="shared" si="419"/>
        <v/>
      </c>
    </row>
    <row r="3831" spans="2:17" ht="18" customHeight="1" x14ac:dyDescent="0.3">
      <c r="B3831" s="26"/>
      <c r="C3831" s="28"/>
      <c r="D3831" s="27"/>
      <c r="E3831" s="29"/>
      <c r="F3831" s="29"/>
      <c r="G3831" s="29"/>
      <c r="H3831" s="30" t="str">
        <f t="shared" si="413"/>
        <v/>
      </c>
      <c r="I3831" s="31" t="str">
        <f>IF(OR(B3831="",C3831=""),"",IFERROR(E3831*IF(E3831="",0,VLOOKUP(C3831,'📦 Precios Proforma'!$B$5:$D$104,IF(D3831="DIA",2,3),FALSE)),0))</f>
        <v/>
      </c>
      <c r="J3831" s="31" t="str">
        <f t="shared" si="414"/>
        <v/>
      </c>
      <c r="K3831" s="31" t="str">
        <f t="shared" si="415"/>
        <v/>
      </c>
      <c r="L3831" s="31" t="str">
        <f>IF(OR(B3831="",C3831=""),"",IFERROR(E3831 / SUMIFS('📅 Resumen Diario'!$D$5:$D$504, '📅 Resumen Diario'!$B$5:$B$504, B3831, '📅 Resumen Diario'!$C$5:$C$504, D3831) * SUMIFS('📅 Resumen Diario'!$K$5:$K$504, '📅 Resumen Diario'!$B$5:$B$504, B3831, '📅 Resumen Diario'!$C$5:$C$504, D3831), 0))</f>
        <v/>
      </c>
      <c r="M3831" s="31" t="str">
        <f t="shared" si="416"/>
        <v/>
      </c>
      <c r="N3831" s="31" t="str">
        <f t="shared" si="417"/>
        <v/>
      </c>
      <c r="O3831" s="31" t="str">
        <f>IF(OR(B3831="",C3831=""),"",K3831-N3831 + IFERROR(E3831 / SUMIFS('📅 Resumen Diario'!$D$5:$D$504, '📅 Resumen Diario'!$B$5:$B$504, B3831, '📅 Resumen Diario'!$C$5:$C$504, D3831) * (SUMIFS('📋 Detalle Diario'!$E$5:$E$489, '📋 Detalle Diario'!$B$5:$B$489, B3831, '📋 Detalle Diario'!$C$5:$C$489, D3831) * 135 + SUMIFS('📋 Detalle Diario'!$I$5:$I$489, '📋 Detalle Diario'!$B$5:$B$489, B3831, '📋 Detalle Diario'!$C$5:$C$489, D3831) * 200), 0))</f>
        <v/>
      </c>
      <c r="P3831" s="32" t="str">
        <f t="shared" si="418"/>
        <v/>
      </c>
      <c r="Q3831" s="33" t="str">
        <f t="shared" si="419"/>
        <v/>
      </c>
    </row>
    <row r="3832" spans="2:17" ht="18" customHeight="1" x14ac:dyDescent="0.3">
      <c r="B3832" s="26"/>
      <c r="C3832" s="17"/>
      <c r="D3832" s="27"/>
      <c r="E3832" s="18"/>
      <c r="F3832" s="18"/>
      <c r="G3832" s="18"/>
      <c r="H3832" s="30" t="str">
        <f t="shared" si="413"/>
        <v/>
      </c>
      <c r="I3832" s="31" t="str">
        <f>IF(OR(B3832="",C3832=""),"",IFERROR(E3832*IF(E3832="",0,VLOOKUP(C3832,'📦 Precios Proforma'!$B$5:$D$104,IF(D3832="DIA",2,3),FALSE)),0))</f>
        <v/>
      </c>
      <c r="J3832" s="31" t="str">
        <f t="shared" si="414"/>
        <v/>
      </c>
      <c r="K3832" s="31" t="str">
        <f t="shared" si="415"/>
        <v/>
      </c>
      <c r="L3832" s="31" t="str">
        <f>IF(OR(B3832="",C3832=""),"",IFERROR(E3832 / SUMIFS('📅 Resumen Diario'!$D$5:$D$504, '📅 Resumen Diario'!$B$5:$B$504, B3832, '📅 Resumen Diario'!$C$5:$C$504, D3832) * SUMIFS('📅 Resumen Diario'!$K$5:$K$504, '📅 Resumen Diario'!$B$5:$B$504, B3832, '📅 Resumen Diario'!$C$5:$C$504, D3832), 0))</f>
        <v/>
      </c>
      <c r="M3832" s="31" t="str">
        <f t="shared" si="416"/>
        <v/>
      </c>
      <c r="N3832" s="31" t="str">
        <f t="shared" si="417"/>
        <v/>
      </c>
      <c r="O3832" s="31" t="str">
        <f>IF(OR(B3832="",C3832=""),"",K3832-N3832 + IFERROR(E3832 / SUMIFS('📅 Resumen Diario'!$D$5:$D$504, '📅 Resumen Diario'!$B$5:$B$504, B3832, '📅 Resumen Diario'!$C$5:$C$504, D3832) * (SUMIFS('📋 Detalle Diario'!$E$5:$E$489, '📋 Detalle Diario'!$B$5:$B$489, B3832, '📋 Detalle Diario'!$C$5:$C$489, D3832) * 135 + SUMIFS('📋 Detalle Diario'!$I$5:$I$489, '📋 Detalle Diario'!$B$5:$B$489, B3832, '📋 Detalle Diario'!$C$5:$C$489, D3832) * 200), 0))</f>
        <v/>
      </c>
      <c r="P3832" s="32" t="str">
        <f t="shared" si="418"/>
        <v/>
      </c>
      <c r="Q3832" s="33" t="str">
        <f t="shared" si="419"/>
        <v/>
      </c>
    </row>
    <row r="3833" spans="2:17" ht="18" customHeight="1" x14ac:dyDescent="0.3">
      <c r="B3833" s="26"/>
      <c r="C3833" s="28"/>
      <c r="D3833" s="27"/>
      <c r="E3833" s="29"/>
      <c r="F3833" s="29"/>
      <c r="G3833" s="29"/>
      <c r="H3833" s="30" t="str">
        <f t="shared" si="413"/>
        <v/>
      </c>
      <c r="I3833" s="31" t="str">
        <f>IF(OR(B3833="",C3833=""),"",IFERROR(E3833*IF(E3833="",0,VLOOKUP(C3833,'📦 Precios Proforma'!$B$5:$D$104,IF(D3833="DIA",2,3),FALSE)),0))</f>
        <v/>
      </c>
      <c r="J3833" s="31" t="str">
        <f t="shared" si="414"/>
        <v/>
      </c>
      <c r="K3833" s="31" t="str">
        <f t="shared" si="415"/>
        <v/>
      </c>
      <c r="L3833" s="31" t="str">
        <f>IF(OR(B3833="",C3833=""),"",IFERROR(E3833 / SUMIFS('📅 Resumen Diario'!$D$5:$D$504, '📅 Resumen Diario'!$B$5:$B$504, B3833, '📅 Resumen Diario'!$C$5:$C$504, D3833) * SUMIFS('📅 Resumen Diario'!$K$5:$K$504, '📅 Resumen Diario'!$B$5:$B$504, B3833, '📅 Resumen Diario'!$C$5:$C$504, D3833), 0))</f>
        <v/>
      </c>
      <c r="M3833" s="31" t="str">
        <f t="shared" si="416"/>
        <v/>
      </c>
      <c r="N3833" s="31" t="str">
        <f t="shared" si="417"/>
        <v/>
      </c>
      <c r="O3833" s="31" t="str">
        <f>IF(OR(B3833="",C3833=""),"",K3833-N3833 + IFERROR(E3833 / SUMIFS('📅 Resumen Diario'!$D$5:$D$504, '📅 Resumen Diario'!$B$5:$B$504, B3833, '📅 Resumen Diario'!$C$5:$C$504, D3833) * (SUMIFS('📋 Detalle Diario'!$E$5:$E$489, '📋 Detalle Diario'!$B$5:$B$489, B3833, '📋 Detalle Diario'!$C$5:$C$489, D3833) * 135 + SUMIFS('📋 Detalle Diario'!$I$5:$I$489, '📋 Detalle Diario'!$B$5:$B$489, B3833, '📋 Detalle Diario'!$C$5:$C$489, D3833) * 200), 0))</f>
        <v/>
      </c>
      <c r="P3833" s="32" t="str">
        <f t="shared" si="418"/>
        <v/>
      </c>
      <c r="Q3833" s="33" t="str">
        <f t="shared" si="419"/>
        <v/>
      </c>
    </row>
    <row r="3834" spans="2:17" ht="18" customHeight="1" x14ac:dyDescent="0.3">
      <c r="B3834" s="26"/>
      <c r="C3834" s="17"/>
      <c r="D3834" s="27"/>
      <c r="E3834" s="18"/>
      <c r="F3834" s="18"/>
      <c r="G3834" s="18"/>
      <c r="H3834" s="30" t="str">
        <f t="shared" si="413"/>
        <v/>
      </c>
      <c r="I3834" s="31" t="str">
        <f>IF(OR(B3834="",C3834=""),"",IFERROR(E3834*IF(E3834="",0,VLOOKUP(C3834,'📦 Precios Proforma'!$B$5:$D$104,IF(D3834="DIA",2,3),FALSE)),0))</f>
        <v/>
      </c>
      <c r="J3834" s="31" t="str">
        <f t="shared" si="414"/>
        <v/>
      </c>
      <c r="K3834" s="31" t="str">
        <f t="shared" si="415"/>
        <v/>
      </c>
      <c r="L3834" s="31" t="str">
        <f>IF(OR(B3834="",C3834=""),"",IFERROR(E3834 / SUMIFS('📅 Resumen Diario'!$D$5:$D$504, '📅 Resumen Diario'!$B$5:$B$504, B3834, '📅 Resumen Diario'!$C$5:$C$504, D3834) * SUMIFS('📅 Resumen Diario'!$K$5:$K$504, '📅 Resumen Diario'!$B$5:$B$504, B3834, '📅 Resumen Diario'!$C$5:$C$504, D3834), 0))</f>
        <v/>
      </c>
      <c r="M3834" s="31" t="str">
        <f t="shared" si="416"/>
        <v/>
      </c>
      <c r="N3834" s="31" t="str">
        <f t="shared" si="417"/>
        <v/>
      </c>
      <c r="O3834" s="31" t="str">
        <f>IF(OR(B3834="",C3834=""),"",K3834-N3834 + IFERROR(E3834 / SUMIFS('📅 Resumen Diario'!$D$5:$D$504, '📅 Resumen Diario'!$B$5:$B$504, B3834, '📅 Resumen Diario'!$C$5:$C$504, D3834) * (SUMIFS('📋 Detalle Diario'!$E$5:$E$489, '📋 Detalle Diario'!$B$5:$B$489, B3834, '📋 Detalle Diario'!$C$5:$C$489, D3834) * 135 + SUMIFS('📋 Detalle Diario'!$I$5:$I$489, '📋 Detalle Diario'!$B$5:$B$489, B3834, '📋 Detalle Diario'!$C$5:$C$489, D3834) * 200), 0))</f>
        <v/>
      </c>
      <c r="P3834" s="32" t="str">
        <f t="shared" si="418"/>
        <v/>
      </c>
      <c r="Q3834" s="33" t="str">
        <f t="shared" si="419"/>
        <v/>
      </c>
    </row>
    <row r="3835" spans="2:17" ht="18" customHeight="1" x14ac:dyDescent="0.3">
      <c r="B3835" s="26"/>
      <c r="C3835" s="28"/>
      <c r="D3835" s="27"/>
      <c r="E3835" s="29"/>
      <c r="F3835" s="29"/>
      <c r="G3835" s="29"/>
      <c r="H3835" s="30" t="str">
        <f t="shared" si="413"/>
        <v/>
      </c>
      <c r="I3835" s="31" t="str">
        <f>IF(OR(B3835="",C3835=""),"",IFERROR(E3835*IF(E3835="",0,VLOOKUP(C3835,'📦 Precios Proforma'!$B$5:$D$104,IF(D3835="DIA",2,3),FALSE)),0))</f>
        <v/>
      </c>
      <c r="J3835" s="31" t="str">
        <f t="shared" si="414"/>
        <v/>
      </c>
      <c r="K3835" s="31" t="str">
        <f t="shared" si="415"/>
        <v/>
      </c>
      <c r="L3835" s="31" t="str">
        <f>IF(OR(B3835="",C3835=""),"",IFERROR(E3835 / SUMIFS('📅 Resumen Diario'!$D$5:$D$504, '📅 Resumen Diario'!$B$5:$B$504, B3835, '📅 Resumen Diario'!$C$5:$C$504, D3835) * SUMIFS('📅 Resumen Diario'!$K$5:$K$504, '📅 Resumen Diario'!$B$5:$B$504, B3835, '📅 Resumen Diario'!$C$5:$C$504, D3835), 0))</f>
        <v/>
      </c>
      <c r="M3835" s="31" t="str">
        <f t="shared" si="416"/>
        <v/>
      </c>
      <c r="N3835" s="31" t="str">
        <f t="shared" si="417"/>
        <v/>
      </c>
      <c r="O3835" s="31" t="str">
        <f>IF(OR(B3835="",C3835=""),"",K3835-N3835 + IFERROR(E3835 / SUMIFS('📅 Resumen Diario'!$D$5:$D$504, '📅 Resumen Diario'!$B$5:$B$504, B3835, '📅 Resumen Diario'!$C$5:$C$504, D3835) * (SUMIFS('📋 Detalle Diario'!$E$5:$E$489, '📋 Detalle Diario'!$B$5:$B$489, B3835, '📋 Detalle Diario'!$C$5:$C$489, D3835) * 135 + SUMIFS('📋 Detalle Diario'!$I$5:$I$489, '📋 Detalle Diario'!$B$5:$B$489, B3835, '📋 Detalle Diario'!$C$5:$C$489, D3835) * 200), 0))</f>
        <v/>
      </c>
      <c r="P3835" s="32" t="str">
        <f t="shared" si="418"/>
        <v/>
      </c>
      <c r="Q3835" s="33" t="str">
        <f t="shared" si="419"/>
        <v/>
      </c>
    </row>
    <row r="3836" spans="2:17" ht="18" customHeight="1" x14ac:dyDescent="0.3">
      <c r="B3836" s="26"/>
      <c r="C3836" s="17"/>
      <c r="D3836" s="27"/>
      <c r="E3836" s="18"/>
      <c r="F3836" s="18"/>
      <c r="G3836" s="18"/>
      <c r="H3836" s="30" t="str">
        <f t="shared" si="413"/>
        <v/>
      </c>
      <c r="I3836" s="31" t="str">
        <f>IF(OR(B3836="",C3836=""),"",IFERROR(E3836*IF(E3836="",0,VLOOKUP(C3836,'📦 Precios Proforma'!$B$5:$D$104,IF(D3836="DIA",2,3),FALSE)),0))</f>
        <v/>
      </c>
      <c r="J3836" s="31" t="str">
        <f t="shared" si="414"/>
        <v/>
      </c>
      <c r="K3836" s="31" t="str">
        <f t="shared" si="415"/>
        <v/>
      </c>
      <c r="L3836" s="31" t="str">
        <f>IF(OR(B3836="",C3836=""),"",IFERROR(E3836 / SUMIFS('📅 Resumen Diario'!$D$5:$D$504, '📅 Resumen Diario'!$B$5:$B$504, B3836, '📅 Resumen Diario'!$C$5:$C$504, D3836) * SUMIFS('📅 Resumen Diario'!$K$5:$K$504, '📅 Resumen Diario'!$B$5:$B$504, B3836, '📅 Resumen Diario'!$C$5:$C$504, D3836), 0))</f>
        <v/>
      </c>
      <c r="M3836" s="31" t="str">
        <f t="shared" si="416"/>
        <v/>
      </c>
      <c r="N3836" s="31" t="str">
        <f t="shared" si="417"/>
        <v/>
      </c>
      <c r="O3836" s="31" t="str">
        <f>IF(OR(B3836="",C3836=""),"",K3836-N3836 + IFERROR(E3836 / SUMIFS('📅 Resumen Diario'!$D$5:$D$504, '📅 Resumen Diario'!$B$5:$B$504, B3836, '📅 Resumen Diario'!$C$5:$C$504, D3836) * (SUMIFS('📋 Detalle Diario'!$E$5:$E$489, '📋 Detalle Diario'!$B$5:$B$489, B3836, '📋 Detalle Diario'!$C$5:$C$489, D3836) * 135 + SUMIFS('📋 Detalle Diario'!$I$5:$I$489, '📋 Detalle Diario'!$B$5:$B$489, B3836, '📋 Detalle Diario'!$C$5:$C$489, D3836) * 200), 0))</f>
        <v/>
      </c>
      <c r="P3836" s="32" t="str">
        <f t="shared" si="418"/>
        <v/>
      </c>
      <c r="Q3836" s="33" t="str">
        <f t="shared" si="419"/>
        <v/>
      </c>
    </row>
    <row r="3837" spans="2:17" ht="18" customHeight="1" x14ac:dyDescent="0.3">
      <c r="B3837" s="26"/>
      <c r="C3837" s="28"/>
      <c r="D3837" s="27"/>
      <c r="E3837" s="29"/>
      <c r="F3837" s="29"/>
      <c r="G3837" s="29"/>
      <c r="H3837" s="30" t="str">
        <f t="shared" si="413"/>
        <v/>
      </c>
      <c r="I3837" s="31" t="str">
        <f>IF(OR(B3837="",C3837=""),"",IFERROR(E3837*IF(E3837="",0,VLOOKUP(C3837,'📦 Precios Proforma'!$B$5:$D$104,IF(D3837="DIA",2,3),FALSE)),0))</f>
        <v/>
      </c>
      <c r="J3837" s="31" t="str">
        <f t="shared" si="414"/>
        <v/>
      </c>
      <c r="K3837" s="31" t="str">
        <f t="shared" si="415"/>
        <v/>
      </c>
      <c r="L3837" s="31" t="str">
        <f>IF(OR(B3837="",C3837=""),"",IFERROR(E3837 / SUMIFS('📅 Resumen Diario'!$D$5:$D$504, '📅 Resumen Diario'!$B$5:$B$504, B3837, '📅 Resumen Diario'!$C$5:$C$504, D3837) * SUMIFS('📅 Resumen Diario'!$K$5:$K$504, '📅 Resumen Diario'!$B$5:$B$504, B3837, '📅 Resumen Diario'!$C$5:$C$504, D3837), 0))</f>
        <v/>
      </c>
      <c r="M3837" s="31" t="str">
        <f t="shared" si="416"/>
        <v/>
      </c>
      <c r="N3837" s="31" t="str">
        <f t="shared" si="417"/>
        <v/>
      </c>
      <c r="O3837" s="31" t="str">
        <f>IF(OR(B3837="",C3837=""),"",K3837-N3837 + IFERROR(E3837 / SUMIFS('📅 Resumen Diario'!$D$5:$D$504, '📅 Resumen Diario'!$B$5:$B$504, B3837, '📅 Resumen Diario'!$C$5:$C$504, D3837) * (SUMIFS('📋 Detalle Diario'!$E$5:$E$489, '📋 Detalle Diario'!$B$5:$B$489, B3837, '📋 Detalle Diario'!$C$5:$C$489, D3837) * 135 + SUMIFS('📋 Detalle Diario'!$I$5:$I$489, '📋 Detalle Diario'!$B$5:$B$489, B3837, '📋 Detalle Diario'!$C$5:$C$489, D3837) * 200), 0))</f>
        <v/>
      </c>
      <c r="P3837" s="32" t="str">
        <f t="shared" si="418"/>
        <v/>
      </c>
      <c r="Q3837" s="33" t="str">
        <f t="shared" si="419"/>
        <v/>
      </c>
    </row>
    <row r="3838" spans="2:17" ht="18" customHeight="1" x14ac:dyDescent="0.3">
      <c r="B3838" s="26"/>
      <c r="C3838" s="17"/>
      <c r="D3838" s="27"/>
      <c r="E3838" s="18"/>
      <c r="F3838" s="18"/>
      <c r="G3838" s="18"/>
      <c r="H3838" s="30" t="str">
        <f t="shared" si="413"/>
        <v/>
      </c>
      <c r="I3838" s="31" t="str">
        <f>IF(OR(B3838="",C3838=""),"",IFERROR(E3838*IF(E3838="",0,VLOOKUP(C3838,'📦 Precios Proforma'!$B$5:$D$104,IF(D3838="DIA",2,3),FALSE)),0))</f>
        <v/>
      </c>
      <c r="J3838" s="31" t="str">
        <f t="shared" si="414"/>
        <v/>
      </c>
      <c r="K3838" s="31" t="str">
        <f t="shared" si="415"/>
        <v/>
      </c>
      <c r="L3838" s="31" t="str">
        <f>IF(OR(B3838="",C3838=""),"",IFERROR(E3838 / SUMIFS('📅 Resumen Diario'!$D$5:$D$504, '📅 Resumen Diario'!$B$5:$B$504, B3838, '📅 Resumen Diario'!$C$5:$C$504, D3838) * SUMIFS('📅 Resumen Diario'!$K$5:$K$504, '📅 Resumen Diario'!$B$5:$B$504, B3838, '📅 Resumen Diario'!$C$5:$C$504, D3838), 0))</f>
        <v/>
      </c>
      <c r="M3838" s="31" t="str">
        <f t="shared" si="416"/>
        <v/>
      </c>
      <c r="N3838" s="31" t="str">
        <f t="shared" si="417"/>
        <v/>
      </c>
      <c r="O3838" s="31" t="str">
        <f>IF(OR(B3838="",C3838=""),"",K3838-N3838 + IFERROR(E3838 / SUMIFS('📅 Resumen Diario'!$D$5:$D$504, '📅 Resumen Diario'!$B$5:$B$504, B3838, '📅 Resumen Diario'!$C$5:$C$504, D3838) * (SUMIFS('📋 Detalle Diario'!$E$5:$E$489, '📋 Detalle Diario'!$B$5:$B$489, B3838, '📋 Detalle Diario'!$C$5:$C$489, D3838) * 135 + SUMIFS('📋 Detalle Diario'!$I$5:$I$489, '📋 Detalle Diario'!$B$5:$B$489, B3838, '📋 Detalle Diario'!$C$5:$C$489, D3838) * 200), 0))</f>
        <v/>
      </c>
      <c r="P3838" s="32" t="str">
        <f t="shared" si="418"/>
        <v/>
      </c>
      <c r="Q3838" s="33" t="str">
        <f t="shared" si="419"/>
        <v/>
      </c>
    </row>
    <row r="3839" spans="2:17" ht="18" customHeight="1" x14ac:dyDescent="0.3">
      <c r="B3839" s="26"/>
      <c r="C3839" s="28"/>
      <c r="D3839" s="27"/>
      <c r="E3839" s="29"/>
      <c r="F3839" s="29"/>
      <c r="G3839" s="29"/>
      <c r="H3839" s="30" t="str">
        <f t="shared" si="413"/>
        <v/>
      </c>
      <c r="I3839" s="31" t="str">
        <f>IF(OR(B3839="",C3839=""),"",IFERROR(E3839*IF(E3839="",0,VLOOKUP(C3839,'📦 Precios Proforma'!$B$5:$D$104,IF(D3839="DIA",2,3),FALSE)),0))</f>
        <v/>
      </c>
      <c r="J3839" s="31" t="str">
        <f t="shared" si="414"/>
        <v/>
      </c>
      <c r="K3839" s="31" t="str">
        <f t="shared" si="415"/>
        <v/>
      </c>
      <c r="L3839" s="31" t="str">
        <f>IF(OR(B3839="",C3839=""),"",IFERROR(E3839 / SUMIFS('📅 Resumen Diario'!$D$5:$D$504, '📅 Resumen Diario'!$B$5:$B$504, B3839, '📅 Resumen Diario'!$C$5:$C$504, D3839) * SUMIFS('📅 Resumen Diario'!$K$5:$K$504, '📅 Resumen Diario'!$B$5:$B$504, B3839, '📅 Resumen Diario'!$C$5:$C$504, D3839), 0))</f>
        <v/>
      </c>
      <c r="M3839" s="31" t="str">
        <f t="shared" si="416"/>
        <v/>
      </c>
      <c r="N3839" s="31" t="str">
        <f t="shared" si="417"/>
        <v/>
      </c>
      <c r="O3839" s="31" t="str">
        <f>IF(OR(B3839="",C3839=""),"",K3839-N3839 + IFERROR(E3839 / SUMIFS('📅 Resumen Diario'!$D$5:$D$504, '📅 Resumen Diario'!$B$5:$B$504, B3839, '📅 Resumen Diario'!$C$5:$C$504, D3839) * (SUMIFS('📋 Detalle Diario'!$E$5:$E$489, '📋 Detalle Diario'!$B$5:$B$489, B3839, '📋 Detalle Diario'!$C$5:$C$489, D3839) * 135 + SUMIFS('📋 Detalle Diario'!$I$5:$I$489, '📋 Detalle Diario'!$B$5:$B$489, B3839, '📋 Detalle Diario'!$C$5:$C$489, D3839) * 200), 0))</f>
        <v/>
      </c>
      <c r="P3839" s="32" t="str">
        <f t="shared" si="418"/>
        <v/>
      </c>
      <c r="Q3839" s="33" t="str">
        <f t="shared" si="419"/>
        <v/>
      </c>
    </row>
    <row r="3840" spans="2:17" ht="18" customHeight="1" x14ac:dyDescent="0.3">
      <c r="B3840" s="26"/>
      <c r="C3840" s="17"/>
      <c r="D3840" s="27"/>
      <c r="E3840" s="18"/>
      <c r="F3840" s="18"/>
      <c r="G3840" s="18"/>
      <c r="H3840" s="30" t="str">
        <f t="shared" si="413"/>
        <v/>
      </c>
      <c r="I3840" s="31" t="str">
        <f>IF(OR(B3840="",C3840=""),"",IFERROR(E3840*IF(E3840="",0,VLOOKUP(C3840,'📦 Precios Proforma'!$B$5:$D$104,IF(D3840="DIA",2,3),FALSE)),0))</f>
        <v/>
      </c>
      <c r="J3840" s="31" t="str">
        <f t="shared" si="414"/>
        <v/>
      </c>
      <c r="K3840" s="31" t="str">
        <f t="shared" si="415"/>
        <v/>
      </c>
      <c r="L3840" s="31" t="str">
        <f>IF(OR(B3840="",C3840=""),"",IFERROR(E3840 / SUMIFS('📅 Resumen Diario'!$D$5:$D$504, '📅 Resumen Diario'!$B$5:$B$504, B3840, '📅 Resumen Diario'!$C$5:$C$504, D3840) * SUMIFS('📅 Resumen Diario'!$K$5:$K$504, '📅 Resumen Diario'!$B$5:$B$504, B3840, '📅 Resumen Diario'!$C$5:$C$504, D3840), 0))</f>
        <v/>
      </c>
      <c r="M3840" s="31" t="str">
        <f t="shared" si="416"/>
        <v/>
      </c>
      <c r="N3840" s="31" t="str">
        <f t="shared" si="417"/>
        <v/>
      </c>
      <c r="O3840" s="31" t="str">
        <f>IF(OR(B3840="",C3840=""),"",K3840-N3840 + IFERROR(E3840 / SUMIFS('📅 Resumen Diario'!$D$5:$D$504, '📅 Resumen Diario'!$B$5:$B$504, B3840, '📅 Resumen Diario'!$C$5:$C$504, D3840) * (SUMIFS('📋 Detalle Diario'!$E$5:$E$489, '📋 Detalle Diario'!$B$5:$B$489, B3840, '📋 Detalle Diario'!$C$5:$C$489, D3840) * 135 + SUMIFS('📋 Detalle Diario'!$I$5:$I$489, '📋 Detalle Diario'!$B$5:$B$489, B3840, '📋 Detalle Diario'!$C$5:$C$489, D3840) * 200), 0))</f>
        <v/>
      </c>
      <c r="P3840" s="32" t="str">
        <f t="shared" si="418"/>
        <v/>
      </c>
      <c r="Q3840" s="33" t="str">
        <f t="shared" si="419"/>
        <v/>
      </c>
    </row>
    <row r="3841" spans="2:17" ht="18" customHeight="1" x14ac:dyDescent="0.3">
      <c r="B3841" s="26"/>
      <c r="C3841" s="28"/>
      <c r="D3841" s="27"/>
      <c r="E3841" s="29"/>
      <c r="F3841" s="29"/>
      <c r="G3841" s="29"/>
      <c r="H3841" s="30" t="str">
        <f t="shared" si="413"/>
        <v/>
      </c>
      <c r="I3841" s="31" t="str">
        <f>IF(OR(B3841="",C3841=""),"",IFERROR(E3841*IF(E3841="",0,VLOOKUP(C3841,'📦 Precios Proforma'!$B$5:$D$104,IF(D3841="DIA",2,3),FALSE)),0))</f>
        <v/>
      </c>
      <c r="J3841" s="31" t="str">
        <f t="shared" si="414"/>
        <v/>
      </c>
      <c r="K3841" s="31" t="str">
        <f t="shared" si="415"/>
        <v/>
      </c>
      <c r="L3841" s="31" t="str">
        <f>IF(OR(B3841="",C3841=""),"",IFERROR(E3841 / SUMIFS('📅 Resumen Diario'!$D$5:$D$504, '📅 Resumen Diario'!$B$5:$B$504, B3841, '📅 Resumen Diario'!$C$5:$C$504, D3841) * SUMIFS('📅 Resumen Diario'!$K$5:$K$504, '📅 Resumen Diario'!$B$5:$B$504, B3841, '📅 Resumen Diario'!$C$5:$C$504, D3841), 0))</f>
        <v/>
      </c>
      <c r="M3841" s="31" t="str">
        <f t="shared" si="416"/>
        <v/>
      </c>
      <c r="N3841" s="31" t="str">
        <f t="shared" si="417"/>
        <v/>
      </c>
      <c r="O3841" s="31" t="str">
        <f>IF(OR(B3841="",C3841=""),"",K3841-N3841 + IFERROR(E3841 / SUMIFS('📅 Resumen Diario'!$D$5:$D$504, '📅 Resumen Diario'!$B$5:$B$504, B3841, '📅 Resumen Diario'!$C$5:$C$504, D3841) * (SUMIFS('📋 Detalle Diario'!$E$5:$E$489, '📋 Detalle Diario'!$B$5:$B$489, B3841, '📋 Detalle Diario'!$C$5:$C$489, D3841) * 135 + SUMIFS('📋 Detalle Diario'!$I$5:$I$489, '📋 Detalle Diario'!$B$5:$B$489, B3841, '📋 Detalle Diario'!$C$5:$C$489, D3841) * 200), 0))</f>
        <v/>
      </c>
      <c r="P3841" s="32" t="str">
        <f t="shared" si="418"/>
        <v/>
      </c>
      <c r="Q3841" s="33" t="str">
        <f t="shared" si="419"/>
        <v/>
      </c>
    </row>
    <row r="3842" spans="2:17" ht="18" customHeight="1" x14ac:dyDescent="0.3">
      <c r="B3842" s="26"/>
      <c r="C3842" s="17"/>
      <c r="D3842" s="27"/>
      <c r="E3842" s="18"/>
      <c r="F3842" s="18"/>
      <c r="G3842" s="18"/>
      <c r="H3842" s="30" t="str">
        <f t="shared" si="413"/>
        <v/>
      </c>
      <c r="I3842" s="31" t="str">
        <f>IF(OR(B3842="",C3842=""),"",IFERROR(E3842*IF(E3842="",0,VLOOKUP(C3842,'📦 Precios Proforma'!$B$5:$D$104,IF(D3842="DIA",2,3),FALSE)),0))</f>
        <v/>
      </c>
      <c r="J3842" s="31" t="str">
        <f t="shared" si="414"/>
        <v/>
      </c>
      <c r="K3842" s="31" t="str">
        <f t="shared" si="415"/>
        <v/>
      </c>
      <c r="L3842" s="31" t="str">
        <f>IF(OR(B3842="",C3842=""),"",IFERROR(E3842 / SUMIFS('📅 Resumen Diario'!$D$5:$D$504, '📅 Resumen Diario'!$B$5:$B$504, B3842, '📅 Resumen Diario'!$C$5:$C$504, D3842) * SUMIFS('📅 Resumen Diario'!$K$5:$K$504, '📅 Resumen Diario'!$B$5:$B$504, B3842, '📅 Resumen Diario'!$C$5:$C$504, D3842), 0))</f>
        <v/>
      </c>
      <c r="M3842" s="31" t="str">
        <f t="shared" si="416"/>
        <v/>
      </c>
      <c r="N3842" s="31" t="str">
        <f t="shared" si="417"/>
        <v/>
      </c>
      <c r="O3842" s="31" t="str">
        <f>IF(OR(B3842="",C3842=""),"",K3842-N3842 + IFERROR(E3842 / SUMIFS('📅 Resumen Diario'!$D$5:$D$504, '📅 Resumen Diario'!$B$5:$B$504, B3842, '📅 Resumen Diario'!$C$5:$C$504, D3842) * (SUMIFS('📋 Detalle Diario'!$E$5:$E$489, '📋 Detalle Diario'!$B$5:$B$489, B3842, '📋 Detalle Diario'!$C$5:$C$489, D3842) * 135 + SUMIFS('📋 Detalle Diario'!$I$5:$I$489, '📋 Detalle Diario'!$B$5:$B$489, B3842, '📋 Detalle Diario'!$C$5:$C$489, D3842) * 200), 0))</f>
        <v/>
      </c>
      <c r="P3842" s="32" t="str">
        <f t="shared" si="418"/>
        <v/>
      </c>
      <c r="Q3842" s="33" t="str">
        <f t="shared" si="419"/>
        <v/>
      </c>
    </row>
    <row r="3843" spans="2:17" ht="18" customHeight="1" x14ac:dyDescent="0.3">
      <c r="B3843" s="26"/>
      <c r="C3843" s="28"/>
      <c r="D3843" s="27"/>
      <c r="E3843" s="29"/>
      <c r="F3843" s="29"/>
      <c r="G3843" s="29"/>
      <c r="H3843" s="30" t="str">
        <f t="shared" si="413"/>
        <v/>
      </c>
      <c r="I3843" s="31" t="str">
        <f>IF(OR(B3843="",C3843=""),"",IFERROR(E3843*IF(E3843="",0,VLOOKUP(C3843,'📦 Precios Proforma'!$B$5:$D$104,IF(D3843="DIA",2,3),FALSE)),0))</f>
        <v/>
      </c>
      <c r="J3843" s="31" t="str">
        <f t="shared" si="414"/>
        <v/>
      </c>
      <c r="K3843" s="31" t="str">
        <f t="shared" si="415"/>
        <v/>
      </c>
      <c r="L3843" s="31" t="str">
        <f>IF(OR(B3843="",C3843=""),"",IFERROR(E3843 / SUMIFS('📅 Resumen Diario'!$D$5:$D$504, '📅 Resumen Diario'!$B$5:$B$504, B3843, '📅 Resumen Diario'!$C$5:$C$504, D3843) * SUMIFS('📅 Resumen Diario'!$K$5:$K$504, '📅 Resumen Diario'!$B$5:$B$504, B3843, '📅 Resumen Diario'!$C$5:$C$504, D3843), 0))</f>
        <v/>
      </c>
      <c r="M3843" s="31" t="str">
        <f t="shared" si="416"/>
        <v/>
      </c>
      <c r="N3843" s="31" t="str">
        <f t="shared" si="417"/>
        <v/>
      </c>
      <c r="O3843" s="31" t="str">
        <f>IF(OR(B3843="",C3843=""),"",K3843-N3843 + IFERROR(E3843 / SUMIFS('📅 Resumen Diario'!$D$5:$D$504, '📅 Resumen Diario'!$B$5:$B$504, B3843, '📅 Resumen Diario'!$C$5:$C$504, D3843) * (SUMIFS('📋 Detalle Diario'!$E$5:$E$489, '📋 Detalle Diario'!$B$5:$B$489, B3843, '📋 Detalle Diario'!$C$5:$C$489, D3843) * 135 + SUMIFS('📋 Detalle Diario'!$I$5:$I$489, '📋 Detalle Diario'!$B$5:$B$489, B3843, '📋 Detalle Diario'!$C$5:$C$489, D3843) * 200), 0))</f>
        <v/>
      </c>
      <c r="P3843" s="32" t="str">
        <f t="shared" si="418"/>
        <v/>
      </c>
      <c r="Q3843" s="33" t="str">
        <f t="shared" si="419"/>
        <v/>
      </c>
    </row>
    <row r="3844" spans="2:17" ht="18" customHeight="1" x14ac:dyDescent="0.3">
      <c r="B3844" s="26"/>
      <c r="C3844" s="17"/>
      <c r="D3844" s="27"/>
      <c r="E3844" s="18"/>
      <c r="F3844" s="18"/>
      <c r="G3844" s="18"/>
      <c r="H3844" s="30" t="str">
        <f t="shared" si="413"/>
        <v/>
      </c>
      <c r="I3844" s="31" t="str">
        <f>IF(OR(B3844="",C3844=""),"",IFERROR(E3844*IF(E3844="",0,VLOOKUP(C3844,'📦 Precios Proforma'!$B$5:$D$104,IF(D3844="DIA",2,3),FALSE)),0))</f>
        <v/>
      </c>
      <c r="J3844" s="31" t="str">
        <f t="shared" si="414"/>
        <v/>
      </c>
      <c r="K3844" s="31" t="str">
        <f t="shared" si="415"/>
        <v/>
      </c>
      <c r="L3844" s="31" t="str">
        <f>IF(OR(B3844="",C3844=""),"",IFERROR(E3844 / SUMIFS('📅 Resumen Diario'!$D$5:$D$504, '📅 Resumen Diario'!$B$5:$B$504, B3844, '📅 Resumen Diario'!$C$5:$C$504, D3844) * SUMIFS('📅 Resumen Diario'!$K$5:$K$504, '📅 Resumen Diario'!$B$5:$B$504, B3844, '📅 Resumen Diario'!$C$5:$C$504, D3844), 0))</f>
        <v/>
      </c>
      <c r="M3844" s="31" t="str">
        <f t="shared" si="416"/>
        <v/>
      </c>
      <c r="N3844" s="31" t="str">
        <f t="shared" si="417"/>
        <v/>
      </c>
      <c r="O3844" s="31" t="str">
        <f>IF(OR(B3844="",C3844=""),"",K3844-N3844 + IFERROR(E3844 / SUMIFS('📅 Resumen Diario'!$D$5:$D$504, '📅 Resumen Diario'!$B$5:$B$504, B3844, '📅 Resumen Diario'!$C$5:$C$504, D3844) * (SUMIFS('📋 Detalle Diario'!$E$5:$E$489, '📋 Detalle Diario'!$B$5:$B$489, B3844, '📋 Detalle Diario'!$C$5:$C$489, D3844) * 135 + SUMIFS('📋 Detalle Diario'!$I$5:$I$489, '📋 Detalle Diario'!$B$5:$B$489, B3844, '📋 Detalle Diario'!$C$5:$C$489, D3844) * 200), 0))</f>
        <v/>
      </c>
      <c r="P3844" s="32" t="str">
        <f t="shared" si="418"/>
        <v/>
      </c>
      <c r="Q3844" s="33" t="str">
        <f t="shared" si="419"/>
        <v/>
      </c>
    </row>
    <row r="3845" spans="2:17" ht="18" customHeight="1" x14ac:dyDescent="0.3">
      <c r="B3845" s="26"/>
      <c r="C3845" s="28"/>
      <c r="D3845" s="27"/>
      <c r="E3845" s="29"/>
      <c r="F3845" s="29"/>
      <c r="G3845" s="29"/>
      <c r="H3845" s="30" t="str">
        <f t="shared" si="413"/>
        <v/>
      </c>
      <c r="I3845" s="31" t="str">
        <f>IF(OR(B3845="",C3845=""),"",IFERROR(E3845*IF(E3845="",0,VLOOKUP(C3845,'📦 Precios Proforma'!$B$5:$D$104,IF(D3845="DIA",2,3),FALSE)),0))</f>
        <v/>
      </c>
      <c r="J3845" s="31" t="str">
        <f t="shared" si="414"/>
        <v/>
      </c>
      <c r="K3845" s="31" t="str">
        <f t="shared" si="415"/>
        <v/>
      </c>
      <c r="L3845" s="31" t="str">
        <f>IF(OR(B3845="",C3845=""),"",IFERROR(E3845 / SUMIFS('📅 Resumen Diario'!$D$5:$D$504, '📅 Resumen Diario'!$B$5:$B$504, B3845, '📅 Resumen Diario'!$C$5:$C$504, D3845) * SUMIFS('📅 Resumen Diario'!$K$5:$K$504, '📅 Resumen Diario'!$B$5:$B$504, B3845, '📅 Resumen Diario'!$C$5:$C$504, D3845), 0))</f>
        <v/>
      </c>
      <c r="M3845" s="31" t="str">
        <f t="shared" si="416"/>
        <v/>
      </c>
      <c r="N3845" s="31" t="str">
        <f t="shared" si="417"/>
        <v/>
      </c>
      <c r="O3845" s="31" t="str">
        <f>IF(OR(B3845="",C3845=""),"",K3845-N3845 + IFERROR(E3845 / SUMIFS('📅 Resumen Diario'!$D$5:$D$504, '📅 Resumen Diario'!$B$5:$B$504, B3845, '📅 Resumen Diario'!$C$5:$C$504, D3845) * (SUMIFS('📋 Detalle Diario'!$E$5:$E$489, '📋 Detalle Diario'!$B$5:$B$489, B3845, '📋 Detalle Diario'!$C$5:$C$489, D3845) * 135 + SUMIFS('📋 Detalle Diario'!$I$5:$I$489, '📋 Detalle Diario'!$B$5:$B$489, B3845, '📋 Detalle Diario'!$C$5:$C$489, D3845) * 200), 0))</f>
        <v/>
      </c>
      <c r="P3845" s="32" t="str">
        <f t="shared" si="418"/>
        <v/>
      </c>
      <c r="Q3845" s="33" t="str">
        <f t="shared" si="419"/>
        <v/>
      </c>
    </row>
    <row r="3846" spans="2:17" ht="18" customHeight="1" x14ac:dyDescent="0.3">
      <c r="B3846" s="26"/>
      <c r="C3846" s="17"/>
      <c r="D3846" s="27"/>
      <c r="E3846" s="18"/>
      <c r="F3846" s="18"/>
      <c r="G3846" s="18"/>
      <c r="H3846" s="30" t="str">
        <f t="shared" si="413"/>
        <v/>
      </c>
      <c r="I3846" s="31" t="str">
        <f>IF(OR(B3846="",C3846=""),"",IFERROR(E3846*IF(E3846="",0,VLOOKUP(C3846,'📦 Precios Proforma'!$B$5:$D$104,IF(D3846="DIA",2,3),FALSE)),0))</f>
        <v/>
      </c>
      <c r="J3846" s="31" t="str">
        <f t="shared" si="414"/>
        <v/>
      </c>
      <c r="K3846" s="31" t="str">
        <f t="shared" si="415"/>
        <v/>
      </c>
      <c r="L3846" s="31" t="str">
        <f>IF(OR(B3846="",C3846=""),"",IFERROR(E3846 / SUMIFS('📅 Resumen Diario'!$D$5:$D$504, '📅 Resumen Diario'!$B$5:$B$504, B3846, '📅 Resumen Diario'!$C$5:$C$504, D3846) * SUMIFS('📅 Resumen Diario'!$K$5:$K$504, '📅 Resumen Diario'!$B$5:$B$504, B3846, '📅 Resumen Diario'!$C$5:$C$504, D3846), 0))</f>
        <v/>
      </c>
      <c r="M3846" s="31" t="str">
        <f t="shared" si="416"/>
        <v/>
      </c>
      <c r="N3846" s="31" t="str">
        <f t="shared" si="417"/>
        <v/>
      </c>
      <c r="O3846" s="31" t="str">
        <f>IF(OR(B3846="",C3846=""),"",K3846-N3846 + IFERROR(E3846 / SUMIFS('📅 Resumen Diario'!$D$5:$D$504, '📅 Resumen Diario'!$B$5:$B$504, B3846, '📅 Resumen Diario'!$C$5:$C$504, D3846) * (SUMIFS('📋 Detalle Diario'!$E$5:$E$489, '📋 Detalle Diario'!$B$5:$B$489, B3846, '📋 Detalle Diario'!$C$5:$C$489, D3846) * 135 + SUMIFS('📋 Detalle Diario'!$I$5:$I$489, '📋 Detalle Diario'!$B$5:$B$489, B3846, '📋 Detalle Diario'!$C$5:$C$489, D3846) * 200), 0))</f>
        <v/>
      </c>
      <c r="P3846" s="32" t="str">
        <f t="shared" si="418"/>
        <v/>
      </c>
      <c r="Q3846" s="33" t="str">
        <f t="shared" si="419"/>
        <v/>
      </c>
    </row>
    <row r="3847" spans="2:17" ht="18" customHeight="1" x14ac:dyDescent="0.3">
      <c r="B3847" s="26"/>
      <c r="C3847" s="28"/>
      <c r="D3847" s="27"/>
      <c r="E3847" s="29"/>
      <c r="F3847" s="29"/>
      <c r="G3847" s="29"/>
      <c r="H3847" s="30" t="str">
        <f t="shared" ref="H3847:H3910" si="420">IF(OR(B3847="",C3847=""),"",F3847+G3847)</f>
        <v/>
      </c>
      <c r="I3847" s="31" t="str">
        <f>IF(OR(B3847="",C3847=""),"",IFERROR(E3847*IF(E3847="",0,VLOOKUP(C3847,'📦 Precios Proforma'!$B$5:$D$104,IF(D3847="DIA",2,3),FALSE)),0))</f>
        <v/>
      </c>
      <c r="J3847" s="31" t="str">
        <f t="shared" ref="J3847:J3910" si="421">IF(OR(B3847="",C3847=""),"",IF(D3847="DIA",H3847*1.01,H3847*1.35))</f>
        <v/>
      </c>
      <c r="K3847" s="31" t="str">
        <f t="shared" ref="K3847:K3910" si="422">IF(OR(B3847="",C3847=""),"",I3847+J3847)</f>
        <v/>
      </c>
      <c r="L3847" s="31" t="str">
        <f>IF(OR(B3847="",C3847=""),"",IFERROR(E3847 / SUMIFS('📅 Resumen Diario'!$D$5:$D$504, '📅 Resumen Diario'!$B$5:$B$504, B3847, '📅 Resumen Diario'!$C$5:$C$504, D3847) * SUMIFS('📅 Resumen Diario'!$K$5:$K$504, '📅 Resumen Diario'!$B$5:$B$504, B3847, '📅 Resumen Diario'!$C$5:$C$504, D3847), 0))</f>
        <v/>
      </c>
      <c r="M3847" s="31" t="str">
        <f t="shared" ref="M3847:M3910" si="423">IF(OR(B3847="",C3847=""),"",H3847*0.09)</f>
        <v/>
      </c>
      <c r="N3847" s="31" t="str">
        <f t="shared" ref="N3847:N3910" si="424">IF(OR(B3847="",C3847=""),"",L3847+M3847)</f>
        <v/>
      </c>
      <c r="O3847" s="31" t="str">
        <f>IF(OR(B3847="",C3847=""),"",K3847-N3847 + IFERROR(E3847 / SUMIFS('📅 Resumen Diario'!$D$5:$D$504, '📅 Resumen Diario'!$B$5:$B$504, B3847, '📅 Resumen Diario'!$C$5:$C$504, D3847) * (SUMIFS('📋 Detalle Diario'!$E$5:$E$489, '📋 Detalle Diario'!$B$5:$B$489, B3847, '📋 Detalle Diario'!$C$5:$C$489, D3847) * 135 + SUMIFS('📋 Detalle Diario'!$I$5:$I$489, '📋 Detalle Diario'!$B$5:$B$489, B3847, '📋 Detalle Diario'!$C$5:$C$489, D3847) * 200), 0))</f>
        <v/>
      </c>
      <c r="P3847" s="32" t="str">
        <f t="shared" ref="P3847:P3910" si="425">IF(OR(B3847="",C3847=""),"",IF(K3847=0, 0, O3847/K3847))</f>
        <v/>
      </c>
      <c r="Q3847" s="33" t="str">
        <f t="shared" ref="Q3847:Q3910" si="426">IF(B3847="","",IF(ISNUMBER(B3847),YEAR(B3847)&amp;"-"&amp;IF(MONTH(B3847)&lt;10,"0","")&amp;MONTH(B3847),LEFT(B3847,7)))</f>
        <v/>
      </c>
    </row>
    <row r="3848" spans="2:17" ht="18" customHeight="1" x14ac:dyDescent="0.3">
      <c r="B3848" s="26"/>
      <c r="C3848" s="17"/>
      <c r="D3848" s="27"/>
      <c r="E3848" s="18"/>
      <c r="F3848" s="18"/>
      <c r="G3848" s="18"/>
      <c r="H3848" s="30" t="str">
        <f t="shared" si="420"/>
        <v/>
      </c>
      <c r="I3848" s="31" t="str">
        <f>IF(OR(B3848="",C3848=""),"",IFERROR(E3848*IF(E3848="",0,VLOOKUP(C3848,'📦 Precios Proforma'!$B$5:$D$104,IF(D3848="DIA",2,3),FALSE)),0))</f>
        <v/>
      </c>
      <c r="J3848" s="31" t="str">
        <f t="shared" si="421"/>
        <v/>
      </c>
      <c r="K3848" s="31" t="str">
        <f t="shared" si="422"/>
        <v/>
      </c>
      <c r="L3848" s="31" t="str">
        <f>IF(OR(B3848="",C3848=""),"",IFERROR(E3848 / SUMIFS('📅 Resumen Diario'!$D$5:$D$504, '📅 Resumen Diario'!$B$5:$B$504, B3848, '📅 Resumen Diario'!$C$5:$C$504, D3848) * SUMIFS('📅 Resumen Diario'!$K$5:$K$504, '📅 Resumen Diario'!$B$5:$B$504, B3848, '📅 Resumen Diario'!$C$5:$C$504, D3848), 0))</f>
        <v/>
      </c>
      <c r="M3848" s="31" t="str">
        <f t="shared" si="423"/>
        <v/>
      </c>
      <c r="N3848" s="31" t="str">
        <f t="shared" si="424"/>
        <v/>
      </c>
      <c r="O3848" s="31" t="str">
        <f>IF(OR(B3848="",C3848=""),"",K3848-N3848 + IFERROR(E3848 / SUMIFS('📅 Resumen Diario'!$D$5:$D$504, '📅 Resumen Diario'!$B$5:$B$504, B3848, '📅 Resumen Diario'!$C$5:$C$504, D3848) * (SUMIFS('📋 Detalle Diario'!$E$5:$E$489, '📋 Detalle Diario'!$B$5:$B$489, B3848, '📋 Detalle Diario'!$C$5:$C$489, D3848) * 135 + SUMIFS('📋 Detalle Diario'!$I$5:$I$489, '📋 Detalle Diario'!$B$5:$B$489, B3848, '📋 Detalle Diario'!$C$5:$C$489, D3848) * 200), 0))</f>
        <v/>
      </c>
      <c r="P3848" s="32" t="str">
        <f t="shared" si="425"/>
        <v/>
      </c>
      <c r="Q3848" s="33" t="str">
        <f t="shared" si="426"/>
        <v/>
      </c>
    </row>
    <row r="3849" spans="2:17" ht="18" customHeight="1" x14ac:dyDescent="0.3">
      <c r="B3849" s="26"/>
      <c r="C3849" s="28"/>
      <c r="D3849" s="27"/>
      <c r="E3849" s="29"/>
      <c r="F3849" s="29"/>
      <c r="G3849" s="29"/>
      <c r="H3849" s="30" t="str">
        <f t="shared" si="420"/>
        <v/>
      </c>
      <c r="I3849" s="31" t="str">
        <f>IF(OR(B3849="",C3849=""),"",IFERROR(E3849*IF(E3849="",0,VLOOKUP(C3849,'📦 Precios Proforma'!$B$5:$D$104,IF(D3849="DIA",2,3),FALSE)),0))</f>
        <v/>
      </c>
      <c r="J3849" s="31" t="str">
        <f t="shared" si="421"/>
        <v/>
      </c>
      <c r="K3849" s="31" t="str">
        <f t="shared" si="422"/>
        <v/>
      </c>
      <c r="L3849" s="31" t="str">
        <f>IF(OR(B3849="",C3849=""),"",IFERROR(E3849 / SUMIFS('📅 Resumen Diario'!$D$5:$D$504, '📅 Resumen Diario'!$B$5:$B$504, B3849, '📅 Resumen Diario'!$C$5:$C$504, D3849) * SUMIFS('📅 Resumen Diario'!$K$5:$K$504, '📅 Resumen Diario'!$B$5:$B$504, B3849, '📅 Resumen Diario'!$C$5:$C$504, D3849), 0))</f>
        <v/>
      </c>
      <c r="M3849" s="31" t="str">
        <f t="shared" si="423"/>
        <v/>
      </c>
      <c r="N3849" s="31" t="str">
        <f t="shared" si="424"/>
        <v/>
      </c>
      <c r="O3849" s="31" t="str">
        <f>IF(OR(B3849="",C3849=""),"",K3849-N3849 + IFERROR(E3849 / SUMIFS('📅 Resumen Diario'!$D$5:$D$504, '📅 Resumen Diario'!$B$5:$B$504, B3849, '📅 Resumen Diario'!$C$5:$C$504, D3849) * (SUMIFS('📋 Detalle Diario'!$E$5:$E$489, '📋 Detalle Diario'!$B$5:$B$489, B3849, '📋 Detalle Diario'!$C$5:$C$489, D3849) * 135 + SUMIFS('📋 Detalle Diario'!$I$5:$I$489, '📋 Detalle Diario'!$B$5:$B$489, B3849, '📋 Detalle Diario'!$C$5:$C$489, D3849) * 200), 0))</f>
        <v/>
      </c>
      <c r="P3849" s="32" t="str">
        <f t="shared" si="425"/>
        <v/>
      </c>
      <c r="Q3849" s="33" t="str">
        <f t="shared" si="426"/>
        <v/>
      </c>
    </row>
    <row r="3850" spans="2:17" ht="18" customHeight="1" x14ac:dyDescent="0.3">
      <c r="B3850" s="26"/>
      <c r="C3850" s="17"/>
      <c r="D3850" s="27"/>
      <c r="E3850" s="18"/>
      <c r="F3850" s="18"/>
      <c r="G3850" s="18"/>
      <c r="H3850" s="30" t="str">
        <f t="shared" si="420"/>
        <v/>
      </c>
      <c r="I3850" s="31" t="str">
        <f>IF(OR(B3850="",C3850=""),"",IFERROR(E3850*IF(E3850="",0,VLOOKUP(C3850,'📦 Precios Proforma'!$B$5:$D$104,IF(D3850="DIA",2,3),FALSE)),0))</f>
        <v/>
      </c>
      <c r="J3850" s="31" t="str">
        <f t="shared" si="421"/>
        <v/>
      </c>
      <c r="K3850" s="31" t="str">
        <f t="shared" si="422"/>
        <v/>
      </c>
      <c r="L3850" s="31" t="str">
        <f>IF(OR(B3850="",C3850=""),"",IFERROR(E3850 / SUMIFS('📅 Resumen Diario'!$D$5:$D$504, '📅 Resumen Diario'!$B$5:$B$504, B3850, '📅 Resumen Diario'!$C$5:$C$504, D3850) * SUMIFS('📅 Resumen Diario'!$K$5:$K$504, '📅 Resumen Diario'!$B$5:$B$504, B3850, '📅 Resumen Diario'!$C$5:$C$504, D3850), 0))</f>
        <v/>
      </c>
      <c r="M3850" s="31" t="str">
        <f t="shared" si="423"/>
        <v/>
      </c>
      <c r="N3850" s="31" t="str">
        <f t="shared" si="424"/>
        <v/>
      </c>
      <c r="O3850" s="31" t="str">
        <f>IF(OR(B3850="",C3850=""),"",K3850-N3850 + IFERROR(E3850 / SUMIFS('📅 Resumen Diario'!$D$5:$D$504, '📅 Resumen Diario'!$B$5:$B$504, B3850, '📅 Resumen Diario'!$C$5:$C$504, D3850) * (SUMIFS('📋 Detalle Diario'!$E$5:$E$489, '📋 Detalle Diario'!$B$5:$B$489, B3850, '📋 Detalle Diario'!$C$5:$C$489, D3850) * 135 + SUMIFS('📋 Detalle Diario'!$I$5:$I$489, '📋 Detalle Diario'!$B$5:$B$489, B3850, '📋 Detalle Diario'!$C$5:$C$489, D3850) * 200), 0))</f>
        <v/>
      </c>
      <c r="P3850" s="32" t="str">
        <f t="shared" si="425"/>
        <v/>
      </c>
      <c r="Q3850" s="33" t="str">
        <f t="shared" si="426"/>
        <v/>
      </c>
    </row>
    <row r="3851" spans="2:17" ht="18" customHeight="1" x14ac:dyDescent="0.3">
      <c r="B3851" s="26"/>
      <c r="C3851" s="28"/>
      <c r="D3851" s="27"/>
      <c r="E3851" s="29"/>
      <c r="F3851" s="29"/>
      <c r="G3851" s="29"/>
      <c r="H3851" s="30" t="str">
        <f t="shared" si="420"/>
        <v/>
      </c>
      <c r="I3851" s="31" t="str">
        <f>IF(OR(B3851="",C3851=""),"",IFERROR(E3851*IF(E3851="",0,VLOOKUP(C3851,'📦 Precios Proforma'!$B$5:$D$104,IF(D3851="DIA",2,3),FALSE)),0))</f>
        <v/>
      </c>
      <c r="J3851" s="31" t="str">
        <f t="shared" si="421"/>
        <v/>
      </c>
      <c r="K3851" s="31" t="str">
        <f t="shared" si="422"/>
        <v/>
      </c>
      <c r="L3851" s="31" t="str">
        <f>IF(OR(B3851="",C3851=""),"",IFERROR(E3851 / SUMIFS('📅 Resumen Diario'!$D$5:$D$504, '📅 Resumen Diario'!$B$5:$B$504, B3851, '📅 Resumen Diario'!$C$5:$C$504, D3851) * SUMIFS('📅 Resumen Diario'!$K$5:$K$504, '📅 Resumen Diario'!$B$5:$B$504, B3851, '📅 Resumen Diario'!$C$5:$C$504, D3851), 0))</f>
        <v/>
      </c>
      <c r="M3851" s="31" t="str">
        <f t="shared" si="423"/>
        <v/>
      </c>
      <c r="N3851" s="31" t="str">
        <f t="shared" si="424"/>
        <v/>
      </c>
      <c r="O3851" s="31" t="str">
        <f>IF(OR(B3851="",C3851=""),"",K3851-N3851 + IFERROR(E3851 / SUMIFS('📅 Resumen Diario'!$D$5:$D$504, '📅 Resumen Diario'!$B$5:$B$504, B3851, '📅 Resumen Diario'!$C$5:$C$504, D3851) * (SUMIFS('📋 Detalle Diario'!$E$5:$E$489, '📋 Detalle Diario'!$B$5:$B$489, B3851, '📋 Detalle Diario'!$C$5:$C$489, D3851) * 135 + SUMIFS('📋 Detalle Diario'!$I$5:$I$489, '📋 Detalle Diario'!$B$5:$B$489, B3851, '📋 Detalle Diario'!$C$5:$C$489, D3851) * 200), 0))</f>
        <v/>
      </c>
      <c r="P3851" s="32" t="str">
        <f t="shared" si="425"/>
        <v/>
      </c>
      <c r="Q3851" s="33" t="str">
        <f t="shared" si="426"/>
        <v/>
      </c>
    </row>
    <row r="3852" spans="2:17" ht="18" customHeight="1" x14ac:dyDescent="0.3">
      <c r="B3852" s="26"/>
      <c r="C3852" s="17"/>
      <c r="D3852" s="27"/>
      <c r="E3852" s="18"/>
      <c r="F3852" s="18"/>
      <c r="G3852" s="18"/>
      <c r="H3852" s="30" t="str">
        <f t="shared" si="420"/>
        <v/>
      </c>
      <c r="I3852" s="31" t="str">
        <f>IF(OR(B3852="",C3852=""),"",IFERROR(E3852*IF(E3852="",0,VLOOKUP(C3852,'📦 Precios Proforma'!$B$5:$D$104,IF(D3852="DIA",2,3),FALSE)),0))</f>
        <v/>
      </c>
      <c r="J3852" s="31" t="str">
        <f t="shared" si="421"/>
        <v/>
      </c>
      <c r="K3852" s="31" t="str">
        <f t="shared" si="422"/>
        <v/>
      </c>
      <c r="L3852" s="31" t="str">
        <f>IF(OR(B3852="",C3852=""),"",IFERROR(E3852 / SUMIFS('📅 Resumen Diario'!$D$5:$D$504, '📅 Resumen Diario'!$B$5:$B$504, B3852, '📅 Resumen Diario'!$C$5:$C$504, D3852) * SUMIFS('📅 Resumen Diario'!$K$5:$K$504, '📅 Resumen Diario'!$B$5:$B$504, B3852, '📅 Resumen Diario'!$C$5:$C$504, D3852), 0))</f>
        <v/>
      </c>
      <c r="M3852" s="31" t="str">
        <f t="shared" si="423"/>
        <v/>
      </c>
      <c r="N3852" s="31" t="str">
        <f t="shared" si="424"/>
        <v/>
      </c>
      <c r="O3852" s="31" t="str">
        <f>IF(OR(B3852="",C3852=""),"",K3852-N3852 + IFERROR(E3852 / SUMIFS('📅 Resumen Diario'!$D$5:$D$504, '📅 Resumen Diario'!$B$5:$B$504, B3852, '📅 Resumen Diario'!$C$5:$C$504, D3852) * (SUMIFS('📋 Detalle Diario'!$E$5:$E$489, '📋 Detalle Diario'!$B$5:$B$489, B3852, '📋 Detalle Diario'!$C$5:$C$489, D3852) * 135 + SUMIFS('📋 Detalle Diario'!$I$5:$I$489, '📋 Detalle Diario'!$B$5:$B$489, B3852, '📋 Detalle Diario'!$C$5:$C$489, D3852) * 200), 0))</f>
        <v/>
      </c>
      <c r="P3852" s="32" t="str">
        <f t="shared" si="425"/>
        <v/>
      </c>
      <c r="Q3852" s="33" t="str">
        <f t="shared" si="426"/>
        <v/>
      </c>
    </row>
    <row r="3853" spans="2:17" ht="18" customHeight="1" x14ac:dyDescent="0.3">
      <c r="B3853" s="26"/>
      <c r="C3853" s="28"/>
      <c r="D3853" s="27"/>
      <c r="E3853" s="29"/>
      <c r="F3853" s="29"/>
      <c r="G3853" s="29"/>
      <c r="H3853" s="30" t="str">
        <f t="shared" si="420"/>
        <v/>
      </c>
      <c r="I3853" s="31" t="str">
        <f>IF(OR(B3853="",C3853=""),"",IFERROR(E3853*IF(E3853="",0,VLOOKUP(C3853,'📦 Precios Proforma'!$B$5:$D$104,IF(D3853="DIA",2,3),FALSE)),0))</f>
        <v/>
      </c>
      <c r="J3853" s="31" t="str">
        <f t="shared" si="421"/>
        <v/>
      </c>
      <c r="K3853" s="31" t="str">
        <f t="shared" si="422"/>
        <v/>
      </c>
      <c r="L3853" s="31" t="str">
        <f>IF(OR(B3853="",C3853=""),"",IFERROR(E3853 / SUMIFS('📅 Resumen Diario'!$D$5:$D$504, '📅 Resumen Diario'!$B$5:$B$504, B3853, '📅 Resumen Diario'!$C$5:$C$504, D3853) * SUMIFS('📅 Resumen Diario'!$K$5:$K$504, '📅 Resumen Diario'!$B$5:$B$504, B3853, '📅 Resumen Diario'!$C$5:$C$504, D3853), 0))</f>
        <v/>
      </c>
      <c r="M3853" s="31" t="str">
        <f t="shared" si="423"/>
        <v/>
      </c>
      <c r="N3853" s="31" t="str">
        <f t="shared" si="424"/>
        <v/>
      </c>
      <c r="O3853" s="31" t="str">
        <f>IF(OR(B3853="",C3853=""),"",K3853-N3853 + IFERROR(E3853 / SUMIFS('📅 Resumen Diario'!$D$5:$D$504, '📅 Resumen Diario'!$B$5:$B$504, B3853, '📅 Resumen Diario'!$C$5:$C$504, D3853) * (SUMIFS('📋 Detalle Diario'!$E$5:$E$489, '📋 Detalle Diario'!$B$5:$B$489, B3853, '📋 Detalle Diario'!$C$5:$C$489, D3853) * 135 + SUMIFS('📋 Detalle Diario'!$I$5:$I$489, '📋 Detalle Diario'!$B$5:$B$489, B3853, '📋 Detalle Diario'!$C$5:$C$489, D3853) * 200), 0))</f>
        <v/>
      </c>
      <c r="P3853" s="32" t="str">
        <f t="shared" si="425"/>
        <v/>
      </c>
      <c r="Q3853" s="33" t="str">
        <f t="shared" si="426"/>
        <v/>
      </c>
    </row>
    <row r="3854" spans="2:17" ht="18" customHeight="1" x14ac:dyDescent="0.3">
      <c r="B3854" s="26"/>
      <c r="C3854" s="17"/>
      <c r="D3854" s="27"/>
      <c r="E3854" s="18"/>
      <c r="F3854" s="18"/>
      <c r="G3854" s="18"/>
      <c r="H3854" s="30" t="str">
        <f t="shared" si="420"/>
        <v/>
      </c>
      <c r="I3854" s="31" t="str">
        <f>IF(OR(B3854="",C3854=""),"",IFERROR(E3854*IF(E3854="",0,VLOOKUP(C3854,'📦 Precios Proforma'!$B$5:$D$104,IF(D3854="DIA",2,3),FALSE)),0))</f>
        <v/>
      </c>
      <c r="J3854" s="31" t="str">
        <f t="shared" si="421"/>
        <v/>
      </c>
      <c r="K3854" s="31" t="str">
        <f t="shared" si="422"/>
        <v/>
      </c>
      <c r="L3854" s="31" t="str">
        <f>IF(OR(B3854="",C3854=""),"",IFERROR(E3854 / SUMIFS('📅 Resumen Diario'!$D$5:$D$504, '📅 Resumen Diario'!$B$5:$B$504, B3854, '📅 Resumen Diario'!$C$5:$C$504, D3854) * SUMIFS('📅 Resumen Diario'!$K$5:$K$504, '📅 Resumen Diario'!$B$5:$B$504, B3854, '📅 Resumen Diario'!$C$5:$C$504, D3854), 0))</f>
        <v/>
      </c>
      <c r="M3854" s="31" t="str">
        <f t="shared" si="423"/>
        <v/>
      </c>
      <c r="N3854" s="31" t="str">
        <f t="shared" si="424"/>
        <v/>
      </c>
      <c r="O3854" s="31" t="str">
        <f>IF(OR(B3854="",C3854=""),"",K3854-N3854 + IFERROR(E3854 / SUMIFS('📅 Resumen Diario'!$D$5:$D$504, '📅 Resumen Diario'!$B$5:$B$504, B3854, '📅 Resumen Diario'!$C$5:$C$504, D3854) * (SUMIFS('📋 Detalle Diario'!$E$5:$E$489, '📋 Detalle Diario'!$B$5:$B$489, B3854, '📋 Detalle Diario'!$C$5:$C$489, D3854) * 135 + SUMIFS('📋 Detalle Diario'!$I$5:$I$489, '📋 Detalle Diario'!$B$5:$B$489, B3854, '📋 Detalle Diario'!$C$5:$C$489, D3854) * 200), 0))</f>
        <v/>
      </c>
      <c r="P3854" s="32" t="str">
        <f t="shared" si="425"/>
        <v/>
      </c>
      <c r="Q3854" s="33" t="str">
        <f t="shared" si="426"/>
        <v/>
      </c>
    </row>
    <row r="3855" spans="2:17" ht="18" customHeight="1" x14ac:dyDescent="0.3">
      <c r="B3855" s="26"/>
      <c r="C3855" s="28"/>
      <c r="D3855" s="27"/>
      <c r="E3855" s="29"/>
      <c r="F3855" s="29"/>
      <c r="G3855" s="29"/>
      <c r="H3855" s="30" t="str">
        <f t="shared" si="420"/>
        <v/>
      </c>
      <c r="I3855" s="31" t="str">
        <f>IF(OR(B3855="",C3855=""),"",IFERROR(E3855*IF(E3855="",0,VLOOKUP(C3855,'📦 Precios Proforma'!$B$5:$D$104,IF(D3855="DIA",2,3),FALSE)),0))</f>
        <v/>
      </c>
      <c r="J3855" s="31" t="str">
        <f t="shared" si="421"/>
        <v/>
      </c>
      <c r="K3855" s="31" t="str">
        <f t="shared" si="422"/>
        <v/>
      </c>
      <c r="L3855" s="31" t="str">
        <f>IF(OR(B3855="",C3855=""),"",IFERROR(E3855 / SUMIFS('📅 Resumen Diario'!$D$5:$D$504, '📅 Resumen Diario'!$B$5:$B$504, B3855, '📅 Resumen Diario'!$C$5:$C$504, D3855) * SUMIFS('📅 Resumen Diario'!$K$5:$K$504, '📅 Resumen Diario'!$B$5:$B$504, B3855, '📅 Resumen Diario'!$C$5:$C$504, D3855), 0))</f>
        <v/>
      </c>
      <c r="M3855" s="31" t="str">
        <f t="shared" si="423"/>
        <v/>
      </c>
      <c r="N3855" s="31" t="str">
        <f t="shared" si="424"/>
        <v/>
      </c>
      <c r="O3855" s="31" t="str">
        <f>IF(OR(B3855="",C3855=""),"",K3855-N3855 + IFERROR(E3855 / SUMIFS('📅 Resumen Diario'!$D$5:$D$504, '📅 Resumen Diario'!$B$5:$B$504, B3855, '📅 Resumen Diario'!$C$5:$C$504, D3855) * (SUMIFS('📋 Detalle Diario'!$E$5:$E$489, '📋 Detalle Diario'!$B$5:$B$489, B3855, '📋 Detalle Diario'!$C$5:$C$489, D3855) * 135 + SUMIFS('📋 Detalle Diario'!$I$5:$I$489, '📋 Detalle Diario'!$B$5:$B$489, B3855, '📋 Detalle Diario'!$C$5:$C$489, D3855) * 200), 0))</f>
        <v/>
      </c>
      <c r="P3855" s="32" t="str">
        <f t="shared" si="425"/>
        <v/>
      </c>
      <c r="Q3855" s="33" t="str">
        <f t="shared" si="426"/>
        <v/>
      </c>
    </row>
    <row r="3856" spans="2:17" ht="18" customHeight="1" x14ac:dyDescent="0.3">
      <c r="B3856" s="26"/>
      <c r="C3856" s="17"/>
      <c r="D3856" s="27"/>
      <c r="E3856" s="18"/>
      <c r="F3856" s="18"/>
      <c r="G3856" s="18"/>
      <c r="H3856" s="30" t="str">
        <f t="shared" si="420"/>
        <v/>
      </c>
      <c r="I3856" s="31" t="str">
        <f>IF(OR(B3856="",C3856=""),"",IFERROR(E3856*IF(E3856="",0,VLOOKUP(C3856,'📦 Precios Proforma'!$B$5:$D$104,IF(D3856="DIA",2,3),FALSE)),0))</f>
        <v/>
      </c>
      <c r="J3856" s="31" t="str">
        <f t="shared" si="421"/>
        <v/>
      </c>
      <c r="K3856" s="31" t="str">
        <f t="shared" si="422"/>
        <v/>
      </c>
      <c r="L3856" s="31" t="str">
        <f>IF(OR(B3856="",C3856=""),"",IFERROR(E3856 / SUMIFS('📅 Resumen Diario'!$D$5:$D$504, '📅 Resumen Diario'!$B$5:$B$504, B3856, '📅 Resumen Diario'!$C$5:$C$504, D3856) * SUMIFS('📅 Resumen Diario'!$K$5:$K$504, '📅 Resumen Diario'!$B$5:$B$504, B3856, '📅 Resumen Diario'!$C$5:$C$504, D3856), 0))</f>
        <v/>
      </c>
      <c r="M3856" s="31" t="str">
        <f t="shared" si="423"/>
        <v/>
      </c>
      <c r="N3856" s="31" t="str">
        <f t="shared" si="424"/>
        <v/>
      </c>
      <c r="O3856" s="31" t="str">
        <f>IF(OR(B3856="",C3856=""),"",K3856-N3856 + IFERROR(E3856 / SUMIFS('📅 Resumen Diario'!$D$5:$D$504, '📅 Resumen Diario'!$B$5:$B$504, B3856, '📅 Resumen Diario'!$C$5:$C$504, D3856) * (SUMIFS('📋 Detalle Diario'!$E$5:$E$489, '📋 Detalle Diario'!$B$5:$B$489, B3856, '📋 Detalle Diario'!$C$5:$C$489, D3856) * 135 + SUMIFS('📋 Detalle Diario'!$I$5:$I$489, '📋 Detalle Diario'!$B$5:$B$489, B3856, '📋 Detalle Diario'!$C$5:$C$489, D3856) * 200), 0))</f>
        <v/>
      </c>
      <c r="P3856" s="32" t="str">
        <f t="shared" si="425"/>
        <v/>
      </c>
      <c r="Q3856" s="33" t="str">
        <f t="shared" si="426"/>
        <v/>
      </c>
    </row>
    <row r="3857" spans="2:17" ht="18" customHeight="1" x14ac:dyDescent="0.3">
      <c r="B3857" s="26"/>
      <c r="C3857" s="28"/>
      <c r="D3857" s="27"/>
      <c r="E3857" s="29"/>
      <c r="F3857" s="29"/>
      <c r="G3857" s="29"/>
      <c r="H3857" s="30" t="str">
        <f t="shared" si="420"/>
        <v/>
      </c>
      <c r="I3857" s="31" t="str">
        <f>IF(OR(B3857="",C3857=""),"",IFERROR(E3857*IF(E3857="",0,VLOOKUP(C3857,'📦 Precios Proforma'!$B$5:$D$104,IF(D3857="DIA",2,3),FALSE)),0))</f>
        <v/>
      </c>
      <c r="J3857" s="31" t="str">
        <f t="shared" si="421"/>
        <v/>
      </c>
      <c r="K3857" s="31" t="str">
        <f t="shared" si="422"/>
        <v/>
      </c>
      <c r="L3857" s="31" t="str">
        <f>IF(OR(B3857="",C3857=""),"",IFERROR(E3857 / SUMIFS('📅 Resumen Diario'!$D$5:$D$504, '📅 Resumen Diario'!$B$5:$B$504, B3857, '📅 Resumen Diario'!$C$5:$C$504, D3857) * SUMIFS('📅 Resumen Diario'!$K$5:$K$504, '📅 Resumen Diario'!$B$5:$B$504, B3857, '📅 Resumen Diario'!$C$5:$C$504, D3857), 0))</f>
        <v/>
      </c>
      <c r="M3857" s="31" t="str">
        <f t="shared" si="423"/>
        <v/>
      </c>
      <c r="N3857" s="31" t="str">
        <f t="shared" si="424"/>
        <v/>
      </c>
      <c r="O3857" s="31" t="str">
        <f>IF(OR(B3857="",C3857=""),"",K3857-N3857 + IFERROR(E3857 / SUMIFS('📅 Resumen Diario'!$D$5:$D$504, '📅 Resumen Diario'!$B$5:$B$504, B3857, '📅 Resumen Diario'!$C$5:$C$504, D3857) * (SUMIFS('📋 Detalle Diario'!$E$5:$E$489, '📋 Detalle Diario'!$B$5:$B$489, B3857, '📋 Detalle Diario'!$C$5:$C$489, D3857) * 135 + SUMIFS('📋 Detalle Diario'!$I$5:$I$489, '📋 Detalle Diario'!$B$5:$B$489, B3857, '📋 Detalle Diario'!$C$5:$C$489, D3857) * 200), 0))</f>
        <v/>
      </c>
      <c r="P3857" s="32" t="str">
        <f t="shared" si="425"/>
        <v/>
      </c>
      <c r="Q3857" s="33" t="str">
        <f t="shared" si="426"/>
        <v/>
      </c>
    </row>
    <row r="3858" spans="2:17" ht="18" customHeight="1" x14ac:dyDescent="0.3">
      <c r="B3858" s="26"/>
      <c r="C3858" s="17"/>
      <c r="D3858" s="27"/>
      <c r="E3858" s="18"/>
      <c r="F3858" s="18"/>
      <c r="G3858" s="18"/>
      <c r="H3858" s="30" t="str">
        <f t="shared" si="420"/>
        <v/>
      </c>
      <c r="I3858" s="31" t="str">
        <f>IF(OR(B3858="",C3858=""),"",IFERROR(E3858*IF(E3858="",0,VLOOKUP(C3858,'📦 Precios Proforma'!$B$5:$D$104,IF(D3858="DIA",2,3),FALSE)),0))</f>
        <v/>
      </c>
      <c r="J3858" s="31" t="str">
        <f t="shared" si="421"/>
        <v/>
      </c>
      <c r="K3858" s="31" t="str">
        <f t="shared" si="422"/>
        <v/>
      </c>
      <c r="L3858" s="31" t="str">
        <f>IF(OR(B3858="",C3858=""),"",IFERROR(E3858 / SUMIFS('📅 Resumen Diario'!$D$5:$D$504, '📅 Resumen Diario'!$B$5:$B$504, B3858, '📅 Resumen Diario'!$C$5:$C$504, D3858) * SUMIFS('📅 Resumen Diario'!$K$5:$K$504, '📅 Resumen Diario'!$B$5:$B$504, B3858, '📅 Resumen Diario'!$C$5:$C$504, D3858), 0))</f>
        <v/>
      </c>
      <c r="M3858" s="31" t="str">
        <f t="shared" si="423"/>
        <v/>
      </c>
      <c r="N3858" s="31" t="str">
        <f t="shared" si="424"/>
        <v/>
      </c>
      <c r="O3858" s="31" t="str">
        <f>IF(OR(B3858="",C3858=""),"",K3858-N3858 + IFERROR(E3858 / SUMIFS('📅 Resumen Diario'!$D$5:$D$504, '📅 Resumen Diario'!$B$5:$B$504, B3858, '📅 Resumen Diario'!$C$5:$C$504, D3858) * (SUMIFS('📋 Detalle Diario'!$E$5:$E$489, '📋 Detalle Diario'!$B$5:$B$489, B3858, '📋 Detalle Diario'!$C$5:$C$489, D3858) * 135 + SUMIFS('📋 Detalle Diario'!$I$5:$I$489, '📋 Detalle Diario'!$B$5:$B$489, B3858, '📋 Detalle Diario'!$C$5:$C$489, D3858) * 200), 0))</f>
        <v/>
      </c>
      <c r="P3858" s="32" t="str">
        <f t="shared" si="425"/>
        <v/>
      </c>
      <c r="Q3858" s="33" t="str">
        <f t="shared" si="426"/>
        <v/>
      </c>
    </row>
    <row r="3859" spans="2:17" ht="18" customHeight="1" x14ac:dyDescent="0.3">
      <c r="B3859" s="26"/>
      <c r="C3859" s="28"/>
      <c r="D3859" s="27"/>
      <c r="E3859" s="29"/>
      <c r="F3859" s="29"/>
      <c r="G3859" s="29"/>
      <c r="H3859" s="30" t="str">
        <f t="shared" si="420"/>
        <v/>
      </c>
      <c r="I3859" s="31" t="str">
        <f>IF(OR(B3859="",C3859=""),"",IFERROR(E3859*IF(E3859="",0,VLOOKUP(C3859,'📦 Precios Proforma'!$B$5:$D$104,IF(D3859="DIA",2,3),FALSE)),0))</f>
        <v/>
      </c>
      <c r="J3859" s="31" t="str">
        <f t="shared" si="421"/>
        <v/>
      </c>
      <c r="K3859" s="31" t="str">
        <f t="shared" si="422"/>
        <v/>
      </c>
      <c r="L3859" s="31" t="str">
        <f>IF(OR(B3859="",C3859=""),"",IFERROR(E3859 / SUMIFS('📅 Resumen Diario'!$D$5:$D$504, '📅 Resumen Diario'!$B$5:$B$504, B3859, '📅 Resumen Diario'!$C$5:$C$504, D3859) * SUMIFS('📅 Resumen Diario'!$K$5:$K$504, '📅 Resumen Diario'!$B$5:$B$504, B3859, '📅 Resumen Diario'!$C$5:$C$504, D3859), 0))</f>
        <v/>
      </c>
      <c r="M3859" s="31" t="str">
        <f t="shared" si="423"/>
        <v/>
      </c>
      <c r="N3859" s="31" t="str">
        <f t="shared" si="424"/>
        <v/>
      </c>
      <c r="O3859" s="31" t="str">
        <f>IF(OR(B3859="",C3859=""),"",K3859-N3859 + IFERROR(E3859 / SUMIFS('📅 Resumen Diario'!$D$5:$D$504, '📅 Resumen Diario'!$B$5:$B$504, B3859, '📅 Resumen Diario'!$C$5:$C$504, D3859) * (SUMIFS('📋 Detalle Diario'!$E$5:$E$489, '📋 Detalle Diario'!$B$5:$B$489, B3859, '📋 Detalle Diario'!$C$5:$C$489, D3859) * 135 + SUMIFS('📋 Detalle Diario'!$I$5:$I$489, '📋 Detalle Diario'!$B$5:$B$489, B3859, '📋 Detalle Diario'!$C$5:$C$489, D3859) * 200), 0))</f>
        <v/>
      </c>
      <c r="P3859" s="32" t="str">
        <f t="shared" si="425"/>
        <v/>
      </c>
      <c r="Q3859" s="33" t="str">
        <f t="shared" si="426"/>
        <v/>
      </c>
    </row>
    <row r="3860" spans="2:17" ht="18" customHeight="1" x14ac:dyDescent="0.3">
      <c r="B3860" s="26"/>
      <c r="C3860" s="17"/>
      <c r="D3860" s="27"/>
      <c r="E3860" s="18"/>
      <c r="F3860" s="18"/>
      <c r="G3860" s="18"/>
      <c r="H3860" s="30" t="str">
        <f t="shared" si="420"/>
        <v/>
      </c>
      <c r="I3860" s="31" t="str">
        <f>IF(OR(B3860="",C3860=""),"",IFERROR(E3860*IF(E3860="",0,VLOOKUP(C3860,'📦 Precios Proforma'!$B$5:$D$104,IF(D3860="DIA",2,3),FALSE)),0))</f>
        <v/>
      </c>
      <c r="J3860" s="31" t="str">
        <f t="shared" si="421"/>
        <v/>
      </c>
      <c r="K3860" s="31" t="str">
        <f t="shared" si="422"/>
        <v/>
      </c>
      <c r="L3860" s="31" t="str">
        <f>IF(OR(B3860="",C3860=""),"",IFERROR(E3860 / SUMIFS('📅 Resumen Diario'!$D$5:$D$504, '📅 Resumen Diario'!$B$5:$B$504, B3860, '📅 Resumen Diario'!$C$5:$C$504, D3860) * SUMIFS('📅 Resumen Diario'!$K$5:$K$504, '📅 Resumen Diario'!$B$5:$B$504, B3860, '📅 Resumen Diario'!$C$5:$C$504, D3860), 0))</f>
        <v/>
      </c>
      <c r="M3860" s="31" t="str">
        <f t="shared" si="423"/>
        <v/>
      </c>
      <c r="N3860" s="31" t="str">
        <f t="shared" si="424"/>
        <v/>
      </c>
      <c r="O3860" s="31" t="str">
        <f>IF(OR(B3860="",C3860=""),"",K3860-N3860 + IFERROR(E3860 / SUMIFS('📅 Resumen Diario'!$D$5:$D$504, '📅 Resumen Diario'!$B$5:$B$504, B3860, '📅 Resumen Diario'!$C$5:$C$504, D3860) * (SUMIFS('📋 Detalle Diario'!$E$5:$E$489, '📋 Detalle Diario'!$B$5:$B$489, B3860, '📋 Detalle Diario'!$C$5:$C$489, D3860) * 135 + SUMIFS('📋 Detalle Diario'!$I$5:$I$489, '📋 Detalle Diario'!$B$5:$B$489, B3860, '📋 Detalle Diario'!$C$5:$C$489, D3860) * 200), 0))</f>
        <v/>
      </c>
      <c r="P3860" s="32" t="str">
        <f t="shared" si="425"/>
        <v/>
      </c>
      <c r="Q3860" s="33" t="str">
        <f t="shared" si="426"/>
        <v/>
      </c>
    </row>
    <row r="3861" spans="2:17" ht="18" customHeight="1" x14ac:dyDescent="0.3">
      <c r="B3861" s="26"/>
      <c r="C3861" s="28"/>
      <c r="D3861" s="27"/>
      <c r="E3861" s="29"/>
      <c r="F3861" s="29"/>
      <c r="G3861" s="29"/>
      <c r="H3861" s="30" t="str">
        <f t="shared" si="420"/>
        <v/>
      </c>
      <c r="I3861" s="31" t="str">
        <f>IF(OR(B3861="",C3861=""),"",IFERROR(E3861*IF(E3861="",0,VLOOKUP(C3861,'📦 Precios Proforma'!$B$5:$D$104,IF(D3861="DIA",2,3),FALSE)),0))</f>
        <v/>
      </c>
      <c r="J3861" s="31" t="str">
        <f t="shared" si="421"/>
        <v/>
      </c>
      <c r="K3861" s="31" t="str">
        <f t="shared" si="422"/>
        <v/>
      </c>
      <c r="L3861" s="31" t="str">
        <f>IF(OR(B3861="",C3861=""),"",IFERROR(E3861 / SUMIFS('📅 Resumen Diario'!$D$5:$D$504, '📅 Resumen Diario'!$B$5:$B$504, B3861, '📅 Resumen Diario'!$C$5:$C$504, D3861) * SUMIFS('📅 Resumen Diario'!$K$5:$K$504, '📅 Resumen Diario'!$B$5:$B$504, B3861, '📅 Resumen Diario'!$C$5:$C$504, D3861), 0))</f>
        <v/>
      </c>
      <c r="M3861" s="31" t="str">
        <f t="shared" si="423"/>
        <v/>
      </c>
      <c r="N3861" s="31" t="str">
        <f t="shared" si="424"/>
        <v/>
      </c>
      <c r="O3861" s="31" t="str">
        <f>IF(OR(B3861="",C3861=""),"",K3861-N3861 + IFERROR(E3861 / SUMIFS('📅 Resumen Diario'!$D$5:$D$504, '📅 Resumen Diario'!$B$5:$B$504, B3861, '📅 Resumen Diario'!$C$5:$C$504, D3861) * (SUMIFS('📋 Detalle Diario'!$E$5:$E$489, '📋 Detalle Diario'!$B$5:$B$489, B3861, '📋 Detalle Diario'!$C$5:$C$489, D3861) * 135 + SUMIFS('📋 Detalle Diario'!$I$5:$I$489, '📋 Detalle Diario'!$B$5:$B$489, B3861, '📋 Detalle Diario'!$C$5:$C$489, D3861) * 200), 0))</f>
        <v/>
      </c>
      <c r="P3861" s="32" t="str">
        <f t="shared" si="425"/>
        <v/>
      </c>
      <c r="Q3861" s="33" t="str">
        <f t="shared" si="426"/>
        <v/>
      </c>
    </row>
    <row r="3862" spans="2:17" ht="18" customHeight="1" x14ac:dyDescent="0.3">
      <c r="B3862" s="26"/>
      <c r="C3862" s="17"/>
      <c r="D3862" s="27"/>
      <c r="E3862" s="18"/>
      <c r="F3862" s="18"/>
      <c r="G3862" s="18"/>
      <c r="H3862" s="30" t="str">
        <f t="shared" si="420"/>
        <v/>
      </c>
      <c r="I3862" s="31" t="str">
        <f>IF(OR(B3862="",C3862=""),"",IFERROR(E3862*IF(E3862="",0,VLOOKUP(C3862,'📦 Precios Proforma'!$B$5:$D$104,IF(D3862="DIA",2,3),FALSE)),0))</f>
        <v/>
      </c>
      <c r="J3862" s="31" t="str">
        <f t="shared" si="421"/>
        <v/>
      </c>
      <c r="K3862" s="31" t="str">
        <f t="shared" si="422"/>
        <v/>
      </c>
      <c r="L3862" s="31" t="str">
        <f>IF(OR(B3862="",C3862=""),"",IFERROR(E3862 / SUMIFS('📅 Resumen Diario'!$D$5:$D$504, '📅 Resumen Diario'!$B$5:$B$504, B3862, '📅 Resumen Diario'!$C$5:$C$504, D3862) * SUMIFS('📅 Resumen Diario'!$K$5:$K$504, '📅 Resumen Diario'!$B$5:$B$504, B3862, '📅 Resumen Diario'!$C$5:$C$504, D3862), 0))</f>
        <v/>
      </c>
      <c r="M3862" s="31" t="str">
        <f t="shared" si="423"/>
        <v/>
      </c>
      <c r="N3862" s="31" t="str">
        <f t="shared" si="424"/>
        <v/>
      </c>
      <c r="O3862" s="31" t="str">
        <f>IF(OR(B3862="",C3862=""),"",K3862-N3862 + IFERROR(E3862 / SUMIFS('📅 Resumen Diario'!$D$5:$D$504, '📅 Resumen Diario'!$B$5:$B$504, B3862, '📅 Resumen Diario'!$C$5:$C$504, D3862) * (SUMIFS('📋 Detalle Diario'!$E$5:$E$489, '📋 Detalle Diario'!$B$5:$B$489, B3862, '📋 Detalle Diario'!$C$5:$C$489, D3862) * 135 + SUMIFS('📋 Detalle Diario'!$I$5:$I$489, '📋 Detalle Diario'!$B$5:$B$489, B3862, '📋 Detalle Diario'!$C$5:$C$489, D3862) * 200), 0))</f>
        <v/>
      </c>
      <c r="P3862" s="32" t="str">
        <f t="shared" si="425"/>
        <v/>
      </c>
      <c r="Q3862" s="33" t="str">
        <f t="shared" si="426"/>
        <v/>
      </c>
    </row>
    <row r="3863" spans="2:17" ht="18" customHeight="1" x14ac:dyDescent="0.3">
      <c r="B3863" s="26"/>
      <c r="C3863" s="28"/>
      <c r="D3863" s="27"/>
      <c r="E3863" s="29"/>
      <c r="F3863" s="29"/>
      <c r="G3863" s="29"/>
      <c r="H3863" s="30" t="str">
        <f t="shared" si="420"/>
        <v/>
      </c>
      <c r="I3863" s="31" t="str">
        <f>IF(OR(B3863="",C3863=""),"",IFERROR(E3863*IF(E3863="",0,VLOOKUP(C3863,'📦 Precios Proforma'!$B$5:$D$104,IF(D3863="DIA",2,3),FALSE)),0))</f>
        <v/>
      </c>
      <c r="J3863" s="31" t="str">
        <f t="shared" si="421"/>
        <v/>
      </c>
      <c r="K3863" s="31" t="str">
        <f t="shared" si="422"/>
        <v/>
      </c>
      <c r="L3863" s="31" t="str">
        <f>IF(OR(B3863="",C3863=""),"",IFERROR(E3863 / SUMIFS('📅 Resumen Diario'!$D$5:$D$504, '📅 Resumen Diario'!$B$5:$B$504, B3863, '📅 Resumen Diario'!$C$5:$C$504, D3863) * SUMIFS('📅 Resumen Diario'!$K$5:$K$504, '📅 Resumen Diario'!$B$5:$B$504, B3863, '📅 Resumen Diario'!$C$5:$C$504, D3863), 0))</f>
        <v/>
      </c>
      <c r="M3863" s="31" t="str">
        <f t="shared" si="423"/>
        <v/>
      </c>
      <c r="N3863" s="31" t="str">
        <f t="shared" si="424"/>
        <v/>
      </c>
      <c r="O3863" s="31" t="str">
        <f>IF(OR(B3863="",C3863=""),"",K3863-N3863 + IFERROR(E3863 / SUMIFS('📅 Resumen Diario'!$D$5:$D$504, '📅 Resumen Diario'!$B$5:$B$504, B3863, '📅 Resumen Diario'!$C$5:$C$504, D3863) * (SUMIFS('📋 Detalle Diario'!$E$5:$E$489, '📋 Detalle Diario'!$B$5:$B$489, B3863, '📋 Detalle Diario'!$C$5:$C$489, D3863) * 135 + SUMIFS('📋 Detalle Diario'!$I$5:$I$489, '📋 Detalle Diario'!$B$5:$B$489, B3863, '📋 Detalle Diario'!$C$5:$C$489, D3863) * 200), 0))</f>
        <v/>
      </c>
      <c r="P3863" s="32" t="str">
        <f t="shared" si="425"/>
        <v/>
      </c>
      <c r="Q3863" s="33" t="str">
        <f t="shared" si="426"/>
        <v/>
      </c>
    </row>
    <row r="3864" spans="2:17" ht="18" customHeight="1" x14ac:dyDescent="0.3">
      <c r="B3864" s="26"/>
      <c r="C3864" s="17"/>
      <c r="D3864" s="27"/>
      <c r="E3864" s="18"/>
      <c r="F3864" s="18"/>
      <c r="G3864" s="18"/>
      <c r="H3864" s="30" t="str">
        <f t="shared" si="420"/>
        <v/>
      </c>
      <c r="I3864" s="31" t="str">
        <f>IF(OR(B3864="",C3864=""),"",IFERROR(E3864*IF(E3864="",0,VLOOKUP(C3864,'📦 Precios Proforma'!$B$5:$D$104,IF(D3864="DIA",2,3),FALSE)),0))</f>
        <v/>
      </c>
      <c r="J3864" s="31" t="str">
        <f t="shared" si="421"/>
        <v/>
      </c>
      <c r="K3864" s="31" t="str">
        <f t="shared" si="422"/>
        <v/>
      </c>
      <c r="L3864" s="31" t="str">
        <f>IF(OR(B3864="",C3864=""),"",IFERROR(E3864 / SUMIFS('📅 Resumen Diario'!$D$5:$D$504, '📅 Resumen Diario'!$B$5:$B$504, B3864, '📅 Resumen Diario'!$C$5:$C$504, D3864) * SUMIFS('📅 Resumen Diario'!$K$5:$K$504, '📅 Resumen Diario'!$B$5:$B$504, B3864, '📅 Resumen Diario'!$C$5:$C$504, D3864), 0))</f>
        <v/>
      </c>
      <c r="M3864" s="31" t="str">
        <f t="shared" si="423"/>
        <v/>
      </c>
      <c r="N3864" s="31" t="str">
        <f t="shared" si="424"/>
        <v/>
      </c>
      <c r="O3864" s="31" t="str">
        <f>IF(OR(B3864="",C3864=""),"",K3864-N3864 + IFERROR(E3864 / SUMIFS('📅 Resumen Diario'!$D$5:$D$504, '📅 Resumen Diario'!$B$5:$B$504, B3864, '📅 Resumen Diario'!$C$5:$C$504, D3864) * (SUMIFS('📋 Detalle Diario'!$E$5:$E$489, '📋 Detalle Diario'!$B$5:$B$489, B3864, '📋 Detalle Diario'!$C$5:$C$489, D3864) * 135 + SUMIFS('📋 Detalle Diario'!$I$5:$I$489, '📋 Detalle Diario'!$B$5:$B$489, B3864, '📋 Detalle Diario'!$C$5:$C$489, D3864) * 200), 0))</f>
        <v/>
      </c>
      <c r="P3864" s="32" t="str">
        <f t="shared" si="425"/>
        <v/>
      </c>
      <c r="Q3864" s="33" t="str">
        <f t="shared" si="426"/>
        <v/>
      </c>
    </row>
    <row r="3865" spans="2:17" ht="18" customHeight="1" x14ac:dyDescent="0.3">
      <c r="B3865" s="26"/>
      <c r="C3865" s="28"/>
      <c r="D3865" s="27"/>
      <c r="E3865" s="29"/>
      <c r="F3865" s="29"/>
      <c r="G3865" s="29"/>
      <c r="H3865" s="30" t="str">
        <f t="shared" si="420"/>
        <v/>
      </c>
      <c r="I3865" s="31" t="str">
        <f>IF(OR(B3865="",C3865=""),"",IFERROR(E3865*IF(E3865="",0,VLOOKUP(C3865,'📦 Precios Proforma'!$B$5:$D$104,IF(D3865="DIA",2,3),FALSE)),0))</f>
        <v/>
      </c>
      <c r="J3865" s="31" t="str">
        <f t="shared" si="421"/>
        <v/>
      </c>
      <c r="K3865" s="31" t="str">
        <f t="shared" si="422"/>
        <v/>
      </c>
      <c r="L3865" s="31" t="str">
        <f>IF(OR(B3865="",C3865=""),"",IFERROR(E3865 / SUMIFS('📅 Resumen Diario'!$D$5:$D$504, '📅 Resumen Diario'!$B$5:$B$504, B3865, '📅 Resumen Diario'!$C$5:$C$504, D3865) * SUMIFS('📅 Resumen Diario'!$K$5:$K$504, '📅 Resumen Diario'!$B$5:$B$504, B3865, '📅 Resumen Diario'!$C$5:$C$504, D3865), 0))</f>
        <v/>
      </c>
      <c r="M3865" s="31" t="str">
        <f t="shared" si="423"/>
        <v/>
      </c>
      <c r="N3865" s="31" t="str">
        <f t="shared" si="424"/>
        <v/>
      </c>
      <c r="O3865" s="31" t="str">
        <f>IF(OR(B3865="",C3865=""),"",K3865-N3865 + IFERROR(E3865 / SUMIFS('📅 Resumen Diario'!$D$5:$D$504, '📅 Resumen Diario'!$B$5:$B$504, B3865, '📅 Resumen Diario'!$C$5:$C$504, D3865) * (SUMIFS('📋 Detalle Diario'!$E$5:$E$489, '📋 Detalle Diario'!$B$5:$B$489, B3865, '📋 Detalle Diario'!$C$5:$C$489, D3865) * 135 + SUMIFS('📋 Detalle Diario'!$I$5:$I$489, '📋 Detalle Diario'!$B$5:$B$489, B3865, '📋 Detalle Diario'!$C$5:$C$489, D3865) * 200), 0))</f>
        <v/>
      </c>
      <c r="P3865" s="32" t="str">
        <f t="shared" si="425"/>
        <v/>
      </c>
      <c r="Q3865" s="33" t="str">
        <f t="shared" si="426"/>
        <v/>
      </c>
    </row>
    <row r="3866" spans="2:17" ht="18" customHeight="1" x14ac:dyDescent="0.3">
      <c r="B3866" s="26"/>
      <c r="C3866" s="17"/>
      <c r="D3866" s="27"/>
      <c r="E3866" s="18"/>
      <c r="F3866" s="18"/>
      <c r="G3866" s="18"/>
      <c r="H3866" s="30" t="str">
        <f t="shared" si="420"/>
        <v/>
      </c>
      <c r="I3866" s="31" t="str">
        <f>IF(OR(B3866="",C3866=""),"",IFERROR(E3866*IF(E3866="",0,VLOOKUP(C3866,'📦 Precios Proforma'!$B$5:$D$104,IF(D3866="DIA",2,3),FALSE)),0))</f>
        <v/>
      </c>
      <c r="J3866" s="31" t="str">
        <f t="shared" si="421"/>
        <v/>
      </c>
      <c r="K3866" s="31" t="str">
        <f t="shared" si="422"/>
        <v/>
      </c>
      <c r="L3866" s="31" t="str">
        <f>IF(OR(B3866="",C3866=""),"",IFERROR(E3866 / SUMIFS('📅 Resumen Diario'!$D$5:$D$504, '📅 Resumen Diario'!$B$5:$B$504, B3866, '📅 Resumen Diario'!$C$5:$C$504, D3866) * SUMIFS('📅 Resumen Diario'!$K$5:$K$504, '📅 Resumen Diario'!$B$5:$B$504, B3866, '📅 Resumen Diario'!$C$5:$C$504, D3866), 0))</f>
        <v/>
      </c>
      <c r="M3866" s="31" t="str">
        <f t="shared" si="423"/>
        <v/>
      </c>
      <c r="N3866" s="31" t="str">
        <f t="shared" si="424"/>
        <v/>
      </c>
      <c r="O3866" s="31" t="str">
        <f>IF(OR(B3866="",C3866=""),"",K3866-N3866 + IFERROR(E3866 / SUMIFS('📅 Resumen Diario'!$D$5:$D$504, '📅 Resumen Diario'!$B$5:$B$504, B3866, '📅 Resumen Diario'!$C$5:$C$504, D3866) * (SUMIFS('📋 Detalle Diario'!$E$5:$E$489, '📋 Detalle Diario'!$B$5:$B$489, B3866, '📋 Detalle Diario'!$C$5:$C$489, D3866) * 135 + SUMIFS('📋 Detalle Diario'!$I$5:$I$489, '📋 Detalle Diario'!$B$5:$B$489, B3866, '📋 Detalle Diario'!$C$5:$C$489, D3866) * 200), 0))</f>
        <v/>
      </c>
      <c r="P3866" s="32" t="str">
        <f t="shared" si="425"/>
        <v/>
      </c>
      <c r="Q3866" s="33" t="str">
        <f t="shared" si="426"/>
        <v/>
      </c>
    </row>
    <row r="3867" spans="2:17" ht="18" customHeight="1" x14ac:dyDescent="0.3">
      <c r="B3867" s="26"/>
      <c r="C3867" s="28"/>
      <c r="D3867" s="27"/>
      <c r="E3867" s="29"/>
      <c r="F3867" s="29"/>
      <c r="G3867" s="29"/>
      <c r="H3867" s="30" t="str">
        <f t="shared" si="420"/>
        <v/>
      </c>
      <c r="I3867" s="31" t="str">
        <f>IF(OR(B3867="",C3867=""),"",IFERROR(E3867*IF(E3867="",0,VLOOKUP(C3867,'📦 Precios Proforma'!$B$5:$D$104,IF(D3867="DIA",2,3),FALSE)),0))</f>
        <v/>
      </c>
      <c r="J3867" s="31" t="str">
        <f t="shared" si="421"/>
        <v/>
      </c>
      <c r="K3867" s="31" t="str">
        <f t="shared" si="422"/>
        <v/>
      </c>
      <c r="L3867" s="31" t="str">
        <f>IF(OR(B3867="",C3867=""),"",IFERROR(E3867 / SUMIFS('📅 Resumen Diario'!$D$5:$D$504, '📅 Resumen Diario'!$B$5:$B$504, B3867, '📅 Resumen Diario'!$C$5:$C$504, D3867) * SUMIFS('📅 Resumen Diario'!$K$5:$K$504, '📅 Resumen Diario'!$B$5:$B$504, B3867, '📅 Resumen Diario'!$C$5:$C$504, D3867), 0))</f>
        <v/>
      </c>
      <c r="M3867" s="31" t="str">
        <f t="shared" si="423"/>
        <v/>
      </c>
      <c r="N3867" s="31" t="str">
        <f t="shared" si="424"/>
        <v/>
      </c>
      <c r="O3867" s="31" t="str">
        <f>IF(OR(B3867="",C3867=""),"",K3867-N3867 + IFERROR(E3867 / SUMIFS('📅 Resumen Diario'!$D$5:$D$504, '📅 Resumen Diario'!$B$5:$B$504, B3867, '📅 Resumen Diario'!$C$5:$C$504, D3867) * (SUMIFS('📋 Detalle Diario'!$E$5:$E$489, '📋 Detalle Diario'!$B$5:$B$489, B3867, '📋 Detalle Diario'!$C$5:$C$489, D3867) * 135 + SUMIFS('📋 Detalle Diario'!$I$5:$I$489, '📋 Detalle Diario'!$B$5:$B$489, B3867, '📋 Detalle Diario'!$C$5:$C$489, D3867) * 200), 0))</f>
        <v/>
      </c>
      <c r="P3867" s="32" t="str">
        <f t="shared" si="425"/>
        <v/>
      </c>
      <c r="Q3867" s="33" t="str">
        <f t="shared" si="426"/>
        <v/>
      </c>
    </row>
    <row r="3868" spans="2:17" ht="18" customHeight="1" x14ac:dyDescent="0.3">
      <c r="B3868" s="26"/>
      <c r="C3868" s="17"/>
      <c r="D3868" s="27"/>
      <c r="E3868" s="18"/>
      <c r="F3868" s="18"/>
      <c r="G3868" s="18"/>
      <c r="H3868" s="30" t="str">
        <f t="shared" si="420"/>
        <v/>
      </c>
      <c r="I3868" s="31" t="str">
        <f>IF(OR(B3868="",C3868=""),"",IFERROR(E3868*IF(E3868="",0,VLOOKUP(C3868,'📦 Precios Proforma'!$B$5:$D$104,IF(D3868="DIA",2,3),FALSE)),0))</f>
        <v/>
      </c>
      <c r="J3868" s="31" t="str">
        <f t="shared" si="421"/>
        <v/>
      </c>
      <c r="K3868" s="31" t="str">
        <f t="shared" si="422"/>
        <v/>
      </c>
      <c r="L3868" s="31" t="str">
        <f>IF(OR(B3868="",C3868=""),"",IFERROR(E3868 / SUMIFS('📅 Resumen Diario'!$D$5:$D$504, '📅 Resumen Diario'!$B$5:$B$504, B3868, '📅 Resumen Diario'!$C$5:$C$504, D3868) * SUMIFS('📅 Resumen Diario'!$K$5:$K$504, '📅 Resumen Diario'!$B$5:$B$504, B3868, '📅 Resumen Diario'!$C$5:$C$504, D3868), 0))</f>
        <v/>
      </c>
      <c r="M3868" s="31" t="str">
        <f t="shared" si="423"/>
        <v/>
      </c>
      <c r="N3868" s="31" t="str">
        <f t="shared" si="424"/>
        <v/>
      </c>
      <c r="O3868" s="31" t="str">
        <f>IF(OR(B3868="",C3868=""),"",K3868-N3868 + IFERROR(E3868 / SUMIFS('📅 Resumen Diario'!$D$5:$D$504, '📅 Resumen Diario'!$B$5:$B$504, B3868, '📅 Resumen Diario'!$C$5:$C$504, D3868) * (SUMIFS('📋 Detalle Diario'!$E$5:$E$489, '📋 Detalle Diario'!$B$5:$B$489, B3868, '📋 Detalle Diario'!$C$5:$C$489, D3868) * 135 + SUMIFS('📋 Detalle Diario'!$I$5:$I$489, '📋 Detalle Diario'!$B$5:$B$489, B3868, '📋 Detalle Diario'!$C$5:$C$489, D3868) * 200), 0))</f>
        <v/>
      </c>
      <c r="P3868" s="32" t="str">
        <f t="shared" si="425"/>
        <v/>
      </c>
      <c r="Q3868" s="33" t="str">
        <f t="shared" si="426"/>
        <v/>
      </c>
    </row>
    <row r="3869" spans="2:17" ht="18" customHeight="1" x14ac:dyDescent="0.3">
      <c r="B3869" s="26"/>
      <c r="C3869" s="28"/>
      <c r="D3869" s="27"/>
      <c r="E3869" s="29"/>
      <c r="F3869" s="29"/>
      <c r="G3869" s="29"/>
      <c r="H3869" s="30" t="str">
        <f t="shared" si="420"/>
        <v/>
      </c>
      <c r="I3869" s="31" t="str">
        <f>IF(OR(B3869="",C3869=""),"",IFERROR(E3869*IF(E3869="",0,VLOOKUP(C3869,'📦 Precios Proforma'!$B$5:$D$104,IF(D3869="DIA",2,3),FALSE)),0))</f>
        <v/>
      </c>
      <c r="J3869" s="31" t="str">
        <f t="shared" si="421"/>
        <v/>
      </c>
      <c r="K3869" s="31" t="str">
        <f t="shared" si="422"/>
        <v/>
      </c>
      <c r="L3869" s="31" t="str">
        <f>IF(OR(B3869="",C3869=""),"",IFERROR(E3869 / SUMIFS('📅 Resumen Diario'!$D$5:$D$504, '📅 Resumen Diario'!$B$5:$B$504, B3869, '📅 Resumen Diario'!$C$5:$C$504, D3869) * SUMIFS('📅 Resumen Diario'!$K$5:$K$504, '📅 Resumen Diario'!$B$5:$B$504, B3869, '📅 Resumen Diario'!$C$5:$C$504, D3869), 0))</f>
        <v/>
      </c>
      <c r="M3869" s="31" t="str">
        <f t="shared" si="423"/>
        <v/>
      </c>
      <c r="N3869" s="31" t="str">
        <f t="shared" si="424"/>
        <v/>
      </c>
      <c r="O3869" s="31" t="str">
        <f>IF(OR(B3869="",C3869=""),"",K3869-N3869 + IFERROR(E3869 / SUMIFS('📅 Resumen Diario'!$D$5:$D$504, '📅 Resumen Diario'!$B$5:$B$504, B3869, '📅 Resumen Diario'!$C$5:$C$504, D3869) * (SUMIFS('📋 Detalle Diario'!$E$5:$E$489, '📋 Detalle Diario'!$B$5:$B$489, B3869, '📋 Detalle Diario'!$C$5:$C$489, D3869) * 135 + SUMIFS('📋 Detalle Diario'!$I$5:$I$489, '📋 Detalle Diario'!$B$5:$B$489, B3869, '📋 Detalle Diario'!$C$5:$C$489, D3869) * 200), 0))</f>
        <v/>
      </c>
      <c r="P3869" s="32" t="str">
        <f t="shared" si="425"/>
        <v/>
      </c>
      <c r="Q3869" s="33" t="str">
        <f t="shared" si="426"/>
        <v/>
      </c>
    </row>
    <row r="3870" spans="2:17" ht="18" customHeight="1" x14ac:dyDescent="0.3">
      <c r="B3870" s="26"/>
      <c r="C3870" s="17"/>
      <c r="D3870" s="27"/>
      <c r="E3870" s="18"/>
      <c r="F3870" s="18"/>
      <c r="G3870" s="18"/>
      <c r="H3870" s="30" t="str">
        <f t="shared" si="420"/>
        <v/>
      </c>
      <c r="I3870" s="31" t="str">
        <f>IF(OR(B3870="",C3870=""),"",IFERROR(E3870*IF(E3870="",0,VLOOKUP(C3870,'📦 Precios Proforma'!$B$5:$D$104,IF(D3870="DIA",2,3),FALSE)),0))</f>
        <v/>
      </c>
      <c r="J3870" s="31" t="str">
        <f t="shared" si="421"/>
        <v/>
      </c>
      <c r="K3870" s="31" t="str">
        <f t="shared" si="422"/>
        <v/>
      </c>
      <c r="L3870" s="31" t="str">
        <f>IF(OR(B3870="",C3870=""),"",IFERROR(E3870 / SUMIFS('📅 Resumen Diario'!$D$5:$D$504, '📅 Resumen Diario'!$B$5:$B$504, B3870, '📅 Resumen Diario'!$C$5:$C$504, D3870) * SUMIFS('📅 Resumen Diario'!$K$5:$K$504, '📅 Resumen Diario'!$B$5:$B$504, B3870, '📅 Resumen Diario'!$C$5:$C$504, D3870), 0))</f>
        <v/>
      </c>
      <c r="M3870" s="31" t="str">
        <f t="shared" si="423"/>
        <v/>
      </c>
      <c r="N3870" s="31" t="str">
        <f t="shared" si="424"/>
        <v/>
      </c>
      <c r="O3870" s="31" t="str">
        <f>IF(OR(B3870="",C3870=""),"",K3870-N3870 + IFERROR(E3870 / SUMIFS('📅 Resumen Diario'!$D$5:$D$504, '📅 Resumen Diario'!$B$5:$B$504, B3870, '📅 Resumen Diario'!$C$5:$C$504, D3870) * (SUMIFS('📋 Detalle Diario'!$E$5:$E$489, '📋 Detalle Diario'!$B$5:$B$489, B3870, '📋 Detalle Diario'!$C$5:$C$489, D3870) * 135 + SUMIFS('📋 Detalle Diario'!$I$5:$I$489, '📋 Detalle Diario'!$B$5:$B$489, B3870, '📋 Detalle Diario'!$C$5:$C$489, D3870) * 200), 0))</f>
        <v/>
      </c>
      <c r="P3870" s="32" t="str">
        <f t="shared" si="425"/>
        <v/>
      </c>
      <c r="Q3870" s="33" t="str">
        <f t="shared" si="426"/>
        <v/>
      </c>
    </row>
    <row r="3871" spans="2:17" ht="18" customHeight="1" x14ac:dyDescent="0.3">
      <c r="B3871" s="26"/>
      <c r="C3871" s="28"/>
      <c r="D3871" s="27"/>
      <c r="E3871" s="29"/>
      <c r="F3871" s="29"/>
      <c r="G3871" s="29"/>
      <c r="H3871" s="30" t="str">
        <f t="shared" si="420"/>
        <v/>
      </c>
      <c r="I3871" s="31" t="str">
        <f>IF(OR(B3871="",C3871=""),"",IFERROR(E3871*IF(E3871="",0,VLOOKUP(C3871,'📦 Precios Proforma'!$B$5:$D$104,IF(D3871="DIA",2,3),FALSE)),0))</f>
        <v/>
      </c>
      <c r="J3871" s="31" t="str">
        <f t="shared" si="421"/>
        <v/>
      </c>
      <c r="K3871" s="31" t="str">
        <f t="shared" si="422"/>
        <v/>
      </c>
      <c r="L3871" s="31" t="str">
        <f>IF(OR(B3871="",C3871=""),"",IFERROR(E3871 / SUMIFS('📅 Resumen Diario'!$D$5:$D$504, '📅 Resumen Diario'!$B$5:$B$504, B3871, '📅 Resumen Diario'!$C$5:$C$504, D3871) * SUMIFS('📅 Resumen Diario'!$K$5:$K$504, '📅 Resumen Diario'!$B$5:$B$504, B3871, '📅 Resumen Diario'!$C$5:$C$504, D3871), 0))</f>
        <v/>
      </c>
      <c r="M3871" s="31" t="str">
        <f t="shared" si="423"/>
        <v/>
      </c>
      <c r="N3871" s="31" t="str">
        <f t="shared" si="424"/>
        <v/>
      </c>
      <c r="O3871" s="31" t="str">
        <f>IF(OR(B3871="",C3871=""),"",K3871-N3871 + IFERROR(E3871 / SUMIFS('📅 Resumen Diario'!$D$5:$D$504, '📅 Resumen Diario'!$B$5:$B$504, B3871, '📅 Resumen Diario'!$C$5:$C$504, D3871) * (SUMIFS('📋 Detalle Diario'!$E$5:$E$489, '📋 Detalle Diario'!$B$5:$B$489, B3871, '📋 Detalle Diario'!$C$5:$C$489, D3871) * 135 + SUMIFS('📋 Detalle Diario'!$I$5:$I$489, '📋 Detalle Diario'!$B$5:$B$489, B3871, '📋 Detalle Diario'!$C$5:$C$489, D3871) * 200), 0))</f>
        <v/>
      </c>
      <c r="P3871" s="32" t="str">
        <f t="shared" si="425"/>
        <v/>
      </c>
      <c r="Q3871" s="33" t="str">
        <f t="shared" si="426"/>
        <v/>
      </c>
    </row>
    <row r="3872" spans="2:17" ht="18" customHeight="1" x14ac:dyDescent="0.3">
      <c r="B3872" s="26"/>
      <c r="C3872" s="17"/>
      <c r="D3872" s="27"/>
      <c r="E3872" s="18"/>
      <c r="F3872" s="18"/>
      <c r="G3872" s="18"/>
      <c r="H3872" s="30" t="str">
        <f t="shared" si="420"/>
        <v/>
      </c>
      <c r="I3872" s="31" t="str">
        <f>IF(OR(B3872="",C3872=""),"",IFERROR(E3872*IF(E3872="",0,VLOOKUP(C3872,'📦 Precios Proforma'!$B$5:$D$104,IF(D3872="DIA",2,3),FALSE)),0))</f>
        <v/>
      </c>
      <c r="J3872" s="31" t="str">
        <f t="shared" si="421"/>
        <v/>
      </c>
      <c r="K3872" s="31" t="str">
        <f t="shared" si="422"/>
        <v/>
      </c>
      <c r="L3872" s="31" t="str">
        <f>IF(OR(B3872="",C3872=""),"",IFERROR(E3872 / SUMIFS('📅 Resumen Diario'!$D$5:$D$504, '📅 Resumen Diario'!$B$5:$B$504, B3872, '📅 Resumen Diario'!$C$5:$C$504, D3872) * SUMIFS('📅 Resumen Diario'!$K$5:$K$504, '📅 Resumen Diario'!$B$5:$B$504, B3872, '📅 Resumen Diario'!$C$5:$C$504, D3872), 0))</f>
        <v/>
      </c>
      <c r="M3872" s="31" t="str">
        <f t="shared" si="423"/>
        <v/>
      </c>
      <c r="N3872" s="31" t="str">
        <f t="shared" si="424"/>
        <v/>
      </c>
      <c r="O3872" s="31" t="str">
        <f>IF(OR(B3872="",C3872=""),"",K3872-N3872 + IFERROR(E3872 / SUMIFS('📅 Resumen Diario'!$D$5:$D$504, '📅 Resumen Diario'!$B$5:$B$504, B3872, '📅 Resumen Diario'!$C$5:$C$504, D3872) * (SUMIFS('📋 Detalle Diario'!$E$5:$E$489, '📋 Detalle Diario'!$B$5:$B$489, B3872, '📋 Detalle Diario'!$C$5:$C$489, D3872) * 135 + SUMIFS('📋 Detalle Diario'!$I$5:$I$489, '📋 Detalle Diario'!$B$5:$B$489, B3872, '📋 Detalle Diario'!$C$5:$C$489, D3872) * 200), 0))</f>
        <v/>
      </c>
      <c r="P3872" s="32" t="str">
        <f t="shared" si="425"/>
        <v/>
      </c>
      <c r="Q3872" s="33" t="str">
        <f t="shared" si="426"/>
        <v/>
      </c>
    </row>
    <row r="3873" spans="2:17" ht="18" customHeight="1" x14ac:dyDescent="0.3">
      <c r="B3873" s="26"/>
      <c r="C3873" s="28"/>
      <c r="D3873" s="27"/>
      <c r="E3873" s="29"/>
      <c r="F3873" s="29"/>
      <c r="G3873" s="29"/>
      <c r="H3873" s="30" t="str">
        <f t="shared" si="420"/>
        <v/>
      </c>
      <c r="I3873" s="31" t="str">
        <f>IF(OR(B3873="",C3873=""),"",IFERROR(E3873*IF(E3873="",0,VLOOKUP(C3873,'📦 Precios Proforma'!$B$5:$D$104,IF(D3873="DIA",2,3),FALSE)),0))</f>
        <v/>
      </c>
      <c r="J3873" s="31" t="str">
        <f t="shared" si="421"/>
        <v/>
      </c>
      <c r="K3873" s="31" t="str">
        <f t="shared" si="422"/>
        <v/>
      </c>
      <c r="L3873" s="31" t="str">
        <f>IF(OR(B3873="",C3873=""),"",IFERROR(E3873 / SUMIFS('📅 Resumen Diario'!$D$5:$D$504, '📅 Resumen Diario'!$B$5:$B$504, B3873, '📅 Resumen Diario'!$C$5:$C$504, D3873) * SUMIFS('📅 Resumen Diario'!$K$5:$K$504, '📅 Resumen Diario'!$B$5:$B$504, B3873, '📅 Resumen Diario'!$C$5:$C$504, D3873), 0))</f>
        <v/>
      </c>
      <c r="M3873" s="31" t="str">
        <f t="shared" si="423"/>
        <v/>
      </c>
      <c r="N3873" s="31" t="str">
        <f t="shared" si="424"/>
        <v/>
      </c>
      <c r="O3873" s="31" t="str">
        <f>IF(OR(B3873="",C3873=""),"",K3873-N3873 + IFERROR(E3873 / SUMIFS('📅 Resumen Diario'!$D$5:$D$504, '📅 Resumen Diario'!$B$5:$B$504, B3873, '📅 Resumen Diario'!$C$5:$C$504, D3873) * (SUMIFS('📋 Detalle Diario'!$E$5:$E$489, '📋 Detalle Diario'!$B$5:$B$489, B3873, '📋 Detalle Diario'!$C$5:$C$489, D3873) * 135 + SUMIFS('📋 Detalle Diario'!$I$5:$I$489, '📋 Detalle Diario'!$B$5:$B$489, B3873, '📋 Detalle Diario'!$C$5:$C$489, D3873) * 200), 0))</f>
        <v/>
      </c>
      <c r="P3873" s="32" t="str">
        <f t="shared" si="425"/>
        <v/>
      </c>
      <c r="Q3873" s="33" t="str">
        <f t="shared" si="426"/>
        <v/>
      </c>
    </row>
    <row r="3874" spans="2:17" ht="18" customHeight="1" x14ac:dyDescent="0.3">
      <c r="B3874" s="26"/>
      <c r="C3874" s="17"/>
      <c r="D3874" s="27"/>
      <c r="E3874" s="18"/>
      <c r="F3874" s="18"/>
      <c r="G3874" s="18"/>
      <c r="H3874" s="30" t="str">
        <f t="shared" si="420"/>
        <v/>
      </c>
      <c r="I3874" s="31" t="str">
        <f>IF(OR(B3874="",C3874=""),"",IFERROR(E3874*IF(E3874="",0,VLOOKUP(C3874,'📦 Precios Proforma'!$B$5:$D$104,IF(D3874="DIA",2,3),FALSE)),0))</f>
        <v/>
      </c>
      <c r="J3874" s="31" t="str">
        <f t="shared" si="421"/>
        <v/>
      </c>
      <c r="K3874" s="31" t="str">
        <f t="shared" si="422"/>
        <v/>
      </c>
      <c r="L3874" s="31" t="str">
        <f>IF(OR(B3874="",C3874=""),"",IFERROR(E3874 / SUMIFS('📅 Resumen Diario'!$D$5:$D$504, '📅 Resumen Diario'!$B$5:$B$504, B3874, '📅 Resumen Diario'!$C$5:$C$504, D3874) * SUMIFS('📅 Resumen Diario'!$K$5:$K$504, '📅 Resumen Diario'!$B$5:$B$504, B3874, '📅 Resumen Diario'!$C$5:$C$504, D3874), 0))</f>
        <v/>
      </c>
      <c r="M3874" s="31" t="str">
        <f t="shared" si="423"/>
        <v/>
      </c>
      <c r="N3874" s="31" t="str">
        <f t="shared" si="424"/>
        <v/>
      </c>
      <c r="O3874" s="31" t="str">
        <f>IF(OR(B3874="",C3874=""),"",K3874-N3874 + IFERROR(E3874 / SUMIFS('📅 Resumen Diario'!$D$5:$D$504, '📅 Resumen Diario'!$B$5:$B$504, B3874, '📅 Resumen Diario'!$C$5:$C$504, D3874) * (SUMIFS('📋 Detalle Diario'!$E$5:$E$489, '📋 Detalle Diario'!$B$5:$B$489, B3874, '📋 Detalle Diario'!$C$5:$C$489, D3874) * 135 + SUMIFS('📋 Detalle Diario'!$I$5:$I$489, '📋 Detalle Diario'!$B$5:$B$489, B3874, '📋 Detalle Diario'!$C$5:$C$489, D3874) * 200), 0))</f>
        <v/>
      </c>
      <c r="P3874" s="32" t="str">
        <f t="shared" si="425"/>
        <v/>
      </c>
      <c r="Q3874" s="33" t="str">
        <f t="shared" si="426"/>
        <v/>
      </c>
    </row>
    <row r="3875" spans="2:17" ht="18" customHeight="1" x14ac:dyDescent="0.3">
      <c r="B3875" s="26"/>
      <c r="C3875" s="28"/>
      <c r="D3875" s="27"/>
      <c r="E3875" s="29"/>
      <c r="F3875" s="29"/>
      <c r="G3875" s="29"/>
      <c r="H3875" s="30" t="str">
        <f t="shared" si="420"/>
        <v/>
      </c>
      <c r="I3875" s="31" t="str">
        <f>IF(OR(B3875="",C3875=""),"",IFERROR(E3875*IF(E3875="",0,VLOOKUP(C3875,'📦 Precios Proforma'!$B$5:$D$104,IF(D3875="DIA",2,3),FALSE)),0))</f>
        <v/>
      </c>
      <c r="J3875" s="31" t="str">
        <f t="shared" si="421"/>
        <v/>
      </c>
      <c r="K3875" s="31" t="str">
        <f t="shared" si="422"/>
        <v/>
      </c>
      <c r="L3875" s="31" t="str">
        <f>IF(OR(B3875="",C3875=""),"",IFERROR(E3875 / SUMIFS('📅 Resumen Diario'!$D$5:$D$504, '📅 Resumen Diario'!$B$5:$B$504, B3875, '📅 Resumen Diario'!$C$5:$C$504, D3875) * SUMIFS('📅 Resumen Diario'!$K$5:$K$504, '📅 Resumen Diario'!$B$5:$B$504, B3875, '📅 Resumen Diario'!$C$5:$C$504, D3875), 0))</f>
        <v/>
      </c>
      <c r="M3875" s="31" t="str">
        <f t="shared" si="423"/>
        <v/>
      </c>
      <c r="N3875" s="31" t="str">
        <f t="shared" si="424"/>
        <v/>
      </c>
      <c r="O3875" s="31" t="str">
        <f>IF(OR(B3875="",C3875=""),"",K3875-N3875 + IFERROR(E3875 / SUMIFS('📅 Resumen Diario'!$D$5:$D$504, '📅 Resumen Diario'!$B$5:$B$504, B3875, '📅 Resumen Diario'!$C$5:$C$504, D3875) * (SUMIFS('📋 Detalle Diario'!$E$5:$E$489, '📋 Detalle Diario'!$B$5:$B$489, B3875, '📋 Detalle Diario'!$C$5:$C$489, D3875) * 135 + SUMIFS('📋 Detalle Diario'!$I$5:$I$489, '📋 Detalle Diario'!$B$5:$B$489, B3875, '📋 Detalle Diario'!$C$5:$C$489, D3875) * 200), 0))</f>
        <v/>
      </c>
      <c r="P3875" s="32" t="str">
        <f t="shared" si="425"/>
        <v/>
      </c>
      <c r="Q3875" s="33" t="str">
        <f t="shared" si="426"/>
        <v/>
      </c>
    </row>
    <row r="3876" spans="2:17" ht="18" customHeight="1" x14ac:dyDescent="0.3">
      <c r="B3876" s="26"/>
      <c r="C3876" s="17"/>
      <c r="D3876" s="27"/>
      <c r="E3876" s="18"/>
      <c r="F3876" s="18"/>
      <c r="G3876" s="18"/>
      <c r="H3876" s="30" t="str">
        <f t="shared" si="420"/>
        <v/>
      </c>
      <c r="I3876" s="31" t="str">
        <f>IF(OR(B3876="",C3876=""),"",IFERROR(E3876*IF(E3876="",0,VLOOKUP(C3876,'📦 Precios Proforma'!$B$5:$D$104,IF(D3876="DIA",2,3),FALSE)),0))</f>
        <v/>
      </c>
      <c r="J3876" s="31" t="str">
        <f t="shared" si="421"/>
        <v/>
      </c>
      <c r="K3876" s="31" t="str">
        <f t="shared" si="422"/>
        <v/>
      </c>
      <c r="L3876" s="31" t="str">
        <f>IF(OR(B3876="",C3876=""),"",IFERROR(E3876 / SUMIFS('📅 Resumen Diario'!$D$5:$D$504, '📅 Resumen Diario'!$B$5:$B$504, B3876, '📅 Resumen Diario'!$C$5:$C$504, D3876) * SUMIFS('📅 Resumen Diario'!$K$5:$K$504, '📅 Resumen Diario'!$B$5:$B$504, B3876, '📅 Resumen Diario'!$C$5:$C$504, D3876), 0))</f>
        <v/>
      </c>
      <c r="M3876" s="31" t="str">
        <f t="shared" si="423"/>
        <v/>
      </c>
      <c r="N3876" s="31" t="str">
        <f t="shared" si="424"/>
        <v/>
      </c>
      <c r="O3876" s="31" t="str">
        <f>IF(OR(B3876="",C3876=""),"",K3876-N3876 + IFERROR(E3876 / SUMIFS('📅 Resumen Diario'!$D$5:$D$504, '📅 Resumen Diario'!$B$5:$B$504, B3876, '📅 Resumen Diario'!$C$5:$C$504, D3876) * (SUMIFS('📋 Detalle Diario'!$E$5:$E$489, '📋 Detalle Diario'!$B$5:$B$489, B3876, '📋 Detalle Diario'!$C$5:$C$489, D3876) * 135 + SUMIFS('📋 Detalle Diario'!$I$5:$I$489, '📋 Detalle Diario'!$B$5:$B$489, B3876, '📋 Detalle Diario'!$C$5:$C$489, D3876) * 200), 0))</f>
        <v/>
      </c>
      <c r="P3876" s="32" t="str">
        <f t="shared" si="425"/>
        <v/>
      </c>
      <c r="Q3876" s="33" t="str">
        <f t="shared" si="426"/>
        <v/>
      </c>
    </row>
    <row r="3877" spans="2:17" ht="18" customHeight="1" x14ac:dyDescent="0.3">
      <c r="B3877" s="26"/>
      <c r="C3877" s="28"/>
      <c r="D3877" s="27"/>
      <c r="E3877" s="29"/>
      <c r="F3877" s="29"/>
      <c r="G3877" s="29"/>
      <c r="H3877" s="30" t="str">
        <f t="shared" si="420"/>
        <v/>
      </c>
      <c r="I3877" s="31" t="str">
        <f>IF(OR(B3877="",C3877=""),"",IFERROR(E3877*IF(E3877="",0,VLOOKUP(C3877,'📦 Precios Proforma'!$B$5:$D$104,IF(D3877="DIA",2,3),FALSE)),0))</f>
        <v/>
      </c>
      <c r="J3877" s="31" t="str">
        <f t="shared" si="421"/>
        <v/>
      </c>
      <c r="K3877" s="31" t="str">
        <f t="shared" si="422"/>
        <v/>
      </c>
      <c r="L3877" s="31" t="str">
        <f>IF(OR(B3877="",C3877=""),"",IFERROR(E3877 / SUMIFS('📅 Resumen Diario'!$D$5:$D$504, '📅 Resumen Diario'!$B$5:$B$504, B3877, '📅 Resumen Diario'!$C$5:$C$504, D3877) * SUMIFS('📅 Resumen Diario'!$K$5:$K$504, '📅 Resumen Diario'!$B$5:$B$504, B3877, '📅 Resumen Diario'!$C$5:$C$504, D3877), 0))</f>
        <v/>
      </c>
      <c r="M3877" s="31" t="str">
        <f t="shared" si="423"/>
        <v/>
      </c>
      <c r="N3877" s="31" t="str">
        <f t="shared" si="424"/>
        <v/>
      </c>
      <c r="O3877" s="31" t="str">
        <f>IF(OR(B3877="",C3877=""),"",K3877-N3877 + IFERROR(E3877 / SUMIFS('📅 Resumen Diario'!$D$5:$D$504, '📅 Resumen Diario'!$B$5:$B$504, B3877, '📅 Resumen Diario'!$C$5:$C$504, D3877) * (SUMIFS('📋 Detalle Diario'!$E$5:$E$489, '📋 Detalle Diario'!$B$5:$B$489, B3877, '📋 Detalle Diario'!$C$5:$C$489, D3877) * 135 + SUMIFS('📋 Detalle Diario'!$I$5:$I$489, '📋 Detalle Diario'!$B$5:$B$489, B3877, '📋 Detalle Diario'!$C$5:$C$489, D3877) * 200), 0))</f>
        <v/>
      </c>
      <c r="P3877" s="32" t="str">
        <f t="shared" si="425"/>
        <v/>
      </c>
      <c r="Q3877" s="33" t="str">
        <f t="shared" si="426"/>
        <v/>
      </c>
    </row>
    <row r="3878" spans="2:17" ht="18" customHeight="1" x14ac:dyDescent="0.3">
      <c r="B3878" s="26"/>
      <c r="C3878" s="17"/>
      <c r="D3878" s="27"/>
      <c r="E3878" s="18"/>
      <c r="F3878" s="18"/>
      <c r="G3878" s="18"/>
      <c r="H3878" s="30" t="str">
        <f t="shared" si="420"/>
        <v/>
      </c>
      <c r="I3878" s="31" t="str">
        <f>IF(OR(B3878="",C3878=""),"",IFERROR(E3878*IF(E3878="",0,VLOOKUP(C3878,'📦 Precios Proforma'!$B$5:$D$104,IF(D3878="DIA",2,3),FALSE)),0))</f>
        <v/>
      </c>
      <c r="J3878" s="31" t="str">
        <f t="shared" si="421"/>
        <v/>
      </c>
      <c r="K3878" s="31" t="str">
        <f t="shared" si="422"/>
        <v/>
      </c>
      <c r="L3878" s="31" t="str">
        <f>IF(OR(B3878="",C3878=""),"",IFERROR(E3878 / SUMIFS('📅 Resumen Diario'!$D$5:$D$504, '📅 Resumen Diario'!$B$5:$B$504, B3878, '📅 Resumen Diario'!$C$5:$C$504, D3878) * SUMIFS('📅 Resumen Diario'!$K$5:$K$504, '📅 Resumen Diario'!$B$5:$B$504, B3878, '📅 Resumen Diario'!$C$5:$C$504, D3878), 0))</f>
        <v/>
      </c>
      <c r="M3878" s="31" t="str">
        <f t="shared" si="423"/>
        <v/>
      </c>
      <c r="N3878" s="31" t="str">
        <f t="shared" si="424"/>
        <v/>
      </c>
      <c r="O3878" s="31" t="str">
        <f>IF(OR(B3878="",C3878=""),"",K3878-N3878 + IFERROR(E3878 / SUMIFS('📅 Resumen Diario'!$D$5:$D$504, '📅 Resumen Diario'!$B$5:$B$504, B3878, '📅 Resumen Diario'!$C$5:$C$504, D3878) * (SUMIFS('📋 Detalle Diario'!$E$5:$E$489, '📋 Detalle Diario'!$B$5:$B$489, B3878, '📋 Detalle Diario'!$C$5:$C$489, D3878) * 135 + SUMIFS('📋 Detalle Diario'!$I$5:$I$489, '📋 Detalle Diario'!$B$5:$B$489, B3878, '📋 Detalle Diario'!$C$5:$C$489, D3878) * 200), 0))</f>
        <v/>
      </c>
      <c r="P3878" s="32" t="str">
        <f t="shared" si="425"/>
        <v/>
      </c>
      <c r="Q3878" s="33" t="str">
        <f t="shared" si="426"/>
        <v/>
      </c>
    </row>
    <row r="3879" spans="2:17" ht="18" customHeight="1" x14ac:dyDescent="0.3">
      <c r="B3879" s="26"/>
      <c r="C3879" s="28"/>
      <c r="D3879" s="27"/>
      <c r="E3879" s="29"/>
      <c r="F3879" s="29"/>
      <c r="G3879" s="29"/>
      <c r="H3879" s="30" t="str">
        <f t="shared" si="420"/>
        <v/>
      </c>
      <c r="I3879" s="31" t="str">
        <f>IF(OR(B3879="",C3879=""),"",IFERROR(E3879*IF(E3879="",0,VLOOKUP(C3879,'📦 Precios Proforma'!$B$5:$D$104,IF(D3879="DIA",2,3),FALSE)),0))</f>
        <v/>
      </c>
      <c r="J3879" s="31" t="str">
        <f t="shared" si="421"/>
        <v/>
      </c>
      <c r="K3879" s="31" t="str">
        <f t="shared" si="422"/>
        <v/>
      </c>
      <c r="L3879" s="31" t="str">
        <f>IF(OR(B3879="",C3879=""),"",IFERROR(E3879 / SUMIFS('📅 Resumen Diario'!$D$5:$D$504, '📅 Resumen Diario'!$B$5:$B$504, B3879, '📅 Resumen Diario'!$C$5:$C$504, D3879) * SUMIFS('📅 Resumen Diario'!$K$5:$K$504, '📅 Resumen Diario'!$B$5:$B$504, B3879, '📅 Resumen Diario'!$C$5:$C$504, D3879), 0))</f>
        <v/>
      </c>
      <c r="M3879" s="31" t="str">
        <f t="shared" si="423"/>
        <v/>
      </c>
      <c r="N3879" s="31" t="str">
        <f t="shared" si="424"/>
        <v/>
      </c>
      <c r="O3879" s="31" t="str">
        <f>IF(OR(B3879="",C3879=""),"",K3879-N3879 + IFERROR(E3879 / SUMIFS('📅 Resumen Diario'!$D$5:$D$504, '📅 Resumen Diario'!$B$5:$B$504, B3879, '📅 Resumen Diario'!$C$5:$C$504, D3879) * (SUMIFS('📋 Detalle Diario'!$E$5:$E$489, '📋 Detalle Diario'!$B$5:$B$489, B3879, '📋 Detalle Diario'!$C$5:$C$489, D3879) * 135 + SUMIFS('📋 Detalle Diario'!$I$5:$I$489, '📋 Detalle Diario'!$B$5:$B$489, B3879, '📋 Detalle Diario'!$C$5:$C$489, D3879) * 200), 0))</f>
        <v/>
      </c>
      <c r="P3879" s="32" t="str">
        <f t="shared" si="425"/>
        <v/>
      </c>
      <c r="Q3879" s="33" t="str">
        <f t="shared" si="426"/>
        <v/>
      </c>
    </row>
    <row r="3880" spans="2:17" ht="18" customHeight="1" x14ac:dyDescent="0.3">
      <c r="B3880" s="26"/>
      <c r="C3880" s="17"/>
      <c r="D3880" s="27"/>
      <c r="E3880" s="18"/>
      <c r="F3880" s="18"/>
      <c r="G3880" s="18"/>
      <c r="H3880" s="30" t="str">
        <f t="shared" si="420"/>
        <v/>
      </c>
      <c r="I3880" s="31" t="str">
        <f>IF(OR(B3880="",C3880=""),"",IFERROR(E3880*IF(E3880="",0,VLOOKUP(C3880,'📦 Precios Proforma'!$B$5:$D$104,IF(D3880="DIA",2,3),FALSE)),0))</f>
        <v/>
      </c>
      <c r="J3880" s="31" t="str">
        <f t="shared" si="421"/>
        <v/>
      </c>
      <c r="K3880" s="31" t="str">
        <f t="shared" si="422"/>
        <v/>
      </c>
      <c r="L3880" s="31" t="str">
        <f>IF(OR(B3880="",C3880=""),"",IFERROR(E3880 / SUMIFS('📅 Resumen Diario'!$D$5:$D$504, '📅 Resumen Diario'!$B$5:$B$504, B3880, '📅 Resumen Diario'!$C$5:$C$504, D3880) * SUMIFS('📅 Resumen Diario'!$K$5:$K$504, '📅 Resumen Diario'!$B$5:$B$504, B3880, '📅 Resumen Diario'!$C$5:$C$504, D3880), 0))</f>
        <v/>
      </c>
      <c r="M3880" s="31" t="str">
        <f t="shared" si="423"/>
        <v/>
      </c>
      <c r="N3880" s="31" t="str">
        <f t="shared" si="424"/>
        <v/>
      </c>
      <c r="O3880" s="31" t="str">
        <f>IF(OR(B3880="",C3880=""),"",K3880-N3880 + IFERROR(E3880 / SUMIFS('📅 Resumen Diario'!$D$5:$D$504, '📅 Resumen Diario'!$B$5:$B$504, B3880, '📅 Resumen Diario'!$C$5:$C$504, D3880) * (SUMIFS('📋 Detalle Diario'!$E$5:$E$489, '📋 Detalle Diario'!$B$5:$B$489, B3880, '📋 Detalle Diario'!$C$5:$C$489, D3880) * 135 + SUMIFS('📋 Detalle Diario'!$I$5:$I$489, '📋 Detalle Diario'!$B$5:$B$489, B3880, '📋 Detalle Diario'!$C$5:$C$489, D3880) * 200), 0))</f>
        <v/>
      </c>
      <c r="P3880" s="32" t="str">
        <f t="shared" si="425"/>
        <v/>
      </c>
      <c r="Q3880" s="33" t="str">
        <f t="shared" si="426"/>
        <v/>
      </c>
    </row>
    <row r="3881" spans="2:17" ht="18" customHeight="1" x14ac:dyDescent="0.3">
      <c r="B3881" s="26"/>
      <c r="C3881" s="28"/>
      <c r="D3881" s="27"/>
      <c r="E3881" s="29"/>
      <c r="F3881" s="29"/>
      <c r="G3881" s="29"/>
      <c r="H3881" s="30" t="str">
        <f t="shared" si="420"/>
        <v/>
      </c>
      <c r="I3881" s="31" t="str">
        <f>IF(OR(B3881="",C3881=""),"",IFERROR(E3881*IF(E3881="",0,VLOOKUP(C3881,'📦 Precios Proforma'!$B$5:$D$104,IF(D3881="DIA",2,3),FALSE)),0))</f>
        <v/>
      </c>
      <c r="J3881" s="31" t="str">
        <f t="shared" si="421"/>
        <v/>
      </c>
      <c r="K3881" s="31" t="str">
        <f t="shared" si="422"/>
        <v/>
      </c>
      <c r="L3881" s="31" t="str">
        <f>IF(OR(B3881="",C3881=""),"",IFERROR(E3881 / SUMIFS('📅 Resumen Diario'!$D$5:$D$504, '📅 Resumen Diario'!$B$5:$B$504, B3881, '📅 Resumen Diario'!$C$5:$C$504, D3881) * SUMIFS('📅 Resumen Diario'!$K$5:$K$504, '📅 Resumen Diario'!$B$5:$B$504, B3881, '📅 Resumen Diario'!$C$5:$C$504, D3881), 0))</f>
        <v/>
      </c>
      <c r="M3881" s="31" t="str">
        <f t="shared" si="423"/>
        <v/>
      </c>
      <c r="N3881" s="31" t="str">
        <f t="shared" si="424"/>
        <v/>
      </c>
      <c r="O3881" s="31" t="str">
        <f>IF(OR(B3881="",C3881=""),"",K3881-N3881 + IFERROR(E3881 / SUMIFS('📅 Resumen Diario'!$D$5:$D$504, '📅 Resumen Diario'!$B$5:$B$504, B3881, '📅 Resumen Diario'!$C$5:$C$504, D3881) * (SUMIFS('📋 Detalle Diario'!$E$5:$E$489, '📋 Detalle Diario'!$B$5:$B$489, B3881, '📋 Detalle Diario'!$C$5:$C$489, D3881) * 135 + SUMIFS('📋 Detalle Diario'!$I$5:$I$489, '📋 Detalle Diario'!$B$5:$B$489, B3881, '📋 Detalle Diario'!$C$5:$C$489, D3881) * 200), 0))</f>
        <v/>
      </c>
      <c r="P3881" s="32" t="str">
        <f t="shared" si="425"/>
        <v/>
      </c>
      <c r="Q3881" s="33" t="str">
        <f t="shared" si="426"/>
        <v/>
      </c>
    </row>
    <row r="3882" spans="2:17" ht="18" customHeight="1" x14ac:dyDescent="0.3">
      <c r="B3882" s="26"/>
      <c r="C3882" s="17"/>
      <c r="D3882" s="27"/>
      <c r="E3882" s="18"/>
      <c r="F3882" s="18"/>
      <c r="G3882" s="18"/>
      <c r="H3882" s="30" t="str">
        <f t="shared" si="420"/>
        <v/>
      </c>
      <c r="I3882" s="31" t="str">
        <f>IF(OR(B3882="",C3882=""),"",IFERROR(E3882*IF(E3882="",0,VLOOKUP(C3882,'📦 Precios Proforma'!$B$5:$D$104,IF(D3882="DIA",2,3),FALSE)),0))</f>
        <v/>
      </c>
      <c r="J3882" s="31" t="str">
        <f t="shared" si="421"/>
        <v/>
      </c>
      <c r="K3882" s="31" t="str">
        <f t="shared" si="422"/>
        <v/>
      </c>
      <c r="L3882" s="31" t="str">
        <f>IF(OR(B3882="",C3882=""),"",IFERROR(E3882 / SUMIFS('📅 Resumen Diario'!$D$5:$D$504, '📅 Resumen Diario'!$B$5:$B$504, B3882, '📅 Resumen Diario'!$C$5:$C$504, D3882) * SUMIFS('📅 Resumen Diario'!$K$5:$K$504, '📅 Resumen Diario'!$B$5:$B$504, B3882, '📅 Resumen Diario'!$C$5:$C$504, D3882), 0))</f>
        <v/>
      </c>
      <c r="M3882" s="31" t="str">
        <f t="shared" si="423"/>
        <v/>
      </c>
      <c r="N3882" s="31" t="str">
        <f t="shared" si="424"/>
        <v/>
      </c>
      <c r="O3882" s="31" t="str">
        <f>IF(OR(B3882="",C3882=""),"",K3882-N3882 + IFERROR(E3882 / SUMIFS('📅 Resumen Diario'!$D$5:$D$504, '📅 Resumen Diario'!$B$5:$B$504, B3882, '📅 Resumen Diario'!$C$5:$C$504, D3882) * (SUMIFS('📋 Detalle Diario'!$E$5:$E$489, '📋 Detalle Diario'!$B$5:$B$489, B3882, '📋 Detalle Diario'!$C$5:$C$489, D3882) * 135 + SUMIFS('📋 Detalle Diario'!$I$5:$I$489, '📋 Detalle Diario'!$B$5:$B$489, B3882, '📋 Detalle Diario'!$C$5:$C$489, D3882) * 200), 0))</f>
        <v/>
      </c>
      <c r="P3882" s="32" t="str">
        <f t="shared" si="425"/>
        <v/>
      </c>
      <c r="Q3882" s="33" t="str">
        <f t="shared" si="426"/>
        <v/>
      </c>
    </row>
    <row r="3883" spans="2:17" ht="18" customHeight="1" x14ac:dyDescent="0.3">
      <c r="B3883" s="26"/>
      <c r="C3883" s="28"/>
      <c r="D3883" s="27"/>
      <c r="E3883" s="29"/>
      <c r="F3883" s="29"/>
      <c r="G3883" s="29"/>
      <c r="H3883" s="30" t="str">
        <f t="shared" si="420"/>
        <v/>
      </c>
      <c r="I3883" s="31" t="str">
        <f>IF(OR(B3883="",C3883=""),"",IFERROR(E3883*IF(E3883="",0,VLOOKUP(C3883,'📦 Precios Proforma'!$B$5:$D$104,IF(D3883="DIA",2,3),FALSE)),0))</f>
        <v/>
      </c>
      <c r="J3883" s="31" t="str">
        <f t="shared" si="421"/>
        <v/>
      </c>
      <c r="K3883" s="31" t="str">
        <f t="shared" si="422"/>
        <v/>
      </c>
      <c r="L3883" s="31" t="str">
        <f>IF(OR(B3883="",C3883=""),"",IFERROR(E3883 / SUMIFS('📅 Resumen Diario'!$D$5:$D$504, '📅 Resumen Diario'!$B$5:$B$504, B3883, '📅 Resumen Diario'!$C$5:$C$504, D3883) * SUMIFS('📅 Resumen Diario'!$K$5:$K$504, '📅 Resumen Diario'!$B$5:$B$504, B3883, '📅 Resumen Diario'!$C$5:$C$504, D3883), 0))</f>
        <v/>
      </c>
      <c r="M3883" s="31" t="str">
        <f t="shared" si="423"/>
        <v/>
      </c>
      <c r="N3883" s="31" t="str">
        <f t="shared" si="424"/>
        <v/>
      </c>
      <c r="O3883" s="31" t="str">
        <f>IF(OR(B3883="",C3883=""),"",K3883-N3883 + IFERROR(E3883 / SUMIFS('📅 Resumen Diario'!$D$5:$D$504, '📅 Resumen Diario'!$B$5:$B$504, B3883, '📅 Resumen Diario'!$C$5:$C$504, D3883) * (SUMIFS('📋 Detalle Diario'!$E$5:$E$489, '📋 Detalle Diario'!$B$5:$B$489, B3883, '📋 Detalle Diario'!$C$5:$C$489, D3883) * 135 + SUMIFS('📋 Detalle Diario'!$I$5:$I$489, '📋 Detalle Diario'!$B$5:$B$489, B3883, '📋 Detalle Diario'!$C$5:$C$489, D3883) * 200), 0))</f>
        <v/>
      </c>
      <c r="P3883" s="32" t="str">
        <f t="shared" si="425"/>
        <v/>
      </c>
      <c r="Q3883" s="33" t="str">
        <f t="shared" si="426"/>
        <v/>
      </c>
    </row>
    <row r="3884" spans="2:17" ht="18" customHeight="1" x14ac:dyDescent="0.3">
      <c r="B3884" s="26"/>
      <c r="C3884" s="17"/>
      <c r="D3884" s="27"/>
      <c r="E3884" s="18"/>
      <c r="F3884" s="18"/>
      <c r="G3884" s="18"/>
      <c r="H3884" s="30" t="str">
        <f t="shared" si="420"/>
        <v/>
      </c>
      <c r="I3884" s="31" t="str">
        <f>IF(OR(B3884="",C3884=""),"",IFERROR(E3884*IF(E3884="",0,VLOOKUP(C3884,'📦 Precios Proforma'!$B$5:$D$104,IF(D3884="DIA",2,3),FALSE)),0))</f>
        <v/>
      </c>
      <c r="J3884" s="31" t="str">
        <f t="shared" si="421"/>
        <v/>
      </c>
      <c r="K3884" s="31" t="str">
        <f t="shared" si="422"/>
        <v/>
      </c>
      <c r="L3884" s="31" t="str">
        <f>IF(OR(B3884="",C3884=""),"",IFERROR(E3884 / SUMIFS('📅 Resumen Diario'!$D$5:$D$504, '📅 Resumen Diario'!$B$5:$B$504, B3884, '📅 Resumen Diario'!$C$5:$C$504, D3884) * SUMIFS('📅 Resumen Diario'!$K$5:$K$504, '📅 Resumen Diario'!$B$5:$B$504, B3884, '📅 Resumen Diario'!$C$5:$C$504, D3884), 0))</f>
        <v/>
      </c>
      <c r="M3884" s="31" t="str">
        <f t="shared" si="423"/>
        <v/>
      </c>
      <c r="N3884" s="31" t="str">
        <f t="shared" si="424"/>
        <v/>
      </c>
      <c r="O3884" s="31" t="str">
        <f>IF(OR(B3884="",C3884=""),"",K3884-N3884 + IFERROR(E3884 / SUMIFS('📅 Resumen Diario'!$D$5:$D$504, '📅 Resumen Diario'!$B$5:$B$504, B3884, '📅 Resumen Diario'!$C$5:$C$504, D3884) * (SUMIFS('📋 Detalle Diario'!$E$5:$E$489, '📋 Detalle Diario'!$B$5:$B$489, B3884, '📋 Detalle Diario'!$C$5:$C$489, D3884) * 135 + SUMIFS('📋 Detalle Diario'!$I$5:$I$489, '📋 Detalle Diario'!$B$5:$B$489, B3884, '📋 Detalle Diario'!$C$5:$C$489, D3884) * 200), 0))</f>
        <v/>
      </c>
      <c r="P3884" s="32" t="str">
        <f t="shared" si="425"/>
        <v/>
      </c>
      <c r="Q3884" s="33" t="str">
        <f t="shared" si="426"/>
        <v/>
      </c>
    </row>
    <row r="3885" spans="2:17" ht="18" customHeight="1" x14ac:dyDescent="0.3">
      <c r="B3885" s="26"/>
      <c r="C3885" s="28"/>
      <c r="D3885" s="27"/>
      <c r="E3885" s="29"/>
      <c r="F3885" s="29"/>
      <c r="G3885" s="29"/>
      <c r="H3885" s="30" t="str">
        <f t="shared" si="420"/>
        <v/>
      </c>
      <c r="I3885" s="31" t="str">
        <f>IF(OR(B3885="",C3885=""),"",IFERROR(E3885*IF(E3885="",0,VLOOKUP(C3885,'📦 Precios Proforma'!$B$5:$D$104,IF(D3885="DIA",2,3),FALSE)),0))</f>
        <v/>
      </c>
      <c r="J3885" s="31" t="str">
        <f t="shared" si="421"/>
        <v/>
      </c>
      <c r="K3885" s="31" t="str">
        <f t="shared" si="422"/>
        <v/>
      </c>
      <c r="L3885" s="31" t="str">
        <f>IF(OR(B3885="",C3885=""),"",IFERROR(E3885 / SUMIFS('📅 Resumen Diario'!$D$5:$D$504, '📅 Resumen Diario'!$B$5:$B$504, B3885, '📅 Resumen Diario'!$C$5:$C$504, D3885) * SUMIFS('📅 Resumen Diario'!$K$5:$K$504, '📅 Resumen Diario'!$B$5:$B$504, B3885, '📅 Resumen Diario'!$C$5:$C$504, D3885), 0))</f>
        <v/>
      </c>
      <c r="M3885" s="31" t="str">
        <f t="shared" si="423"/>
        <v/>
      </c>
      <c r="N3885" s="31" t="str">
        <f t="shared" si="424"/>
        <v/>
      </c>
      <c r="O3885" s="31" t="str">
        <f>IF(OR(B3885="",C3885=""),"",K3885-N3885 + IFERROR(E3885 / SUMIFS('📅 Resumen Diario'!$D$5:$D$504, '📅 Resumen Diario'!$B$5:$B$504, B3885, '📅 Resumen Diario'!$C$5:$C$504, D3885) * (SUMIFS('📋 Detalle Diario'!$E$5:$E$489, '📋 Detalle Diario'!$B$5:$B$489, B3885, '📋 Detalle Diario'!$C$5:$C$489, D3885) * 135 + SUMIFS('📋 Detalle Diario'!$I$5:$I$489, '📋 Detalle Diario'!$B$5:$B$489, B3885, '📋 Detalle Diario'!$C$5:$C$489, D3885) * 200), 0))</f>
        <v/>
      </c>
      <c r="P3885" s="32" t="str">
        <f t="shared" si="425"/>
        <v/>
      </c>
      <c r="Q3885" s="33" t="str">
        <f t="shared" si="426"/>
        <v/>
      </c>
    </row>
    <row r="3886" spans="2:17" ht="18" customHeight="1" x14ac:dyDescent="0.3">
      <c r="B3886" s="26"/>
      <c r="C3886" s="17"/>
      <c r="D3886" s="27"/>
      <c r="E3886" s="18"/>
      <c r="F3886" s="18"/>
      <c r="G3886" s="18"/>
      <c r="H3886" s="30" t="str">
        <f t="shared" si="420"/>
        <v/>
      </c>
      <c r="I3886" s="31" t="str">
        <f>IF(OR(B3886="",C3886=""),"",IFERROR(E3886*IF(E3886="",0,VLOOKUP(C3886,'📦 Precios Proforma'!$B$5:$D$104,IF(D3886="DIA",2,3),FALSE)),0))</f>
        <v/>
      </c>
      <c r="J3886" s="31" t="str">
        <f t="shared" si="421"/>
        <v/>
      </c>
      <c r="K3886" s="31" t="str">
        <f t="shared" si="422"/>
        <v/>
      </c>
      <c r="L3886" s="31" t="str">
        <f>IF(OR(B3886="",C3886=""),"",IFERROR(E3886 / SUMIFS('📅 Resumen Diario'!$D$5:$D$504, '📅 Resumen Diario'!$B$5:$B$504, B3886, '📅 Resumen Diario'!$C$5:$C$504, D3886) * SUMIFS('📅 Resumen Diario'!$K$5:$K$504, '📅 Resumen Diario'!$B$5:$B$504, B3886, '📅 Resumen Diario'!$C$5:$C$504, D3886), 0))</f>
        <v/>
      </c>
      <c r="M3886" s="31" t="str">
        <f t="shared" si="423"/>
        <v/>
      </c>
      <c r="N3886" s="31" t="str">
        <f t="shared" si="424"/>
        <v/>
      </c>
      <c r="O3886" s="31" t="str">
        <f>IF(OR(B3886="",C3886=""),"",K3886-N3886 + IFERROR(E3886 / SUMIFS('📅 Resumen Diario'!$D$5:$D$504, '📅 Resumen Diario'!$B$5:$B$504, B3886, '📅 Resumen Diario'!$C$5:$C$504, D3886) * (SUMIFS('📋 Detalle Diario'!$E$5:$E$489, '📋 Detalle Diario'!$B$5:$B$489, B3886, '📋 Detalle Diario'!$C$5:$C$489, D3886) * 135 + SUMIFS('📋 Detalle Diario'!$I$5:$I$489, '📋 Detalle Diario'!$B$5:$B$489, B3886, '📋 Detalle Diario'!$C$5:$C$489, D3886) * 200), 0))</f>
        <v/>
      </c>
      <c r="P3886" s="32" t="str">
        <f t="shared" si="425"/>
        <v/>
      </c>
      <c r="Q3886" s="33" t="str">
        <f t="shared" si="426"/>
        <v/>
      </c>
    </row>
    <row r="3887" spans="2:17" ht="18" customHeight="1" x14ac:dyDescent="0.3">
      <c r="B3887" s="26"/>
      <c r="C3887" s="28"/>
      <c r="D3887" s="27"/>
      <c r="E3887" s="29"/>
      <c r="F3887" s="29"/>
      <c r="G3887" s="29"/>
      <c r="H3887" s="30" t="str">
        <f t="shared" si="420"/>
        <v/>
      </c>
      <c r="I3887" s="31" t="str">
        <f>IF(OR(B3887="",C3887=""),"",IFERROR(E3887*IF(E3887="",0,VLOOKUP(C3887,'📦 Precios Proforma'!$B$5:$D$104,IF(D3887="DIA",2,3),FALSE)),0))</f>
        <v/>
      </c>
      <c r="J3887" s="31" t="str">
        <f t="shared" si="421"/>
        <v/>
      </c>
      <c r="K3887" s="31" t="str">
        <f t="shared" si="422"/>
        <v/>
      </c>
      <c r="L3887" s="31" t="str">
        <f>IF(OR(B3887="",C3887=""),"",IFERROR(E3887 / SUMIFS('📅 Resumen Diario'!$D$5:$D$504, '📅 Resumen Diario'!$B$5:$B$504, B3887, '📅 Resumen Diario'!$C$5:$C$504, D3887) * SUMIFS('📅 Resumen Diario'!$K$5:$K$504, '📅 Resumen Diario'!$B$5:$B$504, B3887, '📅 Resumen Diario'!$C$5:$C$504, D3887), 0))</f>
        <v/>
      </c>
      <c r="M3887" s="31" t="str">
        <f t="shared" si="423"/>
        <v/>
      </c>
      <c r="N3887" s="31" t="str">
        <f t="shared" si="424"/>
        <v/>
      </c>
      <c r="O3887" s="31" t="str">
        <f>IF(OR(B3887="",C3887=""),"",K3887-N3887 + IFERROR(E3887 / SUMIFS('📅 Resumen Diario'!$D$5:$D$504, '📅 Resumen Diario'!$B$5:$B$504, B3887, '📅 Resumen Diario'!$C$5:$C$504, D3887) * (SUMIFS('📋 Detalle Diario'!$E$5:$E$489, '📋 Detalle Diario'!$B$5:$B$489, B3887, '📋 Detalle Diario'!$C$5:$C$489, D3887) * 135 + SUMIFS('📋 Detalle Diario'!$I$5:$I$489, '📋 Detalle Diario'!$B$5:$B$489, B3887, '📋 Detalle Diario'!$C$5:$C$489, D3887) * 200), 0))</f>
        <v/>
      </c>
      <c r="P3887" s="32" t="str">
        <f t="shared" si="425"/>
        <v/>
      </c>
      <c r="Q3887" s="33" t="str">
        <f t="shared" si="426"/>
        <v/>
      </c>
    </row>
    <row r="3888" spans="2:17" ht="18" customHeight="1" x14ac:dyDescent="0.3">
      <c r="B3888" s="26"/>
      <c r="C3888" s="17"/>
      <c r="D3888" s="27"/>
      <c r="E3888" s="18"/>
      <c r="F3888" s="18"/>
      <c r="G3888" s="18"/>
      <c r="H3888" s="30" t="str">
        <f t="shared" si="420"/>
        <v/>
      </c>
      <c r="I3888" s="31" t="str">
        <f>IF(OR(B3888="",C3888=""),"",IFERROR(E3888*IF(E3888="",0,VLOOKUP(C3888,'📦 Precios Proforma'!$B$5:$D$104,IF(D3888="DIA",2,3),FALSE)),0))</f>
        <v/>
      </c>
      <c r="J3888" s="31" t="str">
        <f t="shared" si="421"/>
        <v/>
      </c>
      <c r="K3888" s="31" t="str">
        <f t="shared" si="422"/>
        <v/>
      </c>
      <c r="L3888" s="31" t="str">
        <f>IF(OR(B3888="",C3888=""),"",IFERROR(E3888 / SUMIFS('📅 Resumen Diario'!$D$5:$D$504, '📅 Resumen Diario'!$B$5:$B$504, B3888, '📅 Resumen Diario'!$C$5:$C$504, D3888) * SUMIFS('📅 Resumen Diario'!$K$5:$K$504, '📅 Resumen Diario'!$B$5:$B$504, B3888, '📅 Resumen Diario'!$C$5:$C$504, D3888), 0))</f>
        <v/>
      </c>
      <c r="M3888" s="31" t="str">
        <f t="shared" si="423"/>
        <v/>
      </c>
      <c r="N3888" s="31" t="str">
        <f t="shared" si="424"/>
        <v/>
      </c>
      <c r="O3888" s="31" t="str">
        <f>IF(OR(B3888="",C3888=""),"",K3888-N3888 + IFERROR(E3888 / SUMIFS('📅 Resumen Diario'!$D$5:$D$504, '📅 Resumen Diario'!$B$5:$B$504, B3888, '📅 Resumen Diario'!$C$5:$C$504, D3888) * (SUMIFS('📋 Detalle Diario'!$E$5:$E$489, '📋 Detalle Diario'!$B$5:$B$489, B3888, '📋 Detalle Diario'!$C$5:$C$489, D3888) * 135 + SUMIFS('📋 Detalle Diario'!$I$5:$I$489, '📋 Detalle Diario'!$B$5:$B$489, B3888, '📋 Detalle Diario'!$C$5:$C$489, D3888) * 200), 0))</f>
        <v/>
      </c>
      <c r="P3888" s="32" t="str">
        <f t="shared" si="425"/>
        <v/>
      </c>
      <c r="Q3888" s="33" t="str">
        <f t="shared" si="426"/>
        <v/>
      </c>
    </row>
    <row r="3889" spans="2:17" ht="18" customHeight="1" x14ac:dyDescent="0.3">
      <c r="B3889" s="26"/>
      <c r="C3889" s="28"/>
      <c r="D3889" s="27"/>
      <c r="E3889" s="29"/>
      <c r="F3889" s="29"/>
      <c r="G3889" s="29"/>
      <c r="H3889" s="30" t="str">
        <f t="shared" si="420"/>
        <v/>
      </c>
      <c r="I3889" s="31" t="str">
        <f>IF(OR(B3889="",C3889=""),"",IFERROR(E3889*IF(E3889="",0,VLOOKUP(C3889,'📦 Precios Proforma'!$B$5:$D$104,IF(D3889="DIA",2,3),FALSE)),0))</f>
        <v/>
      </c>
      <c r="J3889" s="31" t="str">
        <f t="shared" si="421"/>
        <v/>
      </c>
      <c r="K3889" s="31" t="str">
        <f t="shared" si="422"/>
        <v/>
      </c>
      <c r="L3889" s="31" t="str">
        <f>IF(OR(B3889="",C3889=""),"",IFERROR(E3889 / SUMIFS('📅 Resumen Diario'!$D$5:$D$504, '📅 Resumen Diario'!$B$5:$B$504, B3889, '📅 Resumen Diario'!$C$5:$C$504, D3889) * SUMIFS('📅 Resumen Diario'!$K$5:$K$504, '📅 Resumen Diario'!$B$5:$B$504, B3889, '📅 Resumen Diario'!$C$5:$C$504, D3889), 0))</f>
        <v/>
      </c>
      <c r="M3889" s="31" t="str">
        <f t="shared" si="423"/>
        <v/>
      </c>
      <c r="N3889" s="31" t="str">
        <f t="shared" si="424"/>
        <v/>
      </c>
      <c r="O3889" s="31" t="str">
        <f>IF(OR(B3889="",C3889=""),"",K3889-N3889 + IFERROR(E3889 / SUMIFS('📅 Resumen Diario'!$D$5:$D$504, '📅 Resumen Diario'!$B$5:$B$504, B3889, '📅 Resumen Diario'!$C$5:$C$504, D3889) * (SUMIFS('📋 Detalle Diario'!$E$5:$E$489, '📋 Detalle Diario'!$B$5:$B$489, B3889, '📋 Detalle Diario'!$C$5:$C$489, D3889) * 135 + SUMIFS('📋 Detalle Diario'!$I$5:$I$489, '📋 Detalle Diario'!$B$5:$B$489, B3889, '📋 Detalle Diario'!$C$5:$C$489, D3889) * 200), 0))</f>
        <v/>
      </c>
      <c r="P3889" s="32" t="str">
        <f t="shared" si="425"/>
        <v/>
      </c>
      <c r="Q3889" s="33" t="str">
        <f t="shared" si="426"/>
        <v/>
      </c>
    </row>
    <row r="3890" spans="2:17" ht="18" customHeight="1" x14ac:dyDescent="0.3">
      <c r="B3890" s="26"/>
      <c r="C3890" s="17"/>
      <c r="D3890" s="27"/>
      <c r="E3890" s="18"/>
      <c r="F3890" s="18"/>
      <c r="G3890" s="18"/>
      <c r="H3890" s="30" t="str">
        <f t="shared" si="420"/>
        <v/>
      </c>
      <c r="I3890" s="31" t="str">
        <f>IF(OR(B3890="",C3890=""),"",IFERROR(E3890*IF(E3890="",0,VLOOKUP(C3890,'📦 Precios Proforma'!$B$5:$D$104,IF(D3890="DIA",2,3),FALSE)),0))</f>
        <v/>
      </c>
      <c r="J3890" s="31" t="str">
        <f t="shared" si="421"/>
        <v/>
      </c>
      <c r="K3890" s="31" t="str">
        <f t="shared" si="422"/>
        <v/>
      </c>
      <c r="L3890" s="31" t="str">
        <f>IF(OR(B3890="",C3890=""),"",IFERROR(E3890 / SUMIFS('📅 Resumen Diario'!$D$5:$D$504, '📅 Resumen Diario'!$B$5:$B$504, B3890, '📅 Resumen Diario'!$C$5:$C$504, D3890) * SUMIFS('📅 Resumen Diario'!$K$5:$K$504, '📅 Resumen Diario'!$B$5:$B$504, B3890, '📅 Resumen Diario'!$C$5:$C$504, D3890), 0))</f>
        <v/>
      </c>
      <c r="M3890" s="31" t="str">
        <f t="shared" si="423"/>
        <v/>
      </c>
      <c r="N3890" s="31" t="str">
        <f t="shared" si="424"/>
        <v/>
      </c>
      <c r="O3890" s="31" t="str">
        <f>IF(OR(B3890="",C3890=""),"",K3890-N3890 + IFERROR(E3890 / SUMIFS('📅 Resumen Diario'!$D$5:$D$504, '📅 Resumen Diario'!$B$5:$B$504, B3890, '📅 Resumen Diario'!$C$5:$C$504, D3890) * (SUMIFS('📋 Detalle Diario'!$E$5:$E$489, '📋 Detalle Diario'!$B$5:$B$489, B3890, '📋 Detalle Diario'!$C$5:$C$489, D3890) * 135 + SUMIFS('📋 Detalle Diario'!$I$5:$I$489, '📋 Detalle Diario'!$B$5:$B$489, B3890, '📋 Detalle Diario'!$C$5:$C$489, D3890) * 200), 0))</f>
        <v/>
      </c>
      <c r="P3890" s="32" t="str">
        <f t="shared" si="425"/>
        <v/>
      </c>
      <c r="Q3890" s="33" t="str">
        <f t="shared" si="426"/>
        <v/>
      </c>
    </row>
    <row r="3891" spans="2:17" ht="18" customHeight="1" x14ac:dyDescent="0.3">
      <c r="B3891" s="26"/>
      <c r="C3891" s="28"/>
      <c r="D3891" s="27"/>
      <c r="E3891" s="29"/>
      <c r="F3891" s="29"/>
      <c r="G3891" s="29"/>
      <c r="H3891" s="30" t="str">
        <f t="shared" si="420"/>
        <v/>
      </c>
      <c r="I3891" s="31" t="str">
        <f>IF(OR(B3891="",C3891=""),"",IFERROR(E3891*IF(E3891="",0,VLOOKUP(C3891,'📦 Precios Proforma'!$B$5:$D$104,IF(D3891="DIA",2,3),FALSE)),0))</f>
        <v/>
      </c>
      <c r="J3891" s="31" t="str">
        <f t="shared" si="421"/>
        <v/>
      </c>
      <c r="K3891" s="31" t="str">
        <f t="shared" si="422"/>
        <v/>
      </c>
      <c r="L3891" s="31" t="str">
        <f>IF(OR(B3891="",C3891=""),"",IFERROR(E3891 / SUMIFS('📅 Resumen Diario'!$D$5:$D$504, '📅 Resumen Diario'!$B$5:$B$504, B3891, '📅 Resumen Diario'!$C$5:$C$504, D3891) * SUMIFS('📅 Resumen Diario'!$K$5:$K$504, '📅 Resumen Diario'!$B$5:$B$504, B3891, '📅 Resumen Diario'!$C$5:$C$504, D3891), 0))</f>
        <v/>
      </c>
      <c r="M3891" s="31" t="str">
        <f t="shared" si="423"/>
        <v/>
      </c>
      <c r="N3891" s="31" t="str">
        <f t="shared" si="424"/>
        <v/>
      </c>
      <c r="O3891" s="31" t="str">
        <f>IF(OR(B3891="",C3891=""),"",K3891-N3891 + IFERROR(E3891 / SUMIFS('📅 Resumen Diario'!$D$5:$D$504, '📅 Resumen Diario'!$B$5:$B$504, B3891, '📅 Resumen Diario'!$C$5:$C$504, D3891) * (SUMIFS('📋 Detalle Diario'!$E$5:$E$489, '📋 Detalle Diario'!$B$5:$B$489, B3891, '📋 Detalle Diario'!$C$5:$C$489, D3891) * 135 + SUMIFS('📋 Detalle Diario'!$I$5:$I$489, '📋 Detalle Diario'!$B$5:$B$489, B3891, '📋 Detalle Diario'!$C$5:$C$489, D3891) * 200), 0))</f>
        <v/>
      </c>
      <c r="P3891" s="32" t="str">
        <f t="shared" si="425"/>
        <v/>
      </c>
      <c r="Q3891" s="33" t="str">
        <f t="shared" si="426"/>
        <v/>
      </c>
    </row>
    <row r="3892" spans="2:17" ht="18" customHeight="1" x14ac:dyDescent="0.3">
      <c r="B3892" s="26"/>
      <c r="C3892" s="17"/>
      <c r="D3892" s="27"/>
      <c r="E3892" s="18"/>
      <c r="F3892" s="18"/>
      <c r="G3892" s="18"/>
      <c r="H3892" s="30" t="str">
        <f t="shared" si="420"/>
        <v/>
      </c>
      <c r="I3892" s="31" t="str">
        <f>IF(OR(B3892="",C3892=""),"",IFERROR(E3892*IF(E3892="",0,VLOOKUP(C3892,'📦 Precios Proforma'!$B$5:$D$104,IF(D3892="DIA",2,3),FALSE)),0))</f>
        <v/>
      </c>
      <c r="J3892" s="31" t="str">
        <f t="shared" si="421"/>
        <v/>
      </c>
      <c r="K3892" s="31" t="str">
        <f t="shared" si="422"/>
        <v/>
      </c>
      <c r="L3892" s="31" t="str">
        <f>IF(OR(B3892="",C3892=""),"",IFERROR(E3892 / SUMIFS('📅 Resumen Diario'!$D$5:$D$504, '📅 Resumen Diario'!$B$5:$B$504, B3892, '📅 Resumen Diario'!$C$5:$C$504, D3892) * SUMIFS('📅 Resumen Diario'!$K$5:$K$504, '📅 Resumen Diario'!$B$5:$B$504, B3892, '📅 Resumen Diario'!$C$5:$C$504, D3892), 0))</f>
        <v/>
      </c>
      <c r="M3892" s="31" t="str">
        <f t="shared" si="423"/>
        <v/>
      </c>
      <c r="N3892" s="31" t="str">
        <f t="shared" si="424"/>
        <v/>
      </c>
      <c r="O3892" s="31" t="str">
        <f>IF(OR(B3892="",C3892=""),"",K3892-N3892 + IFERROR(E3892 / SUMIFS('📅 Resumen Diario'!$D$5:$D$504, '📅 Resumen Diario'!$B$5:$B$504, B3892, '📅 Resumen Diario'!$C$5:$C$504, D3892) * (SUMIFS('📋 Detalle Diario'!$E$5:$E$489, '📋 Detalle Diario'!$B$5:$B$489, B3892, '📋 Detalle Diario'!$C$5:$C$489, D3892) * 135 + SUMIFS('📋 Detalle Diario'!$I$5:$I$489, '📋 Detalle Diario'!$B$5:$B$489, B3892, '📋 Detalle Diario'!$C$5:$C$489, D3892) * 200), 0))</f>
        <v/>
      </c>
      <c r="P3892" s="32" t="str">
        <f t="shared" si="425"/>
        <v/>
      </c>
      <c r="Q3892" s="33" t="str">
        <f t="shared" si="426"/>
        <v/>
      </c>
    </row>
    <row r="3893" spans="2:17" ht="18" customHeight="1" x14ac:dyDescent="0.3">
      <c r="B3893" s="26"/>
      <c r="C3893" s="28"/>
      <c r="D3893" s="27"/>
      <c r="E3893" s="29"/>
      <c r="F3893" s="29"/>
      <c r="G3893" s="29"/>
      <c r="H3893" s="30" t="str">
        <f t="shared" si="420"/>
        <v/>
      </c>
      <c r="I3893" s="31" t="str">
        <f>IF(OR(B3893="",C3893=""),"",IFERROR(E3893*IF(E3893="",0,VLOOKUP(C3893,'📦 Precios Proforma'!$B$5:$D$104,IF(D3893="DIA",2,3),FALSE)),0))</f>
        <v/>
      </c>
      <c r="J3893" s="31" t="str">
        <f t="shared" si="421"/>
        <v/>
      </c>
      <c r="K3893" s="31" t="str">
        <f t="shared" si="422"/>
        <v/>
      </c>
      <c r="L3893" s="31" t="str">
        <f>IF(OR(B3893="",C3893=""),"",IFERROR(E3893 / SUMIFS('📅 Resumen Diario'!$D$5:$D$504, '📅 Resumen Diario'!$B$5:$B$504, B3893, '📅 Resumen Diario'!$C$5:$C$504, D3893) * SUMIFS('📅 Resumen Diario'!$K$5:$K$504, '📅 Resumen Diario'!$B$5:$B$504, B3893, '📅 Resumen Diario'!$C$5:$C$504, D3893), 0))</f>
        <v/>
      </c>
      <c r="M3893" s="31" t="str">
        <f t="shared" si="423"/>
        <v/>
      </c>
      <c r="N3893" s="31" t="str">
        <f t="shared" si="424"/>
        <v/>
      </c>
      <c r="O3893" s="31" t="str">
        <f>IF(OR(B3893="",C3893=""),"",K3893-N3893 + IFERROR(E3893 / SUMIFS('📅 Resumen Diario'!$D$5:$D$504, '📅 Resumen Diario'!$B$5:$B$504, B3893, '📅 Resumen Diario'!$C$5:$C$504, D3893) * (SUMIFS('📋 Detalle Diario'!$E$5:$E$489, '📋 Detalle Diario'!$B$5:$B$489, B3893, '📋 Detalle Diario'!$C$5:$C$489, D3893) * 135 + SUMIFS('📋 Detalle Diario'!$I$5:$I$489, '📋 Detalle Diario'!$B$5:$B$489, B3893, '📋 Detalle Diario'!$C$5:$C$489, D3893) * 200), 0))</f>
        <v/>
      </c>
      <c r="P3893" s="32" t="str">
        <f t="shared" si="425"/>
        <v/>
      </c>
      <c r="Q3893" s="33" t="str">
        <f t="shared" si="426"/>
        <v/>
      </c>
    </row>
    <row r="3894" spans="2:17" ht="18" customHeight="1" x14ac:dyDescent="0.3">
      <c r="B3894" s="26"/>
      <c r="C3894" s="17"/>
      <c r="D3894" s="27"/>
      <c r="E3894" s="18"/>
      <c r="F3894" s="18"/>
      <c r="G3894" s="18"/>
      <c r="H3894" s="30" t="str">
        <f t="shared" si="420"/>
        <v/>
      </c>
      <c r="I3894" s="31" t="str">
        <f>IF(OR(B3894="",C3894=""),"",IFERROR(E3894*IF(E3894="",0,VLOOKUP(C3894,'📦 Precios Proforma'!$B$5:$D$104,IF(D3894="DIA",2,3),FALSE)),0))</f>
        <v/>
      </c>
      <c r="J3894" s="31" t="str">
        <f t="shared" si="421"/>
        <v/>
      </c>
      <c r="K3894" s="31" t="str">
        <f t="shared" si="422"/>
        <v/>
      </c>
      <c r="L3894" s="31" t="str">
        <f>IF(OR(B3894="",C3894=""),"",IFERROR(E3894 / SUMIFS('📅 Resumen Diario'!$D$5:$D$504, '📅 Resumen Diario'!$B$5:$B$504, B3894, '📅 Resumen Diario'!$C$5:$C$504, D3894) * SUMIFS('📅 Resumen Diario'!$K$5:$K$504, '📅 Resumen Diario'!$B$5:$B$504, B3894, '📅 Resumen Diario'!$C$5:$C$504, D3894), 0))</f>
        <v/>
      </c>
      <c r="M3894" s="31" t="str">
        <f t="shared" si="423"/>
        <v/>
      </c>
      <c r="N3894" s="31" t="str">
        <f t="shared" si="424"/>
        <v/>
      </c>
      <c r="O3894" s="31" t="str">
        <f>IF(OR(B3894="",C3894=""),"",K3894-N3894 + IFERROR(E3894 / SUMIFS('📅 Resumen Diario'!$D$5:$D$504, '📅 Resumen Diario'!$B$5:$B$504, B3894, '📅 Resumen Diario'!$C$5:$C$504, D3894) * (SUMIFS('📋 Detalle Diario'!$E$5:$E$489, '📋 Detalle Diario'!$B$5:$B$489, B3894, '📋 Detalle Diario'!$C$5:$C$489, D3894) * 135 + SUMIFS('📋 Detalle Diario'!$I$5:$I$489, '📋 Detalle Diario'!$B$5:$B$489, B3894, '📋 Detalle Diario'!$C$5:$C$489, D3894) * 200), 0))</f>
        <v/>
      </c>
      <c r="P3894" s="32" t="str">
        <f t="shared" si="425"/>
        <v/>
      </c>
      <c r="Q3894" s="33" t="str">
        <f t="shared" si="426"/>
        <v/>
      </c>
    </row>
    <row r="3895" spans="2:17" ht="18" customHeight="1" x14ac:dyDescent="0.3">
      <c r="B3895" s="26"/>
      <c r="C3895" s="28"/>
      <c r="D3895" s="27"/>
      <c r="E3895" s="29"/>
      <c r="F3895" s="29"/>
      <c r="G3895" s="29"/>
      <c r="H3895" s="30" t="str">
        <f t="shared" si="420"/>
        <v/>
      </c>
      <c r="I3895" s="31" t="str">
        <f>IF(OR(B3895="",C3895=""),"",IFERROR(E3895*IF(E3895="",0,VLOOKUP(C3895,'📦 Precios Proforma'!$B$5:$D$104,IF(D3895="DIA",2,3),FALSE)),0))</f>
        <v/>
      </c>
      <c r="J3895" s="31" t="str">
        <f t="shared" si="421"/>
        <v/>
      </c>
      <c r="K3895" s="31" t="str">
        <f t="shared" si="422"/>
        <v/>
      </c>
      <c r="L3895" s="31" t="str">
        <f>IF(OR(B3895="",C3895=""),"",IFERROR(E3895 / SUMIFS('📅 Resumen Diario'!$D$5:$D$504, '📅 Resumen Diario'!$B$5:$B$504, B3895, '📅 Resumen Diario'!$C$5:$C$504, D3895) * SUMIFS('📅 Resumen Diario'!$K$5:$K$504, '📅 Resumen Diario'!$B$5:$B$504, B3895, '📅 Resumen Diario'!$C$5:$C$504, D3895), 0))</f>
        <v/>
      </c>
      <c r="M3895" s="31" t="str">
        <f t="shared" si="423"/>
        <v/>
      </c>
      <c r="N3895" s="31" t="str">
        <f t="shared" si="424"/>
        <v/>
      </c>
      <c r="O3895" s="31" t="str">
        <f>IF(OR(B3895="",C3895=""),"",K3895-N3895 + IFERROR(E3895 / SUMIFS('📅 Resumen Diario'!$D$5:$D$504, '📅 Resumen Diario'!$B$5:$B$504, B3895, '📅 Resumen Diario'!$C$5:$C$504, D3895) * (SUMIFS('📋 Detalle Diario'!$E$5:$E$489, '📋 Detalle Diario'!$B$5:$B$489, B3895, '📋 Detalle Diario'!$C$5:$C$489, D3895) * 135 + SUMIFS('📋 Detalle Diario'!$I$5:$I$489, '📋 Detalle Diario'!$B$5:$B$489, B3895, '📋 Detalle Diario'!$C$5:$C$489, D3895) * 200), 0))</f>
        <v/>
      </c>
      <c r="P3895" s="32" t="str">
        <f t="shared" si="425"/>
        <v/>
      </c>
      <c r="Q3895" s="33" t="str">
        <f t="shared" si="426"/>
        <v/>
      </c>
    </row>
    <row r="3896" spans="2:17" ht="18" customHeight="1" x14ac:dyDescent="0.3">
      <c r="B3896" s="26"/>
      <c r="C3896" s="17"/>
      <c r="D3896" s="27"/>
      <c r="E3896" s="18"/>
      <c r="F3896" s="18"/>
      <c r="G3896" s="18"/>
      <c r="H3896" s="30" t="str">
        <f t="shared" si="420"/>
        <v/>
      </c>
      <c r="I3896" s="31" t="str">
        <f>IF(OR(B3896="",C3896=""),"",IFERROR(E3896*IF(E3896="",0,VLOOKUP(C3896,'📦 Precios Proforma'!$B$5:$D$104,IF(D3896="DIA",2,3),FALSE)),0))</f>
        <v/>
      </c>
      <c r="J3896" s="31" t="str">
        <f t="shared" si="421"/>
        <v/>
      </c>
      <c r="K3896" s="31" t="str">
        <f t="shared" si="422"/>
        <v/>
      </c>
      <c r="L3896" s="31" t="str">
        <f>IF(OR(B3896="",C3896=""),"",IFERROR(E3896 / SUMIFS('📅 Resumen Diario'!$D$5:$D$504, '📅 Resumen Diario'!$B$5:$B$504, B3896, '📅 Resumen Diario'!$C$5:$C$504, D3896) * SUMIFS('📅 Resumen Diario'!$K$5:$K$504, '📅 Resumen Diario'!$B$5:$B$504, B3896, '📅 Resumen Diario'!$C$5:$C$504, D3896), 0))</f>
        <v/>
      </c>
      <c r="M3896" s="31" t="str">
        <f t="shared" si="423"/>
        <v/>
      </c>
      <c r="N3896" s="31" t="str">
        <f t="shared" si="424"/>
        <v/>
      </c>
      <c r="O3896" s="31" t="str">
        <f>IF(OR(B3896="",C3896=""),"",K3896-N3896 + IFERROR(E3896 / SUMIFS('📅 Resumen Diario'!$D$5:$D$504, '📅 Resumen Diario'!$B$5:$B$504, B3896, '📅 Resumen Diario'!$C$5:$C$504, D3896) * (SUMIFS('📋 Detalle Diario'!$E$5:$E$489, '📋 Detalle Diario'!$B$5:$B$489, B3896, '📋 Detalle Diario'!$C$5:$C$489, D3896) * 135 + SUMIFS('📋 Detalle Diario'!$I$5:$I$489, '📋 Detalle Diario'!$B$5:$B$489, B3896, '📋 Detalle Diario'!$C$5:$C$489, D3896) * 200), 0))</f>
        <v/>
      </c>
      <c r="P3896" s="32" t="str">
        <f t="shared" si="425"/>
        <v/>
      </c>
      <c r="Q3896" s="33" t="str">
        <f t="shared" si="426"/>
        <v/>
      </c>
    </row>
    <row r="3897" spans="2:17" ht="18" customHeight="1" x14ac:dyDescent="0.3">
      <c r="B3897" s="26"/>
      <c r="C3897" s="28"/>
      <c r="D3897" s="27"/>
      <c r="E3897" s="29"/>
      <c r="F3897" s="29"/>
      <c r="G3897" s="29"/>
      <c r="H3897" s="30" t="str">
        <f t="shared" si="420"/>
        <v/>
      </c>
      <c r="I3897" s="31" t="str">
        <f>IF(OR(B3897="",C3897=""),"",IFERROR(E3897*IF(E3897="",0,VLOOKUP(C3897,'📦 Precios Proforma'!$B$5:$D$104,IF(D3897="DIA",2,3),FALSE)),0))</f>
        <v/>
      </c>
      <c r="J3897" s="31" t="str">
        <f t="shared" si="421"/>
        <v/>
      </c>
      <c r="K3897" s="31" t="str">
        <f t="shared" si="422"/>
        <v/>
      </c>
      <c r="L3897" s="31" t="str">
        <f>IF(OR(B3897="",C3897=""),"",IFERROR(E3897 / SUMIFS('📅 Resumen Diario'!$D$5:$D$504, '📅 Resumen Diario'!$B$5:$B$504, B3897, '📅 Resumen Diario'!$C$5:$C$504, D3897) * SUMIFS('📅 Resumen Diario'!$K$5:$K$504, '📅 Resumen Diario'!$B$5:$B$504, B3897, '📅 Resumen Diario'!$C$5:$C$504, D3897), 0))</f>
        <v/>
      </c>
      <c r="M3897" s="31" t="str">
        <f t="shared" si="423"/>
        <v/>
      </c>
      <c r="N3897" s="31" t="str">
        <f t="shared" si="424"/>
        <v/>
      </c>
      <c r="O3897" s="31" t="str">
        <f>IF(OR(B3897="",C3897=""),"",K3897-N3897 + IFERROR(E3897 / SUMIFS('📅 Resumen Diario'!$D$5:$D$504, '📅 Resumen Diario'!$B$5:$B$504, B3897, '📅 Resumen Diario'!$C$5:$C$504, D3897) * (SUMIFS('📋 Detalle Diario'!$E$5:$E$489, '📋 Detalle Diario'!$B$5:$B$489, B3897, '📋 Detalle Diario'!$C$5:$C$489, D3897) * 135 + SUMIFS('📋 Detalle Diario'!$I$5:$I$489, '📋 Detalle Diario'!$B$5:$B$489, B3897, '📋 Detalle Diario'!$C$5:$C$489, D3897) * 200), 0))</f>
        <v/>
      </c>
      <c r="P3897" s="32" t="str">
        <f t="shared" si="425"/>
        <v/>
      </c>
      <c r="Q3897" s="33" t="str">
        <f t="shared" si="426"/>
        <v/>
      </c>
    </row>
    <row r="3898" spans="2:17" ht="18" customHeight="1" x14ac:dyDescent="0.3">
      <c r="B3898" s="26"/>
      <c r="C3898" s="17"/>
      <c r="D3898" s="27"/>
      <c r="E3898" s="18"/>
      <c r="F3898" s="18"/>
      <c r="G3898" s="18"/>
      <c r="H3898" s="30" t="str">
        <f t="shared" si="420"/>
        <v/>
      </c>
      <c r="I3898" s="31" t="str">
        <f>IF(OR(B3898="",C3898=""),"",IFERROR(E3898*IF(E3898="",0,VLOOKUP(C3898,'📦 Precios Proforma'!$B$5:$D$104,IF(D3898="DIA",2,3),FALSE)),0))</f>
        <v/>
      </c>
      <c r="J3898" s="31" t="str">
        <f t="shared" si="421"/>
        <v/>
      </c>
      <c r="K3898" s="31" t="str">
        <f t="shared" si="422"/>
        <v/>
      </c>
      <c r="L3898" s="31" t="str">
        <f>IF(OR(B3898="",C3898=""),"",IFERROR(E3898 / SUMIFS('📅 Resumen Diario'!$D$5:$D$504, '📅 Resumen Diario'!$B$5:$B$504, B3898, '📅 Resumen Diario'!$C$5:$C$504, D3898) * SUMIFS('📅 Resumen Diario'!$K$5:$K$504, '📅 Resumen Diario'!$B$5:$B$504, B3898, '📅 Resumen Diario'!$C$5:$C$504, D3898), 0))</f>
        <v/>
      </c>
      <c r="M3898" s="31" t="str">
        <f t="shared" si="423"/>
        <v/>
      </c>
      <c r="N3898" s="31" t="str">
        <f t="shared" si="424"/>
        <v/>
      </c>
      <c r="O3898" s="31" t="str">
        <f>IF(OR(B3898="",C3898=""),"",K3898-N3898 + IFERROR(E3898 / SUMIFS('📅 Resumen Diario'!$D$5:$D$504, '📅 Resumen Diario'!$B$5:$B$504, B3898, '📅 Resumen Diario'!$C$5:$C$504, D3898) * (SUMIFS('📋 Detalle Diario'!$E$5:$E$489, '📋 Detalle Diario'!$B$5:$B$489, B3898, '📋 Detalle Diario'!$C$5:$C$489, D3898) * 135 + SUMIFS('📋 Detalle Diario'!$I$5:$I$489, '📋 Detalle Diario'!$B$5:$B$489, B3898, '📋 Detalle Diario'!$C$5:$C$489, D3898) * 200), 0))</f>
        <v/>
      </c>
      <c r="P3898" s="32" t="str">
        <f t="shared" si="425"/>
        <v/>
      </c>
      <c r="Q3898" s="33" t="str">
        <f t="shared" si="426"/>
        <v/>
      </c>
    </row>
    <row r="3899" spans="2:17" ht="18" customHeight="1" x14ac:dyDescent="0.3">
      <c r="B3899" s="26"/>
      <c r="C3899" s="28"/>
      <c r="D3899" s="27"/>
      <c r="E3899" s="29"/>
      <c r="F3899" s="29"/>
      <c r="G3899" s="29"/>
      <c r="H3899" s="30" t="str">
        <f t="shared" si="420"/>
        <v/>
      </c>
      <c r="I3899" s="31" t="str">
        <f>IF(OR(B3899="",C3899=""),"",IFERROR(E3899*IF(E3899="",0,VLOOKUP(C3899,'📦 Precios Proforma'!$B$5:$D$104,IF(D3899="DIA",2,3),FALSE)),0))</f>
        <v/>
      </c>
      <c r="J3899" s="31" t="str">
        <f t="shared" si="421"/>
        <v/>
      </c>
      <c r="K3899" s="31" t="str">
        <f t="shared" si="422"/>
        <v/>
      </c>
      <c r="L3899" s="31" t="str">
        <f>IF(OR(B3899="",C3899=""),"",IFERROR(E3899 / SUMIFS('📅 Resumen Diario'!$D$5:$D$504, '📅 Resumen Diario'!$B$5:$B$504, B3899, '📅 Resumen Diario'!$C$5:$C$504, D3899) * SUMIFS('📅 Resumen Diario'!$K$5:$K$504, '📅 Resumen Diario'!$B$5:$B$504, B3899, '📅 Resumen Diario'!$C$5:$C$504, D3899), 0))</f>
        <v/>
      </c>
      <c r="M3899" s="31" t="str">
        <f t="shared" si="423"/>
        <v/>
      </c>
      <c r="N3899" s="31" t="str">
        <f t="shared" si="424"/>
        <v/>
      </c>
      <c r="O3899" s="31" t="str">
        <f>IF(OR(B3899="",C3899=""),"",K3899-N3899 + IFERROR(E3899 / SUMIFS('📅 Resumen Diario'!$D$5:$D$504, '📅 Resumen Diario'!$B$5:$B$504, B3899, '📅 Resumen Diario'!$C$5:$C$504, D3899) * (SUMIFS('📋 Detalle Diario'!$E$5:$E$489, '📋 Detalle Diario'!$B$5:$B$489, B3899, '📋 Detalle Diario'!$C$5:$C$489, D3899) * 135 + SUMIFS('📋 Detalle Diario'!$I$5:$I$489, '📋 Detalle Diario'!$B$5:$B$489, B3899, '📋 Detalle Diario'!$C$5:$C$489, D3899) * 200), 0))</f>
        <v/>
      </c>
      <c r="P3899" s="32" t="str">
        <f t="shared" si="425"/>
        <v/>
      </c>
      <c r="Q3899" s="33" t="str">
        <f t="shared" si="426"/>
        <v/>
      </c>
    </row>
    <row r="3900" spans="2:17" ht="18" customHeight="1" x14ac:dyDescent="0.3">
      <c r="B3900" s="26"/>
      <c r="C3900" s="17"/>
      <c r="D3900" s="27"/>
      <c r="E3900" s="18"/>
      <c r="F3900" s="18"/>
      <c r="G3900" s="18"/>
      <c r="H3900" s="30" t="str">
        <f t="shared" si="420"/>
        <v/>
      </c>
      <c r="I3900" s="31" t="str">
        <f>IF(OR(B3900="",C3900=""),"",IFERROR(E3900*IF(E3900="",0,VLOOKUP(C3900,'📦 Precios Proforma'!$B$5:$D$104,IF(D3900="DIA",2,3),FALSE)),0))</f>
        <v/>
      </c>
      <c r="J3900" s="31" t="str">
        <f t="shared" si="421"/>
        <v/>
      </c>
      <c r="K3900" s="31" t="str">
        <f t="shared" si="422"/>
        <v/>
      </c>
      <c r="L3900" s="31" t="str">
        <f>IF(OR(B3900="",C3900=""),"",IFERROR(E3900 / SUMIFS('📅 Resumen Diario'!$D$5:$D$504, '📅 Resumen Diario'!$B$5:$B$504, B3900, '📅 Resumen Diario'!$C$5:$C$504, D3900) * SUMIFS('📅 Resumen Diario'!$K$5:$K$504, '📅 Resumen Diario'!$B$5:$B$504, B3900, '📅 Resumen Diario'!$C$5:$C$504, D3900), 0))</f>
        <v/>
      </c>
      <c r="M3900" s="31" t="str">
        <f t="shared" si="423"/>
        <v/>
      </c>
      <c r="N3900" s="31" t="str">
        <f t="shared" si="424"/>
        <v/>
      </c>
      <c r="O3900" s="31" t="str">
        <f>IF(OR(B3900="",C3900=""),"",K3900-N3900 + IFERROR(E3900 / SUMIFS('📅 Resumen Diario'!$D$5:$D$504, '📅 Resumen Diario'!$B$5:$B$504, B3900, '📅 Resumen Diario'!$C$5:$C$504, D3900) * (SUMIFS('📋 Detalle Diario'!$E$5:$E$489, '📋 Detalle Diario'!$B$5:$B$489, B3900, '📋 Detalle Diario'!$C$5:$C$489, D3900) * 135 + SUMIFS('📋 Detalle Diario'!$I$5:$I$489, '📋 Detalle Diario'!$B$5:$B$489, B3900, '📋 Detalle Diario'!$C$5:$C$489, D3900) * 200), 0))</f>
        <v/>
      </c>
      <c r="P3900" s="32" t="str">
        <f t="shared" si="425"/>
        <v/>
      </c>
      <c r="Q3900" s="33" t="str">
        <f t="shared" si="426"/>
        <v/>
      </c>
    </row>
    <row r="3901" spans="2:17" ht="18" customHeight="1" x14ac:dyDescent="0.3">
      <c r="B3901" s="26"/>
      <c r="C3901" s="28"/>
      <c r="D3901" s="27"/>
      <c r="E3901" s="29"/>
      <c r="F3901" s="29"/>
      <c r="G3901" s="29"/>
      <c r="H3901" s="30" t="str">
        <f t="shared" si="420"/>
        <v/>
      </c>
      <c r="I3901" s="31" t="str">
        <f>IF(OR(B3901="",C3901=""),"",IFERROR(E3901*IF(E3901="",0,VLOOKUP(C3901,'📦 Precios Proforma'!$B$5:$D$104,IF(D3901="DIA",2,3),FALSE)),0))</f>
        <v/>
      </c>
      <c r="J3901" s="31" t="str">
        <f t="shared" si="421"/>
        <v/>
      </c>
      <c r="K3901" s="31" t="str">
        <f t="shared" si="422"/>
        <v/>
      </c>
      <c r="L3901" s="31" t="str">
        <f>IF(OR(B3901="",C3901=""),"",IFERROR(E3901 / SUMIFS('📅 Resumen Diario'!$D$5:$D$504, '📅 Resumen Diario'!$B$5:$B$504, B3901, '📅 Resumen Diario'!$C$5:$C$504, D3901) * SUMIFS('📅 Resumen Diario'!$K$5:$K$504, '📅 Resumen Diario'!$B$5:$B$504, B3901, '📅 Resumen Diario'!$C$5:$C$504, D3901), 0))</f>
        <v/>
      </c>
      <c r="M3901" s="31" t="str">
        <f t="shared" si="423"/>
        <v/>
      </c>
      <c r="N3901" s="31" t="str">
        <f t="shared" si="424"/>
        <v/>
      </c>
      <c r="O3901" s="31" t="str">
        <f>IF(OR(B3901="",C3901=""),"",K3901-N3901 + IFERROR(E3901 / SUMIFS('📅 Resumen Diario'!$D$5:$D$504, '📅 Resumen Diario'!$B$5:$B$504, B3901, '📅 Resumen Diario'!$C$5:$C$504, D3901) * (SUMIFS('📋 Detalle Diario'!$E$5:$E$489, '📋 Detalle Diario'!$B$5:$B$489, B3901, '📋 Detalle Diario'!$C$5:$C$489, D3901) * 135 + SUMIFS('📋 Detalle Diario'!$I$5:$I$489, '📋 Detalle Diario'!$B$5:$B$489, B3901, '📋 Detalle Diario'!$C$5:$C$489, D3901) * 200), 0))</f>
        <v/>
      </c>
      <c r="P3901" s="32" t="str">
        <f t="shared" si="425"/>
        <v/>
      </c>
      <c r="Q3901" s="33" t="str">
        <f t="shared" si="426"/>
        <v/>
      </c>
    </row>
    <row r="3902" spans="2:17" ht="18" customHeight="1" x14ac:dyDescent="0.3">
      <c r="B3902" s="26"/>
      <c r="C3902" s="17"/>
      <c r="D3902" s="27"/>
      <c r="E3902" s="18"/>
      <c r="F3902" s="18"/>
      <c r="G3902" s="18"/>
      <c r="H3902" s="30" t="str">
        <f t="shared" si="420"/>
        <v/>
      </c>
      <c r="I3902" s="31" t="str">
        <f>IF(OR(B3902="",C3902=""),"",IFERROR(E3902*IF(E3902="",0,VLOOKUP(C3902,'📦 Precios Proforma'!$B$5:$D$104,IF(D3902="DIA",2,3),FALSE)),0))</f>
        <v/>
      </c>
      <c r="J3902" s="31" t="str">
        <f t="shared" si="421"/>
        <v/>
      </c>
      <c r="K3902" s="31" t="str">
        <f t="shared" si="422"/>
        <v/>
      </c>
      <c r="L3902" s="31" t="str">
        <f>IF(OR(B3902="",C3902=""),"",IFERROR(E3902 / SUMIFS('📅 Resumen Diario'!$D$5:$D$504, '📅 Resumen Diario'!$B$5:$B$504, B3902, '📅 Resumen Diario'!$C$5:$C$504, D3902) * SUMIFS('📅 Resumen Diario'!$K$5:$K$504, '📅 Resumen Diario'!$B$5:$B$504, B3902, '📅 Resumen Diario'!$C$5:$C$504, D3902), 0))</f>
        <v/>
      </c>
      <c r="M3902" s="31" t="str">
        <f t="shared" si="423"/>
        <v/>
      </c>
      <c r="N3902" s="31" t="str">
        <f t="shared" si="424"/>
        <v/>
      </c>
      <c r="O3902" s="31" t="str">
        <f>IF(OR(B3902="",C3902=""),"",K3902-N3902 + IFERROR(E3902 / SUMIFS('📅 Resumen Diario'!$D$5:$D$504, '📅 Resumen Diario'!$B$5:$B$504, B3902, '📅 Resumen Diario'!$C$5:$C$504, D3902) * (SUMIFS('📋 Detalle Diario'!$E$5:$E$489, '📋 Detalle Diario'!$B$5:$B$489, B3902, '📋 Detalle Diario'!$C$5:$C$489, D3902) * 135 + SUMIFS('📋 Detalle Diario'!$I$5:$I$489, '📋 Detalle Diario'!$B$5:$B$489, B3902, '📋 Detalle Diario'!$C$5:$C$489, D3902) * 200), 0))</f>
        <v/>
      </c>
      <c r="P3902" s="32" t="str">
        <f t="shared" si="425"/>
        <v/>
      </c>
      <c r="Q3902" s="33" t="str">
        <f t="shared" si="426"/>
        <v/>
      </c>
    </row>
    <row r="3903" spans="2:17" ht="18" customHeight="1" x14ac:dyDescent="0.3">
      <c r="B3903" s="26"/>
      <c r="C3903" s="28"/>
      <c r="D3903" s="27"/>
      <c r="E3903" s="29"/>
      <c r="F3903" s="29"/>
      <c r="G3903" s="29"/>
      <c r="H3903" s="30" t="str">
        <f t="shared" si="420"/>
        <v/>
      </c>
      <c r="I3903" s="31" t="str">
        <f>IF(OR(B3903="",C3903=""),"",IFERROR(E3903*IF(E3903="",0,VLOOKUP(C3903,'📦 Precios Proforma'!$B$5:$D$104,IF(D3903="DIA",2,3),FALSE)),0))</f>
        <v/>
      </c>
      <c r="J3903" s="31" t="str">
        <f t="shared" si="421"/>
        <v/>
      </c>
      <c r="K3903" s="31" t="str">
        <f t="shared" si="422"/>
        <v/>
      </c>
      <c r="L3903" s="31" t="str">
        <f>IF(OR(B3903="",C3903=""),"",IFERROR(E3903 / SUMIFS('📅 Resumen Diario'!$D$5:$D$504, '📅 Resumen Diario'!$B$5:$B$504, B3903, '📅 Resumen Diario'!$C$5:$C$504, D3903) * SUMIFS('📅 Resumen Diario'!$K$5:$K$504, '📅 Resumen Diario'!$B$5:$B$504, B3903, '📅 Resumen Diario'!$C$5:$C$504, D3903), 0))</f>
        <v/>
      </c>
      <c r="M3903" s="31" t="str">
        <f t="shared" si="423"/>
        <v/>
      </c>
      <c r="N3903" s="31" t="str">
        <f t="shared" si="424"/>
        <v/>
      </c>
      <c r="O3903" s="31" t="str">
        <f>IF(OR(B3903="",C3903=""),"",K3903-N3903 + IFERROR(E3903 / SUMIFS('📅 Resumen Diario'!$D$5:$D$504, '📅 Resumen Diario'!$B$5:$B$504, B3903, '📅 Resumen Diario'!$C$5:$C$504, D3903) * (SUMIFS('📋 Detalle Diario'!$E$5:$E$489, '📋 Detalle Diario'!$B$5:$B$489, B3903, '📋 Detalle Diario'!$C$5:$C$489, D3903) * 135 + SUMIFS('📋 Detalle Diario'!$I$5:$I$489, '📋 Detalle Diario'!$B$5:$B$489, B3903, '📋 Detalle Diario'!$C$5:$C$489, D3903) * 200), 0))</f>
        <v/>
      </c>
      <c r="P3903" s="32" t="str">
        <f t="shared" si="425"/>
        <v/>
      </c>
      <c r="Q3903" s="33" t="str">
        <f t="shared" si="426"/>
        <v/>
      </c>
    </row>
    <row r="3904" spans="2:17" ht="18" customHeight="1" x14ac:dyDescent="0.3">
      <c r="B3904" s="26"/>
      <c r="C3904" s="17"/>
      <c r="D3904" s="27"/>
      <c r="E3904" s="18"/>
      <c r="F3904" s="18"/>
      <c r="G3904" s="18"/>
      <c r="H3904" s="30" t="str">
        <f t="shared" si="420"/>
        <v/>
      </c>
      <c r="I3904" s="31" t="str">
        <f>IF(OR(B3904="",C3904=""),"",IFERROR(E3904*IF(E3904="",0,VLOOKUP(C3904,'📦 Precios Proforma'!$B$5:$D$104,IF(D3904="DIA",2,3),FALSE)),0))</f>
        <v/>
      </c>
      <c r="J3904" s="31" t="str">
        <f t="shared" si="421"/>
        <v/>
      </c>
      <c r="K3904" s="31" t="str">
        <f t="shared" si="422"/>
        <v/>
      </c>
      <c r="L3904" s="31" t="str">
        <f>IF(OR(B3904="",C3904=""),"",IFERROR(E3904 / SUMIFS('📅 Resumen Diario'!$D$5:$D$504, '📅 Resumen Diario'!$B$5:$B$504, B3904, '📅 Resumen Diario'!$C$5:$C$504, D3904) * SUMIFS('📅 Resumen Diario'!$K$5:$K$504, '📅 Resumen Diario'!$B$5:$B$504, B3904, '📅 Resumen Diario'!$C$5:$C$504, D3904), 0))</f>
        <v/>
      </c>
      <c r="M3904" s="31" t="str">
        <f t="shared" si="423"/>
        <v/>
      </c>
      <c r="N3904" s="31" t="str">
        <f t="shared" si="424"/>
        <v/>
      </c>
      <c r="O3904" s="31" t="str">
        <f>IF(OR(B3904="",C3904=""),"",K3904-N3904 + IFERROR(E3904 / SUMIFS('📅 Resumen Diario'!$D$5:$D$504, '📅 Resumen Diario'!$B$5:$B$504, B3904, '📅 Resumen Diario'!$C$5:$C$504, D3904) * (SUMIFS('📋 Detalle Diario'!$E$5:$E$489, '📋 Detalle Diario'!$B$5:$B$489, B3904, '📋 Detalle Diario'!$C$5:$C$489, D3904) * 135 + SUMIFS('📋 Detalle Diario'!$I$5:$I$489, '📋 Detalle Diario'!$B$5:$B$489, B3904, '📋 Detalle Diario'!$C$5:$C$489, D3904) * 200), 0))</f>
        <v/>
      </c>
      <c r="P3904" s="32" t="str">
        <f t="shared" si="425"/>
        <v/>
      </c>
      <c r="Q3904" s="33" t="str">
        <f t="shared" si="426"/>
        <v/>
      </c>
    </row>
    <row r="3905" spans="2:17" ht="18" customHeight="1" x14ac:dyDescent="0.3">
      <c r="B3905" s="26"/>
      <c r="C3905" s="28"/>
      <c r="D3905" s="27"/>
      <c r="E3905" s="29"/>
      <c r="F3905" s="29"/>
      <c r="G3905" s="29"/>
      <c r="H3905" s="30" t="str">
        <f t="shared" si="420"/>
        <v/>
      </c>
      <c r="I3905" s="31" t="str">
        <f>IF(OR(B3905="",C3905=""),"",IFERROR(E3905*IF(E3905="",0,VLOOKUP(C3905,'📦 Precios Proforma'!$B$5:$D$104,IF(D3905="DIA",2,3),FALSE)),0))</f>
        <v/>
      </c>
      <c r="J3905" s="31" t="str">
        <f t="shared" si="421"/>
        <v/>
      </c>
      <c r="K3905" s="31" t="str">
        <f t="shared" si="422"/>
        <v/>
      </c>
      <c r="L3905" s="31" t="str">
        <f>IF(OR(B3905="",C3905=""),"",IFERROR(E3905 / SUMIFS('📅 Resumen Diario'!$D$5:$D$504, '📅 Resumen Diario'!$B$5:$B$504, B3905, '📅 Resumen Diario'!$C$5:$C$504, D3905) * SUMIFS('📅 Resumen Diario'!$K$5:$K$504, '📅 Resumen Diario'!$B$5:$B$504, B3905, '📅 Resumen Diario'!$C$5:$C$504, D3905), 0))</f>
        <v/>
      </c>
      <c r="M3905" s="31" t="str">
        <f t="shared" si="423"/>
        <v/>
      </c>
      <c r="N3905" s="31" t="str">
        <f t="shared" si="424"/>
        <v/>
      </c>
      <c r="O3905" s="31" t="str">
        <f>IF(OR(B3905="",C3905=""),"",K3905-N3905 + IFERROR(E3905 / SUMIFS('📅 Resumen Diario'!$D$5:$D$504, '📅 Resumen Diario'!$B$5:$B$504, B3905, '📅 Resumen Diario'!$C$5:$C$504, D3905) * (SUMIFS('📋 Detalle Diario'!$E$5:$E$489, '📋 Detalle Diario'!$B$5:$B$489, B3905, '📋 Detalle Diario'!$C$5:$C$489, D3905) * 135 + SUMIFS('📋 Detalle Diario'!$I$5:$I$489, '📋 Detalle Diario'!$B$5:$B$489, B3905, '📋 Detalle Diario'!$C$5:$C$489, D3905) * 200), 0))</f>
        <v/>
      </c>
      <c r="P3905" s="32" t="str">
        <f t="shared" si="425"/>
        <v/>
      </c>
      <c r="Q3905" s="33" t="str">
        <f t="shared" si="426"/>
        <v/>
      </c>
    </row>
    <row r="3906" spans="2:17" ht="18" customHeight="1" x14ac:dyDescent="0.3">
      <c r="B3906" s="26"/>
      <c r="C3906" s="17"/>
      <c r="D3906" s="27"/>
      <c r="E3906" s="18"/>
      <c r="F3906" s="18"/>
      <c r="G3906" s="18"/>
      <c r="H3906" s="30" t="str">
        <f t="shared" si="420"/>
        <v/>
      </c>
      <c r="I3906" s="31" t="str">
        <f>IF(OR(B3906="",C3906=""),"",IFERROR(E3906*IF(E3906="",0,VLOOKUP(C3906,'📦 Precios Proforma'!$B$5:$D$104,IF(D3906="DIA",2,3),FALSE)),0))</f>
        <v/>
      </c>
      <c r="J3906" s="31" t="str">
        <f t="shared" si="421"/>
        <v/>
      </c>
      <c r="K3906" s="31" t="str">
        <f t="shared" si="422"/>
        <v/>
      </c>
      <c r="L3906" s="31" t="str">
        <f>IF(OR(B3906="",C3906=""),"",IFERROR(E3906 / SUMIFS('📅 Resumen Diario'!$D$5:$D$504, '📅 Resumen Diario'!$B$5:$B$504, B3906, '📅 Resumen Diario'!$C$5:$C$504, D3906) * SUMIFS('📅 Resumen Diario'!$K$5:$K$504, '📅 Resumen Diario'!$B$5:$B$504, B3906, '📅 Resumen Diario'!$C$5:$C$504, D3906), 0))</f>
        <v/>
      </c>
      <c r="M3906" s="31" t="str">
        <f t="shared" si="423"/>
        <v/>
      </c>
      <c r="N3906" s="31" t="str">
        <f t="shared" si="424"/>
        <v/>
      </c>
      <c r="O3906" s="31" t="str">
        <f>IF(OR(B3906="",C3906=""),"",K3906-N3906 + IFERROR(E3906 / SUMIFS('📅 Resumen Diario'!$D$5:$D$504, '📅 Resumen Diario'!$B$5:$B$504, B3906, '📅 Resumen Diario'!$C$5:$C$504, D3906) * (SUMIFS('📋 Detalle Diario'!$E$5:$E$489, '📋 Detalle Diario'!$B$5:$B$489, B3906, '📋 Detalle Diario'!$C$5:$C$489, D3906) * 135 + SUMIFS('📋 Detalle Diario'!$I$5:$I$489, '📋 Detalle Diario'!$B$5:$B$489, B3906, '📋 Detalle Diario'!$C$5:$C$489, D3906) * 200), 0))</f>
        <v/>
      </c>
      <c r="P3906" s="32" t="str">
        <f t="shared" si="425"/>
        <v/>
      </c>
      <c r="Q3906" s="33" t="str">
        <f t="shared" si="426"/>
        <v/>
      </c>
    </row>
    <row r="3907" spans="2:17" ht="18" customHeight="1" x14ac:dyDescent="0.3">
      <c r="B3907" s="26"/>
      <c r="C3907" s="28"/>
      <c r="D3907" s="27"/>
      <c r="E3907" s="29"/>
      <c r="F3907" s="29"/>
      <c r="G3907" s="29"/>
      <c r="H3907" s="30" t="str">
        <f t="shared" si="420"/>
        <v/>
      </c>
      <c r="I3907" s="31" t="str">
        <f>IF(OR(B3907="",C3907=""),"",IFERROR(E3907*IF(E3907="",0,VLOOKUP(C3907,'📦 Precios Proforma'!$B$5:$D$104,IF(D3907="DIA",2,3),FALSE)),0))</f>
        <v/>
      </c>
      <c r="J3907" s="31" t="str">
        <f t="shared" si="421"/>
        <v/>
      </c>
      <c r="K3907" s="31" t="str">
        <f t="shared" si="422"/>
        <v/>
      </c>
      <c r="L3907" s="31" t="str">
        <f>IF(OR(B3907="",C3907=""),"",IFERROR(E3907 / SUMIFS('📅 Resumen Diario'!$D$5:$D$504, '📅 Resumen Diario'!$B$5:$B$504, B3907, '📅 Resumen Diario'!$C$5:$C$504, D3907) * SUMIFS('📅 Resumen Diario'!$K$5:$K$504, '📅 Resumen Diario'!$B$5:$B$504, B3907, '📅 Resumen Diario'!$C$5:$C$504, D3907), 0))</f>
        <v/>
      </c>
      <c r="M3907" s="31" t="str">
        <f t="shared" si="423"/>
        <v/>
      </c>
      <c r="N3907" s="31" t="str">
        <f t="shared" si="424"/>
        <v/>
      </c>
      <c r="O3907" s="31" t="str">
        <f>IF(OR(B3907="",C3907=""),"",K3907-N3907 + IFERROR(E3907 / SUMIFS('📅 Resumen Diario'!$D$5:$D$504, '📅 Resumen Diario'!$B$5:$B$504, B3907, '📅 Resumen Diario'!$C$5:$C$504, D3907) * (SUMIFS('📋 Detalle Diario'!$E$5:$E$489, '📋 Detalle Diario'!$B$5:$B$489, B3907, '📋 Detalle Diario'!$C$5:$C$489, D3907) * 135 + SUMIFS('📋 Detalle Diario'!$I$5:$I$489, '📋 Detalle Diario'!$B$5:$B$489, B3907, '📋 Detalle Diario'!$C$5:$C$489, D3907) * 200), 0))</f>
        <v/>
      </c>
      <c r="P3907" s="32" t="str">
        <f t="shared" si="425"/>
        <v/>
      </c>
      <c r="Q3907" s="33" t="str">
        <f t="shared" si="426"/>
        <v/>
      </c>
    </row>
    <row r="3908" spans="2:17" ht="18" customHeight="1" x14ac:dyDescent="0.3">
      <c r="B3908" s="26"/>
      <c r="C3908" s="17"/>
      <c r="D3908" s="27"/>
      <c r="E3908" s="18"/>
      <c r="F3908" s="18"/>
      <c r="G3908" s="18"/>
      <c r="H3908" s="30" t="str">
        <f t="shared" si="420"/>
        <v/>
      </c>
      <c r="I3908" s="31" t="str">
        <f>IF(OR(B3908="",C3908=""),"",IFERROR(E3908*IF(E3908="",0,VLOOKUP(C3908,'📦 Precios Proforma'!$B$5:$D$104,IF(D3908="DIA",2,3),FALSE)),0))</f>
        <v/>
      </c>
      <c r="J3908" s="31" t="str">
        <f t="shared" si="421"/>
        <v/>
      </c>
      <c r="K3908" s="31" t="str">
        <f t="shared" si="422"/>
        <v/>
      </c>
      <c r="L3908" s="31" t="str">
        <f>IF(OR(B3908="",C3908=""),"",IFERROR(E3908 / SUMIFS('📅 Resumen Diario'!$D$5:$D$504, '📅 Resumen Diario'!$B$5:$B$504, B3908, '📅 Resumen Diario'!$C$5:$C$504, D3908) * SUMIFS('📅 Resumen Diario'!$K$5:$K$504, '📅 Resumen Diario'!$B$5:$B$504, B3908, '📅 Resumen Diario'!$C$5:$C$504, D3908), 0))</f>
        <v/>
      </c>
      <c r="M3908" s="31" t="str">
        <f t="shared" si="423"/>
        <v/>
      </c>
      <c r="N3908" s="31" t="str">
        <f t="shared" si="424"/>
        <v/>
      </c>
      <c r="O3908" s="31" t="str">
        <f>IF(OR(B3908="",C3908=""),"",K3908-N3908 + IFERROR(E3908 / SUMIFS('📅 Resumen Diario'!$D$5:$D$504, '📅 Resumen Diario'!$B$5:$B$504, B3908, '📅 Resumen Diario'!$C$5:$C$504, D3908) * (SUMIFS('📋 Detalle Diario'!$E$5:$E$489, '📋 Detalle Diario'!$B$5:$B$489, B3908, '📋 Detalle Diario'!$C$5:$C$489, D3908) * 135 + SUMIFS('📋 Detalle Diario'!$I$5:$I$489, '📋 Detalle Diario'!$B$5:$B$489, B3908, '📋 Detalle Diario'!$C$5:$C$489, D3908) * 200), 0))</f>
        <v/>
      </c>
      <c r="P3908" s="32" t="str">
        <f t="shared" si="425"/>
        <v/>
      </c>
      <c r="Q3908" s="33" t="str">
        <f t="shared" si="426"/>
        <v/>
      </c>
    </row>
    <row r="3909" spans="2:17" ht="18" customHeight="1" x14ac:dyDescent="0.3">
      <c r="B3909" s="26"/>
      <c r="C3909" s="28"/>
      <c r="D3909" s="27"/>
      <c r="E3909" s="29"/>
      <c r="F3909" s="29"/>
      <c r="G3909" s="29"/>
      <c r="H3909" s="30" t="str">
        <f t="shared" si="420"/>
        <v/>
      </c>
      <c r="I3909" s="31" t="str">
        <f>IF(OR(B3909="",C3909=""),"",IFERROR(E3909*IF(E3909="",0,VLOOKUP(C3909,'📦 Precios Proforma'!$B$5:$D$104,IF(D3909="DIA",2,3),FALSE)),0))</f>
        <v/>
      </c>
      <c r="J3909" s="31" t="str">
        <f t="shared" si="421"/>
        <v/>
      </c>
      <c r="K3909" s="31" t="str">
        <f t="shared" si="422"/>
        <v/>
      </c>
      <c r="L3909" s="31" t="str">
        <f>IF(OR(B3909="",C3909=""),"",IFERROR(E3909 / SUMIFS('📅 Resumen Diario'!$D$5:$D$504, '📅 Resumen Diario'!$B$5:$B$504, B3909, '📅 Resumen Diario'!$C$5:$C$504, D3909) * SUMIFS('📅 Resumen Diario'!$K$5:$K$504, '📅 Resumen Diario'!$B$5:$B$504, B3909, '📅 Resumen Diario'!$C$5:$C$504, D3909), 0))</f>
        <v/>
      </c>
      <c r="M3909" s="31" t="str">
        <f t="shared" si="423"/>
        <v/>
      </c>
      <c r="N3909" s="31" t="str">
        <f t="shared" si="424"/>
        <v/>
      </c>
      <c r="O3909" s="31" t="str">
        <f>IF(OR(B3909="",C3909=""),"",K3909-N3909 + IFERROR(E3909 / SUMIFS('📅 Resumen Diario'!$D$5:$D$504, '📅 Resumen Diario'!$B$5:$B$504, B3909, '📅 Resumen Diario'!$C$5:$C$504, D3909) * (SUMIFS('📋 Detalle Diario'!$E$5:$E$489, '📋 Detalle Diario'!$B$5:$B$489, B3909, '📋 Detalle Diario'!$C$5:$C$489, D3909) * 135 + SUMIFS('📋 Detalle Diario'!$I$5:$I$489, '📋 Detalle Diario'!$B$5:$B$489, B3909, '📋 Detalle Diario'!$C$5:$C$489, D3909) * 200), 0))</f>
        <v/>
      </c>
      <c r="P3909" s="32" t="str">
        <f t="shared" si="425"/>
        <v/>
      </c>
      <c r="Q3909" s="33" t="str">
        <f t="shared" si="426"/>
        <v/>
      </c>
    </row>
    <row r="3910" spans="2:17" ht="18" customHeight="1" x14ac:dyDescent="0.3">
      <c r="B3910" s="26"/>
      <c r="C3910" s="17"/>
      <c r="D3910" s="27"/>
      <c r="E3910" s="18"/>
      <c r="F3910" s="18"/>
      <c r="G3910" s="18"/>
      <c r="H3910" s="30" t="str">
        <f t="shared" si="420"/>
        <v/>
      </c>
      <c r="I3910" s="31" t="str">
        <f>IF(OR(B3910="",C3910=""),"",IFERROR(E3910*IF(E3910="",0,VLOOKUP(C3910,'📦 Precios Proforma'!$B$5:$D$104,IF(D3910="DIA",2,3),FALSE)),0))</f>
        <v/>
      </c>
      <c r="J3910" s="31" t="str">
        <f t="shared" si="421"/>
        <v/>
      </c>
      <c r="K3910" s="31" t="str">
        <f t="shared" si="422"/>
        <v/>
      </c>
      <c r="L3910" s="31" t="str">
        <f>IF(OR(B3910="",C3910=""),"",IFERROR(E3910 / SUMIFS('📅 Resumen Diario'!$D$5:$D$504, '📅 Resumen Diario'!$B$5:$B$504, B3910, '📅 Resumen Diario'!$C$5:$C$504, D3910) * SUMIFS('📅 Resumen Diario'!$K$5:$K$504, '📅 Resumen Diario'!$B$5:$B$504, B3910, '📅 Resumen Diario'!$C$5:$C$504, D3910), 0))</f>
        <v/>
      </c>
      <c r="M3910" s="31" t="str">
        <f t="shared" si="423"/>
        <v/>
      </c>
      <c r="N3910" s="31" t="str">
        <f t="shared" si="424"/>
        <v/>
      </c>
      <c r="O3910" s="31" t="str">
        <f>IF(OR(B3910="",C3910=""),"",K3910-N3910 + IFERROR(E3910 / SUMIFS('📅 Resumen Diario'!$D$5:$D$504, '📅 Resumen Diario'!$B$5:$B$504, B3910, '📅 Resumen Diario'!$C$5:$C$504, D3910) * (SUMIFS('📋 Detalle Diario'!$E$5:$E$489, '📋 Detalle Diario'!$B$5:$B$489, B3910, '📋 Detalle Diario'!$C$5:$C$489, D3910) * 135 + SUMIFS('📋 Detalle Diario'!$I$5:$I$489, '📋 Detalle Diario'!$B$5:$B$489, B3910, '📋 Detalle Diario'!$C$5:$C$489, D3910) * 200), 0))</f>
        <v/>
      </c>
      <c r="P3910" s="32" t="str">
        <f t="shared" si="425"/>
        <v/>
      </c>
      <c r="Q3910" s="33" t="str">
        <f t="shared" si="426"/>
        <v/>
      </c>
    </row>
    <row r="3911" spans="2:17" ht="18" customHeight="1" x14ac:dyDescent="0.3">
      <c r="B3911" s="26"/>
      <c r="C3911" s="28"/>
      <c r="D3911" s="27"/>
      <c r="E3911" s="29"/>
      <c r="F3911" s="29"/>
      <c r="G3911" s="29"/>
      <c r="H3911" s="30" t="str">
        <f t="shared" ref="H3911:H3974" si="427">IF(OR(B3911="",C3911=""),"",F3911+G3911)</f>
        <v/>
      </c>
      <c r="I3911" s="31" t="str">
        <f>IF(OR(B3911="",C3911=""),"",IFERROR(E3911*IF(E3911="",0,VLOOKUP(C3911,'📦 Precios Proforma'!$B$5:$D$104,IF(D3911="DIA",2,3),FALSE)),0))</f>
        <v/>
      </c>
      <c r="J3911" s="31" t="str">
        <f t="shared" ref="J3911:J3974" si="428">IF(OR(B3911="",C3911=""),"",IF(D3911="DIA",H3911*1.01,H3911*1.35))</f>
        <v/>
      </c>
      <c r="K3911" s="31" t="str">
        <f t="shared" ref="K3911:K3974" si="429">IF(OR(B3911="",C3911=""),"",I3911+J3911)</f>
        <v/>
      </c>
      <c r="L3911" s="31" t="str">
        <f>IF(OR(B3911="",C3911=""),"",IFERROR(E3911 / SUMIFS('📅 Resumen Diario'!$D$5:$D$504, '📅 Resumen Diario'!$B$5:$B$504, B3911, '📅 Resumen Diario'!$C$5:$C$504, D3911) * SUMIFS('📅 Resumen Diario'!$K$5:$K$504, '📅 Resumen Diario'!$B$5:$B$504, B3911, '📅 Resumen Diario'!$C$5:$C$504, D3911), 0))</f>
        <v/>
      </c>
      <c r="M3911" s="31" t="str">
        <f t="shared" ref="M3911:M3974" si="430">IF(OR(B3911="",C3911=""),"",H3911*0.09)</f>
        <v/>
      </c>
      <c r="N3911" s="31" t="str">
        <f t="shared" ref="N3911:N3974" si="431">IF(OR(B3911="",C3911=""),"",L3911+M3911)</f>
        <v/>
      </c>
      <c r="O3911" s="31" t="str">
        <f>IF(OR(B3911="",C3911=""),"",K3911-N3911 + IFERROR(E3911 / SUMIFS('📅 Resumen Diario'!$D$5:$D$504, '📅 Resumen Diario'!$B$5:$B$504, B3911, '📅 Resumen Diario'!$C$5:$C$504, D3911) * (SUMIFS('📋 Detalle Diario'!$E$5:$E$489, '📋 Detalle Diario'!$B$5:$B$489, B3911, '📋 Detalle Diario'!$C$5:$C$489, D3911) * 135 + SUMIFS('📋 Detalle Diario'!$I$5:$I$489, '📋 Detalle Diario'!$B$5:$B$489, B3911, '📋 Detalle Diario'!$C$5:$C$489, D3911) * 200), 0))</f>
        <v/>
      </c>
      <c r="P3911" s="32" t="str">
        <f t="shared" ref="P3911:P3974" si="432">IF(OR(B3911="",C3911=""),"",IF(K3911=0, 0, O3911/K3911))</f>
        <v/>
      </c>
      <c r="Q3911" s="33" t="str">
        <f t="shared" ref="Q3911:Q3974" si="433">IF(B3911="","",IF(ISNUMBER(B3911),YEAR(B3911)&amp;"-"&amp;IF(MONTH(B3911)&lt;10,"0","")&amp;MONTH(B3911),LEFT(B3911,7)))</f>
        <v/>
      </c>
    </row>
    <row r="3912" spans="2:17" ht="18" customHeight="1" x14ac:dyDescent="0.3">
      <c r="B3912" s="26"/>
      <c r="C3912" s="17"/>
      <c r="D3912" s="27"/>
      <c r="E3912" s="18"/>
      <c r="F3912" s="18"/>
      <c r="G3912" s="18"/>
      <c r="H3912" s="30" t="str">
        <f t="shared" si="427"/>
        <v/>
      </c>
      <c r="I3912" s="31" t="str">
        <f>IF(OR(B3912="",C3912=""),"",IFERROR(E3912*IF(E3912="",0,VLOOKUP(C3912,'📦 Precios Proforma'!$B$5:$D$104,IF(D3912="DIA",2,3),FALSE)),0))</f>
        <v/>
      </c>
      <c r="J3912" s="31" t="str">
        <f t="shared" si="428"/>
        <v/>
      </c>
      <c r="K3912" s="31" t="str">
        <f t="shared" si="429"/>
        <v/>
      </c>
      <c r="L3912" s="31" t="str">
        <f>IF(OR(B3912="",C3912=""),"",IFERROR(E3912 / SUMIFS('📅 Resumen Diario'!$D$5:$D$504, '📅 Resumen Diario'!$B$5:$B$504, B3912, '📅 Resumen Diario'!$C$5:$C$504, D3912) * SUMIFS('📅 Resumen Diario'!$K$5:$K$504, '📅 Resumen Diario'!$B$5:$B$504, B3912, '📅 Resumen Diario'!$C$5:$C$504, D3912), 0))</f>
        <v/>
      </c>
      <c r="M3912" s="31" t="str">
        <f t="shared" si="430"/>
        <v/>
      </c>
      <c r="N3912" s="31" t="str">
        <f t="shared" si="431"/>
        <v/>
      </c>
      <c r="O3912" s="31" t="str">
        <f>IF(OR(B3912="",C3912=""),"",K3912-N3912 + IFERROR(E3912 / SUMIFS('📅 Resumen Diario'!$D$5:$D$504, '📅 Resumen Diario'!$B$5:$B$504, B3912, '📅 Resumen Diario'!$C$5:$C$504, D3912) * (SUMIFS('📋 Detalle Diario'!$E$5:$E$489, '📋 Detalle Diario'!$B$5:$B$489, B3912, '📋 Detalle Diario'!$C$5:$C$489, D3912) * 135 + SUMIFS('📋 Detalle Diario'!$I$5:$I$489, '📋 Detalle Diario'!$B$5:$B$489, B3912, '📋 Detalle Diario'!$C$5:$C$489, D3912) * 200), 0))</f>
        <v/>
      </c>
      <c r="P3912" s="32" t="str">
        <f t="shared" si="432"/>
        <v/>
      </c>
      <c r="Q3912" s="33" t="str">
        <f t="shared" si="433"/>
        <v/>
      </c>
    </row>
    <row r="3913" spans="2:17" ht="18" customHeight="1" x14ac:dyDescent="0.3">
      <c r="B3913" s="26"/>
      <c r="C3913" s="28"/>
      <c r="D3913" s="27"/>
      <c r="E3913" s="29"/>
      <c r="F3913" s="29"/>
      <c r="G3913" s="29"/>
      <c r="H3913" s="30" t="str">
        <f t="shared" si="427"/>
        <v/>
      </c>
      <c r="I3913" s="31" t="str">
        <f>IF(OR(B3913="",C3913=""),"",IFERROR(E3913*IF(E3913="",0,VLOOKUP(C3913,'📦 Precios Proforma'!$B$5:$D$104,IF(D3913="DIA",2,3),FALSE)),0))</f>
        <v/>
      </c>
      <c r="J3913" s="31" t="str">
        <f t="shared" si="428"/>
        <v/>
      </c>
      <c r="K3913" s="31" t="str">
        <f t="shared" si="429"/>
        <v/>
      </c>
      <c r="L3913" s="31" t="str">
        <f>IF(OR(B3913="",C3913=""),"",IFERROR(E3913 / SUMIFS('📅 Resumen Diario'!$D$5:$D$504, '📅 Resumen Diario'!$B$5:$B$504, B3913, '📅 Resumen Diario'!$C$5:$C$504, D3913) * SUMIFS('📅 Resumen Diario'!$K$5:$K$504, '📅 Resumen Diario'!$B$5:$B$504, B3913, '📅 Resumen Diario'!$C$5:$C$504, D3913), 0))</f>
        <v/>
      </c>
      <c r="M3913" s="31" t="str">
        <f t="shared" si="430"/>
        <v/>
      </c>
      <c r="N3913" s="31" t="str">
        <f t="shared" si="431"/>
        <v/>
      </c>
      <c r="O3913" s="31" t="str">
        <f>IF(OR(B3913="",C3913=""),"",K3913-N3913 + IFERROR(E3913 / SUMIFS('📅 Resumen Diario'!$D$5:$D$504, '📅 Resumen Diario'!$B$5:$B$504, B3913, '📅 Resumen Diario'!$C$5:$C$504, D3913) * (SUMIFS('📋 Detalle Diario'!$E$5:$E$489, '📋 Detalle Diario'!$B$5:$B$489, B3913, '📋 Detalle Diario'!$C$5:$C$489, D3913) * 135 + SUMIFS('📋 Detalle Diario'!$I$5:$I$489, '📋 Detalle Diario'!$B$5:$B$489, B3913, '📋 Detalle Diario'!$C$5:$C$489, D3913) * 200), 0))</f>
        <v/>
      </c>
      <c r="P3913" s="32" t="str">
        <f t="shared" si="432"/>
        <v/>
      </c>
      <c r="Q3913" s="33" t="str">
        <f t="shared" si="433"/>
        <v/>
      </c>
    </row>
    <row r="3914" spans="2:17" ht="18" customHeight="1" x14ac:dyDescent="0.3">
      <c r="B3914" s="26"/>
      <c r="C3914" s="17"/>
      <c r="D3914" s="27"/>
      <c r="E3914" s="18"/>
      <c r="F3914" s="18"/>
      <c r="G3914" s="18"/>
      <c r="H3914" s="30" t="str">
        <f t="shared" si="427"/>
        <v/>
      </c>
      <c r="I3914" s="31" t="str">
        <f>IF(OR(B3914="",C3914=""),"",IFERROR(E3914*IF(E3914="",0,VLOOKUP(C3914,'📦 Precios Proforma'!$B$5:$D$104,IF(D3914="DIA",2,3),FALSE)),0))</f>
        <v/>
      </c>
      <c r="J3914" s="31" t="str">
        <f t="shared" si="428"/>
        <v/>
      </c>
      <c r="K3914" s="31" t="str">
        <f t="shared" si="429"/>
        <v/>
      </c>
      <c r="L3914" s="31" t="str">
        <f>IF(OR(B3914="",C3914=""),"",IFERROR(E3914 / SUMIFS('📅 Resumen Diario'!$D$5:$D$504, '📅 Resumen Diario'!$B$5:$B$504, B3914, '📅 Resumen Diario'!$C$5:$C$504, D3914) * SUMIFS('📅 Resumen Diario'!$K$5:$K$504, '📅 Resumen Diario'!$B$5:$B$504, B3914, '📅 Resumen Diario'!$C$5:$C$504, D3914), 0))</f>
        <v/>
      </c>
      <c r="M3914" s="31" t="str">
        <f t="shared" si="430"/>
        <v/>
      </c>
      <c r="N3914" s="31" t="str">
        <f t="shared" si="431"/>
        <v/>
      </c>
      <c r="O3914" s="31" t="str">
        <f>IF(OR(B3914="",C3914=""),"",K3914-N3914 + IFERROR(E3914 / SUMIFS('📅 Resumen Diario'!$D$5:$D$504, '📅 Resumen Diario'!$B$5:$B$504, B3914, '📅 Resumen Diario'!$C$5:$C$504, D3914) * (SUMIFS('📋 Detalle Diario'!$E$5:$E$489, '📋 Detalle Diario'!$B$5:$B$489, B3914, '📋 Detalle Diario'!$C$5:$C$489, D3914) * 135 + SUMIFS('📋 Detalle Diario'!$I$5:$I$489, '📋 Detalle Diario'!$B$5:$B$489, B3914, '📋 Detalle Diario'!$C$5:$C$489, D3914) * 200), 0))</f>
        <v/>
      </c>
      <c r="P3914" s="32" t="str">
        <f t="shared" si="432"/>
        <v/>
      </c>
      <c r="Q3914" s="33" t="str">
        <f t="shared" si="433"/>
        <v/>
      </c>
    </row>
    <row r="3915" spans="2:17" ht="18" customHeight="1" x14ac:dyDescent="0.3">
      <c r="B3915" s="26"/>
      <c r="C3915" s="28"/>
      <c r="D3915" s="27"/>
      <c r="E3915" s="29"/>
      <c r="F3915" s="29"/>
      <c r="G3915" s="29"/>
      <c r="H3915" s="30" t="str">
        <f t="shared" si="427"/>
        <v/>
      </c>
      <c r="I3915" s="31" t="str">
        <f>IF(OR(B3915="",C3915=""),"",IFERROR(E3915*IF(E3915="",0,VLOOKUP(C3915,'📦 Precios Proforma'!$B$5:$D$104,IF(D3915="DIA",2,3),FALSE)),0))</f>
        <v/>
      </c>
      <c r="J3915" s="31" t="str">
        <f t="shared" si="428"/>
        <v/>
      </c>
      <c r="K3915" s="31" t="str">
        <f t="shared" si="429"/>
        <v/>
      </c>
      <c r="L3915" s="31" t="str">
        <f>IF(OR(B3915="",C3915=""),"",IFERROR(E3915 / SUMIFS('📅 Resumen Diario'!$D$5:$D$504, '📅 Resumen Diario'!$B$5:$B$504, B3915, '📅 Resumen Diario'!$C$5:$C$504, D3915) * SUMIFS('📅 Resumen Diario'!$K$5:$K$504, '📅 Resumen Diario'!$B$5:$B$504, B3915, '📅 Resumen Diario'!$C$5:$C$504, D3915), 0))</f>
        <v/>
      </c>
      <c r="M3915" s="31" t="str">
        <f t="shared" si="430"/>
        <v/>
      </c>
      <c r="N3915" s="31" t="str">
        <f t="shared" si="431"/>
        <v/>
      </c>
      <c r="O3915" s="31" t="str">
        <f>IF(OR(B3915="",C3915=""),"",K3915-N3915 + IFERROR(E3915 / SUMIFS('📅 Resumen Diario'!$D$5:$D$504, '📅 Resumen Diario'!$B$5:$B$504, B3915, '📅 Resumen Diario'!$C$5:$C$504, D3915) * (SUMIFS('📋 Detalle Diario'!$E$5:$E$489, '📋 Detalle Diario'!$B$5:$B$489, B3915, '📋 Detalle Diario'!$C$5:$C$489, D3915) * 135 + SUMIFS('📋 Detalle Diario'!$I$5:$I$489, '📋 Detalle Diario'!$B$5:$B$489, B3915, '📋 Detalle Diario'!$C$5:$C$489, D3915) * 200), 0))</f>
        <v/>
      </c>
      <c r="P3915" s="32" t="str">
        <f t="shared" si="432"/>
        <v/>
      </c>
      <c r="Q3915" s="33" t="str">
        <f t="shared" si="433"/>
        <v/>
      </c>
    </row>
    <row r="3916" spans="2:17" ht="18" customHeight="1" x14ac:dyDescent="0.3">
      <c r="B3916" s="26"/>
      <c r="C3916" s="17"/>
      <c r="D3916" s="27"/>
      <c r="E3916" s="18"/>
      <c r="F3916" s="18"/>
      <c r="G3916" s="18"/>
      <c r="H3916" s="30" t="str">
        <f t="shared" si="427"/>
        <v/>
      </c>
      <c r="I3916" s="31" t="str">
        <f>IF(OR(B3916="",C3916=""),"",IFERROR(E3916*IF(E3916="",0,VLOOKUP(C3916,'📦 Precios Proforma'!$B$5:$D$104,IF(D3916="DIA",2,3),FALSE)),0))</f>
        <v/>
      </c>
      <c r="J3916" s="31" t="str">
        <f t="shared" si="428"/>
        <v/>
      </c>
      <c r="K3916" s="31" t="str">
        <f t="shared" si="429"/>
        <v/>
      </c>
      <c r="L3916" s="31" t="str">
        <f>IF(OR(B3916="",C3916=""),"",IFERROR(E3916 / SUMIFS('📅 Resumen Diario'!$D$5:$D$504, '📅 Resumen Diario'!$B$5:$B$504, B3916, '📅 Resumen Diario'!$C$5:$C$504, D3916) * SUMIFS('📅 Resumen Diario'!$K$5:$K$504, '📅 Resumen Diario'!$B$5:$B$504, B3916, '📅 Resumen Diario'!$C$5:$C$504, D3916), 0))</f>
        <v/>
      </c>
      <c r="M3916" s="31" t="str">
        <f t="shared" si="430"/>
        <v/>
      </c>
      <c r="N3916" s="31" t="str">
        <f t="shared" si="431"/>
        <v/>
      </c>
      <c r="O3916" s="31" t="str">
        <f>IF(OR(B3916="",C3916=""),"",K3916-N3916 + IFERROR(E3916 / SUMIFS('📅 Resumen Diario'!$D$5:$D$504, '📅 Resumen Diario'!$B$5:$B$504, B3916, '📅 Resumen Diario'!$C$5:$C$504, D3916) * (SUMIFS('📋 Detalle Diario'!$E$5:$E$489, '📋 Detalle Diario'!$B$5:$B$489, B3916, '📋 Detalle Diario'!$C$5:$C$489, D3916) * 135 + SUMIFS('📋 Detalle Diario'!$I$5:$I$489, '📋 Detalle Diario'!$B$5:$B$489, B3916, '📋 Detalle Diario'!$C$5:$C$489, D3916) * 200), 0))</f>
        <v/>
      </c>
      <c r="P3916" s="32" t="str">
        <f t="shared" si="432"/>
        <v/>
      </c>
      <c r="Q3916" s="33" t="str">
        <f t="shared" si="433"/>
        <v/>
      </c>
    </row>
    <row r="3917" spans="2:17" ht="18" customHeight="1" x14ac:dyDescent="0.3">
      <c r="B3917" s="26"/>
      <c r="C3917" s="28"/>
      <c r="D3917" s="27"/>
      <c r="E3917" s="29"/>
      <c r="F3917" s="29"/>
      <c r="G3917" s="29"/>
      <c r="H3917" s="30" t="str">
        <f t="shared" si="427"/>
        <v/>
      </c>
      <c r="I3917" s="31" t="str">
        <f>IF(OR(B3917="",C3917=""),"",IFERROR(E3917*IF(E3917="",0,VLOOKUP(C3917,'📦 Precios Proforma'!$B$5:$D$104,IF(D3917="DIA",2,3),FALSE)),0))</f>
        <v/>
      </c>
      <c r="J3917" s="31" t="str">
        <f t="shared" si="428"/>
        <v/>
      </c>
      <c r="K3917" s="31" t="str">
        <f t="shared" si="429"/>
        <v/>
      </c>
      <c r="L3917" s="31" t="str">
        <f>IF(OR(B3917="",C3917=""),"",IFERROR(E3917 / SUMIFS('📅 Resumen Diario'!$D$5:$D$504, '📅 Resumen Diario'!$B$5:$B$504, B3917, '📅 Resumen Diario'!$C$5:$C$504, D3917) * SUMIFS('📅 Resumen Diario'!$K$5:$K$504, '📅 Resumen Diario'!$B$5:$B$504, B3917, '📅 Resumen Diario'!$C$5:$C$504, D3917), 0))</f>
        <v/>
      </c>
      <c r="M3917" s="31" t="str">
        <f t="shared" si="430"/>
        <v/>
      </c>
      <c r="N3917" s="31" t="str">
        <f t="shared" si="431"/>
        <v/>
      </c>
      <c r="O3917" s="31" t="str">
        <f>IF(OR(B3917="",C3917=""),"",K3917-N3917 + IFERROR(E3917 / SUMIFS('📅 Resumen Diario'!$D$5:$D$504, '📅 Resumen Diario'!$B$5:$B$504, B3917, '📅 Resumen Diario'!$C$5:$C$504, D3917) * (SUMIFS('📋 Detalle Diario'!$E$5:$E$489, '📋 Detalle Diario'!$B$5:$B$489, B3917, '📋 Detalle Diario'!$C$5:$C$489, D3917) * 135 + SUMIFS('📋 Detalle Diario'!$I$5:$I$489, '📋 Detalle Diario'!$B$5:$B$489, B3917, '📋 Detalle Diario'!$C$5:$C$489, D3917) * 200), 0))</f>
        <v/>
      </c>
      <c r="P3917" s="32" t="str">
        <f t="shared" si="432"/>
        <v/>
      </c>
      <c r="Q3917" s="33" t="str">
        <f t="shared" si="433"/>
        <v/>
      </c>
    </row>
    <row r="3918" spans="2:17" ht="18" customHeight="1" x14ac:dyDescent="0.3">
      <c r="B3918" s="26"/>
      <c r="C3918" s="17"/>
      <c r="D3918" s="27"/>
      <c r="E3918" s="18"/>
      <c r="F3918" s="18"/>
      <c r="G3918" s="18"/>
      <c r="H3918" s="30" t="str">
        <f t="shared" si="427"/>
        <v/>
      </c>
      <c r="I3918" s="31" t="str">
        <f>IF(OR(B3918="",C3918=""),"",IFERROR(E3918*IF(E3918="",0,VLOOKUP(C3918,'📦 Precios Proforma'!$B$5:$D$104,IF(D3918="DIA",2,3),FALSE)),0))</f>
        <v/>
      </c>
      <c r="J3918" s="31" t="str">
        <f t="shared" si="428"/>
        <v/>
      </c>
      <c r="K3918" s="31" t="str">
        <f t="shared" si="429"/>
        <v/>
      </c>
      <c r="L3918" s="31" t="str">
        <f>IF(OR(B3918="",C3918=""),"",IFERROR(E3918 / SUMIFS('📅 Resumen Diario'!$D$5:$D$504, '📅 Resumen Diario'!$B$5:$B$504, B3918, '📅 Resumen Diario'!$C$5:$C$504, D3918) * SUMIFS('📅 Resumen Diario'!$K$5:$K$504, '📅 Resumen Diario'!$B$5:$B$504, B3918, '📅 Resumen Diario'!$C$5:$C$504, D3918), 0))</f>
        <v/>
      </c>
      <c r="M3918" s="31" t="str">
        <f t="shared" si="430"/>
        <v/>
      </c>
      <c r="N3918" s="31" t="str">
        <f t="shared" si="431"/>
        <v/>
      </c>
      <c r="O3918" s="31" t="str">
        <f>IF(OR(B3918="",C3918=""),"",K3918-N3918 + IFERROR(E3918 / SUMIFS('📅 Resumen Diario'!$D$5:$D$504, '📅 Resumen Diario'!$B$5:$B$504, B3918, '📅 Resumen Diario'!$C$5:$C$504, D3918) * (SUMIFS('📋 Detalle Diario'!$E$5:$E$489, '📋 Detalle Diario'!$B$5:$B$489, B3918, '📋 Detalle Diario'!$C$5:$C$489, D3918) * 135 + SUMIFS('📋 Detalle Diario'!$I$5:$I$489, '📋 Detalle Diario'!$B$5:$B$489, B3918, '📋 Detalle Diario'!$C$5:$C$489, D3918) * 200), 0))</f>
        <v/>
      </c>
      <c r="P3918" s="32" t="str">
        <f t="shared" si="432"/>
        <v/>
      </c>
      <c r="Q3918" s="33" t="str">
        <f t="shared" si="433"/>
        <v/>
      </c>
    </row>
    <row r="3919" spans="2:17" ht="18" customHeight="1" x14ac:dyDescent="0.3">
      <c r="B3919" s="26"/>
      <c r="C3919" s="28"/>
      <c r="D3919" s="27"/>
      <c r="E3919" s="29"/>
      <c r="F3919" s="29"/>
      <c r="G3919" s="29"/>
      <c r="H3919" s="30" t="str">
        <f t="shared" si="427"/>
        <v/>
      </c>
      <c r="I3919" s="31" t="str">
        <f>IF(OR(B3919="",C3919=""),"",IFERROR(E3919*IF(E3919="",0,VLOOKUP(C3919,'📦 Precios Proforma'!$B$5:$D$104,IF(D3919="DIA",2,3),FALSE)),0))</f>
        <v/>
      </c>
      <c r="J3919" s="31" t="str">
        <f t="shared" si="428"/>
        <v/>
      </c>
      <c r="K3919" s="31" t="str">
        <f t="shared" si="429"/>
        <v/>
      </c>
      <c r="L3919" s="31" t="str">
        <f>IF(OR(B3919="",C3919=""),"",IFERROR(E3919 / SUMIFS('📅 Resumen Diario'!$D$5:$D$504, '📅 Resumen Diario'!$B$5:$B$504, B3919, '📅 Resumen Diario'!$C$5:$C$504, D3919) * SUMIFS('📅 Resumen Diario'!$K$5:$K$504, '📅 Resumen Diario'!$B$5:$B$504, B3919, '📅 Resumen Diario'!$C$5:$C$504, D3919), 0))</f>
        <v/>
      </c>
      <c r="M3919" s="31" t="str">
        <f t="shared" si="430"/>
        <v/>
      </c>
      <c r="N3919" s="31" t="str">
        <f t="shared" si="431"/>
        <v/>
      </c>
      <c r="O3919" s="31" t="str">
        <f>IF(OR(B3919="",C3919=""),"",K3919-N3919 + IFERROR(E3919 / SUMIFS('📅 Resumen Diario'!$D$5:$D$504, '📅 Resumen Diario'!$B$5:$B$504, B3919, '📅 Resumen Diario'!$C$5:$C$504, D3919) * (SUMIFS('📋 Detalle Diario'!$E$5:$E$489, '📋 Detalle Diario'!$B$5:$B$489, B3919, '📋 Detalle Diario'!$C$5:$C$489, D3919) * 135 + SUMIFS('📋 Detalle Diario'!$I$5:$I$489, '📋 Detalle Diario'!$B$5:$B$489, B3919, '📋 Detalle Diario'!$C$5:$C$489, D3919) * 200), 0))</f>
        <v/>
      </c>
      <c r="P3919" s="32" t="str">
        <f t="shared" si="432"/>
        <v/>
      </c>
      <c r="Q3919" s="33" t="str">
        <f t="shared" si="433"/>
        <v/>
      </c>
    </row>
    <row r="3920" spans="2:17" ht="18" customHeight="1" x14ac:dyDescent="0.3">
      <c r="B3920" s="26"/>
      <c r="C3920" s="17"/>
      <c r="D3920" s="27"/>
      <c r="E3920" s="18"/>
      <c r="F3920" s="18"/>
      <c r="G3920" s="18"/>
      <c r="H3920" s="30" t="str">
        <f t="shared" si="427"/>
        <v/>
      </c>
      <c r="I3920" s="31" t="str">
        <f>IF(OR(B3920="",C3920=""),"",IFERROR(E3920*IF(E3920="",0,VLOOKUP(C3920,'📦 Precios Proforma'!$B$5:$D$104,IF(D3920="DIA",2,3),FALSE)),0))</f>
        <v/>
      </c>
      <c r="J3920" s="31" t="str">
        <f t="shared" si="428"/>
        <v/>
      </c>
      <c r="K3920" s="31" t="str">
        <f t="shared" si="429"/>
        <v/>
      </c>
      <c r="L3920" s="31" t="str">
        <f>IF(OR(B3920="",C3920=""),"",IFERROR(E3920 / SUMIFS('📅 Resumen Diario'!$D$5:$D$504, '📅 Resumen Diario'!$B$5:$B$504, B3920, '📅 Resumen Diario'!$C$5:$C$504, D3920) * SUMIFS('📅 Resumen Diario'!$K$5:$K$504, '📅 Resumen Diario'!$B$5:$B$504, B3920, '📅 Resumen Diario'!$C$5:$C$504, D3920), 0))</f>
        <v/>
      </c>
      <c r="M3920" s="31" t="str">
        <f t="shared" si="430"/>
        <v/>
      </c>
      <c r="N3920" s="31" t="str">
        <f t="shared" si="431"/>
        <v/>
      </c>
      <c r="O3920" s="31" t="str">
        <f>IF(OR(B3920="",C3920=""),"",K3920-N3920 + IFERROR(E3920 / SUMIFS('📅 Resumen Diario'!$D$5:$D$504, '📅 Resumen Diario'!$B$5:$B$504, B3920, '📅 Resumen Diario'!$C$5:$C$504, D3920) * (SUMIFS('📋 Detalle Diario'!$E$5:$E$489, '📋 Detalle Diario'!$B$5:$B$489, B3920, '📋 Detalle Diario'!$C$5:$C$489, D3920) * 135 + SUMIFS('📋 Detalle Diario'!$I$5:$I$489, '📋 Detalle Diario'!$B$5:$B$489, B3920, '📋 Detalle Diario'!$C$5:$C$489, D3920) * 200), 0))</f>
        <v/>
      </c>
      <c r="P3920" s="32" t="str">
        <f t="shared" si="432"/>
        <v/>
      </c>
      <c r="Q3920" s="33" t="str">
        <f t="shared" si="433"/>
        <v/>
      </c>
    </row>
    <row r="3921" spans="2:17" ht="18" customHeight="1" x14ac:dyDescent="0.3">
      <c r="B3921" s="26"/>
      <c r="C3921" s="28"/>
      <c r="D3921" s="27"/>
      <c r="E3921" s="29"/>
      <c r="F3921" s="29"/>
      <c r="G3921" s="29"/>
      <c r="H3921" s="30" t="str">
        <f t="shared" si="427"/>
        <v/>
      </c>
      <c r="I3921" s="31" t="str">
        <f>IF(OR(B3921="",C3921=""),"",IFERROR(E3921*IF(E3921="",0,VLOOKUP(C3921,'📦 Precios Proforma'!$B$5:$D$104,IF(D3921="DIA",2,3),FALSE)),0))</f>
        <v/>
      </c>
      <c r="J3921" s="31" t="str">
        <f t="shared" si="428"/>
        <v/>
      </c>
      <c r="K3921" s="31" t="str">
        <f t="shared" si="429"/>
        <v/>
      </c>
      <c r="L3921" s="31" t="str">
        <f>IF(OR(B3921="",C3921=""),"",IFERROR(E3921 / SUMIFS('📅 Resumen Diario'!$D$5:$D$504, '📅 Resumen Diario'!$B$5:$B$504, B3921, '📅 Resumen Diario'!$C$5:$C$504, D3921) * SUMIFS('📅 Resumen Diario'!$K$5:$K$504, '📅 Resumen Diario'!$B$5:$B$504, B3921, '📅 Resumen Diario'!$C$5:$C$504, D3921), 0))</f>
        <v/>
      </c>
      <c r="M3921" s="31" t="str">
        <f t="shared" si="430"/>
        <v/>
      </c>
      <c r="N3921" s="31" t="str">
        <f t="shared" si="431"/>
        <v/>
      </c>
      <c r="O3921" s="31" t="str">
        <f>IF(OR(B3921="",C3921=""),"",K3921-N3921 + IFERROR(E3921 / SUMIFS('📅 Resumen Diario'!$D$5:$D$504, '📅 Resumen Diario'!$B$5:$B$504, B3921, '📅 Resumen Diario'!$C$5:$C$504, D3921) * (SUMIFS('📋 Detalle Diario'!$E$5:$E$489, '📋 Detalle Diario'!$B$5:$B$489, B3921, '📋 Detalle Diario'!$C$5:$C$489, D3921) * 135 + SUMIFS('📋 Detalle Diario'!$I$5:$I$489, '📋 Detalle Diario'!$B$5:$B$489, B3921, '📋 Detalle Diario'!$C$5:$C$489, D3921) * 200), 0))</f>
        <v/>
      </c>
      <c r="P3921" s="32" t="str">
        <f t="shared" si="432"/>
        <v/>
      </c>
      <c r="Q3921" s="33" t="str">
        <f t="shared" si="433"/>
        <v/>
      </c>
    </row>
    <row r="3922" spans="2:17" ht="18" customHeight="1" x14ac:dyDescent="0.3">
      <c r="B3922" s="26"/>
      <c r="C3922" s="17"/>
      <c r="D3922" s="27"/>
      <c r="E3922" s="18"/>
      <c r="F3922" s="18"/>
      <c r="G3922" s="18"/>
      <c r="H3922" s="30" t="str">
        <f t="shared" si="427"/>
        <v/>
      </c>
      <c r="I3922" s="31" t="str">
        <f>IF(OR(B3922="",C3922=""),"",IFERROR(E3922*IF(E3922="",0,VLOOKUP(C3922,'📦 Precios Proforma'!$B$5:$D$104,IF(D3922="DIA",2,3),FALSE)),0))</f>
        <v/>
      </c>
      <c r="J3922" s="31" t="str">
        <f t="shared" si="428"/>
        <v/>
      </c>
      <c r="K3922" s="31" t="str">
        <f t="shared" si="429"/>
        <v/>
      </c>
      <c r="L3922" s="31" t="str">
        <f>IF(OR(B3922="",C3922=""),"",IFERROR(E3922 / SUMIFS('📅 Resumen Diario'!$D$5:$D$504, '📅 Resumen Diario'!$B$5:$B$504, B3922, '📅 Resumen Diario'!$C$5:$C$504, D3922) * SUMIFS('📅 Resumen Diario'!$K$5:$K$504, '📅 Resumen Diario'!$B$5:$B$504, B3922, '📅 Resumen Diario'!$C$5:$C$504, D3922), 0))</f>
        <v/>
      </c>
      <c r="M3922" s="31" t="str">
        <f t="shared" si="430"/>
        <v/>
      </c>
      <c r="N3922" s="31" t="str">
        <f t="shared" si="431"/>
        <v/>
      </c>
      <c r="O3922" s="31" t="str">
        <f>IF(OR(B3922="",C3922=""),"",K3922-N3922 + IFERROR(E3922 / SUMIFS('📅 Resumen Diario'!$D$5:$D$504, '📅 Resumen Diario'!$B$5:$B$504, B3922, '📅 Resumen Diario'!$C$5:$C$504, D3922) * (SUMIFS('📋 Detalle Diario'!$E$5:$E$489, '📋 Detalle Diario'!$B$5:$B$489, B3922, '📋 Detalle Diario'!$C$5:$C$489, D3922) * 135 + SUMIFS('📋 Detalle Diario'!$I$5:$I$489, '📋 Detalle Diario'!$B$5:$B$489, B3922, '📋 Detalle Diario'!$C$5:$C$489, D3922) * 200), 0))</f>
        <v/>
      </c>
      <c r="P3922" s="32" t="str">
        <f t="shared" si="432"/>
        <v/>
      </c>
      <c r="Q3922" s="33" t="str">
        <f t="shared" si="433"/>
        <v/>
      </c>
    </row>
    <row r="3923" spans="2:17" ht="18" customHeight="1" x14ac:dyDescent="0.3">
      <c r="B3923" s="26"/>
      <c r="C3923" s="28"/>
      <c r="D3923" s="27"/>
      <c r="E3923" s="29"/>
      <c r="F3923" s="29"/>
      <c r="G3923" s="29"/>
      <c r="H3923" s="30" t="str">
        <f t="shared" si="427"/>
        <v/>
      </c>
      <c r="I3923" s="31" t="str">
        <f>IF(OR(B3923="",C3923=""),"",IFERROR(E3923*IF(E3923="",0,VLOOKUP(C3923,'📦 Precios Proforma'!$B$5:$D$104,IF(D3923="DIA",2,3),FALSE)),0))</f>
        <v/>
      </c>
      <c r="J3923" s="31" t="str">
        <f t="shared" si="428"/>
        <v/>
      </c>
      <c r="K3923" s="31" t="str">
        <f t="shared" si="429"/>
        <v/>
      </c>
      <c r="L3923" s="31" t="str">
        <f>IF(OR(B3923="",C3923=""),"",IFERROR(E3923 / SUMIFS('📅 Resumen Diario'!$D$5:$D$504, '📅 Resumen Diario'!$B$5:$B$504, B3923, '📅 Resumen Diario'!$C$5:$C$504, D3923) * SUMIFS('📅 Resumen Diario'!$K$5:$K$504, '📅 Resumen Diario'!$B$5:$B$504, B3923, '📅 Resumen Diario'!$C$5:$C$504, D3923), 0))</f>
        <v/>
      </c>
      <c r="M3923" s="31" t="str">
        <f t="shared" si="430"/>
        <v/>
      </c>
      <c r="N3923" s="31" t="str">
        <f t="shared" si="431"/>
        <v/>
      </c>
      <c r="O3923" s="31" t="str">
        <f>IF(OR(B3923="",C3923=""),"",K3923-N3923 + IFERROR(E3923 / SUMIFS('📅 Resumen Diario'!$D$5:$D$504, '📅 Resumen Diario'!$B$5:$B$504, B3923, '📅 Resumen Diario'!$C$5:$C$504, D3923) * (SUMIFS('📋 Detalle Diario'!$E$5:$E$489, '📋 Detalle Diario'!$B$5:$B$489, B3923, '📋 Detalle Diario'!$C$5:$C$489, D3923) * 135 + SUMIFS('📋 Detalle Diario'!$I$5:$I$489, '📋 Detalle Diario'!$B$5:$B$489, B3923, '📋 Detalle Diario'!$C$5:$C$489, D3923) * 200), 0))</f>
        <v/>
      </c>
      <c r="P3923" s="32" t="str">
        <f t="shared" si="432"/>
        <v/>
      </c>
      <c r="Q3923" s="33" t="str">
        <f t="shared" si="433"/>
        <v/>
      </c>
    </row>
    <row r="3924" spans="2:17" ht="18" customHeight="1" x14ac:dyDescent="0.3">
      <c r="B3924" s="26"/>
      <c r="C3924" s="17"/>
      <c r="D3924" s="27"/>
      <c r="E3924" s="18"/>
      <c r="F3924" s="18"/>
      <c r="G3924" s="18"/>
      <c r="H3924" s="30" t="str">
        <f t="shared" si="427"/>
        <v/>
      </c>
      <c r="I3924" s="31" t="str">
        <f>IF(OR(B3924="",C3924=""),"",IFERROR(E3924*IF(E3924="",0,VLOOKUP(C3924,'📦 Precios Proforma'!$B$5:$D$104,IF(D3924="DIA",2,3),FALSE)),0))</f>
        <v/>
      </c>
      <c r="J3924" s="31" t="str">
        <f t="shared" si="428"/>
        <v/>
      </c>
      <c r="K3924" s="31" t="str">
        <f t="shared" si="429"/>
        <v/>
      </c>
      <c r="L3924" s="31" t="str">
        <f>IF(OR(B3924="",C3924=""),"",IFERROR(E3924 / SUMIFS('📅 Resumen Diario'!$D$5:$D$504, '📅 Resumen Diario'!$B$5:$B$504, B3924, '📅 Resumen Diario'!$C$5:$C$504, D3924) * SUMIFS('📅 Resumen Diario'!$K$5:$K$504, '📅 Resumen Diario'!$B$5:$B$504, B3924, '📅 Resumen Diario'!$C$5:$C$504, D3924), 0))</f>
        <v/>
      </c>
      <c r="M3924" s="31" t="str">
        <f t="shared" si="430"/>
        <v/>
      </c>
      <c r="N3924" s="31" t="str">
        <f t="shared" si="431"/>
        <v/>
      </c>
      <c r="O3924" s="31" t="str">
        <f>IF(OR(B3924="",C3924=""),"",K3924-N3924 + IFERROR(E3924 / SUMIFS('📅 Resumen Diario'!$D$5:$D$504, '📅 Resumen Diario'!$B$5:$B$504, B3924, '📅 Resumen Diario'!$C$5:$C$504, D3924) * (SUMIFS('📋 Detalle Diario'!$E$5:$E$489, '📋 Detalle Diario'!$B$5:$B$489, B3924, '📋 Detalle Diario'!$C$5:$C$489, D3924) * 135 + SUMIFS('📋 Detalle Diario'!$I$5:$I$489, '📋 Detalle Diario'!$B$5:$B$489, B3924, '📋 Detalle Diario'!$C$5:$C$489, D3924) * 200), 0))</f>
        <v/>
      </c>
      <c r="P3924" s="32" t="str">
        <f t="shared" si="432"/>
        <v/>
      </c>
      <c r="Q3924" s="33" t="str">
        <f t="shared" si="433"/>
        <v/>
      </c>
    </row>
    <row r="3925" spans="2:17" ht="18" customHeight="1" x14ac:dyDescent="0.3">
      <c r="B3925" s="26"/>
      <c r="C3925" s="28"/>
      <c r="D3925" s="27"/>
      <c r="E3925" s="29"/>
      <c r="F3925" s="29"/>
      <c r="G3925" s="29"/>
      <c r="H3925" s="30" t="str">
        <f t="shared" si="427"/>
        <v/>
      </c>
      <c r="I3925" s="31" t="str">
        <f>IF(OR(B3925="",C3925=""),"",IFERROR(E3925*IF(E3925="",0,VLOOKUP(C3925,'📦 Precios Proforma'!$B$5:$D$104,IF(D3925="DIA",2,3),FALSE)),0))</f>
        <v/>
      </c>
      <c r="J3925" s="31" t="str">
        <f t="shared" si="428"/>
        <v/>
      </c>
      <c r="K3925" s="31" t="str">
        <f t="shared" si="429"/>
        <v/>
      </c>
      <c r="L3925" s="31" t="str">
        <f>IF(OR(B3925="",C3925=""),"",IFERROR(E3925 / SUMIFS('📅 Resumen Diario'!$D$5:$D$504, '📅 Resumen Diario'!$B$5:$B$504, B3925, '📅 Resumen Diario'!$C$5:$C$504, D3925) * SUMIFS('📅 Resumen Diario'!$K$5:$K$504, '📅 Resumen Diario'!$B$5:$B$504, B3925, '📅 Resumen Diario'!$C$5:$C$504, D3925), 0))</f>
        <v/>
      </c>
      <c r="M3925" s="31" t="str">
        <f t="shared" si="430"/>
        <v/>
      </c>
      <c r="N3925" s="31" t="str">
        <f t="shared" si="431"/>
        <v/>
      </c>
      <c r="O3925" s="31" t="str">
        <f>IF(OR(B3925="",C3925=""),"",K3925-N3925 + IFERROR(E3925 / SUMIFS('📅 Resumen Diario'!$D$5:$D$504, '📅 Resumen Diario'!$B$5:$B$504, B3925, '📅 Resumen Diario'!$C$5:$C$504, D3925) * (SUMIFS('📋 Detalle Diario'!$E$5:$E$489, '📋 Detalle Diario'!$B$5:$B$489, B3925, '📋 Detalle Diario'!$C$5:$C$489, D3925) * 135 + SUMIFS('📋 Detalle Diario'!$I$5:$I$489, '📋 Detalle Diario'!$B$5:$B$489, B3925, '📋 Detalle Diario'!$C$5:$C$489, D3925) * 200), 0))</f>
        <v/>
      </c>
      <c r="P3925" s="32" t="str">
        <f t="shared" si="432"/>
        <v/>
      </c>
      <c r="Q3925" s="33" t="str">
        <f t="shared" si="433"/>
        <v/>
      </c>
    </row>
    <row r="3926" spans="2:17" ht="18" customHeight="1" x14ac:dyDescent="0.3">
      <c r="B3926" s="26"/>
      <c r="C3926" s="17"/>
      <c r="D3926" s="27"/>
      <c r="E3926" s="18"/>
      <c r="F3926" s="18"/>
      <c r="G3926" s="18"/>
      <c r="H3926" s="30" t="str">
        <f t="shared" si="427"/>
        <v/>
      </c>
      <c r="I3926" s="31" t="str">
        <f>IF(OR(B3926="",C3926=""),"",IFERROR(E3926*IF(E3926="",0,VLOOKUP(C3926,'📦 Precios Proforma'!$B$5:$D$104,IF(D3926="DIA",2,3),FALSE)),0))</f>
        <v/>
      </c>
      <c r="J3926" s="31" t="str">
        <f t="shared" si="428"/>
        <v/>
      </c>
      <c r="K3926" s="31" t="str">
        <f t="shared" si="429"/>
        <v/>
      </c>
      <c r="L3926" s="31" t="str">
        <f>IF(OR(B3926="",C3926=""),"",IFERROR(E3926 / SUMIFS('📅 Resumen Diario'!$D$5:$D$504, '📅 Resumen Diario'!$B$5:$B$504, B3926, '📅 Resumen Diario'!$C$5:$C$504, D3926) * SUMIFS('📅 Resumen Diario'!$K$5:$K$504, '📅 Resumen Diario'!$B$5:$B$504, B3926, '📅 Resumen Diario'!$C$5:$C$504, D3926), 0))</f>
        <v/>
      </c>
      <c r="M3926" s="31" t="str">
        <f t="shared" si="430"/>
        <v/>
      </c>
      <c r="N3926" s="31" t="str">
        <f t="shared" si="431"/>
        <v/>
      </c>
      <c r="O3926" s="31" t="str">
        <f>IF(OR(B3926="",C3926=""),"",K3926-N3926 + IFERROR(E3926 / SUMIFS('📅 Resumen Diario'!$D$5:$D$504, '📅 Resumen Diario'!$B$5:$B$504, B3926, '📅 Resumen Diario'!$C$5:$C$504, D3926) * (SUMIFS('📋 Detalle Diario'!$E$5:$E$489, '📋 Detalle Diario'!$B$5:$B$489, B3926, '📋 Detalle Diario'!$C$5:$C$489, D3926) * 135 + SUMIFS('📋 Detalle Diario'!$I$5:$I$489, '📋 Detalle Diario'!$B$5:$B$489, B3926, '📋 Detalle Diario'!$C$5:$C$489, D3926) * 200), 0))</f>
        <v/>
      </c>
      <c r="P3926" s="32" t="str">
        <f t="shared" si="432"/>
        <v/>
      </c>
      <c r="Q3926" s="33" t="str">
        <f t="shared" si="433"/>
        <v/>
      </c>
    </row>
    <row r="3927" spans="2:17" ht="18" customHeight="1" x14ac:dyDescent="0.3">
      <c r="B3927" s="26"/>
      <c r="C3927" s="28"/>
      <c r="D3927" s="27"/>
      <c r="E3927" s="29"/>
      <c r="F3927" s="29"/>
      <c r="G3927" s="29"/>
      <c r="H3927" s="30" t="str">
        <f t="shared" si="427"/>
        <v/>
      </c>
      <c r="I3927" s="31" t="str">
        <f>IF(OR(B3927="",C3927=""),"",IFERROR(E3927*IF(E3927="",0,VLOOKUP(C3927,'📦 Precios Proforma'!$B$5:$D$104,IF(D3927="DIA",2,3),FALSE)),0))</f>
        <v/>
      </c>
      <c r="J3927" s="31" t="str">
        <f t="shared" si="428"/>
        <v/>
      </c>
      <c r="K3927" s="31" t="str">
        <f t="shared" si="429"/>
        <v/>
      </c>
      <c r="L3927" s="31" t="str">
        <f>IF(OR(B3927="",C3927=""),"",IFERROR(E3927 / SUMIFS('📅 Resumen Diario'!$D$5:$D$504, '📅 Resumen Diario'!$B$5:$B$504, B3927, '📅 Resumen Diario'!$C$5:$C$504, D3927) * SUMIFS('📅 Resumen Diario'!$K$5:$K$504, '📅 Resumen Diario'!$B$5:$B$504, B3927, '📅 Resumen Diario'!$C$5:$C$504, D3927), 0))</f>
        <v/>
      </c>
      <c r="M3927" s="31" t="str">
        <f t="shared" si="430"/>
        <v/>
      </c>
      <c r="N3927" s="31" t="str">
        <f t="shared" si="431"/>
        <v/>
      </c>
      <c r="O3927" s="31" t="str">
        <f>IF(OR(B3927="",C3927=""),"",K3927-N3927 + IFERROR(E3927 / SUMIFS('📅 Resumen Diario'!$D$5:$D$504, '📅 Resumen Diario'!$B$5:$B$504, B3927, '📅 Resumen Diario'!$C$5:$C$504, D3927) * (SUMIFS('📋 Detalle Diario'!$E$5:$E$489, '📋 Detalle Diario'!$B$5:$B$489, B3927, '📋 Detalle Diario'!$C$5:$C$489, D3927) * 135 + SUMIFS('📋 Detalle Diario'!$I$5:$I$489, '📋 Detalle Diario'!$B$5:$B$489, B3927, '📋 Detalle Diario'!$C$5:$C$489, D3927) * 200), 0))</f>
        <v/>
      </c>
      <c r="P3927" s="32" t="str">
        <f t="shared" si="432"/>
        <v/>
      </c>
      <c r="Q3927" s="33" t="str">
        <f t="shared" si="433"/>
        <v/>
      </c>
    </row>
    <row r="3928" spans="2:17" ht="18" customHeight="1" x14ac:dyDescent="0.3">
      <c r="B3928" s="26"/>
      <c r="C3928" s="17"/>
      <c r="D3928" s="27"/>
      <c r="E3928" s="18"/>
      <c r="F3928" s="18"/>
      <c r="G3928" s="18"/>
      <c r="H3928" s="30" t="str">
        <f t="shared" si="427"/>
        <v/>
      </c>
      <c r="I3928" s="31" t="str">
        <f>IF(OR(B3928="",C3928=""),"",IFERROR(E3928*IF(E3928="",0,VLOOKUP(C3928,'📦 Precios Proforma'!$B$5:$D$104,IF(D3928="DIA",2,3),FALSE)),0))</f>
        <v/>
      </c>
      <c r="J3928" s="31" t="str">
        <f t="shared" si="428"/>
        <v/>
      </c>
      <c r="K3928" s="31" t="str">
        <f t="shared" si="429"/>
        <v/>
      </c>
      <c r="L3928" s="31" t="str">
        <f>IF(OR(B3928="",C3928=""),"",IFERROR(E3928 / SUMIFS('📅 Resumen Diario'!$D$5:$D$504, '📅 Resumen Diario'!$B$5:$B$504, B3928, '📅 Resumen Diario'!$C$5:$C$504, D3928) * SUMIFS('📅 Resumen Diario'!$K$5:$K$504, '📅 Resumen Diario'!$B$5:$B$504, B3928, '📅 Resumen Diario'!$C$5:$C$504, D3928), 0))</f>
        <v/>
      </c>
      <c r="M3928" s="31" t="str">
        <f t="shared" si="430"/>
        <v/>
      </c>
      <c r="N3928" s="31" t="str">
        <f t="shared" si="431"/>
        <v/>
      </c>
      <c r="O3928" s="31" t="str">
        <f>IF(OR(B3928="",C3928=""),"",K3928-N3928 + IFERROR(E3928 / SUMIFS('📅 Resumen Diario'!$D$5:$D$504, '📅 Resumen Diario'!$B$5:$B$504, B3928, '📅 Resumen Diario'!$C$5:$C$504, D3928) * (SUMIFS('📋 Detalle Diario'!$E$5:$E$489, '📋 Detalle Diario'!$B$5:$B$489, B3928, '📋 Detalle Diario'!$C$5:$C$489, D3928) * 135 + SUMIFS('📋 Detalle Diario'!$I$5:$I$489, '📋 Detalle Diario'!$B$5:$B$489, B3928, '📋 Detalle Diario'!$C$5:$C$489, D3928) * 200), 0))</f>
        <v/>
      </c>
      <c r="P3928" s="32" t="str">
        <f t="shared" si="432"/>
        <v/>
      </c>
      <c r="Q3928" s="33" t="str">
        <f t="shared" si="433"/>
        <v/>
      </c>
    </row>
    <row r="3929" spans="2:17" ht="18" customHeight="1" x14ac:dyDescent="0.3">
      <c r="B3929" s="26"/>
      <c r="C3929" s="28"/>
      <c r="D3929" s="27"/>
      <c r="E3929" s="29"/>
      <c r="F3929" s="29"/>
      <c r="G3929" s="29"/>
      <c r="H3929" s="30" t="str">
        <f t="shared" si="427"/>
        <v/>
      </c>
      <c r="I3929" s="31" t="str">
        <f>IF(OR(B3929="",C3929=""),"",IFERROR(E3929*IF(E3929="",0,VLOOKUP(C3929,'📦 Precios Proforma'!$B$5:$D$104,IF(D3929="DIA",2,3),FALSE)),0))</f>
        <v/>
      </c>
      <c r="J3929" s="31" t="str">
        <f t="shared" si="428"/>
        <v/>
      </c>
      <c r="K3929" s="31" t="str">
        <f t="shared" si="429"/>
        <v/>
      </c>
      <c r="L3929" s="31" t="str">
        <f>IF(OR(B3929="",C3929=""),"",IFERROR(E3929 / SUMIFS('📅 Resumen Diario'!$D$5:$D$504, '📅 Resumen Diario'!$B$5:$B$504, B3929, '📅 Resumen Diario'!$C$5:$C$504, D3929) * SUMIFS('📅 Resumen Diario'!$K$5:$K$504, '📅 Resumen Diario'!$B$5:$B$504, B3929, '📅 Resumen Diario'!$C$5:$C$504, D3929), 0))</f>
        <v/>
      </c>
      <c r="M3929" s="31" t="str">
        <f t="shared" si="430"/>
        <v/>
      </c>
      <c r="N3929" s="31" t="str">
        <f t="shared" si="431"/>
        <v/>
      </c>
      <c r="O3929" s="31" t="str">
        <f>IF(OR(B3929="",C3929=""),"",K3929-N3929 + IFERROR(E3929 / SUMIFS('📅 Resumen Diario'!$D$5:$D$504, '📅 Resumen Diario'!$B$5:$B$504, B3929, '📅 Resumen Diario'!$C$5:$C$504, D3929) * (SUMIFS('📋 Detalle Diario'!$E$5:$E$489, '📋 Detalle Diario'!$B$5:$B$489, B3929, '📋 Detalle Diario'!$C$5:$C$489, D3929) * 135 + SUMIFS('📋 Detalle Diario'!$I$5:$I$489, '📋 Detalle Diario'!$B$5:$B$489, B3929, '📋 Detalle Diario'!$C$5:$C$489, D3929) * 200), 0))</f>
        <v/>
      </c>
      <c r="P3929" s="32" t="str">
        <f t="shared" si="432"/>
        <v/>
      </c>
      <c r="Q3929" s="33" t="str">
        <f t="shared" si="433"/>
        <v/>
      </c>
    </row>
    <row r="3930" spans="2:17" ht="18" customHeight="1" x14ac:dyDescent="0.3">
      <c r="B3930" s="26"/>
      <c r="C3930" s="17"/>
      <c r="D3930" s="27"/>
      <c r="E3930" s="18"/>
      <c r="F3930" s="18"/>
      <c r="G3930" s="18"/>
      <c r="H3930" s="30" t="str">
        <f t="shared" si="427"/>
        <v/>
      </c>
      <c r="I3930" s="31" t="str">
        <f>IF(OR(B3930="",C3930=""),"",IFERROR(E3930*IF(E3930="",0,VLOOKUP(C3930,'📦 Precios Proforma'!$B$5:$D$104,IF(D3930="DIA",2,3),FALSE)),0))</f>
        <v/>
      </c>
      <c r="J3930" s="31" t="str">
        <f t="shared" si="428"/>
        <v/>
      </c>
      <c r="K3930" s="31" t="str">
        <f t="shared" si="429"/>
        <v/>
      </c>
      <c r="L3930" s="31" t="str">
        <f>IF(OR(B3930="",C3930=""),"",IFERROR(E3930 / SUMIFS('📅 Resumen Diario'!$D$5:$D$504, '📅 Resumen Diario'!$B$5:$B$504, B3930, '📅 Resumen Diario'!$C$5:$C$504, D3930) * SUMIFS('📅 Resumen Diario'!$K$5:$K$504, '📅 Resumen Diario'!$B$5:$B$504, B3930, '📅 Resumen Diario'!$C$5:$C$504, D3930), 0))</f>
        <v/>
      </c>
      <c r="M3930" s="31" t="str">
        <f t="shared" si="430"/>
        <v/>
      </c>
      <c r="N3930" s="31" t="str">
        <f t="shared" si="431"/>
        <v/>
      </c>
      <c r="O3930" s="31" t="str">
        <f>IF(OR(B3930="",C3930=""),"",K3930-N3930 + IFERROR(E3930 / SUMIFS('📅 Resumen Diario'!$D$5:$D$504, '📅 Resumen Diario'!$B$5:$B$504, B3930, '📅 Resumen Diario'!$C$5:$C$504, D3930) * (SUMIFS('📋 Detalle Diario'!$E$5:$E$489, '📋 Detalle Diario'!$B$5:$B$489, B3930, '📋 Detalle Diario'!$C$5:$C$489, D3930) * 135 + SUMIFS('📋 Detalle Diario'!$I$5:$I$489, '📋 Detalle Diario'!$B$5:$B$489, B3930, '📋 Detalle Diario'!$C$5:$C$489, D3930) * 200), 0))</f>
        <v/>
      </c>
      <c r="P3930" s="32" t="str">
        <f t="shared" si="432"/>
        <v/>
      </c>
      <c r="Q3930" s="33" t="str">
        <f t="shared" si="433"/>
        <v/>
      </c>
    </row>
    <row r="3931" spans="2:17" ht="18" customHeight="1" x14ac:dyDescent="0.3">
      <c r="B3931" s="26"/>
      <c r="C3931" s="28"/>
      <c r="D3931" s="27"/>
      <c r="E3931" s="29"/>
      <c r="F3931" s="29"/>
      <c r="G3931" s="29"/>
      <c r="H3931" s="30" t="str">
        <f t="shared" si="427"/>
        <v/>
      </c>
      <c r="I3931" s="31" t="str">
        <f>IF(OR(B3931="",C3931=""),"",IFERROR(E3931*IF(E3931="",0,VLOOKUP(C3931,'📦 Precios Proforma'!$B$5:$D$104,IF(D3931="DIA",2,3),FALSE)),0))</f>
        <v/>
      </c>
      <c r="J3931" s="31" t="str">
        <f t="shared" si="428"/>
        <v/>
      </c>
      <c r="K3931" s="31" t="str">
        <f t="shared" si="429"/>
        <v/>
      </c>
      <c r="L3931" s="31" t="str">
        <f>IF(OR(B3931="",C3931=""),"",IFERROR(E3931 / SUMIFS('📅 Resumen Diario'!$D$5:$D$504, '📅 Resumen Diario'!$B$5:$B$504, B3931, '📅 Resumen Diario'!$C$5:$C$504, D3931) * SUMIFS('📅 Resumen Diario'!$K$5:$K$504, '📅 Resumen Diario'!$B$5:$B$504, B3931, '📅 Resumen Diario'!$C$5:$C$504, D3931), 0))</f>
        <v/>
      </c>
      <c r="M3931" s="31" t="str">
        <f t="shared" si="430"/>
        <v/>
      </c>
      <c r="N3931" s="31" t="str">
        <f t="shared" si="431"/>
        <v/>
      </c>
      <c r="O3931" s="31" t="str">
        <f>IF(OR(B3931="",C3931=""),"",K3931-N3931 + IFERROR(E3931 / SUMIFS('📅 Resumen Diario'!$D$5:$D$504, '📅 Resumen Diario'!$B$5:$B$504, B3931, '📅 Resumen Diario'!$C$5:$C$504, D3931) * (SUMIFS('📋 Detalle Diario'!$E$5:$E$489, '📋 Detalle Diario'!$B$5:$B$489, B3931, '📋 Detalle Diario'!$C$5:$C$489, D3931) * 135 + SUMIFS('📋 Detalle Diario'!$I$5:$I$489, '📋 Detalle Diario'!$B$5:$B$489, B3931, '📋 Detalle Diario'!$C$5:$C$489, D3931) * 200), 0))</f>
        <v/>
      </c>
      <c r="P3931" s="32" t="str">
        <f t="shared" si="432"/>
        <v/>
      </c>
      <c r="Q3931" s="33" t="str">
        <f t="shared" si="433"/>
        <v/>
      </c>
    </row>
    <row r="3932" spans="2:17" ht="18" customHeight="1" x14ac:dyDescent="0.3">
      <c r="B3932" s="26"/>
      <c r="C3932" s="17"/>
      <c r="D3932" s="27"/>
      <c r="E3932" s="18"/>
      <c r="F3932" s="18"/>
      <c r="G3932" s="18"/>
      <c r="H3932" s="30" t="str">
        <f t="shared" si="427"/>
        <v/>
      </c>
      <c r="I3932" s="31" t="str">
        <f>IF(OR(B3932="",C3932=""),"",IFERROR(E3932*IF(E3932="",0,VLOOKUP(C3932,'📦 Precios Proforma'!$B$5:$D$104,IF(D3932="DIA",2,3),FALSE)),0))</f>
        <v/>
      </c>
      <c r="J3932" s="31" t="str">
        <f t="shared" si="428"/>
        <v/>
      </c>
      <c r="K3932" s="31" t="str">
        <f t="shared" si="429"/>
        <v/>
      </c>
      <c r="L3932" s="31" t="str">
        <f>IF(OR(B3932="",C3932=""),"",IFERROR(E3932 / SUMIFS('📅 Resumen Diario'!$D$5:$D$504, '📅 Resumen Diario'!$B$5:$B$504, B3932, '📅 Resumen Diario'!$C$5:$C$504, D3932) * SUMIFS('📅 Resumen Diario'!$K$5:$K$504, '📅 Resumen Diario'!$B$5:$B$504, B3932, '📅 Resumen Diario'!$C$5:$C$504, D3932), 0))</f>
        <v/>
      </c>
      <c r="M3932" s="31" t="str">
        <f t="shared" si="430"/>
        <v/>
      </c>
      <c r="N3932" s="31" t="str">
        <f t="shared" si="431"/>
        <v/>
      </c>
      <c r="O3932" s="31" t="str">
        <f>IF(OR(B3932="",C3932=""),"",K3932-N3932 + IFERROR(E3932 / SUMIFS('📅 Resumen Diario'!$D$5:$D$504, '📅 Resumen Diario'!$B$5:$B$504, B3932, '📅 Resumen Diario'!$C$5:$C$504, D3932) * (SUMIFS('📋 Detalle Diario'!$E$5:$E$489, '📋 Detalle Diario'!$B$5:$B$489, B3932, '📋 Detalle Diario'!$C$5:$C$489, D3932) * 135 + SUMIFS('📋 Detalle Diario'!$I$5:$I$489, '📋 Detalle Diario'!$B$5:$B$489, B3932, '📋 Detalle Diario'!$C$5:$C$489, D3932) * 200), 0))</f>
        <v/>
      </c>
      <c r="P3932" s="32" t="str">
        <f t="shared" si="432"/>
        <v/>
      </c>
      <c r="Q3932" s="33" t="str">
        <f t="shared" si="433"/>
        <v/>
      </c>
    </row>
    <row r="3933" spans="2:17" ht="18" customHeight="1" x14ac:dyDescent="0.3">
      <c r="B3933" s="26"/>
      <c r="C3933" s="28"/>
      <c r="D3933" s="27"/>
      <c r="E3933" s="29"/>
      <c r="F3933" s="29"/>
      <c r="G3933" s="29"/>
      <c r="H3933" s="30" t="str">
        <f t="shared" si="427"/>
        <v/>
      </c>
      <c r="I3933" s="31" t="str">
        <f>IF(OR(B3933="",C3933=""),"",IFERROR(E3933*IF(E3933="",0,VLOOKUP(C3933,'📦 Precios Proforma'!$B$5:$D$104,IF(D3933="DIA",2,3),FALSE)),0))</f>
        <v/>
      </c>
      <c r="J3933" s="31" t="str">
        <f t="shared" si="428"/>
        <v/>
      </c>
      <c r="K3933" s="31" t="str">
        <f t="shared" si="429"/>
        <v/>
      </c>
      <c r="L3933" s="31" t="str">
        <f>IF(OR(B3933="",C3933=""),"",IFERROR(E3933 / SUMIFS('📅 Resumen Diario'!$D$5:$D$504, '📅 Resumen Diario'!$B$5:$B$504, B3933, '📅 Resumen Diario'!$C$5:$C$504, D3933) * SUMIFS('📅 Resumen Diario'!$K$5:$K$504, '📅 Resumen Diario'!$B$5:$B$504, B3933, '📅 Resumen Diario'!$C$5:$C$504, D3933), 0))</f>
        <v/>
      </c>
      <c r="M3933" s="31" t="str">
        <f t="shared" si="430"/>
        <v/>
      </c>
      <c r="N3933" s="31" t="str">
        <f t="shared" si="431"/>
        <v/>
      </c>
      <c r="O3933" s="31" t="str">
        <f>IF(OR(B3933="",C3933=""),"",K3933-N3933 + IFERROR(E3933 / SUMIFS('📅 Resumen Diario'!$D$5:$D$504, '📅 Resumen Diario'!$B$5:$B$504, B3933, '📅 Resumen Diario'!$C$5:$C$504, D3933) * (SUMIFS('📋 Detalle Diario'!$E$5:$E$489, '📋 Detalle Diario'!$B$5:$B$489, B3933, '📋 Detalle Diario'!$C$5:$C$489, D3933) * 135 + SUMIFS('📋 Detalle Diario'!$I$5:$I$489, '📋 Detalle Diario'!$B$5:$B$489, B3933, '📋 Detalle Diario'!$C$5:$C$489, D3933) * 200), 0))</f>
        <v/>
      </c>
      <c r="P3933" s="32" t="str">
        <f t="shared" si="432"/>
        <v/>
      </c>
      <c r="Q3933" s="33" t="str">
        <f t="shared" si="433"/>
        <v/>
      </c>
    </row>
    <row r="3934" spans="2:17" ht="18" customHeight="1" x14ac:dyDescent="0.3">
      <c r="B3934" s="26"/>
      <c r="C3934" s="17"/>
      <c r="D3934" s="27"/>
      <c r="E3934" s="18"/>
      <c r="F3934" s="18"/>
      <c r="G3934" s="18"/>
      <c r="H3934" s="30" t="str">
        <f t="shared" si="427"/>
        <v/>
      </c>
      <c r="I3934" s="31" t="str">
        <f>IF(OR(B3934="",C3934=""),"",IFERROR(E3934*IF(E3934="",0,VLOOKUP(C3934,'📦 Precios Proforma'!$B$5:$D$104,IF(D3934="DIA",2,3),FALSE)),0))</f>
        <v/>
      </c>
      <c r="J3934" s="31" t="str">
        <f t="shared" si="428"/>
        <v/>
      </c>
      <c r="K3934" s="31" t="str">
        <f t="shared" si="429"/>
        <v/>
      </c>
      <c r="L3934" s="31" t="str">
        <f>IF(OR(B3934="",C3934=""),"",IFERROR(E3934 / SUMIFS('📅 Resumen Diario'!$D$5:$D$504, '📅 Resumen Diario'!$B$5:$B$504, B3934, '📅 Resumen Diario'!$C$5:$C$504, D3934) * SUMIFS('📅 Resumen Diario'!$K$5:$K$504, '📅 Resumen Diario'!$B$5:$B$504, B3934, '📅 Resumen Diario'!$C$5:$C$504, D3934), 0))</f>
        <v/>
      </c>
      <c r="M3934" s="31" t="str">
        <f t="shared" si="430"/>
        <v/>
      </c>
      <c r="N3934" s="31" t="str">
        <f t="shared" si="431"/>
        <v/>
      </c>
      <c r="O3934" s="31" t="str">
        <f>IF(OR(B3934="",C3934=""),"",K3934-N3934 + IFERROR(E3934 / SUMIFS('📅 Resumen Diario'!$D$5:$D$504, '📅 Resumen Diario'!$B$5:$B$504, B3934, '📅 Resumen Diario'!$C$5:$C$504, D3934) * (SUMIFS('📋 Detalle Diario'!$E$5:$E$489, '📋 Detalle Diario'!$B$5:$B$489, B3934, '📋 Detalle Diario'!$C$5:$C$489, D3934) * 135 + SUMIFS('📋 Detalle Diario'!$I$5:$I$489, '📋 Detalle Diario'!$B$5:$B$489, B3934, '📋 Detalle Diario'!$C$5:$C$489, D3934) * 200), 0))</f>
        <v/>
      </c>
      <c r="P3934" s="32" t="str">
        <f t="shared" si="432"/>
        <v/>
      </c>
      <c r="Q3934" s="33" t="str">
        <f t="shared" si="433"/>
        <v/>
      </c>
    </row>
    <row r="3935" spans="2:17" ht="18" customHeight="1" x14ac:dyDescent="0.3">
      <c r="B3935" s="26"/>
      <c r="C3935" s="28"/>
      <c r="D3935" s="27"/>
      <c r="E3935" s="29"/>
      <c r="F3935" s="29"/>
      <c r="G3935" s="29"/>
      <c r="H3935" s="30" t="str">
        <f t="shared" si="427"/>
        <v/>
      </c>
      <c r="I3935" s="31" t="str">
        <f>IF(OR(B3935="",C3935=""),"",IFERROR(E3935*IF(E3935="",0,VLOOKUP(C3935,'📦 Precios Proforma'!$B$5:$D$104,IF(D3935="DIA",2,3),FALSE)),0))</f>
        <v/>
      </c>
      <c r="J3935" s="31" t="str">
        <f t="shared" si="428"/>
        <v/>
      </c>
      <c r="K3935" s="31" t="str">
        <f t="shared" si="429"/>
        <v/>
      </c>
      <c r="L3935" s="31" t="str">
        <f>IF(OR(B3935="",C3935=""),"",IFERROR(E3935 / SUMIFS('📅 Resumen Diario'!$D$5:$D$504, '📅 Resumen Diario'!$B$5:$B$504, B3935, '📅 Resumen Diario'!$C$5:$C$504, D3935) * SUMIFS('📅 Resumen Diario'!$K$5:$K$504, '📅 Resumen Diario'!$B$5:$B$504, B3935, '📅 Resumen Diario'!$C$5:$C$504, D3935), 0))</f>
        <v/>
      </c>
      <c r="M3935" s="31" t="str">
        <f t="shared" si="430"/>
        <v/>
      </c>
      <c r="N3935" s="31" t="str">
        <f t="shared" si="431"/>
        <v/>
      </c>
      <c r="O3935" s="31" t="str">
        <f>IF(OR(B3935="",C3935=""),"",K3935-N3935 + IFERROR(E3935 / SUMIFS('📅 Resumen Diario'!$D$5:$D$504, '📅 Resumen Diario'!$B$5:$B$504, B3935, '📅 Resumen Diario'!$C$5:$C$504, D3935) * (SUMIFS('📋 Detalle Diario'!$E$5:$E$489, '📋 Detalle Diario'!$B$5:$B$489, B3935, '📋 Detalle Diario'!$C$5:$C$489, D3935) * 135 + SUMIFS('📋 Detalle Diario'!$I$5:$I$489, '📋 Detalle Diario'!$B$5:$B$489, B3935, '📋 Detalle Diario'!$C$5:$C$489, D3935) * 200), 0))</f>
        <v/>
      </c>
      <c r="P3935" s="32" t="str">
        <f t="shared" si="432"/>
        <v/>
      </c>
      <c r="Q3935" s="33" t="str">
        <f t="shared" si="433"/>
        <v/>
      </c>
    </row>
    <row r="3936" spans="2:17" ht="18" customHeight="1" x14ac:dyDescent="0.3">
      <c r="B3936" s="26"/>
      <c r="C3936" s="17"/>
      <c r="D3936" s="27"/>
      <c r="E3936" s="18"/>
      <c r="F3936" s="18"/>
      <c r="G3936" s="18"/>
      <c r="H3936" s="30" t="str">
        <f t="shared" si="427"/>
        <v/>
      </c>
      <c r="I3936" s="31" t="str">
        <f>IF(OR(B3936="",C3936=""),"",IFERROR(E3936*IF(E3936="",0,VLOOKUP(C3936,'📦 Precios Proforma'!$B$5:$D$104,IF(D3936="DIA",2,3),FALSE)),0))</f>
        <v/>
      </c>
      <c r="J3936" s="31" t="str">
        <f t="shared" si="428"/>
        <v/>
      </c>
      <c r="K3936" s="31" t="str">
        <f t="shared" si="429"/>
        <v/>
      </c>
      <c r="L3936" s="31" t="str">
        <f>IF(OR(B3936="",C3936=""),"",IFERROR(E3936 / SUMIFS('📅 Resumen Diario'!$D$5:$D$504, '📅 Resumen Diario'!$B$5:$B$504, B3936, '📅 Resumen Diario'!$C$5:$C$504, D3936) * SUMIFS('📅 Resumen Diario'!$K$5:$K$504, '📅 Resumen Diario'!$B$5:$B$504, B3936, '📅 Resumen Diario'!$C$5:$C$504, D3936), 0))</f>
        <v/>
      </c>
      <c r="M3936" s="31" t="str">
        <f t="shared" si="430"/>
        <v/>
      </c>
      <c r="N3936" s="31" t="str">
        <f t="shared" si="431"/>
        <v/>
      </c>
      <c r="O3936" s="31" t="str">
        <f>IF(OR(B3936="",C3936=""),"",K3936-N3936 + IFERROR(E3936 / SUMIFS('📅 Resumen Diario'!$D$5:$D$504, '📅 Resumen Diario'!$B$5:$B$504, B3936, '📅 Resumen Diario'!$C$5:$C$504, D3936) * (SUMIFS('📋 Detalle Diario'!$E$5:$E$489, '📋 Detalle Diario'!$B$5:$B$489, B3936, '📋 Detalle Diario'!$C$5:$C$489, D3936) * 135 + SUMIFS('📋 Detalle Diario'!$I$5:$I$489, '📋 Detalle Diario'!$B$5:$B$489, B3936, '📋 Detalle Diario'!$C$5:$C$489, D3936) * 200), 0))</f>
        <v/>
      </c>
      <c r="P3936" s="32" t="str">
        <f t="shared" si="432"/>
        <v/>
      </c>
      <c r="Q3936" s="33" t="str">
        <f t="shared" si="433"/>
        <v/>
      </c>
    </row>
    <row r="3937" spans="2:17" ht="18" customHeight="1" x14ac:dyDescent="0.3">
      <c r="B3937" s="26"/>
      <c r="C3937" s="28"/>
      <c r="D3937" s="27"/>
      <c r="E3937" s="29"/>
      <c r="F3937" s="29"/>
      <c r="G3937" s="29"/>
      <c r="H3937" s="30" t="str">
        <f t="shared" si="427"/>
        <v/>
      </c>
      <c r="I3937" s="31" t="str">
        <f>IF(OR(B3937="",C3937=""),"",IFERROR(E3937*IF(E3937="",0,VLOOKUP(C3937,'📦 Precios Proforma'!$B$5:$D$104,IF(D3937="DIA",2,3),FALSE)),0))</f>
        <v/>
      </c>
      <c r="J3937" s="31" t="str">
        <f t="shared" si="428"/>
        <v/>
      </c>
      <c r="K3937" s="31" t="str">
        <f t="shared" si="429"/>
        <v/>
      </c>
      <c r="L3937" s="31" t="str">
        <f>IF(OR(B3937="",C3937=""),"",IFERROR(E3937 / SUMIFS('📅 Resumen Diario'!$D$5:$D$504, '📅 Resumen Diario'!$B$5:$B$504, B3937, '📅 Resumen Diario'!$C$5:$C$504, D3937) * SUMIFS('📅 Resumen Diario'!$K$5:$K$504, '📅 Resumen Diario'!$B$5:$B$504, B3937, '📅 Resumen Diario'!$C$5:$C$504, D3937), 0))</f>
        <v/>
      </c>
      <c r="M3937" s="31" t="str">
        <f t="shared" si="430"/>
        <v/>
      </c>
      <c r="N3937" s="31" t="str">
        <f t="shared" si="431"/>
        <v/>
      </c>
      <c r="O3937" s="31" t="str">
        <f>IF(OR(B3937="",C3937=""),"",K3937-N3937 + IFERROR(E3937 / SUMIFS('📅 Resumen Diario'!$D$5:$D$504, '📅 Resumen Diario'!$B$5:$B$504, B3937, '📅 Resumen Diario'!$C$5:$C$504, D3937) * (SUMIFS('📋 Detalle Diario'!$E$5:$E$489, '📋 Detalle Diario'!$B$5:$B$489, B3937, '📋 Detalle Diario'!$C$5:$C$489, D3937) * 135 + SUMIFS('📋 Detalle Diario'!$I$5:$I$489, '📋 Detalle Diario'!$B$5:$B$489, B3937, '📋 Detalle Diario'!$C$5:$C$489, D3937) * 200), 0))</f>
        <v/>
      </c>
      <c r="P3937" s="32" t="str">
        <f t="shared" si="432"/>
        <v/>
      </c>
      <c r="Q3937" s="33" t="str">
        <f t="shared" si="433"/>
        <v/>
      </c>
    </row>
    <row r="3938" spans="2:17" ht="18" customHeight="1" x14ac:dyDescent="0.3">
      <c r="B3938" s="26"/>
      <c r="C3938" s="17"/>
      <c r="D3938" s="27"/>
      <c r="E3938" s="18"/>
      <c r="F3938" s="18"/>
      <c r="G3938" s="18"/>
      <c r="H3938" s="30" t="str">
        <f t="shared" si="427"/>
        <v/>
      </c>
      <c r="I3938" s="31" t="str">
        <f>IF(OR(B3938="",C3938=""),"",IFERROR(E3938*IF(E3938="",0,VLOOKUP(C3938,'📦 Precios Proforma'!$B$5:$D$104,IF(D3938="DIA",2,3),FALSE)),0))</f>
        <v/>
      </c>
      <c r="J3938" s="31" t="str">
        <f t="shared" si="428"/>
        <v/>
      </c>
      <c r="K3938" s="31" t="str">
        <f t="shared" si="429"/>
        <v/>
      </c>
      <c r="L3938" s="31" t="str">
        <f>IF(OR(B3938="",C3938=""),"",IFERROR(E3938 / SUMIFS('📅 Resumen Diario'!$D$5:$D$504, '📅 Resumen Diario'!$B$5:$B$504, B3938, '📅 Resumen Diario'!$C$5:$C$504, D3938) * SUMIFS('📅 Resumen Diario'!$K$5:$K$504, '📅 Resumen Diario'!$B$5:$B$504, B3938, '📅 Resumen Diario'!$C$5:$C$504, D3938), 0))</f>
        <v/>
      </c>
      <c r="M3938" s="31" t="str">
        <f t="shared" si="430"/>
        <v/>
      </c>
      <c r="N3938" s="31" t="str">
        <f t="shared" si="431"/>
        <v/>
      </c>
      <c r="O3938" s="31" t="str">
        <f>IF(OR(B3938="",C3938=""),"",K3938-N3938 + IFERROR(E3938 / SUMIFS('📅 Resumen Diario'!$D$5:$D$504, '📅 Resumen Diario'!$B$5:$B$504, B3938, '📅 Resumen Diario'!$C$5:$C$504, D3938) * (SUMIFS('📋 Detalle Diario'!$E$5:$E$489, '📋 Detalle Diario'!$B$5:$B$489, B3938, '📋 Detalle Diario'!$C$5:$C$489, D3938) * 135 + SUMIFS('📋 Detalle Diario'!$I$5:$I$489, '📋 Detalle Diario'!$B$5:$B$489, B3938, '📋 Detalle Diario'!$C$5:$C$489, D3938) * 200), 0))</f>
        <v/>
      </c>
      <c r="P3938" s="32" t="str">
        <f t="shared" si="432"/>
        <v/>
      </c>
      <c r="Q3938" s="33" t="str">
        <f t="shared" si="433"/>
        <v/>
      </c>
    </row>
    <row r="3939" spans="2:17" ht="18" customHeight="1" x14ac:dyDescent="0.3">
      <c r="B3939" s="26"/>
      <c r="C3939" s="28"/>
      <c r="D3939" s="27"/>
      <c r="E3939" s="29"/>
      <c r="F3939" s="29"/>
      <c r="G3939" s="29"/>
      <c r="H3939" s="30" t="str">
        <f t="shared" si="427"/>
        <v/>
      </c>
      <c r="I3939" s="31" t="str">
        <f>IF(OR(B3939="",C3939=""),"",IFERROR(E3939*IF(E3939="",0,VLOOKUP(C3939,'📦 Precios Proforma'!$B$5:$D$104,IF(D3939="DIA",2,3),FALSE)),0))</f>
        <v/>
      </c>
      <c r="J3939" s="31" t="str">
        <f t="shared" si="428"/>
        <v/>
      </c>
      <c r="K3939" s="31" t="str">
        <f t="shared" si="429"/>
        <v/>
      </c>
      <c r="L3939" s="31" t="str">
        <f>IF(OR(B3939="",C3939=""),"",IFERROR(E3939 / SUMIFS('📅 Resumen Diario'!$D$5:$D$504, '📅 Resumen Diario'!$B$5:$B$504, B3939, '📅 Resumen Diario'!$C$5:$C$504, D3939) * SUMIFS('📅 Resumen Diario'!$K$5:$K$504, '📅 Resumen Diario'!$B$5:$B$504, B3939, '📅 Resumen Diario'!$C$5:$C$504, D3939), 0))</f>
        <v/>
      </c>
      <c r="M3939" s="31" t="str">
        <f t="shared" si="430"/>
        <v/>
      </c>
      <c r="N3939" s="31" t="str">
        <f t="shared" si="431"/>
        <v/>
      </c>
      <c r="O3939" s="31" t="str">
        <f>IF(OR(B3939="",C3939=""),"",K3939-N3939 + IFERROR(E3939 / SUMIFS('📅 Resumen Diario'!$D$5:$D$504, '📅 Resumen Diario'!$B$5:$B$504, B3939, '📅 Resumen Diario'!$C$5:$C$504, D3939) * (SUMIFS('📋 Detalle Diario'!$E$5:$E$489, '📋 Detalle Diario'!$B$5:$B$489, B3939, '📋 Detalle Diario'!$C$5:$C$489, D3939) * 135 + SUMIFS('📋 Detalle Diario'!$I$5:$I$489, '📋 Detalle Diario'!$B$5:$B$489, B3939, '📋 Detalle Diario'!$C$5:$C$489, D3939) * 200), 0))</f>
        <v/>
      </c>
      <c r="P3939" s="32" t="str">
        <f t="shared" si="432"/>
        <v/>
      </c>
      <c r="Q3939" s="33" t="str">
        <f t="shared" si="433"/>
        <v/>
      </c>
    </row>
    <row r="3940" spans="2:17" ht="18" customHeight="1" x14ac:dyDescent="0.3">
      <c r="B3940" s="26"/>
      <c r="C3940" s="17"/>
      <c r="D3940" s="27"/>
      <c r="E3940" s="18"/>
      <c r="F3940" s="18"/>
      <c r="G3940" s="18"/>
      <c r="H3940" s="30" t="str">
        <f t="shared" si="427"/>
        <v/>
      </c>
      <c r="I3940" s="31" t="str">
        <f>IF(OR(B3940="",C3940=""),"",IFERROR(E3940*IF(E3940="",0,VLOOKUP(C3940,'📦 Precios Proforma'!$B$5:$D$104,IF(D3940="DIA",2,3),FALSE)),0))</f>
        <v/>
      </c>
      <c r="J3940" s="31" t="str">
        <f t="shared" si="428"/>
        <v/>
      </c>
      <c r="K3940" s="31" t="str">
        <f t="shared" si="429"/>
        <v/>
      </c>
      <c r="L3940" s="31" t="str">
        <f>IF(OR(B3940="",C3940=""),"",IFERROR(E3940 / SUMIFS('📅 Resumen Diario'!$D$5:$D$504, '📅 Resumen Diario'!$B$5:$B$504, B3940, '📅 Resumen Diario'!$C$5:$C$504, D3940) * SUMIFS('📅 Resumen Diario'!$K$5:$K$504, '📅 Resumen Diario'!$B$5:$B$504, B3940, '📅 Resumen Diario'!$C$5:$C$504, D3940), 0))</f>
        <v/>
      </c>
      <c r="M3940" s="31" t="str">
        <f t="shared" si="430"/>
        <v/>
      </c>
      <c r="N3940" s="31" t="str">
        <f t="shared" si="431"/>
        <v/>
      </c>
      <c r="O3940" s="31" t="str">
        <f>IF(OR(B3940="",C3940=""),"",K3940-N3940 + IFERROR(E3940 / SUMIFS('📅 Resumen Diario'!$D$5:$D$504, '📅 Resumen Diario'!$B$5:$B$504, B3940, '📅 Resumen Diario'!$C$5:$C$504, D3940) * (SUMIFS('📋 Detalle Diario'!$E$5:$E$489, '📋 Detalle Diario'!$B$5:$B$489, B3940, '📋 Detalle Diario'!$C$5:$C$489, D3940) * 135 + SUMIFS('📋 Detalle Diario'!$I$5:$I$489, '📋 Detalle Diario'!$B$5:$B$489, B3940, '📋 Detalle Diario'!$C$5:$C$489, D3940) * 200), 0))</f>
        <v/>
      </c>
      <c r="P3940" s="32" t="str">
        <f t="shared" si="432"/>
        <v/>
      </c>
      <c r="Q3940" s="33" t="str">
        <f t="shared" si="433"/>
        <v/>
      </c>
    </row>
    <row r="3941" spans="2:17" ht="18" customHeight="1" x14ac:dyDescent="0.3">
      <c r="B3941" s="26"/>
      <c r="C3941" s="28"/>
      <c r="D3941" s="27"/>
      <c r="E3941" s="29"/>
      <c r="F3941" s="29"/>
      <c r="G3941" s="29"/>
      <c r="H3941" s="30" t="str">
        <f t="shared" si="427"/>
        <v/>
      </c>
      <c r="I3941" s="31" t="str">
        <f>IF(OR(B3941="",C3941=""),"",IFERROR(E3941*IF(E3941="",0,VLOOKUP(C3941,'📦 Precios Proforma'!$B$5:$D$104,IF(D3941="DIA",2,3),FALSE)),0))</f>
        <v/>
      </c>
      <c r="J3941" s="31" t="str">
        <f t="shared" si="428"/>
        <v/>
      </c>
      <c r="K3941" s="31" t="str">
        <f t="shared" si="429"/>
        <v/>
      </c>
      <c r="L3941" s="31" t="str">
        <f>IF(OR(B3941="",C3941=""),"",IFERROR(E3941 / SUMIFS('📅 Resumen Diario'!$D$5:$D$504, '📅 Resumen Diario'!$B$5:$B$504, B3941, '📅 Resumen Diario'!$C$5:$C$504, D3941) * SUMIFS('📅 Resumen Diario'!$K$5:$K$504, '📅 Resumen Diario'!$B$5:$B$504, B3941, '📅 Resumen Diario'!$C$5:$C$504, D3941), 0))</f>
        <v/>
      </c>
      <c r="M3941" s="31" t="str">
        <f t="shared" si="430"/>
        <v/>
      </c>
      <c r="N3941" s="31" t="str">
        <f t="shared" si="431"/>
        <v/>
      </c>
      <c r="O3941" s="31" t="str">
        <f>IF(OR(B3941="",C3941=""),"",K3941-N3941 + IFERROR(E3941 / SUMIFS('📅 Resumen Diario'!$D$5:$D$504, '📅 Resumen Diario'!$B$5:$B$504, B3941, '📅 Resumen Diario'!$C$5:$C$504, D3941) * (SUMIFS('📋 Detalle Diario'!$E$5:$E$489, '📋 Detalle Diario'!$B$5:$B$489, B3941, '📋 Detalle Diario'!$C$5:$C$489, D3941) * 135 + SUMIFS('📋 Detalle Diario'!$I$5:$I$489, '📋 Detalle Diario'!$B$5:$B$489, B3941, '📋 Detalle Diario'!$C$5:$C$489, D3941) * 200), 0))</f>
        <v/>
      </c>
      <c r="P3941" s="32" t="str">
        <f t="shared" si="432"/>
        <v/>
      </c>
      <c r="Q3941" s="33" t="str">
        <f t="shared" si="433"/>
        <v/>
      </c>
    </row>
    <row r="3942" spans="2:17" ht="18" customHeight="1" x14ac:dyDescent="0.3">
      <c r="B3942" s="26"/>
      <c r="C3942" s="17"/>
      <c r="D3942" s="27"/>
      <c r="E3942" s="18"/>
      <c r="F3942" s="18"/>
      <c r="G3942" s="18"/>
      <c r="H3942" s="30" t="str">
        <f t="shared" si="427"/>
        <v/>
      </c>
      <c r="I3942" s="31" t="str">
        <f>IF(OR(B3942="",C3942=""),"",IFERROR(E3942*IF(E3942="",0,VLOOKUP(C3942,'📦 Precios Proforma'!$B$5:$D$104,IF(D3942="DIA",2,3),FALSE)),0))</f>
        <v/>
      </c>
      <c r="J3942" s="31" t="str">
        <f t="shared" si="428"/>
        <v/>
      </c>
      <c r="K3942" s="31" t="str">
        <f t="shared" si="429"/>
        <v/>
      </c>
      <c r="L3942" s="31" t="str">
        <f>IF(OR(B3942="",C3942=""),"",IFERROR(E3942 / SUMIFS('📅 Resumen Diario'!$D$5:$D$504, '📅 Resumen Diario'!$B$5:$B$504, B3942, '📅 Resumen Diario'!$C$5:$C$504, D3942) * SUMIFS('📅 Resumen Diario'!$K$5:$K$504, '📅 Resumen Diario'!$B$5:$B$504, B3942, '📅 Resumen Diario'!$C$5:$C$504, D3942), 0))</f>
        <v/>
      </c>
      <c r="M3942" s="31" t="str">
        <f t="shared" si="430"/>
        <v/>
      </c>
      <c r="N3942" s="31" t="str">
        <f t="shared" si="431"/>
        <v/>
      </c>
      <c r="O3942" s="31" t="str">
        <f>IF(OR(B3942="",C3942=""),"",K3942-N3942 + IFERROR(E3942 / SUMIFS('📅 Resumen Diario'!$D$5:$D$504, '📅 Resumen Diario'!$B$5:$B$504, B3942, '📅 Resumen Diario'!$C$5:$C$504, D3942) * (SUMIFS('📋 Detalle Diario'!$E$5:$E$489, '📋 Detalle Diario'!$B$5:$B$489, B3942, '📋 Detalle Diario'!$C$5:$C$489, D3942) * 135 + SUMIFS('📋 Detalle Diario'!$I$5:$I$489, '📋 Detalle Diario'!$B$5:$B$489, B3942, '📋 Detalle Diario'!$C$5:$C$489, D3942) * 200), 0))</f>
        <v/>
      </c>
      <c r="P3942" s="32" t="str">
        <f t="shared" si="432"/>
        <v/>
      </c>
      <c r="Q3942" s="33" t="str">
        <f t="shared" si="433"/>
        <v/>
      </c>
    </row>
    <row r="3943" spans="2:17" ht="18" customHeight="1" x14ac:dyDescent="0.3">
      <c r="B3943" s="26"/>
      <c r="C3943" s="28"/>
      <c r="D3943" s="27"/>
      <c r="E3943" s="29"/>
      <c r="F3943" s="29"/>
      <c r="G3943" s="29"/>
      <c r="H3943" s="30" t="str">
        <f t="shared" si="427"/>
        <v/>
      </c>
      <c r="I3943" s="31" t="str">
        <f>IF(OR(B3943="",C3943=""),"",IFERROR(E3943*IF(E3943="",0,VLOOKUP(C3943,'📦 Precios Proforma'!$B$5:$D$104,IF(D3943="DIA",2,3),FALSE)),0))</f>
        <v/>
      </c>
      <c r="J3943" s="31" t="str">
        <f t="shared" si="428"/>
        <v/>
      </c>
      <c r="K3943" s="31" t="str">
        <f t="shared" si="429"/>
        <v/>
      </c>
      <c r="L3943" s="31" t="str">
        <f>IF(OR(B3943="",C3943=""),"",IFERROR(E3943 / SUMIFS('📅 Resumen Diario'!$D$5:$D$504, '📅 Resumen Diario'!$B$5:$B$504, B3943, '📅 Resumen Diario'!$C$5:$C$504, D3943) * SUMIFS('📅 Resumen Diario'!$K$5:$K$504, '📅 Resumen Diario'!$B$5:$B$504, B3943, '📅 Resumen Diario'!$C$5:$C$504, D3943), 0))</f>
        <v/>
      </c>
      <c r="M3943" s="31" t="str">
        <f t="shared" si="430"/>
        <v/>
      </c>
      <c r="N3943" s="31" t="str">
        <f t="shared" si="431"/>
        <v/>
      </c>
      <c r="O3943" s="31" t="str">
        <f>IF(OR(B3943="",C3943=""),"",K3943-N3943 + IFERROR(E3943 / SUMIFS('📅 Resumen Diario'!$D$5:$D$504, '📅 Resumen Diario'!$B$5:$B$504, B3943, '📅 Resumen Diario'!$C$5:$C$504, D3943) * (SUMIFS('📋 Detalle Diario'!$E$5:$E$489, '📋 Detalle Diario'!$B$5:$B$489, B3943, '📋 Detalle Diario'!$C$5:$C$489, D3943) * 135 + SUMIFS('📋 Detalle Diario'!$I$5:$I$489, '📋 Detalle Diario'!$B$5:$B$489, B3943, '📋 Detalle Diario'!$C$5:$C$489, D3943) * 200), 0))</f>
        <v/>
      </c>
      <c r="P3943" s="32" t="str">
        <f t="shared" si="432"/>
        <v/>
      </c>
      <c r="Q3943" s="33" t="str">
        <f t="shared" si="433"/>
        <v/>
      </c>
    </row>
    <row r="3944" spans="2:17" ht="18" customHeight="1" x14ac:dyDescent="0.3">
      <c r="B3944" s="26"/>
      <c r="C3944" s="17"/>
      <c r="D3944" s="27"/>
      <c r="E3944" s="18"/>
      <c r="F3944" s="18"/>
      <c r="G3944" s="18"/>
      <c r="H3944" s="30" t="str">
        <f t="shared" si="427"/>
        <v/>
      </c>
      <c r="I3944" s="31" t="str">
        <f>IF(OR(B3944="",C3944=""),"",IFERROR(E3944*IF(E3944="",0,VLOOKUP(C3944,'📦 Precios Proforma'!$B$5:$D$104,IF(D3944="DIA",2,3),FALSE)),0))</f>
        <v/>
      </c>
      <c r="J3944" s="31" t="str">
        <f t="shared" si="428"/>
        <v/>
      </c>
      <c r="K3944" s="31" t="str">
        <f t="shared" si="429"/>
        <v/>
      </c>
      <c r="L3944" s="31" t="str">
        <f>IF(OR(B3944="",C3944=""),"",IFERROR(E3944 / SUMIFS('📅 Resumen Diario'!$D$5:$D$504, '📅 Resumen Diario'!$B$5:$B$504, B3944, '📅 Resumen Diario'!$C$5:$C$504, D3944) * SUMIFS('📅 Resumen Diario'!$K$5:$K$504, '📅 Resumen Diario'!$B$5:$B$504, B3944, '📅 Resumen Diario'!$C$5:$C$504, D3944), 0))</f>
        <v/>
      </c>
      <c r="M3944" s="31" t="str">
        <f t="shared" si="430"/>
        <v/>
      </c>
      <c r="N3944" s="31" t="str">
        <f t="shared" si="431"/>
        <v/>
      </c>
      <c r="O3944" s="31" t="str">
        <f>IF(OR(B3944="",C3944=""),"",K3944-N3944 + IFERROR(E3944 / SUMIFS('📅 Resumen Diario'!$D$5:$D$504, '📅 Resumen Diario'!$B$5:$B$504, B3944, '📅 Resumen Diario'!$C$5:$C$504, D3944) * (SUMIFS('📋 Detalle Diario'!$E$5:$E$489, '📋 Detalle Diario'!$B$5:$B$489, B3944, '📋 Detalle Diario'!$C$5:$C$489, D3944) * 135 + SUMIFS('📋 Detalle Diario'!$I$5:$I$489, '📋 Detalle Diario'!$B$5:$B$489, B3944, '📋 Detalle Diario'!$C$5:$C$489, D3944) * 200), 0))</f>
        <v/>
      </c>
      <c r="P3944" s="32" t="str">
        <f t="shared" si="432"/>
        <v/>
      </c>
      <c r="Q3944" s="33" t="str">
        <f t="shared" si="433"/>
        <v/>
      </c>
    </row>
    <row r="3945" spans="2:17" ht="18" customHeight="1" x14ac:dyDescent="0.3">
      <c r="B3945" s="26"/>
      <c r="C3945" s="28"/>
      <c r="D3945" s="27"/>
      <c r="E3945" s="29"/>
      <c r="F3945" s="29"/>
      <c r="G3945" s="29"/>
      <c r="H3945" s="30" t="str">
        <f t="shared" si="427"/>
        <v/>
      </c>
      <c r="I3945" s="31" t="str">
        <f>IF(OR(B3945="",C3945=""),"",IFERROR(E3945*IF(E3945="",0,VLOOKUP(C3945,'📦 Precios Proforma'!$B$5:$D$104,IF(D3945="DIA",2,3),FALSE)),0))</f>
        <v/>
      </c>
      <c r="J3945" s="31" t="str">
        <f t="shared" si="428"/>
        <v/>
      </c>
      <c r="K3945" s="31" t="str">
        <f t="shared" si="429"/>
        <v/>
      </c>
      <c r="L3945" s="31" t="str">
        <f>IF(OR(B3945="",C3945=""),"",IFERROR(E3945 / SUMIFS('📅 Resumen Diario'!$D$5:$D$504, '📅 Resumen Diario'!$B$5:$B$504, B3945, '📅 Resumen Diario'!$C$5:$C$504, D3945) * SUMIFS('📅 Resumen Diario'!$K$5:$K$504, '📅 Resumen Diario'!$B$5:$B$504, B3945, '📅 Resumen Diario'!$C$5:$C$504, D3945), 0))</f>
        <v/>
      </c>
      <c r="M3945" s="31" t="str">
        <f t="shared" si="430"/>
        <v/>
      </c>
      <c r="N3945" s="31" t="str">
        <f t="shared" si="431"/>
        <v/>
      </c>
      <c r="O3945" s="31" t="str">
        <f>IF(OR(B3945="",C3945=""),"",K3945-N3945 + IFERROR(E3945 / SUMIFS('📅 Resumen Diario'!$D$5:$D$504, '📅 Resumen Diario'!$B$5:$B$504, B3945, '📅 Resumen Diario'!$C$5:$C$504, D3945) * (SUMIFS('📋 Detalle Diario'!$E$5:$E$489, '📋 Detalle Diario'!$B$5:$B$489, B3945, '📋 Detalle Diario'!$C$5:$C$489, D3945) * 135 + SUMIFS('📋 Detalle Diario'!$I$5:$I$489, '📋 Detalle Diario'!$B$5:$B$489, B3945, '📋 Detalle Diario'!$C$5:$C$489, D3945) * 200), 0))</f>
        <v/>
      </c>
      <c r="P3945" s="32" t="str">
        <f t="shared" si="432"/>
        <v/>
      </c>
      <c r="Q3945" s="33" t="str">
        <f t="shared" si="433"/>
        <v/>
      </c>
    </row>
    <row r="3946" spans="2:17" ht="18" customHeight="1" x14ac:dyDescent="0.3">
      <c r="B3946" s="26"/>
      <c r="C3946" s="17"/>
      <c r="D3946" s="27"/>
      <c r="E3946" s="18"/>
      <c r="F3946" s="18"/>
      <c r="G3946" s="18"/>
      <c r="H3946" s="30" t="str">
        <f t="shared" si="427"/>
        <v/>
      </c>
      <c r="I3946" s="31" t="str">
        <f>IF(OR(B3946="",C3946=""),"",IFERROR(E3946*IF(E3946="",0,VLOOKUP(C3946,'📦 Precios Proforma'!$B$5:$D$104,IF(D3946="DIA",2,3),FALSE)),0))</f>
        <v/>
      </c>
      <c r="J3946" s="31" t="str">
        <f t="shared" si="428"/>
        <v/>
      </c>
      <c r="K3946" s="31" t="str">
        <f t="shared" si="429"/>
        <v/>
      </c>
      <c r="L3946" s="31" t="str">
        <f>IF(OR(B3946="",C3946=""),"",IFERROR(E3946 / SUMIFS('📅 Resumen Diario'!$D$5:$D$504, '📅 Resumen Diario'!$B$5:$B$504, B3946, '📅 Resumen Diario'!$C$5:$C$504, D3946) * SUMIFS('📅 Resumen Diario'!$K$5:$K$504, '📅 Resumen Diario'!$B$5:$B$504, B3946, '📅 Resumen Diario'!$C$5:$C$504, D3946), 0))</f>
        <v/>
      </c>
      <c r="M3946" s="31" t="str">
        <f t="shared" si="430"/>
        <v/>
      </c>
      <c r="N3946" s="31" t="str">
        <f t="shared" si="431"/>
        <v/>
      </c>
      <c r="O3946" s="31" t="str">
        <f>IF(OR(B3946="",C3946=""),"",K3946-N3946 + IFERROR(E3946 / SUMIFS('📅 Resumen Diario'!$D$5:$D$504, '📅 Resumen Diario'!$B$5:$B$504, B3946, '📅 Resumen Diario'!$C$5:$C$504, D3946) * (SUMIFS('📋 Detalle Diario'!$E$5:$E$489, '📋 Detalle Diario'!$B$5:$B$489, B3946, '📋 Detalle Diario'!$C$5:$C$489, D3946) * 135 + SUMIFS('📋 Detalle Diario'!$I$5:$I$489, '📋 Detalle Diario'!$B$5:$B$489, B3946, '📋 Detalle Diario'!$C$5:$C$489, D3946) * 200), 0))</f>
        <v/>
      </c>
      <c r="P3946" s="32" t="str">
        <f t="shared" si="432"/>
        <v/>
      </c>
      <c r="Q3946" s="33" t="str">
        <f t="shared" si="433"/>
        <v/>
      </c>
    </row>
    <row r="3947" spans="2:17" ht="18" customHeight="1" x14ac:dyDescent="0.3">
      <c r="B3947" s="26"/>
      <c r="C3947" s="28"/>
      <c r="D3947" s="27"/>
      <c r="E3947" s="29"/>
      <c r="F3947" s="29"/>
      <c r="G3947" s="29"/>
      <c r="H3947" s="30" t="str">
        <f t="shared" si="427"/>
        <v/>
      </c>
      <c r="I3947" s="31" t="str">
        <f>IF(OR(B3947="",C3947=""),"",IFERROR(E3947*IF(E3947="",0,VLOOKUP(C3947,'📦 Precios Proforma'!$B$5:$D$104,IF(D3947="DIA",2,3),FALSE)),0))</f>
        <v/>
      </c>
      <c r="J3947" s="31" t="str">
        <f t="shared" si="428"/>
        <v/>
      </c>
      <c r="K3947" s="31" t="str">
        <f t="shared" si="429"/>
        <v/>
      </c>
      <c r="L3947" s="31" t="str">
        <f>IF(OR(B3947="",C3947=""),"",IFERROR(E3947 / SUMIFS('📅 Resumen Diario'!$D$5:$D$504, '📅 Resumen Diario'!$B$5:$B$504, B3947, '📅 Resumen Diario'!$C$5:$C$504, D3947) * SUMIFS('📅 Resumen Diario'!$K$5:$K$504, '📅 Resumen Diario'!$B$5:$B$504, B3947, '📅 Resumen Diario'!$C$5:$C$504, D3947), 0))</f>
        <v/>
      </c>
      <c r="M3947" s="31" t="str">
        <f t="shared" si="430"/>
        <v/>
      </c>
      <c r="N3947" s="31" t="str">
        <f t="shared" si="431"/>
        <v/>
      </c>
      <c r="O3947" s="31" t="str">
        <f>IF(OR(B3947="",C3947=""),"",K3947-N3947 + IFERROR(E3947 / SUMIFS('📅 Resumen Diario'!$D$5:$D$504, '📅 Resumen Diario'!$B$5:$B$504, B3947, '📅 Resumen Diario'!$C$5:$C$504, D3947) * (SUMIFS('📋 Detalle Diario'!$E$5:$E$489, '📋 Detalle Diario'!$B$5:$B$489, B3947, '📋 Detalle Diario'!$C$5:$C$489, D3947) * 135 + SUMIFS('📋 Detalle Diario'!$I$5:$I$489, '📋 Detalle Diario'!$B$5:$B$489, B3947, '📋 Detalle Diario'!$C$5:$C$489, D3947) * 200), 0))</f>
        <v/>
      </c>
      <c r="P3947" s="32" t="str">
        <f t="shared" si="432"/>
        <v/>
      </c>
      <c r="Q3947" s="33" t="str">
        <f t="shared" si="433"/>
        <v/>
      </c>
    </row>
    <row r="3948" spans="2:17" ht="18" customHeight="1" x14ac:dyDescent="0.3">
      <c r="B3948" s="26"/>
      <c r="C3948" s="17"/>
      <c r="D3948" s="27"/>
      <c r="E3948" s="18"/>
      <c r="F3948" s="18"/>
      <c r="G3948" s="18"/>
      <c r="H3948" s="30" t="str">
        <f t="shared" si="427"/>
        <v/>
      </c>
      <c r="I3948" s="31" t="str">
        <f>IF(OR(B3948="",C3948=""),"",IFERROR(E3948*IF(E3948="",0,VLOOKUP(C3948,'📦 Precios Proforma'!$B$5:$D$104,IF(D3948="DIA",2,3),FALSE)),0))</f>
        <v/>
      </c>
      <c r="J3948" s="31" t="str">
        <f t="shared" si="428"/>
        <v/>
      </c>
      <c r="K3948" s="31" t="str">
        <f t="shared" si="429"/>
        <v/>
      </c>
      <c r="L3948" s="31" t="str">
        <f>IF(OR(B3948="",C3948=""),"",IFERROR(E3948 / SUMIFS('📅 Resumen Diario'!$D$5:$D$504, '📅 Resumen Diario'!$B$5:$B$504, B3948, '📅 Resumen Diario'!$C$5:$C$504, D3948) * SUMIFS('📅 Resumen Diario'!$K$5:$K$504, '📅 Resumen Diario'!$B$5:$B$504, B3948, '📅 Resumen Diario'!$C$5:$C$504, D3948), 0))</f>
        <v/>
      </c>
      <c r="M3948" s="31" t="str">
        <f t="shared" si="430"/>
        <v/>
      </c>
      <c r="N3948" s="31" t="str">
        <f t="shared" si="431"/>
        <v/>
      </c>
      <c r="O3948" s="31" t="str">
        <f>IF(OR(B3948="",C3948=""),"",K3948-N3948 + IFERROR(E3948 / SUMIFS('📅 Resumen Diario'!$D$5:$D$504, '📅 Resumen Diario'!$B$5:$B$504, B3948, '📅 Resumen Diario'!$C$5:$C$504, D3948) * (SUMIFS('📋 Detalle Diario'!$E$5:$E$489, '📋 Detalle Diario'!$B$5:$B$489, B3948, '📋 Detalle Diario'!$C$5:$C$489, D3948) * 135 + SUMIFS('📋 Detalle Diario'!$I$5:$I$489, '📋 Detalle Diario'!$B$5:$B$489, B3948, '📋 Detalle Diario'!$C$5:$C$489, D3948) * 200), 0))</f>
        <v/>
      </c>
      <c r="P3948" s="32" t="str">
        <f t="shared" si="432"/>
        <v/>
      </c>
      <c r="Q3948" s="33" t="str">
        <f t="shared" si="433"/>
        <v/>
      </c>
    </row>
    <row r="3949" spans="2:17" ht="18" customHeight="1" x14ac:dyDescent="0.3">
      <c r="B3949" s="26"/>
      <c r="C3949" s="28"/>
      <c r="D3949" s="27"/>
      <c r="E3949" s="29"/>
      <c r="F3949" s="29"/>
      <c r="G3949" s="29"/>
      <c r="H3949" s="30" t="str">
        <f t="shared" si="427"/>
        <v/>
      </c>
      <c r="I3949" s="31" t="str">
        <f>IF(OR(B3949="",C3949=""),"",IFERROR(E3949*IF(E3949="",0,VLOOKUP(C3949,'📦 Precios Proforma'!$B$5:$D$104,IF(D3949="DIA",2,3),FALSE)),0))</f>
        <v/>
      </c>
      <c r="J3949" s="31" t="str">
        <f t="shared" si="428"/>
        <v/>
      </c>
      <c r="K3949" s="31" t="str">
        <f t="shared" si="429"/>
        <v/>
      </c>
      <c r="L3949" s="31" t="str">
        <f>IF(OR(B3949="",C3949=""),"",IFERROR(E3949 / SUMIFS('📅 Resumen Diario'!$D$5:$D$504, '📅 Resumen Diario'!$B$5:$B$504, B3949, '📅 Resumen Diario'!$C$5:$C$504, D3949) * SUMIFS('📅 Resumen Diario'!$K$5:$K$504, '📅 Resumen Diario'!$B$5:$B$504, B3949, '📅 Resumen Diario'!$C$5:$C$504, D3949), 0))</f>
        <v/>
      </c>
      <c r="M3949" s="31" t="str">
        <f t="shared" si="430"/>
        <v/>
      </c>
      <c r="N3949" s="31" t="str">
        <f t="shared" si="431"/>
        <v/>
      </c>
      <c r="O3949" s="31" t="str">
        <f>IF(OR(B3949="",C3949=""),"",K3949-N3949 + IFERROR(E3949 / SUMIFS('📅 Resumen Diario'!$D$5:$D$504, '📅 Resumen Diario'!$B$5:$B$504, B3949, '📅 Resumen Diario'!$C$5:$C$504, D3949) * (SUMIFS('📋 Detalle Diario'!$E$5:$E$489, '📋 Detalle Diario'!$B$5:$B$489, B3949, '📋 Detalle Diario'!$C$5:$C$489, D3949) * 135 + SUMIFS('📋 Detalle Diario'!$I$5:$I$489, '📋 Detalle Diario'!$B$5:$B$489, B3949, '📋 Detalle Diario'!$C$5:$C$489, D3949) * 200), 0))</f>
        <v/>
      </c>
      <c r="P3949" s="32" t="str">
        <f t="shared" si="432"/>
        <v/>
      </c>
      <c r="Q3949" s="33" t="str">
        <f t="shared" si="433"/>
        <v/>
      </c>
    </row>
    <row r="3950" spans="2:17" ht="18" customHeight="1" x14ac:dyDescent="0.3">
      <c r="B3950" s="26"/>
      <c r="C3950" s="17"/>
      <c r="D3950" s="27"/>
      <c r="E3950" s="18"/>
      <c r="F3950" s="18"/>
      <c r="G3950" s="18"/>
      <c r="H3950" s="30" t="str">
        <f t="shared" si="427"/>
        <v/>
      </c>
      <c r="I3950" s="31" t="str">
        <f>IF(OR(B3950="",C3950=""),"",IFERROR(E3950*IF(E3950="",0,VLOOKUP(C3950,'📦 Precios Proforma'!$B$5:$D$104,IF(D3950="DIA",2,3),FALSE)),0))</f>
        <v/>
      </c>
      <c r="J3950" s="31" t="str">
        <f t="shared" si="428"/>
        <v/>
      </c>
      <c r="K3950" s="31" t="str">
        <f t="shared" si="429"/>
        <v/>
      </c>
      <c r="L3950" s="31" t="str">
        <f>IF(OR(B3950="",C3950=""),"",IFERROR(E3950 / SUMIFS('📅 Resumen Diario'!$D$5:$D$504, '📅 Resumen Diario'!$B$5:$B$504, B3950, '📅 Resumen Diario'!$C$5:$C$504, D3950) * SUMIFS('📅 Resumen Diario'!$K$5:$K$504, '📅 Resumen Diario'!$B$5:$B$504, B3950, '📅 Resumen Diario'!$C$5:$C$504, D3950), 0))</f>
        <v/>
      </c>
      <c r="M3950" s="31" t="str">
        <f t="shared" si="430"/>
        <v/>
      </c>
      <c r="N3950" s="31" t="str">
        <f t="shared" si="431"/>
        <v/>
      </c>
      <c r="O3950" s="31" t="str">
        <f>IF(OR(B3950="",C3950=""),"",K3950-N3950 + IFERROR(E3950 / SUMIFS('📅 Resumen Diario'!$D$5:$D$504, '📅 Resumen Diario'!$B$5:$B$504, B3950, '📅 Resumen Diario'!$C$5:$C$504, D3950) * (SUMIFS('📋 Detalle Diario'!$E$5:$E$489, '📋 Detalle Diario'!$B$5:$B$489, B3950, '📋 Detalle Diario'!$C$5:$C$489, D3950) * 135 + SUMIFS('📋 Detalle Diario'!$I$5:$I$489, '📋 Detalle Diario'!$B$5:$B$489, B3950, '📋 Detalle Diario'!$C$5:$C$489, D3950) * 200), 0))</f>
        <v/>
      </c>
      <c r="P3950" s="32" t="str">
        <f t="shared" si="432"/>
        <v/>
      </c>
      <c r="Q3950" s="33" t="str">
        <f t="shared" si="433"/>
        <v/>
      </c>
    </row>
    <row r="3951" spans="2:17" ht="18" customHeight="1" x14ac:dyDescent="0.3">
      <c r="B3951" s="26"/>
      <c r="C3951" s="28"/>
      <c r="D3951" s="27"/>
      <c r="E3951" s="29"/>
      <c r="F3951" s="29"/>
      <c r="G3951" s="29"/>
      <c r="H3951" s="30" t="str">
        <f t="shared" si="427"/>
        <v/>
      </c>
      <c r="I3951" s="31" t="str">
        <f>IF(OR(B3951="",C3951=""),"",IFERROR(E3951*IF(E3951="",0,VLOOKUP(C3951,'📦 Precios Proforma'!$B$5:$D$104,IF(D3951="DIA",2,3),FALSE)),0))</f>
        <v/>
      </c>
      <c r="J3951" s="31" t="str">
        <f t="shared" si="428"/>
        <v/>
      </c>
      <c r="K3951" s="31" t="str">
        <f t="shared" si="429"/>
        <v/>
      </c>
      <c r="L3951" s="31" t="str">
        <f>IF(OR(B3951="",C3951=""),"",IFERROR(E3951 / SUMIFS('📅 Resumen Diario'!$D$5:$D$504, '📅 Resumen Diario'!$B$5:$B$504, B3951, '📅 Resumen Diario'!$C$5:$C$504, D3951) * SUMIFS('📅 Resumen Diario'!$K$5:$K$504, '📅 Resumen Diario'!$B$5:$B$504, B3951, '📅 Resumen Diario'!$C$5:$C$504, D3951), 0))</f>
        <v/>
      </c>
      <c r="M3951" s="31" t="str">
        <f t="shared" si="430"/>
        <v/>
      </c>
      <c r="N3951" s="31" t="str">
        <f t="shared" si="431"/>
        <v/>
      </c>
      <c r="O3951" s="31" t="str">
        <f>IF(OR(B3951="",C3951=""),"",K3951-N3951 + IFERROR(E3951 / SUMIFS('📅 Resumen Diario'!$D$5:$D$504, '📅 Resumen Diario'!$B$5:$B$504, B3951, '📅 Resumen Diario'!$C$5:$C$504, D3951) * (SUMIFS('📋 Detalle Diario'!$E$5:$E$489, '📋 Detalle Diario'!$B$5:$B$489, B3951, '📋 Detalle Diario'!$C$5:$C$489, D3951) * 135 + SUMIFS('📋 Detalle Diario'!$I$5:$I$489, '📋 Detalle Diario'!$B$5:$B$489, B3951, '📋 Detalle Diario'!$C$5:$C$489, D3951) * 200), 0))</f>
        <v/>
      </c>
      <c r="P3951" s="32" t="str">
        <f t="shared" si="432"/>
        <v/>
      </c>
      <c r="Q3951" s="33" t="str">
        <f t="shared" si="433"/>
        <v/>
      </c>
    </row>
    <row r="3952" spans="2:17" ht="18" customHeight="1" x14ac:dyDescent="0.3">
      <c r="B3952" s="26"/>
      <c r="C3952" s="17"/>
      <c r="D3952" s="27"/>
      <c r="E3952" s="18"/>
      <c r="F3952" s="18"/>
      <c r="G3952" s="18"/>
      <c r="H3952" s="30" t="str">
        <f t="shared" si="427"/>
        <v/>
      </c>
      <c r="I3952" s="31" t="str">
        <f>IF(OR(B3952="",C3952=""),"",IFERROR(E3952*IF(E3952="",0,VLOOKUP(C3952,'📦 Precios Proforma'!$B$5:$D$104,IF(D3952="DIA",2,3),FALSE)),0))</f>
        <v/>
      </c>
      <c r="J3952" s="31" t="str">
        <f t="shared" si="428"/>
        <v/>
      </c>
      <c r="K3952" s="31" t="str">
        <f t="shared" si="429"/>
        <v/>
      </c>
      <c r="L3952" s="31" t="str">
        <f>IF(OR(B3952="",C3952=""),"",IFERROR(E3952 / SUMIFS('📅 Resumen Diario'!$D$5:$D$504, '📅 Resumen Diario'!$B$5:$B$504, B3952, '📅 Resumen Diario'!$C$5:$C$504, D3952) * SUMIFS('📅 Resumen Diario'!$K$5:$K$504, '📅 Resumen Diario'!$B$5:$B$504, B3952, '📅 Resumen Diario'!$C$5:$C$504, D3952), 0))</f>
        <v/>
      </c>
      <c r="M3952" s="31" t="str">
        <f t="shared" si="430"/>
        <v/>
      </c>
      <c r="N3952" s="31" t="str">
        <f t="shared" si="431"/>
        <v/>
      </c>
      <c r="O3952" s="31" t="str">
        <f>IF(OR(B3952="",C3952=""),"",K3952-N3952 + IFERROR(E3952 / SUMIFS('📅 Resumen Diario'!$D$5:$D$504, '📅 Resumen Diario'!$B$5:$B$504, B3952, '📅 Resumen Diario'!$C$5:$C$504, D3952) * (SUMIFS('📋 Detalle Diario'!$E$5:$E$489, '📋 Detalle Diario'!$B$5:$B$489, B3952, '📋 Detalle Diario'!$C$5:$C$489, D3952) * 135 + SUMIFS('📋 Detalle Diario'!$I$5:$I$489, '📋 Detalle Diario'!$B$5:$B$489, B3952, '📋 Detalle Diario'!$C$5:$C$489, D3952) * 200), 0))</f>
        <v/>
      </c>
      <c r="P3952" s="32" t="str">
        <f t="shared" si="432"/>
        <v/>
      </c>
      <c r="Q3952" s="33" t="str">
        <f t="shared" si="433"/>
        <v/>
      </c>
    </row>
    <row r="3953" spans="2:17" ht="18" customHeight="1" x14ac:dyDescent="0.3">
      <c r="B3953" s="26"/>
      <c r="C3953" s="28"/>
      <c r="D3953" s="27"/>
      <c r="E3953" s="29"/>
      <c r="F3953" s="29"/>
      <c r="G3953" s="29"/>
      <c r="H3953" s="30" t="str">
        <f t="shared" si="427"/>
        <v/>
      </c>
      <c r="I3953" s="31" t="str">
        <f>IF(OR(B3953="",C3953=""),"",IFERROR(E3953*IF(E3953="",0,VLOOKUP(C3953,'📦 Precios Proforma'!$B$5:$D$104,IF(D3953="DIA",2,3),FALSE)),0))</f>
        <v/>
      </c>
      <c r="J3953" s="31" t="str">
        <f t="shared" si="428"/>
        <v/>
      </c>
      <c r="K3953" s="31" t="str">
        <f t="shared" si="429"/>
        <v/>
      </c>
      <c r="L3953" s="31" t="str">
        <f>IF(OR(B3953="",C3953=""),"",IFERROR(E3953 / SUMIFS('📅 Resumen Diario'!$D$5:$D$504, '📅 Resumen Diario'!$B$5:$B$504, B3953, '📅 Resumen Diario'!$C$5:$C$504, D3953) * SUMIFS('📅 Resumen Diario'!$K$5:$K$504, '📅 Resumen Diario'!$B$5:$B$504, B3953, '📅 Resumen Diario'!$C$5:$C$504, D3953), 0))</f>
        <v/>
      </c>
      <c r="M3953" s="31" t="str">
        <f t="shared" si="430"/>
        <v/>
      </c>
      <c r="N3953" s="31" t="str">
        <f t="shared" si="431"/>
        <v/>
      </c>
      <c r="O3953" s="31" t="str">
        <f>IF(OR(B3953="",C3953=""),"",K3953-N3953 + IFERROR(E3953 / SUMIFS('📅 Resumen Diario'!$D$5:$D$504, '📅 Resumen Diario'!$B$5:$B$504, B3953, '📅 Resumen Diario'!$C$5:$C$504, D3953) * (SUMIFS('📋 Detalle Diario'!$E$5:$E$489, '📋 Detalle Diario'!$B$5:$B$489, B3953, '📋 Detalle Diario'!$C$5:$C$489, D3953) * 135 + SUMIFS('📋 Detalle Diario'!$I$5:$I$489, '📋 Detalle Diario'!$B$5:$B$489, B3953, '📋 Detalle Diario'!$C$5:$C$489, D3953) * 200), 0))</f>
        <v/>
      </c>
      <c r="P3953" s="32" t="str">
        <f t="shared" si="432"/>
        <v/>
      </c>
      <c r="Q3953" s="33" t="str">
        <f t="shared" si="433"/>
        <v/>
      </c>
    </row>
    <row r="3954" spans="2:17" ht="18" customHeight="1" x14ac:dyDescent="0.3">
      <c r="B3954" s="26"/>
      <c r="C3954" s="17"/>
      <c r="D3954" s="27"/>
      <c r="E3954" s="18"/>
      <c r="F3954" s="18"/>
      <c r="G3954" s="18"/>
      <c r="H3954" s="30" t="str">
        <f t="shared" si="427"/>
        <v/>
      </c>
      <c r="I3954" s="31" t="str">
        <f>IF(OR(B3954="",C3954=""),"",IFERROR(E3954*IF(E3954="",0,VLOOKUP(C3954,'📦 Precios Proforma'!$B$5:$D$104,IF(D3954="DIA",2,3),FALSE)),0))</f>
        <v/>
      </c>
      <c r="J3954" s="31" t="str">
        <f t="shared" si="428"/>
        <v/>
      </c>
      <c r="K3954" s="31" t="str">
        <f t="shared" si="429"/>
        <v/>
      </c>
      <c r="L3954" s="31" t="str">
        <f>IF(OR(B3954="",C3954=""),"",IFERROR(E3954 / SUMIFS('📅 Resumen Diario'!$D$5:$D$504, '📅 Resumen Diario'!$B$5:$B$504, B3954, '📅 Resumen Diario'!$C$5:$C$504, D3954) * SUMIFS('📅 Resumen Diario'!$K$5:$K$504, '📅 Resumen Diario'!$B$5:$B$504, B3954, '📅 Resumen Diario'!$C$5:$C$504, D3954), 0))</f>
        <v/>
      </c>
      <c r="M3954" s="31" t="str">
        <f t="shared" si="430"/>
        <v/>
      </c>
      <c r="N3954" s="31" t="str">
        <f t="shared" si="431"/>
        <v/>
      </c>
      <c r="O3954" s="31" t="str">
        <f>IF(OR(B3954="",C3954=""),"",K3954-N3954 + IFERROR(E3954 / SUMIFS('📅 Resumen Diario'!$D$5:$D$504, '📅 Resumen Diario'!$B$5:$B$504, B3954, '📅 Resumen Diario'!$C$5:$C$504, D3954) * (SUMIFS('📋 Detalle Diario'!$E$5:$E$489, '📋 Detalle Diario'!$B$5:$B$489, B3954, '📋 Detalle Diario'!$C$5:$C$489, D3954) * 135 + SUMIFS('📋 Detalle Diario'!$I$5:$I$489, '📋 Detalle Diario'!$B$5:$B$489, B3954, '📋 Detalle Diario'!$C$5:$C$489, D3954) * 200), 0))</f>
        <v/>
      </c>
      <c r="P3954" s="32" t="str">
        <f t="shared" si="432"/>
        <v/>
      </c>
      <c r="Q3954" s="33" t="str">
        <f t="shared" si="433"/>
        <v/>
      </c>
    </row>
    <row r="3955" spans="2:17" ht="18" customHeight="1" x14ac:dyDescent="0.3">
      <c r="B3955" s="26"/>
      <c r="C3955" s="28"/>
      <c r="D3955" s="27"/>
      <c r="E3955" s="29"/>
      <c r="F3955" s="29"/>
      <c r="G3955" s="29"/>
      <c r="H3955" s="30" t="str">
        <f t="shared" si="427"/>
        <v/>
      </c>
      <c r="I3955" s="31" t="str">
        <f>IF(OR(B3955="",C3955=""),"",IFERROR(E3955*IF(E3955="",0,VLOOKUP(C3955,'📦 Precios Proforma'!$B$5:$D$104,IF(D3955="DIA",2,3),FALSE)),0))</f>
        <v/>
      </c>
      <c r="J3955" s="31" t="str">
        <f t="shared" si="428"/>
        <v/>
      </c>
      <c r="K3955" s="31" t="str">
        <f t="shared" si="429"/>
        <v/>
      </c>
      <c r="L3955" s="31" t="str">
        <f>IF(OR(B3955="",C3955=""),"",IFERROR(E3955 / SUMIFS('📅 Resumen Diario'!$D$5:$D$504, '📅 Resumen Diario'!$B$5:$B$504, B3955, '📅 Resumen Diario'!$C$5:$C$504, D3955) * SUMIFS('📅 Resumen Diario'!$K$5:$K$504, '📅 Resumen Diario'!$B$5:$B$504, B3955, '📅 Resumen Diario'!$C$5:$C$504, D3955), 0))</f>
        <v/>
      </c>
      <c r="M3955" s="31" t="str">
        <f t="shared" si="430"/>
        <v/>
      </c>
      <c r="N3955" s="31" t="str">
        <f t="shared" si="431"/>
        <v/>
      </c>
      <c r="O3955" s="31" t="str">
        <f>IF(OR(B3955="",C3955=""),"",K3955-N3955 + IFERROR(E3955 / SUMIFS('📅 Resumen Diario'!$D$5:$D$504, '📅 Resumen Diario'!$B$5:$B$504, B3955, '📅 Resumen Diario'!$C$5:$C$504, D3955) * (SUMIFS('📋 Detalle Diario'!$E$5:$E$489, '📋 Detalle Diario'!$B$5:$B$489, B3955, '📋 Detalle Diario'!$C$5:$C$489, D3955) * 135 + SUMIFS('📋 Detalle Diario'!$I$5:$I$489, '📋 Detalle Diario'!$B$5:$B$489, B3955, '📋 Detalle Diario'!$C$5:$C$489, D3955) * 200), 0))</f>
        <v/>
      </c>
      <c r="P3955" s="32" t="str">
        <f t="shared" si="432"/>
        <v/>
      </c>
      <c r="Q3955" s="33" t="str">
        <f t="shared" si="433"/>
        <v/>
      </c>
    </row>
    <row r="3956" spans="2:17" ht="18" customHeight="1" x14ac:dyDescent="0.3">
      <c r="B3956" s="26"/>
      <c r="C3956" s="17"/>
      <c r="D3956" s="27"/>
      <c r="E3956" s="18"/>
      <c r="F3956" s="18"/>
      <c r="G3956" s="18"/>
      <c r="H3956" s="30" t="str">
        <f t="shared" si="427"/>
        <v/>
      </c>
      <c r="I3956" s="31" t="str">
        <f>IF(OR(B3956="",C3956=""),"",IFERROR(E3956*IF(E3956="",0,VLOOKUP(C3956,'📦 Precios Proforma'!$B$5:$D$104,IF(D3956="DIA",2,3),FALSE)),0))</f>
        <v/>
      </c>
      <c r="J3956" s="31" t="str">
        <f t="shared" si="428"/>
        <v/>
      </c>
      <c r="K3956" s="31" t="str">
        <f t="shared" si="429"/>
        <v/>
      </c>
      <c r="L3956" s="31" t="str">
        <f>IF(OR(B3956="",C3956=""),"",IFERROR(E3956 / SUMIFS('📅 Resumen Diario'!$D$5:$D$504, '📅 Resumen Diario'!$B$5:$B$504, B3956, '📅 Resumen Diario'!$C$5:$C$504, D3956) * SUMIFS('📅 Resumen Diario'!$K$5:$K$504, '📅 Resumen Diario'!$B$5:$B$504, B3956, '📅 Resumen Diario'!$C$5:$C$504, D3956), 0))</f>
        <v/>
      </c>
      <c r="M3956" s="31" t="str">
        <f t="shared" si="430"/>
        <v/>
      </c>
      <c r="N3956" s="31" t="str">
        <f t="shared" si="431"/>
        <v/>
      </c>
      <c r="O3956" s="31" t="str">
        <f>IF(OR(B3956="",C3956=""),"",K3956-N3956 + IFERROR(E3956 / SUMIFS('📅 Resumen Diario'!$D$5:$D$504, '📅 Resumen Diario'!$B$5:$B$504, B3956, '📅 Resumen Diario'!$C$5:$C$504, D3956) * (SUMIFS('📋 Detalle Diario'!$E$5:$E$489, '📋 Detalle Diario'!$B$5:$B$489, B3956, '📋 Detalle Diario'!$C$5:$C$489, D3956) * 135 + SUMIFS('📋 Detalle Diario'!$I$5:$I$489, '📋 Detalle Diario'!$B$5:$B$489, B3956, '📋 Detalle Diario'!$C$5:$C$489, D3956) * 200), 0))</f>
        <v/>
      </c>
      <c r="P3956" s="32" t="str">
        <f t="shared" si="432"/>
        <v/>
      </c>
      <c r="Q3956" s="33" t="str">
        <f t="shared" si="433"/>
        <v/>
      </c>
    </row>
    <row r="3957" spans="2:17" ht="18" customHeight="1" x14ac:dyDescent="0.3">
      <c r="B3957" s="26"/>
      <c r="C3957" s="28"/>
      <c r="D3957" s="27"/>
      <c r="E3957" s="29"/>
      <c r="F3957" s="29"/>
      <c r="G3957" s="29"/>
      <c r="H3957" s="30" t="str">
        <f t="shared" si="427"/>
        <v/>
      </c>
      <c r="I3957" s="31" t="str">
        <f>IF(OR(B3957="",C3957=""),"",IFERROR(E3957*IF(E3957="",0,VLOOKUP(C3957,'📦 Precios Proforma'!$B$5:$D$104,IF(D3957="DIA",2,3),FALSE)),0))</f>
        <v/>
      </c>
      <c r="J3957" s="31" t="str">
        <f t="shared" si="428"/>
        <v/>
      </c>
      <c r="K3957" s="31" t="str">
        <f t="shared" si="429"/>
        <v/>
      </c>
      <c r="L3957" s="31" t="str">
        <f>IF(OR(B3957="",C3957=""),"",IFERROR(E3957 / SUMIFS('📅 Resumen Diario'!$D$5:$D$504, '📅 Resumen Diario'!$B$5:$B$504, B3957, '📅 Resumen Diario'!$C$5:$C$504, D3957) * SUMIFS('📅 Resumen Diario'!$K$5:$K$504, '📅 Resumen Diario'!$B$5:$B$504, B3957, '📅 Resumen Diario'!$C$5:$C$504, D3957), 0))</f>
        <v/>
      </c>
      <c r="M3957" s="31" t="str">
        <f t="shared" si="430"/>
        <v/>
      </c>
      <c r="N3957" s="31" t="str">
        <f t="shared" si="431"/>
        <v/>
      </c>
      <c r="O3957" s="31" t="str">
        <f>IF(OR(B3957="",C3957=""),"",K3957-N3957 + IFERROR(E3957 / SUMIFS('📅 Resumen Diario'!$D$5:$D$504, '📅 Resumen Diario'!$B$5:$B$504, B3957, '📅 Resumen Diario'!$C$5:$C$504, D3957) * (SUMIFS('📋 Detalle Diario'!$E$5:$E$489, '📋 Detalle Diario'!$B$5:$B$489, B3957, '📋 Detalle Diario'!$C$5:$C$489, D3957) * 135 + SUMIFS('📋 Detalle Diario'!$I$5:$I$489, '📋 Detalle Diario'!$B$5:$B$489, B3957, '📋 Detalle Diario'!$C$5:$C$489, D3957) * 200), 0))</f>
        <v/>
      </c>
      <c r="P3957" s="32" t="str">
        <f t="shared" si="432"/>
        <v/>
      </c>
      <c r="Q3957" s="33" t="str">
        <f t="shared" si="433"/>
        <v/>
      </c>
    </row>
    <row r="3958" spans="2:17" ht="18" customHeight="1" x14ac:dyDescent="0.3">
      <c r="B3958" s="26"/>
      <c r="C3958" s="17"/>
      <c r="D3958" s="27"/>
      <c r="E3958" s="18"/>
      <c r="F3958" s="18"/>
      <c r="G3958" s="18"/>
      <c r="H3958" s="30" t="str">
        <f t="shared" si="427"/>
        <v/>
      </c>
      <c r="I3958" s="31" t="str">
        <f>IF(OR(B3958="",C3958=""),"",IFERROR(E3958*IF(E3958="",0,VLOOKUP(C3958,'📦 Precios Proforma'!$B$5:$D$104,IF(D3958="DIA",2,3),FALSE)),0))</f>
        <v/>
      </c>
      <c r="J3958" s="31" t="str">
        <f t="shared" si="428"/>
        <v/>
      </c>
      <c r="K3958" s="31" t="str">
        <f t="shared" si="429"/>
        <v/>
      </c>
      <c r="L3958" s="31" t="str">
        <f>IF(OR(B3958="",C3958=""),"",IFERROR(E3958 / SUMIFS('📅 Resumen Diario'!$D$5:$D$504, '📅 Resumen Diario'!$B$5:$B$504, B3958, '📅 Resumen Diario'!$C$5:$C$504, D3958) * SUMIFS('📅 Resumen Diario'!$K$5:$K$504, '📅 Resumen Diario'!$B$5:$B$504, B3958, '📅 Resumen Diario'!$C$5:$C$504, D3958), 0))</f>
        <v/>
      </c>
      <c r="M3958" s="31" t="str">
        <f t="shared" si="430"/>
        <v/>
      </c>
      <c r="N3958" s="31" t="str">
        <f t="shared" si="431"/>
        <v/>
      </c>
      <c r="O3958" s="31" t="str">
        <f>IF(OR(B3958="",C3958=""),"",K3958-N3958 + IFERROR(E3958 / SUMIFS('📅 Resumen Diario'!$D$5:$D$504, '📅 Resumen Diario'!$B$5:$B$504, B3958, '📅 Resumen Diario'!$C$5:$C$504, D3958) * (SUMIFS('📋 Detalle Diario'!$E$5:$E$489, '📋 Detalle Diario'!$B$5:$B$489, B3958, '📋 Detalle Diario'!$C$5:$C$489, D3958) * 135 + SUMIFS('📋 Detalle Diario'!$I$5:$I$489, '📋 Detalle Diario'!$B$5:$B$489, B3958, '📋 Detalle Diario'!$C$5:$C$489, D3958) * 200), 0))</f>
        <v/>
      </c>
      <c r="P3958" s="32" t="str">
        <f t="shared" si="432"/>
        <v/>
      </c>
      <c r="Q3958" s="33" t="str">
        <f t="shared" si="433"/>
        <v/>
      </c>
    </row>
    <row r="3959" spans="2:17" ht="18" customHeight="1" x14ac:dyDescent="0.3">
      <c r="B3959" s="26"/>
      <c r="C3959" s="28"/>
      <c r="D3959" s="27"/>
      <c r="E3959" s="29"/>
      <c r="F3959" s="29"/>
      <c r="G3959" s="29"/>
      <c r="H3959" s="30" t="str">
        <f t="shared" si="427"/>
        <v/>
      </c>
      <c r="I3959" s="31" t="str">
        <f>IF(OR(B3959="",C3959=""),"",IFERROR(E3959*IF(E3959="",0,VLOOKUP(C3959,'📦 Precios Proforma'!$B$5:$D$104,IF(D3959="DIA",2,3),FALSE)),0))</f>
        <v/>
      </c>
      <c r="J3959" s="31" t="str">
        <f t="shared" si="428"/>
        <v/>
      </c>
      <c r="K3959" s="31" t="str">
        <f t="shared" si="429"/>
        <v/>
      </c>
      <c r="L3959" s="31" t="str">
        <f>IF(OR(B3959="",C3959=""),"",IFERROR(E3959 / SUMIFS('📅 Resumen Diario'!$D$5:$D$504, '📅 Resumen Diario'!$B$5:$B$504, B3959, '📅 Resumen Diario'!$C$5:$C$504, D3959) * SUMIFS('📅 Resumen Diario'!$K$5:$K$504, '📅 Resumen Diario'!$B$5:$B$504, B3959, '📅 Resumen Diario'!$C$5:$C$504, D3959), 0))</f>
        <v/>
      </c>
      <c r="M3959" s="31" t="str">
        <f t="shared" si="430"/>
        <v/>
      </c>
      <c r="N3959" s="31" t="str">
        <f t="shared" si="431"/>
        <v/>
      </c>
      <c r="O3959" s="31" t="str">
        <f>IF(OR(B3959="",C3959=""),"",K3959-N3959 + IFERROR(E3959 / SUMIFS('📅 Resumen Diario'!$D$5:$D$504, '📅 Resumen Diario'!$B$5:$B$504, B3959, '📅 Resumen Diario'!$C$5:$C$504, D3959) * (SUMIFS('📋 Detalle Diario'!$E$5:$E$489, '📋 Detalle Diario'!$B$5:$B$489, B3959, '📋 Detalle Diario'!$C$5:$C$489, D3959) * 135 + SUMIFS('📋 Detalle Diario'!$I$5:$I$489, '📋 Detalle Diario'!$B$5:$B$489, B3959, '📋 Detalle Diario'!$C$5:$C$489, D3959) * 200), 0))</f>
        <v/>
      </c>
      <c r="P3959" s="32" t="str">
        <f t="shared" si="432"/>
        <v/>
      </c>
      <c r="Q3959" s="33" t="str">
        <f t="shared" si="433"/>
        <v/>
      </c>
    </row>
    <row r="3960" spans="2:17" ht="18" customHeight="1" x14ac:dyDescent="0.3">
      <c r="B3960" s="26"/>
      <c r="C3960" s="17"/>
      <c r="D3960" s="27"/>
      <c r="E3960" s="18"/>
      <c r="F3960" s="18"/>
      <c r="G3960" s="18"/>
      <c r="H3960" s="30" t="str">
        <f t="shared" si="427"/>
        <v/>
      </c>
      <c r="I3960" s="31" t="str">
        <f>IF(OR(B3960="",C3960=""),"",IFERROR(E3960*IF(E3960="",0,VLOOKUP(C3960,'📦 Precios Proforma'!$B$5:$D$104,IF(D3960="DIA",2,3),FALSE)),0))</f>
        <v/>
      </c>
      <c r="J3960" s="31" t="str">
        <f t="shared" si="428"/>
        <v/>
      </c>
      <c r="K3960" s="31" t="str">
        <f t="shared" si="429"/>
        <v/>
      </c>
      <c r="L3960" s="31" t="str">
        <f>IF(OR(B3960="",C3960=""),"",IFERROR(E3960 / SUMIFS('📅 Resumen Diario'!$D$5:$D$504, '📅 Resumen Diario'!$B$5:$B$504, B3960, '📅 Resumen Diario'!$C$5:$C$504, D3960) * SUMIFS('📅 Resumen Diario'!$K$5:$K$504, '📅 Resumen Diario'!$B$5:$B$504, B3960, '📅 Resumen Diario'!$C$5:$C$504, D3960), 0))</f>
        <v/>
      </c>
      <c r="M3960" s="31" t="str">
        <f t="shared" si="430"/>
        <v/>
      </c>
      <c r="N3960" s="31" t="str">
        <f t="shared" si="431"/>
        <v/>
      </c>
      <c r="O3960" s="31" t="str">
        <f>IF(OR(B3960="",C3960=""),"",K3960-N3960 + IFERROR(E3960 / SUMIFS('📅 Resumen Diario'!$D$5:$D$504, '📅 Resumen Diario'!$B$5:$B$504, B3960, '📅 Resumen Diario'!$C$5:$C$504, D3960) * (SUMIFS('📋 Detalle Diario'!$E$5:$E$489, '📋 Detalle Diario'!$B$5:$B$489, B3960, '📋 Detalle Diario'!$C$5:$C$489, D3960) * 135 + SUMIFS('📋 Detalle Diario'!$I$5:$I$489, '📋 Detalle Diario'!$B$5:$B$489, B3960, '📋 Detalle Diario'!$C$5:$C$489, D3960) * 200), 0))</f>
        <v/>
      </c>
      <c r="P3960" s="32" t="str">
        <f t="shared" si="432"/>
        <v/>
      </c>
      <c r="Q3960" s="33" t="str">
        <f t="shared" si="433"/>
        <v/>
      </c>
    </row>
    <row r="3961" spans="2:17" ht="18" customHeight="1" x14ac:dyDescent="0.3">
      <c r="B3961" s="26"/>
      <c r="C3961" s="28"/>
      <c r="D3961" s="27"/>
      <c r="E3961" s="29"/>
      <c r="F3961" s="29"/>
      <c r="G3961" s="29"/>
      <c r="H3961" s="30" t="str">
        <f t="shared" si="427"/>
        <v/>
      </c>
      <c r="I3961" s="31" t="str">
        <f>IF(OR(B3961="",C3961=""),"",IFERROR(E3961*IF(E3961="",0,VLOOKUP(C3961,'📦 Precios Proforma'!$B$5:$D$104,IF(D3961="DIA",2,3),FALSE)),0))</f>
        <v/>
      </c>
      <c r="J3961" s="31" t="str">
        <f t="shared" si="428"/>
        <v/>
      </c>
      <c r="K3961" s="31" t="str">
        <f t="shared" si="429"/>
        <v/>
      </c>
      <c r="L3961" s="31" t="str">
        <f>IF(OR(B3961="",C3961=""),"",IFERROR(E3961 / SUMIFS('📅 Resumen Diario'!$D$5:$D$504, '📅 Resumen Diario'!$B$5:$B$504, B3961, '📅 Resumen Diario'!$C$5:$C$504, D3961) * SUMIFS('📅 Resumen Diario'!$K$5:$K$504, '📅 Resumen Diario'!$B$5:$B$504, B3961, '📅 Resumen Diario'!$C$5:$C$504, D3961), 0))</f>
        <v/>
      </c>
      <c r="M3961" s="31" t="str">
        <f t="shared" si="430"/>
        <v/>
      </c>
      <c r="N3961" s="31" t="str">
        <f t="shared" si="431"/>
        <v/>
      </c>
      <c r="O3961" s="31" t="str">
        <f>IF(OR(B3961="",C3961=""),"",K3961-N3961 + IFERROR(E3961 / SUMIFS('📅 Resumen Diario'!$D$5:$D$504, '📅 Resumen Diario'!$B$5:$B$504, B3961, '📅 Resumen Diario'!$C$5:$C$504, D3961) * (SUMIFS('📋 Detalle Diario'!$E$5:$E$489, '📋 Detalle Diario'!$B$5:$B$489, B3961, '📋 Detalle Diario'!$C$5:$C$489, D3961) * 135 + SUMIFS('📋 Detalle Diario'!$I$5:$I$489, '📋 Detalle Diario'!$B$5:$B$489, B3961, '📋 Detalle Diario'!$C$5:$C$489, D3961) * 200), 0))</f>
        <v/>
      </c>
      <c r="P3961" s="32" t="str">
        <f t="shared" si="432"/>
        <v/>
      </c>
      <c r="Q3961" s="33" t="str">
        <f t="shared" si="433"/>
        <v/>
      </c>
    </row>
    <row r="3962" spans="2:17" ht="18" customHeight="1" x14ac:dyDescent="0.3">
      <c r="B3962" s="26"/>
      <c r="C3962" s="17"/>
      <c r="D3962" s="27"/>
      <c r="E3962" s="18"/>
      <c r="F3962" s="18"/>
      <c r="G3962" s="18"/>
      <c r="H3962" s="30" t="str">
        <f t="shared" si="427"/>
        <v/>
      </c>
      <c r="I3962" s="31" t="str">
        <f>IF(OR(B3962="",C3962=""),"",IFERROR(E3962*IF(E3962="",0,VLOOKUP(C3962,'📦 Precios Proforma'!$B$5:$D$104,IF(D3962="DIA",2,3),FALSE)),0))</f>
        <v/>
      </c>
      <c r="J3962" s="31" t="str">
        <f t="shared" si="428"/>
        <v/>
      </c>
      <c r="K3962" s="31" t="str">
        <f t="shared" si="429"/>
        <v/>
      </c>
      <c r="L3962" s="31" t="str">
        <f>IF(OR(B3962="",C3962=""),"",IFERROR(E3962 / SUMIFS('📅 Resumen Diario'!$D$5:$D$504, '📅 Resumen Diario'!$B$5:$B$504, B3962, '📅 Resumen Diario'!$C$5:$C$504, D3962) * SUMIFS('📅 Resumen Diario'!$K$5:$K$504, '📅 Resumen Diario'!$B$5:$B$504, B3962, '📅 Resumen Diario'!$C$5:$C$504, D3962), 0))</f>
        <v/>
      </c>
      <c r="M3962" s="31" t="str">
        <f t="shared" si="430"/>
        <v/>
      </c>
      <c r="N3962" s="31" t="str">
        <f t="shared" si="431"/>
        <v/>
      </c>
      <c r="O3962" s="31" t="str">
        <f>IF(OR(B3962="",C3962=""),"",K3962-N3962 + IFERROR(E3962 / SUMIFS('📅 Resumen Diario'!$D$5:$D$504, '📅 Resumen Diario'!$B$5:$B$504, B3962, '📅 Resumen Diario'!$C$5:$C$504, D3962) * (SUMIFS('📋 Detalle Diario'!$E$5:$E$489, '📋 Detalle Diario'!$B$5:$B$489, B3962, '📋 Detalle Diario'!$C$5:$C$489, D3962) * 135 + SUMIFS('📋 Detalle Diario'!$I$5:$I$489, '📋 Detalle Diario'!$B$5:$B$489, B3962, '📋 Detalle Diario'!$C$5:$C$489, D3962) * 200), 0))</f>
        <v/>
      </c>
      <c r="P3962" s="32" t="str">
        <f t="shared" si="432"/>
        <v/>
      </c>
      <c r="Q3962" s="33" t="str">
        <f t="shared" si="433"/>
        <v/>
      </c>
    </row>
    <row r="3963" spans="2:17" ht="18" customHeight="1" x14ac:dyDescent="0.3">
      <c r="B3963" s="26"/>
      <c r="C3963" s="28"/>
      <c r="D3963" s="27"/>
      <c r="E3963" s="29"/>
      <c r="F3963" s="29"/>
      <c r="G3963" s="29"/>
      <c r="H3963" s="30" t="str">
        <f t="shared" si="427"/>
        <v/>
      </c>
      <c r="I3963" s="31" t="str">
        <f>IF(OR(B3963="",C3963=""),"",IFERROR(E3963*IF(E3963="",0,VLOOKUP(C3963,'📦 Precios Proforma'!$B$5:$D$104,IF(D3963="DIA",2,3),FALSE)),0))</f>
        <v/>
      </c>
      <c r="J3963" s="31" t="str">
        <f t="shared" si="428"/>
        <v/>
      </c>
      <c r="K3963" s="31" t="str">
        <f t="shared" si="429"/>
        <v/>
      </c>
      <c r="L3963" s="31" t="str">
        <f>IF(OR(B3963="",C3963=""),"",IFERROR(E3963 / SUMIFS('📅 Resumen Diario'!$D$5:$D$504, '📅 Resumen Diario'!$B$5:$B$504, B3963, '📅 Resumen Diario'!$C$5:$C$504, D3963) * SUMIFS('📅 Resumen Diario'!$K$5:$K$504, '📅 Resumen Diario'!$B$5:$B$504, B3963, '📅 Resumen Diario'!$C$5:$C$504, D3963), 0))</f>
        <v/>
      </c>
      <c r="M3963" s="31" t="str">
        <f t="shared" si="430"/>
        <v/>
      </c>
      <c r="N3963" s="31" t="str">
        <f t="shared" si="431"/>
        <v/>
      </c>
      <c r="O3963" s="31" t="str">
        <f>IF(OR(B3963="",C3963=""),"",K3963-N3963 + IFERROR(E3963 / SUMIFS('📅 Resumen Diario'!$D$5:$D$504, '📅 Resumen Diario'!$B$5:$B$504, B3963, '📅 Resumen Diario'!$C$5:$C$504, D3963) * (SUMIFS('📋 Detalle Diario'!$E$5:$E$489, '📋 Detalle Diario'!$B$5:$B$489, B3963, '📋 Detalle Diario'!$C$5:$C$489, D3963) * 135 + SUMIFS('📋 Detalle Diario'!$I$5:$I$489, '📋 Detalle Diario'!$B$5:$B$489, B3963, '📋 Detalle Diario'!$C$5:$C$489, D3963) * 200), 0))</f>
        <v/>
      </c>
      <c r="P3963" s="32" t="str">
        <f t="shared" si="432"/>
        <v/>
      </c>
      <c r="Q3963" s="33" t="str">
        <f t="shared" si="433"/>
        <v/>
      </c>
    </row>
    <row r="3964" spans="2:17" ht="18" customHeight="1" x14ac:dyDescent="0.3">
      <c r="B3964" s="26"/>
      <c r="C3964" s="17"/>
      <c r="D3964" s="27"/>
      <c r="E3964" s="18"/>
      <c r="F3964" s="18"/>
      <c r="G3964" s="18"/>
      <c r="H3964" s="30" t="str">
        <f t="shared" si="427"/>
        <v/>
      </c>
      <c r="I3964" s="31" t="str">
        <f>IF(OR(B3964="",C3964=""),"",IFERROR(E3964*IF(E3964="",0,VLOOKUP(C3964,'📦 Precios Proforma'!$B$5:$D$104,IF(D3964="DIA",2,3),FALSE)),0))</f>
        <v/>
      </c>
      <c r="J3964" s="31" t="str">
        <f t="shared" si="428"/>
        <v/>
      </c>
      <c r="K3964" s="31" t="str">
        <f t="shared" si="429"/>
        <v/>
      </c>
      <c r="L3964" s="31" t="str">
        <f>IF(OR(B3964="",C3964=""),"",IFERROR(E3964 / SUMIFS('📅 Resumen Diario'!$D$5:$D$504, '📅 Resumen Diario'!$B$5:$B$504, B3964, '📅 Resumen Diario'!$C$5:$C$504, D3964) * SUMIFS('📅 Resumen Diario'!$K$5:$K$504, '📅 Resumen Diario'!$B$5:$B$504, B3964, '📅 Resumen Diario'!$C$5:$C$504, D3964), 0))</f>
        <v/>
      </c>
      <c r="M3964" s="31" t="str">
        <f t="shared" si="430"/>
        <v/>
      </c>
      <c r="N3964" s="31" t="str">
        <f t="shared" si="431"/>
        <v/>
      </c>
      <c r="O3964" s="31" t="str">
        <f>IF(OR(B3964="",C3964=""),"",K3964-N3964 + IFERROR(E3964 / SUMIFS('📅 Resumen Diario'!$D$5:$D$504, '📅 Resumen Diario'!$B$5:$B$504, B3964, '📅 Resumen Diario'!$C$5:$C$504, D3964) * (SUMIFS('📋 Detalle Diario'!$E$5:$E$489, '📋 Detalle Diario'!$B$5:$B$489, B3964, '📋 Detalle Diario'!$C$5:$C$489, D3964) * 135 + SUMIFS('📋 Detalle Diario'!$I$5:$I$489, '📋 Detalle Diario'!$B$5:$B$489, B3964, '📋 Detalle Diario'!$C$5:$C$489, D3964) * 200), 0))</f>
        <v/>
      </c>
      <c r="P3964" s="32" t="str">
        <f t="shared" si="432"/>
        <v/>
      </c>
      <c r="Q3964" s="33" t="str">
        <f t="shared" si="433"/>
        <v/>
      </c>
    </row>
    <row r="3965" spans="2:17" ht="18" customHeight="1" x14ac:dyDescent="0.3">
      <c r="B3965" s="26"/>
      <c r="C3965" s="28"/>
      <c r="D3965" s="27"/>
      <c r="E3965" s="29"/>
      <c r="F3965" s="29"/>
      <c r="G3965" s="29"/>
      <c r="H3965" s="30" t="str">
        <f t="shared" si="427"/>
        <v/>
      </c>
      <c r="I3965" s="31" t="str">
        <f>IF(OR(B3965="",C3965=""),"",IFERROR(E3965*IF(E3965="",0,VLOOKUP(C3965,'📦 Precios Proforma'!$B$5:$D$104,IF(D3965="DIA",2,3),FALSE)),0))</f>
        <v/>
      </c>
      <c r="J3965" s="31" t="str">
        <f t="shared" si="428"/>
        <v/>
      </c>
      <c r="K3965" s="31" t="str">
        <f t="shared" si="429"/>
        <v/>
      </c>
      <c r="L3965" s="31" t="str">
        <f>IF(OR(B3965="",C3965=""),"",IFERROR(E3965 / SUMIFS('📅 Resumen Diario'!$D$5:$D$504, '📅 Resumen Diario'!$B$5:$B$504, B3965, '📅 Resumen Diario'!$C$5:$C$504, D3965) * SUMIFS('📅 Resumen Diario'!$K$5:$K$504, '📅 Resumen Diario'!$B$5:$B$504, B3965, '📅 Resumen Diario'!$C$5:$C$504, D3965), 0))</f>
        <v/>
      </c>
      <c r="M3965" s="31" t="str">
        <f t="shared" si="430"/>
        <v/>
      </c>
      <c r="N3965" s="31" t="str">
        <f t="shared" si="431"/>
        <v/>
      </c>
      <c r="O3965" s="31" t="str">
        <f>IF(OR(B3965="",C3965=""),"",K3965-N3965 + IFERROR(E3965 / SUMIFS('📅 Resumen Diario'!$D$5:$D$504, '📅 Resumen Diario'!$B$5:$B$504, B3965, '📅 Resumen Diario'!$C$5:$C$504, D3965) * (SUMIFS('📋 Detalle Diario'!$E$5:$E$489, '📋 Detalle Diario'!$B$5:$B$489, B3965, '📋 Detalle Diario'!$C$5:$C$489, D3965) * 135 + SUMIFS('📋 Detalle Diario'!$I$5:$I$489, '📋 Detalle Diario'!$B$5:$B$489, B3965, '📋 Detalle Diario'!$C$5:$C$489, D3965) * 200), 0))</f>
        <v/>
      </c>
      <c r="P3965" s="32" t="str">
        <f t="shared" si="432"/>
        <v/>
      </c>
      <c r="Q3965" s="33" t="str">
        <f t="shared" si="433"/>
        <v/>
      </c>
    </row>
    <row r="3966" spans="2:17" ht="18" customHeight="1" x14ac:dyDescent="0.3">
      <c r="B3966" s="26"/>
      <c r="C3966" s="17"/>
      <c r="D3966" s="27"/>
      <c r="E3966" s="18"/>
      <c r="F3966" s="18"/>
      <c r="G3966" s="18"/>
      <c r="H3966" s="30" t="str">
        <f t="shared" si="427"/>
        <v/>
      </c>
      <c r="I3966" s="31" t="str">
        <f>IF(OR(B3966="",C3966=""),"",IFERROR(E3966*IF(E3966="",0,VLOOKUP(C3966,'📦 Precios Proforma'!$B$5:$D$104,IF(D3966="DIA",2,3),FALSE)),0))</f>
        <v/>
      </c>
      <c r="J3966" s="31" t="str">
        <f t="shared" si="428"/>
        <v/>
      </c>
      <c r="K3966" s="31" t="str">
        <f t="shared" si="429"/>
        <v/>
      </c>
      <c r="L3966" s="31" t="str">
        <f>IF(OR(B3966="",C3966=""),"",IFERROR(E3966 / SUMIFS('📅 Resumen Diario'!$D$5:$D$504, '📅 Resumen Diario'!$B$5:$B$504, B3966, '📅 Resumen Diario'!$C$5:$C$504, D3966) * SUMIFS('📅 Resumen Diario'!$K$5:$K$504, '📅 Resumen Diario'!$B$5:$B$504, B3966, '📅 Resumen Diario'!$C$5:$C$504, D3966), 0))</f>
        <v/>
      </c>
      <c r="M3966" s="31" t="str">
        <f t="shared" si="430"/>
        <v/>
      </c>
      <c r="N3966" s="31" t="str">
        <f t="shared" si="431"/>
        <v/>
      </c>
      <c r="O3966" s="31" t="str">
        <f>IF(OR(B3966="",C3966=""),"",K3966-N3966 + IFERROR(E3966 / SUMIFS('📅 Resumen Diario'!$D$5:$D$504, '📅 Resumen Diario'!$B$5:$B$504, B3966, '📅 Resumen Diario'!$C$5:$C$504, D3966) * (SUMIFS('📋 Detalle Diario'!$E$5:$E$489, '📋 Detalle Diario'!$B$5:$B$489, B3966, '📋 Detalle Diario'!$C$5:$C$489, D3966) * 135 + SUMIFS('📋 Detalle Diario'!$I$5:$I$489, '📋 Detalle Diario'!$B$5:$B$489, B3966, '📋 Detalle Diario'!$C$5:$C$489, D3966) * 200), 0))</f>
        <v/>
      </c>
      <c r="P3966" s="32" t="str">
        <f t="shared" si="432"/>
        <v/>
      </c>
      <c r="Q3966" s="33" t="str">
        <f t="shared" si="433"/>
        <v/>
      </c>
    </row>
    <row r="3967" spans="2:17" ht="18" customHeight="1" x14ac:dyDescent="0.3">
      <c r="B3967" s="26"/>
      <c r="C3967" s="28"/>
      <c r="D3967" s="27"/>
      <c r="E3967" s="29"/>
      <c r="F3967" s="29"/>
      <c r="G3967" s="29"/>
      <c r="H3967" s="30" t="str">
        <f t="shared" si="427"/>
        <v/>
      </c>
      <c r="I3967" s="31" t="str">
        <f>IF(OR(B3967="",C3967=""),"",IFERROR(E3967*IF(E3967="",0,VLOOKUP(C3967,'📦 Precios Proforma'!$B$5:$D$104,IF(D3967="DIA",2,3),FALSE)),0))</f>
        <v/>
      </c>
      <c r="J3967" s="31" t="str">
        <f t="shared" si="428"/>
        <v/>
      </c>
      <c r="K3967" s="31" t="str">
        <f t="shared" si="429"/>
        <v/>
      </c>
      <c r="L3967" s="31" t="str">
        <f>IF(OR(B3967="",C3967=""),"",IFERROR(E3967 / SUMIFS('📅 Resumen Diario'!$D$5:$D$504, '📅 Resumen Diario'!$B$5:$B$504, B3967, '📅 Resumen Diario'!$C$5:$C$504, D3967) * SUMIFS('📅 Resumen Diario'!$K$5:$K$504, '📅 Resumen Diario'!$B$5:$B$504, B3967, '📅 Resumen Diario'!$C$5:$C$504, D3967), 0))</f>
        <v/>
      </c>
      <c r="M3967" s="31" t="str">
        <f t="shared" si="430"/>
        <v/>
      </c>
      <c r="N3967" s="31" t="str">
        <f t="shared" si="431"/>
        <v/>
      </c>
      <c r="O3967" s="31" t="str">
        <f>IF(OR(B3967="",C3967=""),"",K3967-N3967 + IFERROR(E3967 / SUMIFS('📅 Resumen Diario'!$D$5:$D$504, '📅 Resumen Diario'!$B$5:$B$504, B3967, '📅 Resumen Diario'!$C$5:$C$504, D3967) * (SUMIFS('📋 Detalle Diario'!$E$5:$E$489, '📋 Detalle Diario'!$B$5:$B$489, B3967, '📋 Detalle Diario'!$C$5:$C$489, D3967) * 135 + SUMIFS('📋 Detalle Diario'!$I$5:$I$489, '📋 Detalle Diario'!$B$5:$B$489, B3967, '📋 Detalle Diario'!$C$5:$C$489, D3967) * 200), 0))</f>
        <v/>
      </c>
      <c r="P3967" s="32" t="str">
        <f t="shared" si="432"/>
        <v/>
      </c>
      <c r="Q3967" s="33" t="str">
        <f t="shared" si="433"/>
        <v/>
      </c>
    </row>
    <row r="3968" spans="2:17" ht="18" customHeight="1" x14ac:dyDescent="0.3">
      <c r="B3968" s="26"/>
      <c r="C3968" s="17"/>
      <c r="D3968" s="27"/>
      <c r="E3968" s="18"/>
      <c r="F3968" s="18"/>
      <c r="G3968" s="18"/>
      <c r="H3968" s="30" t="str">
        <f t="shared" si="427"/>
        <v/>
      </c>
      <c r="I3968" s="31" t="str">
        <f>IF(OR(B3968="",C3968=""),"",IFERROR(E3968*IF(E3968="",0,VLOOKUP(C3968,'📦 Precios Proforma'!$B$5:$D$104,IF(D3968="DIA",2,3),FALSE)),0))</f>
        <v/>
      </c>
      <c r="J3968" s="31" t="str">
        <f t="shared" si="428"/>
        <v/>
      </c>
      <c r="K3968" s="31" t="str">
        <f t="shared" si="429"/>
        <v/>
      </c>
      <c r="L3968" s="31" t="str">
        <f>IF(OR(B3968="",C3968=""),"",IFERROR(E3968 / SUMIFS('📅 Resumen Diario'!$D$5:$D$504, '📅 Resumen Diario'!$B$5:$B$504, B3968, '📅 Resumen Diario'!$C$5:$C$504, D3968) * SUMIFS('📅 Resumen Diario'!$K$5:$K$504, '📅 Resumen Diario'!$B$5:$B$504, B3968, '📅 Resumen Diario'!$C$5:$C$504, D3968), 0))</f>
        <v/>
      </c>
      <c r="M3968" s="31" t="str">
        <f t="shared" si="430"/>
        <v/>
      </c>
      <c r="N3968" s="31" t="str">
        <f t="shared" si="431"/>
        <v/>
      </c>
      <c r="O3968" s="31" t="str">
        <f>IF(OR(B3968="",C3968=""),"",K3968-N3968 + IFERROR(E3968 / SUMIFS('📅 Resumen Diario'!$D$5:$D$504, '📅 Resumen Diario'!$B$5:$B$504, B3968, '📅 Resumen Diario'!$C$5:$C$504, D3968) * (SUMIFS('📋 Detalle Diario'!$E$5:$E$489, '📋 Detalle Diario'!$B$5:$B$489, B3968, '📋 Detalle Diario'!$C$5:$C$489, D3968) * 135 + SUMIFS('📋 Detalle Diario'!$I$5:$I$489, '📋 Detalle Diario'!$B$5:$B$489, B3968, '📋 Detalle Diario'!$C$5:$C$489, D3968) * 200), 0))</f>
        <v/>
      </c>
      <c r="P3968" s="32" t="str">
        <f t="shared" si="432"/>
        <v/>
      </c>
      <c r="Q3968" s="33" t="str">
        <f t="shared" si="433"/>
        <v/>
      </c>
    </row>
    <row r="3969" spans="2:17" ht="18" customHeight="1" x14ac:dyDescent="0.3">
      <c r="B3969" s="26"/>
      <c r="C3969" s="28"/>
      <c r="D3969" s="27"/>
      <c r="E3969" s="29"/>
      <c r="F3969" s="29"/>
      <c r="G3969" s="29"/>
      <c r="H3969" s="30" t="str">
        <f t="shared" si="427"/>
        <v/>
      </c>
      <c r="I3969" s="31" t="str">
        <f>IF(OR(B3969="",C3969=""),"",IFERROR(E3969*IF(E3969="",0,VLOOKUP(C3969,'📦 Precios Proforma'!$B$5:$D$104,IF(D3969="DIA",2,3),FALSE)),0))</f>
        <v/>
      </c>
      <c r="J3969" s="31" t="str">
        <f t="shared" si="428"/>
        <v/>
      </c>
      <c r="K3969" s="31" t="str">
        <f t="shared" si="429"/>
        <v/>
      </c>
      <c r="L3969" s="31" t="str">
        <f>IF(OR(B3969="",C3969=""),"",IFERROR(E3969 / SUMIFS('📅 Resumen Diario'!$D$5:$D$504, '📅 Resumen Diario'!$B$5:$B$504, B3969, '📅 Resumen Diario'!$C$5:$C$504, D3969) * SUMIFS('📅 Resumen Diario'!$K$5:$K$504, '📅 Resumen Diario'!$B$5:$B$504, B3969, '📅 Resumen Diario'!$C$5:$C$504, D3969), 0))</f>
        <v/>
      </c>
      <c r="M3969" s="31" t="str">
        <f t="shared" si="430"/>
        <v/>
      </c>
      <c r="N3969" s="31" t="str">
        <f t="shared" si="431"/>
        <v/>
      </c>
      <c r="O3969" s="31" t="str">
        <f>IF(OR(B3969="",C3969=""),"",K3969-N3969 + IFERROR(E3969 / SUMIFS('📅 Resumen Diario'!$D$5:$D$504, '📅 Resumen Diario'!$B$5:$B$504, B3969, '📅 Resumen Diario'!$C$5:$C$504, D3969) * (SUMIFS('📋 Detalle Diario'!$E$5:$E$489, '📋 Detalle Diario'!$B$5:$B$489, B3969, '📋 Detalle Diario'!$C$5:$C$489, D3969) * 135 + SUMIFS('📋 Detalle Diario'!$I$5:$I$489, '📋 Detalle Diario'!$B$5:$B$489, B3969, '📋 Detalle Diario'!$C$5:$C$489, D3969) * 200), 0))</f>
        <v/>
      </c>
      <c r="P3969" s="32" t="str">
        <f t="shared" si="432"/>
        <v/>
      </c>
      <c r="Q3969" s="33" t="str">
        <f t="shared" si="433"/>
        <v/>
      </c>
    </row>
    <row r="3970" spans="2:17" ht="18" customHeight="1" x14ac:dyDescent="0.3">
      <c r="B3970" s="26"/>
      <c r="C3970" s="17"/>
      <c r="D3970" s="27"/>
      <c r="E3970" s="18"/>
      <c r="F3970" s="18"/>
      <c r="G3970" s="18"/>
      <c r="H3970" s="30" t="str">
        <f t="shared" si="427"/>
        <v/>
      </c>
      <c r="I3970" s="31" t="str">
        <f>IF(OR(B3970="",C3970=""),"",IFERROR(E3970*IF(E3970="",0,VLOOKUP(C3970,'📦 Precios Proforma'!$B$5:$D$104,IF(D3970="DIA",2,3),FALSE)),0))</f>
        <v/>
      </c>
      <c r="J3970" s="31" t="str">
        <f t="shared" si="428"/>
        <v/>
      </c>
      <c r="K3970" s="31" t="str">
        <f t="shared" si="429"/>
        <v/>
      </c>
      <c r="L3970" s="31" t="str">
        <f>IF(OR(B3970="",C3970=""),"",IFERROR(E3970 / SUMIFS('📅 Resumen Diario'!$D$5:$D$504, '📅 Resumen Diario'!$B$5:$B$504, B3970, '📅 Resumen Diario'!$C$5:$C$504, D3970) * SUMIFS('📅 Resumen Diario'!$K$5:$K$504, '📅 Resumen Diario'!$B$5:$B$504, B3970, '📅 Resumen Diario'!$C$5:$C$504, D3970), 0))</f>
        <v/>
      </c>
      <c r="M3970" s="31" t="str">
        <f t="shared" si="430"/>
        <v/>
      </c>
      <c r="N3970" s="31" t="str">
        <f t="shared" si="431"/>
        <v/>
      </c>
      <c r="O3970" s="31" t="str">
        <f>IF(OR(B3970="",C3970=""),"",K3970-N3970 + IFERROR(E3970 / SUMIFS('📅 Resumen Diario'!$D$5:$D$504, '📅 Resumen Diario'!$B$5:$B$504, B3970, '📅 Resumen Diario'!$C$5:$C$504, D3970) * (SUMIFS('📋 Detalle Diario'!$E$5:$E$489, '📋 Detalle Diario'!$B$5:$B$489, B3970, '📋 Detalle Diario'!$C$5:$C$489, D3970) * 135 + SUMIFS('📋 Detalle Diario'!$I$5:$I$489, '📋 Detalle Diario'!$B$5:$B$489, B3970, '📋 Detalle Diario'!$C$5:$C$489, D3970) * 200), 0))</f>
        <v/>
      </c>
      <c r="P3970" s="32" t="str">
        <f t="shared" si="432"/>
        <v/>
      </c>
      <c r="Q3970" s="33" t="str">
        <f t="shared" si="433"/>
        <v/>
      </c>
    </row>
    <row r="3971" spans="2:17" ht="18" customHeight="1" x14ac:dyDescent="0.3">
      <c r="B3971" s="26"/>
      <c r="C3971" s="28"/>
      <c r="D3971" s="27"/>
      <c r="E3971" s="29"/>
      <c r="F3971" s="29"/>
      <c r="G3971" s="29"/>
      <c r="H3971" s="30" t="str">
        <f t="shared" si="427"/>
        <v/>
      </c>
      <c r="I3971" s="31" t="str">
        <f>IF(OR(B3971="",C3971=""),"",IFERROR(E3971*IF(E3971="",0,VLOOKUP(C3971,'📦 Precios Proforma'!$B$5:$D$104,IF(D3971="DIA",2,3),FALSE)),0))</f>
        <v/>
      </c>
      <c r="J3971" s="31" t="str">
        <f t="shared" si="428"/>
        <v/>
      </c>
      <c r="K3971" s="31" t="str">
        <f t="shared" si="429"/>
        <v/>
      </c>
      <c r="L3971" s="31" t="str">
        <f>IF(OR(B3971="",C3971=""),"",IFERROR(E3971 / SUMIFS('📅 Resumen Diario'!$D$5:$D$504, '📅 Resumen Diario'!$B$5:$B$504, B3971, '📅 Resumen Diario'!$C$5:$C$504, D3971) * SUMIFS('📅 Resumen Diario'!$K$5:$K$504, '📅 Resumen Diario'!$B$5:$B$504, B3971, '📅 Resumen Diario'!$C$5:$C$504, D3971), 0))</f>
        <v/>
      </c>
      <c r="M3971" s="31" t="str">
        <f t="shared" si="430"/>
        <v/>
      </c>
      <c r="N3971" s="31" t="str">
        <f t="shared" si="431"/>
        <v/>
      </c>
      <c r="O3971" s="31" t="str">
        <f>IF(OR(B3971="",C3971=""),"",K3971-N3971 + IFERROR(E3971 / SUMIFS('📅 Resumen Diario'!$D$5:$D$504, '📅 Resumen Diario'!$B$5:$B$504, B3971, '📅 Resumen Diario'!$C$5:$C$504, D3971) * (SUMIFS('📋 Detalle Diario'!$E$5:$E$489, '📋 Detalle Diario'!$B$5:$B$489, B3971, '📋 Detalle Diario'!$C$5:$C$489, D3971) * 135 + SUMIFS('📋 Detalle Diario'!$I$5:$I$489, '📋 Detalle Diario'!$B$5:$B$489, B3971, '📋 Detalle Diario'!$C$5:$C$489, D3971) * 200), 0))</f>
        <v/>
      </c>
      <c r="P3971" s="32" t="str">
        <f t="shared" si="432"/>
        <v/>
      </c>
      <c r="Q3971" s="33" t="str">
        <f t="shared" si="433"/>
        <v/>
      </c>
    </row>
    <row r="3972" spans="2:17" ht="18" customHeight="1" x14ac:dyDescent="0.3">
      <c r="B3972" s="26"/>
      <c r="C3972" s="17"/>
      <c r="D3972" s="27"/>
      <c r="E3972" s="18"/>
      <c r="F3972" s="18"/>
      <c r="G3972" s="18"/>
      <c r="H3972" s="30" t="str">
        <f t="shared" si="427"/>
        <v/>
      </c>
      <c r="I3972" s="31" t="str">
        <f>IF(OR(B3972="",C3972=""),"",IFERROR(E3972*IF(E3972="",0,VLOOKUP(C3972,'📦 Precios Proforma'!$B$5:$D$104,IF(D3972="DIA",2,3),FALSE)),0))</f>
        <v/>
      </c>
      <c r="J3972" s="31" t="str">
        <f t="shared" si="428"/>
        <v/>
      </c>
      <c r="K3972" s="31" t="str">
        <f t="shared" si="429"/>
        <v/>
      </c>
      <c r="L3972" s="31" t="str">
        <f>IF(OR(B3972="",C3972=""),"",IFERROR(E3972 / SUMIFS('📅 Resumen Diario'!$D$5:$D$504, '📅 Resumen Diario'!$B$5:$B$504, B3972, '📅 Resumen Diario'!$C$5:$C$504, D3972) * SUMIFS('📅 Resumen Diario'!$K$5:$K$504, '📅 Resumen Diario'!$B$5:$B$504, B3972, '📅 Resumen Diario'!$C$5:$C$504, D3972), 0))</f>
        <v/>
      </c>
      <c r="M3972" s="31" t="str">
        <f t="shared" si="430"/>
        <v/>
      </c>
      <c r="N3972" s="31" t="str">
        <f t="shared" si="431"/>
        <v/>
      </c>
      <c r="O3972" s="31" t="str">
        <f>IF(OR(B3972="",C3972=""),"",K3972-N3972 + IFERROR(E3972 / SUMIFS('📅 Resumen Diario'!$D$5:$D$504, '📅 Resumen Diario'!$B$5:$B$504, B3972, '📅 Resumen Diario'!$C$5:$C$504, D3972) * (SUMIFS('📋 Detalle Diario'!$E$5:$E$489, '📋 Detalle Diario'!$B$5:$B$489, B3972, '📋 Detalle Diario'!$C$5:$C$489, D3972) * 135 + SUMIFS('📋 Detalle Diario'!$I$5:$I$489, '📋 Detalle Diario'!$B$5:$B$489, B3972, '📋 Detalle Diario'!$C$5:$C$489, D3972) * 200), 0))</f>
        <v/>
      </c>
      <c r="P3972" s="32" t="str">
        <f t="shared" si="432"/>
        <v/>
      </c>
      <c r="Q3972" s="33" t="str">
        <f t="shared" si="433"/>
        <v/>
      </c>
    </row>
    <row r="3973" spans="2:17" ht="18" customHeight="1" x14ac:dyDescent="0.3">
      <c r="B3973" s="26"/>
      <c r="C3973" s="28"/>
      <c r="D3973" s="27"/>
      <c r="E3973" s="29"/>
      <c r="F3973" s="29"/>
      <c r="G3973" s="29"/>
      <c r="H3973" s="30" t="str">
        <f t="shared" si="427"/>
        <v/>
      </c>
      <c r="I3973" s="31" t="str">
        <f>IF(OR(B3973="",C3973=""),"",IFERROR(E3973*IF(E3973="",0,VLOOKUP(C3973,'📦 Precios Proforma'!$B$5:$D$104,IF(D3973="DIA",2,3),FALSE)),0))</f>
        <v/>
      </c>
      <c r="J3973" s="31" t="str">
        <f t="shared" si="428"/>
        <v/>
      </c>
      <c r="K3973" s="31" t="str">
        <f t="shared" si="429"/>
        <v/>
      </c>
      <c r="L3973" s="31" t="str">
        <f>IF(OR(B3973="",C3973=""),"",IFERROR(E3973 / SUMIFS('📅 Resumen Diario'!$D$5:$D$504, '📅 Resumen Diario'!$B$5:$B$504, B3973, '📅 Resumen Diario'!$C$5:$C$504, D3973) * SUMIFS('📅 Resumen Diario'!$K$5:$K$504, '📅 Resumen Diario'!$B$5:$B$504, B3973, '📅 Resumen Diario'!$C$5:$C$504, D3973), 0))</f>
        <v/>
      </c>
      <c r="M3973" s="31" t="str">
        <f t="shared" si="430"/>
        <v/>
      </c>
      <c r="N3973" s="31" t="str">
        <f t="shared" si="431"/>
        <v/>
      </c>
      <c r="O3973" s="31" t="str">
        <f>IF(OR(B3973="",C3973=""),"",K3973-N3973 + IFERROR(E3973 / SUMIFS('📅 Resumen Diario'!$D$5:$D$504, '📅 Resumen Diario'!$B$5:$B$504, B3973, '📅 Resumen Diario'!$C$5:$C$504, D3973) * (SUMIFS('📋 Detalle Diario'!$E$5:$E$489, '📋 Detalle Diario'!$B$5:$B$489, B3973, '📋 Detalle Diario'!$C$5:$C$489, D3973) * 135 + SUMIFS('📋 Detalle Diario'!$I$5:$I$489, '📋 Detalle Diario'!$B$5:$B$489, B3973, '📋 Detalle Diario'!$C$5:$C$489, D3973) * 200), 0))</f>
        <v/>
      </c>
      <c r="P3973" s="32" t="str">
        <f t="shared" si="432"/>
        <v/>
      </c>
      <c r="Q3973" s="33" t="str">
        <f t="shared" si="433"/>
        <v/>
      </c>
    </row>
    <row r="3974" spans="2:17" ht="18" customHeight="1" x14ac:dyDescent="0.3">
      <c r="B3974" s="26"/>
      <c r="C3974" s="17"/>
      <c r="D3974" s="27"/>
      <c r="E3974" s="18"/>
      <c r="F3974" s="18"/>
      <c r="G3974" s="18"/>
      <c r="H3974" s="30" t="str">
        <f t="shared" si="427"/>
        <v/>
      </c>
      <c r="I3974" s="31" t="str">
        <f>IF(OR(B3974="",C3974=""),"",IFERROR(E3974*IF(E3974="",0,VLOOKUP(C3974,'📦 Precios Proforma'!$B$5:$D$104,IF(D3974="DIA",2,3),FALSE)),0))</f>
        <v/>
      </c>
      <c r="J3974" s="31" t="str">
        <f t="shared" si="428"/>
        <v/>
      </c>
      <c r="K3974" s="31" t="str">
        <f t="shared" si="429"/>
        <v/>
      </c>
      <c r="L3974" s="31" t="str">
        <f>IF(OR(B3974="",C3974=""),"",IFERROR(E3974 / SUMIFS('📅 Resumen Diario'!$D$5:$D$504, '📅 Resumen Diario'!$B$5:$B$504, B3974, '📅 Resumen Diario'!$C$5:$C$504, D3974) * SUMIFS('📅 Resumen Diario'!$K$5:$K$504, '📅 Resumen Diario'!$B$5:$B$504, B3974, '📅 Resumen Diario'!$C$5:$C$504, D3974), 0))</f>
        <v/>
      </c>
      <c r="M3974" s="31" t="str">
        <f t="shared" si="430"/>
        <v/>
      </c>
      <c r="N3974" s="31" t="str">
        <f t="shared" si="431"/>
        <v/>
      </c>
      <c r="O3974" s="31" t="str">
        <f>IF(OR(B3974="",C3974=""),"",K3974-N3974 + IFERROR(E3974 / SUMIFS('📅 Resumen Diario'!$D$5:$D$504, '📅 Resumen Diario'!$B$5:$B$504, B3974, '📅 Resumen Diario'!$C$5:$C$504, D3974) * (SUMIFS('📋 Detalle Diario'!$E$5:$E$489, '📋 Detalle Diario'!$B$5:$B$489, B3974, '📋 Detalle Diario'!$C$5:$C$489, D3974) * 135 + SUMIFS('📋 Detalle Diario'!$I$5:$I$489, '📋 Detalle Diario'!$B$5:$B$489, B3974, '📋 Detalle Diario'!$C$5:$C$489, D3974) * 200), 0))</f>
        <v/>
      </c>
      <c r="P3974" s="32" t="str">
        <f t="shared" si="432"/>
        <v/>
      </c>
      <c r="Q3974" s="33" t="str">
        <f t="shared" si="433"/>
        <v/>
      </c>
    </row>
    <row r="3975" spans="2:17" ht="18" customHeight="1" x14ac:dyDescent="0.3">
      <c r="B3975" s="26"/>
      <c r="C3975" s="28"/>
      <c r="D3975" s="27"/>
      <c r="E3975" s="29"/>
      <c r="F3975" s="29"/>
      <c r="G3975" s="29"/>
      <c r="H3975" s="30" t="str">
        <f t="shared" ref="H3975:H4038" si="434">IF(OR(B3975="",C3975=""),"",F3975+G3975)</f>
        <v/>
      </c>
      <c r="I3975" s="31" t="str">
        <f>IF(OR(B3975="",C3975=""),"",IFERROR(E3975*IF(E3975="",0,VLOOKUP(C3975,'📦 Precios Proforma'!$B$5:$D$104,IF(D3975="DIA",2,3),FALSE)),0))</f>
        <v/>
      </c>
      <c r="J3975" s="31" t="str">
        <f t="shared" ref="J3975:J4038" si="435">IF(OR(B3975="",C3975=""),"",IF(D3975="DIA",H3975*1.01,H3975*1.35))</f>
        <v/>
      </c>
      <c r="K3975" s="31" t="str">
        <f t="shared" ref="K3975:K4038" si="436">IF(OR(B3975="",C3975=""),"",I3975+J3975)</f>
        <v/>
      </c>
      <c r="L3975" s="31" t="str">
        <f>IF(OR(B3975="",C3975=""),"",IFERROR(E3975 / SUMIFS('📅 Resumen Diario'!$D$5:$D$504, '📅 Resumen Diario'!$B$5:$B$504, B3975, '📅 Resumen Diario'!$C$5:$C$504, D3975) * SUMIFS('📅 Resumen Diario'!$K$5:$K$504, '📅 Resumen Diario'!$B$5:$B$504, B3975, '📅 Resumen Diario'!$C$5:$C$504, D3975), 0))</f>
        <v/>
      </c>
      <c r="M3975" s="31" t="str">
        <f t="shared" ref="M3975:M4038" si="437">IF(OR(B3975="",C3975=""),"",H3975*0.09)</f>
        <v/>
      </c>
      <c r="N3975" s="31" t="str">
        <f t="shared" ref="N3975:N4038" si="438">IF(OR(B3975="",C3975=""),"",L3975+M3975)</f>
        <v/>
      </c>
      <c r="O3975" s="31" t="str">
        <f>IF(OR(B3975="",C3975=""),"",K3975-N3975 + IFERROR(E3975 / SUMIFS('📅 Resumen Diario'!$D$5:$D$504, '📅 Resumen Diario'!$B$5:$B$504, B3975, '📅 Resumen Diario'!$C$5:$C$504, D3975) * (SUMIFS('📋 Detalle Diario'!$E$5:$E$489, '📋 Detalle Diario'!$B$5:$B$489, B3975, '📋 Detalle Diario'!$C$5:$C$489, D3975) * 135 + SUMIFS('📋 Detalle Diario'!$I$5:$I$489, '📋 Detalle Diario'!$B$5:$B$489, B3975, '📋 Detalle Diario'!$C$5:$C$489, D3975) * 200), 0))</f>
        <v/>
      </c>
      <c r="P3975" s="32" t="str">
        <f t="shared" ref="P3975:P4038" si="439">IF(OR(B3975="",C3975=""),"",IF(K3975=0, 0, O3975/K3975))</f>
        <v/>
      </c>
      <c r="Q3975" s="33" t="str">
        <f t="shared" ref="Q3975:Q4038" si="440">IF(B3975="","",IF(ISNUMBER(B3975),YEAR(B3975)&amp;"-"&amp;IF(MONTH(B3975)&lt;10,"0","")&amp;MONTH(B3975),LEFT(B3975,7)))</f>
        <v/>
      </c>
    </row>
    <row r="3976" spans="2:17" ht="18" customHeight="1" x14ac:dyDescent="0.3">
      <c r="B3976" s="26"/>
      <c r="C3976" s="17"/>
      <c r="D3976" s="27"/>
      <c r="E3976" s="18"/>
      <c r="F3976" s="18"/>
      <c r="G3976" s="18"/>
      <c r="H3976" s="30" t="str">
        <f t="shared" si="434"/>
        <v/>
      </c>
      <c r="I3976" s="31" t="str">
        <f>IF(OR(B3976="",C3976=""),"",IFERROR(E3976*IF(E3976="",0,VLOOKUP(C3976,'📦 Precios Proforma'!$B$5:$D$104,IF(D3976="DIA",2,3),FALSE)),0))</f>
        <v/>
      </c>
      <c r="J3976" s="31" t="str">
        <f t="shared" si="435"/>
        <v/>
      </c>
      <c r="K3976" s="31" t="str">
        <f t="shared" si="436"/>
        <v/>
      </c>
      <c r="L3976" s="31" t="str">
        <f>IF(OR(B3976="",C3976=""),"",IFERROR(E3976 / SUMIFS('📅 Resumen Diario'!$D$5:$D$504, '📅 Resumen Diario'!$B$5:$B$504, B3976, '📅 Resumen Diario'!$C$5:$C$504, D3976) * SUMIFS('📅 Resumen Diario'!$K$5:$K$504, '📅 Resumen Diario'!$B$5:$B$504, B3976, '📅 Resumen Diario'!$C$5:$C$504, D3976), 0))</f>
        <v/>
      </c>
      <c r="M3976" s="31" t="str">
        <f t="shared" si="437"/>
        <v/>
      </c>
      <c r="N3976" s="31" t="str">
        <f t="shared" si="438"/>
        <v/>
      </c>
      <c r="O3976" s="31" t="str">
        <f>IF(OR(B3976="",C3976=""),"",K3976-N3976 + IFERROR(E3976 / SUMIFS('📅 Resumen Diario'!$D$5:$D$504, '📅 Resumen Diario'!$B$5:$B$504, B3976, '📅 Resumen Diario'!$C$5:$C$504, D3976) * (SUMIFS('📋 Detalle Diario'!$E$5:$E$489, '📋 Detalle Diario'!$B$5:$B$489, B3976, '📋 Detalle Diario'!$C$5:$C$489, D3976) * 135 + SUMIFS('📋 Detalle Diario'!$I$5:$I$489, '📋 Detalle Diario'!$B$5:$B$489, B3976, '📋 Detalle Diario'!$C$5:$C$489, D3976) * 200), 0))</f>
        <v/>
      </c>
      <c r="P3976" s="32" t="str">
        <f t="shared" si="439"/>
        <v/>
      </c>
      <c r="Q3976" s="33" t="str">
        <f t="shared" si="440"/>
        <v/>
      </c>
    </row>
    <row r="3977" spans="2:17" ht="18" customHeight="1" x14ac:dyDescent="0.3">
      <c r="B3977" s="26"/>
      <c r="C3977" s="28"/>
      <c r="D3977" s="27"/>
      <c r="E3977" s="29"/>
      <c r="F3977" s="29"/>
      <c r="G3977" s="29"/>
      <c r="H3977" s="30" t="str">
        <f t="shared" si="434"/>
        <v/>
      </c>
      <c r="I3977" s="31" t="str">
        <f>IF(OR(B3977="",C3977=""),"",IFERROR(E3977*IF(E3977="",0,VLOOKUP(C3977,'📦 Precios Proforma'!$B$5:$D$104,IF(D3977="DIA",2,3),FALSE)),0))</f>
        <v/>
      </c>
      <c r="J3977" s="31" t="str">
        <f t="shared" si="435"/>
        <v/>
      </c>
      <c r="K3977" s="31" t="str">
        <f t="shared" si="436"/>
        <v/>
      </c>
      <c r="L3977" s="31" t="str">
        <f>IF(OR(B3977="",C3977=""),"",IFERROR(E3977 / SUMIFS('📅 Resumen Diario'!$D$5:$D$504, '📅 Resumen Diario'!$B$5:$B$504, B3977, '📅 Resumen Diario'!$C$5:$C$504, D3977) * SUMIFS('📅 Resumen Diario'!$K$5:$K$504, '📅 Resumen Diario'!$B$5:$B$504, B3977, '📅 Resumen Diario'!$C$5:$C$504, D3977), 0))</f>
        <v/>
      </c>
      <c r="M3977" s="31" t="str">
        <f t="shared" si="437"/>
        <v/>
      </c>
      <c r="N3977" s="31" t="str">
        <f t="shared" si="438"/>
        <v/>
      </c>
      <c r="O3977" s="31" t="str">
        <f>IF(OR(B3977="",C3977=""),"",K3977-N3977 + IFERROR(E3977 / SUMIFS('📅 Resumen Diario'!$D$5:$D$504, '📅 Resumen Diario'!$B$5:$B$504, B3977, '📅 Resumen Diario'!$C$5:$C$504, D3977) * (SUMIFS('📋 Detalle Diario'!$E$5:$E$489, '📋 Detalle Diario'!$B$5:$B$489, B3977, '📋 Detalle Diario'!$C$5:$C$489, D3977) * 135 + SUMIFS('📋 Detalle Diario'!$I$5:$I$489, '📋 Detalle Diario'!$B$5:$B$489, B3977, '📋 Detalle Diario'!$C$5:$C$489, D3977) * 200), 0))</f>
        <v/>
      </c>
      <c r="P3977" s="32" t="str">
        <f t="shared" si="439"/>
        <v/>
      </c>
      <c r="Q3977" s="33" t="str">
        <f t="shared" si="440"/>
        <v/>
      </c>
    </row>
    <row r="3978" spans="2:17" ht="18" customHeight="1" x14ac:dyDescent="0.3">
      <c r="B3978" s="26"/>
      <c r="C3978" s="17"/>
      <c r="D3978" s="27"/>
      <c r="E3978" s="18"/>
      <c r="F3978" s="18"/>
      <c r="G3978" s="18"/>
      <c r="H3978" s="30" t="str">
        <f t="shared" si="434"/>
        <v/>
      </c>
      <c r="I3978" s="31" t="str">
        <f>IF(OR(B3978="",C3978=""),"",IFERROR(E3978*IF(E3978="",0,VLOOKUP(C3978,'📦 Precios Proforma'!$B$5:$D$104,IF(D3978="DIA",2,3),FALSE)),0))</f>
        <v/>
      </c>
      <c r="J3978" s="31" t="str">
        <f t="shared" si="435"/>
        <v/>
      </c>
      <c r="K3978" s="31" t="str">
        <f t="shared" si="436"/>
        <v/>
      </c>
      <c r="L3978" s="31" t="str">
        <f>IF(OR(B3978="",C3978=""),"",IFERROR(E3978 / SUMIFS('📅 Resumen Diario'!$D$5:$D$504, '📅 Resumen Diario'!$B$5:$B$504, B3978, '📅 Resumen Diario'!$C$5:$C$504, D3978) * SUMIFS('📅 Resumen Diario'!$K$5:$K$504, '📅 Resumen Diario'!$B$5:$B$504, B3978, '📅 Resumen Diario'!$C$5:$C$504, D3978), 0))</f>
        <v/>
      </c>
      <c r="M3978" s="31" t="str">
        <f t="shared" si="437"/>
        <v/>
      </c>
      <c r="N3978" s="31" t="str">
        <f t="shared" si="438"/>
        <v/>
      </c>
      <c r="O3978" s="31" t="str">
        <f>IF(OR(B3978="",C3978=""),"",K3978-N3978 + IFERROR(E3978 / SUMIFS('📅 Resumen Diario'!$D$5:$D$504, '📅 Resumen Diario'!$B$5:$B$504, B3978, '📅 Resumen Diario'!$C$5:$C$504, D3978) * (SUMIFS('📋 Detalle Diario'!$E$5:$E$489, '📋 Detalle Diario'!$B$5:$B$489, B3978, '📋 Detalle Diario'!$C$5:$C$489, D3978) * 135 + SUMIFS('📋 Detalle Diario'!$I$5:$I$489, '📋 Detalle Diario'!$B$5:$B$489, B3978, '📋 Detalle Diario'!$C$5:$C$489, D3978) * 200), 0))</f>
        <v/>
      </c>
      <c r="P3978" s="32" t="str">
        <f t="shared" si="439"/>
        <v/>
      </c>
      <c r="Q3978" s="33" t="str">
        <f t="shared" si="440"/>
        <v/>
      </c>
    </row>
    <row r="3979" spans="2:17" ht="18" customHeight="1" x14ac:dyDescent="0.3">
      <c r="B3979" s="26"/>
      <c r="C3979" s="28"/>
      <c r="D3979" s="27"/>
      <c r="E3979" s="29"/>
      <c r="F3979" s="29"/>
      <c r="G3979" s="29"/>
      <c r="H3979" s="30" t="str">
        <f t="shared" si="434"/>
        <v/>
      </c>
      <c r="I3979" s="31" t="str">
        <f>IF(OR(B3979="",C3979=""),"",IFERROR(E3979*IF(E3979="",0,VLOOKUP(C3979,'📦 Precios Proforma'!$B$5:$D$104,IF(D3979="DIA",2,3),FALSE)),0))</f>
        <v/>
      </c>
      <c r="J3979" s="31" t="str">
        <f t="shared" si="435"/>
        <v/>
      </c>
      <c r="K3979" s="31" t="str">
        <f t="shared" si="436"/>
        <v/>
      </c>
      <c r="L3979" s="31" t="str">
        <f>IF(OR(B3979="",C3979=""),"",IFERROR(E3979 / SUMIFS('📅 Resumen Diario'!$D$5:$D$504, '📅 Resumen Diario'!$B$5:$B$504, B3979, '📅 Resumen Diario'!$C$5:$C$504, D3979) * SUMIFS('📅 Resumen Diario'!$K$5:$K$504, '📅 Resumen Diario'!$B$5:$B$504, B3979, '📅 Resumen Diario'!$C$5:$C$504, D3979), 0))</f>
        <v/>
      </c>
      <c r="M3979" s="31" t="str">
        <f t="shared" si="437"/>
        <v/>
      </c>
      <c r="N3979" s="31" t="str">
        <f t="shared" si="438"/>
        <v/>
      </c>
      <c r="O3979" s="31" t="str">
        <f>IF(OR(B3979="",C3979=""),"",K3979-N3979 + IFERROR(E3979 / SUMIFS('📅 Resumen Diario'!$D$5:$D$504, '📅 Resumen Diario'!$B$5:$B$504, B3979, '📅 Resumen Diario'!$C$5:$C$504, D3979) * (SUMIFS('📋 Detalle Diario'!$E$5:$E$489, '📋 Detalle Diario'!$B$5:$B$489, B3979, '📋 Detalle Diario'!$C$5:$C$489, D3979) * 135 + SUMIFS('📋 Detalle Diario'!$I$5:$I$489, '📋 Detalle Diario'!$B$5:$B$489, B3979, '📋 Detalle Diario'!$C$5:$C$489, D3979) * 200), 0))</f>
        <v/>
      </c>
      <c r="P3979" s="32" t="str">
        <f t="shared" si="439"/>
        <v/>
      </c>
      <c r="Q3979" s="33" t="str">
        <f t="shared" si="440"/>
        <v/>
      </c>
    </row>
    <row r="3980" spans="2:17" ht="18" customHeight="1" x14ac:dyDescent="0.3">
      <c r="B3980" s="26"/>
      <c r="C3980" s="17"/>
      <c r="D3980" s="27"/>
      <c r="E3980" s="18"/>
      <c r="F3980" s="18"/>
      <c r="G3980" s="18"/>
      <c r="H3980" s="30" t="str">
        <f t="shared" si="434"/>
        <v/>
      </c>
      <c r="I3980" s="31" t="str">
        <f>IF(OR(B3980="",C3980=""),"",IFERROR(E3980*IF(E3980="",0,VLOOKUP(C3980,'📦 Precios Proforma'!$B$5:$D$104,IF(D3980="DIA",2,3),FALSE)),0))</f>
        <v/>
      </c>
      <c r="J3980" s="31" t="str">
        <f t="shared" si="435"/>
        <v/>
      </c>
      <c r="K3980" s="31" t="str">
        <f t="shared" si="436"/>
        <v/>
      </c>
      <c r="L3980" s="31" t="str">
        <f>IF(OR(B3980="",C3980=""),"",IFERROR(E3980 / SUMIFS('📅 Resumen Diario'!$D$5:$D$504, '📅 Resumen Diario'!$B$5:$B$504, B3980, '📅 Resumen Diario'!$C$5:$C$504, D3980) * SUMIFS('📅 Resumen Diario'!$K$5:$K$504, '📅 Resumen Diario'!$B$5:$B$504, B3980, '📅 Resumen Diario'!$C$5:$C$504, D3980), 0))</f>
        <v/>
      </c>
      <c r="M3980" s="31" t="str">
        <f t="shared" si="437"/>
        <v/>
      </c>
      <c r="N3980" s="31" t="str">
        <f t="shared" si="438"/>
        <v/>
      </c>
      <c r="O3980" s="31" t="str">
        <f>IF(OR(B3980="",C3980=""),"",K3980-N3980 + IFERROR(E3980 / SUMIFS('📅 Resumen Diario'!$D$5:$D$504, '📅 Resumen Diario'!$B$5:$B$504, B3980, '📅 Resumen Diario'!$C$5:$C$504, D3980) * (SUMIFS('📋 Detalle Diario'!$E$5:$E$489, '📋 Detalle Diario'!$B$5:$B$489, B3980, '📋 Detalle Diario'!$C$5:$C$489, D3980) * 135 + SUMIFS('📋 Detalle Diario'!$I$5:$I$489, '📋 Detalle Diario'!$B$5:$B$489, B3980, '📋 Detalle Diario'!$C$5:$C$489, D3980) * 200), 0))</f>
        <v/>
      </c>
      <c r="P3980" s="32" t="str">
        <f t="shared" si="439"/>
        <v/>
      </c>
      <c r="Q3980" s="33" t="str">
        <f t="shared" si="440"/>
        <v/>
      </c>
    </row>
    <row r="3981" spans="2:17" ht="18" customHeight="1" x14ac:dyDescent="0.3">
      <c r="B3981" s="26"/>
      <c r="C3981" s="28"/>
      <c r="D3981" s="27"/>
      <c r="E3981" s="29"/>
      <c r="F3981" s="29"/>
      <c r="G3981" s="29"/>
      <c r="H3981" s="30" t="str">
        <f t="shared" si="434"/>
        <v/>
      </c>
      <c r="I3981" s="31" t="str">
        <f>IF(OR(B3981="",C3981=""),"",IFERROR(E3981*IF(E3981="",0,VLOOKUP(C3981,'📦 Precios Proforma'!$B$5:$D$104,IF(D3981="DIA",2,3),FALSE)),0))</f>
        <v/>
      </c>
      <c r="J3981" s="31" t="str">
        <f t="shared" si="435"/>
        <v/>
      </c>
      <c r="K3981" s="31" t="str">
        <f t="shared" si="436"/>
        <v/>
      </c>
      <c r="L3981" s="31" t="str">
        <f>IF(OR(B3981="",C3981=""),"",IFERROR(E3981 / SUMIFS('📅 Resumen Diario'!$D$5:$D$504, '📅 Resumen Diario'!$B$5:$B$504, B3981, '📅 Resumen Diario'!$C$5:$C$504, D3981) * SUMIFS('📅 Resumen Diario'!$K$5:$K$504, '📅 Resumen Diario'!$B$5:$B$504, B3981, '📅 Resumen Diario'!$C$5:$C$504, D3981), 0))</f>
        <v/>
      </c>
      <c r="M3981" s="31" t="str">
        <f t="shared" si="437"/>
        <v/>
      </c>
      <c r="N3981" s="31" t="str">
        <f t="shared" si="438"/>
        <v/>
      </c>
      <c r="O3981" s="31" t="str">
        <f>IF(OR(B3981="",C3981=""),"",K3981-N3981 + IFERROR(E3981 / SUMIFS('📅 Resumen Diario'!$D$5:$D$504, '📅 Resumen Diario'!$B$5:$B$504, B3981, '📅 Resumen Diario'!$C$5:$C$504, D3981) * (SUMIFS('📋 Detalle Diario'!$E$5:$E$489, '📋 Detalle Diario'!$B$5:$B$489, B3981, '📋 Detalle Diario'!$C$5:$C$489, D3981) * 135 + SUMIFS('📋 Detalle Diario'!$I$5:$I$489, '📋 Detalle Diario'!$B$5:$B$489, B3981, '📋 Detalle Diario'!$C$5:$C$489, D3981) * 200), 0))</f>
        <v/>
      </c>
      <c r="P3981" s="32" t="str">
        <f t="shared" si="439"/>
        <v/>
      </c>
      <c r="Q3981" s="33" t="str">
        <f t="shared" si="440"/>
        <v/>
      </c>
    </row>
    <row r="3982" spans="2:17" ht="18" customHeight="1" x14ac:dyDescent="0.3">
      <c r="B3982" s="26"/>
      <c r="C3982" s="17"/>
      <c r="D3982" s="27"/>
      <c r="E3982" s="18"/>
      <c r="F3982" s="18"/>
      <c r="G3982" s="18"/>
      <c r="H3982" s="30" t="str">
        <f t="shared" si="434"/>
        <v/>
      </c>
      <c r="I3982" s="31" t="str">
        <f>IF(OR(B3982="",C3982=""),"",IFERROR(E3982*IF(E3982="",0,VLOOKUP(C3982,'📦 Precios Proforma'!$B$5:$D$104,IF(D3982="DIA",2,3),FALSE)),0))</f>
        <v/>
      </c>
      <c r="J3982" s="31" t="str">
        <f t="shared" si="435"/>
        <v/>
      </c>
      <c r="K3982" s="31" t="str">
        <f t="shared" si="436"/>
        <v/>
      </c>
      <c r="L3982" s="31" t="str">
        <f>IF(OR(B3982="",C3982=""),"",IFERROR(E3982 / SUMIFS('📅 Resumen Diario'!$D$5:$D$504, '📅 Resumen Diario'!$B$5:$B$504, B3982, '📅 Resumen Diario'!$C$5:$C$504, D3982) * SUMIFS('📅 Resumen Diario'!$K$5:$K$504, '📅 Resumen Diario'!$B$5:$B$504, B3982, '📅 Resumen Diario'!$C$5:$C$504, D3982), 0))</f>
        <v/>
      </c>
      <c r="M3982" s="31" t="str">
        <f t="shared" si="437"/>
        <v/>
      </c>
      <c r="N3982" s="31" t="str">
        <f t="shared" si="438"/>
        <v/>
      </c>
      <c r="O3982" s="31" t="str">
        <f>IF(OR(B3982="",C3982=""),"",K3982-N3982 + IFERROR(E3982 / SUMIFS('📅 Resumen Diario'!$D$5:$D$504, '📅 Resumen Diario'!$B$5:$B$504, B3982, '📅 Resumen Diario'!$C$5:$C$504, D3982) * (SUMIFS('📋 Detalle Diario'!$E$5:$E$489, '📋 Detalle Diario'!$B$5:$B$489, B3982, '📋 Detalle Diario'!$C$5:$C$489, D3982) * 135 + SUMIFS('📋 Detalle Diario'!$I$5:$I$489, '📋 Detalle Diario'!$B$5:$B$489, B3982, '📋 Detalle Diario'!$C$5:$C$489, D3982) * 200), 0))</f>
        <v/>
      </c>
      <c r="P3982" s="32" t="str">
        <f t="shared" si="439"/>
        <v/>
      </c>
      <c r="Q3982" s="33" t="str">
        <f t="shared" si="440"/>
        <v/>
      </c>
    </row>
    <row r="3983" spans="2:17" ht="18" customHeight="1" x14ac:dyDescent="0.3">
      <c r="B3983" s="26"/>
      <c r="C3983" s="28"/>
      <c r="D3983" s="27"/>
      <c r="E3983" s="29"/>
      <c r="F3983" s="29"/>
      <c r="G3983" s="29"/>
      <c r="H3983" s="30" t="str">
        <f t="shared" si="434"/>
        <v/>
      </c>
      <c r="I3983" s="31" t="str">
        <f>IF(OR(B3983="",C3983=""),"",IFERROR(E3983*IF(E3983="",0,VLOOKUP(C3983,'📦 Precios Proforma'!$B$5:$D$104,IF(D3983="DIA",2,3),FALSE)),0))</f>
        <v/>
      </c>
      <c r="J3983" s="31" t="str">
        <f t="shared" si="435"/>
        <v/>
      </c>
      <c r="K3983" s="31" t="str">
        <f t="shared" si="436"/>
        <v/>
      </c>
      <c r="L3983" s="31" t="str">
        <f>IF(OR(B3983="",C3983=""),"",IFERROR(E3983 / SUMIFS('📅 Resumen Diario'!$D$5:$D$504, '📅 Resumen Diario'!$B$5:$B$504, B3983, '📅 Resumen Diario'!$C$5:$C$504, D3983) * SUMIFS('📅 Resumen Diario'!$K$5:$K$504, '📅 Resumen Diario'!$B$5:$B$504, B3983, '📅 Resumen Diario'!$C$5:$C$504, D3983), 0))</f>
        <v/>
      </c>
      <c r="M3983" s="31" t="str">
        <f t="shared" si="437"/>
        <v/>
      </c>
      <c r="N3983" s="31" t="str">
        <f t="shared" si="438"/>
        <v/>
      </c>
      <c r="O3983" s="31" t="str">
        <f>IF(OR(B3983="",C3983=""),"",K3983-N3983 + IFERROR(E3983 / SUMIFS('📅 Resumen Diario'!$D$5:$D$504, '📅 Resumen Diario'!$B$5:$B$504, B3983, '📅 Resumen Diario'!$C$5:$C$504, D3983) * (SUMIFS('📋 Detalle Diario'!$E$5:$E$489, '📋 Detalle Diario'!$B$5:$B$489, B3983, '📋 Detalle Diario'!$C$5:$C$489, D3983) * 135 + SUMIFS('📋 Detalle Diario'!$I$5:$I$489, '📋 Detalle Diario'!$B$5:$B$489, B3983, '📋 Detalle Diario'!$C$5:$C$489, D3983) * 200), 0))</f>
        <v/>
      </c>
      <c r="P3983" s="32" t="str">
        <f t="shared" si="439"/>
        <v/>
      </c>
      <c r="Q3983" s="33" t="str">
        <f t="shared" si="440"/>
        <v/>
      </c>
    </row>
    <row r="3984" spans="2:17" ht="18" customHeight="1" x14ac:dyDescent="0.3">
      <c r="B3984" s="26"/>
      <c r="C3984" s="17"/>
      <c r="D3984" s="27"/>
      <c r="E3984" s="18"/>
      <c r="F3984" s="18"/>
      <c r="G3984" s="18"/>
      <c r="H3984" s="30" t="str">
        <f t="shared" si="434"/>
        <v/>
      </c>
      <c r="I3984" s="31" t="str">
        <f>IF(OR(B3984="",C3984=""),"",IFERROR(E3984*IF(E3984="",0,VLOOKUP(C3984,'📦 Precios Proforma'!$B$5:$D$104,IF(D3984="DIA",2,3),FALSE)),0))</f>
        <v/>
      </c>
      <c r="J3984" s="31" t="str">
        <f t="shared" si="435"/>
        <v/>
      </c>
      <c r="K3984" s="31" t="str">
        <f t="shared" si="436"/>
        <v/>
      </c>
      <c r="L3984" s="31" t="str">
        <f>IF(OR(B3984="",C3984=""),"",IFERROR(E3984 / SUMIFS('📅 Resumen Diario'!$D$5:$D$504, '📅 Resumen Diario'!$B$5:$B$504, B3984, '📅 Resumen Diario'!$C$5:$C$504, D3984) * SUMIFS('📅 Resumen Diario'!$K$5:$K$504, '📅 Resumen Diario'!$B$5:$B$504, B3984, '📅 Resumen Diario'!$C$5:$C$504, D3984), 0))</f>
        <v/>
      </c>
      <c r="M3984" s="31" t="str">
        <f t="shared" si="437"/>
        <v/>
      </c>
      <c r="N3984" s="31" t="str">
        <f t="shared" si="438"/>
        <v/>
      </c>
      <c r="O3984" s="31" t="str">
        <f>IF(OR(B3984="",C3984=""),"",K3984-N3984 + IFERROR(E3984 / SUMIFS('📅 Resumen Diario'!$D$5:$D$504, '📅 Resumen Diario'!$B$5:$B$504, B3984, '📅 Resumen Diario'!$C$5:$C$504, D3984) * (SUMIFS('📋 Detalle Diario'!$E$5:$E$489, '📋 Detalle Diario'!$B$5:$B$489, B3984, '📋 Detalle Diario'!$C$5:$C$489, D3984) * 135 + SUMIFS('📋 Detalle Diario'!$I$5:$I$489, '📋 Detalle Diario'!$B$5:$B$489, B3984, '📋 Detalle Diario'!$C$5:$C$489, D3984) * 200), 0))</f>
        <v/>
      </c>
      <c r="P3984" s="32" t="str">
        <f t="shared" si="439"/>
        <v/>
      </c>
      <c r="Q3984" s="33" t="str">
        <f t="shared" si="440"/>
        <v/>
      </c>
    </row>
    <row r="3985" spans="2:17" ht="18" customHeight="1" x14ac:dyDescent="0.3">
      <c r="B3985" s="26"/>
      <c r="C3985" s="28"/>
      <c r="D3985" s="27"/>
      <c r="E3985" s="29"/>
      <c r="F3985" s="29"/>
      <c r="G3985" s="29"/>
      <c r="H3985" s="30" t="str">
        <f t="shared" si="434"/>
        <v/>
      </c>
      <c r="I3985" s="31" t="str">
        <f>IF(OR(B3985="",C3985=""),"",IFERROR(E3985*IF(E3985="",0,VLOOKUP(C3985,'📦 Precios Proforma'!$B$5:$D$104,IF(D3985="DIA",2,3),FALSE)),0))</f>
        <v/>
      </c>
      <c r="J3985" s="31" t="str">
        <f t="shared" si="435"/>
        <v/>
      </c>
      <c r="K3985" s="31" t="str">
        <f t="shared" si="436"/>
        <v/>
      </c>
      <c r="L3985" s="31" t="str">
        <f>IF(OR(B3985="",C3985=""),"",IFERROR(E3985 / SUMIFS('📅 Resumen Diario'!$D$5:$D$504, '📅 Resumen Diario'!$B$5:$B$504, B3985, '📅 Resumen Diario'!$C$5:$C$504, D3985) * SUMIFS('📅 Resumen Diario'!$K$5:$K$504, '📅 Resumen Diario'!$B$5:$B$504, B3985, '📅 Resumen Diario'!$C$5:$C$504, D3985), 0))</f>
        <v/>
      </c>
      <c r="M3985" s="31" t="str">
        <f t="shared" si="437"/>
        <v/>
      </c>
      <c r="N3985" s="31" t="str">
        <f t="shared" si="438"/>
        <v/>
      </c>
      <c r="O3985" s="31" t="str">
        <f>IF(OR(B3985="",C3985=""),"",K3985-N3985 + IFERROR(E3985 / SUMIFS('📅 Resumen Diario'!$D$5:$D$504, '📅 Resumen Diario'!$B$5:$B$504, B3985, '📅 Resumen Diario'!$C$5:$C$504, D3985) * (SUMIFS('📋 Detalle Diario'!$E$5:$E$489, '📋 Detalle Diario'!$B$5:$B$489, B3985, '📋 Detalle Diario'!$C$5:$C$489, D3985) * 135 + SUMIFS('📋 Detalle Diario'!$I$5:$I$489, '📋 Detalle Diario'!$B$5:$B$489, B3985, '📋 Detalle Diario'!$C$5:$C$489, D3985) * 200), 0))</f>
        <v/>
      </c>
      <c r="P3985" s="32" t="str">
        <f t="shared" si="439"/>
        <v/>
      </c>
      <c r="Q3985" s="33" t="str">
        <f t="shared" si="440"/>
        <v/>
      </c>
    </row>
    <row r="3986" spans="2:17" ht="18" customHeight="1" x14ac:dyDescent="0.3">
      <c r="B3986" s="26"/>
      <c r="C3986" s="17"/>
      <c r="D3986" s="27"/>
      <c r="E3986" s="18"/>
      <c r="F3986" s="18"/>
      <c r="G3986" s="18"/>
      <c r="H3986" s="30" t="str">
        <f t="shared" si="434"/>
        <v/>
      </c>
      <c r="I3986" s="31" t="str">
        <f>IF(OR(B3986="",C3986=""),"",IFERROR(E3986*IF(E3986="",0,VLOOKUP(C3986,'📦 Precios Proforma'!$B$5:$D$104,IF(D3986="DIA",2,3),FALSE)),0))</f>
        <v/>
      </c>
      <c r="J3986" s="31" t="str">
        <f t="shared" si="435"/>
        <v/>
      </c>
      <c r="K3986" s="31" t="str">
        <f t="shared" si="436"/>
        <v/>
      </c>
      <c r="L3986" s="31" t="str">
        <f>IF(OR(B3986="",C3986=""),"",IFERROR(E3986 / SUMIFS('📅 Resumen Diario'!$D$5:$D$504, '📅 Resumen Diario'!$B$5:$B$504, B3986, '📅 Resumen Diario'!$C$5:$C$504, D3986) * SUMIFS('📅 Resumen Diario'!$K$5:$K$504, '📅 Resumen Diario'!$B$5:$B$504, B3986, '📅 Resumen Diario'!$C$5:$C$504, D3986), 0))</f>
        <v/>
      </c>
      <c r="M3986" s="31" t="str">
        <f t="shared" si="437"/>
        <v/>
      </c>
      <c r="N3986" s="31" t="str">
        <f t="shared" si="438"/>
        <v/>
      </c>
      <c r="O3986" s="31" t="str">
        <f>IF(OR(B3986="",C3986=""),"",K3986-N3986 + IFERROR(E3986 / SUMIFS('📅 Resumen Diario'!$D$5:$D$504, '📅 Resumen Diario'!$B$5:$B$504, B3986, '📅 Resumen Diario'!$C$5:$C$504, D3986) * (SUMIFS('📋 Detalle Diario'!$E$5:$E$489, '📋 Detalle Diario'!$B$5:$B$489, B3986, '📋 Detalle Diario'!$C$5:$C$489, D3986) * 135 + SUMIFS('📋 Detalle Diario'!$I$5:$I$489, '📋 Detalle Diario'!$B$5:$B$489, B3986, '📋 Detalle Diario'!$C$5:$C$489, D3986) * 200), 0))</f>
        <v/>
      </c>
      <c r="P3986" s="32" t="str">
        <f t="shared" si="439"/>
        <v/>
      </c>
      <c r="Q3986" s="33" t="str">
        <f t="shared" si="440"/>
        <v/>
      </c>
    </row>
    <row r="3987" spans="2:17" ht="18" customHeight="1" x14ac:dyDescent="0.3">
      <c r="B3987" s="26"/>
      <c r="C3987" s="28"/>
      <c r="D3987" s="27"/>
      <c r="E3987" s="29"/>
      <c r="F3987" s="29"/>
      <c r="G3987" s="29"/>
      <c r="H3987" s="30" t="str">
        <f t="shared" si="434"/>
        <v/>
      </c>
      <c r="I3987" s="31" t="str">
        <f>IF(OR(B3987="",C3987=""),"",IFERROR(E3987*IF(E3987="",0,VLOOKUP(C3987,'📦 Precios Proforma'!$B$5:$D$104,IF(D3987="DIA",2,3),FALSE)),0))</f>
        <v/>
      </c>
      <c r="J3987" s="31" t="str">
        <f t="shared" si="435"/>
        <v/>
      </c>
      <c r="K3987" s="31" t="str">
        <f t="shared" si="436"/>
        <v/>
      </c>
      <c r="L3987" s="31" t="str">
        <f>IF(OR(B3987="",C3987=""),"",IFERROR(E3987 / SUMIFS('📅 Resumen Diario'!$D$5:$D$504, '📅 Resumen Diario'!$B$5:$B$504, B3987, '📅 Resumen Diario'!$C$5:$C$504, D3987) * SUMIFS('📅 Resumen Diario'!$K$5:$K$504, '📅 Resumen Diario'!$B$5:$B$504, B3987, '📅 Resumen Diario'!$C$5:$C$504, D3987), 0))</f>
        <v/>
      </c>
      <c r="M3987" s="31" t="str">
        <f t="shared" si="437"/>
        <v/>
      </c>
      <c r="N3987" s="31" t="str">
        <f t="shared" si="438"/>
        <v/>
      </c>
      <c r="O3987" s="31" t="str">
        <f>IF(OR(B3987="",C3987=""),"",K3987-N3987 + IFERROR(E3987 / SUMIFS('📅 Resumen Diario'!$D$5:$D$504, '📅 Resumen Diario'!$B$5:$B$504, B3987, '📅 Resumen Diario'!$C$5:$C$504, D3987) * (SUMIFS('📋 Detalle Diario'!$E$5:$E$489, '📋 Detalle Diario'!$B$5:$B$489, B3987, '📋 Detalle Diario'!$C$5:$C$489, D3987) * 135 + SUMIFS('📋 Detalle Diario'!$I$5:$I$489, '📋 Detalle Diario'!$B$5:$B$489, B3987, '📋 Detalle Diario'!$C$5:$C$489, D3987) * 200), 0))</f>
        <v/>
      </c>
      <c r="P3987" s="32" t="str">
        <f t="shared" si="439"/>
        <v/>
      </c>
      <c r="Q3987" s="33" t="str">
        <f t="shared" si="440"/>
        <v/>
      </c>
    </row>
    <row r="3988" spans="2:17" ht="18" customHeight="1" x14ac:dyDescent="0.3">
      <c r="B3988" s="26"/>
      <c r="C3988" s="17"/>
      <c r="D3988" s="27"/>
      <c r="E3988" s="18"/>
      <c r="F3988" s="18"/>
      <c r="G3988" s="18"/>
      <c r="H3988" s="30" t="str">
        <f t="shared" si="434"/>
        <v/>
      </c>
      <c r="I3988" s="31" t="str">
        <f>IF(OR(B3988="",C3988=""),"",IFERROR(E3988*IF(E3988="",0,VLOOKUP(C3988,'📦 Precios Proforma'!$B$5:$D$104,IF(D3988="DIA",2,3),FALSE)),0))</f>
        <v/>
      </c>
      <c r="J3988" s="31" t="str">
        <f t="shared" si="435"/>
        <v/>
      </c>
      <c r="K3988" s="31" t="str">
        <f t="shared" si="436"/>
        <v/>
      </c>
      <c r="L3988" s="31" t="str">
        <f>IF(OR(B3988="",C3988=""),"",IFERROR(E3988 / SUMIFS('📅 Resumen Diario'!$D$5:$D$504, '📅 Resumen Diario'!$B$5:$B$504, B3988, '📅 Resumen Diario'!$C$5:$C$504, D3988) * SUMIFS('📅 Resumen Diario'!$K$5:$K$504, '📅 Resumen Diario'!$B$5:$B$504, B3988, '📅 Resumen Diario'!$C$5:$C$504, D3988), 0))</f>
        <v/>
      </c>
      <c r="M3988" s="31" t="str">
        <f t="shared" si="437"/>
        <v/>
      </c>
      <c r="N3988" s="31" t="str">
        <f t="shared" si="438"/>
        <v/>
      </c>
      <c r="O3988" s="31" t="str">
        <f>IF(OR(B3988="",C3988=""),"",K3988-N3988 + IFERROR(E3988 / SUMIFS('📅 Resumen Diario'!$D$5:$D$504, '📅 Resumen Diario'!$B$5:$B$504, B3988, '📅 Resumen Diario'!$C$5:$C$504, D3988) * (SUMIFS('📋 Detalle Diario'!$E$5:$E$489, '📋 Detalle Diario'!$B$5:$B$489, B3988, '📋 Detalle Diario'!$C$5:$C$489, D3988) * 135 + SUMIFS('📋 Detalle Diario'!$I$5:$I$489, '📋 Detalle Diario'!$B$5:$B$489, B3988, '📋 Detalle Diario'!$C$5:$C$489, D3988) * 200), 0))</f>
        <v/>
      </c>
      <c r="P3988" s="32" t="str">
        <f t="shared" si="439"/>
        <v/>
      </c>
      <c r="Q3988" s="33" t="str">
        <f t="shared" si="440"/>
        <v/>
      </c>
    </row>
    <row r="3989" spans="2:17" ht="18" customHeight="1" x14ac:dyDescent="0.3">
      <c r="B3989" s="26"/>
      <c r="C3989" s="28"/>
      <c r="D3989" s="27"/>
      <c r="E3989" s="29"/>
      <c r="F3989" s="29"/>
      <c r="G3989" s="29"/>
      <c r="H3989" s="30" t="str">
        <f t="shared" si="434"/>
        <v/>
      </c>
      <c r="I3989" s="31" t="str">
        <f>IF(OR(B3989="",C3989=""),"",IFERROR(E3989*IF(E3989="",0,VLOOKUP(C3989,'📦 Precios Proforma'!$B$5:$D$104,IF(D3989="DIA",2,3),FALSE)),0))</f>
        <v/>
      </c>
      <c r="J3989" s="31" t="str">
        <f t="shared" si="435"/>
        <v/>
      </c>
      <c r="K3989" s="31" t="str">
        <f t="shared" si="436"/>
        <v/>
      </c>
      <c r="L3989" s="31" t="str">
        <f>IF(OR(B3989="",C3989=""),"",IFERROR(E3989 / SUMIFS('📅 Resumen Diario'!$D$5:$D$504, '📅 Resumen Diario'!$B$5:$B$504, B3989, '📅 Resumen Diario'!$C$5:$C$504, D3989) * SUMIFS('📅 Resumen Diario'!$K$5:$K$504, '📅 Resumen Diario'!$B$5:$B$504, B3989, '📅 Resumen Diario'!$C$5:$C$504, D3989), 0))</f>
        <v/>
      </c>
      <c r="M3989" s="31" t="str">
        <f t="shared" si="437"/>
        <v/>
      </c>
      <c r="N3989" s="31" t="str">
        <f t="shared" si="438"/>
        <v/>
      </c>
      <c r="O3989" s="31" t="str">
        <f>IF(OR(B3989="",C3989=""),"",K3989-N3989 + IFERROR(E3989 / SUMIFS('📅 Resumen Diario'!$D$5:$D$504, '📅 Resumen Diario'!$B$5:$B$504, B3989, '📅 Resumen Diario'!$C$5:$C$504, D3989) * (SUMIFS('📋 Detalle Diario'!$E$5:$E$489, '📋 Detalle Diario'!$B$5:$B$489, B3989, '📋 Detalle Diario'!$C$5:$C$489, D3989) * 135 + SUMIFS('📋 Detalle Diario'!$I$5:$I$489, '📋 Detalle Diario'!$B$5:$B$489, B3989, '📋 Detalle Diario'!$C$5:$C$489, D3989) * 200), 0))</f>
        <v/>
      </c>
      <c r="P3989" s="32" t="str">
        <f t="shared" si="439"/>
        <v/>
      </c>
      <c r="Q3989" s="33" t="str">
        <f t="shared" si="440"/>
        <v/>
      </c>
    </row>
    <row r="3990" spans="2:17" ht="18" customHeight="1" x14ac:dyDescent="0.3">
      <c r="B3990" s="26"/>
      <c r="C3990" s="17"/>
      <c r="D3990" s="27"/>
      <c r="E3990" s="18"/>
      <c r="F3990" s="18"/>
      <c r="G3990" s="18"/>
      <c r="H3990" s="30" t="str">
        <f t="shared" si="434"/>
        <v/>
      </c>
      <c r="I3990" s="31" t="str">
        <f>IF(OR(B3990="",C3990=""),"",IFERROR(E3990*IF(E3990="",0,VLOOKUP(C3990,'📦 Precios Proforma'!$B$5:$D$104,IF(D3990="DIA",2,3),FALSE)),0))</f>
        <v/>
      </c>
      <c r="J3990" s="31" t="str">
        <f t="shared" si="435"/>
        <v/>
      </c>
      <c r="K3990" s="31" t="str">
        <f t="shared" si="436"/>
        <v/>
      </c>
      <c r="L3990" s="31" t="str">
        <f>IF(OR(B3990="",C3990=""),"",IFERROR(E3990 / SUMIFS('📅 Resumen Diario'!$D$5:$D$504, '📅 Resumen Diario'!$B$5:$B$504, B3990, '📅 Resumen Diario'!$C$5:$C$504, D3990) * SUMIFS('📅 Resumen Diario'!$K$5:$K$504, '📅 Resumen Diario'!$B$5:$B$504, B3990, '📅 Resumen Diario'!$C$5:$C$504, D3990), 0))</f>
        <v/>
      </c>
      <c r="M3990" s="31" t="str">
        <f t="shared" si="437"/>
        <v/>
      </c>
      <c r="N3990" s="31" t="str">
        <f t="shared" si="438"/>
        <v/>
      </c>
      <c r="O3990" s="31" t="str">
        <f>IF(OR(B3990="",C3990=""),"",K3990-N3990 + IFERROR(E3990 / SUMIFS('📅 Resumen Diario'!$D$5:$D$504, '📅 Resumen Diario'!$B$5:$B$504, B3990, '📅 Resumen Diario'!$C$5:$C$504, D3990) * (SUMIFS('📋 Detalle Diario'!$E$5:$E$489, '📋 Detalle Diario'!$B$5:$B$489, B3990, '📋 Detalle Diario'!$C$5:$C$489, D3990) * 135 + SUMIFS('📋 Detalle Diario'!$I$5:$I$489, '📋 Detalle Diario'!$B$5:$B$489, B3990, '📋 Detalle Diario'!$C$5:$C$489, D3990) * 200), 0))</f>
        <v/>
      </c>
      <c r="P3990" s="32" t="str">
        <f t="shared" si="439"/>
        <v/>
      </c>
      <c r="Q3990" s="33" t="str">
        <f t="shared" si="440"/>
        <v/>
      </c>
    </row>
    <row r="3991" spans="2:17" ht="18" customHeight="1" x14ac:dyDescent="0.3">
      <c r="B3991" s="26"/>
      <c r="C3991" s="28"/>
      <c r="D3991" s="27"/>
      <c r="E3991" s="29"/>
      <c r="F3991" s="29"/>
      <c r="G3991" s="29"/>
      <c r="H3991" s="30" t="str">
        <f t="shared" si="434"/>
        <v/>
      </c>
      <c r="I3991" s="31" t="str">
        <f>IF(OR(B3991="",C3991=""),"",IFERROR(E3991*IF(E3991="",0,VLOOKUP(C3991,'📦 Precios Proforma'!$B$5:$D$104,IF(D3991="DIA",2,3),FALSE)),0))</f>
        <v/>
      </c>
      <c r="J3991" s="31" t="str">
        <f t="shared" si="435"/>
        <v/>
      </c>
      <c r="K3991" s="31" t="str">
        <f t="shared" si="436"/>
        <v/>
      </c>
      <c r="L3991" s="31" t="str">
        <f>IF(OR(B3991="",C3991=""),"",IFERROR(E3991 / SUMIFS('📅 Resumen Diario'!$D$5:$D$504, '📅 Resumen Diario'!$B$5:$B$504, B3991, '📅 Resumen Diario'!$C$5:$C$504, D3991) * SUMIFS('📅 Resumen Diario'!$K$5:$K$504, '📅 Resumen Diario'!$B$5:$B$504, B3991, '📅 Resumen Diario'!$C$5:$C$504, D3991), 0))</f>
        <v/>
      </c>
      <c r="M3991" s="31" t="str">
        <f t="shared" si="437"/>
        <v/>
      </c>
      <c r="N3991" s="31" t="str">
        <f t="shared" si="438"/>
        <v/>
      </c>
      <c r="O3991" s="31" t="str">
        <f>IF(OR(B3991="",C3991=""),"",K3991-N3991 + IFERROR(E3991 / SUMIFS('📅 Resumen Diario'!$D$5:$D$504, '📅 Resumen Diario'!$B$5:$B$504, B3991, '📅 Resumen Diario'!$C$5:$C$504, D3991) * (SUMIFS('📋 Detalle Diario'!$E$5:$E$489, '📋 Detalle Diario'!$B$5:$B$489, B3991, '📋 Detalle Diario'!$C$5:$C$489, D3991) * 135 + SUMIFS('📋 Detalle Diario'!$I$5:$I$489, '📋 Detalle Diario'!$B$5:$B$489, B3991, '📋 Detalle Diario'!$C$5:$C$489, D3991) * 200), 0))</f>
        <v/>
      </c>
      <c r="P3991" s="32" t="str">
        <f t="shared" si="439"/>
        <v/>
      </c>
      <c r="Q3991" s="33" t="str">
        <f t="shared" si="440"/>
        <v/>
      </c>
    </row>
    <row r="3992" spans="2:17" ht="18" customHeight="1" x14ac:dyDescent="0.3">
      <c r="B3992" s="26"/>
      <c r="C3992" s="17"/>
      <c r="D3992" s="27"/>
      <c r="E3992" s="18"/>
      <c r="F3992" s="18"/>
      <c r="G3992" s="18"/>
      <c r="H3992" s="30" t="str">
        <f t="shared" si="434"/>
        <v/>
      </c>
      <c r="I3992" s="31" t="str">
        <f>IF(OR(B3992="",C3992=""),"",IFERROR(E3992*IF(E3992="",0,VLOOKUP(C3992,'📦 Precios Proforma'!$B$5:$D$104,IF(D3992="DIA",2,3),FALSE)),0))</f>
        <v/>
      </c>
      <c r="J3992" s="31" t="str">
        <f t="shared" si="435"/>
        <v/>
      </c>
      <c r="K3992" s="31" t="str">
        <f t="shared" si="436"/>
        <v/>
      </c>
      <c r="L3992" s="31" t="str">
        <f>IF(OR(B3992="",C3992=""),"",IFERROR(E3992 / SUMIFS('📅 Resumen Diario'!$D$5:$D$504, '📅 Resumen Diario'!$B$5:$B$504, B3992, '📅 Resumen Diario'!$C$5:$C$504, D3992) * SUMIFS('📅 Resumen Diario'!$K$5:$K$504, '📅 Resumen Diario'!$B$5:$B$504, B3992, '📅 Resumen Diario'!$C$5:$C$504, D3992), 0))</f>
        <v/>
      </c>
      <c r="M3992" s="31" t="str">
        <f t="shared" si="437"/>
        <v/>
      </c>
      <c r="N3992" s="31" t="str">
        <f t="shared" si="438"/>
        <v/>
      </c>
      <c r="O3992" s="31" t="str">
        <f>IF(OR(B3992="",C3992=""),"",K3992-N3992 + IFERROR(E3992 / SUMIFS('📅 Resumen Diario'!$D$5:$D$504, '📅 Resumen Diario'!$B$5:$B$504, B3992, '📅 Resumen Diario'!$C$5:$C$504, D3992) * (SUMIFS('📋 Detalle Diario'!$E$5:$E$489, '📋 Detalle Diario'!$B$5:$B$489, B3992, '📋 Detalle Diario'!$C$5:$C$489, D3992) * 135 + SUMIFS('📋 Detalle Diario'!$I$5:$I$489, '📋 Detalle Diario'!$B$5:$B$489, B3992, '📋 Detalle Diario'!$C$5:$C$489, D3992) * 200), 0))</f>
        <v/>
      </c>
      <c r="P3992" s="32" t="str">
        <f t="shared" si="439"/>
        <v/>
      </c>
      <c r="Q3992" s="33" t="str">
        <f t="shared" si="440"/>
        <v/>
      </c>
    </row>
    <row r="3993" spans="2:17" ht="18" customHeight="1" x14ac:dyDescent="0.3">
      <c r="B3993" s="26"/>
      <c r="C3993" s="28"/>
      <c r="D3993" s="27"/>
      <c r="E3993" s="29"/>
      <c r="F3993" s="29"/>
      <c r="G3993" s="29"/>
      <c r="H3993" s="30" t="str">
        <f t="shared" si="434"/>
        <v/>
      </c>
      <c r="I3993" s="31" t="str">
        <f>IF(OR(B3993="",C3993=""),"",IFERROR(E3993*IF(E3993="",0,VLOOKUP(C3993,'📦 Precios Proforma'!$B$5:$D$104,IF(D3993="DIA",2,3),FALSE)),0))</f>
        <v/>
      </c>
      <c r="J3993" s="31" t="str">
        <f t="shared" si="435"/>
        <v/>
      </c>
      <c r="K3993" s="31" t="str">
        <f t="shared" si="436"/>
        <v/>
      </c>
      <c r="L3993" s="31" t="str">
        <f>IF(OR(B3993="",C3993=""),"",IFERROR(E3993 / SUMIFS('📅 Resumen Diario'!$D$5:$D$504, '📅 Resumen Diario'!$B$5:$B$504, B3993, '📅 Resumen Diario'!$C$5:$C$504, D3993) * SUMIFS('📅 Resumen Diario'!$K$5:$K$504, '📅 Resumen Diario'!$B$5:$B$504, B3993, '📅 Resumen Diario'!$C$5:$C$504, D3993), 0))</f>
        <v/>
      </c>
      <c r="M3993" s="31" t="str">
        <f t="shared" si="437"/>
        <v/>
      </c>
      <c r="N3993" s="31" t="str">
        <f t="shared" si="438"/>
        <v/>
      </c>
      <c r="O3993" s="31" t="str">
        <f>IF(OR(B3993="",C3993=""),"",K3993-N3993 + IFERROR(E3993 / SUMIFS('📅 Resumen Diario'!$D$5:$D$504, '📅 Resumen Diario'!$B$5:$B$504, B3993, '📅 Resumen Diario'!$C$5:$C$504, D3993) * (SUMIFS('📋 Detalle Diario'!$E$5:$E$489, '📋 Detalle Diario'!$B$5:$B$489, B3993, '📋 Detalle Diario'!$C$5:$C$489, D3993) * 135 + SUMIFS('📋 Detalle Diario'!$I$5:$I$489, '📋 Detalle Diario'!$B$5:$B$489, B3993, '📋 Detalle Diario'!$C$5:$C$489, D3993) * 200), 0))</f>
        <v/>
      </c>
      <c r="P3993" s="32" t="str">
        <f t="shared" si="439"/>
        <v/>
      </c>
      <c r="Q3993" s="33" t="str">
        <f t="shared" si="440"/>
        <v/>
      </c>
    </row>
    <row r="3994" spans="2:17" ht="18" customHeight="1" x14ac:dyDescent="0.3">
      <c r="B3994" s="26"/>
      <c r="C3994" s="17"/>
      <c r="D3994" s="27"/>
      <c r="E3994" s="18"/>
      <c r="F3994" s="18"/>
      <c r="G3994" s="18"/>
      <c r="H3994" s="30" t="str">
        <f t="shared" si="434"/>
        <v/>
      </c>
      <c r="I3994" s="31" t="str">
        <f>IF(OR(B3994="",C3994=""),"",IFERROR(E3994*IF(E3994="",0,VLOOKUP(C3994,'📦 Precios Proforma'!$B$5:$D$104,IF(D3994="DIA",2,3),FALSE)),0))</f>
        <v/>
      </c>
      <c r="J3994" s="31" t="str">
        <f t="shared" si="435"/>
        <v/>
      </c>
      <c r="K3994" s="31" t="str">
        <f t="shared" si="436"/>
        <v/>
      </c>
      <c r="L3994" s="31" t="str">
        <f>IF(OR(B3994="",C3994=""),"",IFERROR(E3994 / SUMIFS('📅 Resumen Diario'!$D$5:$D$504, '📅 Resumen Diario'!$B$5:$B$504, B3994, '📅 Resumen Diario'!$C$5:$C$504, D3994) * SUMIFS('📅 Resumen Diario'!$K$5:$K$504, '📅 Resumen Diario'!$B$5:$B$504, B3994, '📅 Resumen Diario'!$C$5:$C$504, D3994), 0))</f>
        <v/>
      </c>
      <c r="M3994" s="31" t="str">
        <f t="shared" si="437"/>
        <v/>
      </c>
      <c r="N3994" s="31" t="str">
        <f t="shared" si="438"/>
        <v/>
      </c>
      <c r="O3994" s="31" t="str">
        <f>IF(OR(B3994="",C3994=""),"",K3994-N3994 + IFERROR(E3994 / SUMIFS('📅 Resumen Diario'!$D$5:$D$504, '📅 Resumen Diario'!$B$5:$B$504, B3994, '📅 Resumen Diario'!$C$5:$C$504, D3994) * (SUMIFS('📋 Detalle Diario'!$E$5:$E$489, '📋 Detalle Diario'!$B$5:$B$489, B3994, '📋 Detalle Diario'!$C$5:$C$489, D3994) * 135 + SUMIFS('📋 Detalle Diario'!$I$5:$I$489, '📋 Detalle Diario'!$B$5:$B$489, B3994, '📋 Detalle Diario'!$C$5:$C$489, D3994) * 200), 0))</f>
        <v/>
      </c>
      <c r="P3994" s="32" t="str">
        <f t="shared" si="439"/>
        <v/>
      </c>
      <c r="Q3994" s="33" t="str">
        <f t="shared" si="440"/>
        <v/>
      </c>
    </row>
    <row r="3995" spans="2:17" ht="18" customHeight="1" x14ac:dyDescent="0.3">
      <c r="B3995" s="26"/>
      <c r="C3995" s="28"/>
      <c r="D3995" s="27"/>
      <c r="E3995" s="29"/>
      <c r="F3995" s="29"/>
      <c r="G3995" s="29"/>
      <c r="H3995" s="30" t="str">
        <f t="shared" si="434"/>
        <v/>
      </c>
      <c r="I3995" s="31" t="str">
        <f>IF(OR(B3995="",C3995=""),"",IFERROR(E3995*IF(E3995="",0,VLOOKUP(C3995,'📦 Precios Proforma'!$B$5:$D$104,IF(D3995="DIA",2,3),FALSE)),0))</f>
        <v/>
      </c>
      <c r="J3995" s="31" t="str">
        <f t="shared" si="435"/>
        <v/>
      </c>
      <c r="K3995" s="31" t="str">
        <f t="shared" si="436"/>
        <v/>
      </c>
      <c r="L3995" s="31" t="str">
        <f>IF(OR(B3995="",C3995=""),"",IFERROR(E3995 / SUMIFS('📅 Resumen Diario'!$D$5:$D$504, '📅 Resumen Diario'!$B$5:$B$504, B3995, '📅 Resumen Diario'!$C$5:$C$504, D3995) * SUMIFS('📅 Resumen Diario'!$K$5:$K$504, '📅 Resumen Diario'!$B$5:$B$504, B3995, '📅 Resumen Diario'!$C$5:$C$504, D3995), 0))</f>
        <v/>
      </c>
      <c r="M3995" s="31" t="str">
        <f t="shared" si="437"/>
        <v/>
      </c>
      <c r="N3995" s="31" t="str">
        <f t="shared" si="438"/>
        <v/>
      </c>
      <c r="O3995" s="31" t="str">
        <f>IF(OR(B3995="",C3995=""),"",K3995-N3995 + IFERROR(E3995 / SUMIFS('📅 Resumen Diario'!$D$5:$D$504, '📅 Resumen Diario'!$B$5:$B$504, B3995, '📅 Resumen Diario'!$C$5:$C$504, D3995) * (SUMIFS('📋 Detalle Diario'!$E$5:$E$489, '📋 Detalle Diario'!$B$5:$B$489, B3995, '📋 Detalle Diario'!$C$5:$C$489, D3995) * 135 + SUMIFS('📋 Detalle Diario'!$I$5:$I$489, '📋 Detalle Diario'!$B$5:$B$489, B3995, '📋 Detalle Diario'!$C$5:$C$489, D3995) * 200), 0))</f>
        <v/>
      </c>
      <c r="P3995" s="32" t="str">
        <f t="shared" si="439"/>
        <v/>
      </c>
      <c r="Q3995" s="33" t="str">
        <f t="shared" si="440"/>
        <v/>
      </c>
    </row>
    <row r="3996" spans="2:17" ht="18" customHeight="1" x14ac:dyDescent="0.3">
      <c r="B3996" s="26"/>
      <c r="C3996" s="17"/>
      <c r="D3996" s="27"/>
      <c r="E3996" s="18"/>
      <c r="F3996" s="18"/>
      <c r="G3996" s="18"/>
      <c r="H3996" s="30" t="str">
        <f t="shared" si="434"/>
        <v/>
      </c>
      <c r="I3996" s="31" t="str">
        <f>IF(OR(B3996="",C3996=""),"",IFERROR(E3996*IF(E3996="",0,VLOOKUP(C3996,'📦 Precios Proforma'!$B$5:$D$104,IF(D3996="DIA",2,3),FALSE)),0))</f>
        <v/>
      </c>
      <c r="J3996" s="31" t="str">
        <f t="shared" si="435"/>
        <v/>
      </c>
      <c r="K3996" s="31" t="str">
        <f t="shared" si="436"/>
        <v/>
      </c>
      <c r="L3996" s="31" t="str">
        <f>IF(OR(B3996="",C3996=""),"",IFERROR(E3996 / SUMIFS('📅 Resumen Diario'!$D$5:$D$504, '📅 Resumen Diario'!$B$5:$B$504, B3996, '📅 Resumen Diario'!$C$5:$C$504, D3996) * SUMIFS('📅 Resumen Diario'!$K$5:$K$504, '📅 Resumen Diario'!$B$5:$B$504, B3996, '📅 Resumen Diario'!$C$5:$C$504, D3996), 0))</f>
        <v/>
      </c>
      <c r="M3996" s="31" t="str">
        <f t="shared" si="437"/>
        <v/>
      </c>
      <c r="N3996" s="31" t="str">
        <f t="shared" si="438"/>
        <v/>
      </c>
      <c r="O3996" s="31" t="str">
        <f>IF(OR(B3996="",C3996=""),"",K3996-N3996 + IFERROR(E3996 / SUMIFS('📅 Resumen Diario'!$D$5:$D$504, '📅 Resumen Diario'!$B$5:$B$504, B3996, '📅 Resumen Diario'!$C$5:$C$504, D3996) * (SUMIFS('📋 Detalle Diario'!$E$5:$E$489, '📋 Detalle Diario'!$B$5:$B$489, B3996, '📋 Detalle Diario'!$C$5:$C$489, D3996) * 135 + SUMIFS('📋 Detalle Diario'!$I$5:$I$489, '📋 Detalle Diario'!$B$5:$B$489, B3996, '📋 Detalle Diario'!$C$5:$C$489, D3996) * 200), 0))</f>
        <v/>
      </c>
      <c r="P3996" s="32" t="str">
        <f t="shared" si="439"/>
        <v/>
      </c>
      <c r="Q3996" s="33" t="str">
        <f t="shared" si="440"/>
        <v/>
      </c>
    </row>
    <row r="3997" spans="2:17" ht="18" customHeight="1" x14ac:dyDescent="0.3">
      <c r="B3997" s="26"/>
      <c r="C3997" s="28"/>
      <c r="D3997" s="27"/>
      <c r="E3997" s="29"/>
      <c r="F3997" s="29"/>
      <c r="G3997" s="29"/>
      <c r="H3997" s="30" t="str">
        <f t="shared" si="434"/>
        <v/>
      </c>
      <c r="I3997" s="31" t="str">
        <f>IF(OR(B3997="",C3997=""),"",IFERROR(E3997*IF(E3997="",0,VLOOKUP(C3997,'📦 Precios Proforma'!$B$5:$D$104,IF(D3997="DIA",2,3),FALSE)),0))</f>
        <v/>
      </c>
      <c r="J3997" s="31" t="str">
        <f t="shared" si="435"/>
        <v/>
      </c>
      <c r="K3997" s="31" t="str">
        <f t="shared" si="436"/>
        <v/>
      </c>
      <c r="L3997" s="31" t="str">
        <f>IF(OR(B3997="",C3997=""),"",IFERROR(E3997 / SUMIFS('📅 Resumen Diario'!$D$5:$D$504, '📅 Resumen Diario'!$B$5:$B$504, B3997, '📅 Resumen Diario'!$C$5:$C$504, D3997) * SUMIFS('📅 Resumen Diario'!$K$5:$K$504, '📅 Resumen Diario'!$B$5:$B$504, B3997, '📅 Resumen Diario'!$C$5:$C$504, D3997), 0))</f>
        <v/>
      </c>
      <c r="M3997" s="31" t="str">
        <f t="shared" si="437"/>
        <v/>
      </c>
      <c r="N3997" s="31" t="str">
        <f t="shared" si="438"/>
        <v/>
      </c>
      <c r="O3997" s="31" t="str">
        <f>IF(OR(B3997="",C3997=""),"",K3997-N3997 + IFERROR(E3997 / SUMIFS('📅 Resumen Diario'!$D$5:$D$504, '📅 Resumen Diario'!$B$5:$B$504, B3997, '📅 Resumen Diario'!$C$5:$C$504, D3997) * (SUMIFS('📋 Detalle Diario'!$E$5:$E$489, '📋 Detalle Diario'!$B$5:$B$489, B3997, '📋 Detalle Diario'!$C$5:$C$489, D3997) * 135 + SUMIFS('📋 Detalle Diario'!$I$5:$I$489, '📋 Detalle Diario'!$B$5:$B$489, B3997, '📋 Detalle Diario'!$C$5:$C$489, D3997) * 200), 0))</f>
        <v/>
      </c>
      <c r="P3997" s="32" t="str">
        <f t="shared" si="439"/>
        <v/>
      </c>
      <c r="Q3997" s="33" t="str">
        <f t="shared" si="440"/>
        <v/>
      </c>
    </row>
    <row r="3998" spans="2:17" ht="18" customHeight="1" x14ac:dyDescent="0.3">
      <c r="B3998" s="26"/>
      <c r="C3998" s="17"/>
      <c r="D3998" s="27"/>
      <c r="E3998" s="18"/>
      <c r="F3998" s="18"/>
      <c r="G3998" s="18"/>
      <c r="H3998" s="30" t="str">
        <f t="shared" si="434"/>
        <v/>
      </c>
      <c r="I3998" s="31" t="str">
        <f>IF(OR(B3998="",C3998=""),"",IFERROR(E3998*IF(E3998="",0,VLOOKUP(C3998,'📦 Precios Proforma'!$B$5:$D$104,IF(D3998="DIA",2,3),FALSE)),0))</f>
        <v/>
      </c>
      <c r="J3998" s="31" t="str">
        <f t="shared" si="435"/>
        <v/>
      </c>
      <c r="K3998" s="31" t="str">
        <f t="shared" si="436"/>
        <v/>
      </c>
      <c r="L3998" s="31" t="str">
        <f>IF(OR(B3998="",C3998=""),"",IFERROR(E3998 / SUMIFS('📅 Resumen Diario'!$D$5:$D$504, '📅 Resumen Diario'!$B$5:$B$504, B3998, '📅 Resumen Diario'!$C$5:$C$504, D3998) * SUMIFS('📅 Resumen Diario'!$K$5:$K$504, '📅 Resumen Diario'!$B$5:$B$504, B3998, '📅 Resumen Diario'!$C$5:$C$504, D3998), 0))</f>
        <v/>
      </c>
      <c r="M3998" s="31" t="str">
        <f t="shared" si="437"/>
        <v/>
      </c>
      <c r="N3998" s="31" t="str">
        <f t="shared" si="438"/>
        <v/>
      </c>
      <c r="O3998" s="31" t="str">
        <f>IF(OR(B3998="",C3998=""),"",K3998-N3998 + IFERROR(E3998 / SUMIFS('📅 Resumen Diario'!$D$5:$D$504, '📅 Resumen Diario'!$B$5:$B$504, B3998, '📅 Resumen Diario'!$C$5:$C$504, D3998) * (SUMIFS('📋 Detalle Diario'!$E$5:$E$489, '📋 Detalle Diario'!$B$5:$B$489, B3998, '📋 Detalle Diario'!$C$5:$C$489, D3998) * 135 + SUMIFS('📋 Detalle Diario'!$I$5:$I$489, '📋 Detalle Diario'!$B$5:$B$489, B3998, '📋 Detalle Diario'!$C$5:$C$489, D3998) * 200), 0))</f>
        <v/>
      </c>
      <c r="P3998" s="32" t="str">
        <f t="shared" si="439"/>
        <v/>
      </c>
      <c r="Q3998" s="33" t="str">
        <f t="shared" si="440"/>
        <v/>
      </c>
    </row>
    <row r="3999" spans="2:17" ht="18" customHeight="1" x14ac:dyDescent="0.3">
      <c r="B3999" s="26"/>
      <c r="C3999" s="28"/>
      <c r="D3999" s="27"/>
      <c r="E3999" s="29"/>
      <c r="F3999" s="29"/>
      <c r="G3999" s="29"/>
      <c r="H3999" s="30" t="str">
        <f t="shared" si="434"/>
        <v/>
      </c>
      <c r="I3999" s="31" t="str">
        <f>IF(OR(B3999="",C3999=""),"",IFERROR(E3999*IF(E3999="",0,VLOOKUP(C3999,'📦 Precios Proforma'!$B$5:$D$104,IF(D3999="DIA",2,3),FALSE)),0))</f>
        <v/>
      </c>
      <c r="J3999" s="31" t="str">
        <f t="shared" si="435"/>
        <v/>
      </c>
      <c r="K3999" s="31" t="str">
        <f t="shared" si="436"/>
        <v/>
      </c>
      <c r="L3999" s="31" t="str">
        <f>IF(OR(B3999="",C3999=""),"",IFERROR(E3999 / SUMIFS('📅 Resumen Diario'!$D$5:$D$504, '📅 Resumen Diario'!$B$5:$B$504, B3999, '📅 Resumen Diario'!$C$5:$C$504, D3999) * SUMIFS('📅 Resumen Diario'!$K$5:$K$504, '📅 Resumen Diario'!$B$5:$B$504, B3999, '📅 Resumen Diario'!$C$5:$C$504, D3999), 0))</f>
        <v/>
      </c>
      <c r="M3999" s="31" t="str">
        <f t="shared" si="437"/>
        <v/>
      </c>
      <c r="N3999" s="31" t="str">
        <f t="shared" si="438"/>
        <v/>
      </c>
      <c r="O3999" s="31" t="str">
        <f>IF(OR(B3999="",C3999=""),"",K3999-N3999 + IFERROR(E3999 / SUMIFS('📅 Resumen Diario'!$D$5:$D$504, '📅 Resumen Diario'!$B$5:$B$504, B3999, '📅 Resumen Diario'!$C$5:$C$504, D3999) * (SUMIFS('📋 Detalle Diario'!$E$5:$E$489, '📋 Detalle Diario'!$B$5:$B$489, B3999, '📋 Detalle Diario'!$C$5:$C$489, D3999) * 135 + SUMIFS('📋 Detalle Diario'!$I$5:$I$489, '📋 Detalle Diario'!$B$5:$B$489, B3999, '📋 Detalle Diario'!$C$5:$C$489, D3999) * 200), 0))</f>
        <v/>
      </c>
      <c r="P3999" s="32" t="str">
        <f t="shared" si="439"/>
        <v/>
      </c>
      <c r="Q3999" s="33" t="str">
        <f t="shared" si="440"/>
        <v/>
      </c>
    </row>
    <row r="4000" spans="2:17" ht="18" customHeight="1" x14ac:dyDescent="0.3">
      <c r="B4000" s="26"/>
      <c r="C4000" s="17"/>
      <c r="D4000" s="27"/>
      <c r="E4000" s="18"/>
      <c r="F4000" s="18"/>
      <c r="G4000" s="18"/>
      <c r="H4000" s="30" t="str">
        <f t="shared" si="434"/>
        <v/>
      </c>
      <c r="I4000" s="31" t="str">
        <f>IF(OR(B4000="",C4000=""),"",IFERROR(E4000*IF(E4000="",0,VLOOKUP(C4000,'📦 Precios Proforma'!$B$5:$D$104,IF(D4000="DIA",2,3),FALSE)),0))</f>
        <v/>
      </c>
      <c r="J4000" s="31" t="str">
        <f t="shared" si="435"/>
        <v/>
      </c>
      <c r="K4000" s="31" t="str">
        <f t="shared" si="436"/>
        <v/>
      </c>
      <c r="L4000" s="31" t="str">
        <f>IF(OR(B4000="",C4000=""),"",IFERROR(E4000 / SUMIFS('📅 Resumen Diario'!$D$5:$D$504, '📅 Resumen Diario'!$B$5:$B$504, B4000, '📅 Resumen Diario'!$C$5:$C$504, D4000) * SUMIFS('📅 Resumen Diario'!$K$5:$K$504, '📅 Resumen Diario'!$B$5:$B$504, B4000, '📅 Resumen Diario'!$C$5:$C$504, D4000), 0))</f>
        <v/>
      </c>
      <c r="M4000" s="31" t="str">
        <f t="shared" si="437"/>
        <v/>
      </c>
      <c r="N4000" s="31" t="str">
        <f t="shared" si="438"/>
        <v/>
      </c>
      <c r="O4000" s="31" t="str">
        <f>IF(OR(B4000="",C4000=""),"",K4000-N4000 + IFERROR(E4000 / SUMIFS('📅 Resumen Diario'!$D$5:$D$504, '📅 Resumen Diario'!$B$5:$B$504, B4000, '📅 Resumen Diario'!$C$5:$C$504, D4000) * (SUMIFS('📋 Detalle Diario'!$E$5:$E$489, '📋 Detalle Diario'!$B$5:$B$489, B4000, '📋 Detalle Diario'!$C$5:$C$489, D4000) * 135 + SUMIFS('📋 Detalle Diario'!$I$5:$I$489, '📋 Detalle Diario'!$B$5:$B$489, B4000, '📋 Detalle Diario'!$C$5:$C$489, D4000) * 200), 0))</f>
        <v/>
      </c>
      <c r="P4000" s="32" t="str">
        <f t="shared" si="439"/>
        <v/>
      </c>
      <c r="Q4000" s="33" t="str">
        <f t="shared" si="440"/>
        <v/>
      </c>
    </row>
    <row r="4001" spans="2:17" ht="18" customHeight="1" x14ac:dyDescent="0.3">
      <c r="B4001" s="26"/>
      <c r="C4001" s="28"/>
      <c r="D4001" s="27"/>
      <c r="E4001" s="29"/>
      <c r="F4001" s="29"/>
      <c r="G4001" s="29"/>
      <c r="H4001" s="30" t="str">
        <f t="shared" si="434"/>
        <v/>
      </c>
      <c r="I4001" s="31" t="str">
        <f>IF(OR(B4001="",C4001=""),"",IFERROR(E4001*IF(E4001="",0,VLOOKUP(C4001,'📦 Precios Proforma'!$B$5:$D$104,IF(D4001="DIA",2,3),FALSE)),0))</f>
        <v/>
      </c>
      <c r="J4001" s="31" t="str">
        <f t="shared" si="435"/>
        <v/>
      </c>
      <c r="K4001" s="31" t="str">
        <f t="shared" si="436"/>
        <v/>
      </c>
      <c r="L4001" s="31" t="str">
        <f>IF(OR(B4001="",C4001=""),"",IFERROR(E4001 / SUMIFS('📅 Resumen Diario'!$D$5:$D$504, '📅 Resumen Diario'!$B$5:$B$504, B4001, '📅 Resumen Diario'!$C$5:$C$504, D4001) * SUMIFS('📅 Resumen Diario'!$K$5:$K$504, '📅 Resumen Diario'!$B$5:$B$504, B4001, '📅 Resumen Diario'!$C$5:$C$504, D4001), 0))</f>
        <v/>
      </c>
      <c r="M4001" s="31" t="str">
        <f t="shared" si="437"/>
        <v/>
      </c>
      <c r="N4001" s="31" t="str">
        <f t="shared" si="438"/>
        <v/>
      </c>
      <c r="O4001" s="31" t="str">
        <f>IF(OR(B4001="",C4001=""),"",K4001-N4001 + IFERROR(E4001 / SUMIFS('📅 Resumen Diario'!$D$5:$D$504, '📅 Resumen Diario'!$B$5:$B$504, B4001, '📅 Resumen Diario'!$C$5:$C$504, D4001) * (SUMIFS('📋 Detalle Diario'!$E$5:$E$489, '📋 Detalle Diario'!$B$5:$B$489, B4001, '📋 Detalle Diario'!$C$5:$C$489, D4001) * 135 + SUMIFS('📋 Detalle Diario'!$I$5:$I$489, '📋 Detalle Diario'!$B$5:$B$489, B4001, '📋 Detalle Diario'!$C$5:$C$489, D4001) * 200), 0))</f>
        <v/>
      </c>
      <c r="P4001" s="32" t="str">
        <f t="shared" si="439"/>
        <v/>
      </c>
      <c r="Q4001" s="33" t="str">
        <f t="shared" si="440"/>
        <v/>
      </c>
    </row>
    <row r="4002" spans="2:17" ht="18" customHeight="1" x14ac:dyDescent="0.3">
      <c r="B4002" s="26"/>
      <c r="C4002" s="17"/>
      <c r="D4002" s="27"/>
      <c r="E4002" s="18"/>
      <c r="F4002" s="18"/>
      <c r="G4002" s="18"/>
      <c r="H4002" s="30" t="str">
        <f t="shared" si="434"/>
        <v/>
      </c>
      <c r="I4002" s="31" t="str">
        <f>IF(OR(B4002="",C4002=""),"",IFERROR(E4002*IF(E4002="",0,VLOOKUP(C4002,'📦 Precios Proforma'!$B$5:$D$104,IF(D4002="DIA",2,3),FALSE)),0))</f>
        <v/>
      </c>
      <c r="J4002" s="31" t="str">
        <f t="shared" si="435"/>
        <v/>
      </c>
      <c r="K4002" s="31" t="str">
        <f t="shared" si="436"/>
        <v/>
      </c>
      <c r="L4002" s="31" t="str">
        <f>IF(OR(B4002="",C4002=""),"",IFERROR(E4002 / SUMIFS('📅 Resumen Diario'!$D$5:$D$504, '📅 Resumen Diario'!$B$5:$B$504, B4002, '📅 Resumen Diario'!$C$5:$C$504, D4002) * SUMIFS('📅 Resumen Diario'!$K$5:$K$504, '📅 Resumen Diario'!$B$5:$B$504, B4002, '📅 Resumen Diario'!$C$5:$C$504, D4002), 0))</f>
        <v/>
      </c>
      <c r="M4002" s="31" t="str">
        <f t="shared" si="437"/>
        <v/>
      </c>
      <c r="N4002" s="31" t="str">
        <f t="shared" si="438"/>
        <v/>
      </c>
      <c r="O4002" s="31" t="str">
        <f>IF(OR(B4002="",C4002=""),"",K4002-N4002 + IFERROR(E4002 / SUMIFS('📅 Resumen Diario'!$D$5:$D$504, '📅 Resumen Diario'!$B$5:$B$504, B4002, '📅 Resumen Diario'!$C$5:$C$504, D4002) * (SUMIFS('📋 Detalle Diario'!$E$5:$E$489, '📋 Detalle Diario'!$B$5:$B$489, B4002, '📋 Detalle Diario'!$C$5:$C$489, D4002) * 135 + SUMIFS('📋 Detalle Diario'!$I$5:$I$489, '📋 Detalle Diario'!$B$5:$B$489, B4002, '📋 Detalle Diario'!$C$5:$C$489, D4002) * 200), 0))</f>
        <v/>
      </c>
      <c r="P4002" s="32" t="str">
        <f t="shared" si="439"/>
        <v/>
      </c>
      <c r="Q4002" s="33" t="str">
        <f t="shared" si="440"/>
        <v/>
      </c>
    </row>
    <row r="4003" spans="2:17" ht="18" customHeight="1" x14ac:dyDescent="0.3">
      <c r="B4003" s="26"/>
      <c r="C4003" s="28"/>
      <c r="D4003" s="27"/>
      <c r="E4003" s="29"/>
      <c r="F4003" s="29"/>
      <c r="G4003" s="29"/>
      <c r="H4003" s="30" t="str">
        <f t="shared" si="434"/>
        <v/>
      </c>
      <c r="I4003" s="31" t="str">
        <f>IF(OR(B4003="",C4003=""),"",IFERROR(E4003*IF(E4003="",0,VLOOKUP(C4003,'📦 Precios Proforma'!$B$5:$D$104,IF(D4003="DIA",2,3),FALSE)),0))</f>
        <v/>
      </c>
      <c r="J4003" s="31" t="str">
        <f t="shared" si="435"/>
        <v/>
      </c>
      <c r="K4003" s="31" t="str">
        <f t="shared" si="436"/>
        <v/>
      </c>
      <c r="L4003" s="31" t="str">
        <f>IF(OR(B4003="",C4003=""),"",IFERROR(E4003 / SUMIFS('📅 Resumen Diario'!$D$5:$D$504, '📅 Resumen Diario'!$B$5:$B$504, B4003, '📅 Resumen Diario'!$C$5:$C$504, D4003) * SUMIFS('📅 Resumen Diario'!$K$5:$K$504, '📅 Resumen Diario'!$B$5:$B$504, B4003, '📅 Resumen Diario'!$C$5:$C$504, D4003), 0))</f>
        <v/>
      </c>
      <c r="M4003" s="31" t="str">
        <f t="shared" si="437"/>
        <v/>
      </c>
      <c r="N4003" s="31" t="str">
        <f t="shared" si="438"/>
        <v/>
      </c>
      <c r="O4003" s="31" t="str">
        <f>IF(OR(B4003="",C4003=""),"",K4003-N4003 + IFERROR(E4003 / SUMIFS('📅 Resumen Diario'!$D$5:$D$504, '📅 Resumen Diario'!$B$5:$B$504, B4003, '📅 Resumen Diario'!$C$5:$C$504, D4003) * (SUMIFS('📋 Detalle Diario'!$E$5:$E$489, '📋 Detalle Diario'!$B$5:$B$489, B4003, '📋 Detalle Diario'!$C$5:$C$489, D4003) * 135 + SUMIFS('📋 Detalle Diario'!$I$5:$I$489, '📋 Detalle Diario'!$B$5:$B$489, B4003, '📋 Detalle Diario'!$C$5:$C$489, D4003) * 200), 0))</f>
        <v/>
      </c>
      <c r="P4003" s="32" t="str">
        <f t="shared" si="439"/>
        <v/>
      </c>
      <c r="Q4003" s="33" t="str">
        <f t="shared" si="440"/>
        <v/>
      </c>
    </row>
    <row r="4004" spans="2:17" ht="18" customHeight="1" x14ac:dyDescent="0.3">
      <c r="B4004" s="26"/>
      <c r="C4004" s="17"/>
      <c r="D4004" s="27"/>
      <c r="E4004" s="18"/>
      <c r="F4004" s="18"/>
      <c r="G4004" s="18"/>
      <c r="H4004" s="30" t="str">
        <f t="shared" si="434"/>
        <v/>
      </c>
      <c r="I4004" s="31" t="str">
        <f>IF(OR(B4004="",C4004=""),"",IFERROR(E4004*IF(E4004="",0,VLOOKUP(C4004,'📦 Precios Proforma'!$B$5:$D$104,IF(D4004="DIA",2,3),FALSE)),0))</f>
        <v/>
      </c>
      <c r="J4004" s="31" t="str">
        <f t="shared" si="435"/>
        <v/>
      </c>
      <c r="K4004" s="31" t="str">
        <f t="shared" si="436"/>
        <v/>
      </c>
      <c r="L4004" s="31" t="str">
        <f>IF(OR(B4004="",C4004=""),"",IFERROR(E4004 / SUMIFS('📅 Resumen Diario'!$D$5:$D$504, '📅 Resumen Diario'!$B$5:$B$504, B4004, '📅 Resumen Diario'!$C$5:$C$504, D4004) * SUMIFS('📅 Resumen Diario'!$K$5:$K$504, '📅 Resumen Diario'!$B$5:$B$504, B4004, '📅 Resumen Diario'!$C$5:$C$504, D4004), 0))</f>
        <v/>
      </c>
      <c r="M4004" s="31" t="str">
        <f t="shared" si="437"/>
        <v/>
      </c>
      <c r="N4004" s="31" t="str">
        <f t="shared" si="438"/>
        <v/>
      </c>
      <c r="O4004" s="31" t="str">
        <f>IF(OR(B4004="",C4004=""),"",K4004-N4004 + IFERROR(E4004 / SUMIFS('📅 Resumen Diario'!$D$5:$D$504, '📅 Resumen Diario'!$B$5:$B$504, B4004, '📅 Resumen Diario'!$C$5:$C$504, D4004) * (SUMIFS('📋 Detalle Diario'!$E$5:$E$489, '📋 Detalle Diario'!$B$5:$B$489, B4004, '📋 Detalle Diario'!$C$5:$C$489, D4004) * 135 + SUMIFS('📋 Detalle Diario'!$I$5:$I$489, '📋 Detalle Diario'!$B$5:$B$489, B4004, '📋 Detalle Diario'!$C$5:$C$489, D4004) * 200), 0))</f>
        <v/>
      </c>
      <c r="P4004" s="32" t="str">
        <f t="shared" si="439"/>
        <v/>
      </c>
      <c r="Q4004" s="33" t="str">
        <f t="shared" si="440"/>
        <v/>
      </c>
    </row>
    <row r="4005" spans="2:17" ht="18" customHeight="1" x14ac:dyDescent="0.3">
      <c r="B4005" s="26"/>
      <c r="C4005" s="28"/>
      <c r="D4005" s="27"/>
      <c r="E4005" s="29"/>
      <c r="F4005" s="29"/>
      <c r="G4005" s="29"/>
      <c r="H4005" s="30" t="str">
        <f t="shared" si="434"/>
        <v/>
      </c>
      <c r="I4005" s="31" t="str">
        <f>IF(OR(B4005="",C4005=""),"",IFERROR(E4005*IF(E4005="",0,VLOOKUP(C4005,'📦 Precios Proforma'!$B$5:$D$104,IF(D4005="DIA",2,3),FALSE)),0))</f>
        <v/>
      </c>
      <c r="J4005" s="31" t="str">
        <f t="shared" si="435"/>
        <v/>
      </c>
      <c r="K4005" s="31" t="str">
        <f t="shared" si="436"/>
        <v/>
      </c>
      <c r="L4005" s="31" t="str">
        <f>IF(OR(B4005="",C4005=""),"",IFERROR(E4005 / SUMIFS('📅 Resumen Diario'!$D$5:$D$504, '📅 Resumen Diario'!$B$5:$B$504, B4005, '📅 Resumen Diario'!$C$5:$C$504, D4005) * SUMIFS('📅 Resumen Diario'!$K$5:$K$504, '📅 Resumen Diario'!$B$5:$B$504, B4005, '📅 Resumen Diario'!$C$5:$C$504, D4005), 0))</f>
        <v/>
      </c>
      <c r="M4005" s="31" t="str">
        <f t="shared" si="437"/>
        <v/>
      </c>
      <c r="N4005" s="31" t="str">
        <f t="shared" si="438"/>
        <v/>
      </c>
      <c r="O4005" s="31" t="str">
        <f>IF(OR(B4005="",C4005=""),"",K4005-N4005 + IFERROR(E4005 / SUMIFS('📅 Resumen Diario'!$D$5:$D$504, '📅 Resumen Diario'!$B$5:$B$504, B4005, '📅 Resumen Diario'!$C$5:$C$504, D4005) * (SUMIFS('📋 Detalle Diario'!$E$5:$E$489, '📋 Detalle Diario'!$B$5:$B$489, B4005, '📋 Detalle Diario'!$C$5:$C$489, D4005) * 135 + SUMIFS('📋 Detalle Diario'!$I$5:$I$489, '📋 Detalle Diario'!$B$5:$B$489, B4005, '📋 Detalle Diario'!$C$5:$C$489, D4005) * 200), 0))</f>
        <v/>
      </c>
      <c r="P4005" s="32" t="str">
        <f t="shared" si="439"/>
        <v/>
      </c>
      <c r="Q4005" s="33" t="str">
        <f t="shared" si="440"/>
        <v/>
      </c>
    </row>
    <row r="4006" spans="2:17" ht="18" customHeight="1" x14ac:dyDescent="0.3">
      <c r="B4006" s="26"/>
      <c r="C4006" s="17"/>
      <c r="D4006" s="27"/>
      <c r="E4006" s="18"/>
      <c r="F4006" s="18"/>
      <c r="G4006" s="18"/>
      <c r="H4006" s="30" t="str">
        <f t="shared" si="434"/>
        <v/>
      </c>
      <c r="I4006" s="31" t="str">
        <f>IF(OR(B4006="",C4006=""),"",IFERROR(E4006*IF(E4006="",0,VLOOKUP(C4006,'📦 Precios Proforma'!$B$5:$D$104,IF(D4006="DIA",2,3),FALSE)),0))</f>
        <v/>
      </c>
      <c r="J4006" s="31" t="str">
        <f t="shared" si="435"/>
        <v/>
      </c>
      <c r="K4006" s="31" t="str">
        <f t="shared" si="436"/>
        <v/>
      </c>
      <c r="L4006" s="31" t="str">
        <f>IF(OR(B4006="",C4006=""),"",IFERROR(E4006 / SUMIFS('📅 Resumen Diario'!$D$5:$D$504, '📅 Resumen Diario'!$B$5:$B$504, B4006, '📅 Resumen Diario'!$C$5:$C$504, D4006) * SUMIFS('📅 Resumen Diario'!$K$5:$K$504, '📅 Resumen Diario'!$B$5:$B$504, B4006, '📅 Resumen Diario'!$C$5:$C$504, D4006), 0))</f>
        <v/>
      </c>
      <c r="M4006" s="31" t="str">
        <f t="shared" si="437"/>
        <v/>
      </c>
      <c r="N4006" s="31" t="str">
        <f t="shared" si="438"/>
        <v/>
      </c>
      <c r="O4006" s="31" t="str">
        <f>IF(OR(B4006="",C4006=""),"",K4006-N4006 + IFERROR(E4006 / SUMIFS('📅 Resumen Diario'!$D$5:$D$504, '📅 Resumen Diario'!$B$5:$B$504, B4006, '📅 Resumen Diario'!$C$5:$C$504, D4006) * (SUMIFS('📋 Detalle Diario'!$E$5:$E$489, '📋 Detalle Diario'!$B$5:$B$489, B4006, '📋 Detalle Diario'!$C$5:$C$489, D4006) * 135 + SUMIFS('📋 Detalle Diario'!$I$5:$I$489, '📋 Detalle Diario'!$B$5:$B$489, B4006, '📋 Detalle Diario'!$C$5:$C$489, D4006) * 200), 0))</f>
        <v/>
      </c>
      <c r="P4006" s="32" t="str">
        <f t="shared" si="439"/>
        <v/>
      </c>
      <c r="Q4006" s="33" t="str">
        <f t="shared" si="440"/>
        <v/>
      </c>
    </row>
    <row r="4007" spans="2:17" ht="18" customHeight="1" x14ac:dyDescent="0.3">
      <c r="B4007" s="26"/>
      <c r="C4007" s="28"/>
      <c r="D4007" s="27"/>
      <c r="E4007" s="29"/>
      <c r="F4007" s="29"/>
      <c r="G4007" s="29"/>
      <c r="H4007" s="30" t="str">
        <f t="shared" si="434"/>
        <v/>
      </c>
      <c r="I4007" s="31" t="str">
        <f>IF(OR(B4007="",C4007=""),"",IFERROR(E4007*IF(E4007="",0,VLOOKUP(C4007,'📦 Precios Proforma'!$B$5:$D$104,IF(D4007="DIA",2,3),FALSE)),0))</f>
        <v/>
      </c>
      <c r="J4007" s="31" t="str">
        <f t="shared" si="435"/>
        <v/>
      </c>
      <c r="K4007" s="31" t="str">
        <f t="shared" si="436"/>
        <v/>
      </c>
      <c r="L4007" s="31" t="str">
        <f>IF(OR(B4007="",C4007=""),"",IFERROR(E4007 / SUMIFS('📅 Resumen Diario'!$D$5:$D$504, '📅 Resumen Diario'!$B$5:$B$504, B4007, '📅 Resumen Diario'!$C$5:$C$504, D4007) * SUMIFS('📅 Resumen Diario'!$K$5:$K$504, '📅 Resumen Diario'!$B$5:$B$504, B4007, '📅 Resumen Diario'!$C$5:$C$504, D4007), 0))</f>
        <v/>
      </c>
      <c r="M4007" s="31" t="str">
        <f t="shared" si="437"/>
        <v/>
      </c>
      <c r="N4007" s="31" t="str">
        <f t="shared" si="438"/>
        <v/>
      </c>
      <c r="O4007" s="31" t="str">
        <f>IF(OR(B4007="",C4007=""),"",K4007-N4007 + IFERROR(E4007 / SUMIFS('📅 Resumen Diario'!$D$5:$D$504, '📅 Resumen Diario'!$B$5:$B$504, B4007, '📅 Resumen Diario'!$C$5:$C$504, D4007) * (SUMIFS('📋 Detalle Diario'!$E$5:$E$489, '📋 Detalle Diario'!$B$5:$B$489, B4007, '📋 Detalle Diario'!$C$5:$C$489, D4007) * 135 + SUMIFS('📋 Detalle Diario'!$I$5:$I$489, '📋 Detalle Diario'!$B$5:$B$489, B4007, '📋 Detalle Diario'!$C$5:$C$489, D4007) * 200), 0))</f>
        <v/>
      </c>
      <c r="P4007" s="32" t="str">
        <f t="shared" si="439"/>
        <v/>
      </c>
      <c r="Q4007" s="33" t="str">
        <f t="shared" si="440"/>
        <v/>
      </c>
    </row>
    <row r="4008" spans="2:17" ht="18" customHeight="1" x14ac:dyDescent="0.3">
      <c r="B4008" s="26"/>
      <c r="C4008" s="17"/>
      <c r="D4008" s="27"/>
      <c r="E4008" s="18"/>
      <c r="F4008" s="18"/>
      <c r="G4008" s="18"/>
      <c r="H4008" s="30" t="str">
        <f t="shared" si="434"/>
        <v/>
      </c>
      <c r="I4008" s="31" t="str">
        <f>IF(OR(B4008="",C4008=""),"",IFERROR(E4008*IF(E4008="",0,VLOOKUP(C4008,'📦 Precios Proforma'!$B$5:$D$104,IF(D4008="DIA",2,3),FALSE)),0))</f>
        <v/>
      </c>
      <c r="J4008" s="31" t="str">
        <f t="shared" si="435"/>
        <v/>
      </c>
      <c r="K4008" s="31" t="str">
        <f t="shared" si="436"/>
        <v/>
      </c>
      <c r="L4008" s="31" t="str">
        <f>IF(OR(B4008="",C4008=""),"",IFERROR(E4008 / SUMIFS('📅 Resumen Diario'!$D$5:$D$504, '📅 Resumen Diario'!$B$5:$B$504, B4008, '📅 Resumen Diario'!$C$5:$C$504, D4008) * SUMIFS('📅 Resumen Diario'!$K$5:$K$504, '📅 Resumen Diario'!$B$5:$B$504, B4008, '📅 Resumen Diario'!$C$5:$C$504, D4008), 0))</f>
        <v/>
      </c>
      <c r="M4008" s="31" t="str">
        <f t="shared" si="437"/>
        <v/>
      </c>
      <c r="N4008" s="31" t="str">
        <f t="shared" si="438"/>
        <v/>
      </c>
      <c r="O4008" s="31" t="str">
        <f>IF(OR(B4008="",C4008=""),"",K4008-N4008 + IFERROR(E4008 / SUMIFS('📅 Resumen Diario'!$D$5:$D$504, '📅 Resumen Diario'!$B$5:$B$504, B4008, '📅 Resumen Diario'!$C$5:$C$504, D4008) * (SUMIFS('📋 Detalle Diario'!$E$5:$E$489, '📋 Detalle Diario'!$B$5:$B$489, B4008, '📋 Detalle Diario'!$C$5:$C$489, D4008) * 135 + SUMIFS('📋 Detalle Diario'!$I$5:$I$489, '📋 Detalle Diario'!$B$5:$B$489, B4008, '📋 Detalle Diario'!$C$5:$C$489, D4008) * 200), 0))</f>
        <v/>
      </c>
      <c r="P4008" s="32" t="str">
        <f t="shared" si="439"/>
        <v/>
      </c>
      <c r="Q4008" s="33" t="str">
        <f t="shared" si="440"/>
        <v/>
      </c>
    </row>
    <row r="4009" spans="2:17" ht="18" customHeight="1" x14ac:dyDescent="0.3">
      <c r="B4009" s="26"/>
      <c r="C4009" s="28"/>
      <c r="D4009" s="27"/>
      <c r="E4009" s="29"/>
      <c r="F4009" s="29"/>
      <c r="G4009" s="29"/>
      <c r="H4009" s="30" t="str">
        <f t="shared" si="434"/>
        <v/>
      </c>
      <c r="I4009" s="31" t="str">
        <f>IF(OR(B4009="",C4009=""),"",IFERROR(E4009*IF(E4009="",0,VLOOKUP(C4009,'📦 Precios Proforma'!$B$5:$D$104,IF(D4009="DIA",2,3),FALSE)),0))</f>
        <v/>
      </c>
      <c r="J4009" s="31" t="str">
        <f t="shared" si="435"/>
        <v/>
      </c>
      <c r="K4009" s="31" t="str">
        <f t="shared" si="436"/>
        <v/>
      </c>
      <c r="L4009" s="31" t="str">
        <f>IF(OR(B4009="",C4009=""),"",IFERROR(E4009 / SUMIFS('📅 Resumen Diario'!$D$5:$D$504, '📅 Resumen Diario'!$B$5:$B$504, B4009, '📅 Resumen Diario'!$C$5:$C$504, D4009) * SUMIFS('📅 Resumen Diario'!$K$5:$K$504, '📅 Resumen Diario'!$B$5:$B$504, B4009, '📅 Resumen Diario'!$C$5:$C$504, D4009), 0))</f>
        <v/>
      </c>
      <c r="M4009" s="31" t="str">
        <f t="shared" si="437"/>
        <v/>
      </c>
      <c r="N4009" s="31" t="str">
        <f t="shared" si="438"/>
        <v/>
      </c>
      <c r="O4009" s="31" t="str">
        <f>IF(OR(B4009="",C4009=""),"",K4009-N4009 + IFERROR(E4009 / SUMIFS('📅 Resumen Diario'!$D$5:$D$504, '📅 Resumen Diario'!$B$5:$B$504, B4009, '📅 Resumen Diario'!$C$5:$C$504, D4009) * (SUMIFS('📋 Detalle Diario'!$E$5:$E$489, '📋 Detalle Diario'!$B$5:$B$489, B4009, '📋 Detalle Diario'!$C$5:$C$489, D4009) * 135 + SUMIFS('📋 Detalle Diario'!$I$5:$I$489, '📋 Detalle Diario'!$B$5:$B$489, B4009, '📋 Detalle Diario'!$C$5:$C$489, D4009) * 200), 0))</f>
        <v/>
      </c>
      <c r="P4009" s="32" t="str">
        <f t="shared" si="439"/>
        <v/>
      </c>
      <c r="Q4009" s="33" t="str">
        <f t="shared" si="440"/>
        <v/>
      </c>
    </row>
    <row r="4010" spans="2:17" ht="18" customHeight="1" x14ac:dyDescent="0.3">
      <c r="B4010" s="26"/>
      <c r="C4010" s="17"/>
      <c r="D4010" s="27"/>
      <c r="E4010" s="18"/>
      <c r="F4010" s="18"/>
      <c r="G4010" s="18"/>
      <c r="H4010" s="30" t="str">
        <f t="shared" si="434"/>
        <v/>
      </c>
      <c r="I4010" s="31" t="str">
        <f>IF(OR(B4010="",C4010=""),"",IFERROR(E4010*IF(E4010="",0,VLOOKUP(C4010,'📦 Precios Proforma'!$B$5:$D$104,IF(D4010="DIA",2,3),FALSE)),0))</f>
        <v/>
      </c>
      <c r="J4010" s="31" t="str">
        <f t="shared" si="435"/>
        <v/>
      </c>
      <c r="K4010" s="31" t="str">
        <f t="shared" si="436"/>
        <v/>
      </c>
      <c r="L4010" s="31" t="str">
        <f>IF(OR(B4010="",C4010=""),"",IFERROR(E4010 / SUMIFS('📅 Resumen Diario'!$D$5:$D$504, '📅 Resumen Diario'!$B$5:$B$504, B4010, '📅 Resumen Diario'!$C$5:$C$504, D4010) * SUMIFS('📅 Resumen Diario'!$K$5:$K$504, '📅 Resumen Diario'!$B$5:$B$504, B4010, '📅 Resumen Diario'!$C$5:$C$504, D4010), 0))</f>
        <v/>
      </c>
      <c r="M4010" s="31" t="str">
        <f t="shared" si="437"/>
        <v/>
      </c>
      <c r="N4010" s="31" t="str">
        <f t="shared" si="438"/>
        <v/>
      </c>
      <c r="O4010" s="31" t="str">
        <f>IF(OR(B4010="",C4010=""),"",K4010-N4010 + IFERROR(E4010 / SUMIFS('📅 Resumen Diario'!$D$5:$D$504, '📅 Resumen Diario'!$B$5:$B$504, B4010, '📅 Resumen Diario'!$C$5:$C$504, D4010) * (SUMIFS('📋 Detalle Diario'!$E$5:$E$489, '📋 Detalle Diario'!$B$5:$B$489, B4010, '📋 Detalle Diario'!$C$5:$C$489, D4010) * 135 + SUMIFS('📋 Detalle Diario'!$I$5:$I$489, '📋 Detalle Diario'!$B$5:$B$489, B4010, '📋 Detalle Diario'!$C$5:$C$489, D4010) * 200), 0))</f>
        <v/>
      </c>
      <c r="P4010" s="32" t="str">
        <f t="shared" si="439"/>
        <v/>
      </c>
      <c r="Q4010" s="33" t="str">
        <f t="shared" si="440"/>
        <v/>
      </c>
    </row>
    <row r="4011" spans="2:17" ht="18" customHeight="1" x14ac:dyDescent="0.3">
      <c r="B4011" s="26"/>
      <c r="C4011" s="28"/>
      <c r="D4011" s="27"/>
      <c r="E4011" s="29"/>
      <c r="F4011" s="29"/>
      <c r="G4011" s="29"/>
      <c r="H4011" s="30" t="str">
        <f t="shared" si="434"/>
        <v/>
      </c>
      <c r="I4011" s="31" t="str">
        <f>IF(OR(B4011="",C4011=""),"",IFERROR(E4011*IF(E4011="",0,VLOOKUP(C4011,'📦 Precios Proforma'!$B$5:$D$104,IF(D4011="DIA",2,3),FALSE)),0))</f>
        <v/>
      </c>
      <c r="J4011" s="31" t="str">
        <f t="shared" si="435"/>
        <v/>
      </c>
      <c r="K4011" s="31" t="str">
        <f t="shared" si="436"/>
        <v/>
      </c>
      <c r="L4011" s="31" t="str">
        <f>IF(OR(B4011="",C4011=""),"",IFERROR(E4011 / SUMIFS('📅 Resumen Diario'!$D$5:$D$504, '📅 Resumen Diario'!$B$5:$B$504, B4011, '📅 Resumen Diario'!$C$5:$C$504, D4011) * SUMIFS('📅 Resumen Diario'!$K$5:$K$504, '📅 Resumen Diario'!$B$5:$B$504, B4011, '📅 Resumen Diario'!$C$5:$C$504, D4011), 0))</f>
        <v/>
      </c>
      <c r="M4011" s="31" t="str">
        <f t="shared" si="437"/>
        <v/>
      </c>
      <c r="N4011" s="31" t="str">
        <f t="shared" si="438"/>
        <v/>
      </c>
      <c r="O4011" s="31" t="str">
        <f>IF(OR(B4011="",C4011=""),"",K4011-N4011 + IFERROR(E4011 / SUMIFS('📅 Resumen Diario'!$D$5:$D$504, '📅 Resumen Diario'!$B$5:$B$504, B4011, '📅 Resumen Diario'!$C$5:$C$504, D4011) * (SUMIFS('📋 Detalle Diario'!$E$5:$E$489, '📋 Detalle Diario'!$B$5:$B$489, B4011, '📋 Detalle Diario'!$C$5:$C$489, D4011) * 135 + SUMIFS('📋 Detalle Diario'!$I$5:$I$489, '📋 Detalle Diario'!$B$5:$B$489, B4011, '📋 Detalle Diario'!$C$5:$C$489, D4011) * 200), 0))</f>
        <v/>
      </c>
      <c r="P4011" s="32" t="str">
        <f t="shared" si="439"/>
        <v/>
      </c>
      <c r="Q4011" s="33" t="str">
        <f t="shared" si="440"/>
        <v/>
      </c>
    </row>
    <row r="4012" spans="2:17" ht="18" customHeight="1" x14ac:dyDescent="0.3">
      <c r="B4012" s="26"/>
      <c r="C4012" s="17"/>
      <c r="D4012" s="27"/>
      <c r="E4012" s="18"/>
      <c r="F4012" s="18"/>
      <c r="G4012" s="18"/>
      <c r="H4012" s="30" t="str">
        <f t="shared" si="434"/>
        <v/>
      </c>
      <c r="I4012" s="31" t="str">
        <f>IF(OR(B4012="",C4012=""),"",IFERROR(E4012*IF(E4012="",0,VLOOKUP(C4012,'📦 Precios Proforma'!$B$5:$D$104,IF(D4012="DIA",2,3),FALSE)),0))</f>
        <v/>
      </c>
      <c r="J4012" s="31" t="str">
        <f t="shared" si="435"/>
        <v/>
      </c>
      <c r="K4012" s="31" t="str">
        <f t="shared" si="436"/>
        <v/>
      </c>
      <c r="L4012" s="31" t="str">
        <f>IF(OR(B4012="",C4012=""),"",IFERROR(E4012 / SUMIFS('📅 Resumen Diario'!$D$5:$D$504, '📅 Resumen Diario'!$B$5:$B$504, B4012, '📅 Resumen Diario'!$C$5:$C$504, D4012) * SUMIFS('📅 Resumen Diario'!$K$5:$K$504, '📅 Resumen Diario'!$B$5:$B$504, B4012, '📅 Resumen Diario'!$C$5:$C$504, D4012), 0))</f>
        <v/>
      </c>
      <c r="M4012" s="31" t="str">
        <f t="shared" si="437"/>
        <v/>
      </c>
      <c r="N4012" s="31" t="str">
        <f t="shared" si="438"/>
        <v/>
      </c>
      <c r="O4012" s="31" t="str">
        <f>IF(OR(B4012="",C4012=""),"",K4012-N4012 + IFERROR(E4012 / SUMIFS('📅 Resumen Diario'!$D$5:$D$504, '📅 Resumen Diario'!$B$5:$B$504, B4012, '📅 Resumen Diario'!$C$5:$C$504, D4012) * (SUMIFS('📋 Detalle Diario'!$E$5:$E$489, '📋 Detalle Diario'!$B$5:$B$489, B4012, '📋 Detalle Diario'!$C$5:$C$489, D4012) * 135 + SUMIFS('📋 Detalle Diario'!$I$5:$I$489, '📋 Detalle Diario'!$B$5:$B$489, B4012, '📋 Detalle Diario'!$C$5:$C$489, D4012) * 200), 0))</f>
        <v/>
      </c>
      <c r="P4012" s="32" t="str">
        <f t="shared" si="439"/>
        <v/>
      </c>
      <c r="Q4012" s="33" t="str">
        <f t="shared" si="440"/>
        <v/>
      </c>
    </row>
    <row r="4013" spans="2:17" ht="18" customHeight="1" x14ac:dyDescent="0.3">
      <c r="B4013" s="26"/>
      <c r="C4013" s="28"/>
      <c r="D4013" s="27"/>
      <c r="E4013" s="29"/>
      <c r="F4013" s="29"/>
      <c r="G4013" s="29"/>
      <c r="H4013" s="30" t="str">
        <f t="shared" si="434"/>
        <v/>
      </c>
      <c r="I4013" s="31" t="str">
        <f>IF(OR(B4013="",C4013=""),"",IFERROR(E4013*IF(E4013="",0,VLOOKUP(C4013,'📦 Precios Proforma'!$B$5:$D$104,IF(D4013="DIA",2,3),FALSE)),0))</f>
        <v/>
      </c>
      <c r="J4013" s="31" t="str">
        <f t="shared" si="435"/>
        <v/>
      </c>
      <c r="K4013" s="31" t="str">
        <f t="shared" si="436"/>
        <v/>
      </c>
      <c r="L4013" s="31" t="str">
        <f>IF(OR(B4013="",C4013=""),"",IFERROR(E4013 / SUMIFS('📅 Resumen Diario'!$D$5:$D$504, '📅 Resumen Diario'!$B$5:$B$504, B4013, '📅 Resumen Diario'!$C$5:$C$504, D4013) * SUMIFS('📅 Resumen Diario'!$K$5:$K$504, '📅 Resumen Diario'!$B$5:$B$504, B4013, '📅 Resumen Diario'!$C$5:$C$504, D4013), 0))</f>
        <v/>
      </c>
      <c r="M4013" s="31" t="str">
        <f t="shared" si="437"/>
        <v/>
      </c>
      <c r="N4013" s="31" t="str">
        <f t="shared" si="438"/>
        <v/>
      </c>
      <c r="O4013" s="31" t="str">
        <f>IF(OR(B4013="",C4013=""),"",K4013-N4013 + IFERROR(E4013 / SUMIFS('📅 Resumen Diario'!$D$5:$D$504, '📅 Resumen Diario'!$B$5:$B$504, B4013, '📅 Resumen Diario'!$C$5:$C$504, D4013) * (SUMIFS('📋 Detalle Diario'!$E$5:$E$489, '📋 Detalle Diario'!$B$5:$B$489, B4013, '📋 Detalle Diario'!$C$5:$C$489, D4013) * 135 + SUMIFS('📋 Detalle Diario'!$I$5:$I$489, '📋 Detalle Diario'!$B$5:$B$489, B4013, '📋 Detalle Diario'!$C$5:$C$489, D4013) * 200), 0))</f>
        <v/>
      </c>
      <c r="P4013" s="32" t="str">
        <f t="shared" si="439"/>
        <v/>
      </c>
      <c r="Q4013" s="33" t="str">
        <f t="shared" si="440"/>
        <v/>
      </c>
    </row>
    <row r="4014" spans="2:17" ht="18" customHeight="1" x14ac:dyDescent="0.3">
      <c r="B4014" s="26"/>
      <c r="C4014" s="17"/>
      <c r="D4014" s="27"/>
      <c r="E4014" s="18"/>
      <c r="F4014" s="18"/>
      <c r="G4014" s="18"/>
      <c r="H4014" s="30" t="str">
        <f t="shared" si="434"/>
        <v/>
      </c>
      <c r="I4014" s="31" t="str">
        <f>IF(OR(B4014="",C4014=""),"",IFERROR(E4014*IF(E4014="",0,VLOOKUP(C4014,'📦 Precios Proforma'!$B$5:$D$104,IF(D4014="DIA",2,3),FALSE)),0))</f>
        <v/>
      </c>
      <c r="J4014" s="31" t="str">
        <f t="shared" si="435"/>
        <v/>
      </c>
      <c r="K4014" s="31" t="str">
        <f t="shared" si="436"/>
        <v/>
      </c>
      <c r="L4014" s="31" t="str">
        <f>IF(OR(B4014="",C4014=""),"",IFERROR(E4014 / SUMIFS('📅 Resumen Diario'!$D$5:$D$504, '📅 Resumen Diario'!$B$5:$B$504, B4014, '📅 Resumen Diario'!$C$5:$C$504, D4014) * SUMIFS('📅 Resumen Diario'!$K$5:$K$504, '📅 Resumen Diario'!$B$5:$B$504, B4014, '📅 Resumen Diario'!$C$5:$C$504, D4014), 0))</f>
        <v/>
      </c>
      <c r="M4014" s="31" t="str">
        <f t="shared" si="437"/>
        <v/>
      </c>
      <c r="N4014" s="31" t="str">
        <f t="shared" si="438"/>
        <v/>
      </c>
      <c r="O4014" s="31" t="str">
        <f>IF(OR(B4014="",C4014=""),"",K4014-N4014 + IFERROR(E4014 / SUMIFS('📅 Resumen Diario'!$D$5:$D$504, '📅 Resumen Diario'!$B$5:$B$504, B4014, '📅 Resumen Diario'!$C$5:$C$504, D4014) * (SUMIFS('📋 Detalle Diario'!$E$5:$E$489, '📋 Detalle Diario'!$B$5:$B$489, B4014, '📋 Detalle Diario'!$C$5:$C$489, D4014) * 135 + SUMIFS('📋 Detalle Diario'!$I$5:$I$489, '📋 Detalle Diario'!$B$5:$B$489, B4014, '📋 Detalle Diario'!$C$5:$C$489, D4014) * 200), 0))</f>
        <v/>
      </c>
      <c r="P4014" s="32" t="str">
        <f t="shared" si="439"/>
        <v/>
      </c>
      <c r="Q4014" s="33" t="str">
        <f t="shared" si="440"/>
        <v/>
      </c>
    </row>
    <row r="4015" spans="2:17" ht="18" customHeight="1" x14ac:dyDescent="0.3">
      <c r="B4015" s="26"/>
      <c r="C4015" s="28"/>
      <c r="D4015" s="27"/>
      <c r="E4015" s="29"/>
      <c r="F4015" s="29"/>
      <c r="G4015" s="29"/>
      <c r="H4015" s="30" t="str">
        <f t="shared" si="434"/>
        <v/>
      </c>
      <c r="I4015" s="31" t="str">
        <f>IF(OR(B4015="",C4015=""),"",IFERROR(E4015*IF(E4015="",0,VLOOKUP(C4015,'📦 Precios Proforma'!$B$5:$D$104,IF(D4015="DIA",2,3),FALSE)),0))</f>
        <v/>
      </c>
      <c r="J4015" s="31" t="str">
        <f t="shared" si="435"/>
        <v/>
      </c>
      <c r="K4015" s="31" t="str">
        <f t="shared" si="436"/>
        <v/>
      </c>
      <c r="L4015" s="31" t="str">
        <f>IF(OR(B4015="",C4015=""),"",IFERROR(E4015 / SUMIFS('📅 Resumen Diario'!$D$5:$D$504, '📅 Resumen Diario'!$B$5:$B$504, B4015, '📅 Resumen Diario'!$C$5:$C$504, D4015) * SUMIFS('📅 Resumen Diario'!$K$5:$K$504, '📅 Resumen Diario'!$B$5:$B$504, B4015, '📅 Resumen Diario'!$C$5:$C$504, D4015), 0))</f>
        <v/>
      </c>
      <c r="M4015" s="31" t="str">
        <f t="shared" si="437"/>
        <v/>
      </c>
      <c r="N4015" s="31" t="str">
        <f t="shared" si="438"/>
        <v/>
      </c>
      <c r="O4015" s="31" t="str">
        <f>IF(OR(B4015="",C4015=""),"",K4015-N4015 + IFERROR(E4015 / SUMIFS('📅 Resumen Diario'!$D$5:$D$504, '📅 Resumen Diario'!$B$5:$B$504, B4015, '📅 Resumen Diario'!$C$5:$C$504, D4015) * (SUMIFS('📋 Detalle Diario'!$E$5:$E$489, '📋 Detalle Diario'!$B$5:$B$489, B4015, '📋 Detalle Diario'!$C$5:$C$489, D4015) * 135 + SUMIFS('📋 Detalle Diario'!$I$5:$I$489, '📋 Detalle Diario'!$B$5:$B$489, B4015, '📋 Detalle Diario'!$C$5:$C$489, D4015) * 200), 0))</f>
        <v/>
      </c>
      <c r="P4015" s="32" t="str">
        <f t="shared" si="439"/>
        <v/>
      </c>
      <c r="Q4015" s="33" t="str">
        <f t="shared" si="440"/>
        <v/>
      </c>
    </row>
    <row r="4016" spans="2:17" ht="18" customHeight="1" x14ac:dyDescent="0.3">
      <c r="B4016" s="26"/>
      <c r="C4016" s="17"/>
      <c r="D4016" s="27"/>
      <c r="E4016" s="18"/>
      <c r="F4016" s="18"/>
      <c r="G4016" s="18"/>
      <c r="H4016" s="30" t="str">
        <f t="shared" si="434"/>
        <v/>
      </c>
      <c r="I4016" s="31" t="str">
        <f>IF(OR(B4016="",C4016=""),"",IFERROR(E4016*IF(E4016="",0,VLOOKUP(C4016,'📦 Precios Proforma'!$B$5:$D$104,IF(D4016="DIA",2,3),FALSE)),0))</f>
        <v/>
      </c>
      <c r="J4016" s="31" t="str">
        <f t="shared" si="435"/>
        <v/>
      </c>
      <c r="K4016" s="31" t="str">
        <f t="shared" si="436"/>
        <v/>
      </c>
      <c r="L4016" s="31" t="str">
        <f>IF(OR(B4016="",C4016=""),"",IFERROR(E4016 / SUMIFS('📅 Resumen Diario'!$D$5:$D$504, '📅 Resumen Diario'!$B$5:$B$504, B4016, '📅 Resumen Diario'!$C$5:$C$504, D4016) * SUMIFS('📅 Resumen Diario'!$K$5:$K$504, '📅 Resumen Diario'!$B$5:$B$504, B4016, '📅 Resumen Diario'!$C$5:$C$504, D4016), 0))</f>
        <v/>
      </c>
      <c r="M4016" s="31" t="str">
        <f t="shared" si="437"/>
        <v/>
      </c>
      <c r="N4016" s="31" t="str">
        <f t="shared" si="438"/>
        <v/>
      </c>
      <c r="O4016" s="31" t="str">
        <f>IF(OR(B4016="",C4016=""),"",K4016-N4016 + IFERROR(E4016 / SUMIFS('📅 Resumen Diario'!$D$5:$D$504, '📅 Resumen Diario'!$B$5:$B$504, B4016, '📅 Resumen Diario'!$C$5:$C$504, D4016) * (SUMIFS('📋 Detalle Diario'!$E$5:$E$489, '📋 Detalle Diario'!$B$5:$B$489, B4016, '📋 Detalle Diario'!$C$5:$C$489, D4016) * 135 + SUMIFS('📋 Detalle Diario'!$I$5:$I$489, '📋 Detalle Diario'!$B$5:$B$489, B4016, '📋 Detalle Diario'!$C$5:$C$489, D4016) * 200), 0))</f>
        <v/>
      </c>
      <c r="P4016" s="32" t="str">
        <f t="shared" si="439"/>
        <v/>
      </c>
      <c r="Q4016" s="33" t="str">
        <f t="shared" si="440"/>
        <v/>
      </c>
    </row>
    <row r="4017" spans="2:17" ht="18" customHeight="1" x14ac:dyDescent="0.3">
      <c r="B4017" s="26"/>
      <c r="C4017" s="28"/>
      <c r="D4017" s="27"/>
      <c r="E4017" s="29"/>
      <c r="F4017" s="29"/>
      <c r="G4017" s="29"/>
      <c r="H4017" s="30" t="str">
        <f t="shared" si="434"/>
        <v/>
      </c>
      <c r="I4017" s="31" t="str">
        <f>IF(OR(B4017="",C4017=""),"",IFERROR(E4017*IF(E4017="",0,VLOOKUP(C4017,'📦 Precios Proforma'!$B$5:$D$104,IF(D4017="DIA",2,3),FALSE)),0))</f>
        <v/>
      </c>
      <c r="J4017" s="31" t="str">
        <f t="shared" si="435"/>
        <v/>
      </c>
      <c r="K4017" s="31" t="str">
        <f t="shared" si="436"/>
        <v/>
      </c>
      <c r="L4017" s="31" t="str">
        <f>IF(OR(B4017="",C4017=""),"",IFERROR(E4017 / SUMIFS('📅 Resumen Diario'!$D$5:$D$504, '📅 Resumen Diario'!$B$5:$B$504, B4017, '📅 Resumen Diario'!$C$5:$C$504, D4017) * SUMIFS('📅 Resumen Diario'!$K$5:$K$504, '📅 Resumen Diario'!$B$5:$B$504, B4017, '📅 Resumen Diario'!$C$5:$C$504, D4017), 0))</f>
        <v/>
      </c>
      <c r="M4017" s="31" t="str">
        <f t="shared" si="437"/>
        <v/>
      </c>
      <c r="N4017" s="31" t="str">
        <f t="shared" si="438"/>
        <v/>
      </c>
      <c r="O4017" s="31" t="str">
        <f>IF(OR(B4017="",C4017=""),"",K4017-N4017 + IFERROR(E4017 / SUMIFS('📅 Resumen Diario'!$D$5:$D$504, '📅 Resumen Diario'!$B$5:$B$504, B4017, '📅 Resumen Diario'!$C$5:$C$504, D4017) * (SUMIFS('📋 Detalle Diario'!$E$5:$E$489, '📋 Detalle Diario'!$B$5:$B$489, B4017, '📋 Detalle Diario'!$C$5:$C$489, D4017) * 135 + SUMIFS('📋 Detalle Diario'!$I$5:$I$489, '📋 Detalle Diario'!$B$5:$B$489, B4017, '📋 Detalle Diario'!$C$5:$C$489, D4017) * 200), 0))</f>
        <v/>
      </c>
      <c r="P4017" s="32" t="str">
        <f t="shared" si="439"/>
        <v/>
      </c>
      <c r="Q4017" s="33" t="str">
        <f t="shared" si="440"/>
        <v/>
      </c>
    </row>
    <row r="4018" spans="2:17" ht="18" customHeight="1" x14ac:dyDescent="0.3">
      <c r="B4018" s="26"/>
      <c r="C4018" s="17"/>
      <c r="D4018" s="27"/>
      <c r="E4018" s="18"/>
      <c r="F4018" s="18"/>
      <c r="G4018" s="18"/>
      <c r="H4018" s="30" t="str">
        <f t="shared" si="434"/>
        <v/>
      </c>
      <c r="I4018" s="31" t="str">
        <f>IF(OR(B4018="",C4018=""),"",IFERROR(E4018*IF(E4018="",0,VLOOKUP(C4018,'📦 Precios Proforma'!$B$5:$D$104,IF(D4018="DIA",2,3),FALSE)),0))</f>
        <v/>
      </c>
      <c r="J4018" s="31" t="str">
        <f t="shared" si="435"/>
        <v/>
      </c>
      <c r="K4018" s="31" t="str">
        <f t="shared" si="436"/>
        <v/>
      </c>
      <c r="L4018" s="31" t="str">
        <f>IF(OR(B4018="",C4018=""),"",IFERROR(E4018 / SUMIFS('📅 Resumen Diario'!$D$5:$D$504, '📅 Resumen Diario'!$B$5:$B$504, B4018, '📅 Resumen Diario'!$C$5:$C$504, D4018) * SUMIFS('📅 Resumen Diario'!$K$5:$K$504, '📅 Resumen Diario'!$B$5:$B$504, B4018, '📅 Resumen Diario'!$C$5:$C$504, D4018), 0))</f>
        <v/>
      </c>
      <c r="M4018" s="31" t="str">
        <f t="shared" si="437"/>
        <v/>
      </c>
      <c r="N4018" s="31" t="str">
        <f t="shared" si="438"/>
        <v/>
      </c>
      <c r="O4018" s="31" t="str">
        <f>IF(OR(B4018="",C4018=""),"",K4018-N4018 + IFERROR(E4018 / SUMIFS('📅 Resumen Diario'!$D$5:$D$504, '📅 Resumen Diario'!$B$5:$B$504, B4018, '📅 Resumen Diario'!$C$5:$C$504, D4018) * (SUMIFS('📋 Detalle Diario'!$E$5:$E$489, '📋 Detalle Diario'!$B$5:$B$489, B4018, '📋 Detalle Diario'!$C$5:$C$489, D4018) * 135 + SUMIFS('📋 Detalle Diario'!$I$5:$I$489, '📋 Detalle Diario'!$B$5:$B$489, B4018, '📋 Detalle Diario'!$C$5:$C$489, D4018) * 200), 0))</f>
        <v/>
      </c>
      <c r="P4018" s="32" t="str">
        <f t="shared" si="439"/>
        <v/>
      </c>
      <c r="Q4018" s="33" t="str">
        <f t="shared" si="440"/>
        <v/>
      </c>
    </row>
    <row r="4019" spans="2:17" ht="18" customHeight="1" x14ac:dyDescent="0.3">
      <c r="B4019" s="26"/>
      <c r="C4019" s="28"/>
      <c r="D4019" s="27"/>
      <c r="E4019" s="29"/>
      <c r="F4019" s="29"/>
      <c r="G4019" s="29"/>
      <c r="H4019" s="30" t="str">
        <f t="shared" si="434"/>
        <v/>
      </c>
      <c r="I4019" s="31" t="str">
        <f>IF(OR(B4019="",C4019=""),"",IFERROR(E4019*IF(E4019="",0,VLOOKUP(C4019,'📦 Precios Proforma'!$B$5:$D$104,IF(D4019="DIA",2,3),FALSE)),0))</f>
        <v/>
      </c>
      <c r="J4019" s="31" t="str">
        <f t="shared" si="435"/>
        <v/>
      </c>
      <c r="K4019" s="31" t="str">
        <f t="shared" si="436"/>
        <v/>
      </c>
      <c r="L4019" s="31" t="str">
        <f>IF(OR(B4019="",C4019=""),"",IFERROR(E4019 / SUMIFS('📅 Resumen Diario'!$D$5:$D$504, '📅 Resumen Diario'!$B$5:$B$504, B4019, '📅 Resumen Diario'!$C$5:$C$504, D4019) * SUMIFS('📅 Resumen Diario'!$K$5:$K$504, '📅 Resumen Diario'!$B$5:$B$504, B4019, '📅 Resumen Diario'!$C$5:$C$504, D4019), 0))</f>
        <v/>
      </c>
      <c r="M4019" s="31" t="str">
        <f t="shared" si="437"/>
        <v/>
      </c>
      <c r="N4019" s="31" t="str">
        <f t="shared" si="438"/>
        <v/>
      </c>
      <c r="O4019" s="31" t="str">
        <f>IF(OR(B4019="",C4019=""),"",K4019-N4019 + IFERROR(E4019 / SUMIFS('📅 Resumen Diario'!$D$5:$D$504, '📅 Resumen Diario'!$B$5:$B$504, B4019, '📅 Resumen Diario'!$C$5:$C$504, D4019) * (SUMIFS('📋 Detalle Diario'!$E$5:$E$489, '📋 Detalle Diario'!$B$5:$B$489, B4019, '📋 Detalle Diario'!$C$5:$C$489, D4019) * 135 + SUMIFS('📋 Detalle Diario'!$I$5:$I$489, '📋 Detalle Diario'!$B$5:$B$489, B4019, '📋 Detalle Diario'!$C$5:$C$489, D4019) * 200), 0))</f>
        <v/>
      </c>
      <c r="P4019" s="32" t="str">
        <f t="shared" si="439"/>
        <v/>
      </c>
      <c r="Q4019" s="33" t="str">
        <f t="shared" si="440"/>
        <v/>
      </c>
    </row>
    <row r="4020" spans="2:17" ht="18" customHeight="1" x14ac:dyDescent="0.3">
      <c r="B4020" s="26"/>
      <c r="C4020" s="17"/>
      <c r="D4020" s="27"/>
      <c r="E4020" s="18"/>
      <c r="F4020" s="18"/>
      <c r="G4020" s="18"/>
      <c r="H4020" s="30" t="str">
        <f t="shared" si="434"/>
        <v/>
      </c>
      <c r="I4020" s="31" t="str">
        <f>IF(OR(B4020="",C4020=""),"",IFERROR(E4020*IF(E4020="",0,VLOOKUP(C4020,'📦 Precios Proforma'!$B$5:$D$104,IF(D4020="DIA",2,3),FALSE)),0))</f>
        <v/>
      </c>
      <c r="J4020" s="31" t="str">
        <f t="shared" si="435"/>
        <v/>
      </c>
      <c r="K4020" s="31" t="str">
        <f t="shared" si="436"/>
        <v/>
      </c>
      <c r="L4020" s="31" t="str">
        <f>IF(OR(B4020="",C4020=""),"",IFERROR(E4020 / SUMIFS('📅 Resumen Diario'!$D$5:$D$504, '📅 Resumen Diario'!$B$5:$B$504, B4020, '📅 Resumen Diario'!$C$5:$C$504, D4020) * SUMIFS('📅 Resumen Diario'!$K$5:$K$504, '📅 Resumen Diario'!$B$5:$B$504, B4020, '📅 Resumen Diario'!$C$5:$C$504, D4020), 0))</f>
        <v/>
      </c>
      <c r="M4020" s="31" t="str">
        <f t="shared" si="437"/>
        <v/>
      </c>
      <c r="N4020" s="31" t="str">
        <f t="shared" si="438"/>
        <v/>
      </c>
      <c r="O4020" s="31" t="str">
        <f>IF(OR(B4020="",C4020=""),"",K4020-N4020 + IFERROR(E4020 / SUMIFS('📅 Resumen Diario'!$D$5:$D$504, '📅 Resumen Diario'!$B$5:$B$504, B4020, '📅 Resumen Diario'!$C$5:$C$504, D4020) * (SUMIFS('📋 Detalle Diario'!$E$5:$E$489, '📋 Detalle Diario'!$B$5:$B$489, B4020, '📋 Detalle Diario'!$C$5:$C$489, D4020) * 135 + SUMIFS('📋 Detalle Diario'!$I$5:$I$489, '📋 Detalle Diario'!$B$5:$B$489, B4020, '📋 Detalle Diario'!$C$5:$C$489, D4020) * 200), 0))</f>
        <v/>
      </c>
      <c r="P4020" s="32" t="str">
        <f t="shared" si="439"/>
        <v/>
      </c>
      <c r="Q4020" s="33" t="str">
        <f t="shared" si="440"/>
        <v/>
      </c>
    </row>
    <row r="4021" spans="2:17" ht="18" customHeight="1" x14ac:dyDescent="0.3">
      <c r="B4021" s="26"/>
      <c r="C4021" s="28"/>
      <c r="D4021" s="27"/>
      <c r="E4021" s="29"/>
      <c r="F4021" s="29"/>
      <c r="G4021" s="29"/>
      <c r="H4021" s="30" t="str">
        <f t="shared" si="434"/>
        <v/>
      </c>
      <c r="I4021" s="31" t="str">
        <f>IF(OR(B4021="",C4021=""),"",IFERROR(E4021*IF(E4021="",0,VLOOKUP(C4021,'📦 Precios Proforma'!$B$5:$D$104,IF(D4021="DIA",2,3),FALSE)),0))</f>
        <v/>
      </c>
      <c r="J4021" s="31" t="str">
        <f t="shared" si="435"/>
        <v/>
      </c>
      <c r="K4021" s="31" t="str">
        <f t="shared" si="436"/>
        <v/>
      </c>
      <c r="L4021" s="31" t="str">
        <f>IF(OR(B4021="",C4021=""),"",IFERROR(E4021 / SUMIFS('📅 Resumen Diario'!$D$5:$D$504, '📅 Resumen Diario'!$B$5:$B$504, B4021, '📅 Resumen Diario'!$C$5:$C$504, D4021) * SUMIFS('📅 Resumen Diario'!$K$5:$K$504, '📅 Resumen Diario'!$B$5:$B$504, B4021, '📅 Resumen Diario'!$C$5:$C$504, D4021), 0))</f>
        <v/>
      </c>
      <c r="M4021" s="31" t="str">
        <f t="shared" si="437"/>
        <v/>
      </c>
      <c r="N4021" s="31" t="str">
        <f t="shared" si="438"/>
        <v/>
      </c>
      <c r="O4021" s="31" t="str">
        <f>IF(OR(B4021="",C4021=""),"",K4021-N4021 + IFERROR(E4021 / SUMIFS('📅 Resumen Diario'!$D$5:$D$504, '📅 Resumen Diario'!$B$5:$B$504, B4021, '📅 Resumen Diario'!$C$5:$C$504, D4021) * (SUMIFS('📋 Detalle Diario'!$E$5:$E$489, '📋 Detalle Diario'!$B$5:$B$489, B4021, '📋 Detalle Diario'!$C$5:$C$489, D4021) * 135 + SUMIFS('📋 Detalle Diario'!$I$5:$I$489, '📋 Detalle Diario'!$B$5:$B$489, B4021, '📋 Detalle Diario'!$C$5:$C$489, D4021) * 200), 0))</f>
        <v/>
      </c>
      <c r="P4021" s="32" t="str">
        <f t="shared" si="439"/>
        <v/>
      </c>
      <c r="Q4021" s="33" t="str">
        <f t="shared" si="440"/>
        <v/>
      </c>
    </row>
    <row r="4022" spans="2:17" ht="18" customHeight="1" x14ac:dyDescent="0.3">
      <c r="B4022" s="26"/>
      <c r="C4022" s="17"/>
      <c r="D4022" s="27"/>
      <c r="E4022" s="18"/>
      <c r="F4022" s="18"/>
      <c r="G4022" s="18"/>
      <c r="H4022" s="30" t="str">
        <f t="shared" si="434"/>
        <v/>
      </c>
      <c r="I4022" s="31" t="str">
        <f>IF(OR(B4022="",C4022=""),"",IFERROR(E4022*IF(E4022="",0,VLOOKUP(C4022,'📦 Precios Proforma'!$B$5:$D$104,IF(D4022="DIA",2,3),FALSE)),0))</f>
        <v/>
      </c>
      <c r="J4022" s="31" t="str">
        <f t="shared" si="435"/>
        <v/>
      </c>
      <c r="K4022" s="31" t="str">
        <f t="shared" si="436"/>
        <v/>
      </c>
      <c r="L4022" s="31" t="str">
        <f>IF(OR(B4022="",C4022=""),"",IFERROR(E4022 / SUMIFS('📅 Resumen Diario'!$D$5:$D$504, '📅 Resumen Diario'!$B$5:$B$504, B4022, '📅 Resumen Diario'!$C$5:$C$504, D4022) * SUMIFS('📅 Resumen Diario'!$K$5:$K$504, '📅 Resumen Diario'!$B$5:$B$504, B4022, '📅 Resumen Diario'!$C$5:$C$504, D4022), 0))</f>
        <v/>
      </c>
      <c r="M4022" s="31" t="str">
        <f t="shared" si="437"/>
        <v/>
      </c>
      <c r="N4022" s="31" t="str">
        <f t="shared" si="438"/>
        <v/>
      </c>
      <c r="O4022" s="31" t="str">
        <f>IF(OR(B4022="",C4022=""),"",K4022-N4022 + IFERROR(E4022 / SUMIFS('📅 Resumen Diario'!$D$5:$D$504, '📅 Resumen Diario'!$B$5:$B$504, B4022, '📅 Resumen Diario'!$C$5:$C$504, D4022) * (SUMIFS('📋 Detalle Diario'!$E$5:$E$489, '📋 Detalle Diario'!$B$5:$B$489, B4022, '📋 Detalle Diario'!$C$5:$C$489, D4022) * 135 + SUMIFS('📋 Detalle Diario'!$I$5:$I$489, '📋 Detalle Diario'!$B$5:$B$489, B4022, '📋 Detalle Diario'!$C$5:$C$489, D4022) * 200), 0))</f>
        <v/>
      </c>
      <c r="P4022" s="32" t="str">
        <f t="shared" si="439"/>
        <v/>
      </c>
      <c r="Q4022" s="33" t="str">
        <f t="shared" si="440"/>
        <v/>
      </c>
    </row>
    <row r="4023" spans="2:17" ht="18" customHeight="1" x14ac:dyDescent="0.3">
      <c r="B4023" s="26"/>
      <c r="C4023" s="28"/>
      <c r="D4023" s="27"/>
      <c r="E4023" s="29"/>
      <c r="F4023" s="29"/>
      <c r="G4023" s="29"/>
      <c r="H4023" s="30" t="str">
        <f t="shared" si="434"/>
        <v/>
      </c>
      <c r="I4023" s="31" t="str">
        <f>IF(OR(B4023="",C4023=""),"",IFERROR(E4023*IF(E4023="",0,VLOOKUP(C4023,'📦 Precios Proforma'!$B$5:$D$104,IF(D4023="DIA",2,3),FALSE)),0))</f>
        <v/>
      </c>
      <c r="J4023" s="31" t="str">
        <f t="shared" si="435"/>
        <v/>
      </c>
      <c r="K4023" s="31" t="str">
        <f t="shared" si="436"/>
        <v/>
      </c>
      <c r="L4023" s="31" t="str">
        <f>IF(OR(B4023="",C4023=""),"",IFERROR(E4023 / SUMIFS('📅 Resumen Diario'!$D$5:$D$504, '📅 Resumen Diario'!$B$5:$B$504, B4023, '📅 Resumen Diario'!$C$5:$C$504, D4023) * SUMIFS('📅 Resumen Diario'!$K$5:$K$504, '📅 Resumen Diario'!$B$5:$B$504, B4023, '📅 Resumen Diario'!$C$5:$C$504, D4023), 0))</f>
        <v/>
      </c>
      <c r="M4023" s="31" t="str">
        <f t="shared" si="437"/>
        <v/>
      </c>
      <c r="N4023" s="31" t="str">
        <f t="shared" si="438"/>
        <v/>
      </c>
      <c r="O4023" s="31" t="str">
        <f>IF(OR(B4023="",C4023=""),"",K4023-N4023 + IFERROR(E4023 / SUMIFS('📅 Resumen Diario'!$D$5:$D$504, '📅 Resumen Diario'!$B$5:$B$504, B4023, '📅 Resumen Diario'!$C$5:$C$504, D4023) * (SUMIFS('📋 Detalle Diario'!$E$5:$E$489, '📋 Detalle Diario'!$B$5:$B$489, B4023, '📋 Detalle Diario'!$C$5:$C$489, D4023) * 135 + SUMIFS('📋 Detalle Diario'!$I$5:$I$489, '📋 Detalle Diario'!$B$5:$B$489, B4023, '📋 Detalle Diario'!$C$5:$C$489, D4023) * 200), 0))</f>
        <v/>
      </c>
      <c r="P4023" s="32" t="str">
        <f t="shared" si="439"/>
        <v/>
      </c>
      <c r="Q4023" s="33" t="str">
        <f t="shared" si="440"/>
        <v/>
      </c>
    </row>
    <row r="4024" spans="2:17" ht="18" customHeight="1" x14ac:dyDescent="0.3">
      <c r="B4024" s="26"/>
      <c r="C4024" s="17"/>
      <c r="D4024" s="27"/>
      <c r="E4024" s="18"/>
      <c r="F4024" s="18"/>
      <c r="G4024" s="18"/>
      <c r="H4024" s="30" t="str">
        <f t="shared" si="434"/>
        <v/>
      </c>
      <c r="I4024" s="31" t="str">
        <f>IF(OR(B4024="",C4024=""),"",IFERROR(E4024*IF(E4024="",0,VLOOKUP(C4024,'📦 Precios Proforma'!$B$5:$D$104,IF(D4024="DIA",2,3),FALSE)),0))</f>
        <v/>
      </c>
      <c r="J4024" s="31" t="str">
        <f t="shared" si="435"/>
        <v/>
      </c>
      <c r="K4024" s="31" t="str">
        <f t="shared" si="436"/>
        <v/>
      </c>
      <c r="L4024" s="31" t="str">
        <f>IF(OR(B4024="",C4024=""),"",IFERROR(E4024 / SUMIFS('📅 Resumen Diario'!$D$5:$D$504, '📅 Resumen Diario'!$B$5:$B$504, B4024, '📅 Resumen Diario'!$C$5:$C$504, D4024) * SUMIFS('📅 Resumen Diario'!$K$5:$K$504, '📅 Resumen Diario'!$B$5:$B$504, B4024, '📅 Resumen Diario'!$C$5:$C$504, D4024), 0))</f>
        <v/>
      </c>
      <c r="M4024" s="31" t="str">
        <f t="shared" si="437"/>
        <v/>
      </c>
      <c r="N4024" s="31" t="str">
        <f t="shared" si="438"/>
        <v/>
      </c>
      <c r="O4024" s="31" t="str">
        <f>IF(OR(B4024="",C4024=""),"",K4024-N4024 + IFERROR(E4024 / SUMIFS('📅 Resumen Diario'!$D$5:$D$504, '📅 Resumen Diario'!$B$5:$B$504, B4024, '📅 Resumen Diario'!$C$5:$C$504, D4024) * (SUMIFS('📋 Detalle Diario'!$E$5:$E$489, '📋 Detalle Diario'!$B$5:$B$489, B4024, '📋 Detalle Diario'!$C$5:$C$489, D4024) * 135 + SUMIFS('📋 Detalle Diario'!$I$5:$I$489, '📋 Detalle Diario'!$B$5:$B$489, B4024, '📋 Detalle Diario'!$C$5:$C$489, D4024) * 200), 0))</f>
        <v/>
      </c>
      <c r="P4024" s="32" t="str">
        <f t="shared" si="439"/>
        <v/>
      </c>
      <c r="Q4024" s="33" t="str">
        <f t="shared" si="440"/>
        <v/>
      </c>
    </row>
    <row r="4025" spans="2:17" ht="18" customHeight="1" x14ac:dyDescent="0.3">
      <c r="B4025" s="26"/>
      <c r="C4025" s="28"/>
      <c r="D4025" s="27"/>
      <c r="E4025" s="29"/>
      <c r="F4025" s="29"/>
      <c r="G4025" s="29"/>
      <c r="H4025" s="30" t="str">
        <f t="shared" si="434"/>
        <v/>
      </c>
      <c r="I4025" s="31" t="str">
        <f>IF(OR(B4025="",C4025=""),"",IFERROR(E4025*IF(E4025="",0,VLOOKUP(C4025,'📦 Precios Proforma'!$B$5:$D$104,IF(D4025="DIA",2,3),FALSE)),0))</f>
        <v/>
      </c>
      <c r="J4025" s="31" t="str">
        <f t="shared" si="435"/>
        <v/>
      </c>
      <c r="K4025" s="31" t="str">
        <f t="shared" si="436"/>
        <v/>
      </c>
      <c r="L4025" s="31" t="str">
        <f>IF(OR(B4025="",C4025=""),"",IFERROR(E4025 / SUMIFS('📅 Resumen Diario'!$D$5:$D$504, '📅 Resumen Diario'!$B$5:$B$504, B4025, '📅 Resumen Diario'!$C$5:$C$504, D4025) * SUMIFS('📅 Resumen Diario'!$K$5:$K$504, '📅 Resumen Diario'!$B$5:$B$504, B4025, '📅 Resumen Diario'!$C$5:$C$504, D4025), 0))</f>
        <v/>
      </c>
      <c r="M4025" s="31" t="str">
        <f t="shared" si="437"/>
        <v/>
      </c>
      <c r="N4025" s="31" t="str">
        <f t="shared" si="438"/>
        <v/>
      </c>
      <c r="O4025" s="31" t="str">
        <f>IF(OR(B4025="",C4025=""),"",K4025-N4025 + IFERROR(E4025 / SUMIFS('📅 Resumen Diario'!$D$5:$D$504, '📅 Resumen Diario'!$B$5:$B$504, B4025, '📅 Resumen Diario'!$C$5:$C$504, D4025) * (SUMIFS('📋 Detalle Diario'!$E$5:$E$489, '📋 Detalle Diario'!$B$5:$B$489, B4025, '📋 Detalle Diario'!$C$5:$C$489, D4025) * 135 + SUMIFS('📋 Detalle Diario'!$I$5:$I$489, '📋 Detalle Diario'!$B$5:$B$489, B4025, '📋 Detalle Diario'!$C$5:$C$489, D4025) * 200), 0))</f>
        <v/>
      </c>
      <c r="P4025" s="32" t="str">
        <f t="shared" si="439"/>
        <v/>
      </c>
      <c r="Q4025" s="33" t="str">
        <f t="shared" si="440"/>
        <v/>
      </c>
    </row>
    <row r="4026" spans="2:17" ht="18" customHeight="1" x14ac:dyDescent="0.3">
      <c r="B4026" s="26"/>
      <c r="C4026" s="17"/>
      <c r="D4026" s="27"/>
      <c r="E4026" s="18"/>
      <c r="F4026" s="18"/>
      <c r="G4026" s="18"/>
      <c r="H4026" s="30" t="str">
        <f t="shared" si="434"/>
        <v/>
      </c>
      <c r="I4026" s="31" t="str">
        <f>IF(OR(B4026="",C4026=""),"",IFERROR(E4026*IF(E4026="",0,VLOOKUP(C4026,'📦 Precios Proforma'!$B$5:$D$104,IF(D4026="DIA",2,3),FALSE)),0))</f>
        <v/>
      </c>
      <c r="J4026" s="31" t="str">
        <f t="shared" si="435"/>
        <v/>
      </c>
      <c r="K4026" s="31" t="str">
        <f t="shared" si="436"/>
        <v/>
      </c>
      <c r="L4026" s="31" t="str">
        <f>IF(OR(B4026="",C4026=""),"",IFERROR(E4026 / SUMIFS('📅 Resumen Diario'!$D$5:$D$504, '📅 Resumen Diario'!$B$5:$B$504, B4026, '📅 Resumen Diario'!$C$5:$C$504, D4026) * SUMIFS('📅 Resumen Diario'!$K$5:$K$504, '📅 Resumen Diario'!$B$5:$B$504, B4026, '📅 Resumen Diario'!$C$5:$C$504, D4026), 0))</f>
        <v/>
      </c>
      <c r="M4026" s="31" t="str">
        <f t="shared" si="437"/>
        <v/>
      </c>
      <c r="N4026" s="31" t="str">
        <f t="shared" si="438"/>
        <v/>
      </c>
      <c r="O4026" s="31" t="str">
        <f>IF(OR(B4026="",C4026=""),"",K4026-N4026 + IFERROR(E4026 / SUMIFS('📅 Resumen Diario'!$D$5:$D$504, '📅 Resumen Diario'!$B$5:$B$504, B4026, '📅 Resumen Diario'!$C$5:$C$504, D4026) * (SUMIFS('📋 Detalle Diario'!$E$5:$E$489, '📋 Detalle Diario'!$B$5:$B$489, B4026, '📋 Detalle Diario'!$C$5:$C$489, D4026) * 135 + SUMIFS('📋 Detalle Diario'!$I$5:$I$489, '📋 Detalle Diario'!$B$5:$B$489, B4026, '📋 Detalle Diario'!$C$5:$C$489, D4026) * 200), 0))</f>
        <v/>
      </c>
      <c r="P4026" s="32" t="str">
        <f t="shared" si="439"/>
        <v/>
      </c>
      <c r="Q4026" s="33" t="str">
        <f t="shared" si="440"/>
        <v/>
      </c>
    </row>
    <row r="4027" spans="2:17" ht="18" customHeight="1" x14ac:dyDescent="0.3">
      <c r="B4027" s="26"/>
      <c r="C4027" s="28"/>
      <c r="D4027" s="27"/>
      <c r="E4027" s="29"/>
      <c r="F4027" s="29"/>
      <c r="G4027" s="29"/>
      <c r="H4027" s="30" t="str">
        <f t="shared" si="434"/>
        <v/>
      </c>
      <c r="I4027" s="31" t="str">
        <f>IF(OR(B4027="",C4027=""),"",IFERROR(E4027*IF(E4027="",0,VLOOKUP(C4027,'📦 Precios Proforma'!$B$5:$D$104,IF(D4027="DIA",2,3),FALSE)),0))</f>
        <v/>
      </c>
      <c r="J4027" s="31" t="str">
        <f t="shared" si="435"/>
        <v/>
      </c>
      <c r="K4027" s="31" t="str">
        <f t="shared" si="436"/>
        <v/>
      </c>
      <c r="L4027" s="31" t="str">
        <f>IF(OR(B4027="",C4027=""),"",IFERROR(E4027 / SUMIFS('📅 Resumen Diario'!$D$5:$D$504, '📅 Resumen Diario'!$B$5:$B$504, B4027, '📅 Resumen Diario'!$C$5:$C$504, D4027) * SUMIFS('📅 Resumen Diario'!$K$5:$K$504, '📅 Resumen Diario'!$B$5:$B$504, B4027, '📅 Resumen Diario'!$C$5:$C$504, D4027), 0))</f>
        <v/>
      </c>
      <c r="M4027" s="31" t="str">
        <f t="shared" si="437"/>
        <v/>
      </c>
      <c r="N4027" s="31" t="str">
        <f t="shared" si="438"/>
        <v/>
      </c>
      <c r="O4027" s="31" t="str">
        <f>IF(OR(B4027="",C4027=""),"",K4027-N4027 + IFERROR(E4027 / SUMIFS('📅 Resumen Diario'!$D$5:$D$504, '📅 Resumen Diario'!$B$5:$B$504, B4027, '📅 Resumen Diario'!$C$5:$C$504, D4027) * (SUMIFS('📋 Detalle Diario'!$E$5:$E$489, '📋 Detalle Diario'!$B$5:$B$489, B4027, '📋 Detalle Diario'!$C$5:$C$489, D4027) * 135 + SUMIFS('📋 Detalle Diario'!$I$5:$I$489, '📋 Detalle Diario'!$B$5:$B$489, B4027, '📋 Detalle Diario'!$C$5:$C$489, D4027) * 200), 0))</f>
        <v/>
      </c>
      <c r="P4027" s="32" t="str">
        <f t="shared" si="439"/>
        <v/>
      </c>
      <c r="Q4027" s="33" t="str">
        <f t="shared" si="440"/>
        <v/>
      </c>
    </row>
    <row r="4028" spans="2:17" ht="18" customHeight="1" x14ac:dyDescent="0.3">
      <c r="B4028" s="26"/>
      <c r="C4028" s="17"/>
      <c r="D4028" s="27"/>
      <c r="E4028" s="18"/>
      <c r="F4028" s="18"/>
      <c r="G4028" s="18"/>
      <c r="H4028" s="30" t="str">
        <f t="shared" si="434"/>
        <v/>
      </c>
      <c r="I4028" s="31" t="str">
        <f>IF(OR(B4028="",C4028=""),"",IFERROR(E4028*IF(E4028="",0,VLOOKUP(C4028,'📦 Precios Proforma'!$B$5:$D$104,IF(D4028="DIA",2,3),FALSE)),0))</f>
        <v/>
      </c>
      <c r="J4028" s="31" t="str">
        <f t="shared" si="435"/>
        <v/>
      </c>
      <c r="K4028" s="31" t="str">
        <f t="shared" si="436"/>
        <v/>
      </c>
      <c r="L4028" s="31" t="str">
        <f>IF(OR(B4028="",C4028=""),"",IFERROR(E4028 / SUMIFS('📅 Resumen Diario'!$D$5:$D$504, '📅 Resumen Diario'!$B$5:$B$504, B4028, '📅 Resumen Diario'!$C$5:$C$504, D4028) * SUMIFS('📅 Resumen Diario'!$K$5:$K$504, '📅 Resumen Diario'!$B$5:$B$504, B4028, '📅 Resumen Diario'!$C$5:$C$504, D4028), 0))</f>
        <v/>
      </c>
      <c r="M4028" s="31" t="str">
        <f t="shared" si="437"/>
        <v/>
      </c>
      <c r="N4028" s="31" t="str">
        <f t="shared" si="438"/>
        <v/>
      </c>
      <c r="O4028" s="31" t="str">
        <f>IF(OR(B4028="",C4028=""),"",K4028-N4028 + IFERROR(E4028 / SUMIFS('📅 Resumen Diario'!$D$5:$D$504, '📅 Resumen Diario'!$B$5:$B$504, B4028, '📅 Resumen Diario'!$C$5:$C$504, D4028) * (SUMIFS('📋 Detalle Diario'!$E$5:$E$489, '📋 Detalle Diario'!$B$5:$B$489, B4028, '📋 Detalle Diario'!$C$5:$C$489, D4028) * 135 + SUMIFS('📋 Detalle Diario'!$I$5:$I$489, '📋 Detalle Diario'!$B$5:$B$489, B4028, '📋 Detalle Diario'!$C$5:$C$489, D4028) * 200), 0))</f>
        <v/>
      </c>
      <c r="P4028" s="32" t="str">
        <f t="shared" si="439"/>
        <v/>
      </c>
      <c r="Q4028" s="33" t="str">
        <f t="shared" si="440"/>
        <v/>
      </c>
    </row>
    <row r="4029" spans="2:17" ht="18" customHeight="1" x14ac:dyDescent="0.3">
      <c r="B4029" s="26"/>
      <c r="C4029" s="28"/>
      <c r="D4029" s="27"/>
      <c r="E4029" s="29"/>
      <c r="F4029" s="29"/>
      <c r="G4029" s="29"/>
      <c r="H4029" s="30" t="str">
        <f t="shared" si="434"/>
        <v/>
      </c>
      <c r="I4029" s="31" t="str">
        <f>IF(OR(B4029="",C4029=""),"",IFERROR(E4029*IF(E4029="",0,VLOOKUP(C4029,'📦 Precios Proforma'!$B$5:$D$104,IF(D4029="DIA",2,3),FALSE)),0))</f>
        <v/>
      </c>
      <c r="J4029" s="31" t="str">
        <f t="shared" si="435"/>
        <v/>
      </c>
      <c r="K4029" s="31" t="str">
        <f t="shared" si="436"/>
        <v/>
      </c>
      <c r="L4029" s="31" t="str">
        <f>IF(OR(B4029="",C4029=""),"",IFERROR(E4029 / SUMIFS('📅 Resumen Diario'!$D$5:$D$504, '📅 Resumen Diario'!$B$5:$B$504, B4029, '📅 Resumen Diario'!$C$5:$C$504, D4029) * SUMIFS('📅 Resumen Diario'!$K$5:$K$504, '📅 Resumen Diario'!$B$5:$B$504, B4029, '📅 Resumen Diario'!$C$5:$C$504, D4029), 0))</f>
        <v/>
      </c>
      <c r="M4029" s="31" t="str">
        <f t="shared" si="437"/>
        <v/>
      </c>
      <c r="N4029" s="31" t="str">
        <f t="shared" si="438"/>
        <v/>
      </c>
      <c r="O4029" s="31" t="str">
        <f>IF(OR(B4029="",C4029=""),"",K4029-N4029 + IFERROR(E4029 / SUMIFS('📅 Resumen Diario'!$D$5:$D$504, '📅 Resumen Diario'!$B$5:$B$504, B4029, '📅 Resumen Diario'!$C$5:$C$504, D4029) * (SUMIFS('📋 Detalle Diario'!$E$5:$E$489, '📋 Detalle Diario'!$B$5:$B$489, B4029, '📋 Detalle Diario'!$C$5:$C$489, D4029) * 135 + SUMIFS('📋 Detalle Diario'!$I$5:$I$489, '📋 Detalle Diario'!$B$5:$B$489, B4029, '📋 Detalle Diario'!$C$5:$C$489, D4029) * 200), 0))</f>
        <v/>
      </c>
      <c r="P4029" s="32" t="str">
        <f t="shared" si="439"/>
        <v/>
      </c>
      <c r="Q4029" s="33" t="str">
        <f t="shared" si="440"/>
        <v/>
      </c>
    </row>
    <row r="4030" spans="2:17" ht="18" customHeight="1" x14ac:dyDescent="0.3">
      <c r="B4030" s="26"/>
      <c r="C4030" s="17"/>
      <c r="D4030" s="27"/>
      <c r="E4030" s="18"/>
      <c r="F4030" s="18"/>
      <c r="G4030" s="18"/>
      <c r="H4030" s="30" t="str">
        <f t="shared" si="434"/>
        <v/>
      </c>
      <c r="I4030" s="31" t="str">
        <f>IF(OR(B4030="",C4030=""),"",IFERROR(E4030*IF(E4030="",0,VLOOKUP(C4030,'📦 Precios Proforma'!$B$5:$D$104,IF(D4030="DIA",2,3),FALSE)),0))</f>
        <v/>
      </c>
      <c r="J4030" s="31" t="str">
        <f t="shared" si="435"/>
        <v/>
      </c>
      <c r="K4030" s="31" t="str">
        <f t="shared" si="436"/>
        <v/>
      </c>
      <c r="L4030" s="31" t="str">
        <f>IF(OR(B4030="",C4030=""),"",IFERROR(E4030 / SUMIFS('📅 Resumen Diario'!$D$5:$D$504, '📅 Resumen Diario'!$B$5:$B$504, B4030, '📅 Resumen Diario'!$C$5:$C$504, D4030) * SUMIFS('📅 Resumen Diario'!$K$5:$K$504, '📅 Resumen Diario'!$B$5:$B$504, B4030, '📅 Resumen Diario'!$C$5:$C$504, D4030), 0))</f>
        <v/>
      </c>
      <c r="M4030" s="31" t="str">
        <f t="shared" si="437"/>
        <v/>
      </c>
      <c r="N4030" s="31" t="str">
        <f t="shared" si="438"/>
        <v/>
      </c>
      <c r="O4030" s="31" t="str">
        <f>IF(OR(B4030="",C4030=""),"",K4030-N4030 + IFERROR(E4030 / SUMIFS('📅 Resumen Diario'!$D$5:$D$504, '📅 Resumen Diario'!$B$5:$B$504, B4030, '📅 Resumen Diario'!$C$5:$C$504, D4030) * (SUMIFS('📋 Detalle Diario'!$E$5:$E$489, '📋 Detalle Diario'!$B$5:$B$489, B4030, '📋 Detalle Diario'!$C$5:$C$489, D4030) * 135 + SUMIFS('📋 Detalle Diario'!$I$5:$I$489, '📋 Detalle Diario'!$B$5:$B$489, B4030, '📋 Detalle Diario'!$C$5:$C$489, D4030) * 200), 0))</f>
        <v/>
      </c>
      <c r="P4030" s="32" t="str">
        <f t="shared" si="439"/>
        <v/>
      </c>
      <c r="Q4030" s="33" t="str">
        <f t="shared" si="440"/>
        <v/>
      </c>
    </row>
    <row r="4031" spans="2:17" ht="18" customHeight="1" x14ac:dyDescent="0.3">
      <c r="B4031" s="26"/>
      <c r="C4031" s="28"/>
      <c r="D4031" s="27"/>
      <c r="E4031" s="29"/>
      <c r="F4031" s="29"/>
      <c r="G4031" s="29"/>
      <c r="H4031" s="30" t="str">
        <f t="shared" si="434"/>
        <v/>
      </c>
      <c r="I4031" s="31" t="str">
        <f>IF(OR(B4031="",C4031=""),"",IFERROR(E4031*IF(E4031="",0,VLOOKUP(C4031,'📦 Precios Proforma'!$B$5:$D$104,IF(D4031="DIA",2,3),FALSE)),0))</f>
        <v/>
      </c>
      <c r="J4031" s="31" t="str">
        <f t="shared" si="435"/>
        <v/>
      </c>
      <c r="K4031" s="31" t="str">
        <f t="shared" si="436"/>
        <v/>
      </c>
      <c r="L4031" s="31" t="str">
        <f>IF(OR(B4031="",C4031=""),"",IFERROR(E4031 / SUMIFS('📅 Resumen Diario'!$D$5:$D$504, '📅 Resumen Diario'!$B$5:$B$504, B4031, '📅 Resumen Diario'!$C$5:$C$504, D4031) * SUMIFS('📅 Resumen Diario'!$K$5:$K$504, '📅 Resumen Diario'!$B$5:$B$504, B4031, '📅 Resumen Diario'!$C$5:$C$504, D4031), 0))</f>
        <v/>
      </c>
      <c r="M4031" s="31" t="str">
        <f t="shared" si="437"/>
        <v/>
      </c>
      <c r="N4031" s="31" t="str">
        <f t="shared" si="438"/>
        <v/>
      </c>
      <c r="O4031" s="31" t="str">
        <f>IF(OR(B4031="",C4031=""),"",K4031-N4031 + IFERROR(E4031 / SUMIFS('📅 Resumen Diario'!$D$5:$D$504, '📅 Resumen Diario'!$B$5:$B$504, B4031, '📅 Resumen Diario'!$C$5:$C$504, D4031) * (SUMIFS('📋 Detalle Diario'!$E$5:$E$489, '📋 Detalle Diario'!$B$5:$B$489, B4031, '📋 Detalle Diario'!$C$5:$C$489, D4031) * 135 + SUMIFS('📋 Detalle Diario'!$I$5:$I$489, '📋 Detalle Diario'!$B$5:$B$489, B4031, '📋 Detalle Diario'!$C$5:$C$489, D4031) * 200), 0))</f>
        <v/>
      </c>
      <c r="P4031" s="32" t="str">
        <f t="shared" si="439"/>
        <v/>
      </c>
      <c r="Q4031" s="33" t="str">
        <f t="shared" si="440"/>
        <v/>
      </c>
    </row>
    <row r="4032" spans="2:17" ht="18" customHeight="1" x14ac:dyDescent="0.3">
      <c r="B4032" s="26"/>
      <c r="C4032" s="17"/>
      <c r="D4032" s="27"/>
      <c r="E4032" s="18"/>
      <c r="F4032" s="18"/>
      <c r="G4032" s="18"/>
      <c r="H4032" s="30" t="str">
        <f t="shared" si="434"/>
        <v/>
      </c>
      <c r="I4032" s="31" t="str">
        <f>IF(OR(B4032="",C4032=""),"",IFERROR(E4032*IF(E4032="",0,VLOOKUP(C4032,'📦 Precios Proforma'!$B$5:$D$104,IF(D4032="DIA",2,3),FALSE)),0))</f>
        <v/>
      </c>
      <c r="J4032" s="31" t="str">
        <f t="shared" si="435"/>
        <v/>
      </c>
      <c r="K4032" s="31" t="str">
        <f t="shared" si="436"/>
        <v/>
      </c>
      <c r="L4032" s="31" t="str">
        <f>IF(OR(B4032="",C4032=""),"",IFERROR(E4032 / SUMIFS('📅 Resumen Diario'!$D$5:$D$504, '📅 Resumen Diario'!$B$5:$B$504, B4032, '📅 Resumen Diario'!$C$5:$C$504, D4032) * SUMIFS('📅 Resumen Diario'!$K$5:$K$504, '📅 Resumen Diario'!$B$5:$B$504, B4032, '📅 Resumen Diario'!$C$5:$C$504, D4032), 0))</f>
        <v/>
      </c>
      <c r="M4032" s="31" t="str">
        <f t="shared" si="437"/>
        <v/>
      </c>
      <c r="N4032" s="31" t="str">
        <f t="shared" si="438"/>
        <v/>
      </c>
      <c r="O4032" s="31" t="str">
        <f>IF(OR(B4032="",C4032=""),"",K4032-N4032 + IFERROR(E4032 / SUMIFS('📅 Resumen Diario'!$D$5:$D$504, '📅 Resumen Diario'!$B$5:$B$504, B4032, '📅 Resumen Diario'!$C$5:$C$504, D4032) * (SUMIFS('📋 Detalle Diario'!$E$5:$E$489, '📋 Detalle Diario'!$B$5:$B$489, B4032, '📋 Detalle Diario'!$C$5:$C$489, D4032) * 135 + SUMIFS('📋 Detalle Diario'!$I$5:$I$489, '📋 Detalle Diario'!$B$5:$B$489, B4032, '📋 Detalle Diario'!$C$5:$C$489, D4032) * 200), 0))</f>
        <v/>
      </c>
      <c r="P4032" s="32" t="str">
        <f t="shared" si="439"/>
        <v/>
      </c>
      <c r="Q4032" s="33" t="str">
        <f t="shared" si="440"/>
        <v/>
      </c>
    </row>
    <row r="4033" spans="2:17" ht="18" customHeight="1" x14ac:dyDescent="0.3">
      <c r="B4033" s="26"/>
      <c r="C4033" s="28"/>
      <c r="D4033" s="27"/>
      <c r="E4033" s="29"/>
      <c r="F4033" s="29"/>
      <c r="G4033" s="29"/>
      <c r="H4033" s="30" t="str">
        <f t="shared" si="434"/>
        <v/>
      </c>
      <c r="I4033" s="31" t="str">
        <f>IF(OR(B4033="",C4033=""),"",IFERROR(E4033*IF(E4033="",0,VLOOKUP(C4033,'📦 Precios Proforma'!$B$5:$D$104,IF(D4033="DIA",2,3),FALSE)),0))</f>
        <v/>
      </c>
      <c r="J4033" s="31" t="str">
        <f t="shared" si="435"/>
        <v/>
      </c>
      <c r="K4033" s="31" t="str">
        <f t="shared" si="436"/>
        <v/>
      </c>
      <c r="L4033" s="31" t="str">
        <f>IF(OR(B4033="",C4033=""),"",IFERROR(E4033 / SUMIFS('📅 Resumen Diario'!$D$5:$D$504, '📅 Resumen Diario'!$B$5:$B$504, B4033, '📅 Resumen Diario'!$C$5:$C$504, D4033) * SUMIFS('📅 Resumen Diario'!$K$5:$K$504, '📅 Resumen Diario'!$B$5:$B$504, B4033, '📅 Resumen Diario'!$C$5:$C$504, D4033), 0))</f>
        <v/>
      </c>
      <c r="M4033" s="31" t="str">
        <f t="shared" si="437"/>
        <v/>
      </c>
      <c r="N4033" s="31" t="str">
        <f t="shared" si="438"/>
        <v/>
      </c>
      <c r="O4033" s="31" t="str">
        <f>IF(OR(B4033="",C4033=""),"",K4033-N4033 + IFERROR(E4033 / SUMIFS('📅 Resumen Diario'!$D$5:$D$504, '📅 Resumen Diario'!$B$5:$B$504, B4033, '📅 Resumen Diario'!$C$5:$C$504, D4033) * (SUMIFS('📋 Detalle Diario'!$E$5:$E$489, '📋 Detalle Diario'!$B$5:$B$489, B4033, '📋 Detalle Diario'!$C$5:$C$489, D4033) * 135 + SUMIFS('📋 Detalle Diario'!$I$5:$I$489, '📋 Detalle Diario'!$B$5:$B$489, B4033, '📋 Detalle Diario'!$C$5:$C$489, D4033) * 200), 0))</f>
        <v/>
      </c>
      <c r="P4033" s="32" t="str">
        <f t="shared" si="439"/>
        <v/>
      </c>
      <c r="Q4033" s="33" t="str">
        <f t="shared" si="440"/>
        <v/>
      </c>
    </row>
    <row r="4034" spans="2:17" ht="18" customHeight="1" x14ac:dyDescent="0.3">
      <c r="B4034" s="26"/>
      <c r="C4034" s="17"/>
      <c r="D4034" s="27"/>
      <c r="E4034" s="18"/>
      <c r="F4034" s="18"/>
      <c r="G4034" s="18"/>
      <c r="H4034" s="30" t="str">
        <f t="shared" si="434"/>
        <v/>
      </c>
      <c r="I4034" s="31" t="str">
        <f>IF(OR(B4034="",C4034=""),"",IFERROR(E4034*IF(E4034="",0,VLOOKUP(C4034,'📦 Precios Proforma'!$B$5:$D$104,IF(D4034="DIA",2,3),FALSE)),0))</f>
        <v/>
      </c>
      <c r="J4034" s="31" t="str">
        <f t="shared" si="435"/>
        <v/>
      </c>
      <c r="K4034" s="31" t="str">
        <f t="shared" si="436"/>
        <v/>
      </c>
      <c r="L4034" s="31" t="str">
        <f>IF(OR(B4034="",C4034=""),"",IFERROR(E4034 / SUMIFS('📅 Resumen Diario'!$D$5:$D$504, '📅 Resumen Diario'!$B$5:$B$504, B4034, '📅 Resumen Diario'!$C$5:$C$504, D4034) * SUMIFS('📅 Resumen Diario'!$K$5:$K$504, '📅 Resumen Diario'!$B$5:$B$504, B4034, '📅 Resumen Diario'!$C$5:$C$504, D4034), 0))</f>
        <v/>
      </c>
      <c r="M4034" s="31" t="str">
        <f t="shared" si="437"/>
        <v/>
      </c>
      <c r="N4034" s="31" t="str">
        <f t="shared" si="438"/>
        <v/>
      </c>
      <c r="O4034" s="31" t="str">
        <f>IF(OR(B4034="",C4034=""),"",K4034-N4034 + IFERROR(E4034 / SUMIFS('📅 Resumen Diario'!$D$5:$D$504, '📅 Resumen Diario'!$B$5:$B$504, B4034, '📅 Resumen Diario'!$C$5:$C$504, D4034) * (SUMIFS('📋 Detalle Diario'!$E$5:$E$489, '📋 Detalle Diario'!$B$5:$B$489, B4034, '📋 Detalle Diario'!$C$5:$C$489, D4034) * 135 + SUMIFS('📋 Detalle Diario'!$I$5:$I$489, '📋 Detalle Diario'!$B$5:$B$489, B4034, '📋 Detalle Diario'!$C$5:$C$489, D4034) * 200), 0))</f>
        <v/>
      </c>
      <c r="P4034" s="32" t="str">
        <f t="shared" si="439"/>
        <v/>
      </c>
      <c r="Q4034" s="33" t="str">
        <f t="shared" si="440"/>
        <v/>
      </c>
    </row>
    <row r="4035" spans="2:17" ht="18" customHeight="1" x14ac:dyDescent="0.3">
      <c r="B4035" s="26"/>
      <c r="C4035" s="28"/>
      <c r="D4035" s="27"/>
      <c r="E4035" s="29"/>
      <c r="F4035" s="29"/>
      <c r="G4035" s="29"/>
      <c r="H4035" s="30" t="str">
        <f t="shared" si="434"/>
        <v/>
      </c>
      <c r="I4035" s="31" t="str">
        <f>IF(OR(B4035="",C4035=""),"",IFERROR(E4035*IF(E4035="",0,VLOOKUP(C4035,'📦 Precios Proforma'!$B$5:$D$104,IF(D4035="DIA",2,3),FALSE)),0))</f>
        <v/>
      </c>
      <c r="J4035" s="31" t="str">
        <f t="shared" si="435"/>
        <v/>
      </c>
      <c r="K4035" s="31" t="str">
        <f t="shared" si="436"/>
        <v/>
      </c>
      <c r="L4035" s="31" t="str">
        <f>IF(OR(B4035="",C4035=""),"",IFERROR(E4035 / SUMIFS('📅 Resumen Diario'!$D$5:$D$504, '📅 Resumen Diario'!$B$5:$B$504, B4035, '📅 Resumen Diario'!$C$5:$C$504, D4035) * SUMIFS('📅 Resumen Diario'!$K$5:$K$504, '📅 Resumen Diario'!$B$5:$B$504, B4035, '📅 Resumen Diario'!$C$5:$C$504, D4035), 0))</f>
        <v/>
      </c>
      <c r="M4035" s="31" t="str">
        <f t="shared" si="437"/>
        <v/>
      </c>
      <c r="N4035" s="31" t="str">
        <f t="shared" si="438"/>
        <v/>
      </c>
      <c r="O4035" s="31" t="str">
        <f>IF(OR(B4035="",C4035=""),"",K4035-N4035 + IFERROR(E4035 / SUMIFS('📅 Resumen Diario'!$D$5:$D$504, '📅 Resumen Diario'!$B$5:$B$504, B4035, '📅 Resumen Diario'!$C$5:$C$504, D4035) * (SUMIFS('📋 Detalle Diario'!$E$5:$E$489, '📋 Detalle Diario'!$B$5:$B$489, B4035, '📋 Detalle Diario'!$C$5:$C$489, D4035) * 135 + SUMIFS('📋 Detalle Diario'!$I$5:$I$489, '📋 Detalle Diario'!$B$5:$B$489, B4035, '📋 Detalle Diario'!$C$5:$C$489, D4035) * 200), 0))</f>
        <v/>
      </c>
      <c r="P4035" s="32" t="str">
        <f t="shared" si="439"/>
        <v/>
      </c>
      <c r="Q4035" s="33" t="str">
        <f t="shared" si="440"/>
        <v/>
      </c>
    </row>
    <row r="4036" spans="2:17" ht="18" customHeight="1" x14ac:dyDescent="0.3">
      <c r="B4036" s="26"/>
      <c r="C4036" s="17"/>
      <c r="D4036" s="27"/>
      <c r="E4036" s="18"/>
      <c r="F4036" s="18"/>
      <c r="G4036" s="18"/>
      <c r="H4036" s="30" t="str">
        <f t="shared" si="434"/>
        <v/>
      </c>
      <c r="I4036" s="31" t="str">
        <f>IF(OR(B4036="",C4036=""),"",IFERROR(E4036*IF(E4036="",0,VLOOKUP(C4036,'📦 Precios Proforma'!$B$5:$D$104,IF(D4036="DIA",2,3),FALSE)),0))</f>
        <v/>
      </c>
      <c r="J4036" s="31" t="str">
        <f t="shared" si="435"/>
        <v/>
      </c>
      <c r="K4036" s="31" t="str">
        <f t="shared" si="436"/>
        <v/>
      </c>
      <c r="L4036" s="31" t="str">
        <f>IF(OR(B4036="",C4036=""),"",IFERROR(E4036 / SUMIFS('📅 Resumen Diario'!$D$5:$D$504, '📅 Resumen Diario'!$B$5:$B$504, B4036, '📅 Resumen Diario'!$C$5:$C$504, D4036) * SUMIFS('📅 Resumen Diario'!$K$5:$K$504, '📅 Resumen Diario'!$B$5:$B$504, B4036, '📅 Resumen Diario'!$C$5:$C$504, D4036), 0))</f>
        <v/>
      </c>
      <c r="M4036" s="31" t="str">
        <f t="shared" si="437"/>
        <v/>
      </c>
      <c r="N4036" s="31" t="str">
        <f t="shared" si="438"/>
        <v/>
      </c>
      <c r="O4036" s="31" t="str">
        <f>IF(OR(B4036="",C4036=""),"",K4036-N4036 + IFERROR(E4036 / SUMIFS('📅 Resumen Diario'!$D$5:$D$504, '📅 Resumen Diario'!$B$5:$B$504, B4036, '📅 Resumen Diario'!$C$5:$C$504, D4036) * (SUMIFS('📋 Detalle Diario'!$E$5:$E$489, '📋 Detalle Diario'!$B$5:$B$489, B4036, '📋 Detalle Diario'!$C$5:$C$489, D4036) * 135 + SUMIFS('📋 Detalle Diario'!$I$5:$I$489, '📋 Detalle Diario'!$B$5:$B$489, B4036, '📋 Detalle Diario'!$C$5:$C$489, D4036) * 200), 0))</f>
        <v/>
      </c>
      <c r="P4036" s="32" t="str">
        <f t="shared" si="439"/>
        <v/>
      </c>
      <c r="Q4036" s="33" t="str">
        <f t="shared" si="440"/>
        <v/>
      </c>
    </row>
    <row r="4037" spans="2:17" ht="18" customHeight="1" x14ac:dyDescent="0.3">
      <c r="B4037" s="26"/>
      <c r="C4037" s="28"/>
      <c r="D4037" s="27"/>
      <c r="E4037" s="29"/>
      <c r="F4037" s="29"/>
      <c r="G4037" s="29"/>
      <c r="H4037" s="30" t="str">
        <f t="shared" si="434"/>
        <v/>
      </c>
      <c r="I4037" s="31" t="str">
        <f>IF(OR(B4037="",C4037=""),"",IFERROR(E4037*IF(E4037="",0,VLOOKUP(C4037,'📦 Precios Proforma'!$B$5:$D$104,IF(D4037="DIA",2,3),FALSE)),0))</f>
        <v/>
      </c>
      <c r="J4037" s="31" t="str">
        <f t="shared" si="435"/>
        <v/>
      </c>
      <c r="K4037" s="31" t="str">
        <f t="shared" si="436"/>
        <v/>
      </c>
      <c r="L4037" s="31" t="str">
        <f>IF(OR(B4037="",C4037=""),"",IFERROR(E4037 / SUMIFS('📅 Resumen Diario'!$D$5:$D$504, '📅 Resumen Diario'!$B$5:$B$504, B4037, '📅 Resumen Diario'!$C$5:$C$504, D4037) * SUMIFS('📅 Resumen Diario'!$K$5:$K$504, '📅 Resumen Diario'!$B$5:$B$504, B4037, '📅 Resumen Diario'!$C$5:$C$504, D4037), 0))</f>
        <v/>
      </c>
      <c r="M4037" s="31" t="str">
        <f t="shared" si="437"/>
        <v/>
      </c>
      <c r="N4037" s="31" t="str">
        <f t="shared" si="438"/>
        <v/>
      </c>
      <c r="O4037" s="31" t="str">
        <f>IF(OR(B4037="",C4037=""),"",K4037-N4037 + IFERROR(E4037 / SUMIFS('📅 Resumen Diario'!$D$5:$D$504, '📅 Resumen Diario'!$B$5:$B$504, B4037, '📅 Resumen Diario'!$C$5:$C$504, D4037) * (SUMIFS('📋 Detalle Diario'!$E$5:$E$489, '📋 Detalle Diario'!$B$5:$B$489, B4037, '📋 Detalle Diario'!$C$5:$C$489, D4037) * 135 + SUMIFS('📋 Detalle Diario'!$I$5:$I$489, '📋 Detalle Diario'!$B$5:$B$489, B4037, '📋 Detalle Diario'!$C$5:$C$489, D4037) * 200), 0))</f>
        <v/>
      </c>
      <c r="P4037" s="32" t="str">
        <f t="shared" si="439"/>
        <v/>
      </c>
      <c r="Q4037" s="33" t="str">
        <f t="shared" si="440"/>
        <v/>
      </c>
    </row>
    <row r="4038" spans="2:17" ht="18" customHeight="1" x14ac:dyDescent="0.3">
      <c r="B4038" s="26"/>
      <c r="C4038" s="17"/>
      <c r="D4038" s="27"/>
      <c r="E4038" s="18"/>
      <c r="F4038" s="18"/>
      <c r="G4038" s="18"/>
      <c r="H4038" s="30" t="str">
        <f t="shared" si="434"/>
        <v/>
      </c>
      <c r="I4038" s="31" t="str">
        <f>IF(OR(B4038="",C4038=""),"",IFERROR(E4038*IF(E4038="",0,VLOOKUP(C4038,'📦 Precios Proforma'!$B$5:$D$104,IF(D4038="DIA",2,3),FALSE)),0))</f>
        <v/>
      </c>
      <c r="J4038" s="31" t="str">
        <f t="shared" si="435"/>
        <v/>
      </c>
      <c r="K4038" s="31" t="str">
        <f t="shared" si="436"/>
        <v/>
      </c>
      <c r="L4038" s="31" t="str">
        <f>IF(OR(B4038="",C4038=""),"",IFERROR(E4038 / SUMIFS('📅 Resumen Diario'!$D$5:$D$504, '📅 Resumen Diario'!$B$5:$B$504, B4038, '📅 Resumen Diario'!$C$5:$C$504, D4038) * SUMIFS('📅 Resumen Diario'!$K$5:$K$504, '📅 Resumen Diario'!$B$5:$B$504, B4038, '📅 Resumen Diario'!$C$5:$C$504, D4038), 0))</f>
        <v/>
      </c>
      <c r="M4038" s="31" t="str">
        <f t="shared" si="437"/>
        <v/>
      </c>
      <c r="N4038" s="31" t="str">
        <f t="shared" si="438"/>
        <v/>
      </c>
      <c r="O4038" s="31" t="str">
        <f>IF(OR(B4038="",C4038=""),"",K4038-N4038 + IFERROR(E4038 / SUMIFS('📅 Resumen Diario'!$D$5:$D$504, '📅 Resumen Diario'!$B$5:$B$504, B4038, '📅 Resumen Diario'!$C$5:$C$504, D4038) * (SUMIFS('📋 Detalle Diario'!$E$5:$E$489, '📋 Detalle Diario'!$B$5:$B$489, B4038, '📋 Detalle Diario'!$C$5:$C$489, D4038) * 135 + SUMIFS('📋 Detalle Diario'!$I$5:$I$489, '📋 Detalle Diario'!$B$5:$B$489, B4038, '📋 Detalle Diario'!$C$5:$C$489, D4038) * 200), 0))</f>
        <v/>
      </c>
      <c r="P4038" s="32" t="str">
        <f t="shared" si="439"/>
        <v/>
      </c>
      <c r="Q4038" s="33" t="str">
        <f t="shared" si="440"/>
        <v/>
      </c>
    </row>
    <row r="4039" spans="2:17" ht="18" customHeight="1" x14ac:dyDescent="0.3">
      <c r="B4039" s="26"/>
      <c r="C4039" s="28"/>
      <c r="D4039" s="27"/>
      <c r="E4039" s="29"/>
      <c r="F4039" s="29"/>
      <c r="G4039" s="29"/>
      <c r="H4039" s="30" t="str">
        <f t="shared" ref="H4039:H4102" si="441">IF(OR(B4039="",C4039=""),"",F4039+G4039)</f>
        <v/>
      </c>
      <c r="I4039" s="31" t="str">
        <f>IF(OR(B4039="",C4039=""),"",IFERROR(E4039*IF(E4039="",0,VLOOKUP(C4039,'📦 Precios Proforma'!$B$5:$D$104,IF(D4039="DIA",2,3),FALSE)),0))</f>
        <v/>
      </c>
      <c r="J4039" s="31" t="str">
        <f t="shared" ref="J4039:J4102" si="442">IF(OR(B4039="",C4039=""),"",IF(D4039="DIA",H4039*1.01,H4039*1.35))</f>
        <v/>
      </c>
      <c r="K4039" s="31" t="str">
        <f t="shared" ref="K4039:K4102" si="443">IF(OR(B4039="",C4039=""),"",I4039+J4039)</f>
        <v/>
      </c>
      <c r="L4039" s="31" t="str">
        <f>IF(OR(B4039="",C4039=""),"",IFERROR(E4039 / SUMIFS('📅 Resumen Diario'!$D$5:$D$504, '📅 Resumen Diario'!$B$5:$B$504, B4039, '📅 Resumen Diario'!$C$5:$C$504, D4039) * SUMIFS('📅 Resumen Diario'!$K$5:$K$504, '📅 Resumen Diario'!$B$5:$B$504, B4039, '📅 Resumen Diario'!$C$5:$C$504, D4039), 0))</f>
        <v/>
      </c>
      <c r="M4039" s="31" t="str">
        <f t="shared" ref="M4039:M4102" si="444">IF(OR(B4039="",C4039=""),"",H4039*0.09)</f>
        <v/>
      </c>
      <c r="N4039" s="31" t="str">
        <f t="shared" ref="N4039:N4102" si="445">IF(OR(B4039="",C4039=""),"",L4039+M4039)</f>
        <v/>
      </c>
      <c r="O4039" s="31" t="str">
        <f>IF(OR(B4039="",C4039=""),"",K4039-N4039 + IFERROR(E4039 / SUMIFS('📅 Resumen Diario'!$D$5:$D$504, '📅 Resumen Diario'!$B$5:$B$504, B4039, '📅 Resumen Diario'!$C$5:$C$504, D4039) * (SUMIFS('📋 Detalle Diario'!$E$5:$E$489, '📋 Detalle Diario'!$B$5:$B$489, B4039, '📋 Detalle Diario'!$C$5:$C$489, D4039) * 135 + SUMIFS('📋 Detalle Diario'!$I$5:$I$489, '📋 Detalle Diario'!$B$5:$B$489, B4039, '📋 Detalle Diario'!$C$5:$C$489, D4039) * 200), 0))</f>
        <v/>
      </c>
      <c r="P4039" s="32" t="str">
        <f t="shared" ref="P4039:P4102" si="446">IF(OR(B4039="",C4039=""),"",IF(K4039=0, 0, O4039/K4039))</f>
        <v/>
      </c>
      <c r="Q4039" s="33" t="str">
        <f t="shared" ref="Q4039:Q4102" si="447">IF(B4039="","",IF(ISNUMBER(B4039),YEAR(B4039)&amp;"-"&amp;IF(MONTH(B4039)&lt;10,"0","")&amp;MONTH(B4039),LEFT(B4039,7)))</f>
        <v/>
      </c>
    </row>
    <row r="4040" spans="2:17" ht="18" customHeight="1" x14ac:dyDescent="0.3">
      <c r="B4040" s="26"/>
      <c r="C4040" s="17"/>
      <c r="D4040" s="27"/>
      <c r="E4040" s="18"/>
      <c r="F4040" s="18"/>
      <c r="G4040" s="18"/>
      <c r="H4040" s="30" t="str">
        <f t="shared" si="441"/>
        <v/>
      </c>
      <c r="I4040" s="31" t="str">
        <f>IF(OR(B4040="",C4040=""),"",IFERROR(E4040*IF(E4040="",0,VLOOKUP(C4040,'📦 Precios Proforma'!$B$5:$D$104,IF(D4040="DIA",2,3),FALSE)),0))</f>
        <v/>
      </c>
      <c r="J4040" s="31" t="str">
        <f t="shared" si="442"/>
        <v/>
      </c>
      <c r="K4040" s="31" t="str">
        <f t="shared" si="443"/>
        <v/>
      </c>
      <c r="L4040" s="31" t="str">
        <f>IF(OR(B4040="",C4040=""),"",IFERROR(E4040 / SUMIFS('📅 Resumen Diario'!$D$5:$D$504, '📅 Resumen Diario'!$B$5:$B$504, B4040, '📅 Resumen Diario'!$C$5:$C$504, D4040) * SUMIFS('📅 Resumen Diario'!$K$5:$K$504, '📅 Resumen Diario'!$B$5:$B$504, B4040, '📅 Resumen Diario'!$C$5:$C$504, D4040), 0))</f>
        <v/>
      </c>
      <c r="M4040" s="31" t="str">
        <f t="shared" si="444"/>
        <v/>
      </c>
      <c r="N4040" s="31" t="str">
        <f t="shared" si="445"/>
        <v/>
      </c>
      <c r="O4040" s="31" t="str">
        <f>IF(OR(B4040="",C4040=""),"",K4040-N4040 + IFERROR(E4040 / SUMIFS('📅 Resumen Diario'!$D$5:$D$504, '📅 Resumen Diario'!$B$5:$B$504, B4040, '📅 Resumen Diario'!$C$5:$C$504, D4040) * (SUMIFS('📋 Detalle Diario'!$E$5:$E$489, '📋 Detalle Diario'!$B$5:$B$489, B4040, '📋 Detalle Diario'!$C$5:$C$489, D4040) * 135 + SUMIFS('📋 Detalle Diario'!$I$5:$I$489, '📋 Detalle Diario'!$B$5:$B$489, B4040, '📋 Detalle Diario'!$C$5:$C$489, D4040) * 200), 0))</f>
        <v/>
      </c>
      <c r="P4040" s="32" t="str">
        <f t="shared" si="446"/>
        <v/>
      </c>
      <c r="Q4040" s="33" t="str">
        <f t="shared" si="447"/>
        <v/>
      </c>
    </row>
    <row r="4041" spans="2:17" ht="18" customHeight="1" x14ac:dyDescent="0.3">
      <c r="B4041" s="26"/>
      <c r="C4041" s="28"/>
      <c r="D4041" s="27"/>
      <c r="E4041" s="29"/>
      <c r="F4041" s="29"/>
      <c r="G4041" s="29"/>
      <c r="H4041" s="30" t="str">
        <f t="shared" si="441"/>
        <v/>
      </c>
      <c r="I4041" s="31" t="str">
        <f>IF(OR(B4041="",C4041=""),"",IFERROR(E4041*IF(E4041="",0,VLOOKUP(C4041,'📦 Precios Proforma'!$B$5:$D$104,IF(D4041="DIA",2,3),FALSE)),0))</f>
        <v/>
      </c>
      <c r="J4041" s="31" t="str">
        <f t="shared" si="442"/>
        <v/>
      </c>
      <c r="K4041" s="31" t="str">
        <f t="shared" si="443"/>
        <v/>
      </c>
      <c r="L4041" s="31" t="str">
        <f>IF(OR(B4041="",C4041=""),"",IFERROR(E4041 / SUMIFS('📅 Resumen Diario'!$D$5:$D$504, '📅 Resumen Diario'!$B$5:$B$504, B4041, '📅 Resumen Diario'!$C$5:$C$504, D4041) * SUMIFS('📅 Resumen Diario'!$K$5:$K$504, '📅 Resumen Diario'!$B$5:$B$504, B4041, '📅 Resumen Diario'!$C$5:$C$504, D4041), 0))</f>
        <v/>
      </c>
      <c r="M4041" s="31" t="str">
        <f t="shared" si="444"/>
        <v/>
      </c>
      <c r="N4041" s="31" t="str">
        <f t="shared" si="445"/>
        <v/>
      </c>
      <c r="O4041" s="31" t="str">
        <f>IF(OR(B4041="",C4041=""),"",K4041-N4041 + IFERROR(E4041 / SUMIFS('📅 Resumen Diario'!$D$5:$D$504, '📅 Resumen Diario'!$B$5:$B$504, B4041, '📅 Resumen Diario'!$C$5:$C$504, D4041) * (SUMIFS('📋 Detalle Diario'!$E$5:$E$489, '📋 Detalle Diario'!$B$5:$B$489, B4041, '📋 Detalle Diario'!$C$5:$C$489, D4041) * 135 + SUMIFS('📋 Detalle Diario'!$I$5:$I$489, '📋 Detalle Diario'!$B$5:$B$489, B4041, '📋 Detalle Diario'!$C$5:$C$489, D4041) * 200), 0))</f>
        <v/>
      </c>
      <c r="P4041" s="32" t="str">
        <f t="shared" si="446"/>
        <v/>
      </c>
      <c r="Q4041" s="33" t="str">
        <f t="shared" si="447"/>
        <v/>
      </c>
    </row>
    <row r="4042" spans="2:17" ht="18" customHeight="1" x14ac:dyDescent="0.3">
      <c r="B4042" s="26"/>
      <c r="C4042" s="17"/>
      <c r="D4042" s="27"/>
      <c r="E4042" s="18"/>
      <c r="F4042" s="18"/>
      <c r="G4042" s="18"/>
      <c r="H4042" s="30" t="str">
        <f t="shared" si="441"/>
        <v/>
      </c>
      <c r="I4042" s="31" t="str">
        <f>IF(OR(B4042="",C4042=""),"",IFERROR(E4042*IF(E4042="",0,VLOOKUP(C4042,'📦 Precios Proforma'!$B$5:$D$104,IF(D4042="DIA",2,3),FALSE)),0))</f>
        <v/>
      </c>
      <c r="J4042" s="31" t="str">
        <f t="shared" si="442"/>
        <v/>
      </c>
      <c r="K4042" s="31" t="str">
        <f t="shared" si="443"/>
        <v/>
      </c>
      <c r="L4042" s="31" t="str">
        <f>IF(OR(B4042="",C4042=""),"",IFERROR(E4042 / SUMIFS('📅 Resumen Diario'!$D$5:$D$504, '📅 Resumen Diario'!$B$5:$B$504, B4042, '📅 Resumen Diario'!$C$5:$C$504, D4042) * SUMIFS('📅 Resumen Diario'!$K$5:$K$504, '📅 Resumen Diario'!$B$5:$B$504, B4042, '📅 Resumen Diario'!$C$5:$C$504, D4042), 0))</f>
        <v/>
      </c>
      <c r="M4042" s="31" t="str">
        <f t="shared" si="444"/>
        <v/>
      </c>
      <c r="N4042" s="31" t="str">
        <f t="shared" si="445"/>
        <v/>
      </c>
      <c r="O4042" s="31" t="str">
        <f>IF(OR(B4042="",C4042=""),"",K4042-N4042 + IFERROR(E4042 / SUMIFS('📅 Resumen Diario'!$D$5:$D$504, '📅 Resumen Diario'!$B$5:$B$504, B4042, '📅 Resumen Diario'!$C$5:$C$504, D4042) * (SUMIFS('📋 Detalle Diario'!$E$5:$E$489, '📋 Detalle Diario'!$B$5:$B$489, B4042, '📋 Detalle Diario'!$C$5:$C$489, D4042) * 135 + SUMIFS('📋 Detalle Diario'!$I$5:$I$489, '📋 Detalle Diario'!$B$5:$B$489, B4042, '📋 Detalle Diario'!$C$5:$C$489, D4042) * 200), 0))</f>
        <v/>
      </c>
      <c r="P4042" s="32" t="str">
        <f t="shared" si="446"/>
        <v/>
      </c>
      <c r="Q4042" s="33" t="str">
        <f t="shared" si="447"/>
        <v/>
      </c>
    </row>
    <row r="4043" spans="2:17" ht="18" customHeight="1" x14ac:dyDescent="0.3">
      <c r="B4043" s="26"/>
      <c r="C4043" s="28"/>
      <c r="D4043" s="27"/>
      <c r="E4043" s="29"/>
      <c r="F4043" s="29"/>
      <c r="G4043" s="29"/>
      <c r="H4043" s="30" t="str">
        <f t="shared" si="441"/>
        <v/>
      </c>
      <c r="I4043" s="31" t="str">
        <f>IF(OR(B4043="",C4043=""),"",IFERROR(E4043*IF(E4043="",0,VLOOKUP(C4043,'📦 Precios Proforma'!$B$5:$D$104,IF(D4043="DIA",2,3),FALSE)),0))</f>
        <v/>
      </c>
      <c r="J4043" s="31" t="str">
        <f t="shared" si="442"/>
        <v/>
      </c>
      <c r="K4043" s="31" t="str">
        <f t="shared" si="443"/>
        <v/>
      </c>
      <c r="L4043" s="31" t="str">
        <f>IF(OR(B4043="",C4043=""),"",IFERROR(E4043 / SUMIFS('📅 Resumen Diario'!$D$5:$D$504, '📅 Resumen Diario'!$B$5:$B$504, B4043, '📅 Resumen Diario'!$C$5:$C$504, D4043) * SUMIFS('📅 Resumen Diario'!$K$5:$K$504, '📅 Resumen Diario'!$B$5:$B$504, B4043, '📅 Resumen Diario'!$C$5:$C$504, D4043), 0))</f>
        <v/>
      </c>
      <c r="M4043" s="31" t="str">
        <f t="shared" si="444"/>
        <v/>
      </c>
      <c r="N4043" s="31" t="str">
        <f t="shared" si="445"/>
        <v/>
      </c>
      <c r="O4043" s="31" t="str">
        <f>IF(OR(B4043="",C4043=""),"",K4043-N4043 + IFERROR(E4043 / SUMIFS('📅 Resumen Diario'!$D$5:$D$504, '📅 Resumen Diario'!$B$5:$B$504, B4043, '📅 Resumen Diario'!$C$5:$C$504, D4043) * (SUMIFS('📋 Detalle Diario'!$E$5:$E$489, '📋 Detalle Diario'!$B$5:$B$489, B4043, '📋 Detalle Diario'!$C$5:$C$489, D4043) * 135 + SUMIFS('📋 Detalle Diario'!$I$5:$I$489, '📋 Detalle Diario'!$B$5:$B$489, B4043, '📋 Detalle Diario'!$C$5:$C$489, D4043) * 200), 0))</f>
        <v/>
      </c>
      <c r="P4043" s="32" t="str">
        <f t="shared" si="446"/>
        <v/>
      </c>
      <c r="Q4043" s="33" t="str">
        <f t="shared" si="447"/>
        <v/>
      </c>
    </row>
    <row r="4044" spans="2:17" ht="18" customHeight="1" x14ac:dyDescent="0.3">
      <c r="B4044" s="26"/>
      <c r="C4044" s="17"/>
      <c r="D4044" s="27"/>
      <c r="E4044" s="18"/>
      <c r="F4044" s="18"/>
      <c r="G4044" s="18"/>
      <c r="H4044" s="30" t="str">
        <f t="shared" si="441"/>
        <v/>
      </c>
      <c r="I4044" s="31" t="str">
        <f>IF(OR(B4044="",C4044=""),"",IFERROR(E4044*IF(E4044="",0,VLOOKUP(C4044,'📦 Precios Proforma'!$B$5:$D$104,IF(D4044="DIA",2,3),FALSE)),0))</f>
        <v/>
      </c>
      <c r="J4044" s="31" t="str">
        <f t="shared" si="442"/>
        <v/>
      </c>
      <c r="K4044" s="31" t="str">
        <f t="shared" si="443"/>
        <v/>
      </c>
      <c r="L4044" s="31" t="str">
        <f>IF(OR(B4044="",C4044=""),"",IFERROR(E4044 / SUMIFS('📅 Resumen Diario'!$D$5:$D$504, '📅 Resumen Diario'!$B$5:$B$504, B4044, '📅 Resumen Diario'!$C$5:$C$504, D4044) * SUMIFS('📅 Resumen Diario'!$K$5:$K$504, '📅 Resumen Diario'!$B$5:$B$504, B4044, '📅 Resumen Diario'!$C$5:$C$504, D4044), 0))</f>
        <v/>
      </c>
      <c r="M4044" s="31" t="str">
        <f t="shared" si="444"/>
        <v/>
      </c>
      <c r="N4044" s="31" t="str">
        <f t="shared" si="445"/>
        <v/>
      </c>
      <c r="O4044" s="31" t="str">
        <f>IF(OR(B4044="",C4044=""),"",K4044-N4044 + IFERROR(E4044 / SUMIFS('📅 Resumen Diario'!$D$5:$D$504, '📅 Resumen Diario'!$B$5:$B$504, B4044, '📅 Resumen Diario'!$C$5:$C$504, D4044) * (SUMIFS('📋 Detalle Diario'!$E$5:$E$489, '📋 Detalle Diario'!$B$5:$B$489, B4044, '📋 Detalle Diario'!$C$5:$C$489, D4044) * 135 + SUMIFS('📋 Detalle Diario'!$I$5:$I$489, '📋 Detalle Diario'!$B$5:$B$489, B4044, '📋 Detalle Diario'!$C$5:$C$489, D4044) * 200), 0))</f>
        <v/>
      </c>
      <c r="P4044" s="32" t="str">
        <f t="shared" si="446"/>
        <v/>
      </c>
      <c r="Q4044" s="33" t="str">
        <f t="shared" si="447"/>
        <v/>
      </c>
    </row>
    <row r="4045" spans="2:17" ht="18" customHeight="1" x14ac:dyDescent="0.3">
      <c r="B4045" s="26"/>
      <c r="C4045" s="28"/>
      <c r="D4045" s="27"/>
      <c r="E4045" s="29"/>
      <c r="F4045" s="29"/>
      <c r="G4045" s="29"/>
      <c r="H4045" s="30" t="str">
        <f t="shared" si="441"/>
        <v/>
      </c>
      <c r="I4045" s="31" t="str">
        <f>IF(OR(B4045="",C4045=""),"",IFERROR(E4045*IF(E4045="",0,VLOOKUP(C4045,'📦 Precios Proforma'!$B$5:$D$104,IF(D4045="DIA",2,3),FALSE)),0))</f>
        <v/>
      </c>
      <c r="J4045" s="31" t="str">
        <f t="shared" si="442"/>
        <v/>
      </c>
      <c r="K4045" s="31" t="str">
        <f t="shared" si="443"/>
        <v/>
      </c>
      <c r="L4045" s="31" t="str">
        <f>IF(OR(B4045="",C4045=""),"",IFERROR(E4045 / SUMIFS('📅 Resumen Diario'!$D$5:$D$504, '📅 Resumen Diario'!$B$5:$B$504, B4045, '📅 Resumen Diario'!$C$5:$C$504, D4045) * SUMIFS('📅 Resumen Diario'!$K$5:$K$504, '📅 Resumen Diario'!$B$5:$B$504, B4045, '📅 Resumen Diario'!$C$5:$C$504, D4045), 0))</f>
        <v/>
      </c>
      <c r="M4045" s="31" t="str">
        <f t="shared" si="444"/>
        <v/>
      </c>
      <c r="N4045" s="31" t="str">
        <f t="shared" si="445"/>
        <v/>
      </c>
      <c r="O4045" s="31" t="str">
        <f>IF(OR(B4045="",C4045=""),"",K4045-N4045 + IFERROR(E4045 / SUMIFS('📅 Resumen Diario'!$D$5:$D$504, '📅 Resumen Diario'!$B$5:$B$504, B4045, '📅 Resumen Diario'!$C$5:$C$504, D4045) * (SUMIFS('📋 Detalle Diario'!$E$5:$E$489, '📋 Detalle Diario'!$B$5:$B$489, B4045, '📋 Detalle Diario'!$C$5:$C$489, D4045) * 135 + SUMIFS('📋 Detalle Diario'!$I$5:$I$489, '📋 Detalle Diario'!$B$5:$B$489, B4045, '📋 Detalle Diario'!$C$5:$C$489, D4045) * 200), 0))</f>
        <v/>
      </c>
      <c r="P4045" s="32" t="str">
        <f t="shared" si="446"/>
        <v/>
      </c>
      <c r="Q4045" s="33" t="str">
        <f t="shared" si="447"/>
        <v/>
      </c>
    </row>
    <row r="4046" spans="2:17" ht="18" customHeight="1" x14ac:dyDescent="0.3">
      <c r="B4046" s="26"/>
      <c r="C4046" s="17"/>
      <c r="D4046" s="27"/>
      <c r="E4046" s="18"/>
      <c r="F4046" s="18"/>
      <c r="G4046" s="18"/>
      <c r="H4046" s="30" t="str">
        <f t="shared" si="441"/>
        <v/>
      </c>
      <c r="I4046" s="31" t="str">
        <f>IF(OR(B4046="",C4046=""),"",IFERROR(E4046*IF(E4046="",0,VLOOKUP(C4046,'📦 Precios Proforma'!$B$5:$D$104,IF(D4046="DIA",2,3),FALSE)),0))</f>
        <v/>
      </c>
      <c r="J4046" s="31" t="str">
        <f t="shared" si="442"/>
        <v/>
      </c>
      <c r="K4046" s="31" t="str">
        <f t="shared" si="443"/>
        <v/>
      </c>
      <c r="L4046" s="31" t="str">
        <f>IF(OR(B4046="",C4046=""),"",IFERROR(E4046 / SUMIFS('📅 Resumen Diario'!$D$5:$D$504, '📅 Resumen Diario'!$B$5:$B$504, B4046, '📅 Resumen Diario'!$C$5:$C$504, D4046) * SUMIFS('📅 Resumen Diario'!$K$5:$K$504, '📅 Resumen Diario'!$B$5:$B$504, B4046, '📅 Resumen Diario'!$C$5:$C$504, D4046), 0))</f>
        <v/>
      </c>
      <c r="M4046" s="31" t="str">
        <f t="shared" si="444"/>
        <v/>
      </c>
      <c r="N4046" s="31" t="str">
        <f t="shared" si="445"/>
        <v/>
      </c>
      <c r="O4046" s="31" t="str">
        <f>IF(OR(B4046="",C4046=""),"",K4046-N4046 + IFERROR(E4046 / SUMIFS('📅 Resumen Diario'!$D$5:$D$504, '📅 Resumen Diario'!$B$5:$B$504, B4046, '📅 Resumen Diario'!$C$5:$C$504, D4046) * (SUMIFS('📋 Detalle Diario'!$E$5:$E$489, '📋 Detalle Diario'!$B$5:$B$489, B4046, '📋 Detalle Diario'!$C$5:$C$489, D4046) * 135 + SUMIFS('📋 Detalle Diario'!$I$5:$I$489, '📋 Detalle Diario'!$B$5:$B$489, B4046, '📋 Detalle Diario'!$C$5:$C$489, D4046) * 200), 0))</f>
        <v/>
      </c>
      <c r="P4046" s="32" t="str">
        <f t="shared" si="446"/>
        <v/>
      </c>
      <c r="Q4046" s="33" t="str">
        <f t="shared" si="447"/>
        <v/>
      </c>
    </row>
    <row r="4047" spans="2:17" ht="18" customHeight="1" x14ac:dyDescent="0.3">
      <c r="B4047" s="26"/>
      <c r="C4047" s="28"/>
      <c r="D4047" s="27"/>
      <c r="E4047" s="29"/>
      <c r="F4047" s="29"/>
      <c r="G4047" s="29"/>
      <c r="H4047" s="30" t="str">
        <f t="shared" si="441"/>
        <v/>
      </c>
      <c r="I4047" s="31" t="str">
        <f>IF(OR(B4047="",C4047=""),"",IFERROR(E4047*IF(E4047="",0,VLOOKUP(C4047,'📦 Precios Proforma'!$B$5:$D$104,IF(D4047="DIA",2,3),FALSE)),0))</f>
        <v/>
      </c>
      <c r="J4047" s="31" t="str">
        <f t="shared" si="442"/>
        <v/>
      </c>
      <c r="K4047" s="31" t="str">
        <f t="shared" si="443"/>
        <v/>
      </c>
      <c r="L4047" s="31" t="str">
        <f>IF(OR(B4047="",C4047=""),"",IFERROR(E4047 / SUMIFS('📅 Resumen Diario'!$D$5:$D$504, '📅 Resumen Diario'!$B$5:$B$504, B4047, '📅 Resumen Diario'!$C$5:$C$504, D4047) * SUMIFS('📅 Resumen Diario'!$K$5:$K$504, '📅 Resumen Diario'!$B$5:$B$504, B4047, '📅 Resumen Diario'!$C$5:$C$504, D4047), 0))</f>
        <v/>
      </c>
      <c r="M4047" s="31" t="str">
        <f t="shared" si="444"/>
        <v/>
      </c>
      <c r="N4047" s="31" t="str">
        <f t="shared" si="445"/>
        <v/>
      </c>
      <c r="O4047" s="31" t="str">
        <f>IF(OR(B4047="",C4047=""),"",K4047-N4047 + IFERROR(E4047 / SUMIFS('📅 Resumen Diario'!$D$5:$D$504, '📅 Resumen Diario'!$B$5:$B$504, B4047, '📅 Resumen Diario'!$C$5:$C$504, D4047) * (SUMIFS('📋 Detalle Diario'!$E$5:$E$489, '📋 Detalle Diario'!$B$5:$B$489, B4047, '📋 Detalle Diario'!$C$5:$C$489, D4047) * 135 + SUMIFS('📋 Detalle Diario'!$I$5:$I$489, '📋 Detalle Diario'!$B$5:$B$489, B4047, '📋 Detalle Diario'!$C$5:$C$489, D4047) * 200), 0))</f>
        <v/>
      </c>
      <c r="P4047" s="32" t="str">
        <f t="shared" si="446"/>
        <v/>
      </c>
      <c r="Q4047" s="33" t="str">
        <f t="shared" si="447"/>
        <v/>
      </c>
    </row>
    <row r="4048" spans="2:17" ht="18" customHeight="1" x14ac:dyDescent="0.3">
      <c r="B4048" s="26"/>
      <c r="C4048" s="17"/>
      <c r="D4048" s="27"/>
      <c r="E4048" s="18"/>
      <c r="F4048" s="18"/>
      <c r="G4048" s="18"/>
      <c r="H4048" s="30" t="str">
        <f t="shared" si="441"/>
        <v/>
      </c>
      <c r="I4048" s="31" t="str">
        <f>IF(OR(B4048="",C4048=""),"",IFERROR(E4048*IF(E4048="",0,VLOOKUP(C4048,'📦 Precios Proforma'!$B$5:$D$104,IF(D4048="DIA",2,3),FALSE)),0))</f>
        <v/>
      </c>
      <c r="J4048" s="31" t="str">
        <f t="shared" si="442"/>
        <v/>
      </c>
      <c r="K4048" s="31" t="str">
        <f t="shared" si="443"/>
        <v/>
      </c>
      <c r="L4048" s="31" t="str">
        <f>IF(OR(B4048="",C4048=""),"",IFERROR(E4048 / SUMIFS('📅 Resumen Diario'!$D$5:$D$504, '📅 Resumen Diario'!$B$5:$B$504, B4048, '📅 Resumen Diario'!$C$5:$C$504, D4048) * SUMIFS('📅 Resumen Diario'!$K$5:$K$504, '📅 Resumen Diario'!$B$5:$B$504, B4048, '📅 Resumen Diario'!$C$5:$C$504, D4048), 0))</f>
        <v/>
      </c>
      <c r="M4048" s="31" t="str">
        <f t="shared" si="444"/>
        <v/>
      </c>
      <c r="N4048" s="31" t="str">
        <f t="shared" si="445"/>
        <v/>
      </c>
      <c r="O4048" s="31" t="str">
        <f>IF(OR(B4048="",C4048=""),"",K4048-N4048 + IFERROR(E4048 / SUMIFS('📅 Resumen Diario'!$D$5:$D$504, '📅 Resumen Diario'!$B$5:$B$504, B4048, '📅 Resumen Diario'!$C$5:$C$504, D4048) * (SUMIFS('📋 Detalle Diario'!$E$5:$E$489, '📋 Detalle Diario'!$B$5:$B$489, B4048, '📋 Detalle Diario'!$C$5:$C$489, D4048) * 135 + SUMIFS('📋 Detalle Diario'!$I$5:$I$489, '📋 Detalle Diario'!$B$5:$B$489, B4048, '📋 Detalle Diario'!$C$5:$C$489, D4048) * 200), 0))</f>
        <v/>
      </c>
      <c r="P4048" s="32" t="str">
        <f t="shared" si="446"/>
        <v/>
      </c>
      <c r="Q4048" s="33" t="str">
        <f t="shared" si="447"/>
        <v/>
      </c>
    </row>
    <row r="4049" spans="2:17" ht="18" customHeight="1" x14ac:dyDescent="0.3">
      <c r="B4049" s="26"/>
      <c r="C4049" s="28"/>
      <c r="D4049" s="27"/>
      <c r="E4049" s="29"/>
      <c r="F4049" s="29"/>
      <c r="G4049" s="29"/>
      <c r="H4049" s="30" t="str">
        <f t="shared" si="441"/>
        <v/>
      </c>
      <c r="I4049" s="31" t="str">
        <f>IF(OR(B4049="",C4049=""),"",IFERROR(E4049*IF(E4049="",0,VLOOKUP(C4049,'📦 Precios Proforma'!$B$5:$D$104,IF(D4049="DIA",2,3),FALSE)),0))</f>
        <v/>
      </c>
      <c r="J4049" s="31" t="str">
        <f t="shared" si="442"/>
        <v/>
      </c>
      <c r="K4049" s="31" t="str">
        <f t="shared" si="443"/>
        <v/>
      </c>
      <c r="L4049" s="31" t="str">
        <f>IF(OR(B4049="",C4049=""),"",IFERROR(E4049 / SUMIFS('📅 Resumen Diario'!$D$5:$D$504, '📅 Resumen Diario'!$B$5:$B$504, B4049, '📅 Resumen Diario'!$C$5:$C$504, D4049) * SUMIFS('📅 Resumen Diario'!$K$5:$K$504, '📅 Resumen Diario'!$B$5:$B$504, B4049, '📅 Resumen Diario'!$C$5:$C$504, D4049), 0))</f>
        <v/>
      </c>
      <c r="M4049" s="31" t="str">
        <f t="shared" si="444"/>
        <v/>
      </c>
      <c r="N4049" s="31" t="str">
        <f t="shared" si="445"/>
        <v/>
      </c>
      <c r="O4049" s="31" t="str">
        <f>IF(OR(B4049="",C4049=""),"",K4049-N4049 + IFERROR(E4049 / SUMIFS('📅 Resumen Diario'!$D$5:$D$504, '📅 Resumen Diario'!$B$5:$B$504, B4049, '📅 Resumen Diario'!$C$5:$C$504, D4049) * (SUMIFS('📋 Detalle Diario'!$E$5:$E$489, '📋 Detalle Diario'!$B$5:$B$489, B4049, '📋 Detalle Diario'!$C$5:$C$489, D4049) * 135 + SUMIFS('📋 Detalle Diario'!$I$5:$I$489, '📋 Detalle Diario'!$B$5:$B$489, B4049, '📋 Detalle Diario'!$C$5:$C$489, D4049) * 200), 0))</f>
        <v/>
      </c>
      <c r="P4049" s="32" t="str">
        <f t="shared" si="446"/>
        <v/>
      </c>
      <c r="Q4049" s="33" t="str">
        <f t="shared" si="447"/>
        <v/>
      </c>
    </row>
    <row r="4050" spans="2:17" ht="18" customHeight="1" x14ac:dyDescent="0.3">
      <c r="B4050" s="26"/>
      <c r="C4050" s="17"/>
      <c r="D4050" s="27"/>
      <c r="E4050" s="18"/>
      <c r="F4050" s="18"/>
      <c r="G4050" s="18"/>
      <c r="H4050" s="30" t="str">
        <f t="shared" si="441"/>
        <v/>
      </c>
      <c r="I4050" s="31" t="str">
        <f>IF(OR(B4050="",C4050=""),"",IFERROR(E4050*IF(E4050="",0,VLOOKUP(C4050,'📦 Precios Proforma'!$B$5:$D$104,IF(D4050="DIA",2,3),FALSE)),0))</f>
        <v/>
      </c>
      <c r="J4050" s="31" t="str">
        <f t="shared" si="442"/>
        <v/>
      </c>
      <c r="K4050" s="31" t="str">
        <f t="shared" si="443"/>
        <v/>
      </c>
      <c r="L4050" s="31" t="str">
        <f>IF(OR(B4050="",C4050=""),"",IFERROR(E4050 / SUMIFS('📅 Resumen Diario'!$D$5:$D$504, '📅 Resumen Diario'!$B$5:$B$504, B4050, '📅 Resumen Diario'!$C$5:$C$504, D4050) * SUMIFS('📅 Resumen Diario'!$K$5:$K$504, '📅 Resumen Diario'!$B$5:$B$504, B4050, '📅 Resumen Diario'!$C$5:$C$504, D4050), 0))</f>
        <v/>
      </c>
      <c r="M4050" s="31" t="str">
        <f t="shared" si="444"/>
        <v/>
      </c>
      <c r="N4050" s="31" t="str">
        <f t="shared" si="445"/>
        <v/>
      </c>
      <c r="O4050" s="31" t="str">
        <f>IF(OR(B4050="",C4050=""),"",K4050-N4050 + IFERROR(E4050 / SUMIFS('📅 Resumen Diario'!$D$5:$D$504, '📅 Resumen Diario'!$B$5:$B$504, B4050, '📅 Resumen Diario'!$C$5:$C$504, D4050) * (SUMIFS('📋 Detalle Diario'!$E$5:$E$489, '📋 Detalle Diario'!$B$5:$B$489, B4050, '📋 Detalle Diario'!$C$5:$C$489, D4050) * 135 + SUMIFS('📋 Detalle Diario'!$I$5:$I$489, '📋 Detalle Diario'!$B$5:$B$489, B4050, '📋 Detalle Diario'!$C$5:$C$489, D4050) * 200), 0))</f>
        <v/>
      </c>
      <c r="P4050" s="32" t="str">
        <f t="shared" si="446"/>
        <v/>
      </c>
      <c r="Q4050" s="33" t="str">
        <f t="shared" si="447"/>
        <v/>
      </c>
    </row>
    <row r="4051" spans="2:17" ht="18" customHeight="1" x14ac:dyDescent="0.3">
      <c r="B4051" s="26"/>
      <c r="C4051" s="28"/>
      <c r="D4051" s="27"/>
      <c r="E4051" s="29"/>
      <c r="F4051" s="29"/>
      <c r="G4051" s="29"/>
      <c r="H4051" s="30" t="str">
        <f t="shared" si="441"/>
        <v/>
      </c>
      <c r="I4051" s="31" t="str">
        <f>IF(OR(B4051="",C4051=""),"",IFERROR(E4051*IF(E4051="",0,VLOOKUP(C4051,'📦 Precios Proforma'!$B$5:$D$104,IF(D4051="DIA",2,3),FALSE)),0))</f>
        <v/>
      </c>
      <c r="J4051" s="31" t="str">
        <f t="shared" si="442"/>
        <v/>
      </c>
      <c r="K4051" s="31" t="str">
        <f t="shared" si="443"/>
        <v/>
      </c>
      <c r="L4051" s="31" t="str">
        <f>IF(OR(B4051="",C4051=""),"",IFERROR(E4051 / SUMIFS('📅 Resumen Diario'!$D$5:$D$504, '📅 Resumen Diario'!$B$5:$B$504, B4051, '📅 Resumen Diario'!$C$5:$C$504, D4051) * SUMIFS('📅 Resumen Diario'!$K$5:$K$504, '📅 Resumen Diario'!$B$5:$B$504, B4051, '📅 Resumen Diario'!$C$5:$C$504, D4051), 0))</f>
        <v/>
      </c>
      <c r="M4051" s="31" t="str">
        <f t="shared" si="444"/>
        <v/>
      </c>
      <c r="N4051" s="31" t="str">
        <f t="shared" si="445"/>
        <v/>
      </c>
      <c r="O4051" s="31" t="str">
        <f>IF(OR(B4051="",C4051=""),"",K4051-N4051 + IFERROR(E4051 / SUMIFS('📅 Resumen Diario'!$D$5:$D$504, '📅 Resumen Diario'!$B$5:$B$504, B4051, '📅 Resumen Diario'!$C$5:$C$504, D4051) * (SUMIFS('📋 Detalle Diario'!$E$5:$E$489, '📋 Detalle Diario'!$B$5:$B$489, B4051, '📋 Detalle Diario'!$C$5:$C$489, D4051) * 135 + SUMIFS('📋 Detalle Diario'!$I$5:$I$489, '📋 Detalle Diario'!$B$5:$B$489, B4051, '📋 Detalle Diario'!$C$5:$C$489, D4051) * 200), 0))</f>
        <v/>
      </c>
      <c r="P4051" s="32" t="str">
        <f t="shared" si="446"/>
        <v/>
      </c>
      <c r="Q4051" s="33" t="str">
        <f t="shared" si="447"/>
        <v/>
      </c>
    </row>
    <row r="4052" spans="2:17" ht="18" customHeight="1" x14ac:dyDescent="0.3">
      <c r="B4052" s="26"/>
      <c r="C4052" s="17"/>
      <c r="D4052" s="27"/>
      <c r="E4052" s="18"/>
      <c r="F4052" s="18"/>
      <c r="G4052" s="18"/>
      <c r="H4052" s="30" t="str">
        <f t="shared" si="441"/>
        <v/>
      </c>
      <c r="I4052" s="31" t="str">
        <f>IF(OR(B4052="",C4052=""),"",IFERROR(E4052*IF(E4052="",0,VLOOKUP(C4052,'📦 Precios Proforma'!$B$5:$D$104,IF(D4052="DIA",2,3),FALSE)),0))</f>
        <v/>
      </c>
      <c r="J4052" s="31" t="str">
        <f t="shared" si="442"/>
        <v/>
      </c>
      <c r="K4052" s="31" t="str">
        <f t="shared" si="443"/>
        <v/>
      </c>
      <c r="L4052" s="31" t="str">
        <f>IF(OR(B4052="",C4052=""),"",IFERROR(E4052 / SUMIFS('📅 Resumen Diario'!$D$5:$D$504, '📅 Resumen Diario'!$B$5:$B$504, B4052, '📅 Resumen Diario'!$C$5:$C$504, D4052) * SUMIFS('📅 Resumen Diario'!$K$5:$K$504, '📅 Resumen Diario'!$B$5:$B$504, B4052, '📅 Resumen Diario'!$C$5:$C$504, D4052), 0))</f>
        <v/>
      </c>
      <c r="M4052" s="31" t="str">
        <f t="shared" si="444"/>
        <v/>
      </c>
      <c r="N4052" s="31" t="str">
        <f t="shared" si="445"/>
        <v/>
      </c>
      <c r="O4052" s="31" t="str">
        <f>IF(OR(B4052="",C4052=""),"",K4052-N4052 + IFERROR(E4052 / SUMIFS('📅 Resumen Diario'!$D$5:$D$504, '📅 Resumen Diario'!$B$5:$B$504, B4052, '📅 Resumen Diario'!$C$5:$C$504, D4052) * (SUMIFS('📋 Detalle Diario'!$E$5:$E$489, '📋 Detalle Diario'!$B$5:$B$489, B4052, '📋 Detalle Diario'!$C$5:$C$489, D4052) * 135 + SUMIFS('📋 Detalle Diario'!$I$5:$I$489, '📋 Detalle Diario'!$B$5:$B$489, B4052, '📋 Detalle Diario'!$C$5:$C$489, D4052) * 200), 0))</f>
        <v/>
      </c>
      <c r="P4052" s="32" t="str">
        <f t="shared" si="446"/>
        <v/>
      </c>
      <c r="Q4052" s="33" t="str">
        <f t="shared" si="447"/>
        <v/>
      </c>
    </row>
    <row r="4053" spans="2:17" ht="18" customHeight="1" x14ac:dyDescent="0.3">
      <c r="B4053" s="26"/>
      <c r="C4053" s="28"/>
      <c r="D4053" s="27"/>
      <c r="E4053" s="29"/>
      <c r="F4053" s="29"/>
      <c r="G4053" s="29"/>
      <c r="H4053" s="30" t="str">
        <f t="shared" si="441"/>
        <v/>
      </c>
      <c r="I4053" s="31" t="str">
        <f>IF(OR(B4053="",C4053=""),"",IFERROR(E4053*IF(E4053="",0,VLOOKUP(C4053,'📦 Precios Proforma'!$B$5:$D$104,IF(D4053="DIA",2,3),FALSE)),0))</f>
        <v/>
      </c>
      <c r="J4053" s="31" t="str">
        <f t="shared" si="442"/>
        <v/>
      </c>
      <c r="K4053" s="31" t="str">
        <f t="shared" si="443"/>
        <v/>
      </c>
      <c r="L4053" s="31" t="str">
        <f>IF(OR(B4053="",C4053=""),"",IFERROR(E4053 / SUMIFS('📅 Resumen Diario'!$D$5:$D$504, '📅 Resumen Diario'!$B$5:$B$504, B4053, '📅 Resumen Diario'!$C$5:$C$504, D4053) * SUMIFS('📅 Resumen Diario'!$K$5:$K$504, '📅 Resumen Diario'!$B$5:$B$504, B4053, '📅 Resumen Diario'!$C$5:$C$504, D4053), 0))</f>
        <v/>
      </c>
      <c r="M4053" s="31" t="str">
        <f t="shared" si="444"/>
        <v/>
      </c>
      <c r="N4053" s="31" t="str">
        <f t="shared" si="445"/>
        <v/>
      </c>
      <c r="O4053" s="31" t="str">
        <f>IF(OR(B4053="",C4053=""),"",K4053-N4053 + IFERROR(E4053 / SUMIFS('📅 Resumen Diario'!$D$5:$D$504, '📅 Resumen Diario'!$B$5:$B$504, B4053, '📅 Resumen Diario'!$C$5:$C$504, D4053) * (SUMIFS('📋 Detalle Diario'!$E$5:$E$489, '📋 Detalle Diario'!$B$5:$B$489, B4053, '📋 Detalle Diario'!$C$5:$C$489, D4053) * 135 + SUMIFS('📋 Detalle Diario'!$I$5:$I$489, '📋 Detalle Diario'!$B$5:$B$489, B4053, '📋 Detalle Diario'!$C$5:$C$489, D4053) * 200), 0))</f>
        <v/>
      </c>
      <c r="P4053" s="32" t="str">
        <f t="shared" si="446"/>
        <v/>
      </c>
      <c r="Q4053" s="33" t="str">
        <f t="shared" si="447"/>
        <v/>
      </c>
    </row>
    <row r="4054" spans="2:17" ht="18" customHeight="1" x14ac:dyDescent="0.3">
      <c r="B4054" s="26"/>
      <c r="C4054" s="17"/>
      <c r="D4054" s="27"/>
      <c r="E4054" s="18"/>
      <c r="F4054" s="18"/>
      <c r="G4054" s="18"/>
      <c r="H4054" s="30" t="str">
        <f t="shared" si="441"/>
        <v/>
      </c>
      <c r="I4054" s="31" t="str">
        <f>IF(OR(B4054="",C4054=""),"",IFERROR(E4054*IF(E4054="",0,VLOOKUP(C4054,'📦 Precios Proforma'!$B$5:$D$104,IF(D4054="DIA",2,3),FALSE)),0))</f>
        <v/>
      </c>
      <c r="J4054" s="31" t="str">
        <f t="shared" si="442"/>
        <v/>
      </c>
      <c r="K4054" s="31" t="str">
        <f t="shared" si="443"/>
        <v/>
      </c>
      <c r="L4054" s="31" t="str">
        <f>IF(OR(B4054="",C4054=""),"",IFERROR(E4054 / SUMIFS('📅 Resumen Diario'!$D$5:$D$504, '📅 Resumen Diario'!$B$5:$B$504, B4054, '📅 Resumen Diario'!$C$5:$C$504, D4054) * SUMIFS('📅 Resumen Diario'!$K$5:$K$504, '📅 Resumen Diario'!$B$5:$B$504, B4054, '📅 Resumen Diario'!$C$5:$C$504, D4054), 0))</f>
        <v/>
      </c>
      <c r="M4054" s="31" t="str">
        <f t="shared" si="444"/>
        <v/>
      </c>
      <c r="N4054" s="31" t="str">
        <f t="shared" si="445"/>
        <v/>
      </c>
      <c r="O4054" s="31" t="str">
        <f>IF(OR(B4054="",C4054=""),"",K4054-N4054 + IFERROR(E4054 / SUMIFS('📅 Resumen Diario'!$D$5:$D$504, '📅 Resumen Diario'!$B$5:$B$504, B4054, '📅 Resumen Diario'!$C$5:$C$504, D4054) * (SUMIFS('📋 Detalle Diario'!$E$5:$E$489, '📋 Detalle Diario'!$B$5:$B$489, B4054, '📋 Detalle Diario'!$C$5:$C$489, D4054) * 135 + SUMIFS('📋 Detalle Diario'!$I$5:$I$489, '📋 Detalle Diario'!$B$5:$B$489, B4054, '📋 Detalle Diario'!$C$5:$C$489, D4054) * 200), 0))</f>
        <v/>
      </c>
      <c r="P4054" s="32" t="str">
        <f t="shared" si="446"/>
        <v/>
      </c>
      <c r="Q4054" s="33" t="str">
        <f t="shared" si="447"/>
        <v/>
      </c>
    </row>
    <row r="4055" spans="2:17" ht="18" customHeight="1" x14ac:dyDescent="0.3">
      <c r="B4055" s="26"/>
      <c r="C4055" s="28"/>
      <c r="D4055" s="27"/>
      <c r="E4055" s="29"/>
      <c r="F4055" s="29"/>
      <c r="G4055" s="29"/>
      <c r="H4055" s="30" t="str">
        <f t="shared" si="441"/>
        <v/>
      </c>
      <c r="I4055" s="31" t="str">
        <f>IF(OR(B4055="",C4055=""),"",IFERROR(E4055*IF(E4055="",0,VLOOKUP(C4055,'📦 Precios Proforma'!$B$5:$D$104,IF(D4055="DIA",2,3),FALSE)),0))</f>
        <v/>
      </c>
      <c r="J4055" s="31" t="str">
        <f t="shared" si="442"/>
        <v/>
      </c>
      <c r="K4055" s="31" t="str">
        <f t="shared" si="443"/>
        <v/>
      </c>
      <c r="L4055" s="31" t="str">
        <f>IF(OR(B4055="",C4055=""),"",IFERROR(E4055 / SUMIFS('📅 Resumen Diario'!$D$5:$D$504, '📅 Resumen Diario'!$B$5:$B$504, B4055, '📅 Resumen Diario'!$C$5:$C$504, D4055) * SUMIFS('📅 Resumen Diario'!$K$5:$K$504, '📅 Resumen Diario'!$B$5:$B$504, B4055, '📅 Resumen Diario'!$C$5:$C$504, D4055), 0))</f>
        <v/>
      </c>
      <c r="M4055" s="31" t="str">
        <f t="shared" si="444"/>
        <v/>
      </c>
      <c r="N4055" s="31" t="str">
        <f t="shared" si="445"/>
        <v/>
      </c>
      <c r="O4055" s="31" t="str">
        <f>IF(OR(B4055="",C4055=""),"",K4055-N4055 + IFERROR(E4055 / SUMIFS('📅 Resumen Diario'!$D$5:$D$504, '📅 Resumen Diario'!$B$5:$B$504, B4055, '📅 Resumen Diario'!$C$5:$C$504, D4055) * (SUMIFS('📋 Detalle Diario'!$E$5:$E$489, '📋 Detalle Diario'!$B$5:$B$489, B4055, '📋 Detalle Diario'!$C$5:$C$489, D4055) * 135 + SUMIFS('📋 Detalle Diario'!$I$5:$I$489, '📋 Detalle Diario'!$B$5:$B$489, B4055, '📋 Detalle Diario'!$C$5:$C$489, D4055) * 200), 0))</f>
        <v/>
      </c>
      <c r="P4055" s="32" t="str">
        <f t="shared" si="446"/>
        <v/>
      </c>
      <c r="Q4055" s="33" t="str">
        <f t="shared" si="447"/>
        <v/>
      </c>
    </row>
    <row r="4056" spans="2:17" ht="18" customHeight="1" x14ac:dyDescent="0.3">
      <c r="B4056" s="26"/>
      <c r="C4056" s="17"/>
      <c r="D4056" s="27"/>
      <c r="E4056" s="18"/>
      <c r="F4056" s="18"/>
      <c r="G4056" s="18"/>
      <c r="H4056" s="30" t="str">
        <f t="shared" si="441"/>
        <v/>
      </c>
      <c r="I4056" s="31" t="str">
        <f>IF(OR(B4056="",C4056=""),"",IFERROR(E4056*IF(E4056="",0,VLOOKUP(C4056,'📦 Precios Proforma'!$B$5:$D$104,IF(D4056="DIA",2,3),FALSE)),0))</f>
        <v/>
      </c>
      <c r="J4056" s="31" t="str">
        <f t="shared" si="442"/>
        <v/>
      </c>
      <c r="K4056" s="31" t="str">
        <f t="shared" si="443"/>
        <v/>
      </c>
      <c r="L4056" s="31" t="str">
        <f>IF(OR(B4056="",C4056=""),"",IFERROR(E4056 / SUMIFS('📅 Resumen Diario'!$D$5:$D$504, '📅 Resumen Diario'!$B$5:$B$504, B4056, '📅 Resumen Diario'!$C$5:$C$504, D4056) * SUMIFS('📅 Resumen Diario'!$K$5:$K$504, '📅 Resumen Diario'!$B$5:$B$504, B4056, '📅 Resumen Diario'!$C$5:$C$504, D4056), 0))</f>
        <v/>
      </c>
      <c r="M4056" s="31" t="str">
        <f t="shared" si="444"/>
        <v/>
      </c>
      <c r="N4056" s="31" t="str">
        <f t="shared" si="445"/>
        <v/>
      </c>
      <c r="O4056" s="31" t="str">
        <f>IF(OR(B4056="",C4056=""),"",K4056-N4056 + IFERROR(E4056 / SUMIFS('📅 Resumen Diario'!$D$5:$D$504, '📅 Resumen Diario'!$B$5:$B$504, B4056, '📅 Resumen Diario'!$C$5:$C$504, D4056) * (SUMIFS('📋 Detalle Diario'!$E$5:$E$489, '📋 Detalle Diario'!$B$5:$B$489, B4056, '📋 Detalle Diario'!$C$5:$C$489, D4056) * 135 + SUMIFS('📋 Detalle Diario'!$I$5:$I$489, '📋 Detalle Diario'!$B$5:$B$489, B4056, '📋 Detalle Diario'!$C$5:$C$489, D4056) * 200), 0))</f>
        <v/>
      </c>
      <c r="P4056" s="32" t="str">
        <f t="shared" si="446"/>
        <v/>
      </c>
      <c r="Q4056" s="33" t="str">
        <f t="shared" si="447"/>
        <v/>
      </c>
    </row>
    <row r="4057" spans="2:17" ht="18" customHeight="1" x14ac:dyDescent="0.3">
      <c r="B4057" s="26"/>
      <c r="C4057" s="28"/>
      <c r="D4057" s="27"/>
      <c r="E4057" s="29"/>
      <c r="F4057" s="29"/>
      <c r="G4057" s="29"/>
      <c r="H4057" s="30" t="str">
        <f t="shared" si="441"/>
        <v/>
      </c>
      <c r="I4057" s="31" t="str">
        <f>IF(OR(B4057="",C4057=""),"",IFERROR(E4057*IF(E4057="",0,VLOOKUP(C4057,'📦 Precios Proforma'!$B$5:$D$104,IF(D4057="DIA",2,3),FALSE)),0))</f>
        <v/>
      </c>
      <c r="J4057" s="31" t="str">
        <f t="shared" si="442"/>
        <v/>
      </c>
      <c r="K4057" s="31" t="str">
        <f t="shared" si="443"/>
        <v/>
      </c>
      <c r="L4057" s="31" t="str">
        <f>IF(OR(B4057="",C4057=""),"",IFERROR(E4057 / SUMIFS('📅 Resumen Diario'!$D$5:$D$504, '📅 Resumen Diario'!$B$5:$B$504, B4057, '📅 Resumen Diario'!$C$5:$C$504, D4057) * SUMIFS('📅 Resumen Diario'!$K$5:$K$504, '📅 Resumen Diario'!$B$5:$B$504, B4057, '📅 Resumen Diario'!$C$5:$C$504, D4057), 0))</f>
        <v/>
      </c>
      <c r="M4057" s="31" t="str">
        <f t="shared" si="444"/>
        <v/>
      </c>
      <c r="N4057" s="31" t="str">
        <f t="shared" si="445"/>
        <v/>
      </c>
      <c r="O4057" s="31" t="str">
        <f>IF(OR(B4057="",C4057=""),"",K4057-N4057 + IFERROR(E4057 / SUMIFS('📅 Resumen Diario'!$D$5:$D$504, '📅 Resumen Diario'!$B$5:$B$504, B4057, '📅 Resumen Diario'!$C$5:$C$504, D4057) * (SUMIFS('📋 Detalle Diario'!$E$5:$E$489, '📋 Detalle Diario'!$B$5:$B$489, B4057, '📋 Detalle Diario'!$C$5:$C$489, D4057) * 135 + SUMIFS('📋 Detalle Diario'!$I$5:$I$489, '📋 Detalle Diario'!$B$5:$B$489, B4057, '📋 Detalle Diario'!$C$5:$C$489, D4057) * 200), 0))</f>
        <v/>
      </c>
      <c r="P4057" s="32" t="str">
        <f t="shared" si="446"/>
        <v/>
      </c>
      <c r="Q4057" s="33" t="str">
        <f t="shared" si="447"/>
        <v/>
      </c>
    </row>
    <row r="4058" spans="2:17" ht="18" customHeight="1" x14ac:dyDescent="0.3">
      <c r="B4058" s="26"/>
      <c r="C4058" s="17"/>
      <c r="D4058" s="27"/>
      <c r="E4058" s="18"/>
      <c r="F4058" s="18"/>
      <c r="G4058" s="18"/>
      <c r="H4058" s="30" t="str">
        <f t="shared" si="441"/>
        <v/>
      </c>
      <c r="I4058" s="31" t="str">
        <f>IF(OR(B4058="",C4058=""),"",IFERROR(E4058*IF(E4058="",0,VLOOKUP(C4058,'📦 Precios Proforma'!$B$5:$D$104,IF(D4058="DIA",2,3),FALSE)),0))</f>
        <v/>
      </c>
      <c r="J4058" s="31" t="str">
        <f t="shared" si="442"/>
        <v/>
      </c>
      <c r="K4058" s="31" t="str">
        <f t="shared" si="443"/>
        <v/>
      </c>
      <c r="L4058" s="31" t="str">
        <f>IF(OR(B4058="",C4058=""),"",IFERROR(E4058 / SUMIFS('📅 Resumen Diario'!$D$5:$D$504, '📅 Resumen Diario'!$B$5:$B$504, B4058, '📅 Resumen Diario'!$C$5:$C$504, D4058) * SUMIFS('📅 Resumen Diario'!$K$5:$K$504, '📅 Resumen Diario'!$B$5:$B$504, B4058, '📅 Resumen Diario'!$C$5:$C$504, D4058), 0))</f>
        <v/>
      </c>
      <c r="M4058" s="31" t="str">
        <f t="shared" si="444"/>
        <v/>
      </c>
      <c r="N4058" s="31" t="str">
        <f t="shared" si="445"/>
        <v/>
      </c>
      <c r="O4058" s="31" t="str">
        <f>IF(OR(B4058="",C4058=""),"",K4058-N4058 + IFERROR(E4058 / SUMIFS('📅 Resumen Diario'!$D$5:$D$504, '📅 Resumen Diario'!$B$5:$B$504, B4058, '📅 Resumen Diario'!$C$5:$C$504, D4058) * (SUMIFS('📋 Detalle Diario'!$E$5:$E$489, '📋 Detalle Diario'!$B$5:$B$489, B4058, '📋 Detalle Diario'!$C$5:$C$489, D4058) * 135 + SUMIFS('📋 Detalle Diario'!$I$5:$I$489, '📋 Detalle Diario'!$B$5:$B$489, B4058, '📋 Detalle Diario'!$C$5:$C$489, D4058) * 200), 0))</f>
        <v/>
      </c>
      <c r="P4058" s="32" t="str">
        <f t="shared" si="446"/>
        <v/>
      </c>
      <c r="Q4058" s="33" t="str">
        <f t="shared" si="447"/>
        <v/>
      </c>
    </row>
    <row r="4059" spans="2:17" ht="18" customHeight="1" x14ac:dyDescent="0.3">
      <c r="B4059" s="26"/>
      <c r="C4059" s="28"/>
      <c r="D4059" s="27"/>
      <c r="E4059" s="29"/>
      <c r="F4059" s="29"/>
      <c r="G4059" s="29"/>
      <c r="H4059" s="30" t="str">
        <f t="shared" si="441"/>
        <v/>
      </c>
      <c r="I4059" s="31" t="str">
        <f>IF(OR(B4059="",C4059=""),"",IFERROR(E4059*IF(E4059="",0,VLOOKUP(C4059,'📦 Precios Proforma'!$B$5:$D$104,IF(D4059="DIA",2,3),FALSE)),0))</f>
        <v/>
      </c>
      <c r="J4059" s="31" t="str">
        <f t="shared" si="442"/>
        <v/>
      </c>
      <c r="K4059" s="31" t="str">
        <f t="shared" si="443"/>
        <v/>
      </c>
      <c r="L4059" s="31" t="str">
        <f>IF(OR(B4059="",C4059=""),"",IFERROR(E4059 / SUMIFS('📅 Resumen Diario'!$D$5:$D$504, '📅 Resumen Diario'!$B$5:$B$504, B4059, '📅 Resumen Diario'!$C$5:$C$504, D4059) * SUMIFS('📅 Resumen Diario'!$K$5:$K$504, '📅 Resumen Diario'!$B$5:$B$504, B4059, '📅 Resumen Diario'!$C$5:$C$504, D4059), 0))</f>
        <v/>
      </c>
      <c r="M4059" s="31" t="str">
        <f t="shared" si="444"/>
        <v/>
      </c>
      <c r="N4059" s="31" t="str">
        <f t="shared" si="445"/>
        <v/>
      </c>
      <c r="O4059" s="31" t="str">
        <f>IF(OR(B4059="",C4059=""),"",K4059-N4059 + IFERROR(E4059 / SUMIFS('📅 Resumen Diario'!$D$5:$D$504, '📅 Resumen Diario'!$B$5:$B$504, B4059, '📅 Resumen Diario'!$C$5:$C$504, D4059) * (SUMIFS('📋 Detalle Diario'!$E$5:$E$489, '📋 Detalle Diario'!$B$5:$B$489, B4059, '📋 Detalle Diario'!$C$5:$C$489, D4059) * 135 + SUMIFS('📋 Detalle Diario'!$I$5:$I$489, '📋 Detalle Diario'!$B$5:$B$489, B4059, '📋 Detalle Diario'!$C$5:$C$489, D4059) * 200), 0))</f>
        <v/>
      </c>
      <c r="P4059" s="32" t="str">
        <f t="shared" si="446"/>
        <v/>
      </c>
      <c r="Q4059" s="33" t="str">
        <f t="shared" si="447"/>
        <v/>
      </c>
    </row>
    <row r="4060" spans="2:17" ht="18" customHeight="1" x14ac:dyDescent="0.3">
      <c r="B4060" s="26"/>
      <c r="C4060" s="17"/>
      <c r="D4060" s="27"/>
      <c r="E4060" s="18"/>
      <c r="F4060" s="18"/>
      <c r="G4060" s="18"/>
      <c r="H4060" s="30" t="str">
        <f t="shared" si="441"/>
        <v/>
      </c>
      <c r="I4060" s="31" t="str">
        <f>IF(OR(B4060="",C4060=""),"",IFERROR(E4060*IF(E4060="",0,VLOOKUP(C4060,'📦 Precios Proforma'!$B$5:$D$104,IF(D4060="DIA",2,3),FALSE)),0))</f>
        <v/>
      </c>
      <c r="J4060" s="31" t="str">
        <f t="shared" si="442"/>
        <v/>
      </c>
      <c r="K4060" s="31" t="str">
        <f t="shared" si="443"/>
        <v/>
      </c>
      <c r="L4060" s="31" t="str">
        <f>IF(OR(B4060="",C4060=""),"",IFERROR(E4060 / SUMIFS('📅 Resumen Diario'!$D$5:$D$504, '📅 Resumen Diario'!$B$5:$B$504, B4060, '📅 Resumen Diario'!$C$5:$C$504, D4060) * SUMIFS('📅 Resumen Diario'!$K$5:$K$504, '📅 Resumen Diario'!$B$5:$B$504, B4060, '📅 Resumen Diario'!$C$5:$C$504, D4060), 0))</f>
        <v/>
      </c>
      <c r="M4060" s="31" t="str">
        <f t="shared" si="444"/>
        <v/>
      </c>
      <c r="N4060" s="31" t="str">
        <f t="shared" si="445"/>
        <v/>
      </c>
      <c r="O4060" s="31" t="str">
        <f>IF(OR(B4060="",C4060=""),"",K4060-N4060 + IFERROR(E4060 / SUMIFS('📅 Resumen Diario'!$D$5:$D$504, '📅 Resumen Diario'!$B$5:$B$504, B4060, '📅 Resumen Diario'!$C$5:$C$504, D4060) * (SUMIFS('📋 Detalle Diario'!$E$5:$E$489, '📋 Detalle Diario'!$B$5:$B$489, B4060, '📋 Detalle Diario'!$C$5:$C$489, D4060) * 135 + SUMIFS('📋 Detalle Diario'!$I$5:$I$489, '📋 Detalle Diario'!$B$5:$B$489, B4060, '📋 Detalle Diario'!$C$5:$C$489, D4060) * 200), 0))</f>
        <v/>
      </c>
      <c r="P4060" s="32" t="str">
        <f t="shared" si="446"/>
        <v/>
      </c>
      <c r="Q4060" s="33" t="str">
        <f t="shared" si="447"/>
        <v/>
      </c>
    </row>
    <row r="4061" spans="2:17" ht="18" customHeight="1" x14ac:dyDescent="0.3">
      <c r="B4061" s="26"/>
      <c r="C4061" s="28"/>
      <c r="D4061" s="27"/>
      <c r="E4061" s="29"/>
      <c r="F4061" s="29"/>
      <c r="G4061" s="29"/>
      <c r="H4061" s="30" t="str">
        <f t="shared" si="441"/>
        <v/>
      </c>
      <c r="I4061" s="31" t="str">
        <f>IF(OR(B4061="",C4061=""),"",IFERROR(E4061*IF(E4061="",0,VLOOKUP(C4061,'📦 Precios Proforma'!$B$5:$D$104,IF(D4061="DIA",2,3),FALSE)),0))</f>
        <v/>
      </c>
      <c r="J4061" s="31" t="str">
        <f t="shared" si="442"/>
        <v/>
      </c>
      <c r="K4061" s="31" t="str">
        <f t="shared" si="443"/>
        <v/>
      </c>
      <c r="L4061" s="31" t="str">
        <f>IF(OR(B4061="",C4061=""),"",IFERROR(E4061 / SUMIFS('📅 Resumen Diario'!$D$5:$D$504, '📅 Resumen Diario'!$B$5:$B$504, B4061, '📅 Resumen Diario'!$C$5:$C$504, D4061) * SUMIFS('📅 Resumen Diario'!$K$5:$K$504, '📅 Resumen Diario'!$B$5:$B$504, B4061, '📅 Resumen Diario'!$C$5:$C$504, D4061), 0))</f>
        <v/>
      </c>
      <c r="M4061" s="31" t="str">
        <f t="shared" si="444"/>
        <v/>
      </c>
      <c r="N4061" s="31" t="str">
        <f t="shared" si="445"/>
        <v/>
      </c>
      <c r="O4061" s="31" t="str">
        <f>IF(OR(B4061="",C4061=""),"",K4061-N4061 + IFERROR(E4061 / SUMIFS('📅 Resumen Diario'!$D$5:$D$504, '📅 Resumen Diario'!$B$5:$B$504, B4061, '📅 Resumen Diario'!$C$5:$C$504, D4061) * (SUMIFS('📋 Detalle Diario'!$E$5:$E$489, '📋 Detalle Diario'!$B$5:$B$489, B4061, '📋 Detalle Diario'!$C$5:$C$489, D4061) * 135 + SUMIFS('📋 Detalle Diario'!$I$5:$I$489, '📋 Detalle Diario'!$B$5:$B$489, B4061, '📋 Detalle Diario'!$C$5:$C$489, D4061) * 200), 0))</f>
        <v/>
      </c>
      <c r="P4061" s="32" t="str">
        <f t="shared" si="446"/>
        <v/>
      </c>
      <c r="Q4061" s="33" t="str">
        <f t="shared" si="447"/>
        <v/>
      </c>
    </row>
    <row r="4062" spans="2:17" ht="18" customHeight="1" x14ac:dyDescent="0.3">
      <c r="B4062" s="26"/>
      <c r="C4062" s="17"/>
      <c r="D4062" s="27"/>
      <c r="E4062" s="18"/>
      <c r="F4062" s="18"/>
      <c r="G4062" s="18"/>
      <c r="H4062" s="30" t="str">
        <f t="shared" si="441"/>
        <v/>
      </c>
      <c r="I4062" s="31" t="str">
        <f>IF(OR(B4062="",C4062=""),"",IFERROR(E4062*IF(E4062="",0,VLOOKUP(C4062,'📦 Precios Proforma'!$B$5:$D$104,IF(D4062="DIA",2,3),FALSE)),0))</f>
        <v/>
      </c>
      <c r="J4062" s="31" t="str">
        <f t="shared" si="442"/>
        <v/>
      </c>
      <c r="K4062" s="31" t="str">
        <f t="shared" si="443"/>
        <v/>
      </c>
      <c r="L4062" s="31" t="str">
        <f>IF(OR(B4062="",C4062=""),"",IFERROR(E4062 / SUMIFS('📅 Resumen Diario'!$D$5:$D$504, '📅 Resumen Diario'!$B$5:$B$504, B4062, '📅 Resumen Diario'!$C$5:$C$504, D4062) * SUMIFS('📅 Resumen Diario'!$K$5:$K$504, '📅 Resumen Diario'!$B$5:$B$504, B4062, '📅 Resumen Diario'!$C$5:$C$504, D4062), 0))</f>
        <v/>
      </c>
      <c r="M4062" s="31" t="str">
        <f t="shared" si="444"/>
        <v/>
      </c>
      <c r="N4062" s="31" t="str">
        <f t="shared" si="445"/>
        <v/>
      </c>
      <c r="O4062" s="31" t="str">
        <f>IF(OR(B4062="",C4062=""),"",K4062-N4062 + IFERROR(E4062 / SUMIFS('📅 Resumen Diario'!$D$5:$D$504, '📅 Resumen Diario'!$B$5:$B$504, B4062, '📅 Resumen Diario'!$C$5:$C$504, D4062) * (SUMIFS('📋 Detalle Diario'!$E$5:$E$489, '📋 Detalle Diario'!$B$5:$B$489, B4062, '📋 Detalle Diario'!$C$5:$C$489, D4062) * 135 + SUMIFS('📋 Detalle Diario'!$I$5:$I$489, '📋 Detalle Diario'!$B$5:$B$489, B4062, '📋 Detalle Diario'!$C$5:$C$489, D4062) * 200), 0))</f>
        <v/>
      </c>
      <c r="P4062" s="32" t="str">
        <f t="shared" si="446"/>
        <v/>
      </c>
      <c r="Q4062" s="33" t="str">
        <f t="shared" si="447"/>
        <v/>
      </c>
    </row>
    <row r="4063" spans="2:17" ht="18" customHeight="1" x14ac:dyDescent="0.3">
      <c r="B4063" s="26"/>
      <c r="C4063" s="28"/>
      <c r="D4063" s="27"/>
      <c r="E4063" s="29"/>
      <c r="F4063" s="29"/>
      <c r="G4063" s="29"/>
      <c r="H4063" s="30" t="str">
        <f t="shared" si="441"/>
        <v/>
      </c>
      <c r="I4063" s="31" t="str">
        <f>IF(OR(B4063="",C4063=""),"",IFERROR(E4063*IF(E4063="",0,VLOOKUP(C4063,'📦 Precios Proforma'!$B$5:$D$104,IF(D4063="DIA",2,3),FALSE)),0))</f>
        <v/>
      </c>
      <c r="J4063" s="31" t="str">
        <f t="shared" si="442"/>
        <v/>
      </c>
      <c r="K4063" s="31" t="str">
        <f t="shared" si="443"/>
        <v/>
      </c>
      <c r="L4063" s="31" t="str">
        <f>IF(OR(B4063="",C4063=""),"",IFERROR(E4063 / SUMIFS('📅 Resumen Diario'!$D$5:$D$504, '📅 Resumen Diario'!$B$5:$B$504, B4063, '📅 Resumen Diario'!$C$5:$C$504, D4063) * SUMIFS('📅 Resumen Diario'!$K$5:$K$504, '📅 Resumen Diario'!$B$5:$B$504, B4063, '📅 Resumen Diario'!$C$5:$C$504, D4063), 0))</f>
        <v/>
      </c>
      <c r="M4063" s="31" t="str">
        <f t="shared" si="444"/>
        <v/>
      </c>
      <c r="N4063" s="31" t="str">
        <f t="shared" si="445"/>
        <v/>
      </c>
      <c r="O4063" s="31" t="str">
        <f>IF(OR(B4063="",C4063=""),"",K4063-N4063 + IFERROR(E4063 / SUMIFS('📅 Resumen Diario'!$D$5:$D$504, '📅 Resumen Diario'!$B$5:$B$504, B4063, '📅 Resumen Diario'!$C$5:$C$504, D4063) * (SUMIFS('📋 Detalle Diario'!$E$5:$E$489, '📋 Detalle Diario'!$B$5:$B$489, B4063, '📋 Detalle Diario'!$C$5:$C$489, D4063) * 135 + SUMIFS('📋 Detalle Diario'!$I$5:$I$489, '📋 Detalle Diario'!$B$5:$B$489, B4063, '📋 Detalle Diario'!$C$5:$C$489, D4063) * 200), 0))</f>
        <v/>
      </c>
      <c r="P4063" s="32" t="str">
        <f t="shared" si="446"/>
        <v/>
      </c>
      <c r="Q4063" s="33" t="str">
        <f t="shared" si="447"/>
        <v/>
      </c>
    </row>
    <row r="4064" spans="2:17" ht="18" customHeight="1" x14ac:dyDescent="0.3">
      <c r="B4064" s="26"/>
      <c r="C4064" s="17"/>
      <c r="D4064" s="27"/>
      <c r="E4064" s="18"/>
      <c r="F4064" s="18"/>
      <c r="G4064" s="18"/>
      <c r="H4064" s="30" t="str">
        <f t="shared" si="441"/>
        <v/>
      </c>
      <c r="I4064" s="31" t="str">
        <f>IF(OR(B4064="",C4064=""),"",IFERROR(E4064*IF(E4064="",0,VLOOKUP(C4064,'📦 Precios Proforma'!$B$5:$D$104,IF(D4064="DIA",2,3),FALSE)),0))</f>
        <v/>
      </c>
      <c r="J4064" s="31" t="str">
        <f t="shared" si="442"/>
        <v/>
      </c>
      <c r="K4064" s="31" t="str">
        <f t="shared" si="443"/>
        <v/>
      </c>
      <c r="L4064" s="31" t="str">
        <f>IF(OR(B4064="",C4064=""),"",IFERROR(E4064 / SUMIFS('📅 Resumen Diario'!$D$5:$D$504, '📅 Resumen Diario'!$B$5:$B$504, B4064, '📅 Resumen Diario'!$C$5:$C$504, D4064) * SUMIFS('📅 Resumen Diario'!$K$5:$K$504, '📅 Resumen Diario'!$B$5:$B$504, B4064, '📅 Resumen Diario'!$C$5:$C$504, D4064), 0))</f>
        <v/>
      </c>
      <c r="M4064" s="31" t="str">
        <f t="shared" si="444"/>
        <v/>
      </c>
      <c r="N4064" s="31" t="str">
        <f t="shared" si="445"/>
        <v/>
      </c>
      <c r="O4064" s="31" t="str">
        <f>IF(OR(B4064="",C4064=""),"",K4064-N4064 + IFERROR(E4064 / SUMIFS('📅 Resumen Diario'!$D$5:$D$504, '📅 Resumen Diario'!$B$5:$B$504, B4064, '📅 Resumen Diario'!$C$5:$C$504, D4064) * (SUMIFS('📋 Detalle Diario'!$E$5:$E$489, '📋 Detalle Diario'!$B$5:$B$489, B4064, '📋 Detalle Diario'!$C$5:$C$489, D4064) * 135 + SUMIFS('📋 Detalle Diario'!$I$5:$I$489, '📋 Detalle Diario'!$B$5:$B$489, B4064, '📋 Detalle Diario'!$C$5:$C$489, D4064) * 200), 0))</f>
        <v/>
      </c>
      <c r="P4064" s="32" t="str">
        <f t="shared" si="446"/>
        <v/>
      </c>
      <c r="Q4064" s="33" t="str">
        <f t="shared" si="447"/>
        <v/>
      </c>
    </row>
    <row r="4065" spans="2:17" ht="18" customHeight="1" x14ac:dyDescent="0.3">
      <c r="B4065" s="26"/>
      <c r="C4065" s="28"/>
      <c r="D4065" s="27"/>
      <c r="E4065" s="29"/>
      <c r="F4065" s="29"/>
      <c r="G4065" s="29"/>
      <c r="H4065" s="30" t="str">
        <f t="shared" si="441"/>
        <v/>
      </c>
      <c r="I4065" s="31" t="str">
        <f>IF(OR(B4065="",C4065=""),"",IFERROR(E4065*IF(E4065="",0,VLOOKUP(C4065,'📦 Precios Proforma'!$B$5:$D$104,IF(D4065="DIA",2,3),FALSE)),0))</f>
        <v/>
      </c>
      <c r="J4065" s="31" t="str">
        <f t="shared" si="442"/>
        <v/>
      </c>
      <c r="K4065" s="31" t="str">
        <f t="shared" si="443"/>
        <v/>
      </c>
      <c r="L4065" s="31" t="str">
        <f>IF(OR(B4065="",C4065=""),"",IFERROR(E4065 / SUMIFS('📅 Resumen Diario'!$D$5:$D$504, '📅 Resumen Diario'!$B$5:$B$504, B4065, '📅 Resumen Diario'!$C$5:$C$504, D4065) * SUMIFS('📅 Resumen Diario'!$K$5:$K$504, '📅 Resumen Diario'!$B$5:$B$504, B4065, '📅 Resumen Diario'!$C$5:$C$504, D4065), 0))</f>
        <v/>
      </c>
      <c r="M4065" s="31" t="str">
        <f t="shared" si="444"/>
        <v/>
      </c>
      <c r="N4065" s="31" t="str">
        <f t="shared" si="445"/>
        <v/>
      </c>
      <c r="O4065" s="31" t="str">
        <f>IF(OR(B4065="",C4065=""),"",K4065-N4065 + IFERROR(E4065 / SUMIFS('📅 Resumen Diario'!$D$5:$D$504, '📅 Resumen Diario'!$B$5:$B$504, B4065, '📅 Resumen Diario'!$C$5:$C$504, D4065) * (SUMIFS('📋 Detalle Diario'!$E$5:$E$489, '📋 Detalle Diario'!$B$5:$B$489, B4065, '📋 Detalle Diario'!$C$5:$C$489, D4065) * 135 + SUMIFS('📋 Detalle Diario'!$I$5:$I$489, '📋 Detalle Diario'!$B$5:$B$489, B4065, '📋 Detalle Diario'!$C$5:$C$489, D4065) * 200), 0))</f>
        <v/>
      </c>
      <c r="P4065" s="32" t="str">
        <f t="shared" si="446"/>
        <v/>
      </c>
      <c r="Q4065" s="33" t="str">
        <f t="shared" si="447"/>
        <v/>
      </c>
    </row>
    <row r="4066" spans="2:17" ht="18" customHeight="1" x14ac:dyDescent="0.3">
      <c r="B4066" s="26"/>
      <c r="C4066" s="17"/>
      <c r="D4066" s="27"/>
      <c r="E4066" s="18"/>
      <c r="F4066" s="18"/>
      <c r="G4066" s="18"/>
      <c r="H4066" s="30" t="str">
        <f t="shared" si="441"/>
        <v/>
      </c>
      <c r="I4066" s="31" t="str">
        <f>IF(OR(B4066="",C4066=""),"",IFERROR(E4066*IF(E4066="",0,VLOOKUP(C4066,'📦 Precios Proforma'!$B$5:$D$104,IF(D4066="DIA",2,3),FALSE)),0))</f>
        <v/>
      </c>
      <c r="J4066" s="31" t="str">
        <f t="shared" si="442"/>
        <v/>
      </c>
      <c r="K4066" s="31" t="str">
        <f t="shared" si="443"/>
        <v/>
      </c>
      <c r="L4066" s="31" t="str">
        <f>IF(OR(B4066="",C4066=""),"",IFERROR(E4066 / SUMIFS('📅 Resumen Diario'!$D$5:$D$504, '📅 Resumen Diario'!$B$5:$B$504, B4066, '📅 Resumen Diario'!$C$5:$C$504, D4066) * SUMIFS('📅 Resumen Diario'!$K$5:$K$504, '📅 Resumen Diario'!$B$5:$B$504, B4066, '📅 Resumen Diario'!$C$5:$C$504, D4066), 0))</f>
        <v/>
      </c>
      <c r="M4066" s="31" t="str">
        <f t="shared" si="444"/>
        <v/>
      </c>
      <c r="N4066" s="31" t="str">
        <f t="shared" si="445"/>
        <v/>
      </c>
      <c r="O4066" s="31" t="str">
        <f>IF(OR(B4066="",C4066=""),"",K4066-N4066 + IFERROR(E4066 / SUMIFS('📅 Resumen Diario'!$D$5:$D$504, '📅 Resumen Diario'!$B$5:$B$504, B4066, '📅 Resumen Diario'!$C$5:$C$504, D4066) * (SUMIFS('📋 Detalle Diario'!$E$5:$E$489, '📋 Detalle Diario'!$B$5:$B$489, B4066, '📋 Detalle Diario'!$C$5:$C$489, D4066) * 135 + SUMIFS('📋 Detalle Diario'!$I$5:$I$489, '📋 Detalle Diario'!$B$5:$B$489, B4066, '📋 Detalle Diario'!$C$5:$C$489, D4066) * 200), 0))</f>
        <v/>
      </c>
      <c r="P4066" s="32" t="str">
        <f t="shared" si="446"/>
        <v/>
      </c>
      <c r="Q4066" s="33" t="str">
        <f t="shared" si="447"/>
        <v/>
      </c>
    </row>
    <row r="4067" spans="2:17" ht="18" customHeight="1" x14ac:dyDescent="0.3">
      <c r="B4067" s="26"/>
      <c r="C4067" s="28"/>
      <c r="D4067" s="27"/>
      <c r="E4067" s="29"/>
      <c r="F4067" s="29"/>
      <c r="G4067" s="29"/>
      <c r="H4067" s="30" t="str">
        <f t="shared" si="441"/>
        <v/>
      </c>
      <c r="I4067" s="31" t="str">
        <f>IF(OR(B4067="",C4067=""),"",IFERROR(E4067*IF(E4067="",0,VLOOKUP(C4067,'📦 Precios Proforma'!$B$5:$D$104,IF(D4067="DIA",2,3),FALSE)),0))</f>
        <v/>
      </c>
      <c r="J4067" s="31" t="str">
        <f t="shared" si="442"/>
        <v/>
      </c>
      <c r="K4067" s="31" t="str">
        <f t="shared" si="443"/>
        <v/>
      </c>
      <c r="L4067" s="31" t="str">
        <f>IF(OR(B4067="",C4067=""),"",IFERROR(E4067 / SUMIFS('📅 Resumen Diario'!$D$5:$D$504, '📅 Resumen Diario'!$B$5:$B$504, B4067, '📅 Resumen Diario'!$C$5:$C$504, D4067) * SUMIFS('📅 Resumen Diario'!$K$5:$K$504, '📅 Resumen Diario'!$B$5:$B$504, B4067, '📅 Resumen Diario'!$C$5:$C$504, D4067), 0))</f>
        <v/>
      </c>
      <c r="M4067" s="31" t="str">
        <f t="shared" si="444"/>
        <v/>
      </c>
      <c r="N4067" s="31" t="str">
        <f t="shared" si="445"/>
        <v/>
      </c>
      <c r="O4067" s="31" t="str">
        <f>IF(OR(B4067="",C4067=""),"",K4067-N4067 + IFERROR(E4067 / SUMIFS('📅 Resumen Diario'!$D$5:$D$504, '📅 Resumen Diario'!$B$5:$B$504, B4067, '📅 Resumen Diario'!$C$5:$C$504, D4067) * (SUMIFS('📋 Detalle Diario'!$E$5:$E$489, '📋 Detalle Diario'!$B$5:$B$489, B4067, '📋 Detalle Diario'!$C$5:$C$489, D4067) * 135 + SUMIFS('📋 Detalle Diario'!$I$5:$I$489, '📋 Detalle Diario'!$B$5:$B$489, B4067, '📋 Detalle Diario'!$C$5:$C$489, D4067) * 200), 0))</f>
        <v/>
      </c>
      <c r="P4067" s="32" t="str">
        <f t="shared" si="446"/>
        <v/>
      </c>
      <c r="Q4067" s="33" t="str">
        <f t="shared" si="447"/>
        <v/>
      </c>
    </row>
    <row r="4068" spans="2:17" ht="18" customHeight="1" x14ac:dyDescent="0.3">
      <c r="B4068" s="26"/>
      <c r="C4068" s="17"/>
      <c r="D4068" s="27"/>
      <c r="E4068" s="18"/>
      <c r="F4068" s="18"/>
      <c r="G4068" s="18"/>
      <c r="H4068" s="30" t="str">
        <f t="shared" si="441"/>
        <v/>
      </c>
      <c r="I4068" s="31" t="str">
        <f>IF(OR(B4068="",C4068=""),"",IFERROR(E4068*IF(E4068="",0,VLOOKUP(C4068,'📦 Precios Proforma'!$B$5:$D$104,IF(D4068="DIA",2,3),FALSE)),0))</f>
        <v/>
      </c>
      <c r="J4068" s="31" t="str">
        <f t="shared" si="442"/>
        <v/>
      </c>
      <c r="K4068" s="31" t="str">
        <f t="shared" si="443"/>
        <v/>
      </c>
      <c r="L4068" s="31" t="str">
        <f>IF(OR(B4068="",C4068=""),"",IFERROR(E4068 / SUMIFS('📅 Resumen Diario'!$D$5:$D$504, '📅 Resumen Diario'!$B$5:$B$504, B4068, '📅 Resumen Diario'!$C$5:$C$504, D4068) * SUMIFS('📅 Resumen Diario'!$K$5:$K$504, '📅 Resumen Diario'!$B$5:$B$504, B4068, '📅 Resumen Diario'!$C$5:$C$504, D4068), 0))</f>
        <v/>
      </c>
      <c r="M4068" s="31" t="str">
        <f t="shared" si="444"/>
        <v/>
      </c>
      <c r="N4068" s="31" t="str">
        <f t="shared" si="445"/>
        <v/>
      </c>
      <c r="O4068" s="31" t="str">
        <f>IF(OR(B4068="",C4068=""),"",K4068-N4068 + IFERROR(E4068 / SUMIFS('📅 Resumen Diario'!$D$5:$D$504, '📅 Resumen Diario'!$B$5:$B$504, B4068, '📅 Resumen Diario'!$C$5:$C$504, D4068) * (SUMIFS('📋 Detalle Diario'!$E$5:$E$489, '📋 Detalle Diario'!$B$5:$B$489, B4068, '📋 Detalle Diario'!$C$5:$C$489, D4068) * 135 + SUMIFS('📋 Detalle Diario'!$I$5:$I$489, '📋 Detalle Diario'!$B$5:$B$489, B4068, '📋 Detalle Diario'!$C$5:$C$489, D4068) * 200), 0))</f>
        <v/>
      </c>
      <c r="P4068" s="32" t="str">
        <f t="shared" si="446"/>
        <v/>
      </c>
      <c r="Q4068" s="33" t="str">
        <f t="shared" si="447"/>
        <v/>
      </c>
    </row>
    <row r="4069" spans="2:17" ht="18" customHeight="1" x14ac:dyDescent="0.3">
      <c r="B4069" s="26"/>
      <c r="C4069" s="28"/>
      <c r="D4069" s="27"/>
      <c r="E4069" s="29"/>
      <c r="F4069" s="29"/>
      <c r="G4069" s="29"/>
      <c r="H4069" s="30" t="str">
        <f t="shared" si="441"/>
        <v/>
      </c>
      <c r="I4069" s="31" t="str">
        <f>IF(OR(B4069="",C4069=""),"",IFERROR(E4069*IF(E4069="",0,VLOOKUP(C4069,'📦 Precios Proforma'!$B$5:$D$104,IF(D4069="DIA",2,3),FALSE)),0))</f>
        <v/>
      </c>
      <c r="J4069" s="31" t="str">
        <f t="shared" si="442"/>
        <v/>
      </c>
      <c r="K4069" s="31" t="str">
        <f t="shared" si="443"/>
        <v/>
      </c>
      <c r="L4069" s="31" t="str">
        <f>IF(OR(B4069="",C4069=""),"",IFERROR(E4069 / SUMIFS('📅 Resumen Diario'!$D$5:$D$504, '📅 Resumen Diario'!$B$5:$B$504, B4069, '📅 Resumen Diario'!$C$5:$C$504, D4069) * SUMIFS('📅 Resumen Diario'!$K$5:$K$504, '📅 Resumen Diario'!$B$5:$B$504, B4069, '📅 Resumen Diario'!$C$5:$C$504, D4069), 0))</f>
        <v/>
      </c>
      <c r="M4069" s="31" t="str">
        <f t="shared" si="444"/>
        <v/>
      </c>
      <c r="N4069" s="31" t="str">
        <f t="shared" si="445"/>
        <v/>
      </c>
      <c r="O4069" s="31" t="str">
        <f>IF(OR(B4069="",C4069=""),"",K4069-N4069 + IFERROR(E4069 / SUMIFS('📅 Resumen Diario'!$D$5:$D$504, '📅 Resumen Diario'!$B$5:$B$504, B4069, '📅 Resumen Diario'!$C$5:$C$504, D4069) * (SUMIFS('📋 Detalle Diario'!$E$5:$E$489, '📋 Detalle Diario'!$B$5:$B$489, B4069, '📋 Detalle Diario'!$C$5:$C$489, D4069) * 135 + SUMIFS('📋 Detalle Diario'!$I$5:$I$489, '📋 Detalle Diario'!$B$5:$B$489, B4069, '📋 Detalle Diario'!$C$5:$C$489, D4069) * 200), 0))</f>
        <v/>
      </c>
      <c r="P4069" s="32" t="str">
        <f t="shared" si="446"/>
        <v/>
      </c>
      <c r="Q4069" s="33" t="str">
        <f t="shared" si="447"/>
        <v/>
      </c>
    </row>
    <row r="4070" spans="2:17" ht="18" customHeight="1" x14ac:dyDescent="0.3">
      <c r="B4070" s="26"/>
      <c r="C4070" s="17"/>
      <c r="D4070" s="27"/>
      <c r="E4070" s="18"/>
      <c r="F4070" s="18"/>
      <c r="G4070" s="18"/>
      <c r="H4070" s="30" t="str">
        <f t="shared" si="441"/>
        <v/>
      </c>
      <c r="I4070" s="31" t="str">
        <f>IF(OR(B4070="",C4070=""),"",IFERROR(E4070*IF(E4070="",0,VLOOKUP(C4070,'📦 Precios Proforma'!$B$5:$D$104,IF(D4070="DIA",2,3),FALSE)),0))</f>
        <v/>
      </c>
      <c r="J4070" s="31" t="str">
        <f t="shared" si="442"/>
        <v/>
      </c>
      <c r="K4070" s="31" t="str">
        <f t="shared" si="443"/>
        <v/>
      </c>
      <c r="L4070" s="31" t="str">
        <f>IF(OR(B4070="",C4070=""),"",IFERROR(E4070 / SUMIFS('📅 Resumen Diario'!$D$5:$D$504, '📅 Resumen Diario'!$B$5:$B$504, B4070, '📅 Resumen Diario'!$C$5:$C$504, D4070) * SUMIFS('📅 Resumen Diario'!$K$5:$K$504, '📅 Resumen Diario'!$B$5:$B$504, B4070, '📅 Resumen Diario'!$C$5:$C$504, D4070), 0))</f>
        <v/>
      </c>
      <c r="M4070" s="31" t="str">
        <f t="shared" si="444"/>
        <v/>
      </c>
      <c r="N4070" s="31" t="str">
        <f t="shared" si="445"/>
        <v/>
      </c>
      <c r="O4070" s="31" t="str">
        <f>IF(OR(B4070="",C4070=""),"",K4070-N4070 + IFERROR(E4070 / SUMIFS('📅 Resumen Diario'!$D$5:$D$504, '📅 Resumen Diario'!$B$5:$B$504, B4070, '📅 Resumen Diario'!$C$5:$C$504, D4070) * (SUMIFS('📋 Detalle Diario'!$E$5:$E$489, '📋 Detalle Diario'!$B$5:$B$489, B4070, '📋 Detalle Diario'!$C$5:$C$489, D4070) * 135 + SUMIFS('📋 Detalle Diario'!$I$5:$I$489, '📋 Detalle Diario'!$B$5:$B$489, B4070, '📋 Detalle Diario'!$C$5:$C$489, D4070) * 200), 0))</f>
        <v/>
      </c>
      <c r="P4070" s="32" t="str">
        <f t="shared" si="446"/>
        <v/>
      </c>
      <c r="Q4070" s="33" t="str">
        <f t="shared" si="447"/>
        <v/>
      </c>
    </row>
    <row r="4071" spans="2:17" ht="18" customHeight="1" x14ac:dyDescent="0.3">
      <c r="B4071" s="26"/>
      <c r="C4071" s="28"/>
      <c r="D4071" s="27"/>
      <c r="E4071" s="29"/>
      <c r="F4071" s="29"/>
      <c r="G4071" s="29"/>
      <c r="H4071" s="30" t="str">
        <f t="shared" si="441"/>
        <v/>
      </c>
      <c r="I4071" s="31" t="str">
        <f>IF(OR(B4071="",C4071=""),"",IFERROR(E4071*IF(E4071="",0,VLOOKUP(C4071,'📦 Precios Proforma'!$B$5:$D$104,IF(D4071="DIA",2,3),FALSE)),0))</f>
        <v/>
      </c>
      <c r="J4071" s="31" t="str">
        <f t="shared" si="442"/>
        <v/>
      </c>
      <c r="K4071" s="31" t="str">
        <f t="shared" si="443"/>
        <v/>
      </c>
      <c r="L4071" s="31" t="str">
        <f>IF(OR(B4071="",C4071=""),"",IFERROR(E4071 / SUMIFS('📅 Resumen Diario'!$D$5:$D$504, '📅 Resumen Diario'!$B$5:$B$504, B4071, '📅 Resumen Diario'!$C$5:$C$504, D4071) * SUMIFS('📅 Resumen Diario'!$K$5:$K$504, '📅 Resumen Diario'!$B$5:$B$504, B4071, '📅 Resumen Diario'!$C$5:$C$504, D4071), 0))</f>
        <v/>
      </c>
      <c r="M4071" s="31" t="str">
        <f t="shared" si="444"/>
        <v/>
      </c>
      <c r="N4071" s="31" t="str">
        <f t="shared" si="445"/>
        <v/>
      </c>
      <c r="O4071" s="31" t="str">
        <f>IF(OR(B4071="",C4071=""),"",K4071-N4071 + IFERROR(E4071 / SUMIFS('📅 Resumen Diario'!$D$5:$D$504, '📅 Resumen Diario'!$B$5:$B$504, B4071, '📅 Resumen Diario'!$C$5:$C$504, D4071) * (SUMIFS('📋 Detalle Diario'!$E$5:$E$489, '📋 Detalle Diario'!$B$5:$B$489, B4071, '📋 Detalle Diario'!$C$5:$C$489, D4071) * 135 + SUMIFS('📋 Detalle Diario'!$I$5:$I$489, '📋 Detalle Diario'!$B$5:$B$489, B4071, '📋 Detalle Diario'!$C$5:$C$489, D4071) * 200), 0))</f>
        <v/>
      </c>
      <c r="P4071" s="32" t="str">
        <f t="shared" si="446"/>
        <v/>
      </c>
      <c r="Q4071" s="33" t="str">
        <f t="shared" si="447"/>
        <v/>
      </c>
    </row>
    <row r="4072" spans="2:17" ht="18" customHeight="1" x14ac:dyDescent="0.3">
      <c r="B4072" s="26"/>
      <c r="C4072" s="17"/>
      <c r="D4072" s="27"/>
      <c r="E4072" s="18"/>
      <c r="F4072" s="18"/>
      <c r="G4072" s="18"/>
      <c r="H4072" s="30" t="str">
        <f t="shared" si="441"/>
        <v/>
      </c>
      <c r="I4072" s="31" t="str">
        <f>IF(OR(B4072="",C4072=""),"",IFERROR(E4072*IF(E4072="",0,VLOOKUP(C4072,'📦 Precios Proforma'!$B$5:$D$104,IF(D4072="DIA",2,3),FALSE)),0))</f>
        <v/>
      </c>
      <c r="J4072" s="31" t="str">
        <f t="shared" si="442"/>
        <v/>
      </c>
      <c r="K4072" s="31" t="str">
        <f t="shared" si="443"/>
        <v/>
      </c>
      <c r="L4072" s="31" t="str">
        <f>IF(OR(B4072="",C4072=""),"",IFERROR(E4072 / SUMIFS('📅 Resumen Diario'!$D$5:$D$504, '📅 Resumen Diario'!$B$5:$B$504, B4072, '📅 Resumen Diario'!$C$5:$C$504, D4072) * SUMIFS('📅 Resumen Diario'!$K$5:$K$504, '📅 Resumen Diario'!$B$5:$B$504, B4072, '📅 Resumen Diario'!$C$5:$C$504, D4072), 0))</f>
        <v/>
      </c>
      <c r="M4072" s="31" t="str">
        <f t="shared" si="444"/>
        <v/>
      </c>
      <c r="N4072" s="31" t="str">
        <f t="shared" si="445"/>
        <v/>
      </c>
      <c r="O4072" s="31" t="str">
        <f>IF(OR(B4072="",C4072=""),"",K4072-N4072 + IFERROR(E4072 / SUMIFS('📅 Resumen Diario'!$D$5:$D$504, '📅 Resumen Diario'!$B$5:$B$504, B4072, '📅 Resumen Diario'!$C$5:$C$504, D4072) * (SUMIFS('📋 Detalle Diario'!$E$5:$E$489, '📋 Detalle Diario'!$B$5:$B$489, B4072, '📋 Detalle Diario'!$C$5:$C$489, D4072) * 135 + SUMIFS('📋 Detalle Diario'!$I$5:$I$489, '📋 Detalle Diario'!$B$5:$B$489, B4072, '📋 Detalle Diario'!$C$5:$C$489, D4072) * 200), 0))</f>
        <v/>
      </c>
      <c r="P4072" s="32" t="str">
        <f t="shared" si="446"/>
        <v/>
      </c>
      <c r="Q4072" s="33" t="str">
        <f t="shared" si="447"/>
        <v/>
      </c>
    </row>
    <row r="4073" spans="2:17" ht="18" customHeight="1" x14ac:dyDescent="0.3">
      <c r="B4073" s="26"/>
      <c r="C4073" s="28"/>
      <c r="D4073" s="27"/>
      <c r="E4073" s="29"/>
      <c r="F4073" s="29"/>
      <c r="G4073" s="29"/>
      <c r="H4073" s="30" t="str">
        <f t="shared" si="441"/>
        <v/>
      </c>
      <c r="I4073" s="31" t="str">
        <f>IF(OR(B4073="",C4073=""),"",IFERROR(E4073*IF(E4073="",0,VLOOKUP(C4073,'📦 Precios Proforma'!$B$5:$D$104,IF(D4073="DIA",2,3),FALSE)),0))</f>
        <v/>
      </c>
      <c r="J4073" s="31" t="str">
        <f t="shared" si="442"/>
        <v/>
      </c>
      <c r="K4073" s="31" t="str">
        <f t="shared" si="443"/>
        <v/>
      </c>
      <c r="L4073" s="31" t="str">
        <f>IF(OR(B4073="",C4073=""),"",IFERROR(E4073 / SUMIFS('📅 Resumen Diario'!$D$5:$D$504, '📅 Resumen Diario'!$B$5:$B$504, B4073, '📅 Resumen Diario'!$C$5:$C$504, D4073) * SUMIFS('📅 Resumen Diario'!$K$5:$K$504, '📅 Resumen Diario'!$B$5:$B$504, B4073, '📅 Resumen Diario'!$C$5:$C$504, D4073), 0))</f>
        <v/>
      </c>
      <c r="M4073" s="31" t="str">
        <f t="shared" si="444"/>
        <v/>
      </c>
      <c r="N4073" s="31" t="str">
        <f t="shared" si="445"/>
        <v/>
      </c>
      <c r="O4073" s="31" t="str">
        <f>IF(OR(B4073="",C4073=""),"",K4073-N4073 + IFERROR(E4073 / SUMIFS('📅 Resumen Diario'!$D$5:$D$504, '📅 Resumen Diario'!$B$5:$B$504, B4073, '📅 Resumen Diario'!$C$5:$C$504, D4073) * (SUMIFS('📋 Detalle Diario'!$E$5:$E$489, '📋 Detalle Diario'!$B$5:$B$489, B4073, '📋 Detalle Diario'!$C$5:$C$489, D4073) * 135 + SUMIFS('📋 Detalle Diario'!$I$5:$I$489, '📋 Detalle Diario'!$B$5:$B$489, B4073, '📋 Detalle Diario'!$C$5:$C$489, D4073) * 200), 0))</f>
        <v/>
      </c>
      <c r="P4073" s="32" t="str">
        <f t="shared" si="446"/>
        <v/>
      </c>
      <c r="Q4073" s="33" t="str">
        <f t="shared" si="447"/>
        <v/>
      </c>
    </row>
    <row r="4074" spans="2:17" ht="18" customHeight="1" x14ac:dyDescent="0.3">
      <c r="B4074" s="26"/>
      <c r="C4074" s="17"/>
      <c r="D4074" s="27"/>
      <c r="E4074" s="18"/>
      <c r="F4074" s="18"/>
      <c r="G4074" s="18"/>
      <c r="H4074" s="30" t="str">
        <f t="shared" si="441"/>
        <v/>
      </c>
      <c r="I4074" s="31" t="str">
        <f>IF(OR(B4074="",C4074=""),"",IFERROR(E4074*IF(E4074="",0,VLOOKUP(C4074,'📦 Precios Proforma'!$B$5:$D$104,IF(D4074="DIA",2,3),FALSE)),0))</f>
        <v/>
      </c>
      <c r="J4074" s="31" t="str">
        <f t="shared" si="442"/>
        <v/>
      </c>
      <c r="K4074" s="31" t="str">
        <f t="shared" si="443"/>
        <v/>
      </c>
      <c r="L4074" s="31" t="str">
        <f>IF(OR(B4074="",C4074=""),"",IFERROR(E4074 / SUMIFS('📅 Resumen Diario'!$D$5:$D$504, '📅 Resumen Diario'!$B$5:$B$504, B4074, '📅 Resumen Diario'!$C$5:$C$504, D4074) * SUMIFS('📅 Resumen Diario'!$K$5:$K$504, '📅 Resumen Diario'!$B$5:$B$504, B4074, '📅 Resumen Diario'!$C$5:$C$504, D4074), 0))</f>
        <v/>
      </c>
      <c r="M4074" s="31" t="str">
        <f t="shared" si="444"/>
        <v/>
      </c>
      <c r="N4074" s="31" t="str">
        <f t="shared" si="445"/>
        <v/>
      </c>
      <c r="O4074" s="31" t="str">
        <f>IF(OR(B4074="",C4074=""),"",K4074-N4074 + IFERROR(E4074 / SUMIFS('📅 Resumen Diario'!$D$5:$D$504, '📅 Resumen Diario'!$B$5:$B$504, B4074, '📅 Resumen Diario'!$C$5:$C$504, D4074) * (SUMIFS('📋 Detalle Diario'!$E$5:$E$489, '📋 Detalle Diario'!$B$5:$B$489, B4074, '📋 Detalle Diario'!$C$5:$C$489, D4074) * 135 + SUMIFS('📋 Detalle Diario'!$I$5:$I$489, '📋 Detalle Diario'!$B$5:$B$489, B4074, '📋 Detalle Diario'!$C$5:$C$489, D4074) * 200), 0))</f>
        <v/>
      </c>
      <c r="P4074" s="32" t="str">
        <f t="shared" si="446"/>
        <v/>
      </c>
      <c r="Q4074" s="33" t="str">
        <f t="shared" si="447"/>
        <v/>
      </c>
    </row>
    <row r="4075" spans="2:17" ht="18" customHeight="1" x14ac:dyDescent="0.3">
      <c r="B4075" s="26"/>
      <c r="C4075" s="28"/>
      <c r="D4075" s="27"/>
      <c r="E4075" s="29"/>
      <c r="F4075" s="29"/>
      <c r="G4075" s="29"/>
      <c r="H4075" s="30" t="str">
        <f t="shared" si="441"/>
        <v/>
      </c>
      <c r="I4075" s="31" t="str">
        <f>IF(OR(B4075="",C4075=""),"",IFERROR(E4075*IF(E4075="",0,VLOOKUP(C4075,'📦 Precios Proforma'!$B$5:$D$104,IF(D4075="DIA",2,3),FALSE)),0))</f>
        <v/>
      </c>
      <c r="J4075" s="31" t="str">
        <f t="shared" si="442"/>
        <v/>
      </c>
      <c r="K4075" s="31" t="str">
        <f t="shared" si="443"/>
        <v/>
      </c>
      <c r="L4075" s="31" t="str">
        <f>IF(OR(B4075="",C4075=""),"",IFERROR(E4075 / SUMIFS('📅 Resumen Diario'!$D$5:$D$504, '📅 Resumen Diario'!$B$5:$B$504, B4075, '📅 Resumen Diario'!$C$5:$C$504, D4075) * SUMIFS('📅 Resumen Diario'!$K$5:$K$504, '📅 Resumen Diario'!$B$5:$B$504, B4075, '📅 Resumen Diario'!$C$5:$C$504, D4075), 0))</f>
        <v/>
      </c>
      <c r="M4075" s="31" t="str">
        <f t="shared" si="444"/>
        <v/>
      </c>
      <c r="N4075" s="31" t="str">
        <f t="shared" si="445"/>
        <v/>
      </c>
      <c r="O4075" s="31" t="str">
        <f>IF(OR(B4075="",C4075=""),"",K4075-N4075 + IFERROR(E4075 / SUMIFS('📅 Resumen Diario'!$D$5:$D$504, '📅 Resumen Diario'!$B$5:$B$504, B4075, '📅 Resumen Diario'!$C$5:$C$504, D4075) * (SUMIFS('📋 Detalle Diario'!$E$5:$E$489, '📋 Detalle Diario'!$B$5:$B$489, B4075, '📋 Detalle Diario'!$C$5:$C$489, D4075) * 135 + SUMIFS('📋 Detalle Diario'!$I$5:$I$489, '📋 Detalle Diario'!$B$5:$B$489, B4075, '📋 Detalle Diario'!$C$5:$C$489, D4075) * 200), 0))</f>
        <v/>
      </c>
      <c r="P4075" s="32" t="str">
        <f t="shared" si="446"/>
        <v/>
      </c>
      <c r="Q4075" s="33" t="str">
        <f t="shared" si="447"/>
        <v/>
      </c>
    </row>
    <row r="4076" spans="2:17" ht="18" customHeight="1" x14ac:dyDescent="0.3">
      <c r="B4076" s="26"/>
      <c r="C4076" s="17"/>
      <c r="D4076" s="27"/>
      <c r="E4076" s="18"/>
      <c r="F4076" s="18"/>
      <c r="G4076" s="18"/>
      <c r="H4076" s="30" t="str">
        <f t="shared" si="441"/>
        <v/>
      </c>
      <c r="I4076" s="31" t="str">
        <f>IF(OR(B4076="",C4076=""),"",IFERROR(E4076*IF(E4076="",0,VLOOKUP(C4076,'📦 Precios Proforma'!$B$5:$D$104,IF(D4076="DIA",2,3),FALSE)),0))</f>
        <v/>
      </c>
      <c r="J4076" s="31" t="str">
        <f t="shared" si="442"/>
        <v/>
      </c>
      <c r="K4076" s="31" t="str">
        <f t="shared" si="443"/>
        <v/>
      </c>
      <c r="L4076" s="31" t="str">
        <f>IF(OR(B4076="",C4076=""),"",IFERROR(E4076 / SUMIFS('📅 Resumen Diario'!$D$5:$D$504, '📅 Resumen Diario'!$B$5:$B$504, B4076, '📅 Resumen Diario'!$C$5:$C$504, D4076) * SUMIFS('📅 Resumen Diario'!$K$5:$K$504, '📅 Resumen Diario'!$B$5:$B$504, B4076, '📅 Resumen Diario'!$C$5:$C$504, D4076), 0))</f>
        <v/>
      </c>
      <c r="M4076" s="31" t="str">
        <f t="shared" si="444"/>
        <v/>
      </c>
      <c r="N4076" s="31" t="str">
        <f t="shared" si="445"/>
        <v/>
      </c>
      <c r="O4076" s="31" t="str">
        <f>IF(OR(B4076="",C4076=""),"",K4076-N4076 + IFERROR(E4076 / SUMIFS('📅 Resumen Diario'!$D$5:$D$504, '📅 Resumen Diario'!$B$5:$B$504, B4076, '📅 Resumen Diario'!$C$5:$C$504, D4076) * (SUMIFS('📋 Detalle Diario'!$E$5:$E$489, '📋 Detalle Diario'!$B$5:$B$489, B4076, '📋 Detalle Diario'!$C$5:$C$489, D4076) * 135 + SUMIFS('📋 Detalle Diario'!$I$5:$I$489, '📋 Detalle Diario'!$B$5:$B$489, B4076, '📋 Detalle Diario'!$C$5:$C$489, D4076) * 200), 0))</f>
        <v/>
      </c>
      <c r="P4076" s="32" t="str">
        <f t="shared" si="446"/>
        <v/>
      </c>
      <c r="Q4076" s="33" t="str">
        <f t="shared" si="447"/>
        <v/>
      </c>
    </row>
    <row r="4077" spans="2:17" ht="18" customHeight="1" x14ac:dyDescent="0.3">
      <c r="B4077" s="26"/>
      <c r="C4077" s="28"/>
      <c r="D4077" s="27"/>
      <c r="E4077" s="29"/>
      <c r="F4077" s="29"/>
      <c r="G4077" s="29"/>
      <c r="H4077" s="30" t="str">
        <f t="shared" si="441"/>
        <v/>
      </c>
      <c r="I4077" s="31" t="str">
        <f>IF(OR(B4077="",C4077=""),"",IFERROR(E4077*IF(E4077="",0,VLOOKUP(C4077,'📦 Precios Proforma'!$B$5:$D$104,IF(D4077="DIA",2,3),FALSE)),0))</f>
        <v/>
      </c>
      <c r="J4077" s="31" t="str">
        <f t="shared" si="442"/>
        <v/>
      </c>
      <c r="K4077" s="31" t="str">
        <f t="shared" si="443"/>
        <v/>
      </c>
      <c r="L4077" s="31" t="str">
        <f>IF(OR(B4077="",C4077=""),"",IFERROR(E4077 / SUMIFS('📅 Resumen Diario'!$D$5:$D$504, '📅 Resumen Diario'!$B$5:$B$504, B4077, '📅 Resumen Diario'!$C$5:$C$504, D4077) * SUMIFS('📅 Resumen Diario'!$K$5:$K$504, '📅 Resumen Diario'!$B$5:$B$504, B4077, '📅 Resumen Diario'!$C$5:$C$504, D4077), 0))</f>
        <v/>
      </c>
      <c r="M4077" s="31" t="str">
        <f t="shared" si="444"/>
        <v/>
      </c>
      <c r="N4077" s="31" t="str">
        <f t="shared" si="445"/>
        <v/>
      </c>
      <c r="O4077" s="31" t="str">
        <f>IF(OR(B4077="",C4077=""),"",K4077-N4077 + IFERROR(E4077 / SUMIFS('📅 Resumen Diario'!$D$5:$D$504, '📅 Resumen Diario'!$B$5:$B$504, B4077, '📅 Resumen Diario'!$C$5:$C$504, D4077) * (SUMIFS('📋 Detalle Diario'!$E$5:$E$489, '📋 Detalle Diario'!$B$5:$B$489, B4077, '📋 Detalle Diario'!$C$5:$C$489, D4077) * 135 + SUMIFS('📋 Detalle Diario'!$I$5:$I$489, '📋 Detalle Diario'!$B$5:$B$489, B4077, '📋 Detalle Diario'!$C$5:$C$489, D4077) * 200), 0))</f>
        <v/>
      </c>
      <c r="P4077" s="32" t="str">
        <f t="shared" si="446"/>
        <v/>
      </c>
      <c r="Q4077" s="33" t="str">
        <f t="shared" si="447"/>
        <v/>
      </c>
    </row>
    <row r="4078" spans="2:17" ht="18" customHeight="1" x14ac:dyDescent="0.3">
      <c r="B4078" s="26"/>
      <c r="C4078" s="17"/>
      <c r="D4078" s="27"/>
      <c r="E4078" s="18"/>
      <c r="F4078" s="18"/>
      <c r="G4078" s="18"/>
      <c r="H4078" s="30" t="str">
        <f t="shared" si="441"/>
        <v/>
      </c>
      <c r="I4078" s="31" t="str">
        <f>IF(OR(B4078="",C4078=""),"",IFERROR(E4078*IF(E4078="",0,VLOOKUP(C4078,'📦 Precios Proforma'!$B$5:$D$104,IF(D4078="DIA",2,3),FALSE)),0))</f>
        <v/>
      </c>
      <c r="J4078" s="31" t="str">
        <f t="shared" si="442"/>
        <v/>
      </c>
      <c r="K4078" s="31" t="str">
        <f t="shared" si="443"/>
        <v/>
      </c>
      <c r="L4078" s="31" t="str">
        <f>IF(OR(B4078="",C4078=""),"",IFERROR(E4078 / SUMIFS('📅 Resumen Diario'!$D$5:$D$504, '📅 Resumen Diario'!$B$5:$B$504, B4078, '📅 Resumen Diario'!$C$5:$C$504, D4078) * SUMIFS('📅 Resumen Diario'!$K$5:$K$504, '📅 Resumen Diario'!$B$5:$B$504, B4078, '📅 Resumen Diario'!$C$5:$C$504, D4078), 0))</f>
        <v/>
      </c>
      <c r="M4078" s="31" t="str">
        <f t="shared" si="444"/>
        <v/>
      </c>
      <c r="N4078" s="31" t="str">
        <f t="shared" si="445"/>
        <v/>
      </c>
      <c r="O4078" s="31" t="str">
        <f>IF(OR(B4078="",C4078=""),"",K4078-N4078 + IFERROR(E4078 / SUMIFS('📅 Resumen Diario'!$D$5:$D$504, '📅 Resumen Diario'!$B$5:$B$504, B4078, '📅 Resumen Diario'!$C$5:$C$504, D4078) * (SUMIFS('📋 Detalle Diario'!$E$5:$E$489, '📋 Detalle Diario'!$B$5:$B$489, B4078, '📋 Detalle Diario'!$C$5:$C$489, D4078) * 135 + SUMIFS('📋 Detalle Diario'!$I$5:$I$489, '📋 Detalle Diario'!$B$5:$B$489, B4078, '📋 Detalle Diario'!$C$5:$C$489, D4078) * 200), 0))</f>
        <v/>
      </c>
      <c r="P4078" s="32" t="str">
        <f t="shared" si="446"/>
        <v/>
      </c>
      <c r="Q4078" s="33" t="str">
        <f t="shared" si="447"/>
        <v/>
      </c>
    </row>
    <row r="4079" spans="2:17" ht="18" customHeight="1" x14ac:dyDescent="0.3">
      <c r="B4079" s="26"/>
      <c r="C4079" s="28"/>
      <c r="D4079" s="27"/>
      <c r="E4079" s="29"/>
      <c r="F4079" s="29"/>
      <c r="G4079" s="29"/>
      <c r="H4079" s="30" t="str">
        <f t="shared" si="441"/>
        <v/>
      </c>
      <c r="I4079" s="31" t="str">
        <f>IF(OR(B4079="",C4079=""),"",IFERROR(E4079*IF(E4079="",0,VLOOKUP(C4079,'📦 Precios Proforma'!$B$5:$D$104,IF(D4079="DIA",2,3),FALSE)),0))</f>
        <v/>
      </c>
      <c r="J4079" s="31" t="str">
        <f t="shared" si="442"/>
        <v/>
      </c>
      <c r="K4079" s="31" t="str">
        <f t="shared" si="443"/>
        <v/>
      </c>
      <c r="L4079" s="31" t="str">
        <f>IF(OR(B4079="",C4079=""),"",IFERROR(E4079 / SUMIFS('📅 Resumen Diario'!$D$5:$D$504, '📅 Resumen Diario'!$B$5:$B$504, B4079, '📅 Resumen Diario'!$C$5:$C$504, D4079) * SUMIFS('📅 Resumen Diario'!$K$5:$K$504, '📅 Resumen Diario'!$B$5:$B$504, B4079, '📅 Resumen Diario'!$C$5:$C$504, D4079), 0))</f>
        <v/>
      </c>
      <c r="M4079" s="31" t="str">
        <f t="shared" si="444"/>
        <v/>
      </c>
      <c r="N4079" s="31" t="str">
        <f t="shared" si="445"/>
        <v/>
      </c>
      <c r="O4079" s="31" t="str">
        <f>IF(OR(B4079="",C4079=""),"",K4079-N4079 + IFERROR(E4079 / SUMIFS('📅 Resumen Diario'!$D$5:$D$504, '📅 Resumen Diario'!$B$5:$B$504, B4079, '📅 Resumen Diario'!$C$5:$C$504, D4079) * (SUMIFS('📋 Detalle Diario'!$E$5:$E$489, '📋 Detalle Diario'!$B$5:$B$489, B4079, '📋 Detalle Diario'!$C$5:$C$489, D4079) * 135 + SUMIFS('📋 Detalle Diario'!$I$5:$I$489, '📋 Detalle Diario'!$B$5:$B$489, B4079, '📋 Detalle Diario'!$C$5:$C$489, D4079) * 200), 0))</f>
        <v/>
      </c>
      <c r="P4079" s="32" t="str">
        <f t="shared" si="446"/>
        <v/>
      </c>
      <c r="Q4079" s="33" t="str">
        <f t="shared" si="447"/>
        <v/>
      </c>
    </row>
    <row r="4080" spans="2:17" ht="18" customHeight="1" x14ac:dyDescent="0.3">
      <c r="B4080" s="26"/>
      <c r="C4080" s="17"/>
      <c r="D4080" s="27"/>
      <c r="E4080" s="18"/>
      <c r="F4080" s="18"/>
      <c r="G4080" s="18"/>
      <c r="H4080" s="30" t="str">
        <f t="shared" si="441"/>
        <v/>
      </c>
      <c r="I4080" s="31" t="str">
        <f>IF(OR(B4080="",C4080=""),"",IFERROR(E4080*IF(E4080="",0,VLOOKUP(C4080,'📦 Precios Proforma'!$B$5:$D$104,IF(D4080="DIA",2,3),FALSE)),0))</f>
        <v/>
      </c>
      <c r="J4080" s="31" t="str">
        <f t="shared" si="442"/>
        <v/>
      </c>
      <c r="K4080" s="31" t="str">
        <f t="shared" si="443"/>
        <v/>
      </c>
      <c r="L4080" s="31" t="str">
        <f>IF(OR(B4080="",C4080=""),"",IFERROR(E4080 / SUMIFS('📅 Resumen Diario'!$D$5:$D$504, '📅 Resumen Diario'!$B$5:$B$504, B4080, '📅 Resumen Diario'!$C$5:$C$504, D4080) * SUMIFS('📅 Resumen Diario'!$K$5:$K$504, '📅 Resumen Diario'!$B$5:$B$504, B4080, '📅 Resumen Diario'!$C$5:$C$504, D4080), 0))</f>
        <v/>
      </c>
      <c r="M4080" s="31" t="str">
        <f t="shared" si="444"/>
        <v/>
      </c>
      <c r="N4080" s="31" t="str">
        <f t="shared" si="445"/>
        <v/>
      </c>
      <c r="O4080" s="31" t="str">
        <f>IF(OR(B4080="",C4080=""),"",K4080-N4080 + IFERROR(E4080 / SUMIFS('📅 Resumen Diario'!$D$5:$D$504, '📅 Resumen Diario'!$B$5:$B$504, B4080, '📅 Resumen Diario'!$C$5:$C$504, D4080) * (SUMIFS('📋 Detalle Diario'!$E$5:$E$489, '📋 Detalle Diario'!$B$5:$B$489, B4080, '📋 Detalle Diario'!$C$5:$C$489, D4080) * 135 + SUMIFS('📋 Detalle Diario'!$I$5:$I$489, '📋 Detalle Diario'!$B$5:$B$489, B4080, '📋 Detalle Diario'!$C$5:$C$489, D4080) * 200), 0))</f>
        <v/>
      </c>
      <c r="P4080" s="32" t="str">
        <f t="shared" si="446"/>
        <v/>
      </c>
      <c r="Q4080" s="33" t="str">
        <f t="shared" si="447"/>
        <v/>
      </c>
    </row>
    <row r="4081" spans="2:17" ht="18" customHeight="1" x14ac:dyDescent="0.3">
      <c r="B4081" s="26"/>
      <c r="C4081" s="28"/>
      <c r="D4081" s="27"/>
      <c r="E4081" s="29"/>
      <c r="F4081" s="29"/>
      <c r="G4081" s="29"/>
      <c r="H4081" s="30" t="str">
        <f t="shared" si="441"/>
        <v/>
      </c>
      <c r="I4081" s="31" t="str">
        <f>IF(OR(B4081="",C4081=""),"",IFERROR(E4081*IF(E4081="",0,VLOOKUP(C4081,'📦 Precios Proforma'!$B$5:$D$104,IF(D4081="DIA",2,3),FALSE)),0))</f>
        <v/>
      </c>
      <c r="J4081" s="31" t="str">
        <f t="shared" si="442"/>
        <v/>
      </c>
      <c r="K4081" s="31" t="str">
        <f t="shared" si="443"/>
        <v/>
      </c>
      <c r="L4081" s="31" t="str">
        <f>IF(OR(B4081="",C4081=""),"",IFERROR(E4081 / SUMIFS('📅 Resumen Diario'!$D$5:$D$504, '📅 Resumen Diario'!$B$5:$B$504, B4081, '📅 Resumen Diario'!$C$5:$C$504, D4081) * SUMIFS('📅 Resumen Diario'!$K$5:$K$504, '📅 Resumen Diario'!$B$5:$B$504, B4081, '📅 Resumen Diario'!$C$5:$C$504, D4081), 0))</f>
        <v/>
      </c>
      <c r="M4081" s="31" t="str">
        <f t="shared" si="444"/>
        <v/>
      </c>
      <c r="N4081" s="31" t="str">
        <f t="shared" si="445"/>
        <v/>
      </c>
      <c r="O4081" s="31" t="str">
        <f>IF(OR(B4081="",C4081=""),"",K4081-N4081 + IFERROR(E4081 / SUMIFS('📅 Resumen Diario'!$D$5:$D$504, '📅 Resumen Diario'!$B$5:$B$504, B4081, '📅 Resumen Diario'!$C$5:$C$504, D4081) * (SUMIFS('📋 Detalle Diario'!$E$5:$E$489, '📋 Detalle Diario'!$B$5:$B$489, B4081, '📋 Detalle Diario'!$C$5:$C$489, D4081) * 135 + SUMIFS('📋 Detalle Diario'!$I$5:$I$489, '📋 Detalle Diario'!$B$5:$B$489, B4081, '📋 Detalle Diario'!$C$5:$C$489, D4081) * 200), 0))</f>
        <v/>
      </c>
      <c r="P4081" s="32" t="str">
        <f t="shared" si="446"/>
        <v/>
      </c>
      <c r="Q4081" s="33" t="str">
        <f t="shared" si="447"/>
        <v/>
      </c>
    </row>
    <row r="4082" spans="2:17" ht="18" customHeight="1" x14ac:dyDescent="0.3">
      <c r="B4082" s="26"/>
      <c r="C4082" s="17"/>
      <c r="D4082" s="27"/>
      <c r="E4082" s="18"/>
      <c r="F4082" s="18"/>
      <c r="G4082" s="18"/>
      <c r="H4082" s="30" t="str">
        <f t="shared" si="441"/>
        <v/>
      </c>
      <c r="I4082" s="31" t="str">
        <f>IF(OR(B4082="",C4082=""),"",IFERROR(E4082*IF(E4082="",0,VLOOKUP(C4082,'📦 Precios Proforma'!$B$5:$D$104,IF(D4082="DIA",2,3),FALSE)),0))</f>
        <v/>
      </c>
      <c r="J4082" s="31" t="str">
        <f t="shared" si="442"/>
        <v/>
      </c>
      <c r="K4082" s="31" t="str">
        <f t="shared" si="443"/>
        <v/>
      </c>
      <c r="L4082" s="31" t="str">
        <f>IF(OR(B4082="",C4082=""),"",IFERROR(E4082 / SUMIFS('📅 Resumen Diario'!$D$5:$D$504, '📅 Resumen Diario'!$B$5:$B$504, B4082, '📅 Resumen Diario'!$C$5:$C$504, D4082) * SUMIFS('📅 Resumen Diario'!$K$5:$K$504, '📅 Resumen Diario'!$B$5:$B$504, B4082, '📅 Resumen Diario'!$C$5:$C$504, D4082), 0))</f>
        <v/>
      </c>
      <c r="M4082" s="31" t="str">
        <f t="shared" si="444"/>
        <v/>
      </c>
      <c r="N4082" s="31" t="str">
        <f t="shared" si="445"/>
        <v/>
      </c>
      <c r="O4082" s="31" t="str">
        <f>IF(OR(B4082="",C4082=""),"",K4082-N4082 + IFERROR(E4082 / SUMIFS('📅 Resumen Diario'!$D$5:$D$504, '📅 Resumen Diario'!$B$5:$B$504, B4082, '📅 Resumen Diario'!$C$5:$C$504, D4082) * (SUMIFS('📋 Detalle Diario'!$E$5:$E$489, '📋 Detalle Diario'!$B$5:$B$489, B4082, '📋 Detalle Diario'!$C$5:$C$489, D4082) * 135 + SUMIFS('📋 Detalle Diario'!$I$5:$I$489, '📋 Detalle Diario'!$B$5:$B$489, B4082, '📋 Detalle Diario'!$C$5:$C$489, D4082) * 200), 0))</f>
        <v/>
      </c>
      <c r="P4082" s="32" t="str">
        <f t="shared" si="446"/>
        <v/>
      </c>
      <c r="Q4082" s="33" t="str">
        <f t="shared" si="447"/>
        <v/>
      </c>
    </row>
    <row r="4083" spans="2:17" ht="18" customHeight="1" x14ac:dyDescent="0.3">
      <c r="B4083" s="26"/>
      <c r="C4083" s="28"/>
      <c r="D4083" s="27"/>
      <c r="E4083" s="29"/>
      <c r="F4083" s="29"/>
      <c r="G4083" s="29"/>
      <c r="H4083" s="30" t="str">
        <f t="shared" si="441"/>
        <v/>
      </c>
      <c r="I4083" s="31" t="str">
        <f>IF(OR(B4083="",C4083=""),"",IFERROR(E4083*IF(E4083="",0,VLOOKUP(C4083,'📦 Precios Proforma'!$B$5:$D$104,IF(D4083="DIA",2,3),FALSE)),0))</f>
        <v/>
      </c>
      <c r="J4083" s="31" t="str">
        <f t="shared" si="442"/>
        <v/>
      </c>
      <c r="K4083" s="31" t="str">
        <f t="shared" si="443"/>
        <v/>
      </c>
      <c r="L4083" s="31" t="str">
        <f>IF(OR(B4083="",C4083=""),"",IFERROR(E4083 / SUMIFS('📅 Resumen Diario'!$D$5:$D$504, '📅 Resumen Diario'!$B$5:$B$504, B4083, '📅 Resumen Diario'!$C$5:$C$504, D4083) * SUMIFS('📅 Resumen Diario'!$K$5:$K$504, '📅 Resumen Diario'!$B$5:$B$504, B4083, '📅 Resumen Diario'!$C$5:$C$504, D4083), 0))</f>
        <v/>
      </c>
      <c r="M4083" s="31" t="str">
        <f t="shared" si="444"/>
        <v/>
      </c>
      <c r="N4083" s="31" t="str">
        <f t="shared" si="445"/>
        <v/>
      </c>
      <c r="O4083" s="31" t="str">
        <f>IF(OR(B4083="",C4083=""),"",K4083-N4083 + IFERROR(E4083 / SUMIFS('📅 Resumen Diario'!$D$5:$D$504, '📅 Resumen Diario'!$B$5:$B$504, B4083, '📅 Resumen Diario'!$C$5:$C$504, D4083) * (SUMIFS('📋 Detalle Diario'!$E$5:$E$489, '📋 Detalle Diario'!$B$5:$B$489, B4083, '📋 Detalle Diario'!$C$5:$C$489, D4083) * 135 + SUMIFS('📋 Detalle Diario'!$I$5:$I$489, '📋 Detalle Diario'!$B$5:$B$489, B4083, '📋 Detalle Diario'!$C$5:$C$489, D4083) * 200), 0))</f>
        <v/>
      </c>
      <c r="P4083" s="32" t="str">
        <f t="shared" si="446"/>
        <v/>
      </c>
      <c r="Q4083" s="33" t="str">
        <f t="shared" si="447"/>
        <v/>
      </c>
    </row>
    <row r="4084" spans="2:17" ht="18" customHeight="1" x14ac:dyDescent="0.3">
      <c r="B4084" s="26"/>
      <c r="C4084" s="17"/>
      <c r="D4084" s="27"/>
      <c r="E4084" s="18"/>
      <c r="F4084" s="18"/>
      <c r="G4084" s="18"/>
      <c r="H4084" s="30" t="str">
        <f t="shared" si="441"/>
        <v/>
      </c>
      <c r="I4084" s="31" t="str">
        <f>IF(OR(B4084="",C4084=""),"",IFERROR(E4084*IF(E4084="",0,VLOOKUP(C4084,'📦 Precios Proforma'!$B$5:$D$104,IF(D4084="DIA",2,3),FALSE)),0))</f>
        <v/>
      </c>
      <c r="J4084" s="31" t="str">
        <f t="shared" si="442"/>
        <v/>
      </c>
      <c r="K4084" s="31" t="str">
        <f t="shared" si="443"/>
        <v/>
      </c>
      <c r="L4084" s="31" t="str">
        <f>IF(OR(B4084="",C4084=""),"",IFERROR(E4084 / SUMIFS('📅 Resumen Diario'!$D$5:$D$504, '📅 Resumen Diario'!$B$5:$B$504, B4084, '📅 Resumen Diario'!$C$5:$C$504, D4084) * SUMIFS('📅 Resumen Diario'!$K$5:$K$504, '📅 Resumen Diario'!$B$5:$B$504, B4084, '📅 Resumen Diario'!$C$5:$C$504, D4084), 0))</f>
        <v/>
      </c>
      <c r="M4084" s="31" t="str">
        <f t="shared" si="444"/>
        <v/>
      </c>
      <c r="N4084" s="31" t="str">
        <f t="shared" si="445"/>
        <v/>
      </c>
      <c r="O4084" s="31" t="str">
        <f>IF(OR(B4084="",C4084=""),"",K4084-N4084 + IFERROR(E4084 / SUMIFS('📅 Resumen Diario'!$D$5:$D$504, '📅 Resumen Diario'!$B$5:$B$504, B4084, '📅 Resumen Diario'!$C$5:$C$504, D4084) * (SUMIFS('📋 Detalle Diario'!$E$5:$E$489, '📋 Detalle Diario'!$B$5:$B$489, B4084, '📋 Detalle Diario'!$C$5:$C$489, D4084) * 135 + SUMIFS('📋 Detalle Diario'!$I$5:$I$489, '📋 Detalle Diario'!$B$5:$B$489, B4084, '📋 Detalle Diario'!$C$5:$C$489, D4084) * 200), 0))</f>
        <v/>
      </c>
      <c r="P4084" s="32" t="str">
        <f t="shared" si="446"/>
        <v/>
      </c>
      <c r="Q4084" s="33" t="str">
        <f t="shared" si="447"/>
        <v/>
      </c>
    </row>
    <row r="4085" spans="2:17" ht="18" customHeight="1" x14ac:dyDescent="0.3">
      <c r="B4085" s="26"/>
      <c r="C4085" s="28"/>
      <c r="D4085" s="27"/>
      <c r="E4085" s="29"/>
      <c r="F4085" s="29"/>
      <c r="G4085" s="29"/>
      <c r="H4085" s="30" t="str">
        <f t="shared" si="441"/>
        <v/>
      </c>
      <c r="I4085" s="31" t="str">
        <f>IF(OR(B4085="",C4085=""),"",IFERROR(E4085*IF(E4085="",0,VLOOKUP(C4085,'📦 Precios Proforma'!$B$5:$D$104,IF(D4085="DIA",2,3),FALSE)),0))</f>
        <v/>
      </c>
      <c r="J4085" s="31" t="str">
        <f t="shared" si="442"/>
        <v/>
      </c>
      <c r="K4085" s="31" t="str">
        <f t="shared" si="443"/>
        <v/>
      </c>
      <c r="L4085" s="31" t="str">
        <f>IF(OR(B4085="",C4085=""),"",IFERROR(E4085 / SUMIFS('📅 Resumen Diario'!$D$5:$D$504, '📅 Resumen Diario'!$B$5:$B$504, B4085, '📅 Resumen Diario'!$C$5:$C$504, D4085) * SUMIFS('📅 Resumen Diario'!$K$5:$K$504, '📅 Resumen Diario'!$B$5:$B$504, B4085, '📅 Resumen Diario'!$C$5:$C$504, D4085), 0))</f>
        <v/>
      </c>
      <c r="M4085" s="31" t="str">
        <f t="shared" si="444"/>
        <v/>
      </c>
      <c r="N4085" s="31" t="str">
        <f t="shared" si="445"/>
        <v/>
      </c>
      <c r="O4085" s="31" t="str">
        <f>IF(OR(B4085="",C4085=""),"",K4085-N4085 + IFERROR(E4085 / SUMIFS('📅 Resumen Diario'!$D$5:$D$504, '📅 Resumen Diario'!$B$5:$B$504, B4085, '📅 Resumen Diario'!$C$5:$C$504, D4085) * (SUMIFS('📋 Detalle Diario'!$E$5:$E$489, '📋 Detalle Diario'!$B$5:$B$489, B4085, '📋 Detalle Diario'!$C$5:$C$489, D4085) * 135 + SUMIFS('📋 Detalle Diario'!$I$5:$I$489, '📋 Detalle Diario'!$B$5:$B$489, B4085, '📋 Detalle Diario'!$C$5:$C$489, D4085) * 200), 0))</f>
        <v/>
      </c>
      <c r="P4085" s="32" t="str">
        <f t="shared" si="446"/>
        <v/>
      </c>
      <c r="Q4085" s="33" t="str">
        <f t="shared" si="447"/>
        <v/>
      </c>
    </row>
    <row r="4086" spans="2:17" ht="18" customHeight="1" x14ac:dyDescent="0.3">
      <c r="B4086" s="26"/>
      <c r="C4086" s="17"/>
      <c r="D4086" s="27"/>
      <c r="E4086" s="18"/>
      <c r="F4086" s="18"/>
      <c r="G4086" s="18"/>
      <c r="H4086" s="30" t="str">
        <f t="shared" si="441"/>
        <v/>
      </c>
      <c r="I4086" s="31" t="str">
        <f>IF(OR(B4086="",C4086=""),"",IFERROR(E4086*IF(E4086="",0,VLOOKUP(C4086,'📦 Precios Proforma'!$B$5:$D$104,IF(D4086="DIA",2,3),FALSE)),0))</f>
        <v/>
      </c>
      <c r="J4086" s="31" t="str">
        <f t="shared" si="442"/>
        <v/>
      </c>
      <c r="K4086" s="31" t="str">
        <f t="shared" si="443"/>
        <v/>
      </c>
      <c r="L4086" s="31" t="str">
        <f>IF(OR(B4086="",C4086=""),"",IFERROR(E4086 / SUMIFS('📅 Resumen Diario'!$D$5:$D$504, '📅 Resumen Diario'!$B$5:$B$504, B4086, '📅 Resumen Diario'!$C$5:$C$504, D4086) * SUMIFS('📅 Resumen Diario'!$K$5:$K$504, '📅 Resumen Diario'!$B$5:$B$504, B4086, '📅 Resumen Diario'!$C$5:$C$504, D4086), 0))</f>
        <v/>
      </c>
      <c r="M4086" s="31" t="str">
        <f t="shared" si="444"/>
        <v/>
      </c>
      <c r="N4086" s="31" t="str">
        <f t="shared" si="445"/>
        <v/>
      </c>
      <c r="O4086" s="31" t="str">
        <f>IF(OR(B4086="",C4086=""),"",K4086-N4086 + IFERROR(E4086 / SUMIFS('📅 Resumen Diario'!$D$5:$D$504, '📅 Resumen Diario'!$B$5:$B$504, B4086, '📅 Resumen Diario'!$C$5:$C$504, D4086) * (SUMIFS('📋 Detalle Diario'!$E$5:$E$489, '📋 Detalle Diario'!$B$5:$B$489, B4086, '📋 Detalle Diario'!$C$5:$C$489, D4086) * 135 + SUMIFS('📋 Detalle Diario'!$I$5:$I$489, '📋 Detalle Diario'!$B$5:$B$489, B4086, '📋 Detalle Diario'!$C$5:$C$489, D4086) * 200), 0))</f>
        <v/>
      </c>
      <c r="P4086" s="32" t="str">
        <f t="shared" si="446"/>
        <v/>
      </c>
      <c r="Q4086" s="33" t="str">
        <f t="shared" si="447"/>
        <v/>
      </c>
    </row>
    <row r="4087" spans="2:17" ht="18" customHeight="1" x14ac:dyDescent="0.3">
      <c r="B4087" s="26"/>
      <c r="C4087" s="28"/>
      <c r="D4087" s="27"/>
      <c r="E4087" s="29"/>
      <c r="F4087" s="29"/>
      <c r="G4087" s="29"/>
      <c r="H4087" s="30" t="str">
        <f t="shared" si="441"/>
        <v/>
      </c>
      <c r="I4087" s="31" t="str">
        <f>IF(OR(B4087="",C4087=""),"",IFERROR(E4087*IF(E4087="",0,VLOOKUP(C4087,'📦 Precios Proforma'!$B$5:$D$104,IF(D4087="DIA",2,3),FALSE)),0))</f>
        <v/>
      </c>
      <c r="J4087" s="31" t="str">
        <f t="shared" si="442"/>
        <v/>
      </c>
      <c r="K4087" s="31" t="str">
        <f t="shared" si="443"/>
        <v/>
      </c>
      <c r="L4087" s="31" t="str">
        <f>IF(OR(B4087="",C4087=""),"",IFERROR(E4087 / SUMIFS('📅 Resumen Diario'!$D$5:$D$504, '📅 Resumen Diario'!$B$5:$B$504, B4087, '📅 Resumen Diario'!$C$5:$C$504, D4087) * SUMIFS('📅 Resumen Diario'!$K$5:$K$504, '📅 Resumen Diario'!$B$5:$B$504, B4087, '📅 Resumen Diario'!$C$5:$C$504, D4087), 0))</f>
        <v/>
      </c>
      <c r="M4087" s="31" t="str">
        <f t="shared" si="444"/>
        <v/>
      </c>
      <c r="N4087" s="31" t="str">
        <f t="shared" si="445"/>
        <v/>
      </c>
      <c r="O4087" s="31" t="str">
        <f>IF(OR(B4087="",C4087=""),"",K4087-N4087 + IFERROR(E4087 / SUMIFS('📅 Resumen Diario'!$D$5:$D$504, '📅 Resumen Diario'!$B$5:$B$504, B4087, '📅 Resumen Diario'!$C$5:$C$504, D4087) * (SUMIFS('📋 Detalle Diario'!$E$5:$E$489, '📋 Detalle Diario'!$B$5:$B$489, B4087, '📋 Detalle Diario'!$C$5:$C$489, D4087) * 135 + SUMIFS('📋 Detalle Diario'!$I$5:$I$489, '📋 Detalle Diario'!$B$5:$B$489, B4087, '📋 Detalle Diario'!$C$5:$C$489, D4087) * 200), 0))</f>
        <v/>
      </c>
      <c r="P4087" s="32" t="str">
        <f t="shared" si="446"/>
        <v/>
      </c>
      <c r="Q4087" s="33" t="str">
        <f t="shared" si="447"/>
        <v/>
      </c>
    </row>
    <row r="4088" spans="2:17" ht="18" customHeight="1" x14ac:dyDescent="0.3">
      <c r="B4088" s="26"/>
      <c r="C4088" s="17"/>
      <c r="D4088" s="27"/>
      <c r="E4088" s="18"/>
      <c r="F4088" s="18"/>
      <c r="G4088" s="18"/>
      <c r="H4088" s="30" t="str">
        <f t="shared" si="441"/>
        <v/>
      </c>
      <c r="I4088" s="31" t="str">
        <f>IF(OR(B4088="",C4088=""),"",IFERROR(E4088*IF(E4088="",0,VLOOKUP(C4088,'📦 Precios Proforma'!$B$5:$D$104,IF(D4088="DIA",2,3),FALSE)),0))</f>
        <v/>
      </c>
      <c r="J4088" s="31" t="str">
        <f t="shared" si="442"/>
        <v/>
      </c>
      <c r="K4088" s="31" t="str">
        <f t="shared" si="443"/>
        <v/>
      </c>
      <c r="L4088" s="31" t="str">
        <f>IF(OR(B4088="",C4088=""),"",IFERROR(E4088 / SUMIFS('📅 Resumen Diario'!$D$5:$D$504, '📅 Resumen Diario'!$B$5:$B$504, B4088, '📅 Resumen Diario'!$C$5:$C$504, D4088) * SUMIFS('📅 Resumen Diario'!$K$5:$K$504, '📅 Resumen Diario'!$B$5:$B$504, B4088, '📅 Resumen Diario'!$C$5:$C$504, D4088), 0))</f>
        <v/>
      </c>
      <c r="M4088" s="31" t="str">
        <f t="shared" si="444"/>
        <v/>
      </c>
      <c r="N4088" s="31" t="str">
        <f t="shared" si="445"/>
        <v/>
      </c>
      <c r="O4088" s="31" t="str">
        <f>IF(OR(B4088="",C4088=""),"",K4088-N4088 + IFERROR(E4088 / SUMIFS('📅 Resumen Diario'!$D$5:$D$504, '📅 Resumen Diario'!$B$5:$B$504, B4088, '📅 Resumen Diario'!$C$5:$C$504, D4088) * (SUMIFS('📋 Detalle Diario'!$E$5:$E$489, '📋 Detalle Diario'!$B$5:$B$489, B4088, '📋 Detalle Diario'!$C$5:$C$489, D4088) * 135 + SUMIFS('📋 Detalle Diario'!$I$5:$I$489, '📋 Detalle Diario'!$B$5:$B$489, B4088, '📋 Detalle Diario'!$C$5:$C$489, D4088) * 200), 0))</f>
        <v/>
      </c>
      <c r="P4088" s="32" t="str">
        <f t="shared" si="446"/>
        <v/>
      </c>
      <c r="Q4088" s="33" t="str">
        <f t="shared" si="447"/>
        <v/>
      </c>
    </row>
    <row r="4089" spans="2:17" ht="18" customHeight="1" x14ac:dyDescent="0.3">
      <c r="B4089" s="26"/>
      <c r="C4089" s="28"/>
      <c r="D4089" s="27"/>
      <c r="E4089" s="29"/>
      <c r="F4089" s="29"/>
      <c r="G4089" s="29"/>
      <c r="H4089" s="30" t="str">
        <f t="shared" si="441"/>
        <v/>
      </c>
      <c r="I4089" s="31" t="str">
        <f>IF(OR(B4089="",C4089=""),"",IFERROR(E4089*IF(E4089="",0,VLOOKUP(C4089,'📦 Precios Proforma'!$B$5:$D$104,IF(D4089="DIA",2,3),FALSE)),0))</f>
        <v/>
      </c>
      <c r="J4089" s="31" t="str">
        <f t="shared" si="442"/>
        <v/>
      </c>
      <c r="K4089" s="31" t="str">
        <f t="shared" si="443"/>
        <v/>
      </c>
      <c r="L4089" s="31" t="str">
        <f>IF(OR(B4089="",C4089=""),"",IFERROR(E4089 / SUMIFS('📅 Resumen Diario'!$D$5:$D$504, '📅 Resumen Diario'!$B$5:$B$504, B4089, '📅 Resumen Diario'!$C$5:$C$504, D4089) * SUMIFS('📅 Resumen Diario'!$K$5:$K$504, '📅 Resumen Diario'!$B$5:$B$504, B4089, '📅 Resumen Diario'!$C$5:$C$504, D4089), 0))</f>
        <v/>
      </c>
      <c r="M4089" s="31" t="str">
        <f t="shared" si="444"/>
        <v/>
      </c>
      <c r="N4089" s="31" t="str">
        <f t="shared" si="445"/>
        <v/>
      </c>
      <c r="O4089" s="31" t="str">
        <f>IF(OR(B4089="",C4089=""),"",K4089-N4089 + IFERROR(E4089 / SUMIFS('📅 Resumen Diario'!$D$5:$D$504, '📅 Resumen Diario'!$B$5:$B$504, B4089, '📅 Resumen Diario'!$C$5:$C$504, D4089) * (SUMIFS('📋 Detalle Diario'!$E$5:$E$489, '📋 Detalle Diario'!$B$5:$B$489, B4089, '📋 Detalle Diario'!$C$5:$C$489, D4089) * 135 + SUMIFS('📋 Detalle Diario'!$I$5:$I$489, '📋 Detalle Diario'!$B$5:$B$489, B4089, '📋 Detalle Diario'!$C$5:$C$489, D4089) * 200), 0))</f>
        <v/>
      </c>
      <c r="P4089" s="32" t="str">
        <f t="shared" si="446"/>
        <v/>
      </c>
      <c r="Q4089" s="33" t="str">
        <f t="shared" si="447"/>
        <v/>
      </c>
    </row>
    <row r="4090" spans="2:17" ht="18" customHeight="1" x14ac:dyDescent="0.3">
      <c r="B4090" s="26"/>
      <c r="C4090" s="17"/>
      <c r="D4090" s="27"/>
      <c r="E4090" s="18"/>
      <c r="F4090" s="18"/>
      <c r="G4090" s="18"/>
      <c r="H4090" s="30" t="str">
        <f t="shared" si="441"/>
        <v/>
      </c>
      <c r="I4090" s="31" t="str">
        <f>IF(OR(B4090="",C4090=""),"",IFERROR(E4090*IF(E4090="",0,VLOOKUP(C4090,'📦 Precios Proforma'!$B$5:$D$104,IF(D4090="DIA",2,3),FALSE)),0))</f>
        <v/>
      </c>
      <c r="J4090" s="31" t="str">
        <f t="shared" si="442"/>
        <v/>
      </c>
      <c r="K4090" s="31" t="str">
        <f t="shared" si="443"/>
        <v/>
      </c>
      <c r="L4090" s="31" t="str">
        <f>IF(OR(B4090="",C4090=""),"",IFERROR(E4090 / SUMIFS('📅 Resumen Diario'!$D$5:$D$504, '📅 Resumen Diario'!$B$5:$B$504, B4090, '📅 Resumen Diario'!$C$5:$C$504, D4090) * SUMIFS('📅 Resumen Diario'!$K$5:$K$504, '📅 Resumen Diario'!$B$5:$B$504, B4090, '📅 Resumen Diario'!$C$5:$C$504, D4090), 0))</f>
        <v/>
      </c>
      <c r="M4090" s="31" t="str">
        <f t="shared" si="444"/>
        <v/>
      </c>
      <c r="N4090" s="31" t="str">
        <f t="shared" si="445"/>
        <v/>
      </c>
      <c r="O4090" s="31" t="str">
        <f>IF(OR(B4090="",C4090=""),"",K4090-N4090 + IFERROR(E4090 / SUMIFS('📅 Resumen Diario'!$D$5:$D$504, '📅 Resumen Diario'!$B$5:$B$504, B4090, '📅 Resumen Diario'!$C$5:$C$504, D4090) * (SUMIFS('📋 Detalle Diario'!$E$5:$E$489, '📋 Detalle Diario'!$B$5:$B$489, B4090, '📋 Detalle Diario'!$C$5:$C$489, D4090) * 135 + SUMIFS('📋 Detalle Diario'!$I$5:$I$489, '📋 Detalle Diario'!$B$5:$B$489, B4090, '📋 Detalle Diario'!$C$5:$C$489, D4090) * 200), 0))</f>
        <v/>
      </c>
      <c r="P4090" s="32" t="str">
        <f t="shared" si="446"/>
        <v/>
      </c>
      <c r="Q4090" s="33" t="str">
        <f t="shared" si="447"/>
        <v/>
      </c>
    </row>
    <row r="4091" spans="2:17" ht="18" customHeight="1" x14ac:dyDescent="0.3">
      <c r="B4091" s="26"/>
      <c r="C4091" s="28"/>
      <c r="D4091" s="27"/>
      <c r="E4091" s="29"/>
      <c r="F4091" s="29"/>
      <c r="G4091" s="29"/>
      <c r="H4091" s="30" t="str">
        <f t="shared" si="441"/>
        <v/>
      </c>
      <c r="I4091" s="31" t="str">
        <f>IF(OR(B4091="",C4091=""),"",IFERROR(E4091*IF(E4091="",0,VLOOKUP(C4091,'📦 Precios Proforma'!$B$5:$D$104,IF(D4091="DIA",2,3),FALSE)),0))</f>
        <v/>
      </c>
      <c r="J4091" s="31" t="str">
        <f t="shared" si="442"/>
        <v/>
      </c>
      <c r="K4091" s="31" t="str">
        <f t="shared" si="443"/>
        <v/>
      </c>
      <c r="L4091" s="31" t="str">
        <f>IF(OR(B4091="",C4091=""),"",IFERROR(E4091 / SUMIFS('📅 Resumen Diario'!$D$5:$D$504, '📅 Resumen Diario'!$B$5:$B$504, B4091, '📅 Resumen Diario'!$C$5:$C$504, D4091) * SUMIFS('📅 Resumen Diario'!$K$5:$K$504, '📅 Resumen Diario'!$B$5:$B$504, B4091, '📅 Resumen Diario'!$C$5:$C$504, D4091), 0))</f>
        <v/>
      </c>
      <c r="M4091" s="31" t="str">
        <f t="shared" si="444"/>
        <v/>
      </c>
      <c r="N4091" s="31" t="str">
        <f t="shared" si="445"/>
        <v/>
      </c>
      <c r="O4091" s="31" t="str">
        <f>IF(OR(B4091="",C4091=""),"",K4091-N4091 + IFERROR(E4091 / SUMIFS('📅 Resumen Diario'!$D$5:$D$504, '📅 Resumen Diario'!$B$5:$B$504, B4091, '📅 Resumen Diario'!$C$5:$C$504, D4091) * (SUMIFS('📋 Detalle Diario'!$E$5:$E$489, '📋 Detalle Diario'!$B$5:$B$489, B4091, '📋 Detalle Diario'!$C$5:$C$489, D4091) * 135 + SUMIFS('📋 Detalle Diario'!$I$5:$I$489, '📋 Detalle Diario'!$B$5:$B$489, B4091, '📋 Detalle Diario'!$C$5:$C$489, D4091) * 200), 0))</f>
        <v/>
      </c>
      <c r="P4091" s="32" t="str">
        <f t="shared" si="446"/>
        <v/>
      </c>
      <c r="Q4091" s="33" t="str">
        <f t="shared" si="447"/>
        <v/>
      </c>
    </row>
    <row r="4092" spans="2:17" ht="18" customHeight="1" x14ac:dyDescent="0.3">
      <c r="B4092" s="26"/>
      <c r="C4092" s="17"/>
      <c r="D4092" s="27"/>
      <c r="E4092" s="18"/>
      <c r="F4092" s="18"/>
      <c r="G4092" s="18"/>
      <c r="H4092" s="30" t="str">
        <f t="shared" si="441"/>
        <v/>
      </c>
      <c r="I4092" s="31" t="str">
        <f>IF(OR(B4092="",C4092=""),"",IFERROR(E4092*IF(E4092="",0,VLOOKUP(C4092,'📦 Precios Proforma'!$B$5:$D$104,IF(D4092="DIA",2,3),FALSE)),0))</f>
        <v/>
      </c>
      <c r="J4092" s="31" t="str">
        <f t="shared" si="442"/>
        <v/>
      </c>
      <c r="K4092" s="31" t="str">
        <f t="shared" si="443"/>
        <v/>
      </c>
      <c r="L4092" s="31" t="str">
        <f>IF(OR(B4092="",C4092=""),"",IFERROR(E4092 / SUMIFS('📅 Resumen Diario'!$D$5:$D$504, '📅 Resumen Diario'!$B$5:$B$504, B4092, '📅 Resumen Diario'!$C$5:$C$504, D4092) * SUMIFS('📅 Resumen Diario'!$K$5:$K$504, '📅 Resumen Diario'!$B$5:$B$504, B4092, '📅 Resumen Diario'!$C$5:$C$504, D4092), 0))</f>
        <v/>
      </c>
      <c r="M4092" s="31" t="str">
        <f t="shared" si="444"/>
        <v/>
      </c>
      <c r="N4092" s="31" t="str">
        <f t="shared" si="445"/>
        <v/>
      </c>
      <c r="O4092" s="31" t="str">
        <f>IF(OR(B4092="",C4092=""),"",K4092-N4092 + IFERROR(E4092 / SUMIFS('📅 Resumen Diario'!$D$5:$D$504, '📅 Resumen Diario'!$B$5:$B$504, B4092, '📅 Resumen Diario'!$C$5:$C$504, D4092) * (SUMIFS('📋 Detalle Diario'!$E$5:$E$489, '📋 Detalle Diario'!$B$5:$B$489, B4092, '📋 Detalle Diario'!$C$5:$C$489, D4092) * 135 + SUMIFS('📋 Detalle Diario'!$I$5:$I$489, '📋 Detalle Diario'!$B$5:$B$489, B4092, '📋 Detalle Diario'!$C$5:$C$489, D4092) * 200), 0))</f>
        <v/>
      </c>
      <c r="P4092" s="32" t="str">
        <f t="shared" si="446"/>
        <v/>
      </c>
      <c r="Q4092" s="33" t="str">
        <f t="shared" si="447"/>
        <v/>
      </c>
    </row>
    <row r="4093" spans="2:17" ht="18" customHeight="1" x14ac:dyDescent="0.3">
      <c r="B4093" s="26"/>
      <c r="C4093" s="28"/>
      <c r="D4093" s="27"/>
      <c r="E4093" s="29"/>
      <c r="F4093" s="29"/>
      <c r="G4093" s="29"/>
      <c r="H4093" s="30" t="str">
        <f t="shared" si="441"/>
        <v/>
      </c>
      <c r="I4093" s="31" t="str">
        <f>IF(OR(B4093="",C4093=""),"",IFERROR(E4093*IF(E4093="",0,VLOOKUP(C4093,'📦 Precios Proforma'!$B$5:$D$104,IF(D4093="DIA",2,3),FALSE)),0))</f>
        <v/>
      </c>
      <c r="J4093" s="31" t="str">
        <f t="shared" si="442"/>
        <v/>
      </c>
      <c r="K4093" s="31" t="str">
        <f t="shared" si="443"/>
        <v/>
      </c>
      <c r="L4093" s="31" t="str">
        <f>IF(OR(B4093="",C4093=""),"",IFERROR(E4093 / SUMIFS('📅 Resumen Diario'!$D$5:$D$504, '📅 Resumen Diario'!$B$5:$B$504, B4093, '📅 Resumen Diario'!$C$5:$C$504, D4093) * SUMIFS('📅 Resumen Diario'!$K$5:$K$504, '📅 Resumen Diario'!$B$5:$B$504, B4093, '📅 Resumen Diario'!$C$5:$C$504, D4093), 0))</f>
        <v/>
      </c>
      <c r="M4093" s="31" t="str">
        <f t="shared" si="444"/>
        <v/>
      </c>
      <c r="N4093" s="31" t="str">
        <f t="shared" si="445"/>
        <v/>
      </c>
      <c r="O4093" s="31" t="str">
        <f>IF(OR(B4093="",C4093=""),"",K4093-N4093 + IFERROR(E4093 / SUMIFS('📅 Resumen Diario'!$D$5:$D$504, '📅 Resumen Diario'!$B$5:$B$504, B4093, '📅 Resumen Diario'!$C$5:$C$504, D4093) * (SUMIFS('📋 Detalle Diario'!$E$5:$E$489, '📋 Detalle Diario'!$B$5:$B$489, B4093, '📋 Detalle Diario'!$C$5:$C$489, D4093) * 135 + SUMIFS('📋 Detalle Diario'!$I$5:$I$489, '📋 Detalle Diario'!$B$5:$B$489, B4093, '📋 Detalle Diario'!$C$5:$C$489, D4093) * 200), 0))</f>
        <v/>
      </c>
      <c r="P4093" s="32" t="str">
        <f t="shared" si="446"/>
        <v/>
      </c>
      <c r="Q4093" s="33" t="str">
        <f t="shared" si="447"/>
        <v/>
      </c>
    </row>
    <row r="4094" spans="2:17" ht="18" customHeight="1" x14ac:dyDescent="0.3">
      <c r="B4094" s="26"/>
      <c r="C4094" s="17"/>
      <c r="D4094" s="27"/>
      <c r="E4094" s="18"/>
      <c r="F4094" s="18"/>
      <c r="G4094" s="18"/>
      <c r="H4094" s="30" t="str">
        <f t="shared" si="441"/>
        <v/>
      </c>
      <c r="I4094" s="31" t="str">
        <f>IF(OR(B4094="",C4094=""),"",IFERROR(E4094*IF(E4094="",0,VLOOKUP(C4094,'📦 Precios Proforma'!$B$5:$D$104,IF(D4094="DIA",2,3),FALSE)),0))</f>
        <v/>
      </c>
      <c r="J4094" s="31" t="str">
        <f t="shared" si="442"/>
        <v/>
      </c>
      <c r="K4094" s="31" t="str">
        <f t="shared" si="443"/>
        <v/>
      </c>
      <c r="L4094" s="31" t="str">
        <f>IF(OR(B4094="",C4094=""),"",IFERROR(E4094 / SUMIFS('📅 Resumen Diario'!$D$5:$D$504, '📅 Resumen Diario'!$B$5:$B$504, B4094, '📅 Resumen Diario'!$C$5:$C$504, D4094) * SUMIFS('📅 Resumen Diario'!$K$5:$K$504, '📅 Resumen Diario'!$B$5:$B$504, B4094, '📅 Resumen Diario'!$C$5:$C$504, D4094), 0))</f>
        <v/>
      </c>
      <c r="M4094" s="31" t="str">
        <f t="shared" si="444"/>
        <v/>
      </c>
      <c r="N4094" s="31" t="str">
        <f t="shared" si="445"/>
        <v/>
      </c>
      <c r="O4094" s="31" t="str">
        <f>IF(OR(B4094="",C4094=""),"",K4094-N4094 + IFERROR(E4094 / SUMIFS('📅 Resumen Diario'!$D$5:$D$504, '📅 Resumen Diario'!$B$5:$B$504, B4094, '📅 Resumen Diario'!$C$5:$C$504, D4094) * (SUMIFS('📋 Detalle Diario'!$E$5:$E$489, '📋 Detalle Diario'!$B$5:$B$489, B4094, '📋 Detalle Diario'!$C$5:$C$489, D4094) * 135 + SUMIFS('📋 Detalle Diario'!$I$5:$I$489, '📋 Detalle Diario'!$B$5:$B$489, B4094, '📋 Detalle Diario'!$C$5:$C$489, D4094) * 200), 0))</f>
        <v/>
      </c>
      <c r="P4094" s="32" t="str">
        <f t="shared" si="446"/>
        <v/>
      </c>
      <c r="Q4094" s="33" t="str">
        <f t="shared" si="447"/>
        <v/>
      </c>
    </row>
    <row r="4095" spans="2:17" ht="18" customHeight="1" x14ac:dyDescent="0.3">
      <c r="B4095" s="26"/>
      <c r="C4095" s="28"/>
      <c r="D4095" s="27"/>
      <c r="E4095" s="29"/>
      <c r="F4095" s="29"/>
      <c r="G4095" s="29"/>
      <c r="H4095" s="30" t="str">
        <f t="shared" si="441"/>
        <v/>
      </c>
      <c r="I4095" s="31" t="str">
        <f>IF(OR(B4095="",C4095=""),"",IFERROR(E4095*IF(E4095="",0,VLOOKUP(C4095,'📦 Precios Proforma'!$B$5:$D$104,IF(D4095="DIA",2,3),FALSE)),0))</f>
        <v/>
      </c>
      <c r="J4095" s="31" t="str">
        <f t="shared" si="442"/>
        <v/>
      </c>
      <c r="K4095" s="31" t="str">
        <f t="shared" si="443"/>
        <v/>
      </c>
      <c r="L4095" s="31" t="str">
        <f>IF(OR(B4095="",C4095=""),"",IFERROR(E4095 / SUMIFS('📅 Resumen Diario'!$D$5:$D$504, '📅 Resumen Diario'!$B$5:$B$504, B4095, '📅 Resumen Diario'!$C$5:$C$504, D4095) * SUMIFS('📅 Resumen Diario'!$K$5:$K$504, '📅 Resumen Diario'!$B$5:$B$504, B4095, '📅 Resumen Diario'!$C$5:$C$504, D4095), 0))</f>
        <v/>
      </c>
      <c r="M4095" s="31" t="str">
        <f t="shared" si="444"/>
        <v/>
      </c>
      <c r="N4095" s="31" t="str">
        <f t="shared" si="445"/>
        <v/>
      </c>
      <c r="O4095" s="31" t="str">
        <f>IF(OR(B4095="",C4095=""),"",K4095-N4095 + IFERROR(E4095 / SUMIFS('📅 Resumen Diario'!$D$5:$D$504, '📅 Resumen Diario'!$B$5:$B$504, B4095, '📅 Resumen Diario'!$C$5:$C$504, D4095) * (SUMIFS('📋 Detalle Diario'!$E$5:$E$489, '📋 Detalle Diario'!$B$5:$B$489, B4095, '📋 Detalle Diario'!$C$5:$C$489, D4095) * 135 + SUMIFS('📋 Detalle Diario'!$I$5:$I$489, '📋 Detalle Diario'!$B$5:$B$489, B4095, '📋 Detalle Diario'!$C$5:$C$489, D4095) * 200), 0))</f>
        <v/>
      </c>
      <c r="P4095" s="32" t="str">
        <f t="shared" si="446"/>
        <v/>
      </c>
      <c r="Q4095" s="33" t="str">
        <f t="shared" si="447"/>
        <v/>
      </c>
    </row>
    <row r="4096" spans="2:17" ht="18" customHeight="1" x14ac:dyDescent="0.3">
      <c r="B4096" s="26"/>
      <c r="C4096" s="17"/>
      <c r="D4096" s="27"/>
      <c r="E4096" s="18"/>
      <c r="F4096" s="18"/>
      <c r="G4096" s="18"/>
      <c r="H4096" s="30" t="str">
        <f t="shared" si="441"/>
        <v/>
      </c>
      <c r="I4096" s="31" t="str">
        <f>IF(OR(B4096="",C4096=""),"",IFERROR(E4096*IF(E4096="",0,VLOOKUP(C4096,'📦 Precios Proforma'!$B$5:$D$104,IF(D4096="DIA",2,3),FALSE)),0))</f>
        <v/>
      </c>
      <c r="J4096" s="31" t="str">
        <f t="shared" si="442"/>
        <v/>
      </c>
      <c r="K4096" s="31" t="str">
        <f t="shared" si="443"/>
        <v/>
      </c>
      <c r="L4096" s="31" t="str">
        <f>IF(OR(B4096="",C4096=""),"",IFERROR(E4096 / SUMIFS('📅 Resumen Diario'!$D$5:$D$504, '📅 Resumen Diario'!$B$5:$B$504, B4096, '📅 Resumen Diario'!$C$5:$C$504, D4096) * SUMIFS('📅 Resumen Diario'!$K$5:$K$504, '📅 Resumen Diario'!$B$5:$B$504, B4096, '📅 Resumen Diario'!$C$5:$C$504, D4096), 0))</f>
        <v/>
      </c>
      <c r="M4096" s="31" t="str">
        <f t="shared" si="444"/>
        <v/>
      </c>
      <c r="N4096" s="31" t="str">
        <f t="shared" si="445"/>
        <v/>
      </c>
      <c r="O4096" s="31" t="str">
        <f>IF(OR(B4096="",C4096=""),"",K4096-N4096 + IFERROR(E4096 / SUMIFS('📅 Resumen Diario'!$D$5:$D$504, '📅 Resumen Diario'!$B$5:$B$504, B4096, '📅 Resumen Diario'!$C$5:$C$504, D4096) * (SUMIFS('📋 Detalle Diario'!$E$5:$E$489, '📋 Detalle Diario'!$B$5:$B$489, B4096, '📋 Detalle Diario'!$C$5:$C$489, D4096) * 135 + SUMIFS('📋 Detalle Diario'!$I$5:$I$489, '📋 Detalle Diario'!$B$5:$B$489, B4096, '📋 Detalle Diario'!$C$5:$C$489, D4096) * 200), 0))</f>
        <v/>
      </c>
      <c r="P4096" s="32" t="str">
        <f t="shared" si="446"/>
        <v/>
      </c>
      <c r="Q4096" s="33" t="str">
        <f t="shared" si="447"/>
        <v/>
      </c>
    </row>
    <row r="4097" spans="2:17" ht="18" customHeight="1" x14ac:dyDescent="0.3">
      <c r="B4097" s="26"/>
      <c r="C4097" s="28"/>
      <c r="D4097" s="27"/>
      <c r="E4097" s="29"/>
      <c r="F4097" s="29"/>
      <c r="G4097" s="29"/>
      <c r="H4097" s="30" t="str">
        <f t="shared" si="441"/>
        <v/>
      </c>
      <c r="I4097" s="31" t="str">
        <f>IF(OR(B4097="",C4097=""),"",IFERROR(E4097*IF(E4097="",0,VLOOKUP(C4097,'📦 Precios Proforma'!$B$5:$D$104,IF(D4097="DIA",2,3),FALSE)),0))</f>
        <v/>
      </c>
      <c r="J4097" s="31" t="str">
        <f t="shared" si="442"/>
        <v/>
      </c>
      <c r="K4097" s="31" t="str">
        <f t="shared" si="443"/>
        <v/>
      </c>
      <c r="L4097" s="31" t="str">
        <f>IF(OR(B4097="",C4097=""),"",IFERROR(E4097 / SUMIFS('📅 Resumen Diario'!$D$5:$D$504, '📅 Resumen Diario'!$B$5:$B$504, B4097, '📅 Resumen Diario'!$C$5:$C$504, D4097) * SUMIFS('📅 Resumen Diario'!$K$5:$K$504, '📅 Resumen Diario'!$B$5:$B$504, B4097, '📅 Resumen Diario'!$C$5:$C$504, D4097), 0))</f>
        <v/>
      </c>
      <c r="M4097" s="31" t="str">
        <f t="shared" si="444"/>
        <v/>
      </c>
      <c r="N4097" s="31" t="str">
        <f t="shared" si="445"/>
        <v/>
      </c>
      <c r="O4097" s="31" t="str">
        <f>IF(OR(B4097="",C4097=""),"",K4097-N4097 + IFERROR(E4097 / SUMIFS('📅 Resumen Diario'!$D$5:$D$504, '📅 Resumen Diario'!$B$5:$B$504, B4097, '📅 Resumen Diario'!$C$5:$C$504, D4097) * (SUMIFS('📋 Detalle Diario'!$E$5:$E$489, '📋 Detalle Diario'!$B$5:$B$489, B4097, '📋 Detalle Diario'!$C$5:$C$489, D4097) * 135 + SUMIFS('📋 Detalle Diario'!$I$5:$I$489, '📋 Detalle Diario'!$B$5:$B$489, B4097, '📋 Detalle Diario'!$C$5:$C$489, D4097) * 200), 0))</f>
        <v/>
      </c>
      <c r="P4097" s="32" t="str">
        <f t="shared" si="446"/>
        <v/>
      </c>
      <c r="Q4097" s="33" t="str">
        <f t="shared" si="447"/>
        <v/>
      </c>
    </row>
    <row r="4098" spans="2:17" ht="18" customHeight="1" x14ac:dyDescent="0.3">
      <c r="B4098" s="26"/>
      <c r="C4098" s="17"/>
      <c r="D4098" s="27"/>
      <c r="E4098" s="18"/>
      <c r="F4098" s="18"/>
      <c r="G4098" s="18"/>
      <c r="H4098" s="30" t="str">
        <f t="shared" si="441"/>
        <v/>
      </c>
      <c r="I4098" s="31" t="str">
        <f>IF(OR(B4098="",C4098=""),"",IFERROR(E4098*IF(E4098="",0,VLOOKUP(C4098,'📦 Precios Proforma'!$B$5:$D$104,IF(D4098="DIA",2,3),FALSE)),0))</f>
        <v/>
      </c>
      <c r="J4098" s="31" t="str">
        <f t="shared" si="442"/>
        <v/>
      </c>
      <c r="K4098" s="31" t="str">
        <f t="shared" si="443"/>
        <v/>
      </c>
      <c r="L4098" s="31" t="str">
        <f>IF(OR(B4098="",C4098=""),"",IFERROR(E4098 / SUMIFS('📅 Resumen Diario'!$D$5:$D$504, '📅 Resumen Diario'!$B$5:$B$504, B4098, '📅 Resumen Diario'!$C$5:$C$504, D4098) * SUMIFS('📅 Resumen Diario'!$K$5:$K$504, '📅 Resumen Diario'!$B$5:$B$504, B4098, '📅 Resumen Diario'!$C$5:$C$504, D4098), 0))</f>
        <v/>
      </c>
      <c r="M4098" s="31" t="str">
        <f t="shared" si="444"/>
        <v/>
      </c>
      <c r="N4098" s="31" t="str">
        <f t="shared" si="445"/>
        <v/>
      </c>
      <c r="O4098" s="31" t="str">
        <f>IF(OR(B4098="",C4098=""),"",K4098-N4098 + IFERROR(E4098 / SUMIFS('📅 Resumen Diario'!$D$5:$D$504, '📅 Resumen Diario'!$B$5:$B$504, B4098, '📅 Resumen Diario'!$C$5:$C$504, D4098) * (SUMIFS('📋 Detalle Diario'!$E$5:$E$489, '📋 Detalle Diario'!$B$5:$B$489, B4098, '📋 Detalle Diario'!$C$5:$C$489, D4098) * 135 + SUMIFS('📋 Detalle Diario'!$I$5:$I$489, '📋 Detalle Diario'!$B$5:$B$489, B4098, '📋 Detalle Diario'!$C$5:$C$489, D4098) * 200), 0))</f>
        <v/>
      </c>
      <c r="P4098" s="32" t="str">
        <f t="shared" si="446"/>
        <v/>
      </c>
      <c r="Q4098" s="33" t="str">
        <f t="shared" si="447"/>
        <v/>
      </c>
    </row>
    <row r="4099" spans="2:17" ht="18" customHeight="1" x14ac:dyDescent="0.3">
      <c r="B4099" s="26"/>
      <c r="C4099" s="28"/>
      <c r="D4099" s="27"/>
      <c r="E4099" s="29"/>
      <c r="F4099" s="29"/>
      <c r="G4099" s="29"/>
      <c r="H4099" s="30" t="str">
        <f t="shared" si="441"/>
        <v/>
      </c>
      <c r="I4099" s="31" t="str">
        <f>IF(OR(B4099="",C4099=""),"",IFERROR(E4099*IF(E4099="",0,VLOOKUP(C4099,'📦 Precios Proforma'!$B$5:$D$104,IF(D4099="DIA",2,3),FALSE)),0))</f>
        <v/>
      </c>
      <c r="J4099" s="31" t="str">
        <f t="shared" si="442"/>
        <v/>
      </c>
      <c r="K4099" s="31" t="str">
        <f t="shared" si="443"/>
        <v/>
      </c>
      <c r="L4099" s="31" t="str">
        <f>IF(OR(B4099="",C4099=""),"",IFERROR(E4099 / SUMIFS('📅 Resumen Diario'!$D$5:$D$504, '📅 Resumen Diario'!$B$5:$B$504, B4099, '📅 Resumen Diario'!$C$5:$C$504, D4099) * SUMIFS('📅 Resumen Diario'!$K$5:$K$504, '📅 Resumen Diario'!$B$5:$B$504, B4099, '📅 Resumen Diario'!$C$5:$C$504, D4099), 0))</f>
        <v/>
      </c>
      <c r="M4099" s="31" t="str">
        <f t="shared" si="444"/>
        <v/>
      </c>
      <c r="N4099" s="31" t="str">
        <f t="shared" si="445"/>
        <v/>
      </c>
      <c r="O4099" s="31" t="str">
        <f>IF(OR(B4099="",C4099=""),"",K4099-N4099 + IFERROR(E4099 / SUMIFS('📅 Resumen Diario'!$D$5:$D$504, '📅 Resumen Diario'!$B$5:$B$504, B4099, '📅 Resumen Diario'!$C$5:$C$504, D4099) * (SUMIFS('📋 Detalle Diario'!$E$5:$E$489, '📋 Detalle Diario'!$B$5:$B$489, B4099, '📋 Detalle Diario'!$C$5:$C$489, D4099) * 135 + SUMIFS('📋 Detalle Diario'!$I$5:$I$489, '📋 Detalle Diario'!$B$5:$B$489, B4099, '📋 Detalle Diario'!$C$5:$C$489, D4099) * 200), 0))</f>
        <v/>
      </c>
      <c r="P4099" s="32" t="str">
        <f t="shared" si="446"/>
        <v/>
      </c>
      <c r="Q4099" s="33" t="str">
        <f t="shared" si="447"/>
        <v/>
      </c>
    </row>
    <row r="4100" spans="2:17" ht="18" customHeight="1" x14ac:dyDescent="0.3">
      <c r="B4100" s="26"/>
      <c r="C4100" s="17"/>
      <c r="D4100" s="27"/>
      <c r="E4100" s="18"/>
      <c r="F4100" s="18"/>
      <c r="G4100" s="18"/>
      <c r="H4100" s="30" t="str">
        <f t="shared" si="441"/>
        <v/>
      </c>
      <c r="I4100" s="31" t="str">
        <f>IF(OR(B4100="",C4100=""),"",IFERROR(E4100*IF(E4100="",0,VLOOKUP(C4100,'📦 Precios Proforma'!$B$5:$D$104,IF(D4100="DIA",2,3),FALSE)),0))</f>
        <v/>
      </c>
      <c r="J4100" s="31" t="str">
        <f t="shared" si="442"/>
        <v/>
      </c>
      <c r="K4100" s="31" t="str">
        <f t="shared" si="443"/>
        <v/>
      </c>
      <c r="L4100" s="31" t="str">
        <f>IF(OR(B4100="",C4100=""),"",IFERROR(E4100 / SUMIFS('📅 Resumen Diario'!$D$5:$D$504, '📅 Resumen Diario'!$B$5:$B$504, B4100, '📅 Resumen Diario'!$C$5:$C$504, D4100) * SUMIFS('📅 Resumen Diario'!$K$5:$K$504, '📅 Resumen Diario'!$B$5:$B$504, B4100, '📅 Resumen Diario'!$C$5:$C$504, D4100), 0))</f>
        <v/>
      </c>
      <c r="M4100" s="31" t="str">
        <f t="shared" si="444"/>
        <v/>
      </c>
      <c r="N4100" s="31" t="str">
        <f t="shared" si="445"/>
        <v/>
      </c>
      <c r="O4100" s="31" t="str">
        <f>IF(OR(B4100="",C4100=""),"",K4100-N4100 + IFERROR(E4100 / SUMIFS('📅 Resumen Diario'!$D$5:$D$504, '📅 Resumen Diario'!$B$5:$B$504, B4100, '📅 Resumen Diario'!$C$5:$C$504, D4100) * (SUMIFS('📋 Detalle Diario'!$E$5:$E$489, '📋 Detalle Diario'!$B$5:$B$489, B4100, '📋 Detalle Diario'!$C$5:$C$489, D4100) * 135 + SUMIFS('📋 Detalle Diario'!$I$5:$I$489, '📋 Detalle Diario'!$B$5:$B$489, B4100, '📋 Detalle Diario'!$C$5:$C$489, D4100) * 200), 0))</f>
        <v/>
      </c>
      <c r="P4100" s="32" t="str">
        <f t="shared" si="446"/>
        <v/>
      </c>
      <c r="Q4100" s="33" t="str">
        <f t="shared" si="447"/>
        <v/>
      </c>
    </row>
    <row r="4101" spans="2:17" ht="18" customHeight="1" x14ac:dyDescent="0.3">
      <c r="B4101" s="26"/>
      <c r="C4101" s="28"/>
      <c r="D4101" s="27"/>
      <c r="E4101" s="29"/>
      <c r="F4101" s="29"/>
      <c r="G4101" s="29"/>
      <c r="H4101" s="30" t="str">
        <f t="shared" si="441"/>
        <v/>
      </c>
      <c r="I4101" s="31" t="str">
        <f>IF(OR(B4101="",C4101=""),"",IFERROR(E4101*IF(E4101="",0,VLOOKUP(C4101,'📦 Precios Proforma'!$B$5:$D$104,IF(D4101="DIA",2,3),FALSE)),0))</f>
        <v/>
      </c>
      <c r="J4101" s="31" t="str">
        <f t="shared" si="442"/>
        <v/>
      </c>
      <c r="K4101" s="31" t="str">
        <f t="shared" si="443"/>
        <v/>
      </c>
      <c r="L4101" s="31" t="str">
        <f>IF(OR(B4101="",C4101=""),"",IFERROR(E4101 / SUMIFS('📅 Resumen Diario'!$D$5:$D$504, '📅 Resumen Diario'!$B$5:$B$504, B4101, '📅 Resumen Diario'!$C$5:$C$504, D4101) * SUMIFS('📅 Resumen Diario'!$K$5:$K$504, '📅 Resumen Diario'!$B$5:$B$504, B4101, '📅 Resumen Diario'!$C$5:$C$504, D4101), 0))</f>
        <v/>
      </c>
      <c r="M4101" s="31" t="str">
        <f t="shared" si="444"/>
        <v/>
      </c>
      <c r="N4101" s="31" t="str">
        <f t="shared" si="445"/>
        <v/>
      </c>
      <c r="O4101" s="31" t="str">
        <f>IF(OR(B4101="",C4101=""),"",K4101-N4101 + IFERROR(E4101 / SUMIFS('📅 Resumen Diario'!$D$5:$D$504, '📅 Resumen Diario'!$B$5:$B$504, B4101, '📅 Resumen Diario'!$C$5:$C$504, D4101) * (SUMIFS('📋 Detalle Diario'!$E$5:$E$489, '📋 Detalle Diario'!$B$5:$B$489, B4101, '📋 Detalle Diario'!$C$5:$C$489, D4101) * 135 + SUMIFS('📋 Detalle Diario'!$I$5:$I$489, '📋 Detalle Diario'!$B$5:$B$489, B4101, '📋 Detalle Diario'!$C$5:$C$489, D4101) * 200), 0))</f>
        <v/>
      </c>
      <c r="P4101" s="32" t="str">
        <f t="shared" si="446"/>
        <v/>
      </c>
      <c r="Q4101" s="33" t="str">
        <f t="shared" si="447"/>
        <v/>
      </c>
    </row>
    <row r="4102" spans="2:17" ht="18" customHeight="1" x14ac:dyDescent="0.3">
      <c r="B4102" s="26"/>
      <c r="C4102" s="17"/>
      <c r="D4102" s="27"/>
      <c r="E4102" s="18"/>
      <c r="F4102" s="18"/>
      <c r="G4102" s="18"/>
      <c r="H4102" s="30" t="str">
        <f t="shared" si="441"/>
        <v/>
      </c>
      <c r="I4102" s="31" t="str">
        <f>IF(OR(B4102="",C4102=""),"",IFERROR(E4102*IF(E4102="",0,VLOOKUP(C4102,'📦 Precios Proforma'!$B$5:$D$104,IF(D4102="DIA",2,3),FALSE)),0))</f>
        <v/>
      </c>
      <c r="J4102" s="31" t="str">
        <f t="shared" si="442"/>
        <v/>
      </c>
      <c r="K4102" s="31" t="str">
        <f t="shared" si="443"/>
        <v/>
      </c>
      <c r="L4102" s="31" t="str">
        <f>IF(OR(B4102="",C4102=""),"",IFERROR(E4102 / SUMIFS('📅 Resumen Diario'!$D$5:$D$504, '📅 Resumen Diario'!$B$5:$B$504, B4102, '📅 Resumen Diario'!$C$5:$C$504, D4102) * SUMIFS('📅 Resumen Diario'!$K$5:$K$504, '📅 Resumen Diario'!$B$5:$B$504, B4102, '📅 Resumen Diario'!$C$5:$C$504, D4102), 0))</f>
        <v/>
      </c>
      <c r="M4102" s="31" t="str">
        <f t="shared" si="444"/>
        <v/>
      </c>
      <c r="N4102" s="31" t="str">
        <f t="shared" si="445"/>
        <v/>
      </c>
      <c r="O4102" s="31" t="str">
        <f>IF(OR(B4102="",C4102=""),"",K4102-N4102 + IFERROR(E4102 / SUMIFS('📅 Resumen Diario'!$D$5:$D$504, '📅 Resumen Diario'!$B$5:$B$504, B4102, '📅 Resumen Diario'!$C$5:$C$504, D4102) * (SUMIFS('📋 Detalle Diario'!$E$5:$E$489, '📋 Detalle Diario'!$B$5:$B$489, B4102, '📋 Detalle Diario'!$C$5:$C$489, D4102) * 135 + SUMIFS('📋 Detalle Diario'!$I$5:$I$489, '📋 Detalle Diario'!$B$5:$B$489, B4102, '📋 Detalle Diario'!$C$5:$C$489, D4102) * 200), 0))</f>
        <v/>
      </c>
      <c r="P4102" s="32" t="str">
        <f t="shared" si="446"/>
        <v/>
      </c>
      <c r="Q4102" s="33" t="str">
        <f t="shared" si="447"/>
        <v/>
      </c>
    </row>
    <row r="4103" spans="2:17" ht="18" customHeight="1" x14ac:dyDescent="0.3">
      <c r="B4103" s="26"/>
      <c r="C4103" s="28"/>
      <c r="D4103" s="27"/>
      <c r="E4103" s="29"/>
      <c r="F4103" s="29"/>
      <c r="G4103" s="29"/>
      <c r="H4103" s="30" t="str">
        <f t="shared" ref="H4103:H4166" si="448">IF(OR(B4103="",C4103=""),"",F4103+G4103)</f>
        <v/>
      </c>
      <c r="I4103" s="31" t="str">
        <f>IF(OR(B4103="",C4103=""),"",IFERROR(E4103*IF(E4103="",0,VLOOKUP(C4103,'📦 Precios Proforma'!$B$5:$D$104,IF(D4103="DIA",2,3),FALSE)),0))</f>
        <v/>
      </c>
      <c r="J4103" s="31" t="str">
        <f t="shared" ref="J4103:J4166" si="449">IF(OR(B4103="",C4103=""),"",IF(D4103="DIA",H4103*1.01,H4103*1.35))</f>
        <v/>
      </c>
      <c r="K4103" s="31" t="str">
        <f t="shared" ref="K4103:K4166" si="450">IF(OR(B4103="",C4103=""),"",I4103+J4103)</f>
        <v/>
      </c>
      <c r="L4103" s="31" t="str">
        <f>IF(OR(B4103="",C4103=""),"",IFERROR(E4103 / SUMIFS('📅 Resumen Diario'!$D$5:$D$504, '📅 Resumen Diario'!$B$5:$B$504, B4103, '📅 Resumen Diario'!$C$5:$C$504, D4103) * SUMIFS('📅 Resumen Diario'!$K$5:$K$504, '📅 Resumen Diario'!$B$5:$B$504, B4103, '📅 Resumen Diario'!$C$5:$C$504, D4103), 0))</f>
        <v/>
      </c>
      <c r="M4103" s="31" t="str">
        <f t="shared" ref="M4103:M4166" si="451">IF(OR(B4103="",C4103=""),"",H4103*0.09)</f>
        <v/>
      </c>
      <c r="N4103" s="31" t="str">
        <f t="shared" ref="N4103:N4166" si="452">IF(OR(B4103="",C4103=""),"",L4103+M4103)</f>
        <v/>
      </c>
      <c r="O4103" s="31" t="str">
        <f>IF(OR(B4103="",C4103=""),"",K4103-N4103 + IFERROR(E4103 / SUMIFS('📅 Resumen Diario'!$D$5:$D$504, '📅 Resumen Diario'!$B$5:$B$504, B4103, '📅 Resumen Diario'!$C$5:$C$504, D4103) * (SUMIFS('📋 Detalle Diario'!$E$5:$E$489, '📋 Detalle Diario'!$B$5:$B$489, B4103, '📋 Detalle Diario'!$C$5:$C$489, D4103) * 135 + SUMIFS('📋 Detalle Diario'!$I$5:$I$489, '📋 Detalle Diario'!$B$5:$B$489, B4103, '📋 Detalle Diario'!$C$5:$C$489, D4103) * 200), 0))</f>
        <v/>
      </c>
      <c r="P4103" s="32" t="str">
        <f t="shared" ref="P4103:P4166" si="453">IF(OR(B4103="",C4103=""),"",IF(K4103=0, 0, O4103/K4103))</f>
        <v/>
      </c>
      <c r="Q4103" s="33" t="str">
        <f t="shared" ref="Q4103:Q4166" si="454">IF(B4103="","",IF(ISNUMBER(B4103),YEAR(B4103)&amp;"-"&amp;IF(MONTH(B4103)&lt;10,"0","")&amp;MONTH(B4103),LEFT(B4103,7)))</f>
        <v/>
      </c>
    </row>
    <row r="4104" spans="2:17" ht="18" customHeight="1" x14ac:dyDescent="0.3">
      <c r="B4104" s="26"/>
      <c r="C4104" s="17"/>
      <c r="D4104" s="27"/>
      <c r="E4104" s="18"/>
      <c r="F4104" s="18"/>
      <c r="G4104" s="18"/>
      <c r="H4104" s="30" t="str">
        <f t="shared" si="448"/>
        <v/>
      </c>
      <c r="I4104" s="31" t="str">
        <f>IF(OR(B4104="",C4104=""),"",IFERROR(E4104*IF(E4104="",0,VLOOKUP(C4104,'📦 Precios Proforma'!$B$5:$D$104,IF(D4104="DIA",2,3),FALSE)),0))</f>
        <v/>
      </c>
      <c r="J4104" s="31" t="str">
        <f t="shared" si="449"/>
        <v/>
      </c>
      <c r="K4104" s="31" t="str">
        <f t="shared" si="450"/>
        <v/>
      </c>
      <c r="L4104" s="31" t="str">
        <f>IF(OR(B4104="",C4104=""),"",IFERROR(E4104 / SUMIFS('📅 Resumen Diario'!$D$5:$D$504, '📅 Resumen Diario'!$B$5:$B$504, B4104, '📅 Resumen Diario'!$C$5:$C$504, D4104) * SUMIFS('📅 Resumen Diario'!$K$5:$K$504, '📅 Resumen Diario'!$B$5:$B$504, B4104, '📅 Resumen Diario'!$C$5:$C$504, D4104), 0))</f>
        <v/>
      </c>
      <c r="M4104" s="31" t="str">
        <f t="shared" si="451"/>
        <v/>
      </c>
      <c r="N4104" s="31" t="str">
        <f t="shared" si="452"/>
        <v/>
      </c>
      <c r="O4104" s="31" t="str">
        <f>IF(OR(B4104="",C4104=""),"",K4104-N4104 + IFERROR(E4104 / SUMIFS('📅 Resumen Diario'!$D$5:$D$504, '📅 Resumen Diario'!$B$5:$B$504, B4104, '📅 Resumen Diario'!$C$5:$C$504, D4104) * (SUMIFS('📋 Detalle Diario'!$E$5:$E$489, '📋 Detalle Diario'!$B$5:$B$489, B4104, '📋 Detalle Diario'!$C$5:$C$489, D4104) * 135 + SUMIFS('📋 Detalle Diario'!$I$5:$I$489, '📋 Detalle Diario'!$B$5:$B$489, B4104, '📋 Detalle Diario'!$C$5:$C$489, D4104) * 200), 0))</f>
        <v/>
      </c>
      <c r="P4104" s="32" t="str">
        <f t="shared" si="453"/>
        <v/>
      </c>
      <c r="Q4104" s="33" t="str">
        <f t="shared" si="454"/>
        <v/>
      </c>
    </row>
    <row r="4105" spans="2:17" ht="18" customHeight="1" x14ac:dyDescent="0.3">
      <c r="B4105" s="26"/>
      <c r="C4105" s="28"/>
      <c r="D4105" s="27"/>
      <c r="E4105" s="29"/>
      <c r="F4105" s="29"/>
      <c r="G4105" s="29"/>
      <c r="H4105" s="30" t="str">
        <f t="shared" si="448"/>
        <v/>
      </c>
      <c r="I4105" s="31" t="str">
        <f>IF(OR(B4105="",C4105=""),"",IFERROR(E4105*IF(E4105="",0,VLOOKUP(C4105,'📦 Precios Proforma'!$B$5:$D$104,IF(D4105="DIA",2,3),FALSE)),0))</f>
        <v/>
      </c>
      <c r="J4105" s="31" t="str">
        <f t="shared" si="449"/>
        <v/>
      </c>
      <c r="K4105" s="31" t="str">
        <f t="shared" si="450"/>
        <v/>
      </c>
      <c r="L4105" s="31" t="str">
        <f>IF(OR(B4105="",C4105=""),"",IFERROR(E4105 / SUMIFS('📅 Resumen Diario'!$D$5:$D$504, '📅 Resumen Diario'!$B$5:$B$504, B4105, '📅 Resumen Diario'!$C$5:$C$504, D4105) * SUMIFS('📅 Resumen Diario'!$K$5:$K$504, '📅 Resumen Diario'!$B$5:$B$504, B4105, '📅 Resumen Diario'!$C$5:$C$504, D4105), 0))</f>
        <v/>
      </c>
      <c r="M4105" s="31" t="str">
        <f t="shared" si="451"/>
        <v/>
      </c>
      <c r="N4105" s="31" t="str">
        <f t="shared" si="452"/>
        <v/>
      </c>
      <c r="O4105" s="31" t="str">
        <f>IF(OR(B4105="",C4105=""),"",K4105-N4105 + IFERROR(E4105 / SUMIFS('📅 Resumen Diario'!$D$5:$D$504, '📅 Resumen Diario'!$B$5:$B$504, B4105, '📅 Resumen Diario'!$C$5:$C$504, D4105) * (SUMIFS('📋 Detalle Diario'!$E$5:$E$489, '📋 Detalle Diario'!$B$5:$B$489, B4105, '📋 Detalle Diario'!$C$5:$C$489, D4105) * 135 + SUMIFS('📋 Detalle Diario'!$I$5:$I$489, '📋 Detalle Diario'!$B$5:$B$489, B4105, '📋 Detalle Diario'!$C$5:$C$489, D4105) * 200), 0))</f>
        <v/>
      </c>
      <c r="P4105" s="32" t="str">
        <f t="shared" si="453"/>
        <v/>
      </c>
      <c r="Q4105" s="33" t="str">
        <f t="shared" si="454"/>
        <v/>
      </c>
    </row>
    <row r="4106" spans="2:17" ht="18" customHeight="1" x14ac:dyDescent="0.3">
      <c r="B4106" s="26"/>
      <c r="C4106" s="17"/>
      <c r="D4106" s="27"/>
      <c r="E4106" s="18"/>
      <c r="F4106" s="18"/>
      <c r="G4106" s="18"/>
      <c r="H4106" s="30" t="str">
        <f t="shared" si="448"/>
        <v/>
      </c>
      <c r="I4106" s="31" t="str">
        <f>IF(OR(B4106="",C4106=""),"",IFERROR(E4106*IF(E4106="",0,VLOOKUP(C4106,'📦 Precios Proforma'!$B$5:$D$104,IF(D4106="DIA",2,3),FALSE)),0))</f>
        <v/>
      </c>
      <c r="J4106" s="31" t="str">
        <f t="shared" si="449"/>
        <v/>
      </c>
      <c r="K4106" s="31" t="str">
        <f t="shared" si="450"/>
        <v/>
      </c>
      <c r="L4106" s="31" t="str">
        <f>IF(OR(B4106="",C4106=""),"",IFERROR(E4106 / SUMIFS('📅 Resumen Diario'!$D$5:$D$504, '📅 Resumen Diario'!$B$5:$B$504, B4106, '📅 Resumen Diario'!$C$5:$C$504, D4106) * SUMIFS('📅 Resumen Diario'!$K$5:$K$504, '📅 Resumen Diario'!$B$5:$B$504, B4106, '📅 Resumen Diario'!$C$5:$C$504, D4106), 0))</f>
        <v/>
      </c>
      <c r="M4106" s="31" t="str">
        <f t="shared" si="451"/>
        <v/>
      </c>
      <c r="N4106" s="31" t="str">
        <f t="shared" si="452"/>
        <v/>
      </c>
      <c r="O4106" s="31" t="str">
        <f>IF(OR(B4106="",C4106=""),"",K4106-N4106 + IFERROR(E4106 / SUMIFS('📅 Resumen Diario'!$D$5:$D$504, '📅 Resumen Diario'!$B$5:$B$504, B4106, '📅 Resumen Diario'!$C$5:$C$504, D4106) * (SUMIFS('📋 Detalle Diario'!$E$5:$E$489, '📋 Detalle Diario'!$B$5:$B$489, B4106, '📋 Detalle Diario'!$C$5:$C$489, D4106) * 135 + SUMIFS('📋 Detalle Diario'!$I$5:$I$489, '📋 Detalle Diario'!$B$5:$B$489, B4106, '📋 Detalle Diario'!$C$5:$C$489, D4106) * 200), 0))</f>
        <v/>
      </c>
      <c r="P4106" s="32" t="str">
        <f t="shared" si="453"/>
        <v/>
      </c>
      <c r="Q4106" s="33" t="str">
        <f t="shared" si="454"/>
        <v/>
      </c>
    </row>
    <row r="4107" spans="2:17" ht="18" customHeight="1" x14ac:dyDescent="0.3">
      <c r="B4107" s="26"/>
      <c r="C4107" s="28"/>
      <c r="D4107" s="27"/>
      <c r="E4107" s="29"/>
      <c r="F4107" s="29"/>
      <c r="G4107" s="29"/>
      <c r="H4107" s="30" t="str">
        <f t="shared" si="448"/>
        <v/>
      </c>
      <c r="I4107" s="31" t="str">
        <f>IF(OR(B4107="",C4107=""),"",IFERROR(E4107*IF(E4107="",0,VLOOKUP(C4107,'📦 Precios Proforma'!$B$5:$D$104,IF(D4107="DIA",2,3),FALSE)),0))</f>
        <v/>
      </c>
      <c r="J4107" s="31" t="str">
        <f t="shared" si="449"/>
        <v/>
      </c>
      <c r="K4107" s="31" t="str">
        <f t="shared" si="450"/>
        <v/>
      </c>
      <c r="L4107" s="31" t="str">
        <f>IF(OR(B4107="",C4107=""),"",IFERROR(E4107 / SUMIFS('📅 Resumen Diario'!$D$5:$D$504, '📅 Resumen Diario'!$B$5:$B$504, B4107, '📅 Resumen Diario'!$C$5:$C$504, D4107) * SUMIFS('📅 Resumen Diario'!$K$5:$K$504, '📅 Resumen Diario'!$B$5:$B$504, B4107, '📅 Resumen Diario'!$C$5:$C$504, D4107), 0))</f>
        <v/>
      </c>
      <c r="M4107" s="31" t="str">
        <f t="shared" si="451"/>
        <v/>
      </c>
      <c r="N4107" s="31" t="str">
        <f t="shared" si="452"/>
        <v/>
      </c>
      <c r="O4107" s="31" t="str">
        <f>IF(OR(B4107="",C4107=""),"",K4107-N4107 + IFERROR(E4107 / SUMIFS('📅 Resumen Diario'!$D$5:$D$504, '📅 Resumen Diario'!$B$5:$B$504, B4107, '📅 Resumen Diario'!$C$5:$C$504, D4107) * (SUMIFS('📋 Detalle Diario'!$E$5:$E$489, '📋 Detalle Diario'!$B$5:$B$489, B4107, '📋 Detalle Diario'!$C$5:$C$489, D4107) * 135 + SUMIFS('📋 Detalle Diario'!$I$5:$I$489, '📋 Detalle Diario'!$B$5:$B$489, B4107, '📋 Detalle Diario'!$C$5:$C$489, D4107) * 200), 0))</f>
        <v/>
      </c>
      <c r="P4107" s="32" t="str">
        <f t="shared" si="453"/>
        <v/>
      </c>
      <c r="Q4107" s="33" t="str">
        <f t="shared" si="454"/>
        <v/>
      </c>
    </row>
    <row r="4108" spans="2:17" ht="18" customHeight="1" x14ac:dyDescent="0.3">
      <c r="B4108" s="26"/>
      <c r="C4108" s="17"/>
      <c r="D4108" s="27"/>
      <c r="E4108" s="18"/>
      <c r="F4108" s="18"/>
      <c r="G4108" s="18"/>
      <c r="H4108" s="30" t="str">
        <f t="shared" si="448"/>
        <v/>
      </c>
      <c r="I4108" s="31" t="str">
        <f>IF(OR(B4108="",C4108=""),"",IFERROR(E4108*IF(E4108="",0,VLOOKUP(C4108,'📦 Precios Proforma'!$B$5:$D$104,IF(D4108="DIA",2,3),FALSE)),0))</f>
        <v/>
      </c>
      <c r="J4108" s="31" t="str">
        <f t="shared" si="449"/>
        <v/>
      </c>
      <c r="K4108" s="31" t="str">
        <f t="shared" si="450"/>
        <v/>
      </c>
      <c r="L4108" s="31" t="str">
        <f>IF(OR(B4108="",C4108=""),"",IFERROR(E4108 / SUMIFS('📅 Resumen Diario'!$D$5:$D$504, '📅 Resumen Diario'!$B$5:$B$504, B4108, '📅 Resumen Diario'!$C$5:$C$504, D4108) * SUMIFS('📅 Resumen Diario'!$K$5:$K$504, '📅 Resumen Diario'!$B$5:$B$504, B4108, '📅 Resumen Diario'!$C$5:$C$504, D4108), 0))</f>
        <v/>
      </c>
      <c r="M4108" s="31" t="str">
        <f t="shared" si="451"/>
        <v/>
      </c>
      <c r="N4108" s="31" t="str">
        <f t="shared" si="452"/>
        <v/>
      </c>
      <c r="O4108" s="31" t="str">
        <f>IF(OR(B4108="",C4108=""),"",K4108-N4108 + IFERROR(E4108 / SUMIFS('📅 Resumen Diario'!$D$5:$D$504, '📅 Resumen Diario'!$B$5:$B$504, B4108, '📅 Resumen Diario'!$C$5:$C$504, D4108) * (SUMIFS('📋 Detalle Diario'!$E$5:$E$489, '📋 Detalle Diario'!$B$5:$B$489, B4108, '📋 Detalle Diario'!$C$5:$C$489, D4108) * 135 + SUMIFS('📋 Detalle Diario'!$I$5:$I$489, '📋 Detalle Diario'!$B$5:$B$489, B4108, '📋 Detalle Diario'!$C$5:$C$489, D4108) * 200), 0))</f>
        <v/>
      </c>
      <c r="P4108" s="32" t="str">
        <f t="shared" si="453"/>
        <v/>
      </c>
      <c r="Q4108" s="33" t="str">
        <f t="shared" si="454"/>
        <v/>
      </c>
    </row>
    <row r="4109" spans="2:17" ht="18" customHeight="1" x14ac:dyDescent="0.3">
      <c r="B4109" s="26"/>
      <c r="C4109" s="28"/>
      <c r="D4109" s="27"/>
      <c r="E4109" s="29"/>
      <c r="F4109" s="29"/>
      <c r="G4109" s="29"/>
      <c r="H4109" s="30" t="str">
        <f t="shared" si="448"/>
        <v/>
      </c>
      <c r="I4109" s="31" t="str">
        <f>IF(OR(B4109="",C4109=""),"",IFERROR(E4109*IF(E4109="",0,VLOOKUP(C4109,'📦 Precios Proforma'!$B$5:$D$104,IF(D4109="DIA",2,3),FALSE)),0))</f>
        <v/>
      </c>
      <c r="J4109" s="31" t="str">
        <f t="shared" si="449"/>
        <v/>
      </c>
      <c r="K4109" s="31" t="str">
        <f t="shared" si="450"/>
        <v/>
      </c>
      <c r="L4109" s="31" t="str">
        <f>IF(OR(B4109="",C4109=""),"",IFERROR(E4109 / SUMIFS('📅 Resumen Diario'!$D$5:$D$504, '📅 Resumen Diario'!$B$5:$B$504, B4109, '📅 Resumen Diario'!$C$5:$C$504, D4109) * SUMIFS('📅 Resumen Diario'!$K$5:$K$504, '📅 Resumen Diario'!$B$5:$B$504, B4109, '📅 Resumen Diario'!$C$5:$C$504, D4109), 0))</f>
        <v/>
      </c>
      <c r="M4109" s="31" t="str">
        <f t="shared" si="451"/>
        <v/>
      </c>
      <c r="N4109" s="31" t="str">
        <f t="shared" si="452"/>
        <v/>
      </c>
      <c r="O4109" s="31" t="str">
        <f>IF(OR(B4109="",C4109=""),"",K4109-N4109 + IFERROR(E4109 / SUMIFS('📅 Resumen Diario'!$D$5:$D$504, '📅 Resumen Diario'!$B$5:$B$504, B4109, '📅 Resumen Diario'!$C$5:$C$504, D4109) * (SUMIFS('📋 Detalle Diario'!$E$5:$E$489, '📋 Detalle Diario'!$B$5:$B$489, B4109, '📋 Detalle Diario'!$C$5:$C$489, D4109) * 135 + SUMIFS('📋 Detalle Diario'!$I$5:$I$489, '📋 Detalle Diario'!$B$5:$B$489, B4109, '📋 Detalle Diario'!$C$5:$C$489, D4109) * 200), 0))</f>
        <v/>
      </c>
      <c r="P4109" s="32" t="str">
        <f t="shared" si="453"/>
        <v/>
      </c>
      <c r="Q4109" s="33" t="str">
        <f t="shared" si="454"/>
        <v/>
      </c>
    </row>
    <row r="4110" spans="2:17" ht="18" customHeight="1" x14ac:dyDescent="0.3">
      <c r="B4110" s="26"/>
      <c r="C4110" s="17"/>
      <c r="D4110" s="27"/>
      <c r="E4110" s="18"/>
      <c r="F4110" s="18"/>
      <c r="G4110" s="18"/>
      <c r="H4110" s="30" t="str">
        <f t="shared" si="448"/>
        <v/>
      </c>
      <c r="I4110" s="31" t="str">
        <f>IF(OR(B4110="",C4110=""),"",IFERROR(E4110*IF(E4110="",0,VLOOKUP(C4110,'📦 Precios Proforma'!$B$5:$D$104,IF(D4110="DIA",2,3),FALSE)),0))</f>
        <v/>
      </c>
      <c r="J4110" s="31" t="str">
        <f t="shared" si="449"/>
        <v/>
      </c>
      <c r="K4110" s="31" t="str">
        <f t="shared" si="450"/>
        <v/>
      </c>
      <c r="L4110" s="31" t="str">
        <f>IF(OR(B4110="",C4110=""),"",IFERROR(E4110 / SUMIFS('📅 Resumen Diario'!$D$5:$D$504, '📅 Resumen Diario'!$B$5:$B$504, B4110, '📅 Resumen Diario'!$C$5:$C$504, D4110) * SUMIFS('📅 Resumen Diario'!$K$5:$K$504, '📅 Resumen Diario'!$B$5:$B$504, B4110, '📅 Resumen Diario'!$C$5:$C$504, D4110), 0))</f>
        <v/>
      </c>
      <c r="M4110" s="31" t="str">
        <f t="shared" si="451"/>
        <v/>
      </c>
      <c r="N4110" s="31" t="str">
        <f t="shared" si="452"/>
        <v/>
      </c>
      <c r="O4110" s="31" t="str">
        <f>IF(OR(B4110="",C4110=""),"",K4110-N4110 + IFERROR(E4110 / SUMIFS('📅 Resumen Diario'!$D$5:$D$504, '📅 Resumen Diario'!$B$5:$B$504, B4110, '📅 Resumen Diario'!$C$5:$C$504, D4110) * (SUMIFS('📋 Detalle Diario'!$E$5:$E$489, '📋 Detalle Diario'!$B$5:$B$489, B4110, '📋 Detalle Diario'!$C$5:$C$489, D4110) * 135 + SUMIFS('📋 Detalle Diario'!$I$5:$I$489, '📋 Detalle Diario'!$B$5:$B$489, B4110, '📋 Detalle Diario'!$C$5:$C$489, D4110) * 200), 0))</f>
        <v/>
      </c>
      <c r="P4110" s="32" t="str">
        <f t="shared" si="453"/>
        <v/>
      </c>
      <c r="Q4110" s="33" t="str">
        <f t="shared" si="454"/>
        <v/>
      </c>
    </row>
    <row r="4111" spans="2:17" ht="18" customHeight="1" x14ac:dyDescent="0.3">
      <c r="B4111" s="26"/>
      <c r="C4111" s="28"/>
      <c r="D4111" s="27"/>
      <c r="E4111" s="29"/>
      <c r="F4111" s="29"/>
      <c r="G4111" s="29"/>
      <c r="H4111" s="30" t="str">
        <f t="shared" si="448"/>
        <v/>
      </c>
      <c r="I4111" s="31" t="str">
        <f>IF(OR(B4111="",C4111=""),"",IFERROR(E4111*IF(E4111="",0,VLOOKUP(C4111,'📦 Precios Proforma'!$B$5:$D$104,IF(D4111="DIA",2,3),FALSE)),0))</f>
        <v/>
      </c>
      <c r="J4111" s="31" t="str">
        <f t="shared" si="449"/>
        <v/>
      </c>
      <c r="K4111" s="31" t="str">
        <f t="shared" si="450"/>
        <v/>
      </c>
      <c r="L4111" s="31" t="str">
        <f>IF(OR(B4111="",C4111=""),"",IFERROR(E4111 / SUMIFS('📅 Resumen Diario'!$D$5:$D$504, '📅 Resumen Diario'!$B$5:$B$504, B4111, '📅 Resumen Diario'!$C$5:$C$504, D4111) * SUMIFS('📅 Resumen Diario'!$K$5:$K$504, '📅 Resumen Diario'!$B$5:$B$504, B4111, '📅 Resumen Diario'!$C$5:$C$504, D4111), 0))</f>
        <v/>
      </c>
      <c r="M4111" s="31" t="str">
        <f t="shared" si="451"/>
        <v/>
      </c>
      <c r="N4111" s="31" t="str">
        <f t="shared" si="452"/>
        <v/>
      </c>
      <c r="O4111" s="31" t="str">
        <f>IF(OR(B4111="",C4111=""),"",K4111-N4111 + IFERROR(E4111 / SUMIFS('📅 Resumen Diario'!$D$5:$D$504, '📅 Resumen Diario'!$B$5:$B$504, B4111, '📅 Resumen Diario'!$C$5:$C$504, D4111) * (SUMIFS('📋 Detalle Diario'!$E$5:$E$489, '📋 Detalle Diario'!$B$5:$B$489, B4111, '📋 Detalle Diario'!$C$5:$C$489, D4111) * 135 + SUMIFS('📋 Detalle Diario'!$I$5:$I$489, '📋 Detalle Diario'!$B$5:$B$489, B4111, '📋 Detalle Diario'!$C$5:$C$489, D4111) * 200), 0))</f>
        <v/>
      </c>
      <c r="P4111" s="32" t="str">
        <f t="shared" si="453"/>
        <v/>
      </c>
      <c r="Q4111" s="33" t="str">
        <f t="shared" si="454"/>
        <v/>
      </c>
    </row>
    <row r="4112" spans="2:17" ht="18" customHeight="1" x14ac:dyDescent="0.3">
      <c r="B4112" s="26"/>
      <c r="C4112" s="17"/>
      <c r="D4112" s="27"/>
      <c r="E4112" s="18"/>
      <c r="F4112" s="18"/>
      <c r="G4112" s="18"/>
      <c r="H4112" s="30" t="str">
        <f t="shared" si="448"/>
        <v/>
      </c>
      <c r="I4112" s="31" t="str">
        <f>IF(OR(B4112="",C4112=""),"",IFERROR(E4112*IF(E4112="",0,VLOOKUP(C4112,'📦 Precios Proforma'!$B$5:$D$104,IF(D4112="DIA",2,3),FALSE)),0))</f>
        <v/>
      </c>
      <c r="J4112" s="31" t="str">
        <f t="shared" si="449"/>
        <v/>
      </c>
      <c r="K4112" s="31" t="str">
        <f t="shared" si="450"/>
        <v/>
      </c>
      <c r="L4112" s="31" t="str">
        <f>IF(OR(B4112="",C4112=""),"",IFERROR(E4112 / SUMIFS('📅 Resumen Diario'!$D$5:$D$504, '📅 Resumen Diario'!$B$5:$B$504, B4112, '📅 Resumen Diario'!$C$5:$C$504, D4112) * SUMIFS('📅 Resumen Diario'!$K$5:$K$504, '📅 Resumen Diario'!$B$5:$B$504, B4112, '📅 Resumen Diario'!$C$5:$C$504, D4112), 0))</f>
        <v/>
      </c>
      <c r="M4112" s="31" t="str">
        <f t="shared" si="451"/>
        <v/>
      </c>
      <c r="N4112" s="31" t="str">
        <f t="shared" si="452"/>
        <v/>
      </c>
      <c r="O4112" s="31" t="str">
        <f>IF(OR(B4112="",C4112=""),"",K4112-N4112 + IFERROR(E4112 / SUMIFS('📅 Resumen Diario'!$D$5:$D$504, '📅 Resumen Diario'!$B$5:$B$504, B4112, '📅 Resumen Diario'!$C$5:$C$504, D4112) * (SUMIFS('📋 Detalle Diario'!$E$5:$E$489, '📋 Detalle Diario'!$B$5:$B$489, B4112, '📋 Detalle Diario'!$C$5:$C$489, D4112) * 135 + SUMIFS('📋 Detalle Diario'!$I$5:$I$489, '📋 Detalle Diario'!$B$5:$B$489, B4112, '📋 Detalle Diario'!$C$5:$C$489, D4112) * 200), 0))</f>
        <v/>
      </c>
      <c r="P4112" s="32" t="str">
        <f t="shared" si="453"/>
        <v/>
      </c>
      <c r="Q4112" s="33" t="str">
        <f t="shared" si="454"/>
        <v/>
      </c>
    </row>
    <row r="4113" spans="2:17" ht="18" customHeight="1" x14ac:dyDescent="0.3">
      <c r="B4113" s="26"/>
      <c r="C4113" s="28"/>
      <c r="D4113" s="27"/>
      <c r="E4113" s="29"/>
      <c r="F4113" s="29"/>
      <c r="G4113" s="29"/>
      <c r="H4113" s="30" t="str">
        <f t="shared" si="448"/>
        <v/>
      </c>
      <c r="I4113" s="31" t="str">
        <f>IF(OR(B4113="",C4113=""),"",IFERROR(E4113*IF(E4113="",0,VLOOKUP(C4113,'📦 Precios Proforma'!$B$5:$D$104,IF(D4113="DIA",2,3),FALSE)),0))</f>
        <v/>
      </c>
      <c r="J4113" s="31" t="str">
        <f t="shared" si="449"/>
        <v/>
      </c>
      <c r="K4113" s="31" t="str">
        <f t="shared" si="450"/>
        <v/>
      </c>
      <c r="L4113" s="31" t="str">
        <f>IF(OR(B4113="",C4113=""),"",IFERROR(E4113 / SUMIFS('📅 Resumen Diario'!$D$5:$D$504, '📅 Resumen Diario'!$B$5:$B$504, B4113, '📅 Resumen Diario'!$C$5:$C$504, D4113) * SUMIFS('📅 Resumen Diario'!$K$5:$K$504, '📅 Resumen Diario'!$B$5:$B$504, B4113, '📅 Resumen Diario'!$C$5:$C$504, D4113), 0))</f>
        <v/>
      </c>
      <c r="M4113" s="31" t="str">
        <f t="shared" si="451"/>
        <v/>
      </c>
      <c r="N4113" s="31" t="str">
        <f t="shared" si="452"/>
        <v/>
      </c>
      <c r="O4113" s="31" t="str">
        <f>IF(OR(B4113="",C4113=""),"",K4113-N4113 + IFERROR(E4113 / SUMIFS('📅 Resumen Diario'!$D$5:$D$504, '📅 Resumen Diario'!$B$5:$B$504, B4113, '📅 Resumen Diario'!$C$5:$C$504, D4113) * (SUMIFS('📋 Detalle Diario'!$E$5:$E$489, '📋 Detalle Diario'!$B$5:$B$489, B4113, '📋 Detalle Diario'!$C$5:$C$489, D4113) * 135 + SUMIFS('📋 Detalle Diario'!$I$5:$I$489, '📋 Detalle Diario'!$B$5:$B$489, B4113, '📋 Detalle Diario'!$C$5:$C$489, D4113) * 200), 0))</f>
        <v/>
      </c>
      <c r="P4113" s="32" t="str">
        <f t="shared" si="453"/>
        <v/>
      </c>
      <c r="Q4113" s="33" t="str">
        <f t="shared" si="454"/>
        <v/>
      </c>
    </row>
    <row r="4114" spans="2:17" ht="18" customHeight="1" x14ac:dyDescent="0.3">
      <c r="B4114" s="26"/>
      <c r="C4114" s="17"/>
      <c r="D4114" s="27"/>
      <c r="E4114" s="18"/>
      <c r="F4114" s="18"/>
      <c r="G4114" s="18"/>
      <c r="H4114" s="30" t="str">
        <f t="shared" si="448"/>
        <v/>
      </c>
      <c r="I4114" s="31" t="str">
        <f>IF(OR(B4114="",C4114=""),"",IFERROR(E4114*IF(E4114="",0,VLOOKUP(C4114,'📦 Precios Proforma'!$B$5:$D$104,IF(D4114="DIA",2,3),FALSE)),0))</f>
        <v/>
      </c>
      <c r="J4114" s="31" t="str">
        <f t="shared" si="449"/>
        <v/>
      </c>
      <c r="K4114" s="31" t="str">
        <f t="shared" si="450"/>
        <v/>
      </c>
      <c r="L4114" s="31" t="str">
        <f>IF(OR(B4114="",C4114=""),"",IFERROR(E4114 / SUMIFS('📅 Resumen Diario'!$D$5:$D$504, '📅 Resumen Diario'!$B$5:$B$504, B4114, '📅 Resumen Diario'!$C$5:$C$504, D4114) * SUMIFS('📅 Resumen Diario'!$K$5:$K$504, '📅 Resumen Diario'!$B$5:$B$504, B4114, '📅 Resumen Diario'!$C$5:$C$504, D4114), 0))</f>
        <v/>
      </c>
      <c r="M4114" s="31" t="str">
        <f t="shared" si="451"/>
        <v/>
      </c>
      <c r="N4114" s="31" t="str">
        <f t="shared" si="452"/>
        <v/>
      </c>
      <c r="O4114" s="31" t="str">
        <f>IF(OR(B4114="",C4114=""),"",K4114-N4114 + IFERROR(E4114 / SUMIFS('📅 Resumen Diario'!$D$5:$D$504, '📅 Resumen Diario'!$B$5:$B$504, B4114, '📅 Resumen Diario'!$C$5:$C$504, D4114) * (SUMIFS('📋 Detalle Diario'!$E$5:$E$489, '📋 Detalle Diario'!$B$5:$B$489, B4114, '📋 Detalle Diario'!$C$5:$C$489, D4114) * 135 + SUMIFS('📋 Detalle Diario'!$I$5:$I$489, '📋 Detalle Diario'!$B$5:$B$489, B4114, '📋 Detalle Diario'!$C$5:$C$489, D4114) * 200), 0))</f>
        <v/>
      </c>
      <c r="P4114" s="32" t="str">
        <f t="shared" si="453"/>
        <v/>
      </c>
      <c r="Q4114" s="33" t="str">
        <f t="shared" si="454"/>
        <v/>
      </c>
    </row>
    <row r="4115" spans="2:17" ht="18" customHeight="1" x14ac:dyDescent="0.3">
      <c r="B4115" s="26"/>
      <c r="C4115" s="28"/>
      <c r="D4115" s="27"/>
      <c r="E4115" s="29"/>
      <c r="F4115" s="29"/>
      <c r="G4115" s="29"/>
      <c r="H4115" s="30" t="str">
        <f t="shared" si="448"/>
        <v/>
      </c>
      <c r="I4115" s="31" t="str">
        <f>IF(OR(B4115="",C4115=""),"",IFERROR(E4115*IF(E4115="",0,VLOOKUP(C4115,'📦 Precios Proforma'!$B$5:$D$104,IF(D4115="DIA",2,3),FALSE)),0))</f>
        <v/>
      </c>
      <c r="J4115" s="31" t="str">
        <f t="shared" si="449"/>
        <v/>
      </c>
      <c r="K4115" s="31" t="str">
        <f t="shared" si="450"/>
        <v/>
      </c>
      <c r="L4115" s="31" t="str">
        <f>IF(OR(B4115="",C4115=""),"",IFERROR(E4115 / SUMIFS('📅 Resumen Diario'!$D$5:$D$504, '📅 Resumen Diario'!$B$5:$B$504, B4115, '📅 Resumen Diario'!$C$5:$C$504, D4115) * SUMIFS('📅 Resumen Diario'!$K$5:$K$504, '📅 Resumen Diario'!$B$5:$B$504, B4115, '📅 Resumen Diario'!$C$5:$C$504, D4115), 0))</f>
        <v/>
      </c>
      <c r="M4115" s="31" t="str">
        <f t="shared" si="451"/>
        <v/>
      </c>
      <c r="N4115" s="31" t="str">
        <f t="shared" si="452"/>
        <v/>
      </c>
      <c r="O4115" s="31" t="str">
        <f>IF(OR(B4115="",C4115=""),"",K4115-N4115 + IFERROR(E4115 / SUMIFS('📅 Resumen Diario'!$D$5:$D$504, '📅 Resumen Diario'!$B$5:$B$504, B4115, '📅 Resumen Diario'!$C$5:$C$504, D4115) * (SUMIFS('📋 Detalle Diario'!$E$5:$E$489, '📋 Detalle Diario'!$B$5:$B$489, B4115, '📋 Detalle Diario'!$C$5:$C$489, D4115) * 135 + SUMIFS('📋 Detalle Diario'!$I$5:$I$489, '📋 Detalle Diario'!$B$5:$B$489, B4115, '📋 Detalle Diario'!$C$5:$C$489, D4115) * 200), 0))</f>
        <v/>
      </c>
      <c r="P4115" s="32" t="str">
        <f t="shared" si="453"/>
        <v/>
      </c>
      <c r="Q4115" s="33" t="str">
        <f t="shared" si="454"/>
        <v/>
      </c>
    </row>
    <row r="4116" spans="2:17" ht="18" customHeight="1" x14ac:dyDescent="0.3">
      <c r="B4116" s="26"/>
      <c r="C4116" s="17"/>
      <c r="D4116" s="27"/>
      <c r="E4116" s="18"/>
      <c r="F4116" s="18"/>
      <c r="G4116" s="18"/>
      <c r="H4116" s="30" t="str">
        <f t="shared" si="448"/>
        <v/>
      </c>
      <c r="I4116" s="31" t="str">
        <f>IF(OR(B4116="",C4116=""),"",IFERROR(E4116*IF(E4116="",0,VLOOKUP(C4116,'📦 Precios Proforma'!$B$5:$D$104,IF(D4116="DIA",2,3),FALSE)),0))</f>
        <v/>
      </c>
      <c r="J4116" s="31" t="str">
        <f t="shared" si="449"/>
        <v/>
      </c>
      <c r="K4116" s="31" t="str">
        <f t="shared" si="450"/>
        <v/>
      </c>
      <c r="L4116" s="31" t="str">
        <f>IF(OR(B4116="",C4116=""),"",IFERROR(E4116 / SUMIFS('📅 Resumen Diario'!$D$5:$D$504, '📅 Resumen Diario'!$B$5:$B$504, B4116, '📅 Resumen Diario'!$C$5:$C$504, D4116) * SUMIFS('📅 Resumen Diario'!$K$5:$K$504, '📅 Resumen Diario'!$B$5:$B$504, B4116, '📅 Resumen Diario'!$C$5:$C$504, D4116), 0))</f>
        <v/>
      </c>
      <c r="M4116" s="31" t="str">
        <f t="shared" si="451"/>
        <v/>
      </c>
      <c r="N4116" s="31" t="str">
        <f t="shared" si="452"/>
        <v/>
      </c>
      <c r="O4116" s="31" t="str">
        <f>IF(OR(B4116="",C4116=""),"",K4116-N4116 + IFERROR(E4116 / SUMIFS('📅 Resumen Diario'!$D$5:$D$504, '📅 Resumen Diario'!$B$5:$B$504, B4116, '📅 Resumen Diario'!$C$5:$C$504, D4116) * (SUMIFS('📋 Detalle Diario'!$E$5:$E$489, '📋 Detalle Diario'!$B$5:$B$489, B4116, '📋 Detalle Diario'!$C$5:$C$489, D4116) * 135 + SUMIFS('📋 Detalle Diario'!$I$5:$I$489, '📋 Detalle Diario'!$B$5:$B$489, B4116, '📋 Detalle Diario'!$C$5:$C$489, D4116) * 200), 0))</f>
        <v/>
      </c>
      <c r="P4116" s="32" t="str">
        <f t="shared" si="453"/>
        <v/>
      </c>
      <c r="Q4116" s="33" t="str">
        <f t="shared" si="454"/>
        <v/>
      </c>
    </row>
    <row r="4117" spans="2:17" ht="18" customHeight="1" x14ac:dyDescent="0.3">
      <c r="B4117" s="26"/>
      <c r="C4117" s="28"/>
      <c r="D4117" s="27"/>
      <c r="E4117" s="29"/>
      <c r="F4117" s="29"/>
      <c r="G4117" s="29"/>
      <c r="H4117" s="30" t="str">
        <f t="shared" si="448"/>
        <v/>
      </c>
      <c r="I4117" s="31" t="str">
        <f>IF(OR(B4117="",C4117=""),"",IFERROR(E4117*IF(E4117="",0,VLOOKUP(C4117,'📦 Precios Proforma'!$B$5:$D$104,IF(D4117="DIA",2,3),FALSE)),0))</f>
        <v/>
      </c>
      <c r="J4117" s="31" t="str">
        <f t="shared" si="449"/>
        <v/>
      </c>
      <c r="K4117" s="31" t="str">
        <f t="shared" si="450"/>
        <v/>
      </c>
      <c r="L4117" s="31" t="str">
        <f>IF(OR(B4117="",C4117=""),"",IFERROR(E4117 / SUMIFS('📅 Resumen Diario'!$D$5:$D$504, '📅 Resumen Diario'!$B$5:$B$504, B4117, '📅 Resumen Diario'!$C$5:$C$504, D4117) * SUMIFS('📅 Resumen Diario'!$K$5:$K$504, '📅 Resumen Diario'!$B$5:$B$504, B4117, '📅 Resumen Diario'!$C$5:$C$504, D4117), 0))</f>
        <v/>
      </c>
      <c r="M4117" s="31" t="str">
        <f t="shared" si="451"/>
        <v/>
      </c>
      <c r="N4117" s="31" t="str">
        <f t="shared" si="452"/>
        <v/>
      </c>
      <c r="O4117" s="31" t="str">
        <f>IF(OR(B4117="",C4117=""),"",K4117-N4117 + IFERROR(E4117 / SUMIFS('📅 Resumen Diario'!$D$5:$D$504, '📅 Resumen Diario'!$B$5:$B$504, B4117, '📅 Resumen Diario'!$C$5:$C$504, D4117) * (SUMIFS('📋 Detalle Diario'!$E$5:$E$489, '📋 Detalle Diario'!$B$5:$B$489, B4117, '📋 Detalle Diario'!$C$5:$C$489, D4117) * 135 + SUMIFS('📋 Detalle Diario'!$I$5:$I$489, '📋 Detalle Diario'!$B$5:$B$489, B4117, '📋 Detalle Diario'!$C$5:$C$489, D4117) * 200), 0))</f>
        <v/>
      </c>
      <c r="P4117" s="32" t="str">
        <f t="shared" si="453"/>
        <v/>
      </c>
      <c r="Q4117" s="33" t="str">
        <f t="shared" si="454"/>
        <v/>
      </c>
    </row>
    <row r="4118" spans="2:17" ht="18" customHeight="1" x14ac:dyDescent="0.3">
      <c r="B4118" s="26"/>
      <c r="C4118" s="17"/>
      <c r="D4118" s="27"/>
      <c r="E4118" s="18"/>
      <c r="F4118" s="18"/>
      <c r="G4118" s="18"/>
      <c r="H4118" s="30" t="str">
        <f t="shared" si="448"/>
        <v/>
      </c>
      <c r="I4118" s="31" t="str">
        <f>IF(OR(B4118="",C4118=""),"",IFERROR(E4118*IF(E4118="",0,VLOOKUP(C4118,'📦 Precios Proforma'!$B$5:$D$104,IF(D4118="DIA",2,3),FALSE)),0))</f>
        <v/>
      </c>
      <c r="J4118" s="31" t="str">
        <f t="shared" si="449"/>
        <v/>
      </c>
      <c r="K4118" s="31" t="str">
        <f t="shared" si="450"/>
        <v/>
      </c>
      <c r="L4118" s="31" t="str">
        <f>IF(OR(B4118="",C4118=""),"",IFERROR(E4118 / SUMIFS('📅 Resumen Diario'!$D$5:$D$504, '📅 Resumen Diario'!$B$5:$B$504, B4118, '📅 Resumen Diario'!$C$5:$C$504, D4118) * SUMIFS('📅 Resumen Diario'!$K$5:$K$504, '📅 Resumen Diario'!$B$5:$B$504, B4118, '📅 Resumen Diario'!$C$5:$C$504, D4118), 0))</f>
        <v/>
      </c>
      <c r="M4118" s="31" t="str">
        <f t="shared" si="451"/>
        <v/>
      </c>
      <c r="N4118" s="31" t="str">
        <f t="shared" si="452"/>
        <v/>
      </c>
      <c r="O4118" s="31" t="str">
        <f>IF(OR(B4118="",C4118=""),"",K4118-N4118 + IFERROR(E4118 / SUMIFS('📅 Resumen Diario'!$D$5:$D$504, '📅 Resumen Diario'!$B$5:$B$504, B4118, '📅 Resumen Diario'!$C$5:$C$504, D4118) * (SUMIFS('📋 Detalle Diario'!$E$5:$E$489, '📋 Detalle Diario'!$B$5:$B$489, B4118, '📋 Detalle Diario'!$C$5:$C$489, D4118) * 135 + SUMIFS('📋 Detalle Diario'!$I$5:$I$489, '📋 Detalle Diario'!$B$5:$B$489, B4118, '📋 Detalle Diario'!$C$5:$C$489, D4118) * 200), 0))</f>
        <v/>
      </c>
      <c r="P4118" s="32" t="str">
        <f t="shared" si="453"/>
        <v/>
      </c>
      <c r="Q4118" s="33" t="str">
        <f t="shared" si="454"/>
        <v/>
      </c>
    </row>
    <row r="4119" spans="2:17" ht="18" customHeight="1" x14ac:dyDescent="0.3">
      <c r="B4119" s="26"/>
      <c r="C4119" s="28"/>
      <c r="D4119" s="27"/>
      <c r="E4119" s="29"/>
      <c r="F4119" s="29"/>
      <c r="G4119" s="29"/>
      <c r="H4119" s="30" t="str">
        <f t="shared" si="448"/>
        <v/>
      </c>
      <c r="I4119" s="31" t="str">
        <f>IF(OR(B4119="",C4119=""),"",IFERROR(E4119*IF(E4119="",0,VLOOKUP(C4119,'📦 Precios Proforma'!$B$5:$D$104,IF(D4119="DIA",2,3),FALSE)),0))</f>
        <v/>
      </c>
      <c r="J4119" s="31" t="str">
        <f t="shared" si="449"/>
        <v/>
      </c>
      <c r="K4119" s="31" t="str">
        <f t="shared" si="450"/>
        <v/>
      </c>
      <c r="L4119" s="31" t="str">
        <f>IF(OR(B4119="",C4119=""),"",IFERROR(E4119 / SUMIFS('📅 Resumen Diario'!$D$5:$D$504, '📅 Resumen Diario'!$B$5:$B$504, B4119, '📅 Resumen Diario'!$C$5:$C$504, D4119) * SUMIFS('📅 Resumen Diario'!$K$5:$K$504, '📅 Resumen Diario'!$B$5:$B$504, B4119, '📅 Resumen Diario'!$C$5:$C$504, D4119), 0))</f>
        <v/>
      </c>
      <c r="M4119" s="31" t="str">
        <f t="shared" si="451"/>
        <v/>
      </c>
      <c r="N4119" s="31" t="str">
        <f t="shared" si="452"/>
        <v/>
      </c>
      <c r="O4119" s="31" t="str">
        <f>IF(OR(B4119="",C4119=""),"",K4119-N4119 + IFERROR(E4119 / SUMIFS('📅 Resumen Diario'!$D$5:$D$504, '📅 Resumen Diario'!$B$5:$B$504, B4119, '📅 Resumen Diario'!$C$5:$C$504, D4119) * (SUMIFS('📋 Detalle Diario'!$E$5:$E$489, '📋 Detalle Diario'!$B$5:$B$489, B4119, '📋 Detalle Diario'!$C$5:$C$489, D4119) * 135 + SUMIFS('📋 Detalle Diario'!$I$5:$I$489, '📋 Detalle Diario'!$B$5:$B$489, B4119, '📋 Detalle Diario'!$C$5:$C$489, D4119) * 200), 0))</f>
        <v/>
      </c>
      <c r="P4119" s="32" t="str">
        <f t="shared" si="453"/>
        <v/>
      </c>
      <c r="Q4119" s="33" t="str">
        <f t="shared" si="454"/>
        <v/>
      </c>
    </row>
    <row r="4120" spans="2:17" ht="18" customHeight="1" x14ac:dyDescent="0.3">
      <c r="B4120" s="26"/>
      <c r="C4120" s="17"/>
      <c r="D4120" s="27"/>
      <c r="E4120" s="18"/>
      <c r="F4120" s="18"/>
      <c r="G4120" s="18"/>
      <c r="H4120" s="30" t="str">
        <f t="shared" si="448"/>
        <v/>
      </c>
      <c r="I4120" s="31" t="str">
        <f>IF(OR(B4120="",C4120=""),"",IFERROR(E4120*IF(E4120="",0,VLOOKUP(C4120,'📦 Precios Proforma'!$B$5:$D$104,IF(D4120="DIA",2,3),FALSE)),0))</f>
        <v/>
      </c>
      <c r="J4120" s="31" t="str">
        <f t="shared" si="449"/>
        <v/>
      </c>
      <c r="K4120" s="31" t="str">
        <f t="shared" si="450"/>
        <v/>
      </c>
      <c r="L4120" s="31" t="str">
        <f>IF(OR(B4120="",C4120=""),"",IFERROR(E4120 / SUMIFS('📅 Resumen Diario'!$D$5:$D$504, '📅 Resumen Diario'!$B$5:$B$504, B4120, '📅 Resumen Diario'!$C$5:$C$504, D4120) * SUMIFS('📅 Resumen Diario'!$K$5:$K$504, '📅 Resumen Diario'!$B$5:$B$504, B4120, '📅 Resumen Diario'!$C$5:$C$504, D4120), 0))</f>
        <v/>
      </c>
      <c r="M4120" s="31" t="str">
        <f t="shared" si="451"/>
        <v/>
      </c>
      <c r="N4120" s="31" t="str">
        <f t="shared" si="452"/>
        <v/>
      </c>
      <c r="O4120" s="31" t="str">
        <f>IF(OR(B4120="",C4120=""),"",K4120-N4120 + IFERROR(E4120 / SUMIFS('📅 Resumen Diario'!$D$5:$D$504, '📅 Resumen Diario'!$B$5:$B$504, B4120, '📅 Resumen Diario'!$C$5:$C$504, D4120) * (SUMIFS('📋 Detalle Diario'!$E$5:$E$489, '📋 Detalle Diario'!$B$5:$B$489, B4120, '📋 Detalle Diario'!$C$5:$C$489, D4120) * 135 + SUMIFS('📋 Detalle Diario'!$I$5:$I$489, '📋 Detalle Diario'!$B$5:$B$489, B4120, '📋 Detalle Diario'!$C$5:$C$489, D4120) * 200), 0))</f>
        <v/>
      </c>
      <c r="P4120" s="32" t="str">
        <f t="shared" si="453"/>
        <v/>
      </c>
      <c r="Q4120" s="33" t="str">
        <f t="shared" si="454"/>
        <v/>
      </c>
    </row>
    <row r="4121" spans="2:17" ht="18" customHeight="1" x14ac:dyDescent="0.3">
      <c r="B4121" s="26"/>
      <c r="C4121" s="28"/>
      <c r="D4121" s="27"/>
      <c r="E4121" s="29"/>
      <c r="F4121" s="29"/>
      <c r="G4121" s="29"/>
      <c r="H4121" s="30" t="str">
        <f t="shared" si="448"/>
        <v/>
      </c>
      <c r="I4121" s="31" t="str">
        <f>IF(OR(B4121="",C4121=""),"",IFERROR(E4121*IF(E4121="",0,VLOOKUP(C4121,'📦 Precios Proforma'!$B$5:$D$104,IF(D4121="DIA",2,3),FALSE)),0))</f>
        <v/>
      </c>
      <c r="J4121" s="31" t="str">
        <f t="shared" si="449"/>
        <v/>
      </c>
      <c r="K4121" s="31" t="str">
        <f t="shared" si="450"/>
        <v/>
      </c>
      <c r="L4121" s="31" t="str">
        <f>IF(OR(B4121="",C4121=""),"",IFERROR(E4121 / SUMIFS('📅 Resumen Diario'!$D$5:$D$504, '📅 Resumen Diario'!$B$5:$B$504, B4121, '📅 Resumen Diario'!$C$5:$C$504, D4121) * SUMIFS('📅 Resumen Diario'!$K$5:$K$504, '📅 Resumen Diario'!$B$5:$B$504, B4121, '📅 Resumen Diario'!$C$5:$C$504, D4121), 0))</f>
        <v/>
      </c>
      <c r="M4121" s="31" t="str">
        <f t="shared" si="451"/>
        <v/>
      </c>
      <c r="N4121" s="31" t="str">
        <f t="shared" si="452"/>
        <v/>
      </c>
      <c r="O4121" s="31" t="str">
        <f>IF(OR(B4121="",C4121=""),"",K4121-N4121 + IFERROR(E4121 / SUMIFS('📅 Resumen Diario'!$D$5:$D$504, '📅 Resumen Diario'!$B$5:$B$504, B4121, '📅 Resumen Diario'!$C$5:$C$504, D4121) * (SUMIFS('📋 Detalle Diario'!$E$5:$E$489, '📋 Detalle Diario'!$B$5:$B$489, B4121, '📋 Detalle Diario'!$C$5:$C$489, D4121) * 135 + SUMIFS('📋 Detalle Diario'!$I$5:$I$489, '📋 Detalle Diario'!$B$5:$B$489, B4121, '📋 Detalle Diario'!$C$5:$C$489, D4121) * 200), 0))</f>
        <v/>
      </c>
      <c r="P4121" s="32" t="str">
        <f t="shared" si="453"/>
        <v/>
      </c>
      <c r="Q4121" s="33" t="str">
        <f t="shared" si="454"/>
        <v/>
      </c>
    </row>
    <row r="4122" spans="2:17" ht="18" customHeight="1" x14ac:dyDescent="0.3">
      <c r="B4122" s="26"/>
      <c r="C4122" s="17"/>
      <c r="D4122" s="27"/>
      <c r="E4122" s="18"/>
      <c r="F4122" s="18"/>
      <c r="G4122" s="18"/>
      <c r="H4122" s="30" t="str">
        <f t="shared" si="448"/>
        <v/>
      </c>
      <c r="I4122" s="31" t="str">
        <f>IF(OR(B4122="",C4122=""),"",IFERROR(E4122*IF(E4122="",0,VLOOKUP(C4122,'📦 Precios Proforma'!$B$5:$D$104,IF(D4122="DIA",2,3),FALSE)),0))</f>
        <v/>
      </c>
      <c r="J4122" s="31" t="str">
        <f t="shared" si="449"/>
        <v/>
      </c>
      <c r="K4122" s="31" t="str">
        <f t="shared" si="450"/>
        <v/>
      </c>
      <c r="L4122" s="31" t="str">
        <f>IF(OR(B4122="",C4122=""),"",IFERROR(E4122 / SUMIFS('📅 Resumen Diario'!$D$5:$D$504, '📅 Resumen Diario'!$B$5:$B$504, B4122, '📅 Resumen Diario'!$C$5:$C$504, D4122) * SUMIFS('📅 Resumen Diario'!$K$5:$K$504, '📅 Resumen Diario'!$B$5:$B$504, B4122, '📅 Resumen Diario'!$C$5:$C$504, D4122), 0))</f>
        <v/>
      </c>
      <c r="M4122" s="31" t="str">
        <f t="shared" si="451"/>
        <v/>
      </c>
      <c r="N4122" s="31" t="str">
        <f t="shared" si="452"/>
        <v/>
      </c>
      <c r="O4122" s="31" t="str">
        <f>IF(OR(B4122="",C4122=""),"",K4122-N4122 + IFERROR(E4122 / SUMIFS('📅 Resumen Diario'!$D$5:$D$504, '📅 Resumen Diario'!$B$5:$B$504, B4122, '📅 Resumen Diario'!$C$5:$C$504, D4122) * (SUMIFS('📋 Detalle Diario'!$E$5:$E$489, '📋 Detalle Diario'!$B$5:$B$489, B4122, '📋 Detalle Diario'!$C$5:$C$489, D4122) * 135 + SUMIFS('📋 Detalle Diario'!$I$5:$I$489, '📋 Detalle Diario'!$B$5:$B$489, B4122, '📋 Detalle Diario'!$C$5:$C$489, D4122) * 200), 0))</f>
        <v/>
      </c>
      <c r="P4122" s="32" t="str">
        <f t="shared" si="453"/>
        <v/>
      </c>
      <c r="Q4122" s="33" t="str">
        <f t="shared" si="454"/>
        <v/>
      </c>
    </row>
    <row r="4123" spans="2:17" ht="18" customHeight="1" x14ac:dyDescent="0.3">
      <c r="B4123" s="26"/>
      <c r="C4123" s="28"/>
      <c r="D4123" s="27"/>
      <c r="E4123" s="29"/>
      <c r="F4123" s="29"/>
      <c r="G4123" s="29"/>
      <c r="H4123" s="30" t="str">
        <f t="shared" si="448"/>
        <v/>
      </c>
      <c r="I4123" s="31" t="str">
        <f>IF(OR(B4123="",C4123=""),"",IFERROR(E4123*IF(E4123="",0,VLOOKUP(C4123,'📦 Precios Proforma'!$B$5:$D$104,IF(D4123="DIA",2,3),FALSE)),0))</f>
        <v/>
      </c>
      <c r="J4123" s="31" t="str">
        <f t="shared" si="449"/>
        <v/>
      </c>
      <c r="K4123" s="31" t="str">
        <f t="shared" si="450"/>
        <v/>
      </c>
      <c r="L4123" s="31" t="str">
        <f>IF(OR(B4123="",C4123=""),"",IFERROR(E4123 / SUMIFS('📅 Resumen Diario'!$D$5:$D$504, '📅 Resumen Diario'!$B$5:$B$504, B4123, '📅 Resumen Diario'!$C$5:$C$504, D4123) * SUMIFS('📅 Resumen Diario'!$K$5:$K$504, '📅 Resumen Diario'!$B$5:$B$504, B4123, '📅 Resumen Diario'!$C$5:$C$504, D4123), 0))</f>
        <v/>
      </c>
      <c r="M4123" s="31" t="str">
        <f t="shared" si="451"/>
        <v/>
      </c>
      <c r="N4123" s="31" t="str">
        <f t="shared" si="452"/>
        <v/>
      </c>
      <c r="O4123" s="31" t="str">
        <f>IF(OR(B4123="",C4123=""),"",K4123-N4123 + IFERROR(E4123 / SUMIFS('📅 Resumen Diario'!$D$5:$D$504, '📅 Resumen Diario'!$B$5:$B$504, B4123, '📅 Resumen Diario'!$C$5:$C$504, D4123) * (SUMIFS('📋 Detalle Diario'!$E$5:$E$489, '📋 Detalle Diario'!$B$5:$B$489, B4123, '📋 Detalle Diario'!$C$5:$C$489, D4123) * 135 + SUMIFS('📋 Detalle Diario'!$I$5:$I$489, '📋 Detalle Diario'!$B$5:$B$489, B4123, '📋 Detalle Diario'!$C$5:$C$489, D4123) * 200), 0))</f>
        <v/>
      </c>
      <c r="P4123" s="32" t="str">
        <f t="shared" si="453"/>
        <v/>
      </c>
      <c r="Q4123" s="33" t="str">
        <f t="shared" si="454"/>
        <v/>
      </c>
    </row>
    <row r="4124" spans="2:17" ht="18" customHeight="1" x14ac:dyDescent="0.3">
      <c r="B4124" s="26"/>
      <c r="C4124" s="17"/>
      <c r="D4124" s="27"/>
      <c r="E4124" s="18"/>
      <c r="F4124" s="18"/>
      <c r="G4124" s="18"/>
      <c r="H4124" s="30" t="str">
        <f t="shared" si="448"/>
        <v/>
      </c>
      <c r="I4124" s="31" t="str">
        <f>IF(OR(B4124="",C4124=""),"",IFERROR(E4124*IF(E4124="",0,VLOOKUP(C4124,'📦 Precios Proforma'!$B$5:$D$104,IF(D4124="DIA",2,3),FALSE)),0))</f>
        <v/>
      </c>
      <c r="J4124" s="31" t="str">
        <f t="shared" si="449"/>
        <v/>
      </c>
      <c r="K4124" s="31" t="str">
        <f t="shared" si="450"/>
        <v/>
      </c>
      <c r="L4124" s="31" t="str">
        <f>IF(OR(B4124="",C4124=""),"",IFERROR(E4124 / SUMIFS('📅 Resumen Diario'!$D$5:$D$504, '📅 Resumen Diario'!$B$5:$B$504, B4124, '📅 Resumen Diario'!$C$5:$C$504, D4124) * SUMIFS('📅 Resumen Diario'!$K$5:$K$504, '📅 Resumen Diario'!$B$5:$B$504, B4124, '📅 Resumen Diario'!$C$5:$C$504, D4124), 0))</f>
        <v/>
      </c>
      <c r="M4124" s="31" t="str">
        <f t="shared" si="451"/>
        <v/>
      </c>
      <c r="N4124" s="31" t="str">
        <f t="shared" si="452"/>
        <v/>
      </c>
      <c r="O4124" s="31" t="str">
        <f>IF(OR(B4124="",C4124=""),"",K4124-N4124 + IFERROR(E4124 / SUMIFS('📅 Resumen Diario'!$D$5:$D$504, '📅 Resumen Diario'!$B$5:$B$504, B4124, '📅 Resumen Diario'!$C$5:$C$504, D4124) * (SUMIFS('📋 Detalle Diario'!$E$5:$E$489, '📋 Detalle Diario'!$B$5:$B$489, B4124, '📋 Detalle Diario'!$C$5:$C$489, D4124) * 135 + SUMIFS('📋 Detalle Diario'!$I$5:$I$489, '📋 Detalle Diario'!$B$5:$B$489, B4124, '📋 Detalle Diario'!$C$5:$C$489, D4124) * 200), 0))</f>
        <v/>
      </c>
      <c r="P4124" s="32" t="str">
        <f t="shared" si="453"/>
        <v/>
      </c>
      <c r="Q4124" s="33" t="str">
        <f t="shared" si="454"/>
        <v/>
      </c>
    </row>
    <row r="4125" spans="2:17" ht="18" customHeight="1" x14ac:dyDescent="0.3">
      <c r="B4125" s="26"/>
      <c r="C4125" s="28"/>
      <c r="D4125" s="27"/>
      <c r="E4125" s="29"/>
      <c r="F4125" s="29"/>
      <c r="G4125" s="29"/>
      <c r="H4125" s="30" t="str">
        <f t="shared" si="448"/>
        <v/>
      </c>
      <c r="I4125" s="31" t="str">
        <f>IF(OR(B4125="",C4125=""),"",IFERROR(E4125*IF(E4125="",0,VLOOKUP(C4125,'📦 Precios Proforma'!$B$5:$D$104,IF(D4125="DIA",2,3),FALSE)),0))</f>
        <v/>
      </c>
      <c r="J4125" s="31" t="str">
        <f t="shared" si="449"/>
        <v/>
      </c>
      <c r="K4125" s="31" t="str">
        <f t="shared" si="450"/>
        <v/>
      </c>
      <c r="L4125" s="31" t="str">
        <f>IF(OR(B4125="",C4125=""),"",IFERROR(E4125 / SUMIFS('📅 Resumen Diario'!$D$5:$D$504, '📅 Resumen Diario'!$B$5:$B$504, B4125, '📅 Resumen Diario'!$C$5:$C$504, D4125) * SUMIFS('📅 Resumen Diario'!$K$5:$K$504, '📅 Resumen Diario'!$B$5:$B$504, B4125, '📅 Resumen Diario'!$C$5:$C$504, D4125), 0))</f>
        <v/>
      </c>
      <c r="M4125" s="31" t="str">
        <f t="shared" si="451"/>
        <v/>
      </c>
      <c r="N4125" s="31" t="str">
        <f t="shared" si="452"/>
        <v/>
      </c>
      <c r="O4125" s="31" t="str">
        <f>IF(OR(B4125="",C4125=""),"",K4125-N4125 + IFERROR(E4125 / SUMIFS('📅 Resumen Diario'!$D$5:$D$504, '📅 Resumen Diario'!$B$5:$B$504, B4125, '📅 Resumen Diario'!$C$5:$C$504, D4125) * (SUMIFS('📋 Detalle Diario'!$E$5:$E$489, '📋 Detalle Diario'!$B$5:$B$489, B4125, '📋 Detalle Diario'!$C$5:$C$489, D4125) * 135 + SUMIFS('📋 Detalle Diario'!$I$5:$I$489, '📋 Detalle Diario'!$B$5:$B$489, B4125, '📋 Detalle Diario'!$C$5:$C$489, D4125) * 200), 0))</f>
        <v/>
      </c>
      <c r="P4125" s="32" t="str">
        <f t="shared" si="453"/>
        <v/>
      </c>
      <c r="Q4125" s="33" t="str">
        <f t="shared" si="454"/>
        <v/>
      </c>
    </row>
    <row r="4126" spans="2:17" ht="18" customHeight="1" x14ac:dyDescent="0.3">
      <c r="B4126" s="26"/>
      <c r="C4126" s="17"/>
      <c r="D4126" s="27"/>
      <c r="E4126" s="18"/>
      <c r="F4126" s="18"/>
      <c r="G4126" s="18"/>
      <c r="H4126" s="30" t="str">
        <f t="shared" si="448"/>
        <v/>
      </c>
      <c r="I4126" s="31" t="str">
        <f>IF(OR(B4126="",C4126=""),"",IFERROR(E4126*IF(E4126="",0,VLOOKUP(C4126,'📦 Precios Proforma'!$B$5:$D$104,IF(D4126="DIA",2,3),FALSE)),0))</f>
        <v/>
      </c>
      <c r="J4126" s="31" t="str">
        <f t="shared" si="449"/>
        <v/>
      </c>
      <c r="K4126" s="31" t="str">
        <f t="shared" si="450"/>
        <v/>
      </c>
      <c r="L4126" s="31" t="str">
        <f>IF(OR(B4126="",C4126=""),"",IFERROR(E4126 / SUMIFS('📅 Resumen Diario'!$D$5:$D$504, '📅 Resumen Diario'!$B$5:$B$504, B4126, '📅 Resumen Diario'!$C$5:$C$504, D4126) * SUMIFS('📅 Resumen Diario'!$K$5:$K$504, '📅 Resumen Diario'!$B$5:$B$504, B4126, '📅 Resumen Diario'!$C$5:$C$504, D4126), 0))</f>
        <v/>
      </c>
      <c r="M4126" s="31" t="str">
        <f t="shared" si="451"/>
        <v/>
      </c>
      <c r="N4126" s="31" t="str">
        <f t="shared" si="452"/>
        <v/>
      </c>
      <c r="O4126" s="31" t="str">
        <f>IF(OR(B4126="",C4126=""),"",K4126-N4126 + IFERROR(E4126 / SUMIFS('📅 Resumen Diario'!$D$5:$D$504, '📅 Resumen Diario'!$B$5:$B$504, B4126, '📅 Resumen Diario'!$C$5:$C$504, D4126) * (SUMIFS('📋 Detalle Diario'!$E$5:$E$489, '📋 Detalle Diario'!$B$5:$B$489, B4126, '📋 Detalle Diario'!$C$5:$C$489, D4126) * 135 + SUMIFS('📋 Detalle Diario'!$I$5:$I$489, '📋 Detalle Diario'!$B$5:$B$489, B4126, '📋 Detalle Diario'!$C$5:$C$489, D4126) * 200), 0))</f>
        <v/>
      </c>
      <c r="P4126" s="32" t="str">
        <f t="shared" si="453"/>
        <v/>
      </c>
      <c r="Q4126" s="33" t="str">
        <f t="shared" si="454"/>
        <v/>
      </c>
    </row>
    <row r="4127" spans="2:17" ht="18" customHeight="1" x14ac:dyDescent="0.3">
      <c r="B4127" s="26"/>
      <c r="C4127" s="28"/>
      <c r="D4127" s="27"/>
      <c r="E4127" s="29"/>
      <c r="F4127" s="29"/>
      <c r="G4127" s="29"/>
      <c r="H4127" s="30" t="str">
        <f t="shared" si="448"/>
        <v/>
      </c>
      <c r="I4127" s="31" t="str">
        <f>IF(OR(B4127="",C4127=""),"",IFERROR(E4127*IF(E4127="",0,VLOOKUP(C4127,'📦 Precios Proforma'!$B$5:$D$104,IF(D4127="DIA",2,3),FALSE)),0))</f>
        <v/>
      </c>
      <c r="J4127" s="31" t="str">
        <f t="shared" si="449"/>
        <v/>
      </c>
      <c r="K4127" s="31" t="str">
        <f t="shared" si="450"/>
        <v/>
      </c>
      <c r="L4127" s="31" t="str">
        <f>IF(OR(B4127="",C4127=""),"",IFERROR(E4127 / SUMIFS('📅 Resumen Diario'!$D$5:$D$504, '📅 Resumen Diario'!$B$5:$B$504, B4127, '📅 Resumen Diario'!$C$5:$C$504, D4127) * SUMIFS('📅 Resumen Diario'!$K$5:$K$504, '📅 Resumen Diario'!$B$5:$B$504, B4127, '📅 Resumen Diario'!$C$5:$C$504, D4127), 0))</f>
        <v/>
      </c>
      <c r="M4127" s="31" t="str">
        <f t="shared" si="451"/>
        <v/>
      </c>
      <c r="N4127" s="31" t="str">
        <f t="shared" si="452"/>
        <v/>
      </c>
      <c r="O4127" s="31" t="str">
        <f>IF(OR(B4127="",C4127=""),"",K4127-N4127 + IFERROR(E4127 / SUMIFS('📅 Resumen Diario'!$D$5:$D$504, '📅 Resumen Diario'!$B$5:$B$504, B4127, '📅 Resumen Diario'!$C$5:$C$504, D4127) * (SUMIFS('📋 Detalle Diario'!$E$5:$E$489, '📋 Detalle Diario'!$B$5:$B$489, B4127, '📋 Detalle Diario'!$C$5:$C$489, D4127) * 135 + SUMIFS('📋 Detalle Diario'!$I$5:$I$489, '📋 Detalle Diario'!$B$5:$B$489, B4127, '📋 Detalle Diario'!$C$5:$C$489, D4127) * 200), 0))</f>
        <v/>
      </c>
      <c r="P4127" s="32" t="str">
        <f t="shared" si="453"/>
        <v/>
      </c>
      <c r="Q4127" s="33" t="str">
        <f t="shared" si="454"/>
        <v/>
      </c>
    </row>
    <row r="4128" spans="2:17" ht="18" customHeight="1" x14ac:dyDescent="0.3">
      <c r="B4128" s="26"/>
      <c r="C4128" s="17"/>
      <c r="D4128" s="27"/>
      <c r="E4128" s="18"/>
      <c r="F4128" s="18"/>
      <c r="G4128" s="18"/>
      <c r="H4128" s="30" t="str">
        <f t="shared" si="448"/>
        <v/>
      </c>
      <c r="I4128" s="31" t="str">
        <f>IF(OR(B4128="",C4128=""),"",IFERROR(E4128*IF(E4128="",0,VLOOKUP(C4128,'📦 Precios Proforma'!$B$5:$D$104,IF(D4128="DIA",2,3),FALSE)),0))</f>
        <v/>
      </c>
      <c r="J4128" s="31" t="str">
        <f t="shared" si="449"/>
        <v/>
      </c>
      <c r="K4128" s="31" t="str">
        <f t="shared" si="450"/>
        <v/>
      </c>
      <c r="L4128" s="31" t="str">
        <f>IF(OR(B4128="",C4128=""),"",IFERROR(E4128 / SUMIFS('📅 Resumen Diario'!$D$5:$D$504, '📅 Resumen Diario'!$B$5:$B$504, B4128, '📅 Resumen Diario'!$C$5:$C$504, D4128) * SUMIFS('📅 Resumen Diario'!$K$5:$K$504, '📅 Resumen Diario'!$B$5:$B$504, B4128, '📅 Resumen Diario'!$C$5:$C$504, D4128), 0))</f>
        <v/>
      </c>
      <c r="M4128" s="31" t="str">
        <f t="shared" si="451"/>
        <v/>
      </c>
      <c r="N4128" s="31" t="str">
        <f t="shared" si="452"/>
        <v/>
      </c>
      <c r="O4128" s="31" t="str">
        <f>IF(OR(B4128="",C4128=""),"",K4128-N4128 + IFERROR(E4128 / SUMIFS('📅 Resumen Diario'!$D$5:$D$504, '📅 Resumen Diario'!$B$5:$B$504, B4128, '📅 Resumen Diario'!$C$5:$C$504, D4128) * (SUMIFS('📋 Detalle Diario'!$E$5:$E$489, '📋 Detalle Diario'!$B$5:$B$489, B4128, '📋 Detalle Diario'!$C$5:$C$489, D4128) * 135 + SUMIFS('📋 Detalle Diario'!$I$5:$I$489, '📋 Detalle Diario'!$B$5:$B$489, B4128, '📋 Detalle Diario'!$C$5:$C$489, D4128) * 200), 0))</f>
        <v/>
      </c>
      <c r="P4128" s="32" t="str">
        <f t="shared" si="453"/>
        <v/>
      </c>
      <c r="Q4128" s="33" t="str">
        <f t="shared" si="454"/>
        <v/>
      </c>
    </row>
    <row r="4129" spans="2:17" ht="18" customHeight="1" x14ac:dyDescent="0.3">
      <c r="B4129" s="26"/>
      <c r="C4129" s="28"/>
      <c r="D4129" s="27"/>
      <c r="E4129" s="29"/>
      <c r="F4129" s="29"/>
      <c r="G4129" s="29"/>
      <c r="H4129" s="30" t="str">
        <f t="shared" si="448"/>
        <v/>
      </c>
      <c r="I4129" s="31" t="str">
        <f>IF(OR(B4129="",C4129=""),"",IFERROR(E4129*IF(E4129="",0,VLOOKUP(C4129,'📦 Precios Proforma'!$B$5:$D$104,IF(D4129="DIA",2,3),FALSE)),0))</f>
        <v/>
      </c>
      <c r="J4129" s="31" t="str">
        <f t="shared" si="449"/>
        <v/>
      </c>
      <c r="K4129" s="31" t="str">
        <f t="shared" si="450"/>
        <v/>
      </c>
      <c r="L4129" s="31" t="str">
        <f>IF(OR(B4129="",C4129=""),"",IFERROR(E4129 / SUMIFS('📅 Resumen Diario'!$D$5:$D$504, '📅 Resumen Diario'!$B$5:$B$504, B4129, '📅 Resumen Diario'!$C$5:$C$504, D4129) * SUMIFS('📅 Resumen Diario'!$K$5:$K$504, '📅 Resumen Diario'!$B$5:$B$504, B4129, '📅 Resumen Diario'!$C$5:$C$504, D4129), 0))</f>
        <v/>
      </c>
      <c r="M4129" s="31" t="str">
        <f t="shared" si="451"/>
        <v/>
      </c>
      <c r="N4129" s="31" t="str">
        <f t="shared" si="452"/>
        <v/>
      </c>
      <c r="O4129" s="31" t="str">
        <f>IF(OR(B4129="",C4129=""),"",K4129-N4129 + IFERROR(E4129 / SUMIFS('📅 Resumen Diario'!$D$5:$D$504, '📅 Resumen Diario'!$B$5:$B$504, B4129, '📅 Resumen Diario'!$C$5:$C$504, D4129) * (SUMIFS('📋 Detalle Diario'!$E$5:$E$489, '📋 Detalle Diario'!$B$5:$B$489, B4129, '📋 Detalle Diario'!$C$5:$C$489, D4129) * 135 + SUMIFS('📋 Detalle Diario'!$I$5:$I$489, '📋 Detalle Diario'!$B$5:$B$489, B4129, '📋 Detalle Diario'!$C$5:$C$489, D4129) * 200), 0))</f>
        <v/>
      </c>
      <c r="P4129" s="32" t="str">
        <f t="shared" si="453"/>
        <v/>
      </c>
      <c r="Q4129" s="33" t="str">
        <f t="shared" si="454"/>
        <v/>
      </c>
    </row>
    <row r="4130" spans="2:17" ht="18" customHeight="1" x14ac:dyDescent="0.3">
      <c r="B4130" s="26"/>
      <c r="C4130" s="17"/>
      <c r="D4130" s="27"/>
      <c r="E4130" s="18"/>
      <c r="F4130" s="18"/>
      <c r="G4130" s="18"/>
      <c r="H4130" s="30" t="str">
        <f t="shared" si="448"/>
        <v/>
      </c>
      <c r="I4130" s="31" t="str">
        <f>IF(OR(B4130="",C4130=""),"",IFERROR(E4130*IF(E4130="",0,VLOOKUP(C4130,'📦 Precios Proforma'!$B$5:$D$104,IF(D4130="DIA",2,3),FALSE)),0))</f>
        <v/>
      </c>
      <c r="J4130" s="31" t="str">
        <f t="shared" si="449"/>
        <v/>
      </c>
      <c r="K4130" s="31" t="str">
        <f t="shared" si="450"/>
        <v/>
      </c>
      <c r="L4130" s="31" t="str">
        <f>IF(OR(B4130="",C4130=""),"",IFERROR(E4130 / SUMIFS('📅 Resumen Diario'!$D$5:$D$504, '📅 Resumen Diario'!$B$5:$B$504, B4130, '📅 Resumen Diario'!$C$5:$C$504, D4130) * SUMIFS('📅 Resumen Diario'!$K$5:$K$504, '📅 Resumen Diario'!$B$5:$B$504, B4130, '📅 Resumen Diario'!$C$5:$C$504, D4130), 0))</f>
        <v/>
      </c>
      <c r="M4130" s="31" t="str">
        <f t="shared" si="451"/>
        <v/>
      </c>
      <c r="N4130" s="31" t="str">
        <f t="shared" si="452"/>
        <v/>
      </c>
      <c r="O4130" s="31" t="str">
        <f>IF(OR(B4130="",C4130=""),"",K4130-N4130 + IFERROR(E4130 / SUMIFS('📅 Resumen Diario'!$D$5:$D$504, '📅 Resumen Diario'!$B$5:$B$504, B4130, '📅 Resumen Diario'!$C$5:$C$504, D4130) * (SUMIFS('📋 Detalle Diario'!$E$5:$E$489, '📋 Detalle Diario'!$B$5:$B$489, B4130, '📋 Detalle Diario'!$C$5:$C$489, D4130) * 135 + SUMIFS('📋 Detalle Diario'!$I$5:$I$489, '📋 Detalle Diario'!$B$5:$B$489, B4130, '📋 Detalle Diario'!$C$5:$C$489, D4130) * 200), 0))</f>
        <v/>
      </c>
      <c r="P4130" s="32" t="str">
        <f t="shared" si="453"/>
        <v/>
      </c>
      <c r="Q4130" s="33" t="str">
        <f t="shared" si="454"/>
        <v/>
      </c>
    </row>
    <row r="4131" spans="2:17" ht="18" customHeight="1" x14ac:dyDescent="0.3">
      <c r="B4131" s="26"/>
      <c r="C4131" s="28"/>
      <c r="D4131" s="27"/>
      <c r="E4131" s="29"/>
      <c r="F4131" s="29"/>
      <c r="G4131" s="29"/>
      <c r="H4131" s="30" t="str">
        <f t="shared" si="448"/>
        <v/>
      </c>
      <c r="I4131" s="31" t="str">
        <f>IF(OR(B4131="",C4131=""),"",IFERROR(E4131*IF(E4131="",0,VLOOKUP(C4131,'📦 Precios Proforma'!$B$5:$D$104,IF(D4131="DIA",2,3),FALSE)),0))</f>
        <v/>
      </c>
      <c r="J4131" s="31" t="str">
        <f t="shared" si="449"/>
        <v/>
      </c>
      <c r="K4131" s="31" t="str">
        <f t="shared" si="450"/>
        <v/>
      </c>
      <c r="L4131" s="31" t="str">
        <f>IF(OR(B4131="",C4131=""),"",IFERROR(E4131 / SUMIFS('📅 Resumen Diario'!$D$5:$D$504, '📅 Resumen Diario'!$B$5:$B$504, B4131, '📅 Resumen Diario'!$C$5:$C$504, D4131) * SUMIFS('📅 Resumen Diario'!$K$5:$K$504, '📅 Resumen Diario'!$B$5:$B$504, B4131, '📅 Resumen Diario'!$C$5:$C$504, D4131), 0))</f>
        <v/>
      </c>
      <c r="M4131" s="31" t="str">
        <f t="shared" si="451"/>
        <v/>
      </c>
      <c r="N4131" s="31" t="str">
        <f t="shared" si="452"/>
        <v/>
      </c>
      <c r="O4131" s="31" t="str">
        <f>IF(OR(B4131="",C4131=""),"",K4131-N4131 + IFERROR(E4131 / SUMIFS('📅 Resumen Diario'!$D$5:$D$504, '📅 Resumen Diario'!$B$5:$B$504, B4131, '📅 Resumen Diario'!$C$5:$C$504, D4131) * (SUMIFS('📋 Detalle Diario'!$E$5:$E$489, '📋 Detalle Diario'!$B$5:$B$489, B4131, '📋 Detalle Diario'!$C$5:$C$489, D4131) * 135 + SUMIFS('📋 Detalle Diario'!$I$5:$I$489, '📋 Detalle Diario'!$B$5:$B$489, B4131, '📋 Detalle Diario'!$C$5:$C$489, D4131) * 200), 0))</f>
        <v/>
      </c>
      <c r="P4131" s="32" t="str">
        <f t="shared" si="453"/>
        <v/>
      </c>
      <c r="Q4131" s="33" t="str">
        <f t="shared" si="454"/>
        <v/>
      </c>
    </row>
    <row r="4132" spans="2:17" ht="18" customHeight="1" x14ac:dyDescent="0.3">
      <c r="B4132" s="26"/>
      <c r="C4132" s="17"/>
      <c r="D4132" s="27"/>
      <c r="E4132" s="18"/>
      <c r="F4132" s="18"/>
      <c r="G4132" s="18"/>
      <c r="H4132" s="30" t="str">
        <f t="shared" si="448"/>
        <v/>
      </c>
      <c r="I4132" s="31" t="str">
        <f>IF(OR(B4132="",C4132=""),"",IFERROR(E4132*IF(E4132="",0,VLOOKUP(C4132,'📦 Precios Proforma'!$B$5:$D$104,IF(D4132="DIA",2,3),FALSE)),0))</f>
        <v/>
      </c>
      <c r="J4132" s="31" t="str">
        <f t="shared" si="449"/>
        <v/>
      </c>
      <c r="K4132" s="31" t="str">
        <f t="shared" si="450"/>
        <v/>
      </c>
      <c r="L4132" s="31" t="str">
        <f>IF(OR(B4132="",C4132=""),"",IFERROR(E4132 / SUMIFS('📅 Resumen Diario'!$D$5:$D$504, '📅 Resumen Diario'!$B$5:$B$504, B4132, '📅 Resumen Diario'!$C$5:$C$504, D4132) * SUMIFS('📅 Resumen Diario'!$K$5:$K$504, '📅 Resumen Diario'!$B$5:$B$504, B4132, '📅 Resumen Diario'!$C$5:$C$504, D4132), 0))</f>
        <v/>
      </c>
      <c r="M4132" s="31" t="str">
        <f t="shared" si="451"/>
        <v/>
      </c>
      <c r="N4132" s="31" t="str">
        <f t="shared" si="452"/>
        <v/>
      </c>
      <c r="O4132" s="31" t="str">
        <f>IF(OR(B4132="",C4132=""),"",K4132-N4132 + IFERROR(E4132 / SUMIFS('📅 Resumen Diario'!$D$5:$D$504, '📅 Resumen Diario'!$B$5:$B$504, B4132, '📅 Resumen Diario'!$C$5:$C$504, D4132) * (SUMIFS('📋 Detalle Diario'!$E$5:$E$489, '📋 Detalle Diario'!$B$5:$B$489, B4132, '📋 Detalle Diario'!$C$5:$C$489, D4132) * 135 + SUMIFS('📋 Detalle Diario'!$I$5:$I$489, '📋 Detalle Diario'!$B$5:$B$489, B4132, '📋 Detalle Diario'!$C$5:$C$489, D4132) * 200), 0))</f>
        <v/>
      </c>
      <c r="P4132" s="32" t="str">
        <f t="shared" si="453"/>
        <v/>
      </c>
      <c r="Q4132" s="33" t="str">
        <f t="shared" si="454"/>
        <v/>
      </c>
    </row>
    <row r="4133" spans="2:17" ht="18" customHeight="1" x14ac:dyDescent="0.3">
      <c r="B4133" s="26"/>
      <c r="C4133" s="28"/>
      <c r="D4133" s="27"/>
      <c r="E4133" s="29"/>
      <c r="F4133" s="29"/>
      <c r="G4133" s="29"/>
      <c r="H4133" s="30" t="str">
        <f t="shared" si="448"/>
        <v/>
      </c>
      <c r="I4133" s="31" t="str">
        <f>IF(OR(B4133="",C4133=""),"",IFERROR(E4133*IF(E4133="",0,VLOOKUP(C4133,'📦 Precios Proforma'!$B$5:$D$104,IF(D4133="DIA",2,3),FALSE)),0))</f>
        <v/>
      </c>
      <c r="J4133" s="31" t="str">
        <f t="shared" si="449"/>
        <v/>
      </c>
      <c r="K4133" s="31" t="str">
        <f t="shared" si="450"/>
        <v/>
      </c>
      <c r="L4133" s="31" t="str">
        <f>IF(OR(B4133="",C4133=""),"",IFERROR(E4133 / SUMIFS('📅 Resumen Diario'!$D$5:$D$504, '📅 Resumen Diario'!$B$5:$B$504, B4133, '📅 Resumen Diario'!$C$5:$C$504, D4133) * SUMIFS('📅 Resumen Diario'!$K$5:$K$504, '📅 Resumen Diario'!$B$5:$B$504, B4133, '📅 Resumen Diario'!$C$5:$C$504, D4133), 0))</f>
        <v/>
      </c>
      <c r="M4133" s="31" t="str">
        <f t="shared" si="451"/>
        <v/>
      </c>
      <c r="N4133" s="31" t="str">
        <f t="shared" si="452"/>
        <v/>
      </c>
      <c r="O4133" s="31" t="str">
        <f>IF(OR(B4133="",C4133=""),"",K4133-N4133 + IFERROR(E4133 / SUMIFS('📅 Resumen Diario'!$D$5:$D$504, '📅 Resumen Diario'!$B$5:$B$504, B4133, '📅 Resumen Diario'!$C$5:$C$504, D4133) * (SUMIFS('📋 Detalle Diario'!$E$5:$E$489, '📋 Detalle Diario'!$B$5:$B$489, B4133, '📋 Detalle Diario'!$C$5:$C$489, D4133) * 135 + SUMIFS('📋 Detalle Diario'!$I$5:$I$489, '📋 Detalle Diario'!$B$5:$B$489, B4133, '📋 Detalle Diario'!$C$5:$C$489, D4133) * 200), 0))</f>
        <v/>
      </c>
      <c r="P4133" s="32" t="str">
        <f t="shared" si="453"/>
        <v/>
      </c>
      <c r="Q4133" s="33" t="str">
        <f t="shared" si="454"/>
        <v/>
      </c>
    </row>
    <row r="4134" spans="2:17" ht="18" customHeight="1" x14ac:dyDescent="0.3">
      <c r="B4134" s="26"/>
      <c r="C4134" s="17"/>
      <c r="D4134" s="27"/>
      <c r="E4134" s="18"/>
      <c r="F4134" s="18"/>
      <c r="G4134" s="18"/>
      <c r="H4134" s="30" t="str">
        <f t="shared" si="448"/>
        <v/>
      </c>
      <c r="I4134" s="31" t="str">
        <f>IF(OR(B4134="",C4134=""),"",IFERROR(E4134*IF(E4134="",0,VLOOKUP(C4134,'📦 Precios Proforma'!$B$5:$D$104,IF(D4134="DIA",2,3),FALSE)),0))</f>
        <v/>
      </c>
      <c r="J4134" s="31" t="str">
        <f t="shared" si="449"/>
        <v/>
      </c>
      <c r="K4134" s="31" t="str">
        <f t="shared" si="450"/>
        <v/>
      </c>
      <c r="L4134" s="31" t="str">
        <f>IF(OR(B4134="",C4134=""),"",IFERROR(E4134 / SUMIFS('📅 Resumen Diario'!$D$5:$D$504, '📅 Resumen Diario'!$B$5:$B$504, B4134, '📅 Resumen Diario'!$C$5:$C$504, D4134) * SUMIFS('📅 Resumen Diario'!$K$5:$K$504, '📅 Resumen Diario'!$B$5:$B$504, B4134, '📅 Resumen Diario'!$C$5:$C$504, D4134), 0))</f>
        <v/>
      </c>
      <c r="M4134" s="31" t="str">
        <f t="shared" si="451"/>
        <v/>
      </c>
      <c r="N4134" s="31" t="str">
        <f t="shared" si="452"/>
        <v/>
      </c>
      <c r="O4134" s="31" t="str">
        <f>IF(OR(B4134="",C4134=""),"",K4134-N4134 + IFERROR(E4134 / SUMIFS('📅 Resumen Diario'!$D$5:$D$504, '📅 Resumen Diario'!$B$5:$B$504, B4134, '📅 Resumen Diario'!$C$5:$C$504, D4134) * (SUMIFS('📋 Detalle Diario'!$E$5:$E$489, '📋 Detalle Diario'!$B$5:$B$489, B4134, '📋 Detalle Diario'!$C$5:$C$489, D4134) * 135 + SUMIFS('📋 Detalle Diario'!$I$5:$I$489, '📋 Detalle Diario'!$B$5:$B$489, B4134, '📋 Detalle Diario'!$C$5:$C$489, D4134) * 200), 0))</f>
        <v/>
      </c>
      <c r="P4134" s="32" t="str">
        <f t="shared" si="453"/>
        <v/>
      </c>
      <c r="Q4134" s="33" t="str">
        <f t="shared" si="454"/>
        <v/>
      </c>
    </row>
    <row r="4135" spans="2:17" ht="18" customHeight="1" x14ac:dyDescent="0.3">
      <c r="B4135" s="26"/>
      <c r="C4135" s="28"/>
      <c r="D4135" s="27"/>
      <c r="E4135" s="29"/>
      <c r="F4135" s="29"/>
      <c r="G4135" s="29"/>
      <c r="H4135" s="30" t="str">
        <f t="shared" si="448"/>
        <v/>
      </c>
      <c r="I4135" s="31" t="str">
        <f>IF(OR(B4135="",C4135=""),"",IFERROR(E4135*IF(E4135="",0,VLOOKUP(C4135,'📦 Precios Proforma'!$B$5:$D$104,IF(D4135="DIA",2,3),FALSE)),0))</f>
        <v/>
      </c>
      <c r="J4135" s="31" t="str">
        <f t="shared" si="449"/>
        <v/>
      </c>
      <c r="K4135" s="31" t="str">
        <f t="shared" si="450"/>
        <v/>
      </c>
      <c r="L4135" s="31" t="str">
        <f>IF(OR(B4135="",C4135=""),"",IFERROR(E4135 / SUMIFS('📅 Resumen Diario'!$D$5:$D$504, '📅 Resumen Diario'!$B$5:$B$504, B4135, '📅 Resumen Diario'!$C$5:$C$504, D4135) * SUMIFS('📅 Resumen Diario'!$K$5:$K$504, '📅 Resumen Diario'!$B$5:$B$504, B4135, '📅 Resumen Diario'!$C$5:$C$504, D4135), 0))</f>
        <v/>
      </c>
      <c r="M4135" s="31" t="str">
        <f t="shared" si="451"/>
        <v/>
      </c>
      <c r="N4135" s="31" t="str">
        <f t="shared" si="452"/>
        <v/>
      </c>
      <c r="O4135" s="31" t="str">
        <f>IF(OR(B4135="",C4135=""),"",K4135-N4135 + IFERROR(E4135 / SUMIFS('📅 Resumen Diario'!$D$5:$D$504, '📅 Resumen Diario'!$B$5:$B$504, B4135, '📅 Resumen Diario'!$C$5:$C$504, D4135) * (SUMIFS('📋 Detalle Diario'!$E$5:$E$489, '📋 Detalle Diario'!$B$5:$B$489, B4135, '📋 Detalle Diario'!$C$5:$C$489, D4135) * 135 + SUMIFS('📋 Detalle Diario'!$I$5:$I$489, '📋 Detalle Diario'!$B$5:$B$489, B4135, '📋 Detalle Diario'!$C$5:$C$489, D4135) * 200), 0))</f>
        <v/>
      </c>
      <c r="P4135" s="32" t="str">
        <f t="shared" si="453"/>
        <v/>
      </c>
      <c r="Q4135" s="33" t="str">
        <f t="shared" si="454"/>
        <v/>
      </c>
    </row>
    <row r="4136" spans="2:17" ht="18" customHeight="1" x14ac:dyDescent="0.3">
      <c r="B4136" s="26"/>
      <c r="C4136" s="17"/>
      <c r="D4136" s="27"/>
      <c r="E4136" s="18"/>
      <c r="F4136" s="18"/>
      <c r="G4136" s="18"/>
      <c r="H4136" s="30" t="str">
        <f t="shared" si="448"/>
        <v/>
      </c>
      <c r="I4136" s="31" t="str">
        <f>IF(OR(B4136="",C4136=""),"",IFERROR(E4136*IF(E4136="",0,VLOOKUP(C4136,'📦 Precios Proforma'!$B$5:$D$104,IF(D4136="DIA",2,3),FALSE)),0))</f>
        <v/>
      </c>
      <c r="J4136" s="31" t="str">
        <f t="shared" si="449"/>
        <v/>
      </c>
      <c r="K4136" s="31" t="str">
        <f t="shared" si="450"/>
        <v/>
      </c>
      <c r="L4136" s="31" t="str">
        <f>IF(OR(B4136="",C4136=""),"",IFERROR(E4136 / SUMIFS('📅 Resumen Diario'!$D$5:$D$504, '📅 Resumen Diario'!$B$5:$B$504, B4136, '📅 Resumen Diario'!$C$5:$C$504, D4136) * SUMIFS('📅 Resumen Diario'!$K$5:$K$504, '📅 Resumen Diario'!$B$5:$B$504, B4136, '📅 Resumen Diario'!$C$5:$C$504, D4136), 0))</f>
        <v/>
      </c>
      <c r="M4136" s="31" t="str">
        <f t="shared" si="451"/>
        <v/>
      </c>
      <c r="N4136" s="31" t="str">
        <f t="shared" si="452"/>
        <v/>
      </c>
      <c r="O4136" s="31" t="str">
        <f>IF(OR(B4136="",C4136=""),"",K4136-N4136 + IFERROR(E4136 / SUMIFS('📅 Resumen Diario'!$D$5:$D$504, '📅 Resumen Diario'!$B$5:$B$504, B4136, '📅 Resumen Diario'!$C$5:$C$504, D4136) * (SUMIFS('📋 Detalle Diario'!$E$5:$E$489, '📋 Detalle Diario'!$B$5:$B$489, B4136, '📋 Detalle Diario'!$C$5:$C$489, D4136) * 135 + SUMIFS('📋 Detalle Diario'!$I$5:$I$489, '📋 Detalle Diario'!$B$5:$B$489, B4136, '📋 Detalle Diario'!$C$5:$C$489, D4136) * 200), 0))</f>
        <v/>
      </c>
      <c r="P4136" s="32" t="str">
        <f t="shared" si="453"/>
        <v/>
      </c>
      <c r="Q4136" s="33" t="str">
        <f t="shared" si="454"/>
        <v/>
      </c>
    </row>
    <row r="4137" spans="2:17" ht="18" customHeight="1" x14ac:dyDescent="0.3">
      <c r="B4137" s="26"/>
      <c r="C4137" s="28"/>
      <c r="D4137" s="27"/>
      <c r="E4137" s="29"/>
      <c r="F4137" s="29"/>
      <c r="G4137" s="29"/>
      <c r="H4137" s="30" t="str">
        <f t="shared" si="448"/>
        <v/>
      </c>
      <c r="I4137" s="31" t="str">
        <f>IF(OR(B4137="",C4137=""),"",IFERROR(E4137*IF(E4137="",0,VLOOKUP(C4137,'📦 Precios Proforma'!$B$5:$D$104,IF(D4137="DIA",2,3),FALSE)),0))</f>
        <v/>
      </c>
      <c r="J4137" s="31" t="str">
        <f t="shared" si="449"/>
        <v/>
      </c>
      <c r="K4137" s="31" t="str">
        <f t="shared" si="450"/>
        <v/>
      </c>
      <c r="L4137" s="31" t="str">
        <f>IF(OR(B4137="",C4137=""),"",IFERROR(E4137 / SUMIFS('📅 Resumen Diario'!$D$5:$D$504, '📅 Resumen Diario'!$B$5:$B$504, B4137, '📅 Resumen Diario'!$C$5:$C$504, D4137) * SUMIFS('📅 Resumen Diario'!$K$5:$K$504, '📅 Resumen Diario'!$B$5:$B$504, B4137, '📅 Resumen Diario'!$C$5:$C$504, D4137), 0))</f>
        <v/>
      </c>
      <c r="M4137" s="31" t="str">
        <f t="shared" si="451"/>
        <v/>
      </c>
      <c r="N4137" s="31" t="str">
        <f t="shared" si="452"/>
        <v/>
      </c>
      <c r="O4137" s="31" t="str">
        <f>IF(OR(B4137="",C4137=""),"",K4137-N4137 + IFERROR(E4137 / SUMIFS('📅 Resumen Diario'!$D$5:$D$504, '📅 Resumen Diario'!$B$5:$B$504, B4137, '📅 Resumen Diario'!$C$5:$C$504, D4137) * (SUMIFS('📋 Detalle Diario'!$E$5:$E$489, '📋 Detalle Diario'!$B$5:$B$489, B4137, '📋 Detalle Diario'!$C$5:$C$489, D4137) * 135 + SUMIFS('📋 Detalle Diario'!$I$5:$I$489, '📋 Detalle Diario'!$B$5:$B$489, B4137, '📋 Detalle Diario'!$C$5:$C$489, D4137) * 200), 0))</f>
        <v/>
      </c>
      <c r="P4137" s="32" t="str">
        <f t="shared" si="453"/>
        <v/>
      </c>
      <c r="Q4137" s="33" t="str">
        <f t="shared" si="454"/>
        <v/>
      </c>
    </row>
    <row r="4138" spans="2:17" ht="18" customHeight="1" x14ac:dyDescent="0.3">
      <c r="B4138" s="26"/>
      <c r="C4138" s="17"/>
      <c r="D4138" s="27"/>
      <c r="E4138" s="18"/>
      <c r="F4138" s="18"/>
      <c r="G4138" s="18"/>
      <c r="H4138" s="30" t="str">
        <f t="shared" si="448"/>
        <v/>
      </c>
      <c r="I4138" s="31" t="str">
        <f>IF(OR(B4138="",C4138=""),"",IFERROR(E4138*IF(E4138="",0,VLOOKUP(C4138,'📦 Precios Proforma'!$B$5:$D$104,IF(D4138="DIA",2,3),FALSE)),0))</f>
        <v/>
      </c>
      <c r="J4138" s="31" t="str">
        <f t="shared" si="449"/>
        <v/>
      </c>
      <c r="K4138" s="31" t="str">
        <f t="shared" si="450"/>
        <v/>
      </c>
      <c r="L4138" s="31" t="str">
        <f>IF(OR(B4138="",C4138=""),"",IFERROR(E4138 / SUMIFS('📅 Resumen Diario'!$D$5:$D$504, '📅 Resumen Diario'!$B$5:$B$504, B4138, '📅 Resumen Diario'!$C$5:$C$504, D4138) * SUMIFS('📅 Resumen Diario'!$K$5:$K$504, '📅 Resumen Diario'!$B$5:$B$504, B4138, '📅 Resumen Diario'!$C$5:$C$504, D4138), 0))</f>
        <v/>
      </c>
      <c r="M4138" s="31" t="str">
        <f t="shared" si="451"/>
        <v/>
      </c>
      <c r="N4138" s="31" t="str">
        <f t="shared" si="452"/>
        <v/>
      </c>
      <c r="O4138" s="31" t="str">
        <f>IF(OR(B4138="",C4138=""),"",K4138-N4138 + IFERROR(E4138 / SUMIFS('📅 Resumen Diario'!$D$5:$D$504, '📅 Resumen Diario'!$B$5:$B$504, B4138, '📅 Resumen Diario'!$C$5:$C$504, D4138) * (SUMIFS('📋 Detalle Diario'!$E$5:$E$489, '📋 Detalle Diario'!$B$5:$B$489, B4138, '📋 Detalle Diario'!$C$5:$C$489, D4138) * 135 + SUMIFS('📋 Detalle Diario'!$I$5:$I$489, '📋 Detalle Diario'!$B$5:$B$489, B4138, '📋 Detalle Diario'!$C$5:$C$489, D4138) * 200), 0))</f>
        <v/>
      </c>
      <c r="P4138" s="32" t="str">
        <f t="shared" si="453"/>
        <v/>
      </c>
      <c r="Q4138" s="33" t="str">
        <f t="shared" si="454"/>
        <v/>
      </c>
    </row>
    <row r="4139" spans="2:17" ht="18" customHeight="1" x14ac:dyDescent="0.3">
      <c r="B4139" s="26"/>
      <c r="C4139" s="28"/>
      <c r="D4139" s="27"/>
      <c r="E4139" s="29"/>
      <c r="F4139" s="29"/>
      <c r="G4139" s="29"/>
      <c r="H4139" s="30" t="str">
        <f t="shared" si="448"/>
        <v/>
      </c>
      <c r="I4139" s="31" t="str">
        <f>IF(OR(B4139="",C4139=""),"",IFERROR(E4139*IF(E4139="",0,VLOOKUP(C4139,'📦 Precios Proforma'!$B$5:$D$104,IF(D4139="DIA",2,3),FALSE)),0))</f>
        <v/>
      </c>
      <c r="J4139" s="31" t="str">
        <f t="shared" si="449"/>
        <v/>
      </c>
      <c r="K4139" s="31" t="str">
        <f t="shared" si="450"/>
        <v/>
      </c>
      <c r="L4139" s="31" t="str">
        <f>IF(OR(B4139="",C4139=""),"",IFERROR(E4139 / SUMIFS('📅 Resumen Diario'!$D$5:$D$504, '📅 Resumen Diario'!$B$5:$B$504, B4139, '📅 Resumen Diario'!$C$5:$C$504, D4139) * SUMIFS('📅 Resumen Diario'!$K$5:$K$504, '📅 Resumen Diario'!$B$5:$B$504, B4139, '📅 Resumen Diario'!$C$5:$C$504, D4139), 0))</f>
        <v/>
      </c>
      <c r="M4139" s="31" t="str">
        <f t="shared" si="451"/>
        <v/>
      </c>
      <c r="N4139" s="31" t="str">
        <f t="shared" si="452"/>
        <v/>
      </c>
      <c r="O4139" s="31" t="str">
        <f>IF(OR(B4139="",C4139=""),"",K4139-N4139 + IFERROR(E4139 / SUMIFS('📅 Resumen Diario'!$D$5:$D$504, '📅 Resumen Diario'!$B$5:$B$504, B4139, '📅 Resumen Diario'!$C$5:$C$504, D4139) * (SUMIFS('📋 Detalle Diario'!$E$5:$E$489, '📋 Detalle Diario'!$B$5:$B$489, B4139, '📋 Detalle Diario'!$C$5:$C$489, D4139) * 135 + SUMIFS('📋 Detalle Diario'!$I$5:$I$489, '📋 Detalle Diario'!$B$5:$B$489, B4139, '📋 Detalle Diario'!$C$5:$C$489, D4139) * 200), 0))</f>
        <v/>
      </c>
      <c r="P4139" s="32" t="str">
        <f t="shared" si="453"/>
        <v/>
      </c>
      <c r="Q4139" s="33" t="str">
        <f t="shared" si="454"/>
        <v/>
      </c>
    </row>
    <row r="4140" spans="2:17" ht="18" customHeight="1" x14ac:dyDescent="0.3">
      <c r="B4140" s="26"/>
      <c r="C4140" s="17"/>
      <c r="D4140" s="27"/>
      <c r="E4140" s="18"/>
      <c r="F4140" s="18"/>
      <c r="G4140" s="18"/>
      <c r="H4140" s="30" t="str">
        <f t="shared" si="448"/>
        <v/>
      </c>
      <c r="I4140" s="31" t="str">
        <f>IF(OR(B4140="",C4140=""),"",IFERROR(E4140*IF(E4140="",0,VLOOKUP(C4140,'📦 Precios Proforma'!$B$5:$D$104,IF(D4140="DIA",2,3),FALSE)),0))</f>
        <v/>
      </c>
      <c r="J4140" s="31" t="str">
        <f t="shared" si="449"/>
        <v/>
      </c>
      <c r="K4140" s="31" t="str">
        <f t="shared" si="450"/>
        <v/>
      </c>
      <c r="L4140" s="31" t="str">
        <f>IF(OR(B4140="",C4140=""),"",IFERROR(E4140 / SUMIFS('📅 Resumen Diario'!$D$5:$D$504, '📅 Resumen Diario'!$B$5:$B$504, B4140, '📅 Resumen Diario'!$C$5:$C$504, D4140) * SUMIFS('📅 Resumen Diario'!$K$5:$K$504, '📅 Resumen Diario'!$B$5:$B$504, B4140, '📅 Resumen Diario'!$C$5:$C$504, D4140), 0))</f>
        <v/>
      </c>
      <c r="M4140" s="31" t="str">
        <f t="shared" si="451"/>
        <v/>
      </c>
      <c r="N4140" s="31" t="str">
        <f t="shared" si="452"/>
        <v/>
      </c>
      <c r="O4140" s="31" t="str">
        <f>IF(OR(B4140="",C4140=""),"",K4140-N4140 + IFERROR(E4140 / SUMIFS('📅 Resumen Diario'!$D$5:$D$504, '📅 Resumen Diario'!$B$5:$B$504, B4140, '📅 Resumen Diario'!$C$5:$C$504, D4140) * (SUMIFS('📋 Detalle Diario'!$E$5:$E$489, '📋 Detalle Diario'!$B$5:$B$489, B4140, '📋 Detalle Diario'!$C$5:$C$489, D4140) * 135 + SUMIFS('📋 Detalle Diario'!$I$5:$I$489, '📋 Detalle Diario'!$B$5:$B$489, B4140, '📋 Detalle Diario'!$C$5:$C$489, D4140) * 200), 0))</f>
        <v/>
      </c>
      <c r="P4140" s="32" t="str">
        <f t="shared" si="453"/>
        <v/>
      </c>
      <c r="Q4140" s="33" t="str">
        <f t="shared" si="454"/>
        <v/>
      </c>
    </row>
    <row r="4141" spans="2:17" ht="18" customHeight="1" x14ac:dyDescent="0.3">
      <c r="B4141" s="26"/>
      <c r="C4141" s="28"/>
      <c r="D4141" s="27"/>
      <c r="E4141" s="29"/>
      <c r="F4141" s="29"/>
      <c r="G4141" s="29"/>
      <c r="H4141" s="30" t="str">
        <f t="shared" si="448"/>
        <v/>
      </c>
      <c r="I4141" s="31" t="str">
        <f>IF(OR(B4141="",C4141=""),"",IFERROR(E4141*IF(E4141="",0,VLOOKUP(C4141,'📦 Precios Proforma'!$B$5:$D$104,IF(D4141="DIA",2,3),FALSE)),0))</f>
        <v/>
      </c>
      <c r="J4141" s="31" t="str">
        <f t="shared" si="449"/>
        <v/>
      </c>
      <c r="K4141" s="31" t="str">
        <f t="shared" si="450"/>
        <v/>
      </c>
      <c r="L4141" s="31" t="str">
        <f>IF(OR(B4141="",C4141=""),"",IFERROR(E4141 / SUMIFS('📅 Resumen Diario'!$D$5:$D$504, '📅 Resumen Diario'!$B$5:$B$504, B4141, '📅 Resumen Diario'!$C$5:$C$504, D4141) * SUMIFS('📅 Resumen Diario'!$K$5:$K$504, '📅 Resumen Diario'!$B$5:$B$504, B4141, '📅 Resumen Diario'!$C$5:$C$504, D4141), 0))</f>
        <v/>
      </c>
      <c r="M4141" s="31" t="str">
        <f t="shared" si="451"/>
        <v/>
      </c>
      <c r="N4141" s="31" t="str">
        <f t="shared" si="452"/>
        <v/>
      </c>
      <c r="O4141" s="31" t="str">
        <f>IF(OR(B4141="",C4141=""),"",K4141-N4141 + IFERROR(E4141 / SUMIFS('📅 Resumen Diario'!$D$5:$D$504, '📅 Resumen Diario'!$B$5:$B$504, B4141, '📅 Resumen Diario'!$C$5:$C$504, D4141) * (SUMIFS('📋 Detalle Diario'!$E$5:$E$489, '📋 Detalle Diario'!$B$5:$B$489, B4141, '📋 Detalle Diario'!$C$5:$C$489, D4141) * 135 + SUMIFS('📋 Detalle Diario'!$I$5:$I$489, '📋 Detalle Diario'!$B$5:$B$489, B4141, '📋 Detalle Diario'!$C$5:$C$489, D4141) * 200), 0))</f>
        <v/>
      </c>
      <c r="P4141" s="32" t="str">
        <f t="shared" si="453"/>
        <v/>
      </c>
      <c r="Q4141" s="33" t="str">
        <f t="shared" si="454"/>
        <v/>
      </c>
    </row>
    <row r="4142" spans="2:17" ht="18" customHeight="1" x14ac:dyDescent="0.3">
      <c r="B4142" s="26"/>
      <c r="C4142" s="17"/>
      <c r="D4142" s="27"/>
      <c r="E4142" s="18"/>
      <c r="F4142" s="18"/>
      <c r="G4142" s="18"/>
      <c r="H4142" s="30" t="str">
        <f t="shared" si="448"/>
        <v/>
      </c>
      <c r="I4142" s="31" t="str">
        <f>IF(OR(B4142="",C4142=""),"",IFERROR(E4142*IF(E4142="",0,VLOOKUP(C4142,'📦 Precios Proforma'!$B$5:$D$104,IF(D4142="DIA",2,3),FALSE)),0))</f>
        <v/>
      </c>
      <c r="J4142" s="31" t="str">
        <f t="shared" si="449"/>
        <v/>
      </c>
      <c r="K4142" s="31" t="str">
        <f t="shared" si="450"/>
        <v/>
      </c>
      <c r="L4142" s="31" t="str">
        <f>IF(OR(B4142="",C4142=""),"",IFERROR(E4142 / SUMIFS('📅 Resumen Diario'!$D$5:$D$504, '📅 Resumen Diario'!$B$5:$B$504, B4142, '📅 Resumen Diario'!$C$5:$C$504, D4142) * SUMIFS('📅 Resumen Diario'!$K$5:$K$504, '📅 Resumen Diario'!$B$5:$B$504, B4142, '📅 Resumen Diario'!$C$5:$C$504, D4142), 0))</f>
        <v/>
      </c>
      <c r="M4142" s="31" t="str">
        <f t="shared" si="451"/>
        <v/>
      </c>
      <c r="N4142" s="31" t="str">
        <f t="shared" si="452"/>
        <v/>
      </c>
      <c r="O4142" s="31" t="str">
        <f>IF(OR(B4142="",C4142=""),"",K4142-N4142 + IFERROR(E4142 / SUMIFS('📅 Resumen Diario'!$D$5:$D$504, '📅 Resumen Diario'!$B$5:$B$504, B4142, '📅 Resumen Diario'!$C$5:$C$504, D4142) * (SUMIFS('📋 Detalle Diario'!$E$5:$E$489, '📋 Detalle Diario'!$B$5:$B$489, B4142, '📋 Detalle Diario'!$C$5:$C$489, D4142) * 135 + SUMIFS('📋 Detalle Diario'!$I$5:$I$489, '📋 Detalle Diario'!$B$5:$B$489, B4142, '📋 Detalle Diario'!$C$5:$C$489, D4142) * 200), 0))</f>
        <v/>
      </c>
      <c r="P4142" s="32" t="str">
        <f t="shared" si="453"/>
        <v/>
      </c>
      <c r="Q4142" s="33" t="str">
        <f t="shared" si="454"/>
        <v/>
      </c>
    </row>
    <row r="4143" spans="2:17" ht="18" customHeight="1" x14ac:dyDescent="0.3">
      <c r="B4143" s="26"/>
      <c r="C4143" s="28"/>
      <c r="D4143" s="27"/>
      <c r="E4143" s="29"/>
      <c r="F4143" s="29"/>
      <c r="G4143" s="29"/>
      <c r="H4143" s="30" t="str">
        <f t="shared" si="448"/>
        <v/>
      </c>
      <c r="I4143" s="31" t="str">
        <f>IF(OR(B4143="",C4143=""),"",IFERROR(E4143*IF(E4143="",0,VLOOKUP(C4143,'📦 Precios Proforma'!$B$5:$D$104,IF(D4143="DIA",2,3),FALSE)),0))</f>
        <v/>
      </c>
      <c r="J4143" s="31" t="str">
        <f t="shared" si="449"/>
        <v/>
      </c>
      <c r="K4143" s="31" t="str">
        <f t="shared" si="450"/>
        <v/>
      </c>
      <c r="L4143" s="31" t="str">
        <f>IF(OR(B4143="",C4143=""),"",IFERROR(E4143 / SUMIFS('📅 Resumen Diario'!$D$5:$D$504, '📅 Resumen Diario'!$B$5:$B$504, B4143, '📅 Resumen Diario'!$C$5:$C$504, D4143) * SUMIFS('📅 Resumen Diario'!$K$5:$K$504, '📅 Resumen Diario'!$B$5:$B$504, B4143, '📅 Resumen Diario'!$C$5:$C$504, D4143), 0))</f>
        <v/>
      </c>
      <c r="M4143" s="31" t="str">
        <f t="shared" si="451"/>
        <v/>
      </c>
      <c r="N4143" s="31" t="str">
        <f t="shared" si="452"/>
        <v/>
      </c>
      <c r="O4143" s="31" t="str">
        <f>IF(OR(B4143="",C4143=""),"",K4143-N4143 + IFERROR(E4143 / SUMIFS('📅 Resumen Diario'!$D$5:$D$504, '📅 Resumen Diario'!$B$5:$B$504, B4143, '📅 Resumen Diario'!$C$5:$C$504, D4143) * (SUMIFS('📋 Detalle Diario'!$E$5:$E$489, '📋 Detalle Diario'!$B$5:$B$489, B4143, '📋 Detalle Diario'!$C$5:$C$489, D4143) * 135 + SUMIFS('📋 Detalle Diario'!$I$5:$I$489, '📋 Detalle Diario'!$B$5:$B$489, B4143, '📋 Detalle Diario'!$C$5:$C$489, D4143) * 200), 0))</f>
        <v/>
      </c>
      <c r="P4143" s="32" t="str">
        <f t="shared" si="453"/>
        <v/>
      </c>
      <c r="Q4143" s="33" t="str">
        <f t="shared" si="454"/>
        <v/>
      </c>
    </row>
    <row r="4144" spans="2:17" ht="18" customHeight="1" x14ac:dyDescent="0.3">
      <c r="B4144" s="26"/>
      <c r="C4144" s="17"/>
      <c r="D4144" s="27"/>
      <c r="E4144" s="18"/>
      <c r="F4144" s="18"/>
      <c r="G4144" s="18"/>
      <c r="H4144" s="30" t="str">
        <f t="shared" si="448"/>
        <v/>
      </c>
      <c r="I4144" s="31" t="str">
        <f>IF(OR(B4144="",C4144=""),"",IFERROR(E4144*IF(E4144="",0,VLOOKUP(C4144,'📦 Precios Proforma'!$B$5:$D$104,IF(D4144="DIA",2,3),FALSE)),0))</f>
        <v/>
      </c>
      <c r="J4144" s="31" t="str">
        <f t="shared" si="449"/>
        <v/>
      </c>
      <c r="K4144" s="31" t="str">
        <f t="shared" si="450"/>
        <v/>
      </c>
      <c r="L4144" s="31" t="str">
        <f>IF(OR(B4144="",C4144=""),"",IFERROR(E4144 / SUMIFS('📅 Resumen Diario'!$D$5:$D$504, '📅 Resumen Diario'!$B$5:$B$504, B4144, '📅 Resumen Diario'!$C$5:$C$504, D4144) * SUMIFS('📅 Resumen Diario'!$K$5:$K$504, '📅 Resumen Diario'!$B$5:$B$504, B4144, '📅 Resumen Diario'!$C$5:$C$504, D4144), 0))</f>
        <v/>
      </c>
      <c r="M4144" s="31" t="str">
        <f t="shared" si="451"/>
        <v/>
      </c>
      <c r="N4144" s="31" t="str">
        <f t="shared" si="452"/>
        <v/>
      </c>
      <c r="O4144" s="31" t="str">
        <f>IF(OR(B4144="",C4144=""),"",K4144-N4144 + IFERROR(E4144 / SUMIFS('📅 Resumen Diario'!$D$5:$D$504, '📅 Resumen Diario'!$B$5:$B$504, B4144, '📅 Resumen Diario'!$C$5:$C$504, D4144) * (SUMIFS('📋 Detalle Diario'!$E$5:$E$489, '📋 Detalle Diario'!$B$5:$B$489, B4144, '📋 Detalle Diario'!$C$5:$C$489, D4144) * 135 + SUMIFS('📋 Detalle Diario'!$I$5:$I$489, '📋 Detalle Diario'!$B$5:$B$489, B4144, '📋 Detalle Diario'!$C$5:$C$489, D4144) * 200), 0))</f>
        <v/>
      </c>
      <c r="P4144" s="32" t="str">
        <f t="shared" si="453"/>
        <v/>
      </c>
      <c r="Q4144" s="33" t="str">
        <f t="shared" si="454"/>
        <v/>
      </c>
    </row>
    <row r="4145" spans="2:17" ht="18" customHeight="1" x14ac:dyDescent="0.3">
      <c r="B4145" s="26"/>
      <c r="C4145" s="28"/>
      <c r="D4145" s="27"/>
      <c r="E4145" s="29"/>
      <c r="F4145" s="29"/>
      <c r="G4145" s="29"/>
      <c r="H4145" s="30" t="str">
        <f t="shared" si="448"/>
        <v/>
      </c>
      <c r="I4145" s="31" t="str">
        <f>IF(OR(B4145="",C4145=""),"",IFERROR(E4145*IF(E4145="",0,VLOOKUP(C4145,'📦 Precios Proforma'!$B$5:$D$104,IF(D4145="DIA",2,3),FALSE)),0))</f>
        <v/>
      </c>
      <c r="J4145" s="31" t="str">
        <f t="shared" si="449"/>
        <v/>
      </c>
      <c r="K4145" s="31" t="str">
        <f t="shared" si="450"/>
        <v/>
      </c>
      <c r="L4145" s="31" t="str">
        <f>IF(OR(B4145="",C4145=""),"",IFERROR(E4145 / SUMIFS('📅 Resumen Diario'!$D$5:$D$504, '📅 Resumen Diario'!$B$5:$B$504, B4145, '📅 Resumen Diario'!$C$5:$C$504, D4145) * SUMIFS('📅 Resumen Diario'!$K$5:$K$504, '📅 Resumen Diario'!$B$5:$B$504, B4145, '📅 Resumen Diario'!$C$5:$C$504, D4145), 0))</f>
        <v/>
      </c>
      <c r="M4145" s="31" t="str">
        <f t="shared" si="451"/>
        <v/>
      </c>
      <c r="N4145" s="31" t="str">
        <f t="shared" si="452"/>
        <v/>
      </c>
      <c r="O4145" s="31" t="str">
        <f>IF(OR(B4145="",C4145=""),"",K4145-N4145 + IFERROR(E4145 / SUMIFS('📅 Resumen Diario'!$D$5:$D$504, '📅 Resumen Diario'!$B$5:$B$504, B4145, '📅 Resumen Diario'!$C$5:$C$504, D4145) * (SUMIFS('📋 Detalle Diario'!$E$5:$E$489, '📋 Detalle Diario'!$B$5:$B$489, B4145, '📋 Detalle Diario'!$C$5:$C$489, D4145) * 135 + SUMIFS('📋 Detalle Diario'!$I$5:$I$489, '📋 Detalle Diario'!$B$5:$B$489, B4145, '📋 Detalle Diario'!$C$5:$C$489, D4145) * 200), 0))</f>
        <v/>
      </c>
      <c r="P4145" s="32" t="str">
        <f t="shared" si="453"/>
        <v/>
      </c>
      <c r="Q4145" s="33" t="str">
        <f t="shared" si="454"/>
        <v/>
      </c>
    </row>
    <row r="4146" spans="2:17" ht="18" customHeight="1" x14ac:dyDescent="0.3">
      <c r="B4146" s="26"/>
      <c r="C4146" s="17"/>
      <c r="D4146" s="27"/>
      <c r="E4146" s="18"/>
      <c r="F4146" s="18"/>
      <c r="G4146" s="18"/>
      <c r="H4146" s="30" t="str">
        <f t="shared" si="448"/>
        <v/>
      </c>
      <c r="I4146" s="31" t="str">
        <f>IF(OR(B4146="",C4146=""),"",IFERROR(E4146*IF(E4146="",0,VLOOKUP(C4146,'📦 Precios Proforma'!$B$5:$D$104,IF(D4146="DIA",2,3),FALSE)),0))</f>
        <v/>
      </c>
      <c r="J4146" s="31" t="str">
        <f t="shared" si="449"/>
        <v/>
      </c>
      <c r="K4146" s="31" t="str">
        <f t="shared" si="450"/>
        <v/>
      </c>
      <c r="L4146" s="31" t="str">
        <f>IF(OR(B4146="",C4146=""),"",IFERROR(E4146 / SUMIFS('📅 Resumen Diario'!$D$5:$D$504, '📅 Resumen Diario'!$B$5:$B$504, B4146, '📅 Resumen Diario'!$C$5:$C$504, D4146) * SUMIFS('📅 Resumen Diario'!$K$5:$K$504, '📅 Resumen Diario'!$B$5:$B$504, B4146, '📅 Resumen Diario'!$C$5:$C$504, D4146), 0))</f>
        <v/>
      </c>
      <c r="M4146" s="31" t="str">
        <f t="shared" si="451"/>
        <v/>
      </c>
      <c r="N4146" s="31" t="str">
        <f t="shared" si="452"/>
        <v/>
      </c>
      <c r="O4146" s="31" t="str">
        <f>IF(OR(B4146="",C4146=""),"",K4146-N4146 + IFERROR(E4146 / SUMIFS('📅 Resumen Diario'!$D$5:$D$504, '📅 Resumen Diario'!$B$5:$B$504, B4146, '📅 Resumen Diario'!$C$5:$C$504, D4146) * (SUMIFS('📋 Detalle Diario'!$E$5:$E$489, '📋 Detalle Diario'!$B$5:$B$489, B4146, '📋 Detalle Diario'!$C$5:$C$489, D4146) * 135 + SUMIFS('📋 Detalle Diario'!$I$5:$I$489, '📋 Detalle Diario'!$B$5:$B$489, B4146, '📋 Detalle Diario'!$C$5:$C$489, D4146) * 200), 0))</f>
        <v/>
      </c>
      <c r="P4146" s="32" t="str">
        <f t="shared" si="453"/>
        <v/>
      </c>
      <c r="Q4146" s="33" t="str">
        <f t="shared" si="454"/>
        <v/>
      </c>
    </row>
    <row r="4147" spans="2:17" ht="18" customHeight="1" x14ac:dyDescent="0.3">
      <c r="B4147" s="26"/>
      <c r="C4147" s="28"/>
      <c r="D4147" s="27"/>
      <c r="E4147" s="29"/>
      <c r="F4147" s="29"/>
      <c r="G4147" s="29"/>
      <c r="H4147" s="30" t="str">
        <f t="shared" si="448"/>
        <v/>
      </c>
      <c r="I4147" s="31" t="str">
        <f>IF(OR(B4147="",C4147=""),"",IFERROR(E4147*IF(E4147="",0,VLOOKUP(C4147,'📦 Precios Proforma'!$B$5:$D$104,IF(D4147="DIA",2,3),FALSE)),0))</f>
        <v/>
      </c>
      <c r="J4147" s="31" t="str">
        <f t="shared" si="449"/>
        <v/>
      </c>
      <c r="K4147" s="31" t="str">
        <f t="shared" si="450"/>
        <v/>
      </c>
      <c r="L4147" s="31" t="str">
        <f>IF(OR(B4147="",C4147=""),"",IFERROR(E4147 / SUMIFS('📅 Resumen Diario'!$D$5:$D$504, '📅 Resumen Diario'!$B$5:$B$504, B4147, '📅 Resumen Diario'!$C$5:$C$504, D4147) * SUMIFS('📅 Resumen Diario'!$K$5:$K$504, '📅 Resumen Diario'!$B$5:$B$504, B4147, '📅 Resumen Diario'!$C$5:$C$504, D4147), 0))</f>
        <v/>
      </c>
      <c r="M4147" s="31" t="str">
        <f t="shared" si="451"/>
        <v/>
      </c>
      <c r="N4147" s="31" t="str">
        <f t="shared" si="452"/>
        <v/>
      </c>
      <c r="O4147" s="31" t="str">
        <f>IF(OR(B4147="",C4147=""),"",K4147-N4147 + IFERROR(E4147 / SUMIFS('📅 Resumen Diario'!$D$5:$D$504, '📅 Resumen Diario'!$B$5:$B$504, B4147, '📅 Resumen Diario'!$C$5:$C$504, D4147) * (SUMIFS('📋 Detalle Diario'!$E$5:$E$489, '📋 Detalle Diario'!$B$5:$B$489, B4147, '📋 Detalle Diario'!$C$5:$C$489, D4147) * 135 + SUMIFS('📋 Detalle Diario'!$I$5:$I$489, '📋 Detalle Diario'!$B$5:$B$489, B4147, '📋 Detalle Diario'!$C$5:$C$489, D4147) * 200), 0))</f>
        <v/>
      </c>
      <c r="P4147" s="32" t="str">
        <f t="shared" si="453"/>
        <v/>
      </c>
      <c r="Q4147" s="33" t="str">
        <f t="shared" si="454"/>
        <v/>
      </c>
    </row>
    <row r="4148" spans="2:17" ht="18" customHeight="1" x14ac:dyDescent="0.3">
      <c r="B4148" s="26"/>
      <c r="C4148" s="17"/>
      <c r="D4148" s="27"/>
      <c r="E4148" s="18"/>
      <c r="F4148" s="18"/>
      <c r="G4148" s="18"/>
      <c r="H4148" s="30" t="str">
        <f t="shared" si="448"/>
        <v/>
      </c>
      <c r="I4148" s="31" t="str">
        <f>IF(OR(B4148="",C4148=""),"",IFERROR(E4148*IF(E4148="",0,VLOOKUP(C4148,'📦 Precios Proforma'!$B$5:$D$104,IF(D4148="DIA",2,3),FALSE)),0))</f>
        <v/>
      </c>
      <c r="J4148" s="31" t="str">
        <f t="shared" si="449"/>
        <v/>
      </c>
      <c r="K4148" s="31" t="str">
        <f t="shared" si="450"/>
        <v/>
      </c>
      <c r="L4148" s="31" t="str">
        <f>IF(OR(B4148="",C4148=""),"",IFERROR(E4148 / SUMIFS('📅 Resumen Diario'!$D$5:$D$504, '📅 Resumen Diario'!$B$5:$B$504, B4148, '📅 Resumen Diario'!$C$5:$C$504, D4148) * SUMIFS('📅 Resumen Diario'!$K$5:$K$504, '📅 Resumen Diario'!$B$5:$B$504, B4148, '📅 Resumen Diario'!$C$5:$C$504, D4148), 0))</f>
        <v/>
      </c>
      <c r="M4148" s="31" t="str">
        <f t="shared" si="451"/>
        <v/>
      </c>
      <c r="N4148" s="31" t="str">
        <f t="shared" si="452"/>
        <v/>
      </c>
      <c r="O4148" s="31" t="str">
        <f>IF(OR(B4148="",C4148=""),"",K4148-N4148 + IFERROR(E4148 / SUMIFS('📅 Resumen Diario'!$D$5:$D$504, '📅 Resumen Diario'!$B$5:$B$504, B4148, '📅 Resumen Diario'!$C$5:$C$504, D4148) * (SUMIFS('📋 Detalle Diario'!$E$5:$E$489, '📋 Detalle Diario'!$B$5:$B$489, B4148, '📋 Detalle Diario'!$C$5:$C$489, D4148) * 135 + SUMIFS('📋 Detalle Diario'!$I$5:$I$489, '📋 Detalle Diario'!$B$5:$B$489, B4148, '📋 Detalle Diario'!$C$5:$C$489, D4148) * 200), 0))</f>
        <v/>
      </c>
      <c r="P4148" s="32" t="str">
        <f t="shared" si="453"/>
        <v/>
      </c>
      <c r="Q4148" s="33" t="str">
        <f t="shared" si="454"/>
        <v/>
      </c>
    </row>
    <row r="4149" spans="2:17" ht="18" customHeight="1" x14ac:dyDescent="0.3">
      <c r="B4149" s="26"/>
      <c r="C4149" s="28"/>
      <c r="D4149" s="27"/>
      <c r="E4149" s="29"/>
      <c r="F4149" s="29"/>
      <c r="G4149" s="29"/>
      <c r="H4149" s="30" t="str">
        <f t="shared" si="448"/>
        <v/>
      </c>
      <c r="I4149" s="31" t="str">
        <f>IF(OR(B4149="",C4149=""),"",IFERROR(E4149*IF(E4149="",0,VLOOKUP(C4149,'📦 Precios Proforma'!$B$5:$D$104,IF(D4149="DIA",2,3),FALSE)),0))</f>
        <v/>
      </c>
      <c r="J4149" s="31" t="str">
        <f t="shared" si="449"/>
        <v/>
      </c>
      <c r="K4149" s="31" t="str">
        <f t="shared" si="450"/>
        <v/>
      </c>
      <c r="L4149" s="31" t="str">
        <f>IF(OR(B4149="",C4149=""),"",IFERROR(E4149 / SUMIFS('📅 Resumen Diario'!$D$5:$D$504, '📅 Resumen Diario'!$B$5:$B$504, B4149, '📅 Resumen Diario'!$C$5:$C$504, D4149) * SUMIFS('📅 Resumen Diario'!$K$5:$K$504, '📅 Resumen Diario'!$B$5:$B$504, B4149, '📅 Resumen Diario'!$C$5:$C$504, D4149), 0))</f>
        <v/>
      </c>
      <c r="M4149" s="31" t="str">
        <f t="shared" si="451"/>
        <v/>
      </c>
      <c r="N4149" s="31" t="str">
        <f t="shared" si="452"/>
        <v/>
      </c>
      <c r="O4149" s="31" t="str">
        <f>IF(OR(B4149="",C4149=""),"",K4149-N4149 + IFERROR(E4149 / SUMIFS('📅 Resumen Diario'!$D$5:$D$504, '📅 Resumen Diario'!$B$5:$B$504, B4149, '📅 Resumen Diario'!$C$5:$C$504, D4149) * (SUMIFS('📋 Detalle Diario'!$E$5:$E$489, '📋 Detalle Diario'!$B$5:$B$489, B4149, '📋 Detalle Diario'!$C$5:$C$489, D4149) * 135 + SUMIFS('📋 Detalle Diario'!$I$5:$I$489, '📋 Detalle Diario'!$B$5:$B$489, B4149, '📋 Detalle Diario'!$C$5:$C$489, D4149) * 200), 0))</f>
        <v/>
      </c>
      <c r="P4149" s="32" t="str">
        <f t="shared" si="453"/>
        <v/>
      </c>
      <c r="Q4149" s="33" t="str">
        <f t="shared" si="454"/>
        <v/>
      </c>
    </row>
    <row r="4150" spans="2:17" ht="18" customHeight="1" x14ac:dyDescent="0.3">
      <c r="B4150" s="26"/>
      <c r="C4150" s="17"/>
      <c r="D4150" s="27"/>
      <c r="E4150" s="18"/>
      <c r="F4150" s="18"/>
      <c r="G4150" s="18"/>
      <c r="H4150" s="30" t="str">
        <f t="shared" si="448"/>
        <v/>
      </c>
      <c r="I4150" s="31" t="str">
        <f>IF(OR(B4150="",C4150=""),"",IFERROR(E4150*IF(E4150="",0,VLOOKUP(C4150,'📦 Precios Proforma'!$B$5:$D$104,IF(D4150="DIA",2,3),FALSE)),0))</f>
        <v/>
      </c>
      <c r="J4150" s="31" t="str">
        <f t="shared" si="449"/>
        <v/>
      </c>
      <c r="K4150" s="31" t="str">
        <f t="shared" si="450"/>
        <v/>
      </c>
      <c r="L4150" s="31" t="str">
        <f>IF(OR(B4150="",C4150=""),"",IFERROR(E4150 / SUMIFS('📅 Resumen Diario'!$D$5:$D$504, '📅 Resumen Diario'!$B$5:$B$504, B4150, '📅 Resumen Diario'!$C$5:$C$504, D4150) * SUMIFS('📅 Resumen Diario'!$K$5:$K$504, '📅 Resumen Diario'!$B$5:$B$504, B4150, '📅 Resumen Diario'!$C$5:$C$504, D4150), 0))</f>
        <v/>
      </c>
      <c r="M4150" s="31" t="str">
        <f t="shared" si="451"/>
        <v/>
      </c>
      <c r="N4150" s="31" t="str">
        <f t="shared" si="452"/>
        <v/>
      </c>
      <c r="O4150" s="31" t="str">
        <f>IF(OR(B4150="",C4150=""),"",K4150-N4150 + IFERROR(E4150 / SUMIFS('📅 Resumen Diario'!$D$5:$D$504, '📅 Resumen Diario'!$B$5:$B$504, B4150, '📅 Resumen Diario'!$C$5:$C$504, D4150) * (SUMIFS('📋 Detalle Diario'!$E$5:$E$489, '📋 Detalle Diario'!$B$5:$B$489, B4150, '📋 Detalle Diario'!$C$5:$C$489, D4150) * 135 + SUMIFS('📋 Detalle Diario'!$I$5:$I$489, '📋 Detalle Diario'!$B$5:$B$489, B4150, '📋 Detalle Diario'!$C$5:$C$489, D4150) * 200), 0))</f>
        <v/>
      </c>
      <c r="P4150" s="32" t="str">
        <f t="shared" si="453"/>
        <v/>
      </c>
      <c r="Q4150" s="33" t="str">
        <f t="shared" si="454"/>
        <v/>
      </c>
    </row>
    <row r="4151" spans="2:17" ht="18" customHeight="1" x14ac:dyDescent="0.3">
      <c r="B4151" s="26"/>
      <c r="C4151" s="28"/>
      <c r="D4151" s="27"/>
      <c r="E4151" s="29"/>
      <c r="F4151" s="29"/>
      <c r="G4151" s="29"/>
      <c r="H4151" s="30" t="str">
        <f t="shared" si="448"/>
        <v/>
      </c>
      <c r="I4151" s="31" t="str">
        <f>IF(OR(B4151="",C4151=""),"",IFERROR(E4151*IF(E4151="",0,VLOOKUP(C4151,'📦 Precios Proforma'!$B$5:$D$104,IF(D4151="DIA",2,3),FALSE)),0))</f>
        <v/>
      </c>
      <c r="J4151" s="31" t="str">
        <f t="shared" si="449"/>
        <v/>
      </c>
      <c r="K4151" s="31" t="str">
        <f t="shared" si="450"/>
        <v/>
      </c>
      <c r="L4151" s="31" t="str">
        <f>IF(OR(B4151="",C4151=""),"",IFERROR(E4151 / SUMIFS('📅 Resumen Diario'!$D$5:$D$504, '📅 Resumen Diario'!$B$5:$B$504, B4151, '📅 Resumen Diario'!$C$5:$C$504, D4151) * SUMIFS('📅 Resumen Diario'!$K$5:$K$504, '📅 Resumen Diario'!$B$5:$B$504, B4151, '📅 Resumen Diario'!$C$5:$C$504, D4151), 0))</f>
        <v/>
      </c>
      <c r="M4151" s="31" t="str">
        <f t="shared" si="451"/>
        <v/>
      </c>
      <c r="N4151" s="31" t="str">
        <f t="shared" si="452"/>
        <v/>
      </c>
      <c r="O4151" s="31" t="str">
        <f>IF(OR(B4151="",C4151=""),"",K4151-N4151 + IFERROR(E4151 / SUMIFS('📅 Resumen Diario'!$D$5:$D$504, '📅 Resumen Diario'!$B$5:$B$504, B4151, '📅 Resumen Diario'!$C$5:$C$504, D4151) * (SUMIFS('📋 Detalle Diario'!$E$5:$E$489, '📋 Detalle Diario'!$B$5:$B$489, B4151, '📋 Detalle Diario'!$C$5:$C$489, D4151) * 135 + SUMIFS('📋 Detalle Diario'!$I$5:$I$489, '📋 Detalle Diario'!$B$5:$B$489, B4151, '📋 Detalle Diario'!$C$5:$C$489, D4151) * 200), 0))</f>
        <v/>
      </c>
      <c r="P4151" s="32" t="str">
        <f t="shared" si="453"/>
        <v/>
      </c>
      <c r="Q4151" s="33" t="str">
        <f t="shared" si="454"/>
        <v/>
      </c>
    </row>
    <row r="4152" spans="2:17" ht="18" customHeight="1" x14ac:dyDescent="0.3">
      <c r="B4152" s="26"/>
      <c r="C4152" s="17"/>
      <c r="D4152" s="27"/>
      <c r="E4152" s="18"/>
      <c r="F4152" s="18"/>
      <c r="G4152" s="18"/>
      <c r="H4152" s="30" t="str">
        <f t="shared" si="448"/>
        <v/>
      </c>
      <c r="I4152" s="31" t="str">
        <f>IF(OR(B4152="",C4152=""),"",IFERROR(E4152*IF(E4152="",0,VLOOKUP(C4152,'📦 Precios Proforma'!$B$5:$D$104,IF(D4152="DIA",2,3),FALSE)),0))</f>
        <v/>
      </c>
      <c r="J4152" s="31" t="str">
        <f t="shared" si="449"/>
        <v/>
      </c>
      <c r="K4152" s="31" t="str">
        <f t="shared" si="450"/>
        <v/>
      </c>
      <c r="L4152" s="31" t="str">
        <f>IF(OR(B4152="",C4152=""),"",IFERROR(E4152 / SUMIFS('📅 Resumen Diario'!$D$5:$D$504, '📅 Resumen Diario'!$B$5:$B$504, B4152, '📅 Resumen Diario'!$C$5:$C$504, D4152) * SUMIFS('📅 Resumen Diario'!$K$5:$K$504, '📅 Resumen Diario'!$B$5:$B$504, B4152, '📅 Resumen Diario'!$C$5:$C$504, D4152), 0))</f>
        <v/>
      </c>
      <c r="M4152" s="31" t="str">
        <f t="shared" si="451"/>
        <v/>
      </c>
      <c r="N4152" s="31" t="str">
        <f t="shared" si="452"/>
        <v/>
      </c>
      <c r="O4152" s="31" t="str">
        <f>IF(OR(B4152="",C4152=""),"",K4152-N4152 + IFERROR(E4152 / SUMIFS('📅 Resumen Diario'!$D$5:$D$504, '📅 Resumen Diario'!$B$5:$B$504, B4152, '📅 Resumen Diario'!$C$5:$C$504, D4152) * (SUMIFS('📋 Detalle Diario'!$E$5:$E$489, '📋 Detalle Diario'!$B$5:$B$489, B4152, '📋 Detalle Diario'!$C$5:$C$489, D4152) * 135 + SUMIFS('📋 Detalle Diario'!$I$5:$I$489, '📋 Detalle Diario'!$B$5:$B$489, B4152, '📋 Detalle Diario'!$C$5:$C$489, D4152) * 200), 0))</f>
        <v/>
      </c>
      <c r="P4152" s="32" t="str">
        <f t="shared" si="453"/>
        <v/>
      </c>
      <c r="Q4152" s="33" t="str">
        <f t="shared" si="454"/>
        <v/>
      </c>
    </row>
    <row r="4153" spans="2:17" ht="18" customHeight="1" x14ac:dyDescent="0.3">
      <c r="B4153" s="26"/>
      <c r="C4153" s="28"/>
      <c r="D4153" s="27"/>
      <c r="E4153" s="29"/>
      <c r="F4153" s="29"/>
      <c r="G4153" s="29"/>
      <c r="H4153" s="30" t="str">
        <f t="shared" si="448"/>
        <v/>
      </c>
      <c r="I4153" s="31" t="str">
        <f>IF(OR(B4153="",C4153=""),"",IFERROR(E4153*IF(E4153="",0,VLOOKUP(C4153,'📦 Precios Proforma'!$B$5:$D$104,IF(D4153="DIA",2,3),FALSE)),0))</f>
        <v/>
      </c>
      <c r="J4153" s="31" t="str">
        <f t="shared" si="449"/>
        <v/>
      </c>
      <c r="K4153" s="31" t="str">
        <f t="shared" si="450"/>
        <v/>
      </c>
      <c r="L4153" s="31" t="str">
        <f>IF(OR(B4153="",C4153=""),"",IFERROR(E4153 / SUMIFS('📅 Resumen Diario'!$D$5:$D$504, '📅 Resumen Diario'!$B$5:$B$504, B4153, '📅 Resumen Diario'!$C$5:$C$504, D4153) * SUMIFS('📅 Resumen Diario'!$K$5:$K$504, '📅 Resumen Diario'!$B$5:$B$504, B4153, '📅 Resumen Diario'!$C$5:$C$504, D4153), 0))</f>
        <v/>
      </c>
      <c r="M4153" s="31" t="str">
        <f t="shared" si="451"/>
        <v/>
      </c>
      <c r="N4153" s="31" t="str">
        <f t="shared" si="452"/>
        <v/>
      </c>
      <c r="O4153" s="31" t="str">
        <f>IF(OR(B4153="",C4153=""),"",K4153-N4153 + IFERROR(E4153 / SUMIFS('📅 Resumen Diario'!$D$5:$D$504, '📅 Resumen Diario'!$B$5:$B$504, B4153, '📅 Resumen Diario'!$C$5:$C$504, D4153) * (SUMIFS('📋 Detalle Diario'!$E$5:$E$489, '📋 Detalle Diario'!$B$5:$B$489, B4153, '📋 Detalle Diario'!$C$5:$C$489, D4153) * 135 + SUMIFS('📋 Detalle Diario'!$I$5:$I$489, '📋 Detalle Diario'!$B$5:$B$489, B4153, '📋 Detalle Diario'!$C$5:$C$489, D4153) * 200), 0))</f>
        <v/>
      </c>
      <c r="P4153" s="32" t="str">
        <f t="shared" si="453"/>
        <v/>
      </c>
      <c r="Q4153" s="33" t="str">
        <f t="shared" si="454"/>
        <v/>
      </c>
    </row>
    <row r="4154" spans="2:17" ht="18" customHeight="1" x14ac:dyDescent="0.3">
      <c r="B4154" s="26"/>
      <c r="C4154" s="17"/>
      <c r="D4154" s="27"/>
      <c r="E4154" s="18"/>
      <c r="F4154" s="18"/>
      <c r="G4154" s="18"/>
      <c r="H4154" s="30" t="str">
        <f t="shared" si="448"/>
        <v/>
      </c>
      <c r="I4154" s="31" t="str">
        <f>IF(OR(B4154="",C4154=""),"",IFERROR(E4154*IF(E4154="",0,VLOOKUP(C4154,'📦 Precios Proforma'!$B$5:$D$104,IF(D4154="DIA",2,3),FALSE)),0))</f>
        <v/>
      </c>
      <c r="J4154" s="31" t="str">
        <f t="shared" si="449"/>
        <v/>
      </c>
      <c r="K4154" s="31" t="str">
        <f t="shared" si="450"/>
        <v/>
      </c>
      <c r="L4154" s="31" t="str">
        <f>IF(OR(B4154="",C4154=""),"",IFERROR(E4154 / SUMIFS('📅 Resumen Diario'!$D$5:$D$504, '📅 Resumen Diario'!$B$5:$B$504, B4154, '📅 Resumen Diario'!$C$5:$C$504, D4154) * SUMIFS('📅 Resumen Diario'!$K$5:$K$504, '📅 Resumen Diario'!$B$5:$B$504, B4154, '📅 Resumen Diario'!$C$5:$C$504, D4154), 0))</f>
        <v/>
      </c>
      <c r="M4154" s="31" t="str">
        <f t="shared" si="451"/>
        <v/>
      </c>
      <c r="N4154" s="31" t="str">
        <f t="shared" si="452"/>
        <v/>
      </c>
      <c r="O4154" s="31" t="str">
        <f>IF(OR(B4154="",C4154=""),"",K4154-N4154 + IFERROR(E4154 / SUMIFS('📅 Resumen Diario'!$D$5:$D$504, '📅 Resumen Diario'!$B$5:$B$504, B4154, '📅 Resumen Diario'!$C$5:$C$504, D4154) * (SUMIFS('📋 Detalle Diario'!$E$5:$E$489, '📋 Detalle Diario'!$B$5:$B$489, B4154, '📋 Detalle Diario'!$C$5:$C$489, D4154) * 135 + SUMIFS('📋 Detalle Diario'!$I$5:$I$489, '📋 Detalle Diario'!$B$5:$B$489, B4154, '📋 Detalle Diario'!$C$5:$C$489, D4154) * 200), 0))</f>
        <v/>
      </c>
      <c r="P4154" s="32" t="str">
        <f t="shared" si="453"/>
        <v/>
      </c>
      <c r="Q4154" s="33" t="str">
        <f t="shared" si="454"/>
        <v/>
      </c>
    </row>
    <row r="4155" spans="2:17" ht="18" customHeight="1" x14ac:dyDescent="0.3">
      <c r="B4155" s="26"/>
      <c r="C4155" s="28"/>
      <c r="D4155" s="27"/>
      <c r="E4155" s="29"/>
      <c r="F4155" s="29"/>
      <c r="G4155" s="29"/>
      <c r="H4155" s="30" t="str">
        <f t="shared" si="448"/>
        <v/>
      </c>
      <c r="I4155" s="31" t="str">
        <f>IF(OR(B4155="",C4155=""),"",IFERROR(E4155*IF(E4155="",0,VLOOKUP(C4155,'📦 Precios Proforma'!$B$5:$D$104,IF(D4155="DIA",2,3),FALSE)),0))</f>
        <v/>
      </c>
      <c r="J4155" s="31" t="str">
        <f t="shared" si="449"/>
        <v/>
      </c>
      <c r="K4155" s="31" t="str">
        <f t="shared" si="450"/>
        <v/>
      </c>
      <c r="L4155" s="31" t="str">
        <f>IF(OR(B4155="",C4155=""),"",IFERROR(E4155 / SUMIFS('📅 Resumen Diario'!$D$5:$D$504, '📅 Resumen Diario'!$B$5:$B$504, B4155, '📅 Resumen Diario'!$C$5:$C$504, D4155) * SUMIFS('📅 Resumen Diario'!$K$5:$K$504, '📅 Resumen Diario'!$B$5:$B$504, B4155, '📅 Resumen Diario'!$C$5:$C$504, D4155), 0))</f>
        <v/>
      </c>
      <c r="M4155" s="31" t="str">
        <f t="shared" si="451"/>
        <v/>
      </c>
      <c r="N4155" s="31" t="str">
        <f t="shared" si="452"/>
        <v/>
      </c>
      <c r="O4155" s="31" t="str">
        <f>IF(OR(B4155="",C4155=""),"",K4155-N4155 + IFERROR(E4155 / SUMIFS('📅 Resumen Diario'!$D$5:$D$504, '📅 Resumen Diario'!$B$5:$B$504, B4155, '📅 Resumen Diario'!$C$5:$C$504, D4155) * (SUMIFS('📋 Detalle Diario'!$E$5:$E$489, '📋 Detalle Diario'!$B$5:$B$489, B4155, '📋 Detalle Diario'!$C$5:$C$489, D4155) * 135 + SUMIFS('📋 Detalle Diario'!$I$5:$I$489, '📋 Detalle Diario'!$B$5:$B$489, B4155, '📋 Detalle Diario'!$C$5:$C$489, D4155) * 200), 0))</f>
        <v/>
      </c>
      <c r="P4155" s="32" t="str">
        <f t="shared" si="453"/>
        <v/>
      </c>
      <c r="Q4155" s="33" t="str">
        <f t="shared" si="454"/>
        <v/>
      </c>
    </row>
    <row r="4156" spans="2:17" ht="18" customHeight="1" x14ac:dyDescent="0.3">
      <c r="B4156" s="26"/>
      <c r="C4156" s="17"/>
      <c r="D4156" s="27"/>
      <c r="E4156" s="18"/>
      <c r="F4156" s="18"/>
      <c r="G4156" s="18"/>
      <c r="H4156" s="30" t="str">
        <f t="shared" si="448"/>
        <v/>
      </c>
      <c r="I4156" s="31" t="str">
        <f>IF(OR(B4156="",C4156=""),"",IFERROR(E4156*IF(E4156="",0,VLOOKUP(C4156,'📦 Precios Proforma'!$B$5:$D$104,IF(D4156="DIA",2,3),FALSE)),0))</f>
        <v/>
      </c>
      <c r="J4156" s="31" t="str">
        <f t="shared" si="449"/>
        <v/>
      </c>
      <c r="K4156" s="31" t="str">
        <f t="shared" si="450"/>
        <v/>
      </c>
      <c r="L4156" s="31" t="str">
        <f>IF(OR(B4156="",C4156=""),"",IFERROR(E4156 / SUMIFS('📅 Resumen Diario'!$D$5:$D$504, '📅 Resumen Diario'!$B$5:$B$504, B4156, '📅 Resumen Diario'!$C$5:$C$504, D4156) * SUMIFS('📅 Resumen Diario'!$K$5:$K$504, '📅 Resumen Diario'!$B$5:$B$504, B4156, '📅 Resumen Diario'!$C$5:$C$504, D4156), 0))</f>
        <v/>
      </c>
      <c r="M4156" s="31" t="str">
        <f t="shared" si="451"/>
        <v/>
      </c>
      <c r="N4156" s="31" t="str">
        <f t="shared" si="452"/>
        <v/>
      </c>
      <c r="O4156" s="31" t="str">
        <f>IF(OR(B4156="",C4156=""),"",K4156-N4156 + IFERROR(E4156 / SUMIFS('📅 Resumen Diario'!$D$5:$D$504, '📅 Resumen Diario'!$B$5:$B$504, B4156, '📅 Resumen Diario'!$C$5:$C$504, D4156) * (SUMIFS('📋 Detalle Diario'!$E$5:$E$489, '📋 Detalle Diario'!$B$5:$B$489, B4156, '📋 Detalle Diario'!$C$5:$C$489, D4156) * 135 + SUMIFS('📋 Detalle Diario'!$I$5:$I$489, '📋 Detalle Diario'!$B$5:$B$489, B4156, '📋 Detalle Diario'!$C$5:$C$489, D4156) * 200), 0))</f>
        <v/>
      </c>
      <c r="P4156" s="32" t="str">
        <f t="shared" si="453"/>
        <v/>
      </c>
      <c r="Q4156" s="33" t="str">
        <f t="shared" si="454"/>
        <v/>
      </c>
    </row>
    <row r="4157" spans="2:17" ht="18" customHeight="1" x14ac:dyDescent="0.3">
      <c r="B4157" s="26"/>
      <c r="C4157" s="28"/>
      <c r="D4157" s="27"/>
      <c r="E4157" s="29"/>
      <c r="F4157" s="29"/>
      <c r="G4157" s="29"/>
      <c r="H4157" s="30" t="str">
        <f t="shared" si="448"/>
        <v/>
      </c>
      <c r="I4157" s="31" t="str">
        <f>IF(OR(B4157="",C4157=""),"",IFERROR(E4157*IF(E4157="",0,VLOOKUP(C4157,'📦 Precios Proforma'!$B$5:$D$104,IF(D4157="DIA",2,3),FALSE)),0))</f>
        <v/>
      </c>
      <c r="J4157" s="31" t="str">
        <f t="shared" si="449"/>
        <v/>
      </c>
      <c r="K4157" s="31" t="str">
        <f t="shared" si="450"/>
        <v/>
      </c>
      <c r="L4157" s="31" t="str">
        <f>IF(OR(B4157="",C4157=""),"",IFERROR(E4157 / SUMIFS('📅 Resumen Diario'!$D$5:$D$504, '📅 Resumen Diario'!$B$5:$B$504, B4157, '📅 Resumen Diario'!$C$5:$C$504, D4157) * SUMIFS('📅 Resumen Diario'!$K$5:$K$504, '📅 Resumen Diario'!$B$5:$B$504, B4157, '📅 Resumen Diario'!$C$5:$C$504, D4157), 0))</f>
        <v/>
      </c>
      <c r="M4157" s="31" t="str">
        <f t="shared" si="451"/>
        <v/>
      </c>
      <c r="N4157" s="31" t="str">
        <f t="shared" si="452"/>
        <v/>
      </c>
      <c r="O4157" s="31" t="str">
        <f>IF(OR(B4157="",C4157=""),"",K4157-N4157 + IFERROR(E4157 / SUMIFS('📅 Resumen Diario'!$D$5:$D$504, '📅 Resumen Diario'!$B$5:$B$504, B4157, '📅 Resumen Diario'!$C$5:$C$504, D4157) * (SUMIFS('📋 Detalle Diario'!$E$5:$E$489, '📋 Detalle Diario'!$B$5:$B$489, B4157, '📋 Detalle Diario'!$C$5:$C$489, D4157) * 135 + SUMIFS('📋 Detalle Diario'!$I$5:$I$489, '📋 Detalle Diario'!$B$5:$B$489, B4157, '📋 Detalle Diario'!$C$5:$C$489, D4157) * 200), 0))</f>
        <v/>
      </c>
      <c r="P4157" s="32" t="str">
        <f t="shared" si="453"/>
        <v/>
      </c>
      <c r="Q4157" s="33" t="str">
        <f t="shared" si="454"/>
        <v/>
      </c>
    </row>
    <row r="4158" spans="2:17" ht="18" customHeight="1" x14ac:dyDescent="0.3">
      <c r="B4158" s="26"/>
      <c r="C4158" s="17"/>
      <c r="D4158" s="27"/>
      <c r="E4158" s="18"/>
      <c r="F4158" s="18"/>
      <c r="G4158" s="18"/>
      <c r="H4158" s="30" t="str">
        <f t="shared" si="448"/>
        <v/>
      </c>
      <c r="I4158" s="31" t="str">
        <f>IF(OR(B4158="",C4158=""),"",IFERROR(E4158*IF(E4158="",0,VLOOKUP(C4158,'📦 Precios Proforma'!$B$5:$D$104,IF(D4158="DIA",2,3),FALSE)),0))</f>
        <v/>
      </c>
      <c r="J4158" s="31" t="str">
        <f t="shared" si="449"/>
        <v/>
      </c>
      <c r="K4158" s="31" t="str">
        <f t="shared" si="450"/>
        <v/>
      </c>
      <c r="L4158" s="31" t="str">
        <f>IF(OR(B4158="",C4158=""),"",IFERROR(E4158 / SUMIFS('📅 Resumen Diario'!$D$5:$D$504, '📅 Resumen Diario'!$B$5:$B$504, B4158, '📅 Resumen Diario'!$C$5:$C$504, D4158) * SUMIFS('📅 Resumen Diario'!$K$5:$K$504, '📅 Resumen Diario'!$B$5:$B$504, B4158, '📅 Resumen Diario'!$C$5:$C$504, D4158), 0))</f>
        <v/>
      </c>
      <c r="M4158" s="31" t="str">
        <f t="shared" si="451"/>
        <v/>
      </c>
      <c r="N4158" s="31" t="str">
        <f t="shared" si="452"/>
        <v/>
      </c>
      <c r="O4158" s="31" t="str">
        <f>IF(OR(B4158="",C4158=""),"",K4158-N4158 + IFERROR(E4158 / SUMIFS('📅 Resumen Diario'!$D$5:$D$504, '📅 Resumen Diario'!$B$5:$B$504, B4158, '📅 Resumen Diario'!$C$5:$C$504, D4158) * (SUMIFS('📋 Detalle Diario'!$E$5:$E$489, '📋 Detalle Diario'!$B$5:$B$489, B4158, '📋 Detalle Diario'!$C$5:$C$489, D4158) * 135 + SUMIFS('📋 Detalle Diario'!$I$5:$I$489, '📋 Detalle Diario'!$B$5:$B$489, B4158, '📋 Detalle Diario'!$C$5:$C$489, D4158) * 200), 0))</f>
        <v/>
      </c>
      <c r="P4158" s="32" t="str">
        <f t="shared" si="453"/>
        <v/>
      </c>
      <c r="Q4158" s="33" t="str">
        <f t="shared" si="454"/>
        <v/>
      </c>
    </row>
    <row r="4159" spans="2:17" ht="18" customHeight="1" x14ac:dyDescent="0.3">
      <c r="B4159" s="26"/>
      <c r="C4159" s="28"/>
      <c r="D4159" s="27"/>
      <c r="E4159" s="29"/>
      <c r="F4159" s="29"/>
      <c r="G4159" s="29"/>
      <c r="H4159" s="30" t="str">
        <f t="shared" si="448"/>
        <v/>
      </c>
      <c r="I4159" s="31" t="str">
        <f>IF(OR(B4159="",C4159=""),"",IFERROR(E4159*IF(E4159="",0,VLOOKUP(C4159,'📦 Precios Proforma'!$B$5:$D$104,IF(D4159="DIA",2,3),FALSE)),0))</f>
        <v/>
      </c>
      <c r="J4159" s="31" t="str">
        <f t="shared" si="449"/>
        <v/>
      </c>
      <c r="K4159" s="31" t="str">
        <f t="shared" si="450"/>
        <v/>
      </c>
      <c r="L4159" s="31" t="str">
        <f>IF(OR(B4159="",C4159=""),"",IFERROR(E4159 / SUMIFS('📅 Resumen Diario'!$D$5:$D$504, '📅 Resumen Diario'!$B$5:$B$504, B4159, '📅 Resumen Diario'!$C$5:$C$504, D4159) * SUMIFS('📅 Resumen Diario'!$K$5:$K$504, '📅 Resumen Diario'!$B$5:$B$504, B4159, '📅 Resumen Diario'!$C$5:$C$504, D4159), 0))</f>
        <v/>
      </c>
      <c r="M4159" s="31" t="str">
        <f t="shared" si="451"/>
        <v/>
      </c>
      <c r="N4159" s="31" t="str">
        <f t="shared" si="452"/>
        <v/>
      </c>
      <c r="O4159" s="31" t="str">
        <f>IF(OR(B4159="",C4159=""),"",K4159-N4159 + IFERROR(E4159 / SUMIFS('📅 Resumen Diario'!$D$5:$D$504, '📅 Resumen Diario'!$B$5:$B$504, B4159, '📅 Resumen Diario'!$C$5:$C$504, D4159) * (SUMIFS('📋 Detalle Diario'!$E$5:$E$489, '📋 Detalle Diario'!$B$5:$B$489, B4159, '📋 Detalle Diario'!$C$5:$C$489, D4159) * 135 + SUMIFS('📋 Detalle Diario'!$I$5:$I$489, '📋 Detalle Diario'!$B$5:$B$489, B4159, '📋 Detalle Diario'!$C$5:$C$489, D4159) * 200), 0))</f>
        <v/>
      </c>
      <c r="P4159" s="32" t="str">
        <f t="shared" si="453"/>
        <v/>
      </c>
      <c r="Q4159" s="33" t="str">
        <f t="shared" si="454"/>
        <v/>
      </c>
    </row>
    <row r="4160" spans="2:17" ht="18" customHeight="1" x14ac:dyDescent="0.3">
      <c r="B4160" s="26"/>
      <c r="C4160" s="17"/>
      <c r="D4160" s="27"/>
      <c r="E4160" s="18"/>
      <c r="F4160" s="18"/>
      <c r="G4160" s="18"/>
      <c r="H4160" s="30" t="str">
        <f t="shared" si="448"/>
        <v/>
      </c>
      <c r="I4160" s="31" t="str">
        <f>IF(OR(B4160="",C4160=""),"",IFERROR(E4160*IF(E4160="",0,VLOOKUP(C4160,'📦 Precios Proforma'!$B$5:$D$104,IF(D4160="DIA",2,3),FALSE)),0))</f>
        <v/>
      </c>
      <c r="J4160" s="31" t="str">
        <f t="shared" si="449"/>
        <v/>
      </c>
      <c r="K4160" s="31" t="str">
        <f t="shared" si="450"/>
        <v/>
      </c>
      <c r="L4160" s="31" t="str">
        <f>IF(OR(B4160="",C4160=""),"",IFERROR(E4160 / SUMIFS('📅 Resumen Diario'!$D$5:$D$504, '📅 Resumen Diario'!$B$5:$B$504, B4160, '📅 Resumen Diario'!$C$5:$C$504, D4160) * SUMIFS('📅 Resumen Diario'!$K$5:$K$504, '📅 Resumen Diario'!$B$5:$B$504, B4160, '📅 Resumen Diario'!$C$5:$C$504, D4160), 0))</f>
        <v/>
      </c>
      <c r="M4160" s="31" t="str">
        <f t="shared" si="451"/>
        <v/>
      </c>
      <c r="N4160" s="31" t="str">
        <f t="shared" si="452"/>
        <v/>
      </c>
      <c r="O4160" s="31" t="str">
        <f>IF(OR(B4160="",C4160=""),"",K4160-N4160 + IFERROR(E4160 / SUMIFS('📅 Resumen Diario'!$D$5:$D$504, '📅 Resumen Diario'!$B$5:$B$504, B4160, '📅 Resumen Diario'!$C$5:$C$504, D4160) * (SUMIFS('📋 Detalle Diario'!$E$5:$E$489, '📋 Detalle Diario'!$B$5:$B$489, B4160, '📋 Detalle Diario'!$C$5:$C$489, D4160) * 135 + SUMIFS('📋 Detalle Diario'!$I$5:$I$489, '📋 Detalle Diario'!$B$5:$B$489, B4160, '📋 Detalle Diario'!$C$5:$C$489, D4160) * 200), 0))</f>
        <v/>
      </c>
      <c r="P4160" s="32" t="str">
        <f t="shared" si="453"/>
        <v/>
      </c>
      <c r="Q4160" s="33" t="str">
        <f t="shared" si="454"/>
        <v/>
      </c>
    </row>
    <row r="4161" spans="2:17" ht="18" customHeight="1" x14ac:dyDescent="0.3">
      <c r="B4161" s="26"/>
      <c r="C4161" s="28"/>
      <c r="D4161" s="27"/>
      <c r="E4161" s="29"/>
      <c r="F4161" s="29"/>
      <c r="G4161" s="29"/>
      <c r="H4161" s="30" t="str">
        <f t="shared" si="448"/>
        <v/>
      </c>
      <c r="I4161" s="31" t="str">
        <f>IF(OR(B4161="",C4161=""),"",IFERROR(E4161*IF(E4161="",0,VLOOKUP(C4161,'📦 Precios Proforma'!$B$5:$D$104,IF(D4161="DIA",2,3),FALSE)),0))</f>
        <v/>
      </c>
      <c r="J4161" s="31" t="str">
        <f t="shared" si="449"/>
        <v/>
      </c>
      <c r="K4161" s="31" t="str">
        <f t="shared" si="450"/>
        <v/>
      </c>
      <c r="L4161" s="31" t="str">
        <f>IF(OR(B4161="",C4161=""),"",IFERROR(E4161 / SUMIFS('📅 Resumen Diario'!$D$5:$D$504, '📅 Resumen Diario'!$B$5:$B$504, B4161, '📅 Resumen Diario'!$C$5:$C$504, D4161) * SUMIFS('📅 Resumen Diario'!$K$5:$K$504, '📅 Resumen Diario'!$B$5:$B$504, B4161, '📅 Resumen Diario'!$C$5:$C$504, D4161), 0))</f>
        <v/>
      </c>
      <c r="M4161" s="31" t="str">
        <f t="shared" si="451"/>
        <v/>
      </c>
      <c r="N4161" s="31" t="str">
        <f t="shared" si="452"/>
        <v/>
      </c>
      <c r="O4161" s="31" t="str">
        <f>IF(OR(B4161="",C4161=""),"",K4161-N4161 + IFERROR(E4161 / SUMIFS('📅 Resumen Diario'!$D$5:$D$504, '📅 Resumen Diario'!$B$5:$B$504, B4161, '📅 Resumen Diario'!$C$5:$C$504, D4161) * (SUMIFS('📋 Detalle Diario'!$E$5:$E$489, '📋 Detalle Diario'!$B$5:$B$489, B4161, '📋 Detalle Diario'!$C$5:$C$489, D4161) * 135 + SUMIFS('📋 Detalle Diario'!$I$5:$I$489, '📋 Detalle Diario'!$B$5:$B$489, B4161, '📋 Detalle Diario'!$C$5:$C$489, D4161) * 200), 0))</f>
        <v/>
      </c>
      <c r="P4161" s="32" t="str">
        <f t="shared" si="453"/>
        <v/>
      </c>
      <c r="Q4161" s="33" t="str">
        <f t="shared" si="454"/>
        <v/>
      </c>
    </row>
    <row r="4162" spans="2:17" ht="18" customHeight="1" x14ac:dyDescent="0.3">
      <c r="B4162" s="26"/>
      <c r="C4162" s="17"/>
      <c r="D4162" s="27"/>
      <c r="E4162" s="18"/>
      <c r="F4162" s="18"/>
      <c r="G4162" s="18"/>
      <c r="H4162" s="30" t="str">
        <f t="shared" si="448"/>
        <v/>
      </c>
      <c r="I4162" s="31" t="str">
        <f>IF(OR(B4162="",C4162=""),"",IFERROR(E4162*IF(E4162="",0,VLOOKUP(C4162,'📦 Precios Proforma'!$B$5:$D$104,IF(D4162="DIA",2,3),FALSE)),0))</f>
        <v/>
      </c>
      <c r="J4162" s="31" t="str">
        <f t="shared" si="449"/>
        <v/>
      </c>
      <c r="K4162" s="31" t="str">
        <f t="shared" si="450"/>
        <v/>
      </c>
      <c r="L4162" s="31" t="str">
        <f>IF(OR(B4162="",C4162=""),"",IFERROR(E4162 / SUMIFS('📅 Resumen Diario'!$D$5:$D$504, '📅 Resumen Diario'!$B$5:$B$504, B4162, '📅 Resumen Diario'!$C$5:$C$504, D4162) * SUMIFS('📅 Resumen Diario'!$K$5:$K$504, '📅 Resumen Diario'!$B$5:$B$504, B4162, '📅 Resumen Diario'!$C$5:$C$504, D4162), 0))</f>
        <v/>
      </c>
      <c r="M4162" s="31" t="str">
        <f t="shared" si="451"/>
        <v/>
      </c>
      <c r="N4162" s="31" t="str">
        <f t="shared" si="452"/>
        <v/>
      </c>
      <c r="O4162" s="31" t="str">
        <f>IF(OR(B4162="",C4162=""),"",K4162-N4162 + IFERROR(E4162 / SUMIFS('📅 Resumen Diario'!$D$5:$D$504, '📅 Resumen Diario'!$B$5:$B$504, B4162, '📅 Resumen Diario'!$C$5:$C$504, D4162) * (SUMIFS('📋 Detalle Diario'!$E$5:$E$489, '📋 Detalle Diario'!$B$5:$B$489, B4162, '📋 Detalle Diario'!$C$5:$C$489, D4162) * 135 + SUMIFS('📋 Detalle Diario'!$I$5:$I$489, '📋 Detalle Diario'!$B$5:$B$489, B4162, '📋 Detalle Diario'!$C$5:$C$489, D4162) * 200), 0))</f>
        <v/>
      </c>
      <c r="P4162" s="32" t="str">
        <f t="shared" si="453"/>
        <v/>
      </c>
      <c r="Q4162" s="33" t="str">
        <f t="shared" si="454"/>
        <v/>
      </c>
    </row>
    <row r="4163" spans="2:17" ht="18" customHeight="1" x14ac:dyDescent="0.3">
      <c r="B4163" s="26"/>
      <c r="C4163" s="28"/>
      <c r="D4163" s="27"/>
      <c r="E4163" s="29"/>
      <c r="F4163" s="29"/>
      <c r="G4163" s="29"/>
      <c r="H4163" s="30" t="str">
        <f t="shared" si="448"/>
        <v/>
      </c>
      <c r="I4163" s="31" t="str">
        <f>IF(OR(B4163="",C4163=""),"",IFERROR(E4163*IF(E4163="",0,VLOOKUP(C4163,'📦 Precios Proforma'!$B$5:$D$104,IF(D4163="DIA",2,3),FALSE)),0))</f>
        <v/>
      </c>
      <c r="J4163" s="31" t="str">
        <f t="shared" si="449"/>
        <v/>
      </c>
      <c r="K4163" s="31" t="str">
        <f t="shared" si="450"/>
        <v/>
      </c>
      <c r="L4163" s="31" t="str">
        <f>IF(OR(B4163="",C4163=""),"",IFERROR(E4163 / SUMIFS('📅 Resumen Diario'!$D$5:$D$504, '📅 Resumen Diario'!$B$5:$B$504, B4163, '📅 Resumen Diario'!$C$5:$C$504, D4163) * SUMIFS('📅 Resumen Diario'!$K$5:$K$504, '📅 Resumen Diario'!$B$5:$B$504, B4163, '📅 Resumen Diario'!$C$5:$C$504, D4163), 0))</f>
        <v/>
      </c>
      <c r="M4163" s="31" t="str">
        <f t="shared" si="451"/>
        <v/>
      </c>
      <c r="N4163" s="31" t="str">
        <f t="shared" si="452"/>
        <v/>
      </c>
      <c r="O4163" s="31" t="str">
        <f>IF(OR(B4163="",C4163=""),"",K4163-N4163 + IFERROR(E4163 / SUMIFS('📅 Resumen Diario'!$D$5:$D$504, '📅 Resumen Diario'!$B$5:$B$504, B4163, '📅 Resumen Diario'!$C$5:$C$504, D4163) * (SUMIFS('📋 Detalle Diario'!$E$5:$E$489, '📋 Detalle Diario'!$B$5:$B$489, B4163, '📋 Detalle Diario'!$C$5:$C$489, D4163) * 135 + SUMIFS('📋 Detalle Diario'!$I$5:$I$489, '📋 Detalle Diario'!$B$5:$B$489, B4163, '📋 Detalle Diario'!$C$5:$C$489, D4163) * 200), 0))</f>
        <v/>
      </c>
      <c r="P4163" s="32" t="str">
        <f t="shared" si="453"/>
        <v/>
      </c>
      <c r="Q4163" s="33" t="str">
        <f t="shared" si="454"/>
        <v/>
      </c>
    </row>
    <row r="4164" spans="2:17" ht="18" customHeight="1" x14ac:dyDescent="0.3">
      <c r="B4164" s="26"/>
      <c r="C4164" s="17"/>
      <c r="D4164" s="27"/>
      <c r="E4164" s="18"/>
      <c r="F4164" s="18"/>
      <c r="G4164" s="18"/>
      <c r="H4164" s="30" t="str">
        <f t="shared" si="448"/>
        <v/>
      </c>
      <c r="I4164" s="31" t="str">
        <f>IF(OR(B4164="",C4164=""),"",IFERROR(E4164*IF(E4164="",0,VLOOKUP(C4164,'📦 Precios Proforma'!$B$5:$D$104,IF(D4164="DIA",2,3),FALSE)),0))</f>
        <v/>
      </c>
      <c r="J4164" s="31" t="str">
        <f t="shared" si="449"/>
        <v/>
      </c>
      <c r="K4164" s="31" t="str">
        <f t="shared" si="450"/>
        <v/>
      </c>
      <c r="L4164" s="31" t="str">
        <f>IF(OR(B4164="",C4164=""),"",IFERROR(E4164 / SUMIFS('📅 Resumen Diario'!$D$5:$D$504, '📅 Resumen Diario'!$B$5:$B$504, B4164, '📅 Resumen Diario'!$C$5:$C$504, D4164) * SUMIFS('📅 Resumen Diario'!$K$5:$K$504, '📅 Resumen Diario'!$B$5:$B$504, B4164, '📅 Resumen Diario'!$C$5:$C$504, D4164), 0))</f>
        <v/>
      </c>
      <c r="M4164" s="31" t="str">
        <f t="shared" si="451"/>
        <v/>
      </c>
      <c r="N4164" s="31" t="str">
        <f t="shared" si="452"/>
        <v/>
      </c>
      <c r="O4164" s="31" t="str">
        <f>IF(OR(B4164="",C4164=""),"",K4164-N4164 + IFERROR(E4164 / SUMIFS('📅 Resumen Diario'!$D$5:$D$504, '📅 Resumen Diario'!$B$5:$B$504, B4164, '📅 Resumen Diario'!$C$5:$C$504, D4164) * (SUMIFS('📋 Detalle Diario'!$E$5:$E$489, '📋 Detalle Diario'!$B$5:$B$489, B4164, '📋 Detalle Diario'!$C$5:$C$489, D4164) * 135 + SUMIFS('📋 Detalle Diario'!$I$5:$I$489, '📋 Detalle Diario'!$B$5:$B$489, B4164, '📋 Detalle Diario'!$C$5:$C$489, D4164) * 200), 0))</f>
        <v/>
      </c>
      <c r="P4164" s="32" t="str">
        <f t="shared" si="453"/>
        <v/>
      </c>
      <c r="Q4164" s="33" t="str">
        <f t="shared" si="454"/>
        <v/>
      </c>
    </row>
    <row r="4165" spans="2:17" ht="18" customHeight="1" x14ac:dyDescent="0.3">
      <c r="B4165" s="26"/>
      <c r="C4165" s="28"/>
      <c r="D4165" s="27"/>
      <c r="E4165" s="29"/>
      <c r="F4165" s="29"/>
      <c r="G4165" s="29"/>
      <c r="H4165" s="30" t="str">
        <f t="shared" si="448"/>
        <v/>
      </c>
      <c r="I4165" s="31" t="str">
        <f>IF(OR(B4165="",C4165=""),"",IFERROR(E4165*IF(E4165="",0,VLOOKUP(C4165,'📦 Precios Proforma'!$B$5:$D$104,IF(D4165="DIA",2,3),FALSE)),0))</f>
        <v/>
      </c>
      <c r="J4165" s="31" t="str">
        <f t="shared" si="449"/>
        <v/>
      </c>
      <c r="K4165" s="31" t="str">
        <f t="shared" si="450"/>
        <v/>
      </c>
      <c r="L4165" s="31" t="str">
        <f>IF(OR(B4165="",C4165=""),"",IFERROR(E4165 / SUMIFS('📅 Resumen Diario'!$D$5:$D$504, '📅 Resumen Diario'!$B$5:$B$504, B4165, '📅 Resumen Diario'!$C$5:$C$504, D4165) * SUMIFS('📅 Resumen Diario'!$K$5:$K$504, '📅 Resumen Diario'!$B$5:$B$504, B4165, '📅 Resumen Diario'!$C$5:$C$504, D4165), 0))</f>
        <v/>
      </c>
      <c r="M4165" s="31" t="str">
        <f t="shared" si="451"/>
        <v/>
      </c>
      <c r="N4165" s="31" t="str">
        <f t="shared" si="452"/>
        <v/>
      </c>
      <c r="O4165" s="31" t="str">
        <f>IF(OR(B4165="",C4165=""),"",K4165-N4165 + IFERROR(E4165 / SUMIFS('📅 Resumen Diario'!$D$5:$D$504, '📅 Resumen Diario'!$B$5:$B$504, B4165, '📅 Resumen Diario'!$C$5:$C$504, D4165) * (SUMIFS('📋 Detalle Diario'!$E$5:$E$489, '📋 Detalle Diario'!$B$5:$B$489, B4165, '📋 Detalle Diario'!$C$5:$C$489, D4165) * 135 + SUMIFS('📋 Detalle Diario'!$I$5:$I$489, '📋 Detalle Diario'!$B$5:$B$489, B4165, '📋 Detalle Diario'!$C$5:$C$489, D4165) * 200), 0))</f>
        <v/>
      </c>
      <c r="P4165" s="32" t="str">
        <f t="shared" si="453"/>
        <v/>
      </c>
      <c r="Q4165" s="33" t="str">
        <f t="shared" si="454"/>
        <v/>
      </c>
    </row>
    <row r="4166" spans="2:17" ht="18" customHeight="1" x14ac:dyDescent="0.3">
      <c r="B4166" s="26"/>
      <c r="C4166" s="17"/>
      <c r="D4166" s="27"/>
      <c r="E4166" s="18"/>
      <c r="F4166" s="18"/>
      <c r="G4166" s="18"/>
      <c r="H4166" s="30" t="str">
        <f t="shared" si="448"/>
        <v/>
      </c>
      <c r="I4166" s="31" t="str">
        <f>IF(OR(B4166="",C4166=""),"",IFERROR(E4166*IF(E4166="",0,VLOOKUP(C4166,'📦 Precios Proforma'!$B$5:$D$104,IF(D4166="DIA",2,3),FALSE)),0))</f>
        <v/>
      </c>
      <c r="J4166" s="31" t="str">
        <f t="shared" si="449"/>
        <v/>
      </c>
      <c r="K4166" s="31" t="str">
        <f t="shared" si="450"/>
        <v/>
      </c>
      <c r="L4166" s="31" t="str">
        <f>IF(OR(B4166="",C4166=""),"",IFERROR(E4166 / SUMIFS('📅 Resumen Diario'!$D$5:$D$504, '📅 Resumen Diario'!$B$5:$B$504, B4166, '📅 Resumen Diario'!$C$5:$C$504, D4166) * SUMIFS('📅 Resumen Diario'!$K$5:$K$504, '📅 Resumen Diario'!$B$5:$B$504, B4166, '📅 Resumen Diario'!$C$5:$C$504, D4166), 0))</f>
        <v/>
      </c>
      <c r="M4166" s="31" t="str">
        <f t="shared" si="451"/>
        <v/>
      </c>
      <c r="N4166" s="31" t="str">
        <f t="shared" si="452"/>
        <v/>
      </c>
      <c r="O4166" s="31" t="str">
        <f>IF(OR(B4166="",C4166=""),"",K4166-N4166 + IFERROR(E4166 / SUMIFS('📅 Resumen Diario'!$D$5:$D$504, '📅 Resumen Diario'!$B$5:$B$504, B4166, '📅 Resumen Diario'!$C$5:$C$504, D4166) * (SUMIFS('📋 Detalle Diario'!$E$5:$E$489, '📋 Detalle Diario'!$B$5:$B$489, B4166, '📋 Detalle Diario'!$C$5:$C$489, D4166) * 135 + SUMIFS('📋 Detalle Diario'!$I$5:$I$489, '📋 Detalle Diario'!$B$5:$B$489, B4166, '📋 Detalle Diario'!$C$5:$C$489, D4166) * 200), 0))</f>
        <v/>
      </c>
      <c r="P4166" s="32" t="str">
        <f t="shared" si="453"/>
        <v/>
      </c>
      <c r="Q4166" s="33" t="str">
        <f t="shared" si="454"/>
        <v/>
      </c>
    </row>
    <row r="4167" spans="2:17" ht="18" customHeight="1" x14ac:dyDescent="0.3">
      <c r="B4167" s="26"/>
      <c r="C4167" s="28"/>
      <c r="D4167" s="27"/>
      <c r="E4167" s="29"/>
      <c r="F4167" s="29"/>
      <c r="G4167" s="29"/>
      <c r="H4167" s="30" t="str">
        <f t="shared" ref="H4167:H4230" si="455">IF(OR(B4167="",C4167=""),"",F4167+G4167)</f>
        <v/>
      </c>
      <c r="I4167" s="31" t="str">
        <f>IF(OR(B4167="",C4167=""),"",IFERROR(E4167*IF(E4167="",0,VLOOKUP(C4167,'📦 Precios Proforma'!$B$5:$D$104,IF(D4167="DIA",2,3),FALSE)),0))</f>
        <v/>
      </c>
      <c r="J4167" s="31" t="str">
        <f t="shared" ref="J4167:J4230" si="456">IF(OR(B4167="",C4167=""),"",IF(D4167="DIA",H4167*1.01,H4167*1.35))</f>
        <v/>
      </c>
      <c r="K4167" s="31" t="str">
        <f t="shared" ref="K4167:K4230" si="457">IF(OR(B4167="",C4167=""),"",I4167+J4167)</f>
        <v/>
      </c>
      <c r="L4167" s="31" t="str">
        <f>IF(OR(B4167="",C4167=""),"",IFERROR(E4167 / SUMIFS('📅 Resumen Diario'!$D$5:$D$504, '📅 Resumen Diario'!$B$5:$B$504, B4167, '📅 Resumen Diario'!$C$5:$C$504, D4167) * SUMIFS('📅 Resumen Diario'!$K$5:$K$504, '📅 Resumen Diario'!$B$5:$B$504, B4167, '📅 Resumen Diario'!$C$5:$C$504, D4167), 0))</f>
        <v/>
      </c>
      <c r="M4167" s="31" t="str">
        <f t="shared" ref="M4167:M4230" si="458">IF(OR(B4167="",C4167=""),"",H4167*0.09)</f>
        <v/>
      </c>
      <c r="N4167" s="31" t="str">
        <f t="shared" ref="N4167:N4230" si="459">IF(OR(B4167="",C4167=""),"",L4167+M4167)</f>
        <v/>
      </c>
      <c r="O4167" s="31" t="str">
        <f>IF(OR(B4167="",C4167=""),"",K4167-N4167 + IFERROR(E4167 / SUMIFS('📅 Resumen Diario'!$D$5:$D$504, '📅 Resumen Diario'!$B$5:$B$504, B4167, '📅 Resumen Diario'!$C$5:$C$504, D4167) * (SUMIFS('📋 Detalle Diario'!$E$5:$E$489, '📋 Detalle Diario'!$B$5:$B$489, B4167, '📋 Detalle Diario'!$C$5:$C$489, D4167) * 135 + SUMIFS('📋 Detalle Diario'!$I$5:$I$489, '📋 Detalle Diario'!$B$5:$B$489, B4167, '📋 Detalle Diario'!$C$5:$C$489, D4167) * 200), 0))</f>
        <v/>
      </c>
      <c r="P4167" s="32" t="str">
        <f t="shared" ref="P4167:P4230" si="460">IF(OR(B4167="",C4167=""),"",IF(K4167=0, 0, O4167/K4167))</f>
        <v/>
      </c>
      <c r="Q4167" s="33" t="str">
        <f t="shared" ref="Q4167:Q4230" si="461">IF(B4167="","",IF(ISNUMBER(B4167),YEAR(B4167)&amp;"-"&amp;IF(MONTH(B4167)&lt;10,"0","")&amp;MONTH(B4167),LEFT(B4167,7)))</f>
        <v/>
      </c>
    </row>
    <row r="4168" spans="2:17" ht="18" customHeight="1" x14ac:dyDescent="0.3">
      <c r="B4168" s="26"/>
      <c r="C4168" s="17"/>
      <c r="D4168" s="27"/>
      <c r="E4168" s="18"/>
      <c r="F4168" s="18"/>
      <c r="G4168" s="18"/>
      <c r="H4168" s="30" t="str">
        <f t="shared" si="455"/>
        <v/>
      </c>
      <c r="I4168" s="31" t="str">
        <f>IF(OR(B4168="",C4168=""),"",IFERROR(E4168*IF(E4168="",0,VLOOKUP(C4168,'📦 Precios Proforma'!$B$5:$D$104,IF(D4168="DIA",2,3),FALSE)),0))</f>
        <v/>
      </c>
      <c r="J4168" s="31" t="str">
        <f t="shared" si="456"/>
        <v/>
      </c>
      <c r="K4168" s="31" t="str">
        <f t="shared" si="457"/>
        <v/>
      </c>
      <c r="L4168" s="31" t="str">
        <f>IF(OR(B4168="",C4168=""),"",IFERROR(E4168 / SUMIFS('📅 Resumen Diario'!$D$5:$D$504, '📅 Resumen Diario'!$B$5:$B$504, B4168, '📅 Resumen Diario'!$C$5:$C$504, D4168) * SUMIFS('📅 Resumen Diario'!$K$5:$K$504, '📅 Resumen Diario'!$B$5:$B$504, B4168, '📅 Resumen Diario'!$C$5:$C$504, D4168), 0))</f>
        <v/>
      </c>
      <c r="M4168" s="31" t="str">
        <f t="shared" si="458"/>
        <v/>
      </c>
      <c r="N4168" s="31" t="str">
        <f t="shared" si="459"/>
        <v/>
      </c>
      <c r="O4168" s="31" t="str">
        <f>IF(OR(B4168="",C4168=""),"",K4168-N4168 + IFERROR(E4168 / SUMIFS('📅 Resumen Diario'!$D$5:$D$504, '📅 Resumen Diario'!$B$5:$B$504, B4168, '📅 Resumen Diario'!$C$5:$C$504, D4168) * (SUMIFS('📋 Detalle Diario'!$E$5:$E$489, '📋 Detalle Diario'!$B$5:$B$489, B4168, '📋 Detalle Diario'!$C$5:$C$489, D4168) * 135 + SUMIFS('📋 Detalle Diario'!$I$5:$I$489, '📋 Detalle Diario'!$B$5:$B$489, B4168, '📋 Detalle Diario'!$C$5:$C$489, D4168) * 200), 0))</f>
        <v/>
      </c>
      <c r="P4168" s="32" t="str">
        <f t="shared" si="460"/>
        <v/>
      </c>
      <c r="Q4168" s="33" t="str">
        <f t="shared" si="461"/>
        <v/>
      </c>
    </row>
    <row r="4169" spans="2:17" ht="18" customHeight="1" x14ac:dyDescent="0.3">
      <c r="B4169" s="26"/>
      <c r="C4169" s="28"/>
      <c r="D4169" s="27"/>
      <c r="E4169" s="29"/>
      <c r="F4169" s="29"/>
      <c r="G4169" s="29"/>
      <c r="H4169" s="30" t="str">
        <f t="shared" si="455"/>
        <v/>
      </c>
      <c r="I4169" s="31" t="str">
        <f>IF(OR(B4169="",C4169=""),"",IFERROR(E4169*IF(E4169="",0,VLOOKUP(C4169,'📦 Precios Proforma'!$B$5:$D$104,IF(D4169="DIA",2,3),FALSE)),0))</f>
        <v/>
      </c>
      <c r="J4169" s="31" t="str">
        <f t="shared" si="456"/>
        <v/>
      </c>
      <c r="K4169" s="31" t="str">
        <f t="shared" si="457"/>
        <v/>
      </c>
      <c r="L4169" s="31" t="str">
        <f>IF(OR(B4169="",C4169=""),"",IFERROR(E4169 / SUMIFS('📅 Resumen Diario'!$D$5:$D$504, '📅 Resumen Diario'!$B$5:$B$504, B4169, '📅 Resumen Diario'!$C$5:$C$504, D4169) * SUMIFS('📅 Resumen Diario'!$K$5:$K$504, '📅 Resumen Diario'!$B$5:$B$504, B4169, '📅 Resumen Diario'!$C$5:$C$504, D4169), 0))</f>
        <v/>
      </c>
      <c r="M4169" s="31" t="str">
        <f t="shared" si="458"/>
        <v/>
      </c>
      <c r="N4169" s="31" t="str">
        <f t="shared" si="459"/>
        <v/>
      </c>
      <c r="O4169" s="31" t="str">
        <f>IF(OR(B4169="",C4169=""),"",K4169-N4169 + IFERROR(E4169 / SUMIFS('📅 Resumen Diario'!$D$5:$D$504, '📅 Resumen Diario'!$B$5:$B$504, B4169, '📅 Resumen Diario'!$C$5:$C$504, D4169) * (SUMIFS('📋 Detalle Diario'!$E$5:$E$489, '📋 Detalle Diario'!$B$5:$B$489, B4169, '📋 Detalle Diario'!$C$5:$C$489, D4169) * 135 + SUMIFS('📋 Detalle Diario'!$I$5:$I$489, '📋 Detalle Diario'!$B$5:$B$489, B4169, '📋 Detalle Diario'!$C$5:$C$489, D4169) * 200), 0))</f>
        <v/>
      </c>
      <c r="P4169" s="32" t="str">
        <f t="shared" si="460"/>
        <v/>
      </c>
      <c r="Q4169" s="33" t="str">
        <f t="shared" si="461"/>
        <v/>
      </c>
    </row>
    <row r="4170" spans="2:17" ht="18" customHeight="1" x14ac:dyDescent="0.3">
      <c r="B4170" s="26"/>
      <c r="C4170" s="17"/>
      <c r="D4170" s="27"/>
      <c r="E4170" s="18"/>
      <c r="F4170" s="18"/>
      <c r="G4170" s="18"/>
      <c r="H4170" s="30" t="str">
        <f t="shared" si="455"/>
        <v/>
      </c>
      <c r="I4170" s="31" t="str">
        <f>IF(OR(B4170="",C4170=""),"",IFERROR(E4170*IF(E4170="",0,VLOOKUP(C4170,'📦 Precios Proforma'!$B$5:$D$104,IF(D4170="DIA",2,3),FALSE)),0))</f>
        <v/>
      </c>
      <c r="J4170" s="31" t="str">
        <f t="shared" si="456"/>
        <v/>
      </c>
      <c r="K4170" s="31" t="str">
        <f t="shared" si="457"/>
        <v/>
      </c>
      <c r="L4170" s="31" t="str">
        <f>IF(OR(B4170="",C4170=""),"",IFERROR(E4170 / SUMIFS('📅 Resumen Diario'!$D$5:$D$504, '📅 Resumen Diario'!$B$5:$B$504, B4170, '📅 Resumen Diario'!$C$5:$C$504, D4170) * SUMIFS('📅 Resumen Diario'!$K$5:$K$504, '📅 Resumen Diario'!$B$5:$B$504, B4170, '📅 Resumen Diario'!$C$5:$C$504, D4170), 0))</f>
        <v/>
      </c>
      <c r="M4170" s="31" t="str">
        <f t="shared" si="458"/>
        <v/>
      </c>
      <c r="N4170" s="31" t="str">
        <f t="shared" si="459"/>
        <v/>
      </c>
      <c r="O4170" s="31" t="str">
        <f>IF(OR(B4170="",C4170=""),"",K4170-N4170 + IFERROR(E4170 / SUMIFS('📅 Resumen Diario'!$D$5:$D$504, '📅 Resumen Diario'!$B$5:$B$504, B4170, '📅 Resumen Diario'!$C$5:$C$504, D4170) * (SUMIFS('📋 Detalle Diario'!$E$5:$E$489, '📋 Detalle Diario'!$B$5:$B$489, B4170, '📋 Detalle Diario'!$C$5:$C$489, D4170) * 135 + SUMIFS('📋 Detalle Diario'!$I$5:$I$489, '📋 Detalle Diario'!$B$5:$B$489, B4170, '📋 Detalle Diario'!$C$5:$C$489, D4170) * 200), 0))</f>
        <v/>
      </c>
      <c r="P4170" s="32" t="str">
        <f t="shared" si="460"/>
        <v/>
      </c>
      <c r="Q4170" s="33" t="str">
        <f t="shared" si="461"/>
        <v/>
      </c>
    </row>
    <row r="4171" spans="2:17" ht="18" customHeight="1" x14ac:dyDescent="0.3">
      <c r="B4171" s="26"/>
      <c r="C4171" s="28"/>
      <c r="D4171" s="27"/>
      <c r="E4171" s="29"/>
      <c r="F4171" s="29"/>
      <c r="G4171" s="29"/>
      <c r="H4171" s="30" t="str">
        <f t="shared" si="455"/>
        <v/>
      </c>
      <c r="I4171" s="31" t="str">
        <f>IF(OR(B4171="",C4171=""),"",IFERROR(E4171*IF(E4171="",0,VLOOKUP(C4171,'📦 Precios Proforma'!$B$5:$D$104,IF(D4171="DIA",2,3),FALSE)),0))</f>
        <v/>
      </c>
      <c r="J4171" s="31" t="str">
        <f t="shared" si="456"/>
        <v/>
      </c>
      <c r="K4171" s="31" t="str">
        <f t="shared" si="457"/>
        <v/>
      </c>
      <c r="L4171" s="31" t="str">
        <f>IF(OR(B4171="",C4171=""),"",IFERROR(E4171 / SUMIFS('📅 Resumen Diario'!$D$5:$D$504, '📅 Resumen Diario'!$B$5:$B$504, B4171, '📅 Resumen Diario'!$C$5:$C$504, D4171) * SUMIFS('📅 Resumen Diario'!$K$5:$K$504, '📅 Resumen Diario'!$B$5:$B$504, B4171, '📅 Resumen Diario'!$C$5:$C$504, D4171), 0))</f>
        <v/>
      </c>
      <c r="M4171" s="31" t="str">
        <f t="shared" si="458"/>
        <v/>
      </c>
      <c r="N4171" s="31" t="str">
        <f t="shared" si="459"/>
        <v/>
      </c>
      <c r="O4171" s="31" t="str">
        <f>IF(OR(B4171="",C4171=""),"",K4171-N4171 + IFERROR(E4171 / SUMIFS('📅 Resumen Diario'!$D$5:$D$504, '📅 Resumen Diario'!$B$5:$B$504, B4171, '📅 Resumen Diario'!$C$5:$C$504, D4171) * (SUMIFS('📋 Detalle Diario'!$E$5:$E$489, '📋 Detalle Diario'!$B$5:$B$489, B4171, '📋 Detalle Diario'!$C$5:$C$489, D4171) * 135 + SUMIFS('📋 Detalle Diario'!$I$5:$I$489, '📋 Detalle Diario'!$B$5:$B$489, B4171, '📋 Detalle Diario'!$C$5:$C$489, D4171) * 200), 0))</f>
        <v/>
      </c>
      <c r="P4171" s="32" t="str">
        <f t="shared" si="460"/>
        <v/>
      </c>
      <c r="Q4171" s="33" t="str">
        <f t="shared" si="461"/>
        <v/>
      </c>
    </row>
    <row r="4172" spans="2:17" ht="18" customHeight="1" x14ac:dyDescent="0.3">
      <c r="B4172" s="26"/>
      <c r="C4172" s="17"/>
      <c r="D4172" s="27"/>
      <c r="E4172" s="18"/>
      <c r="F4172" s="18"/>
      <c r="G4172" s="18"/>
      <c r="H4172" s="30" t="str">
        <f t="shared" si="455"/>
        <v/>
      </c>
      <c r="I4172" s="31" t="str">
        <f>IF(OR(B4172="",C4172=""),"",IFERROR(E4172*IF(E4172="",0,VLOOKUP(C4172,'📦 Precios Proforma'!$B$5:$D$104,IF(D4172="DIA",2,3),FALSE)),0))</f>
        <v/>
      </c>
      <c r="J4172" s="31" t="str">
        <f t="shared" si="456"/>
        <v/>
      </c>
      <c r="K4172" s="31" t="str">
        <f t="shared" si="457"/>
        <v/>
      </c>
      <c r="L4172" s="31" t="str">
        <f>IF(OR(B4172="",C4172=""),"",IFERROR(E4172 / SUMIFS('📅 Resumen Diario'!$D$5:$D$504, '📅 Resumen Diario'!$B$5:$B$504, B4172, '📅 Resumen Diario'!$C$5:$C$504, D4172) * SUMIFS('📅 Resumen Diario'!$K$5:$K$504, '📅 Resumen Diario'!$B$5:$B$504, B4172, '📅 Resumen Diario'!$C$5:$C$504, D4172), 0))</f>
        <v/>
      </c>
      <c r="M4172" s="31" t="str">
        <f t="shared" si="458"/>
        <v/>
      </c>
      <c r="N4172" s="31" t="str">
        <f t="shared" si="459"/>
        <v/>
      </c>
      <c r="O4172" s="31" t="str">
        <f>IF(OR(B4172="",C4172=""),"",K4172-N4172 + IFERROR(E4172 / SUMIFS('📅 Resumen Diario'!$D$5:$D$504, '📅 Resumen Diario'!$B$5:$B$504, B4172, '📅 Resumen Diario'!$C$5:$C$504, D4172) * (SUMIFS('📋 Detalle Diario'!$E$5:$E$489, '📋 Detalle Diario'!$B$5:$B$489, B4172, '📋 Detalle Diario'!$C$5:$C$489, D4172) * 135 + SUMIFS('📋 Detalle Diario'!$I$5:$I$489, '📋 Detalle Diario'!$B$5:$B$489, B4172, '📋 Detalle Diario'!$C$5:$C$489, D4172) * 200), 0))</f>
        <v/>
      </c>
      <c r="P4172" s="32" t="str">
        <f t="shared" si="460"/>
        <v/>
      </c>
      <c r="Q4172" s="33" t="str">
        <f t="shared" si="461"/>
        <v/>
      </c>
    </row>
    <row r="4173" spans="2:17" ht="18" customHeight="1" x14ac:dyDescent="0.3">
      <c r="B4173" s="26"/>
      <c r="C4173" s="28"/>
      <c r="D4173" s="27"/>
      <c r="E4173" s="29"/>
      <c r="F4173" s="29"/>
      <c r="G4173" s="29"/>
      <c r="H4173" s="30" t="str">
        <f t="shared" si="455"/>
        <v/>
      </c>
      <c r="I4173" s="31" t="str">
        <f>IF(OR(B4173="",C4173=""),"",IFERROR(E4173*IF(E4173="",0,VLOOKUP(C4173,'📦 Precios Proforma'!$B$5:$D$104,IF(D4173="DIA",2,3),FALSE)),0))</f>
        <v/>
      </c>
      <c r="J4173" s="31" t="str">
        <f t="shared" si="456"/>
        <v/>
      </c>
      <c r="K4173" s="31" t="str">
        <f t="shared" si="457"/>
        <v/>
      </c>
      <c r="L4173" s="31" t="str">
        <f>IF(OR(B4173="",C4173=""),"",IFERROR(E4173 / SUMIFS('📅 Resumen Diario'!$D$5:$D$504, '📅 Resumen Diario'!$B$5:$B$504, B4173, '📅 Resumen Diario'!$C$5:$C$504, D4173) * SUMIFS('📅 Resumen Diario'!$K$5:$K$504, '📅 Resumen Diario'!$B$5:$B$504, B4173, '📅 Resumen Diario'!$C$5:$C$504, D4173), 0))</f>
        <v/>
      </c>
      <c r="M4173" s="31" t="str">
        <f t="shared" si="458"/>
        <v/>
      </c>
      <c r="N4173" s="31" t="str">
        <f t="shared" si="459"/>
        <v/>
      </c>
      <c r="O4173" s="31" t="str">
        <f>IF(OR(B4173="",C4173=""),"",K4173-N4173 + IFERROR(E4173 / SUMIFS('📅 Resumen Diario'!$D$5:$D$504, '📅 Resumen Diario'!$B$5:$B$504, B4173, '📅 Resumen Diario'!$C$5:$C$504, D4173) * (SUMIFS('📋 Detalle Diario'!$E$5:$E$489, '📋 Detalle Diario'!$B$5:$B$489, B4173, '📋 Detalle Diario'!$C$5:$C$489, D4173) * 135 + SUMIFS('📋 Detalle Diario'!$I$5:$I$489, '📋 Detalle Diario'!$B$5:$B$489, B4173, '📋 Detalle Diario'!$C$5:$C$489, D4173) * 200), 0))</f>
        <v/>
      </c>
      <c r="P4173" s="32" t="str">
        <f t="shared" si="460"/>
        <v/>
      </c>
      <c r="Q4173" s="33" t="str">
        <f t="shared" si="461"/>
        <v/>
      </c>
    </row>
    <row r="4174" spans="2:17" ht="18" customHeight="1" x14ac:dyDescent="0.3">
      <c r="B4174" s="26"/>
      <c r="C4174" s="17"/>
      <c r="D4174" s="27"/>
      <c r="E4174" s="18"/>
      <c r="F4174" s="18"/>
      <c r="G4174" s="18"/>
      <c r="H4174" s="30" t="str">
        <f t="shared" si="455"/>
        <v/>
      </c>
      <c r="I4174" s="31" t="str">
        <f>IF(OR(B4174="",C4174=""),"",IFERROR(E4174*IF(E4174="",0,VLOOKUP(C4174,'📦 Precios Proforma'!$B$5:$D$104,IF(D4174="DIA",2,3),FALSE)),0))</f>
        <v/>
      </c>
      <c r="J4174" s="31" t="str">
        <f t="shared" si="456"/>
        <v/>
      </c>
      <c r="K4174" s="31" t="str">
        <f t="shared" si="457"/>
        <v/>
      </c>
      <c r="L4174" s="31" t="str">
        <f>IF(OR(B4174="",C4174=""),"",IFERROR(E4174 / SUMIFS('📅 Resumen Diario'!$D$5:$D$504, '📅 Resumen Diario'!$B$5:$B$504, B4174, '📅 Resumen Diario'!$C$5:$C$504, D4174) * SUMIFS('📅 Resumen Diario'!$K$5:$K$504, '📅 Resumen Diario'!$B$5:$B$504, B4174, '📅 Resumen Diario'!$C$5:$C$504, D4174), 0))</f>
        <v/>
      </c>
      <c r="M4174" s="31" t="str">
        <f t="shared" si="458"/>
        <v/>
      </c>
      <c r="N4174" s="31" t="str">
        <f t="shared" si="459"/>
        <v/>
      </c>
      <c r="O4174" s="31" t="str">
        <f>IF(OR(B4174="",C4174=""),"",K4174-N4174 + IFERROR(E4174 / SUMIFS('📅 Resumen Diario'!$D$5:$D$504, '📅 Resumen Diario'!$B$5:$B$504, B4174, '📅 Resumen Diario'!$C$5:$C$504, D4174) * (SUMIFS('📋 Detalle Diario'!$E$5:$E$489, '📋 Detalle Diario'!$B$5:$B$489, B4174, '📋 Detalle Diario'!$C$5:$C$489, D4174) * 135 + SUMIFS('📋 Detalle Diario'!$I$5:$I$489, '📋 Detalle Diario'!$B$5:$B$489, B4174, '📋 Detalle Diario'!$C$5:$C$489, D4174) * 200), 0))</f>
        <v/>
      </c>
      <c r="P4174" s="32" t="str">
        <f t="shared" si="460"/>
        <v/>
      </c>
      <c r="Q4174" s="33" t="str">
        <f t="shared" si="461"/>
        <v/>
      </c>
    </row>
    <row r="4175" spans="2:17" ht="18" customHeight="1" x14ac:dyDescent="0.3">
      <c r="B4175" s="26"/>
      <c r="C4175" s="28"/>
      <c r="D4175" s="27"/>
      <c r="E4175" s="29"/>
      <c r="F4175" s="29"/>
      <c r="G4175" s="29"/>
      <c r="H4175" s="30" t="str">
        <f t="shared" si="455"/>
        <v/>
      </c>
      <c r="I4175" s="31" t="str">
        <f>IF(OR(B4175="",C4175=""),"",IFERROR(E4175*IF(E4175="",0,VLOOKUP(C4175,'📦 Precios Proforma'!$B$5:$D$104,IF(D4175="DIA",2,3),FALSE)),0))</f>
        <v/>
      </c>
      <c r="J4175" s="31" t="str">
        <f t="shared" si="456"/>
        <v/>
      </c>
      <c r="K4175" s="31" t="str">
        <f t="shared" si="457"/>
        <v/>
      </c>
      <c r="L4175" s="31" t="str">
        <f>IF(OR(B4175="",C4175=""),"",IFERROR(E4175 / SUMIFS('📅 Resumen Diario'!$D$5:$D$504, '📅 Resumen Diario'!$B$5:$B$504, B4175, '📅 Resumen Diario'!$C$5:$C$504, D4175) * SUMIFS('📅 Resumen Diario'!$K$5:$K$504, '📅 Resumen Diario'!$B$5:$B$504, B4175, '📅 Resumen Diario'!$C$5:$C$504, D4175), 0))</f>
        <v/>
      </c>
      <c r="M4175" s="31" t="str">
        <f t="shared" si="458"/>
        <v/>
      </c>
      <c r="N4175" s="31" t="str">
        <f t="shared" si="459"/>
        <v/>
      </c>
      <c r="O4175" s="31" t="str">
        <f>IF(OR(B4175="",C4175=""),"",K4175-N4175 + IFERROR(E4175 / SUMIFS('📅 Resumen Diario'!$D$5:$D$504, '📅 Resumen Diario'!$B$5:$B$504, B4175, '📅 Resumen Diario'!$C$5:$C$504, D4175) * (SUMIFS('📋 Detalle Diario'!$E$5:$E$489, '📋 Detalle Diario'!$B$5:$B$489, B4175, '📋 Detalle Diario'!$C$5:$C$489, D4175) * 135 + SUMIFS('📋 Detalle Diario'!$I$5:$I$489, '📋 Detalle Diario'!$B$5:$B$489, B4175, '📋 Detalle Diario'!$C$5:$C$489, D4175) * 200), 0))</f>
        <v/>
      </c>
      <c r="P4175" s="32" t="str">
        <f t="shared" si="460"/>
        <v/>
      </c>
      <c r="Q4175" s="33" t="str">
        <f t="shared" si="461"/>
        <v/>
      </c>
    </row>
    <row r="4176" spans="2:17" ht="18" customHeight="1" x14ac:dyDescent="0.3">
      <c r="B4176" s="26"/>
      <c r="C4176" s="17"/>
      <c r="D4176" s="27"/>
      <c r="E4176" s="18"/>
      <c r="F4176" s="18"/>
      <c r="G4176" s="18"/>
      <c r="H4176" s="30" t="str">
        <f t="shared" si="455"/>
        <v/>
      </c>
      <c r="I4176" s="31" t="str">
        <f>IF(OR(B4176="",C4176=""),"",IFERROR(E4176*IF(E4176="",0,VLOOKUP(C4176,'📦 Precios Proforma'!$B$5:$D$104,IF(D4176="DIA",2,3),FALSE)),0))</f>
        <v/>
      </c>
      <c r="J4176" s="31" t="str">
        <f t="shared" si="456"/>
        <v/>
      </c>
      <c r="K4176" s="31" t="str">
        <f t="shared" si="457"/>
        <v/>
      </c>
      <c r="L4176" s="31" t="str">
        <f>IF(OR(B4176="",C4176=""),"",IFERROR(E4176 / SUMIFS('📅 Resumen Diario'!$D$5:$D$504, '📅 Resumen Diario'!$B$5:$B$504, B4176, '📅 Resumen Diario'!$C$5:$C$504, D4176) * SUMIFS('📅 Resumen Diario'!$K$5:$K$504, '📅 Resumen Diario'!$B$5:$B$504, B4176, '📅 Resumen Diario'!$C$5:$C$504, D4176), 0))</f>
        <v/>
      </c>
      <c r="M4176" s="31" t="str">
        <f t="shared" si="458"/>
        <v/>
      </c>
      <c r="N4176" s="31" t="str">
        <f t="shared" si="459"/>
        <v/>
      </c>
      <c r="O4176" s="31" t="str">
        <f>IF(OR(B4176="",C4176=""),"",K4176-N4176 + IFERROR(E4176 / SUMIFS('📅 Resumen Diario'!$D$5:$D$504, '📅 Resumen Diario'!$B$5:$B$504, B4176, '📅 Resumen Diario'!$C$5:$C$504, D4176) * (SUMIFS('📋 Detalle Diario'!$E$5:$E$489, '📋 Detalle Diario'!$B$5:$B$489, B4176, '📋 Detalle Diario'!$C$5:$C$489, D4176) * 135 + SUMIFS('📋 Detalle Diario'!$I$5:$I$489, '📋 Detalle Diario'!$B$5:$B$489, B4176, '📋 Detalle Diario'!$C$5:$C$489, D4176) * 200), 0))</f>
        <v/>
      </c>
      <c r="P4176" s="32" t="str">
        <f t="shared" si="460"/>
        <v/>
      </c>
      <c r="Q4176" s="33" t="str">
        <f t="shared" si="461"/>
        <v/>
      </c>
    </row>
    <row r="4177" spans="2:17" ht="18" customHeight="1" x14ac:dyDescent="0.3">
      <c r="B4177" s="26"/>
      <c r="C4177" s="28"/>
      <c r="D4177" s="27"/>
      <c r="E4177" s="29"/>
      <c r="F4177" s="29"/>
      <c r="G4177" s="29"/>
      <c r="H4177" s="30" t="str">
        <f t="shared" si="455"/>
        <v/>
      </c>
      <c r="I4177" s="31" t="str">
        <f>IF(OR(B4177="",C4177=""),"",IFERROR(E4177*IF(E4177="",0,VLOOKUP(C4177,'📦 Precios Proforma'!$B$5:$D$104,IF(D4177="DIA",2,3),FALSE)),0))</f>
        <v/>
      </c>
      <c r="J4177" s="31" t="str">
        <f t="shared" si="456"/>
        <v/>
      </c>
      <c r="K4177" s="31" t="str">
        <f t="shared" si="457"/>
        <v/>
      </c>
      <c r="L4177" s="31" t="str">
        <f>IF(OR(B4177="",C4177=""),"",IFERROR(E4177 / SUMIFS('📅 Resumen Diario'!$D$5:$D$504, '📅 Resumen Diario'!$B$5:$B$504, B4177, '📅 Resumen Diario'!$C$5:$C$504, D4177) * SUMIFS('📅 Resumen Diario'!$K$5:$K$504, '📅 Resumen Diario'!$B$5:$B$504, B4177, '📅 Resumen Diario'!$C$5:$C$504, D4177), 0))</f>
        <v/>
      </c>
      <c r="M4177" s="31" t="str">
        <f t="shared" si="458"/>
        <v/>
      </c>
      <c r="N4177" s="31" t="str">
        <f t="shared" si="459"/>
        <v/>
      </c>
      <c r="O4177" s="31" t="str">
        <f>IF(OR(B4177="",C4177=""),"",K4177-N4177 + IFERROR(E4177 / SUMIFS('📅 Resumen Diario'!$D$5:$D$504, '📅 Resumen Diario'!$B$5:$B$504, B4177, '📅 Resumen Diario'!$C$5:$C$504, D4177) * (SUMIFS('📋 Detalle Diario'!$E$5:$E$489, '📋 Detalle Diario'!$B$5:$B$489, B4177, '📋 Detalle Diario'!$C$5:$C$489, D4177) * 135 + SUMIFS('📋 Detalle Diario'!$I$5:$I$489, '📋 Detalle Diario'!$B$5:$B$489, B4177, '📋 Detalle Diario'!$C$5:$C$489, D4177) * 200), 0))</f>
        <v/>
      </c>
      <c r="P4177" s="32" t="str">
        <f t="shared" si="460"/>
        <v/>
      </c>
      <c r="Q4177" s="33" t="str">
        <f t="shared" si="461"/>
        <v/>
      </c>
    </row>
    <row r="4178" spans="2:17" ht="18" customHeight="1" x14ac:dyDescent="0.3">
      <c r="B4178" s="26"/>
      <c r="C4178" s="17"/>
      <c r="D4178" s="27"/>
      <c r="E4178" s="18"/>
      <c r="F4178" s="18"/>
      <c r="G4178" s="18"/>
      <c r="H4178" s="30" t="str">
        <f t="shared" si="455"/>
        <v/>
      </c>
      <c r="I4178" s="31" t="str">
        <f>IF(OR(B4178="",C4178=""),"",IFERROR(E4178*IF(E4178="",0,VLOOKUP(C4178,'📦 Precios Proforma'!$B$5:$D$104,IF(D4178="DIA",2,3),FALSE)),0))</f>
        <v/>
      </c>
      <c r="J4178" s="31" t="str">
        <f t="shared" si="456"/>
        <v/>
      </c>
      <c r="K4178" s="31" t="str">
        <f t="shared" si="457"/>
        <v/>
      </c>
      <c r="L4178" s="31" t="str">
        <f>IF(OR(B4178="",C4178=""),"",IFERROR(E4178 / SUMIFS('📅 Resumen Diario'!$D$5:$D$504, '📅 Resumen Diario'!$B$5:$B$504, B4178, '📅 Resumen Diario'!$C$5:$C$504, D4178) * SUMIFS('📅 Resumen Diario'!$K$5:$K$504, '📅 Resumen Diario'!$B$5:$B$504, B4178, '📅 Resumen Diario'!$C$5:$C$504, D4178), 0))</f>
        <v/>
      </c>
      <c r="M4178" s="31" t="str">
        <f t="shared" si="458"/>
        <v/>
      </c>
      <c r="N4178" s="31" t="str">
        <f t="shared" si="459"/>
        <v/>
      </c>
      <c r="O4178" s="31" t="str">
        <f>IF(OR(B4178="",C4178=""),"",K4178-N4178 + IFERROR(E4178 / SUMIFS('📅 Resumen Diario'!$D$5:$D$504, '📅 Resumen Diario'!$B$5:$B$504, B4178, '📅 Resumen Diario'!$C$5:$C$504, D4178) * (SUMIFS('📋 Detalle Diario'!$E$5:$E$489, '📋 Detalle Diario'!$B$5:$B$489, B4178, '📋 Detalle Diario'!$C$5:$C$489, D4178) * 135 + SUMIFS('📋 Detalle Diario'!$I$5:$I$489, '📋 Detalle Diario'!$B$5:$B$489, B4178, '📋 Detalle Diario'!$C$5:$C$489, D4178) * 200), 0))</f>
        <v/>
      </c>
      <c r="P4178" s="32" t="str">
        <f t="shared" si="460"/>
        <v/>
      </c>
      <c r="Q4178" s="33" t="str">
        <f t="shared" si="461"/>
        <v/>
      </c>
    </row>
    <row r="4179" spans="2:17" ht="18" customHeight="1" x14ac:dyDescent="0.3">
      <c r="B4179" s="26"/>
      <c r="C4179" s="28"/>
      <c r="D4179" s="27"/>
      <c r="E4179" s="29"/>
      <c r="F4179" s="29"/>
      <c r="G4179" s="29"/>
      <c r="H4179" s="30" t="str">
        <f t="shared" si="455"/>
        <v/>
      </c>
      <c r="I4179" s="31" t="str">
        <f>IF(OR(B4179="",C4179=""),"",IFERROR(E4179*IF(E4179="",0,VLOOKUP(C4179,'📦 Precios Proforma'!$B$5:$D$104,IF(D4179="DIA",2,3),FALSE)),0))</f>
        <v/>
      </c>
      <c r="J4179" s="31" t="str">
        <f t="shared" si="456"/>
        <v/>
      </c>
      <c r="K4179" s="31" t="str">
        <f t="shared" si="457"/>
        <v/>
      </c>
      <c r="L4179" s="31" t="str">
        <f>IF(OR(B4179="",C4179=""),"",IFERROR(E4179 / SUMIFS('📅 Resumen Diario'!$D$5:$D$504, '📅 Resumen Diario'!$B$5:$B$504, B4179, '📅 Resumen Diario'!$C$5:$C$504, D4179) * SUMIFS('📅 Resumen Diario'!$K$5:$K$504, '📅 Resumen Diario'!$B$5:$B$504, B4179, '📅 Resumen Diario'!$C$5:$C$504, D4179), 0))</f>
        <v/>
      </c>
      <c r="M4179" s="31" t="str">
        <f t="shared" si="458"/>
        <v/>
      </c>
      <c r="N4179" s="31" t="str">
        <f t="shared" si="459"/>
        <v/>
      </c>
      <c r="O4179" s="31" t="str">
        <f>IF(OR(B4179="",C4179=""),"",K4179-N4179 + IFERROR(E4179 / SUMIFS('📅 Resumen Diario'!$D$5:$D$504, '📅 Resumen Diario'!$B$5:$B$504, B4179, '📅 Resumen Diario'!$C$5:$C$504, D4179) * (SUMIFS('📋 Detalle Diario'!$E$5:$E$489, '📋 Detalle Diario'!$B$5:$B$489, B4179, '📋 Detalle Diario'!$C$5:$C$489, D4179) * 135 + SUMIFS('📋 Detalle Diario'!$I$5:$I$489, '📋 Detalle Diario'!$B$5:$B$489, B4179, '📋 Detalle Diario'!$C$5:$C$489, D4179) * 200), 0))</f>
        <v/>
      </c>
      <c r="P4179" s="32" t="str">
        <f t="shared" si="460"/>
        <v/>
      </c>
      <c r="Q4179" s="33" t="str">
        <f t="shared" si="461"/>
        <v/>
      </c>
    </row>
    <row r="4180" spans="2:17" ht="18" customHeight="1" x14ac:dyDescent="0.3">
      <c r="B4180" s="26"/>
      <c r="C4180" s="17"/>
      <c r="D4180" s="27"/>
      <c r="E4180" s="18"/>
      <c r="F4180" s="18"/>
      <c r="G4180" s="18"/>
      <c r="H4180" s="30" t="str">
        <f t="shared" si="455"/>
        <v/>
      </c>
      <c r="I4180" s="31" t="str">
        <f>IF(OR(B4180="",C4180=""),"",IFERROR(E4180*IF(E4180="",0,VLOOKUP(C4180,'📦 Precios Proforma'!$B$5:$D$104,IF(D4180="DIA",2,3),FALSE)),0))</f>
        <v/>
      </c>
      <c r="J4180" s="31" t="str">
        <f t="shared" si="456"/>
        <v/>
      </c>
      <c r="K4180" s="31" t="str">
        <f t="shared" si="457"/>
        <v/>
      </c>
      <c r="L4180" s="31" t="str">
        <f>IF(OR(B4180="",C4180=""),"",IFERROR(E4180 / SUMIFS('📅 Resumen Diario'!$D$5:$D$504, '📅 Resumen Diario'!$B$5:$B$504, B4180, '📅 Resumen Diario'!$C$5:$C$504, D4180) * SUMIFS('📅 Resumen Diario'!$K$5:$K$504, '📅 Resumen Diario'!$B$5:$B$504, B4180, '📅 Resumen Diario'!$C$5:$C$504, D4180), 0))</f>
        <v/>
      </c>
      <c r="M4180" s="31" t="str">
        <f t="shared" si="458"/>
        <v/>
      </c>
      <c r="N4180" s="31" t="str">
        <f t="shared" si="459"/>
        <v/>
      </c>
      <c r="O4180" s="31" t="str">
        <f>IF(OR(B4180="",C4180=""),"",K4180-N4180 + IFERROR(E4180 / SUMIFS('📅 Resumen Diario'!$D$5:$D$504, '📅 Resumen Diario'!$B$5:$B$504, B4180, '📅 Resumen Diario'!$C$5:$C$504, D4180) * (SUMIFS('📋 Detalle Diario'!$E$5:$E$489, '📋 Detalle Diario'!$B$5:$B$489, B4180, '📋 Detalle Diario'!$C$5:$C$489, D4180) * 135 + SUMIFS('📋 Detalle Diario'!$I$5:$I$489, '📋 Detalle Diario'!$B$5:$B$489, B4180, '📋 Detalle Diario'!$C$5:$C$489, D4180) * 200), 0))</f>
        <v/>
      </c>
      <c r="P4180" s="32" t="str">
        <f t="shared" si="460"/>
        <v/>
      </c>
      <c r="Q4180" s="33" t="str">
        <f t="shared" si="461"/>
        <v/>
      </c>
    </row>
    <row r="4181" spans="2:17" ht="18" customHeight="1" x14ac:dyDescent="0.3">
      <c r="B4181" s="26"/>
      <c r="C4181" s="28"/>
      <c r="D4181" s="27"/>
      <c r="E4181" s="29"/>
      <c r="F4181" s="29"/>
      <c r="G4181" s="29"/>
      <c r="H4181" s="30" t="str">
        <f t="shared" si="455"/>
        <v/>
      </c>
      <c r="I4181" s="31" t="str">
        <f>IF(OR(B4181="",C4181=""),"",IFERROR(E4181*IF(E4181="",0,VLOOKUP(C4181,'📦 Precios Proforma'!$B$5:$D$104,IF(D4181="DIA",2,3),FALSE)),0))</f>
        <v/>
      </c>
      <c r="J4181" s="31" t="str">
        <f t="shared" si="456"/>
        <v/>
      </c>
      <c r="K4181" s="31" t="str">
        <f t="shared" si="457"/>
        <v/>
      </c>
      <c r="L4181" s="31" t="str">
        <f>IF(OR(B4181="",C4181=""),"",IFERROR(E4181 / SUMIFS('📅 Resumen Diario'!$D$5:$D$504, '📅 Resumen Diario'!$B$5:$B$504, B4181, '📅 Resumen Diario'!$C$5:$C$504, D4181) * SUMIFS('📅 Resumen Diario'!$K$5:$K$504, '📅 Resumen Diario'!$B$5:$B$504, B4181, '📅 Resumen Diario'!$C$5:$C$504, D4181), 0))</f>
        <v/>
      </c>
      <c r="M4181" s="31" t="str">
        <f t="shared" si="458"/>
        <v/>
      </c>
      <c r="N4181" s="31" t="str">
        <f t="shared" si="459"/>
        <v/>
      </c>
      <c r="O4181" s="31" t="str">
        <f>IF(OR(B4181="",C4181=""),"",K4181-N4181 + IFERROR(E4181 / SUMIFS('📅 Resumen Diario'!$D$5:$D$504, '📅 Resumen Diario'!$B$5:$B$504, B4181, '📅 Resumen Diario'!$C$5:$C$504, D4181) * (SUMIFS('📋 Detalle Diario'!$E$5:$E$489, '📋 Detalle Diario'!$B$5:$B$489, B4181, '📋 Detalle Diario'!$C$5:$C$489, D4181) * 135 + SUMIFS('📋 Detalle Diario'!$I$5:$I$489, '📋 Detalle Diario'!$B$5:$B$489, B4181, '📋 Detalle Diario'!$C$5:$C$489, D4181) * 200), 0))</f>
        <v/>
      </c>
      <c r="P4181" s="32" t="str">
        <f t="shared" si="460"/>
        <v/>
      </c>
      <c r="Q4181" s="33" t="str">
        <f t="shared" si="461"/>
        <v/>
      </c>
    </row>
    <row r="4182" spans="2:17" ht="18" customHeight="1" x14ac:dyDescent="0.3">
      <c r="B4182" s="26"/>
      <c r="C4182" s="17"/>
      <c r="D4182" s="27"/>
      <c r="E4182" s="18"/>
      <c r="F4182" s="18"/>
      <c r="G4182" s="18"/>
      <c r="H4182" s="30" t="str">
        <f t="shared" si="455"/>
        <v/>
      </c>
      <c r="I4182" s="31" t="str">
        <f>IF(OR(B4182="",C4182=""),"",IFERROR(E4182*IF(E4182="",0,VLOOKUP(C4182,'📦 Precios Proforma'!$B$5:$D$104,IF(D4182="DIA",2,3),FALSE)),0))</f>
        <v/>
      </c>
      <c r="J4182" s="31" t="str">
        <f t="shared" si="456"/>
        <v/>
      </c>
      <c r="K4182" s="31" t="str">
        <f t="shared" si="457"/>
        <v/>
      </c>
      <c r="L4182" s="31" t="str">
        <f>IF(OR(B4182="",C4182=""),"",IFERROR(E4182 / SUMIFS('📅 Resumen Diario'!$D$5:$D$504, '📅 Resumen Diario'!$B$5:$B$504, B4182, '📅 Resumen Diario'!$C$5:$C$504, D4182) * SUMIFS('📅 Resumen Diario'!$K$5:$K$504, '📅 Resumen Diario'!$B$5:$B$504, B4182, '📅 Resumen Diario'!$C$5:$C$504, D4182), 0))</f>
        <v/>
      </c>
      <c r="M4182" s="31" t="str">
        <f t="shared" si="458"/>
        <v/>
      </c>
      <c r="N4182" s="31" t="str">
        <f t="shared" si="459"/>
        <v/>
      </c>
      <c r="O4182" s="31" t="str">
        <f>IF(OR(B4182="",C4182=""),"",K4182-N4182 + IFERROR(E4182 / SUMIFS('📅 Resumen Diario'!$D$5:$D$504, '📅 Resumen Diario'!$B$5:$B$504, B4182, '📅 Resumen Diario'!$C$5:$C$504, D4182) * (SUMIFS('📋 Detalle Diario'!$E$5:$E$489, '📋 Detalle Diario'!$B$5:$B$489, B4182, '📋 Detalle Diario'!$C$5:$C$489, D4182) * 135 + SUMIFS('📋 Detalle Diario'!$I$5:$I$489, '📋 Detalle Diario'!$B$5:$B$489, B4182, '📋 Detalle Diario'!$C$5:$C$489, D4182) * 200), 0))</f>
        <v/>
      </c>
      <c r="P4182" s="32" t="str">
        <f t="shared" si="460"/>
        <v/>
      </c>
      <c r="Q4182" s="33" t="str">
        <f t="shared" si="461"/>
        <v/>
      </c>
    </row>
    <row r="4183" spans="2:17" ht="18" customHeight="1" x14ac:dyDescent="0.3">
      <c r="B4183" s="26"/>
      <c r="C4183" s="28"/>
      <c r="D4183" s="27"/>
      <c r="E4183" s="29"/>
      <c r="F4183" s="29"/>
      <c r="G4183" s="29"/>
      <c r="H4183" s="30" t="str">
        <f t="shared" si="455"/>
        <v/>
      </c>
      <c r="I4183" s="31" t="str">
        <f>IF(OR(B4183="",C4183=""),"",IFERROR(E4183*IF(E4183="",0,VLOOKUP(C4183,'📦 Precios Proforma'!$B$5:$D$104,IF(D4183="DIA",2,3),FALSE)),0))</f>
        <v/>
      </c>
      <c r="J4183" s="31" t="str">
        <f t="shared" si="456"/>
        <v/>
      </c>
      <c r="K4183" s="31" t="str">
        <f t="shared" si="457"/>
        <v/>
      </c>
      <c r="L4183" s="31" t="str">
        <f>IF(OR(B4183="",C4183=""),"",IFERROR(E4183 / SUMIFS('📅 Resumen Diario'!$D$5:$D$504, '📅 Resumen Diario'!$B$5:$B$504, B4183, '📅 Resumen Diario'!$C$5:$C$504, D4183) * SUMIFS('📅 Resumen Diario'!$K$5:$K$504, '📅 Resumen Diario'!$B$5:$B$504, B4183, '📅 Resumen Diario'!$C$5:$C$504, D4183), 0))</f>
        <v/>
      </c>
      <c r="M4183" s="31" t="str">
        <f t="shared" si="458"/>
        <v/>
      </c>
      <c r="N4183" s="31" t="str">
        <f t="shared" si="459"/>
        <v/>
      </c>
      <c r="O4183" s="31" t="str">
        <f>IF(OR(B4183="",C4183=""),"",K4183-N4183 + IFERROR(E4183 / SUMIFS('📅 Resumen Diario'!$D$5:$D$504, '📅 Resumen Diario'!$B$5:$B$504, B4183, '📅 Resumen Diario'!$C$5:$C$504, D4183) * (SUMIFS('📋 Detalle Diario'!$E$5:$E$489, '📋 Detalle Diario'!$B$5:$B$489, B4183, '📋 Detalle Diario'!$C$5:$C$489, D4183) * 135 + SUMIFS('📋 Detalle Diario'!$I$5:$I$489, '📋 Detalle Diario'!$B$5:$B$489, B4183, '📋 Detalle Diario'!$C$5:$C$489, D4183) * 200), 0))</f>
        <v/>
      </c>
      <c r="P4183" s="32" t="str">
        <f t="shared" si="460"/>
        <v/>
      </c>
      <c r="Q4183" s="33" t="str">
        <f t="shared" si="461"/>
        <v/>
      </c>
    </row>
    <row r="4184" spans="2:17" ht="18" customHeight="1" x14ac:dyDescent="0.3">
      <c r="B4184" s="26"/>
      <c r="C4184" s="17"/>
      <c r="D4184" s="27"/>
      <c r="E4184" s="18"/>
      <c r="F4184" s="18"/>
      <c r="G4184" s="18"/>
      <c r="H4184" s="30" t="str">
        <f t="shared" si="455"/>
        <v/>
      </c>
      <c r="I4184" s="31" t="str">
        <f>IF(OR(B4184="",C4184=""),"",IFERROR(E4184*IF(E4184="",0,VLOOKUP(C4184,'📦 Precios Proforma'!$B$5:$D$104,IF(D4184="DIA",2,3),FALSE)),0))</f>
        <v/>
      </c>
      <c r="J4184" s="31" t="str">
        <f t="shared" si="456"/>
        <v/>
      </c>
      <c r="K4184" s="31" t="str">
        <f t="shared" si="457"/>
        <v/>
      </c>
      <c r="L4184" s="31" t="str">
        <f>IF(OR(B4184="",C4184=""),"",IFERROR(E4184 / SUMIFS('📅 Resumen Diario'!$D$5:$D$504, '📅 Resumen Diario'!$B$5:$B$504, B4184, '📅 Resumen Diario'!$C$5:$C$504, D4184) * SUMIFS('📅 Resumen Diario'!$K$5:$K$504, '📅 Resumen Diario'!$B$5:$B$504, B4184, '📅 Resumen Diario'!$C$5:$C$504, D4184), 0))</f>
        <v/>
      </c>
      <c r="M4184" s="31" t="str">
        <f t="shared" si="458"/>
        <v/>
      </c>
      <c r="N4184" s="31" t="str">
        <f t="shared" si="459"/>
        <v/>
      </c>
      <c r="O4184" s="31" t="str">
        <f>IF(OR(B4184="",C4184=""),"",K4184-N4184 + IFERROR(E4184 / SUMIFS('📅 Resumen Diario'!$D$5:$D$504, '📅 Resumen Diario'!$B$5:$B$504, B4184, '📅 Resumen Diario'!$C$5:$C$504, D4184) * (SUMIFS('📋 Detalle Diario'!$E$5:$E$489, '📋 Detalle Diario'!$B$5:$B$489, B4184, '📋 Detalle Diario'!$C$5:$C$489, D4184) * 135 + SUMIFS('📋 Detalle Diario'!$I$5:$I$489, '📋 Detalle Diario'!$B$5:$B$489, B4184, '📋 Detalle Diario'!$C$5:$C$489, D4184) * 200), 0))</f>
        <v/>
      </c>
      <c r="P4184" s="32" t="str">
        <f t="shared" si="460"/>
        <v/>
      </c>
      <c r="Q4184" s="33" t="str">
        <f t="shared" si="461"/>
        <v/>
      </c>
    </row>
    <row r="4185" spans="2:17" ht="18" customHeight="1" x14ac:dyDescent="0.3">
      <c r="B4185" s="26"/>
      <c r="C4185" s="28"/>
      <c r="D4185" s="27"/>
      <c r="E4185" s="29"/>
      <c r="F4185" s="29"/>
      <c r="G4185" s="29"/>
      <c r="H4185" s="30" t="str">
        <f t="shared" si="455"/>
        <v/>
      </c>
      <c r="I4185" s="31" t="str">
        <f>IF(OR(B4185="",C4185=""),"",IFERROR(E4185*IF(E4185="",0,VLOOKUP(C4185,'📦 Precios Proforma'!$B$5:$D$104,IF(D4185="DIA",2,3),FALSE)),0))</f>
        <v/>
      </c>
      <c r="J4185" s="31" t="str">
        <f t="shared" si="456"/>
        <v/>
      </c>
      <c r="K4185" s="31" t="str">
        <f t="shared" si="457"/>
        <v/>
      </c>
      <c r="L4185" s="31" t="str">
        <f>IF(OR(B4185="",C4185=""),"",IFERROR(E4185 / SUMIFS('📅 Resumen Diario'!$D$5:$D$504, '📅 Resumen Diario'!$B$5:$B$504, B4185, '📅 Resumen Diario'!$C$5:$C$504, D4185) * SUMIFS('📅 Resumen Diario'!$K$5:$K$504, '📅 Resumen Diario'!$B$5:$B$504, B4185, '📅 Resumen Diario'!$C$5:$C$504, D4185), 0))</f>
        <v/>
      </c>
      <c r="M4185" s="31" t="str">
        <f t="shared" si="458"/>
        <v/>
      </c>
      <c r="N4185" s="31" t="str">
        <f t="shared" si="459"/>
        <v/>
      </c>
      <c r="O4185" s="31" t="str">
        <f>IF(OR(B4185="",C4185=""),"",K4185-N4185 + IFERROR(E4185 / SUMIFS('📅 Resumen Diario'!$D$5:$D$504, '📅 Resumen Diario'!$B$5:$B$504, B4185, '📅 Resumen Diario'!$C$5:$C$504, D4185) * (SUMIFS('📋 Detalle Diario'!$E$5:$E$489, '📋 Detalle Diario'!$B$5:$B$489, B4185, '📋 Detalle Diario'!$C$5:$C$489, D4185) * 135 + SUMIFS('📋 Detalle Diario'!$I$5:$I$489, '📋 Detalle Diario'!$B$5:$B$489, B4185, '📋 Detalle Diario'!$C$5:$C$489, D4185) * 200), 0))</f>
        <v/>
      </c>
      <c r="P4185" s="32" t="str">
        <f t="shared" si="460"/>
        <v/>
      </c>
      <c r="Q4185" s="33" t="str">
        <f t="shared" si="461"/>
        <v/>
      </c>
    </row>
    <row r="4186" spans="2:17" ht="18" customHeight="1" x14ac:dyDescent="0.3">
      <c r="B4186" s="26"/>
      <c r="C4186" s="17"/>
      <c r="D4186" s="27"/>
      <c r="E4186" s="18"/>
      <c r="F4186" s="18"/>
      <c r="G4186" s="18"/>
      <c r="H4186" s="30" t="str">
        <f t="shared" si="455"/>
        <v/>
      </c>
      <c r="I4186" s="31" t="str">
        <f>IF(OR(B4186="",C4186=""),"",IFERROR(E4186*IF(E4186="",0,VLOOKUP(C4186,'📦 Precios Proforma'!$B$5:$D$104,IF(D4186="DIA",2,3),FALSE)),0))</f>
        <v/>
      </c>
      <c r="J4186" s="31" t="str">
        <f t="shared" si="456"/>
        <v/>
      </c>
      <c r="K4186" s="31" t="str">
        <f t="shared" si="457"/>
        <v/>
      </c>
      <c r="L4186" s="31" t="str">
        <f>IF(OR(B4186="",C4186=""),"",IFERROR(E4186 / SUMIFS('📅 Resumen Diario'!$D$5:$D$504, '📅 Resumen Diario'!$B$5:$B$504, B4186, '📅 Resumen Diario'!$C$5:$C$504, D4186) * SUMIFS('📅 Resumen Diario'!$K$5:$K$504, '📅 Resumen Diario'!$B$5:$B$504, B4186, '📅 Resumen Diario'!$C$5:$C$504, D4186), 0))</f>
        <v/>
      </c>
      <c r="M4186" s="31" t="str">
        <f t="shared" si="458"/>
        <v/>
      </c>
      <c r="N4186" s="31" t="str">
        <f t="shared" si="459"/>
        <v/>
      </c>
      <c r="O4186" s="31" t="str">
        <f>IF(OR(B4186="",C4186=""),"",K4186-N4186 + IFERROR(E4186 / SUMIFS('📅 Resumen Diario'!$D$5:$D$504, '📅 Resumen Diario'!$B$5:$B$504, B4186, '📅 Resumen Diario'!$C$5:$C$504, D4186) * (SUMIFS('📋 Detalle Diario'!$E$5:$E$489, '📋 Detalle Diario'!$B$5:$B$489, B4186, '📋 Detalle Diario'!$C$5:$C$489, D4186) * 135 + SUMIFS('📋 Detalle Diario'!$I$5:$I$489, '📋 Detalle Diario'!$B$5:$B$489, B4186, '📋 Detalle Diario'!$C$5:$C$489, D4186) * 200), 0))</f>
        <v/>
      </c>
      <c r="P4186" s="32" t="str">
        <f t="shared" si="460"/>
        <v/>
      </c>
      <c r="Q4186" s="33" t="str">
        <f t="shared" si="461"/>
        <v/>
      </c>
    </row>
    <row r="4187" spans="2:17" ht="18" customHeight="1" x14ac:dyDescent="0.3">
      <c r="B4187" s="26"/>
      <c r="C4187" s="28"/>
      <c r="D4187" s="27"/>
      <c r="E4187" s="29"/>
      <c r="F4187" s="29"/>
      <c r="G4187" s="29"/>
      <c r="H4187" s="30" t="str">
        <f t="shared" si="455"/>
        <v/>
      </c>
      <c r="I4187" s="31" t="str">
        <f>IF(OR(B4187="",C4187=""),"",IFERROR(E4187*IF(E4187="",0,VLOOKUP(C4187,'📦 Precios Proforma'!$B$5:$D$104,IF(D4187="DIA",2,3),FALSE)),0))</f>
        <v/>
      </c>
      <c r="J4187" s="31" t="str">
        <f t="shared" si="456"/>
        <v/>
      </c>
      <c r="K4187" s="31" t="str">
        <f t="shared" si="457"/>
        <v/>
      </c>
      <c r="L4187" s="31" t="str">
        <f>IF(OR(B4187="",C4187=""),"",IFERROR(E4187 / SUMIFS('📅 Resumen Diario'!$D$5:$D$504, '📅 Resumen Diario'!$B$5:$B$504, B4187, '📅 Resumen Diario'!$C$5:$C$504, D4187) * SUMIFS('📅 Resumen Diario'!$K$5:$K$504, '📅 Resumen Diario'!$B$5:$B$504, B4187, '📅 Resumen Diario'!$C$5:$C$504, D4187), 0))</f>
        <v/>
      </c>
      <c r="M4187" s="31" t="str">
        <f t="shared" si="458"/>
        <v/>
      </c>
      <c r="N4187" s="31" t="str">
        <f t="shared" si="459"/>
        <v/>
      </c>
      <c r="O4187" s="31" t="str">
        <f>IF(OR(B4187="",C4187=""),"",K4187-N4187 + IFERROR(E4187 / SUMIFS('📅 Resumen Diario'!$D$5:$D$504, '📅 Resumen Diario'!$B$5:$B$504, B4187, '📅 Resumen Diario'!$C$5:$C$504, D4187) * (SUMIFS('📋 Detalle Diario'!$E$5:$E$489, '📋 Detalle Diario'!$B$5:$B$489, B4187, '📋 Detalle Diario'!$C$5:$C$489, D4187) * 135 + SUMIFS('📋 Detalle Diario'!$I$5:$I$489, '📋 Detalle Diario'!$B$5:$B$489, B4187, '📋 Detalle Diario'!$C$5:$C$489, D4187) * 200), 0))</f>
        <v/>
      </c>
      <c r="P4187" s="32" t="str">
        <f t="shared" si="460"/>
        <v/>
      </c>
      <c r="Q4187" s="33" t="str">
        <f t="shared" si="461"/>
        <v/>
      </c>
    </row>
    <row r="4188" spans="2:17" ht="18" customHeight="1" x14ac:dyDescent="0.3">
      <c r="B4188" s="26"/>
      <c r="C4188" s="17"/>
      <c r="D4188" s="27"/>
      <c r="E4188" s="18"/>
      <c r="F4188" s="18"/>
      <c r="G4188" s="18"/>
      <c r="H4188" s="30" t="str">
        <f t="shared" si="455"/>
        <v/>
      </c>
      <c r="I4188" s="31" t="str">
        <f>IF(OR(B4188="",C4188=""),"",IFERROR(E4188*IF(E4188="",0,VLOOKUP(C4188,'📦 Precios Proforma'!$B$5:$D$104,IF(D4188="DIA",2,3),FALSE)),0))</f>
        <v/>
      </c>
      <c r="J4188" s="31" t="str">
        <f t="shared" si="456"/>
        <v/>
      </c>
      <c r="K4188" s="31" t="str">
        <f t="shared" si="457"/>
        <v/>
      </c>
      <c r="L4188" s="31" t="str">
        <f>IF(OR(B4188="",C4188=""),"",IFERROR(E4188 / SUMIFS('📅 Resumen Diario'!$D$5:$D$504, '📅 Resumen Diario'!$B$5:$B$504, B4188, '📅 Resumen Diario'!$C$5:$C$504, D4188) * SUMIFS('📅 Resumen Diario'!$K$5:$K$504, '📅 Resumen Diario'!$B$5:$B$504, B4188, '📅 Resumen Diario'!$C$5:$C$504, D4188), 0))</f>
        <v/>
      </c>
      <c r="M4188" s="31" t="str">
        <f t="shared" si="458"/>
        <v/>
      </c>
      <c r="N4188" s="31" t="str">
        <f t="shared" si="459"/>
        <v/>
      </c>
      <c r="O4188" s="31" t="str">
        <f>IF(OR(B4188="",C4188=""),"",K4188-N4188 + IFERROR(E4188 / SUMIFS('📅 Resumen Diario'!$D$5:$D$504, '📅 Resumen Diario'!$B$5:$B$504, B4188, '📅 Resumen Diario'!$C$5:$C$504, D4188) * (SUMIFS('📋 Detalle Diario'!$E$5:$E$489, '📋 Detalle Diario'!$B$5:$B$489, B4188, '📋 Detalle Diario'!$C$5:$C$489, D4188) * 135 + SUMIFS('📋 Detalle Diario'!$I$5:$I$489, '📋 Detalle Diario'!$B$5:$B$489, B4188, '📋 Detalle Diario'!$C$5:$C$489, D4188) * 200), 0))</f>
        <v/>
      </c>
      <c r="P4188" s="32" t="str">
        <f t="shared" si="460"/>
        <v/>
      </c>
      <c r="Q4188" s="33" t="str">
        <f t="shared" si="461"/>
        <v/>
      </c>
    </row>
    <row r="4189" spans="2:17" ht="18" customHeight="1" x14ac:dyDescent="0.3">
      <c r="B4189" s="26"/>
      <c r="C4189" s="28"/>
      <c r="D4189" s="27"/>
      <c r="E4189" s="29"/>
      <c r="F4189" s="29"/>
      <c r="G4189" s="29"/>
      <c r="H4189" s="30" t="str">
        <f t="shared" si="455"/>
        <v/>
      </c>
      <c r="I4189" s="31" t="str">
        <f>IF(OR(B4189="",C4189=""),"",IFERROR(E4189*IF(E4189="",0,VLOOKUP(C4189,'📦 Precios Proforma'!$B$5:$D$104,IF(D4189="DIA",2,3),FALSE)),0))</f>
        <v/>
      </c>
      <c r="J4189" s="31" t="str">
        <f t="shared" si="456"/>
        <v/>
      </c>
      <c r="K4189" s="31" t="str">
        <f t="shared" si="457"/>
        <v/>
      </c>
      <c r="L4189" s="31" t="str">
        <f>IF(OR(B4189="",C4189=""),"",IFERROR(E4189 / SUMIFS('📅 Resumen Diario'!$D$5:$D$504, '📅 Resumen Diario'!$B$5:$B$504, B4189, '📅 Resumen Diario'!$C$5:$C$504, D4189) * SUMIFS('📅 Resumen Diario'!$K$5:$K$504, '📅 Resumen Diario'!$B$5:$B$504, B4189, '📅 Resumen Diario'!$C$5:$C$504, D4189), 0))</f>
        <v/>
      </c>
      <c r="M4189" s="31" t="str">
        <f t="shared" si="458"/>
        <v/>
      </c>
      <c r="N4189" s="31" t="str">
        <f t="shared" si="459"/>
        <v/>
      </c>
      <c r="O4189" s="31" t="str">
        <f>IF(OR(B4189="",C4189=""),"",K4189-N4189 + IFERROR(E4189 / SUMIFS('📅 Resumen Diario'!$D$5:$D$504, '📅 Resumen Diario'!$B$5:$B$504, B4189, '📅 Resumen Diario'!$C$5:$C$504, D4189) * (SUMIFS('📋 Detalle Diario'!$E$5:$E$489, '📋 Detalle Diario'!$B$5:$B$489, B4189, '📋 Detalle Diario'!$C$5:$C$489, D4189) * 135 + SUMIFS('📋 Detalle Diario'!$I$5:$I$489, '📋 Detalle Diario'!$B$5:$B$489, B4189, '📋 Detalle Diario'!$C$5:$C$489, D4189) * 200), 0))</f>
        <v/>
      </c>
      <c r="P4189" s="32" t="str">
        <f t="shared" si="460"/>
        <v/>
      </c>
      <c r="Q4189" s="33" t="str">
        <f t="shared" si="461"/>
        <v/>
      </c>
    </row>
    <row r="4190" spans="2:17" ht="18" customHeight="1" x14ac:dyDescent="0.3">
      <c r="B4190" s="26"/>
      <c r="C4190" s="17"/>
      <c r="D4190" s="27"/>
      <c r="E4190" s="18"/>
      <c r="F4190" s="18"/>
      <c r="G4190" s="18"/>
      <c r="H4190" s="30" t="str">
        <f t="shared" si="455"/>
        <v/>
      </c>
      <c r="I4190" s="31" t="str">
        <f>IF(OR(B4190="",C4190=""),"",IFERROR(E4190*IF(E4190="",0,VLOOKUP(C4190,'📦 Precios Proforma'!$B$5:$D$104,IF(D4190="DIA",2,3),FALSE)),0))</f>
        <v/>
      </c>
      <c r="J4190" s="31" t="str">
        <f t="shared" si="456"/>
        <v/>
      </c>
      <c r="K4190" s="31" t="str">
        <f t="shared" si="457"/>
        <v/>
      </c>
      <c r="L4190" s="31" t="str">
        <f>IF(OR(B4190="",C4190=""),"",IFERROR(E4190 / SUMIFS('📅 Resumen Diario'!$D$5:$D$504, '📅 Resumen Diario'!$B$5:$B$504, B4190, '📅 Resumen Diario'!$C$5:$C$504, D4190) * SUMIFS('📅 Resumen Diario'!$K$5:$K$504, '📅 Resumen Diario'!$B$5:$B$504, B4190, '📅 Resumen Diario'!$C$5:$C$504, D4190), 0))</f>
        <v/>
      </c>
      <c r="M4190" s="31" t="str">
        <f t="shared" si="458"/>
        <v/>
      </c>
      <c r="N4190" s="31" t="str">
        <f t="shared" si="459"/>
        <v/>
      </c>
      <c r="O4190" s="31" t="str">
        <f>IF(OR(B4190="",C4190=""),"",K4190-N4190 + IFERROR(E4190 / SUMIFS('📅 Resumen Diario'!$D$5:$D$504, '📅 Resumen Diario'!$B$5:$B$504, B4190, '📅 Resumen Diario'!$C$5:$C$504, D4190) * (SUMIFS('📋 Detalle Diario'!$E$5:$E$489, '📋 Detalle Diario'!$B$5:$B$489, B4190, '📋 Detalle Diario'!$C$5:$C$489, D4190) * 135 + SUMIFS('📋 Detalle Diario'!$I$5:$I$489, '📋 Detalle Diario'!$B$5:$B$489, B4190, '📋 Detalle Diario'!$C$5:$C$489, D4190) * 200), 0))</f>
        <v/>
      </c>
      <c r="P4190" s="32" t="str">
        <f t="shared" si="460"/>
        <v/>
      </c>
      <c r="Q4190" s="33" t="str">
        <f t="shared" si="461"/>
        <v/>
      </c>
    </row>
    <row r="4191" spans="2:17" ht="18" customHeight="1" x14ac:dyDescent="0.3">
      <c r="B4191" s="26"/>
      <c r="C4191" s="28"/>
      <c r="D4191" s="27"/>
      <c r="E4191" s="29"/>
      <c r="F4191" s="29"/>
      <c r="G4191" s="29"/>
      <c r="H4191" s="30" t="str">
        <f t="shared" si="455"/>
        <v/>
      </c>
      <c r="I4191" s="31" t="str">
        <f>IF(OR(B4191="",C4191=""),"",IFERROR(E4191*IF(E4191="",0,VLOOKUP(C4191,'📦 Precios Proforma'!$B$5:$D$104,IF(D4191="DIA",2,3),FALSE)),0))</f>
        <v/>
      </c>
      <c r="J4191" s="31" t="str">
        <f t="shared" si="456"/>
        <v/>
      </c>
      <c r="K4191" s="31" t="str">
        <f t="shared" si="457"/>
        <v/>
      </c>
      <c r="L4191" s="31" t="str">
        <f>IF(OR(B4191="",C4191=""),"",IFERROR(E4191 / SUMIFS('📅 Resumen Diario'!$D$5:$D$504, '📅 Resumen Diario'!$B$5:$B$504, B4191, '📅 Resumen Diario'!$C$5:$C$504, D4191) * SUMIFS('📅 Resumen Diario'!$K$5:$K$504, '📅 Resumen Diario'!$B$5:$B$504, B4191, '📅 Resumen Diario'!$C$5:$C$504, D4191), 0))</f>
        <v/>
      </c>
      <c r="M4191" s="31" t="str">
        <f t="shared" si="458"/>
        <v/>
      </c>
      <c r="N4191" s="31" t="str">
        <f t="shared" si="459"/>
        <v/>
      </c>
      <c r="O4191" s="31" t="str">
        <f>IF(OR(B4191="",C4191=""),"",K4191-N4191 + IFERROR(E4191 / SUMIFS('📅 Resumen Diario'!$D$5:$D$504, '📅 Resumen Diario'!$B$5:$B$504, B4191, '📅 Resumen Diario'!$C$5:$C$504, D4191) * (SUMIFS('📋 Detalle Diario'!$E$5:$E$489, '📋 Detalle Diario'!$B$5:$B$489, B4191, '📋 Detalle Diario'!$C$5:$C$489, D4191) * 135 + SUMIFS('📋 Detalle Diario'!$I$5:$I$489, '📋 Detalle Diario'!$B$5:$B$489, B4191, '📋 Detalle Diario'!$C$5:$C$489, D4191) * 200), 0))</f>
        <v/>
      </c>
      <c r="P4191" s="32" t="str">
        <f t="shared" si="460"/>
        <v/>
      </c>
      <c r="Q4191" s="33" t="str">
        <f t="shared" si="461"/>
        <v/>
      </c>
    </row>
    <row r="4192" spans="2:17" ht="18" customHeight="1" x14ac:dyDescent="0.3">
      <c r="B4192" s="26"/>
      <c r="C4192" s="17"/>
      <c r="D4192" s="27"/>
      <c r="E4192" s="18"/>
      <c r="F4192" s="18"/>
      <c r="G4192" s="18"/>
      <c r="H4192" s="30" t="str">
        <f t="shared" si="455"/>
        <v/>
      </c>
      <c r="I4192" s="31" t="str">
        <f>IF(OR(B4192="",C4192=""),"",IFERROR(E4192*IF(E4192="",0,VLOOKUP(C4192,'📦 Precios Proforma'!$B$5:$D$104,IF(D4192="DIA",2,3),FALSE)),0))</f>
        <v/>
      </c>
      <c r="J4192" s="31" t="str">
        <f t="shared" si="456"/>
        <v/>
      </c>
      <c r="K4192" s="31" t="str">
        <f t="shared" si="457"/>
        <v/>
      </c>
      <c r="L4192" s="31" t="str">
        <f>IF(OR(B4192="",C4192=""),"",IFERROR(E4192 / SUMIFS('📅 Resumen Diario'!$D$5:$D$504, '📅 Resumen Diario'!$B$5:$B$504, B4192, '📅 Resumen Diario'!$C$5:$C$504, D4192) * SUMIFS('📅 Resumen Diario'!$K$5:$K$504, '📅 Resumen Diario'!$B$5:$B$504, B4192, '📅 Resumen Diario'!$C$5:$C$504, D4192), 0))</f>
        <v/>
      </c>
      <c r="M4192" s="31" t="str">
        <f t="shared" si="458"/>
        <v/>
      </c>
      <c r="N4192" s="31" t="str">
        <f t="shared" si="459"/>
        <v/>
      </c>
      <c r="O4192" s="31" t="str">
        <f>IF(OR(B4192="",C4192=""),"",K4192-N4192 + IFERROR(E4192 / SUMIFS('📅 Resumen Diario'!$D$5:$D$504, '📅 Resumen Diario'!$B$5:$B$504, B4192, '📅 Resumen Diario'!$C$5:$C$504, D4192) * (SUMIFS('📋 Detalle Diario'!$E$5:$E$489, '📋 Detalle Diario'!$B$5:$B$489, B4192, '📋 Detalle Diario'!$C$5:$C$489, D4192) * 135 + SUMIFS('📋 Detalle Diario'!$I$5:$I$489, '📋 Detalle Diario'!$B$5:$B$489, B4192, '📋 Detalle Diario'!$C$5:$C$489, D4192) * 200), 0))</f>
        <v/>
      </c>
      <c r="P4192" s="32" t="str">
        <f t="shared" si="460"/>
        <v/>
      </c>
      <c r="Q4192" s="33" t="str">
        <f t="shared" si="461"/>
        <v/>
      </c>
    </row>
    <row r="4193" spans="2:17" ht="18" customHeight="1" x14ac:dyDescent="0.3">
      <c r="B4193" s="26"/>
      <c r="C4193" s="28"/>
      <c r="D4193" s="27"/>
      <c r="E4193" s="29"/>
      <c r="F4193" s="29"/>
      <c r="G4193" s="29"/>
      <c r="H4193" s="30" t="str">
        <f t="shared" si="455"/>
        <v/>
      </c>
      <c r="I4193" s="31" t="str">
        <f>IF(OR(B4193="",C4193=""),"",IFERROR(E4193*IF(E4193="",0,VLOOKUP(C4193,'📦 Precios Proforma'!$B$5:$D$104,IF(D4193="DIA",2,3),FALSE)),0))</f>
        <v/>
      </c>
      <c r="J4193" s="31" t="str">
        <f t="shared" si="456"/>
        <v/>
      </c>
      <c r="K4193" s="31" t="str">
        <f t="shared" si="457"/>
        <v/>
      </c>
      <c r="L4193" s="31" t="str">
        <f>IF(OR(B4193="",C4193=""),"",IFERROR(E4193 / SUMIFS('📅 Resumen Diario'!$D$5:$D$504, '📅 Resumen Diario'!$B$5:$B$504, B4193, '📅 Resumen Diario'!$C$5:$C$504, D4193) * SUMIFS('📅 Resumen Diario'!$K$5:$K$504, '📅 Resumen Diario'!$B$5:$B$504, B4193, '📅 Resumen Diario'!$C$5:$C$504, D4193), 0))</f>
        <v/>
      </c>
      <c r="M4193" s="31" t="str">
        <f t="shared" si="458"/>
        <v/>
      </c>
      <c r="N4193" s="31" t="str">
        <f t="shared" si="459"/>
        <v/>
      </c>
      <c r="O4193" s="31" t="str">
        <f>IF(OR(B4193="",C4193=""),"",K4193-N4193 + IFERROR(E4193 / SUMIFS('📅 Resumen Diario'!$D$5:$D$504, '📅 Resumen Diario'!$B$5:$B$504, B4193, '📅 Resumen Diario'!$C$5:$C$504, D4193) * (SUMIFS('📋 Detalle Diario'!$E$5:$E$489, '📋 Detalle Diario'!$B$5:$B$489, B4193, '📋 Detalle Diario'!$C$5:$C$489, D4193) * 135 + SUMIFS('📋 Detalle Diario'!$I$5:$I$489, '📋 Detalle Diario'!$B$5:$B$489, B4193, '📋 Detalle Diario'!$C$5:$C$489, D4193) * 200), 0))</f>
        <v/>
      </c>
      <c r="P4193" s="32" t="str">
        <f t="shared" si="460"/>
        <v/>
      </c>
      <c r="Q4193" s="33" t="str">
        <f t="shared" si="461"/>
        <v/>
      </c>
    </row>
    <row r="4194" spans="2:17" ht="18" customHeight="1" x14ac:dyDescent="0.3">
      <c r="B4194" s="26"/>
      <c r="C4194" s="17"/>
      <c r="D4194" s="27"/>
      <c r="E4194" s="18"/>
      <c r="F4194" s="18"/>
      <c r="G4194" s="18"/>
      <c r="H4194" s="30" t="str">
        <f t="shared" si="455"/>
        <v/>
      </c>
      <c r="I4194" s="31" t="str">
        <f>IF(OR(B4194="",C4194=""),"",IFERROR(E4194*IF(E4194="",0,VLOOKUP(C4194,'📦 Precios Proforma'!$B$5:$D$104,IF(D4194="DIA",2,3),FALSE)),0))</f>
        <v/>
      </c>
      <c r="J4194" s="31" t="str">
        <f t="shared" si="456"/>
        <v/>
      </c>
      <c r="K4194" s="31" t="str">
        <f t="shared" si="457"/>
        <v/>
      </c>
      <c r="L4194" s="31" t="str">
        <f>IF(OR(B4194="",C4194=""),"",IFERROR(E4194 / SUMIFS('📅 Resumen Diario'!$D$5:$D$504, '📅 Resumen Diario'!$B$5:$B$504, B4194, '📅 Resumen Diario'!$C$5:$C$504, D4194) * SUMIFS('📅 Resumen Diario'!$K$5:$K$504, '📅 Resumen Diario'!$B$5:$B$504, B4194, '📅 Resumen Diario'!$C$5:$C$504, D4194), 0))</f>
        <v/>
      </c>
      <c r="M4194" s="31" t="str">
        <f t="shared" si="458"/>
        <v/>
      </c>
      <c r="N4194" s="31" t="str">
        <f t="shared" si="459"/>
        <v/>
      </c>
      <c r="O4194" s="31" t="str">
        <f>IF(OR(B4194="",C4194=""),"",K4194-N4194 + IFERROR(E4194 / SUMIFS('📅 Resumen Diario'!$D$5:$D$504, '📅 Resumen Diario'!$B$5:$B$504, B4194, '📅 Resumen Diario'!$C$5:$C$504, D4194) * (SUMIFS('📋 Detalle Diario'!$E$5:$E$489, '📋 Detalle Diario'!$B$5:$B$489, B4194, '📋 Detalle Diario'!$C$5:$C$489, D4194) * 135 + SUMIFS('📋 Detalle Diario'!$I$5:$I$489, '📋 Detalle Diario'!$B$5:$B$489, B4194, '📋 Detalle Diario'!$C$5:$C$489, D4194) * 200), 0))</f>
        <v/>
      </c>
      <c r="P4194" s="32" t="str">
        <f t="shared" si="460"/>
        <v/>
      </c>
      <c r="Q4194" s="33" t="str">
        <f t="shared" si="461"/>
        <v/>
      </c>
    </row>
    <row r="4195" spans="2:17" ht="18" customHeight="1" x14ac:dyDescent="0.3">
      <c r="B4195" s="26"/>
      <c r="C4195" s="28"/>
      <c r="D4195" s="27"/>
      <c r="E4195" s="29"/>
      <c r="F4195" s="29"/>
      <c r="G4195" s="29"/>
      <c r="H4195" s="30" t="str">
        <f t="shared" si="455"/>
        <v/>
      </c>
      <c r="I4195" s="31" t="str">
        <f>IF(OR(B4195="",C4195=""),"",IFERROR(E4195*IF(E4195="",0,VLOOKUP(C4195,'📦 Precios Proforma'!$B$5:$D$104,IF(D4195="DIA",2,3),FALSE)),0))</f>
        <v/>
      </c>
      <c r="J4195" s="31" t="str">
        <f t="shared" si="456"/>
        <v/>
      </c>
      <c r="K4195" s="31" t="str">
        <f t="shared" si="457"/>
        <v/>
      </c>
      <c r="L4195" s="31" t="str">
        <f>IF(OR(B4195="",C4195=""),"",IFERROR(E4195 / SUMIFS('📅 Resumen Diario'!$D$5:$D$504, '📅 Resumen Diario'!$B$5:$B$504, B4195, '📅 Resumen Diario'!$C$5:$C$504, D4195) * SUMIFS('📅 Resumen Diario'!$K$5:$K$504, '📅 Resumen Diario'!$B$5:$B$504, B4195, '📅 Resumen Diario'!$C$5:$C$504, D4195), 0))</f>
        <v/>
      </c>
      <c r="M4195" s="31" t="str">
        <f t="shared" si="458"/>
        <v/>
      </c>
      <c r="N4195" s="31" t="str">
        <f t="shared" si="459"/>
        <v/>
      </c>
      <c r="O4195" s="31" t="str">
        <f>IF(OR(B4195="",C4195=""),"",K4195-N4195 + IFERROR(E4195 / SUMIFS('📅 Resumen Diario'!$D$5:$D$504, '📅 Resumen Diario'!$B$5:$B$504, B4195, '📅 Resumen Diario'!$C$5:$C$504, D4195) * (SUMIFS('📋 Detalle Diario'!$E$5:$E$489, '📋 Detalle Diario'!$B$5:$B$489, B4195, '📋 Detalle Diario'!$C$5:$C$489, D4195) * 135 + SUMIFS('📋 Detalle Diario'!$I$5:$I$489, '📋 Detalle Diario'!$B$5:$B$489, B4195, '📋 Detalle Diario'!$C$5:$C$489, D4195) * 200), 0))</f>
        <v/>
      </c>
      <c r="P4195" s="32" t="str">
        <f t="shared" si="460"/>
        <v/>
      </c>
      <c r="Q4195" s="33" t="str">
        <f t="shared" si="461"/>
        <v/>
      </c>
    </row>
    <row r="4196" spans="2:17" ht="18" customHeight="1" x14ac:dyDescent="0.3">
      <c r="B4196" s="26"/>
      <c r="C4196" s="17"/>
      <c r="D4196" s="27"/>
      <c r="E4196" s="18"/>
      <c r="F4196" s="18"/>
      <c r="G4196" s="18"/>
      <c r="H4196" s="30" t="str">
        <f t="shared" si="455"/>
        <v/>
      </c>
      <c r="I4196" s="31" t="str">
        <f>IF(OR(B4196="",C4196=""),"",IFERROR(E4196*IF(E4196="",0,VLOOKUP(C4196,'📦 Precios Proforma'!$B$5:$D$104,IF(D4196="DIA",2,3),FALSE)),0))</f>
        <v/>
      </c>
      <c r="J4196" s="31" t="str">
        <f t="shared" si="456"/>
        <v/>
      </c>
      <c r="K4196" s="31" t="str">
        <f t="shared" si="457"/>
        <v/>
      </c>
      <c r="L4196" s="31" t="str">
        <f>IF(OR(B4196="",C4196=""),"",IFERROR(E4196 / SUMIFS('📅 Resumen Diario'!$D$5:$D$504, '📅 Resumen Diario'!$B$5:$B$504, B4196, '📅 Resumen Diario'!$C$5:$C$504, D4196) * SUMIFS('📅 Resumen Diario'!$K$5:$K$504, '📅 Resumen Diario'!$B$5:$B$504, B4196, '📅 Resumen Diario'!$C$5:$C$504, D4196), 0))</f>
        <v/>
      </c>
      <c r="M4196" s="31" t="str">
        <f t="shared" si="458"/>
        <v/>
      </c>
      <c r="N4196" s="31" t="str">
        <f t="shared" si="459"/>
        <v/>
      </c>
      <c r="O4196" s="31" t="str">
        <f>IF(OR(B4196="",C4196=""),"",K4196-N4196 + IFERROR(E4196 / SUMIFS('📅 Resumen Diario'!$D$5:$D$504, '📅 Resumen Diario'!$B$5:$B$504, B4196, '📅 Resumen Diario'!$C$5:$C$504, D4196) * (SUMIFS('📋 Detalle Diario'!$E$5:$E$489, '📋 Detalle Diario'!$B$5:$B$489, B4196, '📋 Detalle Diario'!$C$5:$C$489, D4196) * 135 + SUMIFS('📋 Detalle Diario'!$I$5:$I$489, '📋 Detalle Diario'!$B$5:$B$489, B4196, '📋 Detalle Diario'!$C$5:$C$489, D4196) * 200), 0))</f>
        <v/>
      </c>
      <c r="P4196" s="32" t="str">
        <f t="shared" si="460"/>
        <v/>
      </c>
      <c r="Q4196" s="33" t="str">
        <f t="shared" si="461"/>
        <v/>
      </c>
    </row>
    <row r="4197" spans="2:17" ht="18" customHeight="1" x14ac:dyDescent="0.3">
      <c r="B4197" s="26"/>
      <c r="C4197" s="28"/>
      <c r="D4197" s="27"/>
      <c r="E4197" s="29"/>
      <c r="F4197" s="29"/>
      <c r="G4197" s="29"/>
      <c r="H4197" s="30" t="str">
        <f t="shared" si="455"/>
        <v/>
      </c>
      <c r="I4197" s="31" t="str">
        <f>IF(OR(B4197="",C4197=""),"",IFERROR(E4197*IF(E4197="",0,VLOOKUP(C4197,'📦 Precios Proforma'!$B$5:$D$104,IF(D4197="DIA",2,3),FALSE)),0))</f>
        <v/>
      </c>
      <c r="J4197" s="31" t="str">
        <f t="shared" si="456"/>
        <v/>
      </c>
      <c r="K4197" s="31" t="str">
        <f t="shared" si="457"/>
        <v/>
      </c>
      <c r="L4197" s="31" t="str">
        <f>IF(OR(B4197="",C4197=""),"",IFERROR(E4197 / SUMIFS('📅 Resumen Diario'!$D$5:$D$504, '📅 Resumen Diario'!$B$5:$B$504, B4197, '📅 Resumen Diario'!$C$5:$C$504, D4197) * SUMIFS('📅 Resumen Diario'!$K$5:$K$504, '📅 Resumen Diario'!$B$5:$B$504, B4197, '📅 Resumen Diario'!$C$5:$C$504, D4197), 0))</f>
        <v/>
      </c>
      <c r="M4197" s="31" t="str">
        <f t="shared" si="458"/>
        <v/>
      </c>
      <c r="N4197" s="31" t="str">
        <f t="shared" si="459"/>
        <v/>
      </c>
      <c r="O4197" s="31" t="str">
        <f>IF(OR(B4197="",C4197=""),"",K4197-N4197 + IFERROR(E4197 / SUMIFS('📅 Resumen Diario'!$D$5:$D$504, '📅 Resumen Diario'!$B$5:$B$504, B4197, '📅 Resumen Diario'!$C$5:$C$504, D4197) * (SUMIFS('📋 Detalle Diario'!$E$5:$E$489, '📋 Detalle Diario'!$B$5:$B$489, B4197, '📋 Detalle Diario'!$C$5:$C$489, D4197) * 135 + SUMIFS('📋 Detalle Diario'!$I$5:$I$489, '📋 Detalle Diario'!$B$5:$B$489, B4197, '📋 Detalle Diario'!$C$5:$C$489, D4197) * 200), 0))</f>
        <v/>
      </c>
      <c r="P4197" s="32" t="str">
        <f t="shared" si="460"/>
        <v/>
      </c>
      <c r="Q4197" s="33" t="str">
        <f t="shared" si="461"/>
        <v/>
      </c>
    </row>
    <row r="4198" spans="2:17" ht="18" customHeight="1" x14ac:dyDescent="0.3">
      <c r="B4198" s="26"/>
      <c r="C4198" s="17"/>
      <c r="D4198" s="27"/>
      <c r="E4198" s="18"/>
      <c r="F4198" s="18"/>
      <c r="G4198" s="18"/>
      <c r="H4198" s="30" t="str">
        <f t="shared" si="455"/>
        <v/>
      </c>
      <c r="I4198" s="31" t="str">
        <f>IF(OR(B4198="",C4198=""),"",IFERROR(E4198*IF(E4198="",0,VLOOKUP(C4198,'📦 Precios Proforma'!$B$5:$D$104,IF(D4198="DIA",2,3),FALSE)),0))</f>
        <v/>
      </c>
      <c r="J4198" s="31" t="str">
        <f t="shared" si="456"/>
        <v/>
      </c>
      <c r="K4198" s="31" t="str">
        <f t="shared" si="457"/>
        <v/>
      </c>
      <c r="L4198" s="31" t="str">
        <f>IF(OR(B4198="",C4198=""),"",IFERROR(E4198 / SUMIFS('📅 Resumen Diario'!$D$5:$D$504, '📅 Resumen Diario'!$B$5:$B$504, B4198, '📅 Resumen Diario'!$C$5:$C$504, D4198) * SUMIFS('📅 Resumen Diario'!$K$5:$K$504, '📅 Resumen Diario'!$B$5:$B$504, B4198, '📅 Resumen Diario'!$C$5:$C$504, D4198), 0))</f>
        <v/>
      </c>
      <c r="M4198" s="31" t="str">
        <f t="shared" si="458"/>
        <v/>
      </c>
      <c r="N4198" s="31" t="str">
        <f t="shared" si="459"/>
        <v/>
      </c>
      <c r="O4198" s="31" t="str">
        <f>IF(OR(B4198="",C4198=""),"",K4198-N4198 + IFERROR(E4198 / SUMIFS('📅 Resumen Diario'!$D$5:$D$504, '📅 Resumen Diario'!$B$5:$B$504, B4198, '📅 Resumen Diario'!$C$5:$C$504, D4198) * (SUMIFS('📋 Detalle Diario'!$E$5:$E$489, '📋 Detalle Diario'!$B$5:$B$489, B4198, '📋 Detalle Diario'!$C$5:$C$489, D4198) * 135 + SUMIFS('📋 Detalle Diario'!$I$5:$I$489, '📋 Detalle Diario'!$B$5:$B$489, B4198, '📋 Detalle Diario'!$C$5:$C$489, D4198) * 200), 0))</f>
        <v/>
      </c>
      <c r="P4198" s="32" t="str">
        <f t="shared" si="460"/>
        <v/>
      </c>
      <c r="Q4198" s="33" t="str">
        <f t="shared" si="461"/>
        <v/>
      </c>
    </row>
    <row r="4199" spans="2:17" ht="18" customHeight="1" x14ac:dyDescent="0.3">
      <c r="B4199" s="26"/>
      <c r="C4199" s="28"/>
      <c r="D4199" s="27"/>
      <c r="E4199" s="29"/>
      <c r="F4199" s="29"/>
      <c r="G4199" s="29"/>
      <c r="H4199" s="30" t="str">
        <f t="shared" si="455"/>
        <v/>
      </c>
      <c r="I4199" s="31" t="str">
        <f>IF(OR(B4199="",C4199=""),"",IFERROR(E4199*IF(E4199="",0,VLOOKUP(C4199,'📦 Precios Proforma'!$B$5:$D$104,IF(D4199="DIA",2,3),FALSE)),0))</f>
        <v/>
      </c>
      <c r="J4199" s="31" t="str">
        <f t="shared" si="456"/>
        <v/>
      </c>
      <c r="K4199" s="31" t="str">
        <f t="shared" si="457"/>
        <v/>
      </c>
      <c r="L4199" s="31" t="str">
        <f>IF(OR(B4199="",C4199=""),"",IFERROR(E4199 / SUMIFS('📅 Resumen Diario'!$D$5:$D$504, '📅 Resumen Diario'!$B$5:$B$504, B4199, '📅 Resumen Diario'!$C$5:$C$504, D4199) * SUMIFS('📅 Resumen Diario'!$K$5:$K$504, '📅 Resumen Diario'!$B$5:$B$504, B4199, '📅 Resumen Diario'!$C$5:$C$504, D4199), 0))</f>
        <v/>
      </c>
      <c r="M4199" s="31" t="str">
        <f t="shared" si="458"/>
        <v/>
      </c>
      <c r="N4199" s="31" t="str">
        <f t="shared" si="459"/>
        <v/>
      </c>
      <c r="O4199" s="31" t="str">
        <f>IF(OR(B4199="",C4199=""),"",K4199-N4199 + IFERROR(E4199 / SUMIFS('📅 Resumen Diario'!$D$5:$D$504, '📅 Resumen Diario'!$B$5:$B$504, B4199, '📅 Resumen Diario'!$C$5:$C$504, D4199) * (SUMIFS('📋 Detalle Diario'!$E$5:$E$489, '📋 Detalle Diario'!$B$5:$B$489, B4199, '📋 Detalle Diario'!$C$5:$C$489, D4199) * 135 + SUMIFS('📋 Detalle Diario'!$I$5:$I$489, '📋 Detalle Diario'!$B$5:$B$489, B4199, '📋 Detalle Diario'!$C$5:$C$489, D4199) * 200), 0))</f>
        <v/>
      </c>
      <c r="P4199" s="32" t="str">
        <f t="shared" si="460"/>
        <v/>
      </c>
      <c r="Q4199" s="33" t="str">
        <f t="shared" si="461"/>
        <v/>
      </c>
    </row>
    <row r="4200" spans="2:17" ht="18" customHeight="1" x14ac:dyDescent="0.3">
      <c r="B4200" s="26"/>
      <c r="C4200" s="17"/>
      <c r="D4200" s="27"/>
      <c r="E4200" s="18"/>
      <c r="F4200" s="18"/>
      <c r="G4200" s="18"/>
      <c r="H4200" s="30" t="str">
        <f t="shared" si="455"/>
        <v/>
      </c>
      <c r="I4200" s="31" t="str">
        <f>IF(OR(B4200="",C4200=""),"",IFERROR(E4200*IF(E4200="",0,VLOOKUP(C4200,'📦 Precios Proforma'!$B$5:$D$104,IF(D4200="DIA",2,3),FALSE)),0))</f>
        <v/>
      </c>
      <c r="J4200" s="31" t="str">
        <f t="shared" si="456"/>
        <v/>
      </c>
      <c r="K4200" s="31" t="str">
        <f t="shared" si="457"/>
        <v/>
      </c>
      <c r="L4200" s="31" t="str">
        <f>IF(OR(B4200="",C4200=""),"",IFERROR(E4200 / SUMIFS('📅 Resumen Diario'!$D$5:$D$504, '📅 Resumen Diario'!$B$5:$B$504, B4200, '📅 Resumen Diario'!$C$5:$C$504, D4200) * SUMIFS('📅 Resumen Diario'!$K$5:$K$504, '📅 Resumen Diario'!$B$5:$B$504, B4200, '📅 Resumen Diario'!$C$5:$C$504, D4200), 0))</f>
        <v/>
      </c>
      <c r="M4200" s="31" t="str">
        <f t="shared" si="458"/>
        <v/>
      </c>
      <c r="N4200" s="31" t="str">
        <f t="shared" si="459"/>
        <v/>
      </c>
      <c r="O4200" s="31" t="str">
        <f>IF(OR(B4200="",C4200=""),"",K4200-N4200 + IFERROR(E4200 / SUMIFS('📅 Resumen Diario'!$D$5:$D$504, '📅 Resumen Diario'!$B$5:$B$504, B4200, '📅 Resumen Diario'!$C$5:$C$504, D4200) * (SUMIFS('📋 Detalle Diario'!$E$5:$E$489, '📋 Detalle Diario'!$B$5:$B$489, B4200, '📋 Detalle Diario'!$C$5:$C$489, D4200) * 135 + SUMIFS('📋 Detalle Diario'!$I$5:$I$489, '📋 Detalle Diario'!$B$5:$B$489, B4200, '📋 Detalle Diario'!$C$5:$C$489, D4200) * 200), 0))</f>
        <v/>
      </c>
      <c r="P4200" s="32" t="str">
        <f t="shared" si="460"/>
        <v/>
      </c>
      <c r="Q4200" s="33" t="str">
        <f t="shared" si="461"/>
        <v/>
      </c>
    </row>
    <row r="4201" spans="2:17" ht="18" customHeight="1" x14ac:dyDescent="0.3">
      <c r="B4201" s="26"/>
      <c r="C4201" s="28"/>
      <c r="D4201" s="27"/>
      <c r="E4201" s="29"/>
      <c r="F4201" s="29"/>
      <c r="G4201" s="29"/>
      <c r="H4201" s="30" t="str">
        <f t="shared" si="455"/>
        <v/>
      </c>
      <c r="I4201" s="31" t="str">
        <f>IF(OR(B4201="",C4201=""),"",IFERROR(E4201*IF(E4201="",0,VLOOKUP(C4201,'📦 Precios Proforma'!$B$5:$D$104,IF(D4201="DIA",2,3),FALSE)),0))</f>
        <v/>
      </c>
      <c r="J4201" s="31" t="str">
        <f t="shared" si="456"/>
        <v/>
      </c>
      <c r="K4201" s="31" t="str">
        <f t="shared" si="457"/>
        <v/>
      </c>
      <c r="L4201" s="31" t="str">
        <f>IF(OR(B4201="",C4201=""),"",IFERROR(E4201 / SUMIFS('📅 Resumen Diario'!$D$5:$D$504, '📅 Resumen Diario'!$B$5:$B$504, B4201, '📅 Resumen Diario'!$C$5:$C$504, D4201) * SUMIFS('📅 Resumen Diario'!$K$5:$K$504, '📅 Resumen Diario'!$B$5:$B$504, B4201, '📅 Resumen Diario'!$C$5:$C$504, D4201), 0))</f>
        <v/>
      </c>
      <c r="M4201" s="31" t="str">
        <f t="shared" si="458"/>
        <v/>
      </c>
      <c r="N4201" s="31" t="str">
        <f t="shared" si="459"/>
        <v/>
      </c>
      <c r="O4201" s="31" t="str">
        <f>IF(OR(B4201="",C4201=""),"",K4201-N4201 + IFERROR(E4201 / SUMIFS('📅 Resumen Diario'!$D$5:$D$504, '📅 Resumen Diario'!$B$5:$B$504, B4201, '📅 Resumen Diario'!$C$5:$C$504, D4201) * (SUMIFS('📋 Detalle Diario'!$E$5:$E$489, '📋 Detalle Diario'!$B$5:$B$489, B4201, '📋 Detalle Diario'!$C$5:$C$489, D4201) * 135 + SUMIFS('📋 Detalle Diario'!$I$5:$I$489, '📋 Detalle Diario'!$B$5:$B$489, B4201, '📋 Detalle Diario'!$C$5:$C$489, D4201) * 200), 0))</f>
        <v/>
      </c>
      <c r="P4201" s="32" t="str">
        <f t="shared" si="460"/>
        <v/>
      </c>
      <c r="Q4201" s="33" t="str">
        <f t="shared" si="461"/>
        <v/>
      </c>
    </row>
    <row r="4202" spans="2:17" ht="18" customHeight="1" x14ac:dyDescent="0.3">
      <c r="B4202" s="26"/>
      <c r="C4202" s="17"/>
      <c r="D4202" s="27"/>
      <c r="E4202" s="18"/>
      <c r="F4202" s="18"/>
      <c r="G4202" s="18"/>
      <c r="H4202" s="30" t="str">
        <f t="shared" si="455"/>
        <v/>
      </c>
      <c r="I4202" s="31" t="str">
        <f>IF(OR(B4202="",C4202=""),"",IFERROR(E4202*IF(E4202="",0,VLOOKUP(C4202,'📦 Precios Proforma'!$B$5:$D$104,IF(D4202="DIA",2,3),FALSE)),0))</f>
        <v/>
      </c>
      <c r="J4202" s="31" t="str">
        <f t="shared" si="456"/>
        <v/>
      </c>
      <c r="K4202" s="31" t="str">
        <f t="shared" si="457"/>
        <v/>
      </c>
      <c r="L4202" s="31" t="str">
        <f>IF(OR(B4202="",C4202=""),"",IFERROR(E4202 / SUMIFS('📅 Resumen Diario'!$D$5:$D$504, '📅 Resumen Diario'!$B$5:$B$504, B4202, '📅 Resumen Diario'!$C$5:$C$504, D4202) * SUMIFS('📅 Resumen Diario'!$K$5:$K$504, '📅 Resumen Diario'!$B$5:$B$504, B4202, '📅 Resumen Diario'!$C$5:$C$504, D4202), 0))</f>
        <v/>
      </c>
      <c r="M4202" s="31" t="str">
        <f t="shared" si="458"/>
        <v/>
      </c>
      <c r="N4202" s="31" t="str">
        <f t="shared" si="459"/>
        <v/>
      </c>
      <c r="O4202" s="31" t="str">
        <f>IF(OR(B4202="",C4202=""),"",K4202-N4202 + IFERROR(E4202 / SUMIFS('📅 Resumen Diario'!$D$5:$D$504, '📅 Resumen Diario'!$B$5:$B$504, B4202, '📅 Resumen Diario'!$C$5:$C$504, D4202) * (SUMIFS('📋 Detalle Diario'!$E$5:$E$489, '📋 Detalle Diario'!$B$5:$B$489, B4202, '📋 Detalle Diario'!$C$5:$C$489, D4202) * 135 + SUMIFS('📋 Detalle Diario'!$I$5:$I$489, '📋 Detalle Diario'!$B$5:$B$489, B4202, '📋 Detalle Diario'!$C$5:$C$489, D4202) * 200), 0))</f>
        <v/>
      </c>
      <c r="P4202" s="32" t="str">
        <f t="shared" si="460"/>
        <v/>
      </c>
      <c r="Q4202" s="33" t="str">
        <f t="shared" si="461"/>
        <v/>
      </c>
    </row>
    <row r="4203" spans="2:17" ht="18" customHeight="1" x14ac:dyDescent="0.3">
      <c r="B4203" s="26"/>
      <c r="C4203" s="28"/>
      <c r="D4203" s="27"/>
      <c r="E4203" s="29"/>
      <c r="F4203" s="29"/>
      <c r="G4203" s="29"/>
      <c r="H4203" s="30" t="str">
        <f t="shared" si="455"/>
        <v/>
      </c>
      <c r="I4203" s="31" t="str">
        <f>IF(OR(B4203="",C4203=""),"",IFERROR(E4203*IF(E4203="",0,VLOOKUP(C4203,'📦 Precios Proforma'!$B$5:$D$104,IF(D4203="DIA",2,3),FALSE)),0))</f>
        <v/>
      </c>
      <c r="J4203" s="31" t="str">
        <f t="shared" si="456"/>
        <v/>
      </c>
      <c r="K4203" s="31" t="str">
        <f t="shared" si="457"/>
        <v/>
      </c>
      <c r="L4203" s="31" t="str">
        <f>IF(OR(B4203="",C4203=""),"",IFERROR(E4203 / SUMIFS('📅 Resumen Diario'!$D$5:$D$504, '📅 Resumen Diario'!$B$5:$B$504, B4203, '📅 Resumen Diario'!$C$5:$C$504, D4203) * SUMIFS('📅 Resumen Diario'!$K$5:$K$504, '📅 Resumen Diario'!$B$5:$B$504, B4203, '📅 Resumen Diario'!$C$5:$C$504, D4203), 0))</f>
        <v/>
      </c>
      <c r="M4203" s="31" t="str">
        <f t="shared" si="458"/>
        <v/>
      </c>
      <c r="N4203" s="31" t="str">
        <f t="shared" si="459"/>
        <v/>
      </c>
      <c r="O4203" s="31" t="str">
        <f>IF(OR(B4203="",C4203=""),"",K4203-N4203 + IFERROR(E4203 / SUMIFS('📅 Resumen Diario'!$D$5:$D$504, '📅 Resumen Diario'!$B$5:$B$504, B4203, '📅 Resumen Diario'!$C$5:$C$504, D4203) * (SUMIFS('📋 Detalle Diario'!$E$5:$E$489, '📋 Detalle Diario'!$B$5:$B$489, B4203, '📋 Detalle Diario'!$C$5:$C$489, D4203) * 135 + SUMIFS('📋 Detalle Diario'!$I$5:$I$489, '📋 Detalle Diario'!$B$5:$B$489, B4203, '📋 Detalle Diario'!$C$5:$C$489, D4203) * 200), 0))</f>
        <v/>
      </c>
      <c r="P4203" s="32" t="str">
        <f t="shared" si="460"/>
        <v/>
      </c>
      <c r="Q4203" s="33" t="str">
        <f t="shared" si="461"/>
        <v/>
      </c>
    </row>
    <row r="4204" spans="2:17" ht="18" customHeight="1" x14ac:dyDescent="0.3">
      <c r="B4204" s="26"/>
      <c r="C4204" s="17"/>
      <c r="D4204" s="27"/>
      <c r="E4204" s="18"/>
      <c r="F4204" s="18"/>
      <c r="G4204" s="18"/>
      <c r="H4204" s="30" t="str">
        <f t="shared" si="455"/>
        <v/>
      </c>
      <c r="I4204" s="31" t="str">
        <f>IF(OR(B4204="",C4204=""),"",IFERROR(E4204*IF(E4204="",0,VLOOKUP(C4204,'📦 Precios Proforma'!$B$5:$D$104,IF(D4204="DIA",2,3),FALSE)),0))</f>
        <v/>
      </c>
      <c r="J4204" s="31" t="str">
        <f t="shared" si="456"/>
        <v/>
      </c>
      <c r="K4204" s="31" t="str">
        <f t="shared" si="457"/>
        <v/>
      </c>
      <c r="L4204" s="31" t="str">
        <f>IF(OR(B4204="",C4204=""),"",IFERROR(E4204 / SUMIFS('📅 Resumen Diario'!$D$5:$D$504, '📅 Resumen Diario'!$B$5:$B$504, B4204, '📅 Resumen Diario'!$C$5:$C$504, D4204) * SUMIFS('📅 Resumen Diario'!$K$5:$K$504, '📅 Resumen Diario'!$B$5:$B$504, B4204, '📅 Resumen Diario'!$C$5:$C$504, D4204), 0))</f>
        <v/>
      </c>
      <c r="M4204" s="31" t="str">
        <f t="shared" si="458"/>
        <v/>
      </c>
      <c r="N4204" s="31" t="str">
        <f t="shared" si="459"/>
        <v/>
      </c>
      <c r="O4204" s="31" t="str">
        <f>IF(OR(B4204="",C4204=""),"",K4204-N4204 + IFERROR(E4204 / SUMIFS('📅 Resumen Diario'!$D$5:$D$504, '📅 Resumen Diario'!$B$5:$B$504, B4204, '📅 Resumen Diario'!$C$5:$C$504, D4204) * (SUMIFS('📋 Detalle Diario'!$E$5:$E$489, '📋 Detalle Diario'!$B$5:$B$489, B4204, '📋 Detalle Diario'!$C$5:$C$489, D4204) * 135 + SUMIFS('📋 Detalle Diario'!$I$5:$I$489, '📋 Detalle Diario'!$B$5:$B$489, B4204, '📋 Detalle Diario'!$C$5:$C$489, D4204) * 200), 0))</f>
        <v/>
      </c>
      <c r="P4204" s="32" t="str">
        <f t="shared" si="460"/>
        <v/>
      </c>
      <c r="Q4204" s="33" t="str">
        <f t="shared" si="461"/>
        <v/>
      </c>
    </row>
    <row r="4205" spans="2:17" ht="18" customHeight="1" x14ac:dyDescent="0.3">
      <c r="B4205" s="26"/>
      <c r="C4205" s="28"/>
      <c r="D4205" s="27"/>
      <c r="E4205" s="29"/>
      <c r="F4205" s="29"/>
      <c r="G4205" s="29"/>
      <c r="H4205" s="30" t="str">
        <f t="shared" si="455"/>
        <v/>
      </c>
      <c r="I4205" s="31" t="str">
        <f>IF(OR(B4205="",C4205=""),"",IFERROR(E4205*IF(E4205="",0,VLOOKUP(C4205,'📦 Precios Proforma'!$B$5:$D$104,IF(D4205="DIA",2,3),FALSE)),0))</f>
        <v/>
      </c>
      <c r="J4205" s="31" t="str">
        <f t="shared" si="456"/>
        <v/>
      </c>
      <c r="K4205" s="31" t="str">
        <f t="shared" si="457"/>
        <v/>
      </c>
      <c r="L4205" s="31" t="str">
        <f>IF(OR(B4205="",C4205=""),"",IFERROR(E4205 / SUMIFS('📅 Resumen Diario'!$D$5:$D$504, '📅 Resumen Diario'!$B$5:$B$504, B4205, '📅 Resumen Diario'!$C$5:$C$504, D4205) * SUMIFS('📅 Resumen Diario'!$K$5:$K$504, '📅 Resumen Diario'!$B$5:$B$504, B4205, '📅 Resumen Diario'!$C$5:$C$504, D4205), 0))</f>
        <v/>
      </c>
      <c r="M4205" s="31" t="str">
        <f t="shared" si="458"/>
        <v/>
      </c>
      <c r="N4205" s="31" t="str">
        <f t="shared" si="459"/>
        <v/>
      </c>
      <c r="O4205" s="31" t="str">
        <f>IF(OR(B4205="",C4205=""),"",K4205-N4205 + IFERROR(E4205 / SUMIFS('📅 Resumen Diario'!$D$5:$D$504, '📅 Resumen Diario'!$B$5:$B$504, B4205, '📅 Resumen Diario'!$C$5:$C$504, D4205) * (SUMIFS('📋 Detalle Diario'!$E$5:$E$489, '📋 Detalle Diario'!$B$5:$B$489, B4205, '📋 Detalle Diario'!$C$5:$C$489, D4205) * 135 + SUMIFS('📋 Detalle Diario'!$I$5:$I$489, '📋 Detalle Diario'!$B$5:$B$489, B4205, '📋 Detalle Diario'!$C$5:$C$489, D4205) * 200), 0))</f>
        <v/>
      </c>
      <c r="P4205" s="32" t="str">
        <f t="shared" si="460"/>
        <v/>
      </c>
      <c r="Q4205" s="33" t="str">
        <f t="shared" si="461"/>
        <v/>
      </c>
    </row>
    <row r="4206" spans="2:17" ht="18" customHeight="1" x14ac:dyDescent="0.3">
      <c r="B4206" s="26"/>
      <c r="C4206" s="17"/>
      <c r="D4206" s="27"/>
      <c r="E4206" s="18"/>
      <c r="F4206" s="18"/>
      <c r="G4206" s="18"/>
      <c r="H4206" s="30" t="str">
        <f t="shared" si="455"/>
        <v/>
      </c>
      <c r="I4206" s="31" t="str">
        <f>IF(OR(B4206="",C4206=""),"",IFERROR(E4206*IF(E4206="",0,VLOOKUP(C4206,'📦 Precios Proforma'!$B$5:$D$104,IF(D4206="DIA",2,3),FALSE)),0))</f>
        <v/>
      </c>
      <c r="J4206" s="31" t="str">
        <f t="shared" si="456"/>
        <v/>
      </c>
      <c r="K4206" s="31" t="str">
        <f t="shared" si="457"/>
        <v/>
      </c>
      <c r="L4206" s="31" t="str">
        <f>IF(OR(B4206="",C4206=""),"",IFERROR(E4206 / SUMIFS('📅 Resumen Diario'!$D$5:$D$504, '📅 Resumen Diario'!$B$5:$B$504, B4206, '📅 Resumen Diario'!$C$5:$C$504, D4206) * SUMIFS('📅 Resumen Diario'!$K$5:$K$504, '📅 Resumen Diario'!$B$5:$B$504, B4206, '📅 Resumen Diario'!$C$5:$C$504, D4206), 0))</f>
        <v/>
      </c>
      <c r="M4206" s="31" t="str">
        <f t="shared" si="458"/>
        <v/>
      </c>
      <c r="N4206" s="31" t="str">
        <f t="shared" si="459"/>
        <v/>
      </c>
      <c r="O4206" s="31" t="str">
        <f>IF(OR(B4206="",C4206=""),"",K4206-N4206 + IFERROR(E4206 / SUMIFS('📅 Resumen Diario'!$D$5:$D$504, '📅 Resumen Diario'!$B$5:$B$504, B4206, '📅 Resumen Diario'!$C$5:$C$504, D4206) * (SUMIFS('📋 Detalle Diario'!$E$5:$E$489, '📋 Detalle Diario'!$B$5:$B$489, B4206, '📋 Detalle Diario'!$C$5:$C$489, D4206) * 135 + SUMIFS('📋 Detalle Diario'!$I$5:$I$489, '📋 Detalle Diario'!$B$5:$B$489, B4206, '📋 Detalle Diario'!$C$5:$C$489, D4206) * 200), 0))</f>
        <v/>
      </c>
      <c r="P4206" s="32" t="str">
        <f t="shared" si="460"/>
        <v/>
      </c>
      <c r="Q4206" s="33" t="str">
        <f t="shared" si="461"/>
        <v/>
      </c>
    </row>
    <row r="4207" spans="2:17" ht="18" customHeight="1" x14ac:dyDescent="0.3">
      <c r="B4207" s="26"/>
      <c r="C4207" s="28"/>
      <c r="D4207" s="27"/>
      <c r="E4207" s="29"/>
      <c r="F4207" s="29"/>
      <c r="G4207" s="29"/>
      <c r="H4207" s="30" t="str">
        <f t="shared" si="455"/>
        <v/>
      </c>
      <c r="I4207" s="31" t="str">
        <f>IF(OR(B4207="",C4207=""),"",IFERROR(E4207*IF(E4207="",0,VLOOKUP(C4207,'📦 Precios Proforma'!$B$5:$D$104,IF(D4207="DIA",2,3),FALSE)),0))</f>
        <v/>
      </c>
      <c r="J4207" s="31" t="str">
        <f t="shared" si="456"/>
        <v/>
      </c>
      <c r="K4207" s="31" t="str">
        <f t="shared" si="457"/>
        <v/>
      </c>
      <c r="L4207" s="31" t="str">
        <f>IF(OR(B4207="",C4207=""),"",IFERROR(E4207 / SUMIFS('📅 Resumen Diario'!$D$5:$D$504, '📅 Resumen Diario'!$B$5:$B$504, B4207, '📅 Resumen Diario'!$C$5:$C$504, D4207) * SUMIFS('📅 Resumen Diario'!$K$5:$K$504, '📅 Resumen Diario'!$B$5:$B$504, B4207, '📅 Resumen Diario'!$C$5:$C$504, D4207), 0))</f>
        <v/>
      </c>
      <c r="M4207" s="31" t="str">
        <f t="shared" si="458"/>
        <v/>
      </c>
      <c r="N4207" s="31" t="str">
        <f t="shared" si="459"/>
        <v/>
      </c>
      <c r="O4207" s="31" t="str">
        <f>IF(OR(B4207="",C4207=""),"",K4207-N4207 + IFERROR(E4207 / SUMIFS('📅 Resumen Diario'!$D$5:$D$504, '📅 Resumen Diario'!$B$5:$B$504, B4207, '📅 Resumen Diario'!$C$5:$C$504, D4207) * (SUMIFS('📋 Detalle Diario'!$E$5:$E$489, '📋 Detalle Diario'!$B$5:$B$489, B4207, '📋 Detalle Diario'!$C$5:$C$489, D4207) * 135 + SUMIFS('📋 Detalle Diario'!$I$5:$I$489, '📋 Detalle Diario'!$B$5:$B$489, B4207, '📋 Detalle Diario'!$C$5:$C$489, D4207) * 200), 0))</f>
        <v/>
      </c>
      <c r="P4207" s="32" t="str">
        <f t="shared" si="460"/>
        <v/>
      </c>
      <c r="Q4207" s="33" t="str">
        <f t="shared" si="461"/>
        <v/>
      </c>
    </row>
    <row r="4208" spans="2:17" ht="18" customHeight="1" x14ac:dyDescent="0.3">
      <c r="B4208" s="26"/>
      <c r="C4208" s="17"/>
      <c r="D4208" s="27"/>
      <c r="E4208" s="18"/>
      <c r="F4208" s="18"/>
      <c r="G4208" s="18"/>
      <c r="H4208" s="30" t="str">
        <f t="shared" si="455"/>
        <v/>
      </c>
      <c r="I4208" s="31" t="str">
        <f>IF(OR(B4208="",C4208=""),"",IFERROR(E4208*IF(E4208="",0,VLOOKUP(C4208,'📦 Precios Proforma'!$B$5:$D$104,IF(D4208="DIA",2,3),FALSE)),0))</f>
        <v/>
      </c>
      <c r="J4208" s="31" t="str">
        <f t="shared" si="456"/>
        <v/>
      </c>
      <c r="K4208" s="31" t="str">
        <f t="shared" si="457"/>
        <v/>
      </c>
      <c r="L4208" s="31" t="str">
        <f>IF(OR(B4208="",C4208=""),"",IFERROR(E4208 / SUMIFS('📅 Resumen Diario'!$D$5:$D$504, '📅 Resumen Diario'!$B$5:$B$504, B4208, '📅 Resumen Diario'!$C$5:$C$504, D4208) * SUMIFS('📅 Resumen Diario'!$K$5:$K$504, '📅 Resumen Diario'!$B$5:$B$504, B4208, '📅 Resumen Diario'!$C$5:$C$504, D4208), 0))</f>
        <v/>
      </c>
      <c r="M4208" s="31" t="str">
        <f t="shared" si="458"/>
        <v/>
      </c>
      <c r="N4208" s="31" t="str">
        <f t="shared" si="459"/>
        <v/>
      </c>
      <c r="O4208" s="31" t="str">
        <f>IF(OR(B4208="",C4208=""),"",K4208-N4208 + IFERROR(E4208 / SUMIFS('📅 Resumen Diario'!$D$5:$D$504, '📅 Resumen Diario'!$B$5:$B$504, B4208, '📅 Resumen Diario'!$C$5:$C$504, D4208) * (SUMIFS('📋 Detalle Diario'!$E$5:$E$489, '📋 Detalle Diario'!$B$5:$B$489, B4208, '📋 Detalle Diario'!$C$5:$C$489, D4208) * 135 + SUMIFS('📋 Detalle Diario'!$I$5:$I$489, '📋 Detalle Diario'!$B$5:$B$489, B4208, '📋 Detalle Diario'!$C$5:$C$489, D4208) * 200), 0))</f>
        <v/>
      </c>
      <c r="P4208" s="32" t="str">
        <f t="shared" si="460"/>
        <v/>
      </c>
      <c r="Q4208" s="33" t="str">
        <f t="shared" si="461"/>
        <v/>
      </c>
    </row>
    <row r="4209" spans="2:17" ht="18" customHeight="1" x14ac:dyDescent="0.3">
      <c r="B4209" s="26"/>
      <c r="C4209" s="28"/>
      <c r="D4209" s="27"/>
      <c r="E4209" s="29"/>
      <c r="F4209" s="29"/>
      <c r="G4209" s="29"/>
      <c r="H4209" s="30" t="str">
        <f t="shared" si="455"/>
        <v/>
      </c>
      <c r="I4209" s="31" t="str">
        <f>IF(OR(B4209="",C4209=""),"",IFERROR(E4209*IF(E4209="",0,VLOOKUP(C4209,'📦 Precios Proforma'!$B$5:$D$104,IF(D4209="DIA",2,3),FALSE)),0))</f>
        <v/>
      </c>
      <c r="J4209" s="31" t="str">
        <f t="shared" si="456"/>
        <v/>
      </c>
      <c r="K4209" s="31" t="str">
        <f t="shared" si="457"/>
        <v/>
      </c>
      <c r="L4209" s="31" t="str">
        <f>IF(OR(B4209="",C4209=""),"",IFERROR(E4209 / SUMIFS('📅 Resumen Diario'!$D$5:$D$504, '📅 Resumen Diario'!$B$5:$B$504, B4209, '📅 Resumen Diario'!$C$5:$C$504, D4209) * SUMIFS('📅 Resumen Diario'!$K$5:$K$504, '📅 Resumen Diario'!$B$5:$B$504, B4209, '📅 Resumen Diario'!$C$5:$C$504, D4209), 0))</f>
        <v/>
      </c>
      <c r="M4209" s="31" t="str">
        <f t="shared" si="458"/>
        <v/>
      </c>
      <c r="N4209" s="31" t="str">
        <f t="shared" si="459"/>
        <v/>
      </c>
      <c r="O4209" s="31" t="str">
        <f>IF(OR(B4209="",C4209=""),"",K4209-N4209 + IFERROR(E4209 / SUMIFS('📅 Resumen Diario'!$D$5:$D$504, '📅 Resumen Diario'!$B$5:$B$504, B4209, '📅 Resumen Diario'!$C$5:$C$504, D4209) * (SUMIFS('📋 Detalle Diario'!$E$5:$E$489, '📋 Detalle Diario'!$B$5:$B$489, B4209, '📋 Detalle Diario'!$C$5:$C$489, D4209) * 135 + SUMIFS('📋 Detalle Diario'!$I$5:$I$489, '📋 Detalle Diario'!$B$5:$B$489, B4209, '📋 Detalle Diario'!$C$5:$C$489, D4209) * 200), 0))</f>
        <v/>
      </c>
      <c r="P4209" s="32" t="str">
        <f t="shared" si="460"/>
        <v/>
      </c>
      <c r="Q4209" s="33" t="str">
        <f t="shared" si="461"/>
        <v/>
      </c>
    </row>
    <row r="4210" spans="2:17" ht="18" customHeight="1" x14ac:dyDescent="0.3">
      <c r="B4210" s="26"/>
      <c r="C4210" s="17"/>
      <c r="D4210" s="27"/>
      <c r="E4210" s="18"/>
      <c r="F4210" s="18"/>
      <c r="G4210" s="18"/>
      <c r="H4210" s="30" t="str">
        <f t="shared" si="455"/>
        <v/>
      </c>
      <c r="I4210" s="31" t="str">
        <f>IF(OR(B4210="",C4210=""),"",IFERROR(E4210*IF(E4210="",0,VLOOKUP(C4210,'📦 Precios Proforma'!$B$5:$D$104,IF(D4210="DIA",2,3),FALSE)),0))</f>
        <v/>
      </c>
      <c r="J4210" s="31" t="str">
        <f t="shared" si="456"/>
        <v/>
      </c>
      <c r="K4210" s="31" t="str">
        <f t="shared" si="457"/>
        <v/>
      </c>
      <c r="L4210" s="31" t="str">
        <f>IF(OR(B4210="",C4210=""),"",IFERROR(E4210 / SUMIFS('📅 Resumen Diario'!$D$5:$D$504, '📅 Resumen Diario'!$B$5:$B$504, B4210, '📅 Resumen Diario'!$C$5:$C$504, D4210) * SUMIFS('📅 Resumen Diario'!$K$5:$K$504, '📅 Resumen Diario'!$B$5:$B$504, B4210, '📅 Resumen Diario'!$C$5:$C$504, D4210), 0))</f>
        <v/>
      </c>
      <c r="M4210" s="31" t="str">
        <f t="shared" si="458"/>
        <v/>
      </c>
      <c r="N4210" s="31" t="str">
        <f t="shared" si="459"/>
        <v/>
      </c>
      <c r="O4210" s="31" t="str">
        <f>IF(OR(B4210="",C4210=""),"",K4210-N4210 + IFERROR(E4210 / SUMIFS('📅 Resumen Diario'!$D$5:$D$504, '📅 Resumen Diario'!$B$5:$B$504, B4210, '📅 Resumen Diario'!$C$5:$C$504, D4210) * (SUMIFS('📋 Detalle Diario'!$E$5:$E$489, '📋 Detalle Diario'!$B$5:$B$489, B4210, '📋 Detalle Diario'!$C$5:$C$489, D4210) * 135 + SUMIFS('📋 Detalle Diario'!$I$5:$I$489, '📋 Detalle Diario'!$B$5:$B$489, B4210, '📋 Detalle Diario'!$C$5:$C$489, D4210) * 200), 0))</f>
        <v/>
      </c>
      <c r="P4210" s="32" t="str">
        <f t="shared" si="460"/>
        <v/>
      </c>
      <c r="Q4210" s="33" t="str">
        <f t="shared" si="461"/>
        <v/>
      </c>
    </row>
    <row r="4211" spans="2:17" ht="18" customHeight="1" x14ac:dyDescent="0.3">
      <c r="B4211" s="26"/>
      <c r="C4211" s="28"/>
      <c r="D4211" s="27"/>
      <c r="E4211" s="29"/>
      <c r="F4211" s="29"/>
      <c r="G4211" s="29"/>
      <c r="H4211" s="30" t="str">
        <f t="shared" si="455"/>
        <v/>
      </c>
      <c r="I4211" s="31" t="str">
        <f>IF(OR(B4211="",C4211=""),"",IFERROR(E4211*IF(E4211="",0,VLOOKUP(C4211,'📦 Precios Proforma'!$B$5:$D$104,IF(D4211="DIA",2,3),FALSE)),0))</f>
        <v/>
      </c>
      <c r="J4211" s="31" t="str">
        <f t="shared" si="456"/>
        <v/>
      </c>
      <c r="K4211" s="31" t="str">
        <f t="shared" si="457"/>
        <v/>
      </c>
      <c r="L4211" s="31" t="str">
        <f>IF(OR(B4211="",C4211=""),"",IFERROR(E4211 / SUMIFS('📅 Resumen Diario'!$D$5:$D$504, '📅 Resumen Diario'!$B$5:$B$504, B4211, '📅 Resumen Diario'!$C$5:$C$504, D4211) * SUMIFS('📅 Resumen Diario'!$K$5:$K$504, '📅 Resumen Diario'!$B$5:$B$504, B4211, '📅 Resumen Diario'!$C$5:$C$504, D4211), 0))</f>
        <v/>
      </c>
      <c r="M4211" s="31" t="str">
        <f t="shared" si="458"/>
        <v/>
      </c>
      <c r="N4211" s="31" t="str">
        <f t="shared" si="459"/>
        <v/>
      </c>
      <c r="O4211" s="31" t="str">
        <f>IF(OR(B4211="",C4211=""),"",K4211-N4211 + IFERROR(E4211 / SUMIFS('📅 Resumen Diario'!$D$5:$D$504, '📅 Resumen Diario'!$B$5:$B$504, B4211, '📅 Resumen Diario'!$C$5:$C$504, D4211) * (SUMIFS('📋 Detalle Diario'!$E$5:$E$489, '📋 Detalle Diario'!$B$5:$B$489, B4211, '📋 Detalle Diario'!$C$5:$C$489, D4211) * 135 + SUMIFS('📋 Detalle Diario'!$I$5:$I$489, '📋 Detalle Diario'!$B$5:$B$489, B4211, '📋 Detalle Diario'!$C$5:$C$489, D4211) * 200), 0))</f>
        <v/>
      </c>
      <c r="P4211" s="32" t="str">
        <f t="shared" si="460"/>
        <v/>
      </c>
      <c r="Q4211" s="33" t="str">
        <f t="shared" si="461"/>
        <v/>
      </c>
    </row>
    <row r="4212" spans="2:17" ht="18" customHeight="1" x14ac:dyDescent="0.3">
      <c r="B4212" s="26"/>
      <c r="C4212" s="17"/>
      <c r="D4212" s="27"/>
      <c r="E4212" s="18"/>
      <c r="F4212" s="18"/>
      <c r="G4212" s="18"/>
      <c r="H4212" s="30" t="str">
        <f t="shared" si="455"/>
        <v/>
      </c>
      <c r="I4212" s="31" t="str">
        <f>IF(OR(B4212="",C4212=""),"",IFERROR(E4212*IF(E4212="",0,VLOOKUP(C4212,'📦 Precios Proforma'!$B$5:$D$104,IF(D4212="DIA",2,3),FALSE)),0))</f>
        <v/>
      </c>
      <c r="J4212" s="31" t="str">
        <f t="shared" si="456"/>
        <v/>
      </c>
      <c r="K4212" s="31" t="str">
        <f t="shared" si="457"/>
        <v/>
      </c>
      <c r="L4212" s="31" t="str">
        <f>IF(OR(B4212="",C4212=""),"",IFERROR(E4212 / SUMIFS('📅 Resumen Diario'!$D$5:$D$504, '📅 Resumen Diario'!$B$5:$B$504, B4212, '📅 Resumen Diario'!$C$5:$C$504, D4212) * SUMIFS('📅 Resumen Diario'!$K$5:$K$504, '📅 Resumen Diario'!$B$5:$B$504, B4212, '📅 Resumen Diario'!$C$5:$C$504, D4212), 0))</f>
        <v/>
      </c>
      <c r="M4212" s="31" t="str">
        <f t="shared" si="458"/>
        <v/>
      </c>
      <c r="N4212" s="31" t="str">
        <f t="shared" si="459"/>
        <v/>
      </c>
      <c r="O4212" s="31" t="str">
        <f>IF(OR(B4212="",C4212=""),"",K4212-N4212 + IFERROR(E4212 / SUMIFS('📅 Resumen Diario'!$D$5:$D$504, '📅 Resumen Diario'!$B$5:$B$504, B4212, '📅 Resumen Diario'!$C$5:$C$504, D4212) * (SUMIFS('📋 Detalle Diario'!$E$5:$E$489, '📋 Detalle Diario'!$B$5:$B$489, B4212, '📋 Detalle Diario'!$C$5:$C$489, D4212) * 135 + SUMIFS('📋 Detalle Diario'!$I$5:$I$489, '📋 Detalle Diario'!$B$5:$B$489, B4212, '📋 Detalle Diario'!$C$5:$C$489, D4212) * 200), 0))</f>
        <v/>
      </c>
      <c r="P4212" s="32" t="str">
        <f t="shared" si="460"/>
        <v/>
      </c>
      <c r="Q4212" s="33" t="str">
        <f t="shared" si="461"/>
        <v/>
      </c>
    </row>
    <row r="4213" spans="2:17" ht="18" customHeight="1" x14ac:dyDescent="0.3">
      <c r="B4213" s="26"/>
      <c r="C4213" s="28"/>
      <c r="D4213" s="27"/>
      <c r="E4213" s="29"/>
      <c r="F4213" s="29"/>
      <c r="G4213" s="29"/>
      <c r="H4213" s="30" t="str">
        <f t="shared" si="455"/>
        <v/>
      </c>
      <c r="I4213" s="31" t="str">
        <f>IF(OR(B4213="",C4213=""),"",IFERROR(E4213*IF(E4213="",0,VLOOKUP(C4213,'📦 Precios Proforma'!$B$5:$D$104,IF(D4213="DIA",2,3),FALSE)),0))</f>
        <v/>
      </c>
      <c r="J4213" s="31" t="str">
        <f t="shared" si="456"/>
        <v/>
      </c>
      <c r="K4213" s="31" t="str">
        <f t="shared" si="457"/>
        <v/>
      </c>
      <c r="L4213" s="31" t="str">
        <f>IF(OR(B4213="",C4213=""),"",IFERROR(E4213 / SUMIFS('📅 Resumen Diario'!$D$5:$D$504, '📅 Resumen Diario'!$B$5:$B$504, B4213, '📅 Resumen Diario'!$C$5:$C$504, D4213) * SUMIFS('📅 Resumen Diario'!$K$5:$K$504, '📅 Resumen Diario'!$B$5:$B$504, B4213, '📅 Resumen Diario'!$C$5:$C$504, D4213), 0))</f>
        <v/>
      </c>
      <c r="M4213" s="31" t="str">
        <f t="shared" si="458"/>
        <v/>
      </c>
      <c r="N4213" s="31" t="str">
        <f t="shared" si="459"/>
        <v/>
      </c>
      <c r="O4213" s="31" t="str">
        <f>IF(OR(B4213="",C4213=""),"",K4213-N4213 + IFERROR(E4213 / SUMIFS('📅 Resumen Diario'!$D$5:$D$504, '📅 Resumen Diario'!$B$5:$B$504, B4213, '📅 Resumen Diario'!$C$5:$C$504, D4213) * (SUMIFS('📋 Detalle Diario'!$E$5:$E$489, '📋 Detalle Diario'!$B$5:$B$489, B4213, '📋 Detalle Diario'!$C$5:$C$489, D4213) * 135 + SUMIFS('📋 Detalle Diario'!$I$5:$I$489, '📋 Detalle Diario'!$B$5:$B$489, B4213, '📋 Detalle Diario'!$C$5:$C$489, D4213) * 200), 0))</f>
        <v/>
      </c>
      <c r="P4213" s="32" t="str">
        <f t="shared" si="460"/>
        <v/>
      </c>
      <c r="Q4213" s="33" t="str">
        <f t="shared" si="461"/>
        <v/>
      </c>
    </row>
    <row r="4214" spans="2:17" ht="18" customHeight="1" x14ac:dyDescent="0.3">
      <c r="B4214" s="26"/>
      <c r="C4214" s="17"/>
      <c r="D4214" s="27"/>
      <c r="E4214" s="18"/>
      <c r="F4214" s="18"/>
      <c r="G4214" s="18"/>
      <c r="H4214" s="30" t="str">
        <f t="shared" si="455"/>
        <v/>
      </c>
      <c r="I4214" s="31" t="str">
        <f>IF(OR(B4214="",C4214=""),"",IFERROR(E4214*IF(E4214="",0,VLOOKUP(C4214,'📦 Precios Proforma'!$B$5:$D$104,IF(D4214="DIA",2,3),FALSE)),0))</f>
        <v/>
      </c>
      <c r="J4214" s="31" t="str">
        <f t="shared" si="456"/>
        <v/>
      </c>
      <c r="K4214" s="31" t="str">
        <f t="shared" si="457"/>
        <v/>
      </c>
      <c r="L4214" s="31" t="str">
        <f>IF(OR(B4214="",C4214=""),"",IFERROR(E4214 / SUMIFS('📅 Resumen Diario'!$D$5:$D$504, '📅 Resumen Diario'!$B$5:$B$504, B4214, '📅 Resumen Diario'!$C$5:$C$504, D4214) * SUMIFS('📅 Resumen Diario'!$K$5:$K$504, '📅 Resumen Diario'!$B$5:$B$504, B4214, '📅 Resumen Diario'!$C$5:$C$504, D4214), 0))</f>
        <v/>
      </c>
      <c r="M4214" s="31" t="str">
        <f t="shared" si="458"/>
        <v/>
      </c>
      <c r="N4214" s="31" t="str">
        <f t="shared" si="459"/>
        <v/>
      </c>
      <c r="O4214" s="31" t="str">
        <f>IF(OR(B4214="",C4214=""),"",K4214-N4214 + IFERROR(E4214 / SUMIFS('📅 Resumen Diario'!$D$5:$D$504, '📅 Resumen Diario'!$B$5:$B$504, B4214, '📅 Resumen Diario'!$C$5:$C$504, D4214) * (SUMIFS('📋 Detalle Diario'!$E$5:$E$489, '📋 Detalle Diario'!$B$5:$B$489, B4214, '📋 Detalle Diario'!$C$5:$C$489, D4214) * 135 + SUMIFS('📋 Detalle Diario'!$I$5:$I$489, '📋 Detalle Diario'!$B$5:$B$489, B4214, '📋 Detalle Diario'!$C$5:$C$489, D4214) * 200), 0))</f>
        <v/>
      </c>
      <c r="P4214" s="32" t="str">
        <f t="shared" si="460"/>
        <v/>
      </c>
      <c r="Q4214" s="33" t="str">
        <f t="shared" si="461"/>
        <v/>
      </c>
    </row>
    <row r="4215" spans="2:17" ht="18" customHeight="1" x14ac:dyDescent="0.3">
      <c r="B4215" s="26"/>
      <c r="C4215" s="28"/>
      <c r="D4215" s="27"/>
      <c r="E4215" s="29"/>
      <c r="F4215" s="29"/>
      <c r="G4215" s="29"/>
      <c r="H4215" s="30" t="str">
        <f t="shared" si="455"/>
        <v/>
      </c>
      <c r="I4215" s="31" t="str">
        <f>IF(OR(B4215="",C4215=""),"",IFERROR(E4215*IF(E4215="",0,VLOOKUP(C4215,'📦 Precios Proforma'!$B$5:$D$104,IF(D4215="DIA",2,3),FALSE)),0))</f>
        <v/>
      </c>
      <c r="J4215" s="31" t="str">
        <f t="shared" si="456"/>
        <v/>
      </c>
      <c r="K4215" s="31" t="str">
        <f t="shared" si="457"/>
        <v/>
      </c>
      <c r="L4215" s="31" t="str">
        <f>IF(OR(B4215="",C4215=""),"",IFERROR(E4215 / SUMIFS('📅 Resumen Diario'!$D$5:$D$504, '📅 Resumen Diario'!$B$5:$B$504, B4215, '📅 Resumen Diario'!$C$5:$C$504, D4215) * SUMIFS('📅 Resumen Diario'!$K$5:$K$504, '📅 Resumen Diario'!$B$5:$B$504, B4215, '📅 Resumen Diario'!$C$5:$C$504, D4215), 0))</f>
        <v/>
      </c>
      <c r="M4215" s="31" t="str">
        <f t="shared" si="458"/>
        <v/>
      </c>
      <c r="N4215" s="31" t="str">
        <f t="shared" si="459"/>
        <v/>
      </c>
      <c r="O4215" s="31" t="str">
        <f>IF(OR(B4215="",C4215=""),"",K4215-N4215 + IFERROR(E4215 / SUMIFS('📅 Resumen Diario'!$D$5:$D$504, '📅 Resumen Diario'!$B$5:$B$504, B4215, '📅 Resumen Diario'!$C$5:$C$504, D4215) * (SUMIFS('📋 Detalle Diario'!$E$5:$E$489, '📋 Detalle Diario'!$B$5:$B$489, B4215, '📋 Detalle Diario'!$C$5:$C$489, D4215) * 135 + SUMIFS('📋 Detalle Diario'!$I$5:$I$489, '📋 Detalle Diario'!$B$5:$B$489, B4215, '📋 Detalle Diario'!$C$5:$C$489, D4215) * 200), 0))</f>
        <v/>
      </c>
      <c r="P4215" s="32" t="str">
        <f t="shared" si="460"/>
        <v/>
      </c>
      <c r="Q4215" s="33" t="str">
        <f t="shared" si="461"/>
        <v/>
      </c>
    </row>
    <row r="4216" spans="2:17" ht="18" customHeight="1" x14ac:dyDescent="0.3">
      <c r="B4216" s="26"/>
      <c r="C4216" s="17"/>
      <c r="D4216" s="27"/>
      <c r="E4216" s="18"/>
      <c r="F4216" s="18"/>
      <c r="G4216" s="18"/>
      <c r="H4216" s="30" t="str">
        <f t="shared" si="455"/>
        <v/>
      </c>
      <c r="I4216" s="31" t="str">
        <f>IF(OR(B4216="",C4216=""),"",IFERROR(E4216*IF(E4216="",0,VLOOKUP(C4216,'📦 Precios Proforma'!$B$5:$D$104,IF(D4216="DIA",2,3),FALSE)),0))</f>
        <v/>
      </c>
      <c r="J4216" s="31" t="str">
        <f t="shared" si="456"/>
        <v/>
      </c>
      <c r="K4216" s="31" t="str">
        <f t="shared" si="457"/>
        <v/>
      </c>
      <c r="L4216" s="31" t="str">
        <f>IF(OR(B4216="",C4216=""),"",IFERROR(E4216 / SUMIFS('📅 Resumen Diario'!$D$5:$D$504, '📅 Resumen Diario'!$B$5:$B$504, B4216, '📅 Resumen Diario'!$C$5:$C$504, D4216) * SUMIFS('📅 Resumen Diario'!$K$5:$K$504, '📅 Resumen Diario'!$B$5:$B$504, B4216, '📅 Resumen Diario'!$C$5:$C$504, D4216), 0))</f>
        <v/>
      </c>
      <c r="M4216" s="31" t="str">
        <f t="shared" si="458"/>
        <v/>
      </c>
      <c r="N4216" s="31" t="str">
        <f t="shared" si="459"/>
        <v/>
      </c>
      <c r="O4216" s="31" t="str">
        <f>IF(OR(B4216="",C4216=""),"",K4216-N4216 + IFERROR(E4216 / SUMIFS('📅 Resumen Diario'!$D$5:$D$504, '📅 Resumen Diario'!$B$5:$B$504, B4216, '📅 Resumen Diario'!$C$5:$C$504, D4216) * (SUMIFS('📋 Detalle Diario'!$E$5:$E$489, '📋 Detalle Diario'!$B$5:$B$489, B4216, '📋 Detalle Diario'!$C$5:$C$489, D4216) * 135 + SUMIFS('📋 Detalle Diario'!$I$5:$I$489, '📋 Detalle Diario'!$B$5:$B$489, B4216, '📋 Detalle Diario'!$C$5:$C$489, D4216) * 200), 0))</f>
        <v/>
      </c>
      <c r="P4216" s="32" t="str">
        <f t="shared" si="460"/>
        <v/>
      </c>
      <c r="Q4216" s="33" t="str">
        <f t="shared" si="461"/>
        <v/>
      </c>
    </row>
    <row r="4217" spans="2:17" ht="18" customHeight="1" x14ac:dyDescent="0.3">
      <c r="B4217" s="26"/>
      <c r="C4217" s="28"/>
      <c r="D4217" s="27"/>
      <c r="E4217" s="29"/>
      <c r="F4217" s="29"/>
      <c r="G4217" s="29"/>
      <c r="H4217" s="30" t="str">
        <f t="shared" si="455"/>
        <v/>
      </c>
      <c r="I4217" s="31" t="str">
        <f>IF(OR(B4217="",C4217=""),"",IFERROR(E4217*IF(E4217="",0,VLOOKUP(C4217,'📦 Precios Proforma'!$B$5:$D$104,IF(D4217="DIA",2,3),FALSE)),0))</f>
        <v/>
      </c>
      <c r="J4217" s="31" t="str">
        <f t="shared" si="456"/>
        <v/>
      </c>
      <c r="K4217" s="31" t="str">
        <f t="shared" si="457"/>
        <v/>
      </c>
      <c r="L4217" s="31" t="str">
        <f>IF(OR(B4217="",C4217=""),"",IFERROR(E4217 / SUMIFS('📅 Resumen Diario'!$D$5:$D$504, '📅 Resumen Diario'!$B$5:$B$504, B4217, '📅 Resumen Diario'!$C$5:$C$504, D4217) * SUMIFS('📅 Resumen Diario'!$K$5:$K$504, '📅 Resumen Diario'!$B$5:$B$504, B4217, '📅 Resumen Diario'!$C$5:$C$504, D4217), 0))</f>
        <v/>
      </c>
      <c r="M4217" s="31" t="str">
        <f t="shared" si="458"/>
        <v/>
      </c>
      <c r="N4217" s="31" t="str">
        <f t="shared" si="459"/>
        <v/>
      </c>
      <c r="O4217" s="31" t="str">
        <f>IF(OR(B4217="",C4217=""),"",K4217-N4217 + IFERROR(E4217 / SUMIFS('📅 Resumen Diario'!$D$5:$D$504, '📅 Resumen Diario'!$B$5:$B$504, B4217, '📅 Resumen Diario'!$C$5:$C$504, D4217) * (SUMIFS('📋 Detalle Diario'!$E$5:$E$489, '📋 Detalle Diario'!$B$5:$B$489, B4217, '📋 Detalle Diario'!$C$5:$C$489, D4217) * 135 + SUMIFS('📋 Detalle Diario'!$I$5:$I$489, '📋 Detalle Diario'!$B$5:$B$489, B4217, '📋 Detalle Diario'!$C$5:$C$489, D4217) * 200), 0))</f>
        <v/>
      </c>
      <c r="P4217" s="32" t="str">
        <f t="shared" si="460"/>
        <v/>
      </c>
      <c r="Q4217" s="33" t="str">
        <f t="shared" si="461"/>
        <v/>
      </c>
    </row>
    <row r="4218" spans="2:17" ht="18" customHeight="1" x14ac:dyDescent="0.3">
      <c r="B4218" s="26"/>
      <c r="C4218" s="17"/>
      <c r="D4218" s="27"/>
      <c r="E4218" s="18"/>
      <c r="F4218" s="18"/>
      <c r="G4218" s="18"/>
      <c r="H4218" s="30" t="str">
        <f t="shared" si="455"/>
        <v/>
      </c>
      <c r="I4218" s="31" t="str">
        <f>IF(OR(B4218="",C4218=""),"",IFERROR(E4218*IF(E4218="",0,VLOOKUP(C4218,'📦 Precios Proforma'!$B$5:$D$104,IF(D4218="DIA",2,3),FALSE)),0))</f>
        <v/>
      </c>
      <c r="J4218" s="31" t="str">
        <f t="shared" si="456"/>
        <v/>
      </c>
      <c r="K4218" s="31" t="str">
        <f t="shared" si="457"/>
        <v/>
      </c>
      <c r="L4218" s="31" t="str">
        <f>IF(OR(B4218="",C4218=""),"",IFERROR(E4218 / SUMIFS('📅 Resumen Diario'!$D$5:$D$504, '📅 Resumen Diario'!$B$5:$B$504, B4218, '📅 Resumen Diario'!$C$5:$C$504, D4218) * SUMIFS('📅 Resumen Diario'!$K$5:$K$504, '📅 Resumen Diario'!$B$5:$B$504, B4218, '📅 Resumen Diario'!$C$5:$C$504, D4218), 0))</f>
        <v/>
      </c>
      <c r="M4218" s="31" t="str">
        <f t="shared" si="458"/>
        <v/>
      </c>
      <c r="N4218" s="31" t="str">
        <f t="shared" si="459"/>
        <v/>
      </c>
      <c r="O4218" s="31" t="str">
        <f>IF(OR(B4218="",C4218=""),"",K4218-N4218 + IFERROR(E4218 / SUMIFS('📅 Resumen Diario'!$D$5:$D$504, '📅 Resumen Diario'!$B$5:$B$504, B4218, '📅 Resumen Diario'!$C$5:$C$504, D4218) * (SUMIFS('📋 Detalle Diario'!$E$5:$E$489, '📋 Detalle Diario'!$B$5:$B$489, B4218, '📋 Detalle Diario'!$C$5:$C$489, D4218) * 135 + SUMIFS('📋 Detalle Diario'!$I$5:$I$489, '📋 Detalle Diario'!$B$5:$B$489, B4218, '📋 Detalle Diario'!$C$5:$C$489, D4218) * 200), 0))</f>
        <v/>
      </c>
      <c r="P4218" s="32" t="str">
        <f t="shared" si="460"/>
        <v/>
      </c>
      <c r="Q4218" s="33" t="str">
        <f t="shared" si="461"/>
        <v/>
      </c>
    </row>
    <row r="4219" spans="2:17" ht="18" customHeight="1" x14ac:dyDescent="0.3">
      <c r="B4219" s="26"/>
      <c r="C4219" s="28"/>
      <c r="D4219" s="27"/>
      <c r="E4219" s="29"/>
      <c r="F4219" s="29"/>
      <c r="G4219" s="29"/>
      <c r="H4219" s="30" t="str">
        <f t="shared" si="455"/>
        <v/>
      </c>
      <c r="I4219" s="31" t="str">
        <f>IF(OR(B4219="",C4219=""),"",IFERROR(E4219*IF(E4219="",0,VLOOKUP(C4219,'📦 Precios Proforma'!$B$5:$D$104,IF(D4219="DIA",2,3),FALSE)),0))</f>
        <v/>
      </c>
      <c r="J4219" s="31" t="str">
        <f t="shared" si="456"/>
        <v/>
      </c>
      <c r="K4219" s="31" t="str">
        <f t="shared" si="457"/>
        <v/>
      </c>
      <c r="L4219" s="31" t="str">
        <f>IF(OR(B4219="",C4219=""),"",IFERROR(E4219 / SUMIFS('📅 Resumen Diario'!$D$5:$D$504, '📅 Resumen Diario'!$B$5:$B$504, B4219, '📅 Resumen Diario'!$C$5:$C$504, D4219) * SUMIFS('📅 Resumen Diario'!$K$5:$K$504, '📅 Resumen Diario'!$B$5:$B$504, B4219, '📅 Resumen Diario'!$C$5:$C$504, D4219), 0))</f>
        <v/>
      </c>
      <c r="M4219" s="31" t="str">
        <f t="shared" si="458"/>
        <v/>
      </c>
      <c r="N4219" s="31" t="str">
        <f t="shared" si="459"/>
        <v/>
      </c>
      <c r="O4219" s="31" t="str">
        <f>IF(OR(B4219="",C4219=""),"",K4219-N4219 + IFERROR(E4219 / SUMIFS('📅 Resumen Diario'!$D$5:$D$504, '📅 Resumen Diario'!$B$5:$B$504, B4219, '📅 Resumen Diario'!$C$5:$C$504, D4219) * (SUMIFS('📋 Detalle Diario'!$E$5:$E$489, '📋 Detalle Diario'!$B$5:$B$489, B4219, '📋 Detalle Diario'!$C$5:$C$489, D4219) * 135 + SUMIFS('📋 Detalle Diario'!$I$5:$I$489, '📋 Detalle Diario'!$B$5:$B$489, B4219, '📋 Detalle Diario'!$C$5:$C$489, D4219) * 200), 0))</f>
        <v/>
      </c>
      <c r="P4219" s="32" t="str">
        <f t="shared" si="460"/>
        <v/>
      </c>
      <c r="Q4219" s="33" t="str">
        <f t="shared" si="461"/>
        <v/>
      </c>
    </row>
    <row r="4220" spans="2:17" ht="18" customHeight="1" x14ac:dyDescent="0.3">
      <c r="B4220" s="26"/>
      <c r="C4220" s="17"/>
      <c r="D4220" s="27"/>
      <c r="E4220" s="18"/>
      <c r="F4220" s="18"/>
      <c r="G4220" s="18"/>
      <c r="H4220" s="30" t="str">
        <f t="shared" si="455"/>
        <v/>
      </c>
      <c r="I4220" s="31" t="str">
        <f>IF(OR(B4220="",C4220=""),"",IFERROR(E4220*IF(E4220="",0,VLOOKUP(C4220,'📦 Precios Proforma'!$B$5:$D$104,IF(D4220="DIA",2,3),FALSE)),0))</f>
        <v/>
      </c>
      <c r="J4220" s="31" t="str">
        <f t="shared" si="456"/>
        <v/>
      </c>
      <c r="K4220" s="31" t="str">
        <f t="shared" si="457"/>
        <v/>
      </c>
      <c r="L4220" s="31" t="str">
        <f>IF(OR(B4220="",C4220=""),"",IFERROR(E4220 / SUMIFS('📅 Resumen Diario'!$D$5:$D$504, '📅 Resumen Diario'!$B$5:$B$504, B4220, '📅 Resumen Diario'!$C$5:$C$504, D4220) * SUMIFS('📅 Resumen Diario'!$K$5:$K$504, '📅 Resumen Diario'!$B$5:$B$504, B4220, '📅 Resumen Diario'!$C$5:$C$504, D4220), 0))</f>
        <v/>
      </c>
      <c r="M4220" s="31" t="str">
        <f t="shared" si="458"/>
        <v/>
      </c>
      <c r="N4220" s="31" t="str">
        <f t="shared" si="459"/>
        <v/>
      </c>
      <c r="O4220" s="31" t="str">
        <f>IF(OR(B4220="",C4220=""),"",K4220-N4220 + IFERROR(E4220 / SUMIFS('📅 Resumen Diario'!$D$5:$D$504, '📅 Resumen Diario'!$B$5:$B$504, B4220, '📅 Resumen Diario'!$C$5:$C$504, D4220) * (SUMIFS('📋 Detalle Diario'!$E$5:$E$489, '📋 Detalle Diario'!$B$5:$B$489, B4220, '📋 Detalle Diario'!$C$5:$C$489, D4220) * 135 + SUMIFS('📋 Detalle Diario'!$I$5:$I$489, '📋 Detalle Diario'!$B$5:$B$489, B4220, '📋 Detalle Diario'!$C$5:$C$489, D4220) * 200), 0))</f>
        <v/>
      </c>
      <c r="P4220" s="32" t="str">
        <f t="shared" si="460"/>
        <v/>
      </c>
      <c r="Q4220" s="33" t="str">
        <f t="shared" si="461"/>
        <v/>
      </c>
    </row>
    <row r="4221" spans="2:17" ht="18" customHeight="1" x14ac:dyDescent="0.3">
      <c r="B4221" s="26"/>
      <c r="C4221" s="28"/>
      <c r="D4221" s="27"/>
      <c r="E4221" s="29"/>
      <c r="F4221" s="29"/>
      <c r="G4221" s="29"/>
      <c r="H4221" s="30" t="str">
        <f t="shared" si="455"/>
        <v/>
      </c>
      <c r="I4221" s="31" t="str">
        <f>IF(OR(B4221="",C4221=""),"",IFERROR(E4221*IF(E4221="",0,VLOOKUP(C4221,'📦 Precios Proforma'!$B$5:$D$104,IF(D4221="DIA",2,3),FALSE)),0))</f>
        <v/>
      </c>
      <c r="J4221" s="31" t="str">
        <f t="shared" si="456"/>
        <v/>
      </c>
      <c r="K4221" s="31" t="str">
        <f t="shared" si="457"/>
        <v/>
      </c>
      <c r="L4221" s="31" t="str">
        <f>IF(OR(B4221="",C4221=""),"",IFERROR(E4221 / SUMIFS('📅 Resumen Diario'!$D$5:$D$504, '📅 Resumen Diario'!$B$5:$B$504, B4221, '📅 Resumen Diario'!$C$5:$C$504, D4221) * SUMIFS('📅 Resumen Diario'!$K$5:$K$504, '📅 Resumen Diario'!$B$5:$B$504, B4221, '📅 Resumen Diario'!$C$5:$C$504, D4221), 0))</f>
        <v/>
      </c>
      <c r="M4221" s="31" t="str">
        <f t="shared" si="458"/>
        <v/>
      </c>
      <c r="N4221" s="31" t="str">
        <f t="shared" si="459"/>
        <v/>
      </c>
      <c r="O4221" s="31" t="str">
        <f>IF(OR(B4221="",C4221=""),"",K4221-N4221 + IFERROR(E4221 / SUMIFS('📅 Resumen Diario'!$D$5:$D$504, '📅 Resumen Diario'!$B$5:$B$504, B4221, '📅 Resumen Diario'!$C$5:$C$504, D4221) * (SUMIFS('📋 Detalle Diario'!$E$5:$E$489, '📋 Detalle Diario'!$B$5:$B$489, B4221, '📋 Detalle Diario'!$C$5:$C$489, D4221) * 135 + SUMIFS('📋 Detalle Diario'!$I$5:$I$489, '📋 Detalle Diario'!$B$5:$B$489, B4221, '📋 Detalle Diario'!$C$5:$C$489, D4221) * 200), 0))</f>
        <v/>
      </c>
      <c r="P4221" s="32" t="str">
        <f t="shared" si="460"/>
        <v/>
      </c>
      <c r="Q4221" s="33" t="str">
        <f t="shared" si="461"/>
        <v/>
      </c>
    </row>
    <row r="4222" spans="2:17" ht="18" customHeight="1" x14ac:dyDescent="0.3">
      <c r="B4222" s="26"/>
      <c r="C4222" s="17"/>
      <c r="D4222" s="27"/>
      <c r="E4222" s="18"/>
      <c r="F4222" s="18"/>
      <c r="G4222" s="18"/>
      <c r="H4222" s="30" t="str">
        <f t="shared" si="455"/>
        <v/>
      </c>
      <c r="I4222" s="31" t="str">
        <f>IF(OR(B4222="",C4222=""),"",IFERROR(E4222*IF(E4222="",0,VLOOKUP(C4222,'📦 Precios Proforma'!$B$5:$D$104,IF(D4222="DIA",2,3),FALSE)),0))</f>
        <v/>
      </c>
      <c r="J4222" s="31" t="str">
        <f t="shared" si="456"/>
        <v/>
      </c>
      <c r="K4222" s="31" t="str">
        <f t="shared" si="457"/>
        <v/>
      </c>
      <c r="L4222" s="31" t="str">
        <f>IF(OR(B4222="",C4222=""),"",IFERROR(E4222 / SUMIFS('📅 Resumen Diario'!$D$5:$D$504, '📅 Resumen Diario'!$B$5:$B$504, B4222, '📅 Resumen Diario'!$C$5:$C$504, D4222) * SUMIFS('📅 Resumen Diario'!$K$5:$K$504, '📅 Resumen Diario'!$B$5:$B$504, B4222, '📅 Resumen Diario'!$C$5:$C$504, D4222), 0))</f>
        <v/>
      </c>
      <c r="M4222" s="31" t="str">
        <f t="shared" si="458"/>
        <v/>
      </c>
      <c r="N4222" s="31" t="str">
        <f t="shared" si="459"/>
        <v/>
      </c>
      <c r="O4222" s="31" t="str">
        <f>IF(OR(B4222="",C4222=""),"",K4222-N4222 + IFERROR(E4222 / SUMIFS('📅 Resumen Diario'!$D$5:$D$504, '📅 Resumen Diario'!$B$5:$B$504, B4222, '📅 Resumen Diario'!$C$5:$C$504, D4222) * (SUMIFS('📋 Detalle Diario'!$E$5:$E$489, '📋 Detalle Diario'!$B$5:$B$489, B4222, '📋 Detalle Diario'!$C$5:$C$489, D4222) * 135 + SUMIFS('📋 Detalle Diario'!$I$5:$I$489, '📋 Detalle Diario'!$B$5:$B$489, B4222, '📋 Detalle Diario'!$C$5:$C$489, D4222) * 200), 0))</f>
        <v/>
      </c>
      <c r="P4222" s="32" t="str">
        <f t="shared" si="460"/>
        <v/>
      </c>
      <c r="Q4222" s="33" t="str">
        <f t="shared" si="461"/>
        <v/>
      </c>
    </row>
    <row r="4223" spans="2:17" ht="18" customHeight="1" x14ac:dyDescent="0.3">
      <c r="B4223" s="26"/>
      <c r="C4223" s="28"/>
      <c r="D4223" s="27"/>
      <c r="E4223" s="29"/>
      <c r="F4223" s="29"/>
      <c r="G4223" s="29"/>
      <c r="H4223" s="30" t="str">
        <f t="shared" si="455"/>
        <v/>
      </c>
      <c r="I4223" s="31" t="str">
        <f>IF(OR(B4223="",C4223=""),"",IFERROR(E4223*IF(E4223="",0,VLOOKUP(C4223,'📦 Precios Proforma'!$B$5:$D$104,IF(D4223="DIA",2,3),FALSE)),0))</f>
        <v/>
      </c>
      <c r="J4223" s="31" t="str">
        <f t="shared" si="456"/>
        <v/>
      </c>
      <c r="K4223" s="31" t="str">
        <f t="shared" si="457"/>
        <v/>
      </c>
      <c r="L4223" s="31" t="str">
        <f>IF(OR(B4223="",C4223=""),"",IFERROR(E4223 / SUMIFS('📅 Resumen Diario'!$D$5:$D$504, '📅 Resumen Diario'!$B$5:$B$504, B4223, '📅 Resumen Diario'!$C$5:$C$504, D4223) * SUMIFS('📅 Resumen Diario'!$K$5:$K$504, '📅 Resumen Diario'!$B$5:$B$504, B4223, '📅 Resumen Diario'!$C$5:$C$504, D4223), 0))</f>
        <v/>
      </c>
      <c r="M4223" s="31" t="str">
        <f t="shared" si="458"/>
        <v/>
      </c>
      <c r="N4223" s="31" t="str">
        <f t="shared" si="459"/>
        <v/>
      </c>
      <c r="O4223" s="31" t="str">
        <f>IF(OR(B4223="",C4223=""),"",K4223-N4223 + IFERROR(E4223 / SUMIFS('📅 Resumen Diario'!$D$5:$D$504, '📅 Resumen Diario'!$B$5:$B$504, B4223, '📅 Resumen Diario'!$C$5:$C$504, D4223) * (SUMIFS('📋 Detalle Diario'!$E$5:$E$489, '📋 Detalle Diario'!$B$5:$B$489, B4223, '📋 Detalle Diario'!$C$5:$C$489, D4223) * 135 + SUMIFS('📋 Detalle Diario'!$I$5:$I$489, '📋 Detalle Diario'!$B$5:$B$489, B4223, '📋 Detalle Diario'!$C$5:$C$489, D4223) * 200), 0))</f>
        <v/>
      </c>
      <c r="P4223" s="32" t="str">
        <f t="shared" si="460"/>
        <v/>
      </c>
      <c r="Q4223" s="33" t="str">
        <f t="shared" si="461"/>
        <v/>
      </c>
    </row>
    <row r="4224" spans="2:17" ht="18" customHeight="1" x14ac:dyDescent="0.3">
      <c r="B4224" s="26"/>
      <c r="C4224" s="17"/>
      <c r="D4224" s="27"/>
      <c r="E4224" s="18"/>
      <c r="F4224" s="18"/>
      <c r="G4224" s="18"/>
      <c r="H4224" s="30" t="str">
        <f t="shared" si="455"/>
        <v/>
      </c>
      <c r="I4224" s="31" t="str">
        <f>IF(OR(B4224="",C4224=""),"",IFERROR(E4224*IF(E4224="",0,VLOOKUP(C4224,'📦 Precios Proforma'!$B$5:$D$104,IF(D4224="DIA",2,3),FALSE)),0))</f>
        <v/>
      </c>
      <c r="J4224" s="31" t="str">
        <f t="shared" si="456"/>
        <v/>
      </c>
      <c r="K4224" s="31" t="str">
        <f t="shared" si="457"/>
        <v/>
      </c>
      <c r="L4224" s="31" t="str">
        <f>IF(OR(B4224="",C4224=""),"",IFERROR(E4224 / SUMIFS('📅 Resumen Diario'!$D$5:$D$504, '📅 Resumen Diario'!$B$5:$B$504, B4224, '📅 Resumen Diario'!$C$5:$C$504, D4224) * SUMIFS('📅 Resumen Diario'!$K$5:$K$504, '📅 Resumen Diario'!$B$5:$B$504, B4224, '📅 Resumen Diario'!$C$5:$C$504, D4224), 0))</f>
        <v/>
      </c>
      <c r="M4224" s="31" t="str">
        <f t="shared" si="458"/>
        <v/>
      </c>
      <c r="N4224" s="31" t="str">
        <f t="shared" si="459"/>
        <v/>
      </c>
      <c r="O4224" s="31" t="str">
        <f>IF(OR(B4224="",C4224=""),"",K4224-N4224 + IFERROR(E4224 / SUMIFS('📅 Resumen Diario'!$D$5:$D$504, '📅 Resumen Diario'!$B$5:$B$504, B4224, '📅 Resumen Diario'!$C$5:$C$504, D4224) * (SUMIFS('📋 Detalle Diario'!$E$5:$E$489, '📋 Detalle Diario'!$B$5:$B$489, B4224, '📋 Detalle Diario'!$C$5:$C$489, D4224) * 135 + SUMIFS('📋 Detalle Diario'!$I$5:$I$489, '📋 Detalle Diario'!$B$5:$B$489, B4224, '📋 Detalle Diario'!$C$5:$C$489, D4224) * 200), 0))</f>
        <v/>
      </c>
      <c r="P4224" s="32" t="str">
        <f t="shared" si="460"/>
        <v/>
      </c>
      <c r="Q4224" s="33" t="str">
        <f t="shared" si="461"/>
        <v/>
      </c>
    </row>
    <row r="4225" spans="2:17" ht="18" customHeight="1" x14ac:dyDescent="0.3">
      <c r="B4225" s="26"/>
      <c r="C4225" s="28"/>
      <c r="D4225" s="27"/>
      <c r="E4225" s="29"/>
      <c r="F4225" s="29"/>
      <c r="G4225" s="29"/>
      <c r="H4225" s="30" t="str">
        <f t="shared" si="455"/>
        <v/>
      </c>
      <c r="I4225" s="31" t="str">
        <f>IF(OR(B4225="",C4225=""),"",IFERROR(E4225*IF(E4225="",0,VLOOKUP(C4225,'📦 Precios Proforma'!$B$5:$D$104,IF(D4225="DIA",2,3),FALSE)),0))</f>
        <v/>
      </c>
      <c r="J4225" s="31" t="str">
        <f t="shared" si="456"/>
        <v/>
      </c>
      <c r="K4225" s="31" t="str">
        <f t="shared" si="457"/>
        <v/>
      </c>
      <c r="L4225" s="31" t="str">
        <f>IF(OR(B4225="",C4225=""),"",IFERROR(E4225 / SUMIFS('📅 Resumen Diario'!$D$5:$D$504, '📅 Resumen Diario'!$B$5:$B$504, B4225, '📅 Resumen Diario'!$C$5:$C$504, D4225) * SUMIFS('📅 Resumen Diario'!$K$5:$K$504, '📅 Resumen Diario'!$B$5:$B$504, B4225, '📅 Resumen Diario'!$C$5:$C$504, D4225), 0))</f>
        <v/>
      </c>
      <c r="M4225" s="31" t="str">
        <f t="shared" si="458"/>
        <v/>
      </c>
      <c r="N4225" s="31" t="str">
        <f t="shared" si="459"/>
        <v/>
      </c>
      <c r="O4225" s="31" t="str">
        <f>IF(OR(B4225="",C4225=""),"",K4225-N4225 + IFERROR(E4225 / SUMIFS('📅 Resumen Diario'!$D$5:$D$504, '📅 Resumen Diario'!$B$5:$B$504, B4225, '📅 Resumen Diario'!$C$5:$C$504, D4225) * (SUMIFS('📋 Detalle Diario'!$E$5:$E$489, '📋 Detalle Diario'!$B$5:$B$489, B4225, '📋 Detalle Diario'!$C$5:$C$489, D4225) * 135 + SUMIFS('📋 Detalle Diario'!$I$5:$I$489, '📋 Detalle Diario'!$B$5:$B$489, B4225, '📋 Detalle Diario'!$C$5:$C$489, D4225) * 200), 0))</f>
        <v/>
      </c>
      <c r="P4225" s="32" t="str">
        <f t="shared" si="460"/>
        <v/>
      </c>
      <c r="Q4225" s="33" t="str">
        <f t="shared" si="461"/>
        <v/>
      </c>
    </row>
    <row r="4226" spans="2:17" ht="18" customHeight="1" x14ac:dyDescent="0.3">
      <c r="B4226" s="26"/>
      <c r="C4226" s="17"/>
      <c r="D4226" s="27"/>
      <c r="E4226" s="18"/>
      <c r="F4226" s="18"/>
      <c r="G4226" s="18"/>
      <c r="H4226" s="30" t="str">
        <f t="shared" si="455"/>
        <v/>
      </c>
      <c r="I4226" s="31" t="str">
        <f>IF(OR(B4226="",C4226=""),"",IFERROR(E4226*IF(E4226="",0,VLOOKUP(C4226,'📦 Precios Proforma'!$B$5:$D$104,IF(D4226="DIA",2,3),FALSE)),0))</f>
        <v/>
      </c>
      <c r="J4226" s="31" t="str">
        <f t="shared" si="456"/>
        <v/>
      </c>
      <c r="K4226" s="31" t="str">
        <f t="shared" si="457"/>
        <v/>
      </c>
      <c r="L4226" s="31" t="str">
        <f>IF(OR(B4226="",C4226=""),"",IFERROR(E4226 / SUMIFS('📅 Resumen Diario'!$D$5:$D$504, '📅 Resumen Diario'!$B$5:$B$504, B4226, '📅 Resumen Diario'!$C$5:$C$504, D4226) * SUMIFS('📅 Resumen Diario'!$K$5:$K$504, '📅 Resumen Diario'!$B$5:$B$504, B4226, '📅 Resumen Diario'!$C$5:$C$504, D4226), 0))</f>
        <v/>
      </c>
      <c r="M4226" s="31" t="str">
        <f t="shared" si="458"/>
        <v/>
      </c>
      <c r="N4226" s="31" t="str">
        <f t="shared" si="459"/>
        <v/>
      </c>
      <c r="O4226" s="31" t="str">
        <f>IF(OR(B4226="",C4226=""),"",K4226-N4226 + IFERROR(E4226 / SUMIFS('📅 Resumen Diario'!$D$5:$D$504, '📅 Resumen Diario'!$B$5:$B$504, B4226, '📅 Resumen Diario'!$C$5:$C$504, D4226) * (SUMIFS('📋 Detalle Diario'!$E$5:$E$489, '📋 Detalle Diario'!$B$5:$B$489, B4226, '📋 Detalle Diario'!$C$5:$C$489, D4226) * 135 + SUMIFS('📋 Detalle Diario'!$I$5:$I$489, '📋 Detalle Diario'!$B$5:$B$489, B4226, '📋 Detalle Diario'!$C$5:$C$489, D4226) * 200), 0))</f>
        <v/>
      </c>
      <c r="P4226" s="32" t="str">
        <f t="shared" si="460"/>
        <v/>
      </c>
      <c r="Q4226" s="33" t="str">
        <f t="shared" si="461"/>
        <v/>
      </c>
    </row>
    <row r="4227" spans="2:17" ht="18" customHeight="1" x14ac:dyDescent="0.3">
      <c r="B4227" s="26"/>
      <c r="C4227" s="28"/>
      <c r="D4227" s="27"/>
      <c r="E4227" s="29"/>
      <c r="F4227" s="29"/>
      <c r="G4227" s="29"/>
      <c r="H4227" s="30" t="str">
        <f t="shared" si="455"/>
        <v/>
      </c>
      <c r="I4227" s="31" t="str">
        <f>IF(OR(B4227="",C4227=""),"",IFERROR(E4227*IF(E4227="",0,VLOOKUP(C4227,'📦 Precios Proforma'!$B$5:$D$104,IF(D4227="DIA",2,3),FALSE)),0))</f>
        <v/>
      </c>
      <c r="J4227" s="31" t="str">
        <f t="shared" si="456"/>
        <v/>
      </c>
      <c r="K4227" s="31" t="str">
        <f t="shared" si="457"/>
        <v/>
      </c>
      <c r="L4227" s="31" t="str">
        <f>IF(OR(B4227="",C4227=""),"",IFERROR(E4227 / SUMIFS('📅 Resumen Diario'!$D$5:$D$504, '📅 Resumen Diario'!$B$5:$B$504, B4227, '📅 Resumen Diario'!$C$5:$C$504, D4227) * SUMIFS('📅 Resumen Diario'!$K$5:$K$504, '📅 Resumen Diario'!$B$5:$B$504, B4227, '📅 Resumen Diario'!$C$5:$C$504, D4227), 0))</f>
        <v/>
      </c>
      <c r="M4227" s="31" t="str">
        <f t="shared" si="458"/>
        <v/>
      </c>
      <c r="N4227" s="31" t="str">
        <f t="shared" si="459"/>
        <v/>
      </c>
      <c r="O4227" s="31" t="str">
        <f>IF(OR(B4227="",C4227=""),"",K4227-N4227 + IFERROR(E4227 / SUMIFS('📅 Resumen Diario'!$D$5:$D$504, '📅 Resumen Diario'!$B$5:$B$504, B4227, '📅 Resumen Diario'!$C$5:$C$504, D4227) * (SUMIFS('📋 Detalle Diario'!$E$5:$E$489, '📋 Detalle Diario'!$B$5:$B$489, B4227, '📋 Detalle Diario'!$C$5:$C$489, D4227) * 135 + SUMIFS('📋 Detalle Diario'!$I$5:$I$489, '📋 Detalle Diario'!$B$5:$B$489, B4227, '📋 Detalle Diario'!$C$5:$C$489, D4227) * 200), 0))</f>
        <v/>
      </c>
      <c r="P4227" s="32" t="str">
        <f t="shared" si="460"/>
        <v/>
      </c>
      <c r="Q4227" s="33" t="str">
        <f t="shared" si="461"/>
        <v/>
      </c>
    </row>
    <row r="4228" spans="2:17" ht="18" customHeight="1" x14ac:dyDescent="0.3">
      <c r="B4228" s="26"/>
      <c r="C4228" s="17"/>
      <c r="D4228" s="27"/>
      <c r="E4228" s="18"/>
      <c r="F4228" s="18"/>
      <c r="G4228" s="18"/>
      <c r="H4228" s="30" t="str">
        <f t="shared" si="455"/>
        <v/>
      </c>
      <c r="I4228" s="31" t="str">
        <f>IF(OR(B4228="",C4228=""),"",IFERROR(E4228*IF(E4228="",0,VLOOKUP(C4228,'📦 Precios Proforma'!$B$5:$D$104,IF(D4228="DIA",2,3),FALSE)),0))</f>
        <v/>
      </c>
      <c r="J4228" s="31" t="str">
        <f t="shared" si="456"/>
        <v/>
      </c>
      <c r="K4228" s="31" t="str">
        <f t="shared" si="457"/>
        <v/>
      </c>
      <c r="L4228" s="31" t="str">
        <f>IF(OR(B4228="",C4228=""),"",IFERROR(E4228 / SUMIFS('📅 Resumen Diario'!$D$5:$D$504, '📅 Resumen Diario'!$B$5:$B$504, B4228, '📅 Resumen Diario'!$C$5:$C$504, D4228) * SUMIFS('📅 Resumen Diario'!$K$5:$K$504, '📅 Resumen Diario'!$B$5:$B$504, B4228, '📅 Resumen Diario'!$C$5:$C$504, D4228), 0))</f>
        <v/>
      </c>
      <c r="M4228" s="31" t="str">
        <f t="shared" si="458"/>
        <v/>
      </c>
      <c r="N4228" s="31" t="str">
        <f t="shared" si="459"/>
        <v/>
      </c>
      <c r="O4228" s="31" t="str">
        <f>IF(OR(B4228="",C4228=""),"",K4228-N4228 + IFERROR(E4228 / SUMIFS('📅 Resumen Diario'!$D$5:$D$504, '📅 Resumen Diario'!$B$5:$B$504, B4228, '📅 Resumen Diario'!$C$5:$C$504, D4228) * (SUMIFS('📋 Detalle Diario'!$E$5:$E$489, '📋 Detalle Diario'!$B$5:$B$489, B4228, '📋 Detalle Diario'!$C$5:$C$489, D4228) * 135 + SUMIFS('📋 Detalle Diario'!$I$5:$I$489, '📋 Detalle Diario'!$B$5:$B$489, B4228, '📋 Detalle Diario'!$C$5:$C$489, D4228) * 200), 0))</f>
        <v/>
      </c>
      <c r="P4228" s="32" t="str">
        <f t="shared" si="460"/>
        <v/>
      </c>
      <c r="Q4228" s="33" t="str">
        <f t="shared" si="461"/>
        <v/>
      </c>
    </row>
    <row r="4229" spans="2:17" ht="18" customHeight="1" x14ac:dyDescent="0.3">
      <c r="B4229" s="26"/>
      <c r="C4229" s="28"/>
      <c r="D4229" s="27"/>
      <c r="E4229" s="29"/>
      <c r="F4229" s="29"/>
      <c r="G4229" s="29"/>
      <c r="H4229" s="30" t="str">
        <f t="shared" si="455"/>
        <v/>
      </c>
      <c r="I4229" s="31" t="str">
        <f>IF(OR(B4229="",C4229=""),"",IFERROR(E4229*IF(E4229="",0,VLOOKUP(C4229,'📦 Precios Proforma'!$B$5:$D$104,IF(D4229="DIA",2,3),FALSE)),0))</f>
        <v/>
      </c>
      <c r="J4229" s="31" t="str">
        <f t="shared" si="456"/>
        <v/>
      </c>
      <c r="K4229" s="31" t="str">
        <f t="shared" si="457"/>
        <v/>
      </c>
      <c r="L4229" s="31" t="str">
        <f>IF(OR(B4229="",C4229=""),"",IFERROR(E4229 / SUMIFS('📅 Resumen Diario'!$D$5:$D$504, '📅 Resumen Diario'!$B$5:$B$504, B4229, '📅 Resumen Diario'!$C$5:$C$504, D4229) * SUMIFS('📅 Resumen Diario'!$K$5:$K$504, '📅 Resumen Diario'!$B$5:$B$504, B4229, '📅 Resumen Diario'!$C$5:$C$504, D4229), 0))</f>
        <v/>
      </c>
      <c r="M4229" s="31" t="str">
        <f t="shared" si="458"/>
        <v/>
      </c>
      <c r="N4229" s="31" t="str">
        <f t="shared" si="459"/>
        <v/>
      </c>
      <c r="O4229" s="31" t="str">
        <f>IF(OR(B4229="",C4229=""),"",K4229-N4229 + IFERROR(E4229 / SUMIFS('📅 Resumen Diario'!$D$5:$D$504, '📅 Resumen Diario'!$B$5:$B$504, B4229, '📅 Resumen Diario'!$C$5:$C$504, D4229) * (SUMIFS('📋 Detalle Diario'!$E$5:$E$489, '📋 Detalle Diario'!$B$5:$B$489, B4229, '📋 Detalle Diario'!$C$5:$C$489, D4229) * 135 + SUMIFS('📋 Detalle Diario'!$I$5:$I$489, '📋 Detalle Diario'!$B$5:$B$489, B4229, '📋 Detalle Diario'!$C$5:$C$489, D4229) * 200), 0))</f>
        <v/>
      </c>
      <c r="P4229" s="32" t="str">
        <f t="shared" si="460"/>
        <v/>
      </c>
      <c r="Q4229" s="33" t="str">
        <f t="shared" si="461"/>
        <v/>
      </c>
    </row>
    <row r="4230" spans="2:17" ht="18" customHeight="1" x14ac:dyDescent="0.3">
      <c r="B4230" s="26"/>
      <c r="C4230" s="17"/>
      <c r="D4230" s="27"/>
      <c r="E4230" s="18"/>
      <c r="F4230" s="18"/>
      <c r="G4230" s="18"/>
      <c r="H4230" s="30" t="str">
        <f t="shared" si="455"/>
        <v/>
      </c>
      <c r="I4230" s="31" t="str">
        <f>IF(OR(B4230="",C4230=""),"",IFERROR(E4230*IF(E4230="",0,VLOOKUP(C4230,'📦 Precios Proforma'!$B$5:$D$104,IF(D4230="DIA",2,3),FALSE)),0))</f>
        <v/>
      </c>
      <c r="J4230" s="31" t="str">
        <f t="shared" si="456"/>
        <v/>
      </c>
      <c r="K4230" s="31" t="str">
        <f t="shared" si="457"/>
        <v/>
      </c>
      <c r="L4230" s="31" t="str">
        <f>IF(OR(B4230="",C4230=""),"",IFERROR(E4230 / SUMIFS('📅 Resumen Diario'!$D$5:$D$504, '📅 Resumen Diario'!$B$5:$B$504, B4230, '📅 Resumen Diario'!$C$5:$C$504, D4230) * SUMIFS('📅 Resumen Diario'!$K$5:$K$504, '📅 Resumen Diario'!$B$5:$B$504, B4230, '📅 Resumen Diario'!$C$5:$C$504, D4230), 0))</f>
        <v/>
      </c>
      <c r="M4230" s="31" t="str">
        <f t="shared" si="458"/>
        <v/>
      </c>
      <c r="N4230" s="31" t="str">
        <f t="shared" si="459"/>
        <v/>
      </c>
      <c r="O4230" s="31" t="str">
        <f>IF(OR(B4230="",C4230=""),"",K4230-N4230 + IFERROR(E4230 / SUMIFS('📅 Resumen Diario'!$D$5:$D$504, '📅 Resumen Diario'!$B$5:$B$504, B4230, '📅 Resumen Diario'!$C$5:$C$504, D4230) * (SUMIFS('📋 Detalle Diario'!$E$5:$E$489, '📋 Detalle Diario'!$B$5:$B$489, B4230, '📋 Detalle Diario'!$C$5:$C$489, D4230) * 135 + SUMIFS('📋 Detalle Diario'!$I$5:$I$489, '📋 Detalle Diario'!$B$5:$B$489, B4230, '📋 Detalle Diario'!$C$5:$C$489, D4230) * 200), 0))</f>
        <v/>
      </c>
      <c r="P4230" s="32" t="str">
        <f t="shared" si="460"/>
        <v/>
      </c>
      <c r="Q4230" s="33" t="str">
        <f t="shared" si="461"/>
        <v/>
      </c>
    </row>
    <row r="4231" spans="2:17" ht="18" customHeight="1" x14ac:dyDescent="0.3">
      <c r="B4231" s="26"/>
      <c r="C4231" s="28"/>
      <c r="D4231" s="27"/>
      <c r="E4231" s="29"/>
      <c r="F4231" s="29"/>
      <c r="G4231" s="29"/>
      <c r="H4231" s="30" t="str">
        <f t="shared" ref="H4231:H4294" si="462">IF(OR(B4231="",C4231=""),"",F4231+G4231)</f>
        <v/>
      </c>
      <c r="I4231" s="31" t="str">
        <f>IF(OR(B4231="",C4231=""),"",IFERROR(E4231*IF(E4231="",0,VLOOKUP(C4231,'📦 Precios Proforma'!$B$5:$D$104,IF(D4231="DIA",2,3),FALSE)),0))</f>
        <v/>
      </c>
      <c r="J4231" s="31" t="str">
        <f t="shared" ref="J4231:J4294" si="463">IF(OR(B4231="",C4231=""),"",IF(D4231="DIA",H4231*1.01,H4231*1.35))</f>
        <v/>
      </c>
      <c r="K4231" s="31" t="str">
        <f t="shared" ref="K4231:K4294" si="464">IF(OR(B4231="",C4231=""),"",I4231+J4231)</f>
        <v/>
      </c>
      <c r="L4231" s="31" t="str">
        <f>IF(OR(B4231="",C4231=""),"",IFERROR(E4231 / SUMIFS('📅 Resumen Diario'!$D$5:$D$504, '📅 Resumen Diario'!$B$5:$B$504, B4231, '📅 Resumen Diario'!$C$5:$C$504, D4231) * SUMIFS('📅 Resumen Diario'!$K$5:$K$504, '📅 Resumen Diario'!$B$5:$B$504, B4231, '📅 Resumen Diario'!$C$5:$C$504, D4231), 0))</f>
        <v/>
      </c>
      <c r="M4231" s="31" t="str">
        <f t="shared" ref="M4231:M4294" si="465">IF(OR(B4231="",C4231=""),"",H4231*0.09)</f>
        <v/>
      </c>
      <c r="N4231" s="31" t="str">
        <f t="shared" ref="N4231:N4294" si="466">IF(OR(B4231="",C4231=""),"",L4231+M4231)</f>
        <v/>
      </c>
      <c r="O4231" s="31" t="str">
        <f>IF(OR(B4231="",C4231=""),"",K4231-N4231 + IFERROR(E4231 / SUMIFS('📅 Resumen Diario'!$D$5:$D$504, '📅 Resumen Diario'!$B$5:$B$504, B4231, '📅 Resumen Diario'!$C$5:$C$504, D4231) * (SUMIFS('📋 Detalle Diario'!$E$5:$E$489, '📋 Detalle Diario'!$B$5:$B$489, B4231, '📋 Detalle Diario'!$C$5:$C$489, D4231) * 135 + SUMIFS('📋 Detalle Diario'!$I$5:$I$489, '📋 Detalle Diario'!$B$5:$B$489, B4231, '📋 Detalle Diario'!$C$5:$C$489, D4231) * 200), 0))</f>
        <v/>
      </c>
      <c r="P4231" s="32" t="str">
        <f t="shared" ref="P4231:P4294" si="467">IF(OR(B4231="",C4231=""),"",IF(K4231=0, 0, O4231/K4231))</f>
        <v/>
      </c>
      <c r="Q4231" s="33" t="str">
        <f t="shared" ref="Q4231:Q4294" si="468">IF(B4231="","",IF(ISNUMBER(B4231),YEAR(B4231)&amp;"-"&amp;IF(MONTH(B4231)&lt;10,"0","")&amp;MONTH(B4231),LEFT(B4231,7)))</f>
        <v/>
      </c>
    </row>
    <row r="4232" spans="2:17" ht="18" customHeight="1" x14ac:dyDescent="0.3">
      <c r="B4232" s="26"/>
      <c r="C4232" s="17"/>
      <c r="D4232" s="27"/>
      <c r="E4232" s="18"/>
      <c r="F4232" s="18"/>
      <c r="G4232" s="18"/>
      <c r="H4232" s="30" t="str">
        <f t="shared" si="462"/>
        <v/>
      </c>
      <c r="I4232" s="31" t="str">
        <f>IF(OR(B4232="",C4232=""),"",IFERROR(E4232*IF(E4232="",0,VLOOKUP(C4232,'📦 Precios Proforma'!$B$5:$D$104,IF(D4232="DIA",2,3),FALSE)),0))</f>
        <v/>
      </c>
      <c r="J4232" s="31" t="str">
        <f t="shared" si="463"/>
        <v/>
      </c>
      <c r="K4232" s="31" t="str">
        <f t="shared" si="464"/>
        <v/>
      </c>
      <c r="L4232" s="31" t="str">
        <f>IF(OR(B4232="",C4232=""),"",IFERROR(E4232 / SUMIFS('📅 Resumen Diario'!$D$5:$D$504, '📅 Resumen Diario'!$B$5:$B$504, B4232, '📅 Resumen Diario'!$C$5:$C$504, D4232) * SUMIFS('📅 Resumen Diario'!$K$5:$K$504, '📅 Resumen Diario'!$B$5:$B$504, B4232, '📅 Resumen Diario'!$C$5:$C$504, D4232), 0))</f>
        <v/>
      </c>
      <c r="M4232" s="31" t="str">
        <f t="shared" si="465"/>
        <v/>
      </c>
      <c r="N4232" s="31" t="str">
        <f t="shared" si="466"/>
        <v/>
      </c>
      <c r="O4232" s="31" t="str">
        <f>IF(OR(B4232="",C4232=""),"",K4232-N4232 + IFERROR(E4232 / SUMIFS('📅 Resumen Diario'!$D$5:$D$504, '📅 Resumen Diario'!$B$5:$B$504, B4232, '📅 Resumen Diario'!$C$5:$C$504, D4232) * (SUMIFS('📋 Detalle Diario'!$E$5:$E$489, '📋 Detalle Diario'!$B$5:$B$489, B4232, '📋 Detalle Diario'!$C$5:$C$489, D4232) * 135 + SUMIFS('📋 Detalle Diario'!$I$5:$I$489, '📋 Detalle Diario'!$B$5:$B$489, B4232, '📋 Detalle Diario'!$C$5:$C$489, D4232) * 200), 0))</f>
        <v/>
      </c>
      <c r="P4232" s="32" t="str">
        <f t="shared" si="467"/>
        <v/>
      </c>
      <c r="Q4232" s="33" t="str">
        <f t="shared" si="468"/>
        <v/>
      </c>
    </row>
    <row r="4233" spans="2:17" ht="18" customHeight="1" x14ac:dyDescent="0.3">
      <c r="B4233" s="26"/>
      <c r="C4233" s="28"/>
      <c r="D4233" s="27"/>
      <c r="E4233" s="29"/>
      <c r="F4233" s="29"/>
      <c r="G4233" s="29"/>
      <c r="H4233" s="30" t="str">
        <f t="shared" si="462"/>
        <v/>
      </c>
      <c r="I4233" s="31" t="str">
        <f>IF(OR(B4233="",C4233=""),"",IFERROR(E4233*IF(E4233="",0,VLOOKUP(C4233,'📦 Precios Proforma'!$B$5:$D$104,IF(D4233="DIA",2,3),FALSE)),0))</f>
        <v/>
      </c>
      <c r="J4233" s="31" t="str">
        <f t="shared" si="463"/>
        <v/>
      </c>
      <c r="K4233" s="31" t="str">
        <f t="shared" si="464"/>
        <v/>
      </c>
      <c r="L4233" s="31" t="str">
        <f>IF(OR(B4233="",C4233=""),"",IFERROR(E4233 / SUMIFS('📅 Resumen Diario'!$D$5:$D$504, '📅 Resumen Diario'!$B$5:$B$504, B4233, '📅 Resumen Diario'!$C$5:$C$504, D4233) * SUMIFS('📅 Resumen Diario'!$K$5:$K$504, '📅 Resumen Diario'!$B$5:$B$504, B4233, '📅 Resumen Diario'!$C$5:$C$504, D4233), 0))</f>
        <v/>
      </c>
      <c r="M4233" s="31" t="str">
        <f t="shared" si="465"/>
        <v/>
      </c>
      <c r="N4233" s="31" t="str">
        <f t="shared" si="466"/>
        <v/>
      </c>
      <c r="O4233" s="31" t="str">
        <f>IF(OR(B4233="",C4233=""),"",K4233-N4233 + IFERROR(E4233 / SUMIFS('📅 Resumen Diario'!$D$5:$D$504, '📅 Resumen Diario'!$B$5:$B$504, B4233, '📅 Resumen Diario'!$C$5:$C$504, D4233) * (SUMIFS('📋 Detalle Diario'!$E$5:$E$489, '📋 Detalle Diario'!$B$5:$B$489, B4233, '📋 Detalle Diario'!$C$5:$C$489, D4233) * 135 + SUMIFS('📋 Detalle Diario'!$I$5:$I$489, '📋 Detalle Diario'!$B$5:$B$489, B4233, '📋 Detalle Diario'!$C$5:$C$489, D4233) * 200), 0))</f>
        <v/>
      </c>
      <c r="P4233" s="32" t="str">
        <f t="shared" si="467"/>
        <v/>
      </c>
      <c r="Q4233" s="33" t="str">
        <f t="shared" si="468"/>
        <v/>
      </c>
    </row>
    <row r="4234" spans="2:17" ht="18" customHeight="1" x14ac:dyDescent="0.3">
      <c r="B4234" s="26"/>
      <c r="C4234" s="17"/>
      <c r="D4234" s="27"/>
      <c r="E4234" s="18"/>
      <c r="F4234" s="18"/>
      <c r="G4234" s="18"/>
      <c r="H4234" s="30" t="str">
        <f t="shared" si="462"/>
        <v/>
      </c>
      <c r="I4234" s="31" t="str">
        <f>IF(OR(B4234="",C4234=""),"",IFERROR(E4234*IF(E4234="",0,VLOOKUP(C4234,'📦 Precios Proforma'!$B$5:$D$104,IF(D4234="DIA",2,3),FALSE)),0))</f>
        <v/>
      </c>
      <c r="J4234" s="31" t="str">
        <f t="shared" si="463"/>
        <v/>
      </c>
      <c r="K4234" s="31" t="str">
        <f t="shared" si="464"/>
        <v/>
      </c>
      <c r="L4234" s="31" t="str">
        <f>IF(OR(B4234="",C4234=""),"",IFERROR(E4234 / SUMIFS('📅 Resumen Diario'!$D$5:$D$504, '📅 Resumen Diario'!$B$5:$B$504, B4234, '📅 Resumen Diario'!$C$5:$C$504, D4234) * SUMIFS('📅 Resumen Diario'!$K$5:$K$504, '📅 Resumen Diario'!$B$5:$B$504, B4234, '📅 Resumen Diario'!$C$5:$C$504, D4234), 0))</f>
        <v/>
      </c>
      <c r="M4234" s="31" t="str">
        <f t="shared" si="465"/>
        <v/>
      </c>
      <c r="N4234" s="31" t="str">
        <f t="shared" si="466"/>
        <v/>
      </c>
      <c r="O4234" s="31" t="str">
        <f>IF(OR(B4234="",C4234=""),"",K4234-N4234 + IFERROR(E4234 / SUMIFS('📅 Resumen Diario'!$D$5:$D$504, '📅 Resumen Diario'!$B$5:$B$504, B4234, '📅 Resumen Diario'!$C$5:$C$504, D4234) * (SUMIFS('📋 Detalle Diario'!$E$5:$E$489, '📋 Detalle Diario'!$B$5:$B$489, B4234, '📋 Detalle Diario'!$C$5:$C$489, D4234) * 135 + SUMIFS('📋 Detalle Diario'!$I$5:$I$489, '📋 Detalle Diario'!$B$5:$B$489, B4234, '📋 Detalle Diario'!$C$5:$C$489, D4234) * 200), 0))</f>
        <v/>
      </c>
      <c r="P4234" s="32" t="str">
        <f t="shared" si="467"/>
        <v/>
      </c>
      <c r="Q4234" s="33" t="str">
        <f t="shared" si="468"/>
        <v/>
      </c>
    </row>
    <row r="4235" spans="2:17" ht="18" customHeight="1" x14ac:dyDescent="0.3">
      <c r="B4235" s="26"/>
      <c r="C4235" s="28"/>
      <c r="D4235" s="27"/>
      <c r="E4235" s="29"/>
      <c r="F4235" s="29"/>
      <c r="G4235" s="29"/>
      <c r="H4235" s="30" t="str">
        <f t="shared" si="462"/>
        <v/>
      </c>
      <c r="I4235" s="31" t="str">
        <f>IF(OR(B4235="",C4235=""),"",IFERROR(E4235*IF(E4235="",0,VLOOKUP(C4235,'📦 Precios Proforma'!$B$5:$D$104,IF(D4235="DIA",2,3),FALSE)),0))</f>
        <v/>
      </c>
      <c r="J4235" s="31" t="str">
        <f t="shared" si="463"/>
        <v/>
      </c>
      <c r="K4235" s="31" t="str">
        <f t="shared" si="464"/>
        <v/>
      </c>
      <c r="L4235" s="31" t="str">
        <f>IF(OR(B4235="",C4235=""),"",IFERROR(E4235 / SUMIFS('📅 Resumen Diario'!$D$5:$D$504, '📅 Resumen Diario'!$B$5:$B$504, B4235, '📅 Resumen Diario'!$C$5:$C$504, D4235) * SUMIFS('📅 Resumen Diario'!$K$5:$K$504, '📅 Resumen Diario'!$B$5:$B$504, B4235, '📅 Resumen Diario'!$C$5:$C$504, D4235), 0))</f>
        <v/>
      </c>
      <c r="M4235" s="31" t="str">
        <f t="shared" si="465"/>
        <v/>
      </c>
      <c r="N4235" s="31" t="str">
        <f t="shared" si="466"/>
        <v/>
      </c>
      <c r="O4235" s="31" t="str">
        <f>IF(OR(B4235="",C4235=""),"",K4235-N4235 + IFERROR(E4235 / SUMIFS('📅 Resumen Diario'!$D$5:$D$504, '📅 Resumen Diario'!$B$5:$B$504, B4235, '📅 Resumen Diario'!$C$5:$C$504, D4235) * (SUMIFS('📋 Detalle Diario'!$E$5:$E$489, '📋 Detalle Diario'!$B$5:$B$489, B4235, '📋 Detalle Diario'!$C$5:$C$489, D4235) * 135 + SUMIFS('📋 Detalle Diario'!$I$5:$I$489, '📋 Detalle Diario'!$B$5:$B$489, B4235, '📋 Detalle Diario'!$C$5:$C$489, D4235) * 200), 0))</f>
        <v/>
      </c>
      <c r="P4235" s="32" t="str">
        <f t="shared" si="467"/>
        <v/>
      </c>
      <c r="Q4235" s="33" t="str">
        <f t="shared" si="468"/>
        <v/>
      </c>
    </row>
    <row r="4236" spans="2:17" ht="18" customHeight="1" x14ac:dyDescent="0.3">
      <c r="B4236" s="26"/>
      <c r="C4236" s="17"/>
      <c r="D4236" s="27"/>
      <c r="E4236" s="18"/>
      <c r="F4236" s="18"/>
      <c r="G4236" s="18"/>
      <c r="H4236" s="30" t="str">
        <f t="shared" si="462"/>
        <v/>
      </c>
      <c r="I4236" s="31" t="str">
        <f>IF(OR(B4236="",C4236=""),"",IFERROR(E4236*IF(E4236="",0,VLOOKUP(C4236,'📦 Precios Proforma'!$B$5:$D$104,IF(D4236="DIA",2,3),FALSE)),0))</f>
        <v/>
      </c>
      <c r="J4236" s="31" t="str">
        <f t="shared" si="463"/>
        <v/>
      </c>
      <c r="K4236" s="31" t="str">
        <f t="shared" si="464"/>
        <v/>
      </c>
      <c r="L4236" s="31" t="str">
        <f>IF(OR(B4236="",C4236=""),"",IFERROR(E4236 / SUMIFS('📅 Resumen Diario'!$D$5:$D$504, '📅 Resumen Diario'!$B$5:$B$504, B4236, '📅 Resumen Diario'!$C$5:$C$504, D4236) * SUMIFS('📅 Resumen Diario'!$K$5:$K$504, '📅 Resumen Diario'!$B$5:$B$504, B4236, '📅 Resumen Diario'!$C$5:$C$504, D4236), 0))</f>
        <v/>
      </c>
      <c r="M4236" s="31" t="str">
        <f t="shared" si="465"/>
        <v/>
      </c>
      <c r="N4236" s="31" t="str">
        <f t="shared" si="466"/>
        <v/>
      </c>
      <c r="O4236" s="31" t="str">
        <f>IF(OR(B4236="",C4236=""),"",K4236-N4236 + IFERROR(E4236 / SUMIFS('📅 Resumen Diario'!$D$5:$D$504, '📅 Resumen Diario'!$B$5:$B$504, B4236, '📅 Resumen Diario'!$C$5:$C$504, D4236) * (SUMIFS('📋 Detalle Diario'!$E$5:$E$489, '📋 Detalle Diario'!$B$5:$B$489, B4236, '📋 Detalle Diario'!$C$5:$C$489, D4236) * 135 + SUMIFS('📋 Detalle Diario'!$I$5:$I$489, '📋 Detalle Diario'!$B$5:$B$489, B4236, '📋 Detalle Diario'!$C$5:$C$489, D4236) * 200), 0))</f>
        <v/>
      </c>
      <c r="P4236" s="32" t="str">
        <f t="shared" si="467"/>
        <v/>
      </c>
      <c r="Q4236" s="33" t="str">
        <f t="shared" si="468"/>
        <v/>
      </c>
    </row>
    <row r="4237" spans="2:17" ht="18" customHeight="1" x14ac:dyDescent="0.3">
      <c r="B4237" s="26"/>
      <c r="C4237" s="28"/>
      <c r="D4237" s="27"/>
      <c r="E4237" s="29"/>
      <c r="F4237" s="29"/>
      <c r="G4237" s="29"/>
      <c r="H4237" s="30" t="str">
        <f t="shared" si="462"/>
        <v/>
      </c>
      <c r="I4237" s="31" t="str">
        <f>IF(OR(B4237="",C4237=""),"",IFERROR(E4237*IF(E4237="",0,VLOOKUP(C4237,'📦 Precios Proforma'!$B$5:$D$104,IF(D4237="DIA",2,3),FALSE)),0))</f>
        <v/>
      </c>
      <c r="J4237" s="31" t="str">
        <f t="shared" si="463"/>
        <v/>
      </c>
      <c r="K4237" s="31" t="str">
        <f t="shared" si="464"/>
        <v/>
      </c>
      <c r="L4237" s="31" t="str">
        <f>IF(OR(B4237="",C4237=""),"",IFERROR(E4237 / SUMIFS('📅 Resumen Diario'!$D$5:$D$504, '📅 Resumen Diario'!$B$5:$B$504, B4237, '📅 Resumen Diario'!$C$5:$C$504, D4237) * SUMIFS('📅 Resumen Diario'!$K$5:$K$504, '📅 Resumen Diario'!$B$5:$B$504, B4237, '📅 Resumen Diario'!$C$5:$C$504, D4237), 0))</f>
        <v/>
      </c>
      <c r="M4237" s="31" t="str">
        <f t="shared" si="465"/>
        <v/>
      </c>
      <c r="N4237" s="31" t="str">
        <f t="shared" si="466"/>
        <v/>
      </c>
      <c r="O4237" s="31" t="str">
        <f>IF(OR(B4237="",C4237=""),"",K4237-N4237 + IFERROR(E4237 / SUMIFS('📅 Resumen Diario'!$D$5:$D$504, '📅 Resumen Diario'!$B$5:$B$504, B4237, '📅 Resumen Diario'!$C$5:$C$504, D4237) * (SUMIFS('📋 Detalle Diario'!$E$5:$E$489, '📋 Detalle Diario'!$B$5:$B$489, B4237, '📋 Detalle Diario'!$C$5:$C$489, D4237) * 135 + SUMIFS('📋 Detalle Diario'!$I$5:$I$489, '📋 Detalle Diario'!$B$5:$B$489, B4237, '📋 Detalle Diario'!$C$5:$C$489, D4237) * 200), 0))</f>
        <v/>
      </c>
      <c r="P4237" s="32" t="str">
        <f t="shared" si="467"/>
        <v/>
      </c>
      <c r="Q4237" s="33" t="str">
        <f t="shared" si="468"/>
        <v/>
      </c>
    </row>
    <row r="4238" spans="2:17" ht="18" customHeight="1" x14ac:dyDescent="0.3">
      <c r="B4238" s="26"/>
      <c r="C4238" s="17"/>
      <c r="D4238" s="27"/>
      <c r="E4238" s="18"/>
      <c r="F4238" s="18"/>
      <c r="G4238" s="18"/>
      <c r="H4238" s="30" t="str">
        <f t="shared" si="462"/>
        <v/>
      </c>
      <c r="I4238" s="31" t="str">
        <f>IF(OR(B4238="",C4238=""),"",IFERROR(E4238*IF(E4238="",0,VLOOKUP(C4238,'📦 Precios Proforma'!$B$5:$D$104,IF(D4238="DIA",2,3),FALSE)),0))</f>
        <v/>
      </c>
      <c r="J4238" s="31" t="str">
        <f t="shared" si="463"/>
        <v/>
      </c>
      <c r="K4238" s="31" t="str">
        <f t="shared" si="464"/>
        <v/>
      </c>
      <c r="L4238" s="31" t="str">
        <f>IF(OR(B4238="",C4238=""),"",IFERROR(E4238 / SUMIFS('📅 Resumen Diario'!$D$5:$D$504, '📅 Resumen Diario'!$B$5:$B$504, B4238, '📅 Resumen Diario'!$C$5:$C$504, D4238) * SUMIFS('📅 Resumen Diario'!$K$5:$K$504, '📅 Resumen Diario'!$B$5:$B$504, B4238, '📅 Resumen Diario'!$C$5:$C$504, D4238), 0))</f>
        <v/>
      </c>
      <c r="M4238" s="31" t="str">
        <f t="shared" si="465"/>
        <v/>
      </c>
      <c r="N4238" s="31" t="str">
        <f t="shared" si="466"/>
        <v/>
      </c>
      <c r="O4238" s="31" t="str">
        <f>IF(OR(B4238="",C4238=""),"",K4238-N4238 + IFERROR(E4238 / SUMIFS('📅 Resumen Diario'!$D$5:$D$504, '📅 Resumen Diario'!$B$5:$B$504, B4238, '📅 Resumen Diario'!$C$5:$C$504, D4238) * (SUMIFS('📋 Detalle Diario'!$E$5:$E$489, '📋 Detalle Diario'!$B$5:$B$489, B4238, '📋 Detalle Diario'!$C$5:$C$489, D4238) * 135 + SUMIFS('📋 Detalle Diario'!$I$5:$I$489, '📋 Detalle Diario'!$B$5:$B$489, B4238, '📋 Detalle Diario'!$C$5:$C$489, D4238) * 200), 0))</f>
        <v/>
      </c>
      <c r="P4238" s="32" t="str">
        <f t="shared" si="467"/>
        <v/>
      </c>
      <c r="Q4238" s="33" t="str">
        <f t="shared" si="468"/>
        <v/>
      </c>
    </row>
    <row r="4239" spans="2:17" ht="18" customHeight="1" x14ac:dyDescent="0.3">
      <c r="B4239" s="26"/>
      <c r="C4239" s="28"/>
      <c r="D4239" s="27"/>
      <c r="E4239" s="29"/>
      <c r="F4239" s="29"/>
      <c r="G4239" s="29"/>
      <c r="H4239" s="30" t="str">
        <f t="shared" si="462"/>
        <v/>
      </c>
      <c r="I4239" s="31" t="str">
        <f>IF(OR(B4239="",C4239=""),"",IFERROR(E4239*IF(E4239="",0,VLOOKUP(C4239,'📦 Precios Proforma'!$B$5:$D$104,IF(D4239="DIA",2,3),FALSE)),0))</f>
        <v/>
      </c>
      <c r="J4239" s="31" t="str">
        <f t="shared" si="463"/>
        <v/>
      </c>
      <c r="K4239" s="31" t="str">
        <f t="shared" si="464"/>
        <v/>
      </c>
      <c r="L4239" s="31" t="str">
        <f>IF(OR(B4239="",C4239=""),"",IFERROR(E4239 / SUMIFS('📅 Resumen Diario'!$D$5:$D$504, '📅 Resumen Diario'!$B$5:$B$504, B4239, '📅 Resumen Diario'!$C$5:$C$504, D4239) * SUMIFS('📅 Resumen Diario'!$K$5:$K$504, '📅 Resumen Diario'!$B$5:$B$504, B4239, '📅 Resumen Diario'!$C$5:$C$504, D4239), 0))</f>
        <v/>
      </c>
      <c r="M4239" s="31" t="str">
        <f t="shared" si="465"/>
        <v/>
      </c>
      <c r="N4239" s="31" t="str">
        <f t="shared" si="466"/>
        <v/>
      </c>
      <c r="O4239" s="31" t="str">
        <f>IF(OR(B4239="",C4239=""),"",K4239-N4239 + IFERROR(E4239 / SUMIFS('📅 Resumen Diario'!$D$5:$D$504, '📅 Resumen Diario'!$B$5:$B$504, B4239, '📅 Resumen Diario'!$C$5:$C$504, D4239) * (SUMIFS('📋 Detalle Diario'!$E$5:$E$489, '📋 Detalle Diario'!$B$5:$B$489, B4239, '📋 Detalle Diario'!$C$5:$C$489, D4239) * 135 + SUMIFS('📋 Detalle Diario'!$I$5:$I$489, '📋 Detalle Diario'!$B$5:$B$489, B4239, '📋 Detalle Diario'!$C$5:$C$489, D4239) * 200), 0))</f>
        <v/>
      </c>
      <c r="P4239" s="32" t="str">
        <f t="shared" si="467"/>
        <v/>
      </c>
      <c r="Q4239" s="33" t="str">
        <f t="shared" si="468"/>
        <v/>
      </c>
    </row>
    <row r="4240" spans="2:17" ht="18" customHeight="1" x14ac:dyDescent="0.3">
      <c r="B4240" s="26"/>
      <c r="C4240" s="17"/>
      <c r="D4240" s="27"/>
      <c r="E4240" s="18"/>
      <c r="F4240" s="18"/>
      <c r="G4240" s="18"/>
      <c r="H4240" s="30" t="str">
        <f t="shared" si="462"/>
        <v/>
      </c>
      <c r="I4240" s="31" t="str">
        <f>IF(OR(B4240="",C4240=""),"",IFERROR(E4240*IF(E4240="",0,VLOOKUP(C4240,'📦 Precios Proforma'!$B$5:$D$104,IF(D4240="DIA",2,3),FALSE)),0))</f>
        <v/>
      </c>
      <c r="J4240" s="31" t="str">
        <f t="shared" si="463"/>
        <v/>
      </c>
      <c r="K4240" s="31" t="str">
        <f t="shared" si="464"/>
        <v/>
      </c>
      <c r="L4240" s="31" t="str">
        <f>IF(OR(B4240="",C4240=""),"",IFERROR(E4240 / SUMIFS('📅 Resumen Diario'!$D$5:$D$504, '📅 Resumen Diario'!$B$5:$B$504, B4240, '📅 Resumen Diario'!$C$5:$C$504, D4240) * SUMIFS('📅 Resumen Diario'!$K$5:$K$504, '📅 Resumen Diario'!$B$5:$B$504, B4240, '📅 Resumen Diario'!$C$5:$C$504, D4240), 0))</f>
        <v/>
      </c>
      <c r="M4240" s="31" t="str">
        <f t="shared" si="465"/>
        <v/>
      </c>
      <c r="N4240" s="31" t="str">
        <f t="shared" si="466"/>
        <v/>
      </c>
      <c r="O4240" s="31" t="str">
        <f>IF(OR(B4240="",C4240=""),"",K4240-N4240 + IFERROR(E4240 / SUMIFS('📅 Resumen Diario'!$D$5:$D$504, '📅 Resumen Diario'!$B$5:$B$504, B4240, '📅 Resumen Diario'!$C$5:$C$504, D4240) * (SUMIFS('📋 Detalle Diario'!$E$5:$E$489, '📋 Detalle Diario'!$B$5:$B$489, B4240, '📋 Detalle Diario'!$C$5:$C$489, D4240) * 135 + SUMIFS('📋 Detalle Diario'!$I$5:$I$489, '📋 Detalle Diario'!$B$5:$B$489, B4240, '📋 Detalle Diario'!$C$5:$C$489, D4240) * 200), 0))</f>
        <v/>
      </c>
      <c r="P4240" s="32" t="str">
        <f t="shared" si="467"/>
        <v/>
      </c>
      <c r="Q4240" s="33" t="str">
        <f t="shared" si="468"/>
        <v/>
      </c>
    </row>
    <row r="4241" spans="2:17" ht="18" customHeight="1" x14ac:dyDescent="0.3">
      <c r="B4241" s="26"/>
      <c r="C4241" s="28"/>
      <c r="D4241" s="27"/>
      <c r="E4241" s="29"/>
      <c r="F4241" s="29"/>
      <c r="G4241" s="29"/>
      <c r="H4241" s="30" t="str">
        <f t="shared" si="462"/>
        <v/>
      </c>
      <c r="I4241" s="31" t="str">
        <f>IF(OR(B4241="",C4241=""),"",IFERROR(E4241*IF(E4241="",0,VLOOKUP(C4241,'📦 Precios Proforma'!$B$5:$D$104,IF(D4241="DIA",2,3),FALSE)),0))</f>
        <v/>
      </c>
      <c r="J4241" s="31" t="str">
        <f t="shared" si="463"/>
        <v/>
      </c>
      <c r="K4241" s="31" t="str">
        <f t="shared" si="464"/>
        <v/>
      </c>
      <c r="L4241" s="31" t="str">
        <f>IF(OR(B4241="",C4241=""),"",IFERROR(E4241 / SUMIFS('📅 Resumen Diario'!$D$5:$D$504, '📅 Resumen Diario'!$B$5:$B$504, B4241, '📅 Resumen Diario'!$C$5:$C$504, D4241) * SUMIFS('📅 Resumen Diario'!$K$5:$K$504, '📅 Resumen Diario'!$B$5:$B$504, B4241, '📅 Resumen Diario'!$C$5:$C$504, D4241), 0))</f>
        <v/>
      </c>
      <c r="M4241" s="31" t="str">
        <f t="shared" si="465"/>
        <v/>
      </c>
      <c r="N4241" s="31" t="str">
        <f t="shared" si="466"/>
        <v/>
      </c>
      <c r="O4241" s="31" t="str">
        <f>IF(OR(B4241="",C4241=""),"",K4241-N4241 + IFERROR(E4241 / SUMIFS('📅 Resumen Diario'!$D$5:$D$504, '📅 Resumen Diario'!$B$5:$B$504, B4241, '📅 Resumen Diario'!$C$5:$C$504, D4241) * (SUMIFS('📋 Detalle Diario'!$E$5:$E$489, '📋 Detalle Diario'!$B$5:$B$489, B4241, '📋 Detalle Diario'!$C$5:$C$489, D4241) * 135 + SUMIFS('📋 Detalle Diario'!$I$5:$I$489, '📋 Detalle Diario'!$B$5:$B$489, B4241, '📋 Detalle Diario'!$C$5:$C$489, D4241) * 200), 0))</f>
        <v/>
      </c>
      <c r="P4241" s="32" t="str">
        <f t="shared" si="467"/>
        <v/>
      </c>
      <c r="Q4241" s="33" t="str">
        <f t="shared" si="468"/>
        <v/>
      </c>
    </row>
    <row r="4242" spans="2:17" ht="18" customHeight="1" x14ac:dyDescent="0.3">
      <c r="B4242" s="26"/>
      <c r="C4242" s="17"/>
      <c r="D4242" s="27"/>
      <c r="E4242" s="18"/>
      <c r="F4242" s="18"/>
      <c r="G4242" s="18"/>
      <c r="H4242" s="30" t="str">
        <f t="shared" si="462"/>
        <v/>
      </c>
      <c r="I4242" s="31" t="str">
        <f>IF(OR(B4242="",C4242=""),"",IFERROR(E4242*IF(E4242="",0,VLOOKUP(C4242,'📦 Precios Proforma'!$B$5:$D$104,IF(D4242="DIA",2,3),FALSE)),0))</f>
        <v/>
      </c>
      <c r="J4242" s="31" t="str">
        <f t="shared" si="463"/>
        <v/>
      </c>
      <c r="K4242" s="31" t="str">
        <f t="shared" si="464"/>
        <v/>
      </c>
      <c r="L4242" s="31" t="str">
        <f>IF(OR(B4242="",C4242=""),"",IFERROR(E4242 / SUMIFS('📅 Resumen Diario'!$D$5:$D$504, '📅 Resumen Diario'!$B$5:$B$504, B4242, '📅 Resumen Diario'!$C$5:$C$504, D4242) * SUMIFS('📅 Resumen Diario'!$K$5:$K$504, '📅 Resumen Diario'!$B$5:$B$504, B4242, '📅 Resumen Diario'!$C$5:$C$504, D4242), 0))</f>
        <v/>
      </c>
      <c r="M4242" s="31" t="str">
        <f t="shared" si="465"/>
        <v/>
      </c>
      <c r="N4242" s="31" t="str">
        <f t="shared" si="466"/>
        <v/>
      </c>
      <c r="O4242" s="31" t="str">
        <f>IF(OR(B4242="",C4242=""),"",K4242-N4242 + IFERROR(E4242 / SUMIFS('📅 Resumen Diario'!$D$5:$D$504, '📅 Resumen Diario'!$B$5:$B$504, B4242, '📅 Resumen Diario'!$C$5:$C$504, D4242) * (SUMIFS('📋 Detalle Diario'!$E$5:$E$489, '📋 Detalle Diario'!$B$5:$B$489, B4242, '📋 Detalle Diario'!$C$5:$C$489, D4242) * 135 + SUMIFS('📋 Detalle Diario'!$I$5:$I$489, '📋 Detalle Diario'!$B$5:$B$489, B4242, '📋 Detalle Diario'!$C$5:$C$489, D4242) * 200), 0))</f>
        <v/>
      </c>
      <c r="P4242" s="32" t="str">
        <f t="shared" si="467"/>
        <v/>
      </c>
      <c r="Q4242" s="33" t="str">
        <f t="shared" si="468"/>
        <v/>
      </c>
    </row>
    <row r="4243" spans="2:17" ht="18" customHeight="1" x14ac:dyDescent="0.3">
      <c r="B4243" s="26"/>
      <c r="C4243" s="28"/>
      <c r="D4243" s="27"/>
      <c r="E4243" s="29"/>
      <c r="F4243" s="29"/>
      <c r="G4243" s="29"/>
      <c r="H4243" s="30" t="str">
        <f t="shared" si="462"/>
        <v/>
      </c>
      <c r="I4243" s="31" t="str">
        <f>IF(OR(B4243="",C4243=""),"",IFERROR(E4243*IF(E4243="",0,VLOOKUP(C4243,'📦 Precios Proforma'!$B$5:$D$104,IF(D4243="DIA",2,3),FALSE)),0))</f>
        <v/>
      </c>
      <c r="J4243" s="31" t="str">
        <f t="shared" si="463"/>
        <v/>
      </c>
      <c r="K4243" s="31" t="str">
        <f t="shared" si="464"/>
        <v/>
      </c>
      <c r="L4243" s="31" t="str">
        <f>IF(OR(B4243="",C4243=""),"",IFERROR(E4243 / SUMIFS('📅 Resumen Diario'!$D$5:$D$504, '📅 Resumen Diario'!$B$5:$B$504, B4243, '📅 Resumen Diario'!$C$5:$C$504, D4243) * SUMIFS('📅 Resumen Diario'!$K$5:$K$504, '📅 Resumen Diario'!$B$5:$B$504, B4243, '📅 Resumen Diario'!$C$5:$C$504, D4243), 0))</f>
        <v/>
      </c>
      <c r="M4243" s="31" t="str">
        <f t="shared" si="465"/>
        <v/>
      </c>
      <c r="N4243" s="31" t="str">
        <f t="shared" si="466"/>
        <v/>
      </c>
      <c r="O4243" s="31" t="str">
        <f>IF(OR(B4243="",C4243=""),"",K4243-N4243 + IFERROR(E4243 / SUMIFS('📅 Resumen Diario'!$D$5:$D$504, '📅 Resumen Diario'!$B$5:$B$504, B4243, '📅 Resumen Diario'!$C$5:$C$504, D4243) * (SUMIFS('📋 Detalle Diario'!$E$5:$E$489, '📋 Detalle Diario'!$B$5:$B$489, B4243, '📋 Detalle Diario'!$C$5:$C$489, D4243) * 135 + SUMIFS('📋 Detalle Diario'!$I$5:$I$489, '📋 Detalle Diario'!$B$5:$B$489, B4243, '📋 Detalle Diario'!$C$5:$C$489, D4243) * 200), 0))</f>
        <v/>
      </c>
      <c r="P4243" s="32" t="str">
        <f t="shared" si="467"/>
        <v/>
      </c>
      <c r="Q4243" s="33" t="str">
        <f t="shared" si="468"/>
        <v/>
      </c>
    </row>
    <row r="4244" spans="2:17" ht="18" customHeight="1" x14ac:dyDescent="0.3">
      <c r="B4244" s="26"/>
      <c r="C4244" s="17"/>
      <c r="D4244" s="27"/>
      <c r="E4244" s="18"/>
      <c r="F4244" s="18"/>
      <c r="G4244" s="18"/>
      <c r="H4244" s="30" t="str">
        <f t="shared" si="462"/>
        <v/>
      </c>
      <c r="I4244" s="31" t="str">
        <f>IF(OR(B4244="",C4244=""),"",IFERROR(E4244*IF(E4244="",0,VLOOKUP(C4244,'📦 Precios Proforma'!$B$5:$D$104,IF(D4244="DIA",2,3),FALSE)),0))</f>
        <v/>
      </c>
      <c r="J4244" s="31" t="str">
        <f t="shared" si="463"/>
        <v/>
      </c>
      <c r="K4244" s="31" t="str">
        <f t="shared" si="464"/>
        <v/>
      </c>
      <c r="L4244" s="31" t="str">
        <f>IF(OR(B4244="",C4244=""),"",IFERROR(E4244 / SUMIFS('📅 Resumen Diario'!$D$5:$D$504, '📅 Resumen Diario'!$B$5:$B$504, B4244, '📅 Resumen Diario'!$C$5:$C$504, D4244) * SUMIFS('📅 Resumen Diario'!$K$5:$K$504, '📅 Resumen Diario'!$B$5:$B$504, B4244, '📅 Resumen Diario'!$C$5:$C$504, D4244), 0))</f>
        <v/>
      </c>
      <c r="M4244" s="31" t="str">
        <f t="shared" si="465"/>
        <v/>
      </c>
      <c r="N4244" s="31" t="str">
        <f t="shared" si="466"/>
        <v/>
      </c>
      <c r="O4244" s="31" t="str">
        <f>IF(OR(B4244="",C4244=""),"",K4244-N4244 + IFERROR(E4244 / SUMIFS('📅 Resumen Diario'!$D$5:$D$504, '📅 Resumen Diario'!$B$5:$B$504, B4244, '📅 Resumen Diario'!$C$5:$C$504, D4244) * (SUMIFS('📋 Detalle Diario'!$E$5:$E$489, '📋 Detalle Diario'!$B$5:$B$489, B4244, '📋 Detalle Diario'!$C$5:$C$489, D4244) * 135 + SUMIFS('📋 Detalle Diario'!$I$5:$I$489, '📋 Detalle Diario'!$B$5:$B$489, B4244, '📋 Detalle Diario'!$C$5:$C$489, D4244) * 200), 0))</f>
        <v/>
      </c>
      <c r="P4244" s="32" t="str">
        <f t="shared" si="467"/>
        <v/>
      </c>
      <c r="Q4244" s="33" t="str">
        <f t="shared" si="468"/>
        <v/>
      </c>
    </row>
    <row r="4245" spans="2:17" ht="18" customHeight="1" x14ac:dyDescent="0.3">
      <c r="B4245" s="26"/>
      <c r="C4245" s="28"/>
      <c r="D4245" s="27"/>
      <c r="E4245" s="29"/>
      <c r="F4245" s="29"/>
      <c r="G4245" s="29"/>
      <c r="H4245" s="30" t="str">
        <f t="shared" si="462"/>
        <v/>
      </c>
      <c r="I4245" s="31" t="str">
        <f>IF(OR(B4245="",C4245=""),"",IFERROR(E4245*IF(E4245="",0,VLOOKUP(C4245,'📦 Precios Proforma'!$B$5:$D$104,IF(D4245="DIA",2,3),FALSE)),0))</f>
        <v/>
      </c>
      <c r="J4245" s="31" t="str">
        <f t="shared" si="463"/>
        <v/>
      </c>
      <c r="K4245" s="31" t="str">
        <f t="shared" si="464"/>
        <v/>
      </c>
      <c r="L4245" s="31" t="str">
        <f>IF(OR(B4245="",C4245=""),"",IFERROR(E4245 / SUMIFS('📅 Resumen Diario'!$D$5:$D$504, '📅 Resumen Diario'!$B$5:$B$504, B4245, '📅 Resumen Diario'!$C$5:$C$504, D4245) * SUMIFS('📅 Resumen Diario'!$K$5:$K$504, '📅 Resumen Diario'!$B$5:$B$504, B4245, '📅 Resumen Diario'!$C$5:$C$504, D4245), 0))</f>
        <v/>
      </c>
      <c r="M4245" s="31" t="str">
        <f t="shared" si="465"/>
        <v/>
      </c>
      <c r="N4245" s="31" t="str">
        <f t="shared" si="466"/>
        <v/>
      </c>
      <c r="O4245" s="31" t="str">
        <f>IF(OR(B4245="",C4245=""),"",K4245-N4245 + IFERROR(E4245 / SUMIFS('📅 Resumen Diario'!$D$5:$D$504, '📅 Resumen Diario'!$B$5:$B$504, B4245, '📅 Resumen Diario'!$C$5:$C$504, D4245) * (SUMIFS('📋 Detalle Diario'!$E$5:$E$489, '📋 Detalle Diario'!$B$5:$B$489, B4245, '📋 Detalle Diario'!$C$5:$C$489, D4245) * 135 + SUMIFS('📋 Detalle Diario'!$I$5:$I$489, '📋 Detalle Diario'!$B$5:$B$489, B4245, '📋 Detalle Diario'!$C$5:$C$489, D4245) * 200), 0))</f>
        <v/>
      </c>
      <c r="P4245" s="32" t="str">
        <f t="shared" si="467"/>
        <v/>
      </c>
      <c r="Q4245" s="33" t="str">
        <f t="shared" si="468"/>
        <v/>
      </c>
    </row>
    <row r="4246" spans="2:17" ht="18" customHeight="1" x14ac:dyDescent="0.3">
      <c r="B4246" s="26"/>
      <c r="C4246" s="17"/>
      <c r="D4246" s="27"/>
      <c r="E4246" s="18"/>
      <c r="F4246" s="18"/>
      <c r="G4246" s="18"/>
      <c r="H4246" s="30" t="str">
        <f t="shared" si="462"/>
        <v/>
      </c>
      <c r="I4246" s="31" t="str">
        <f>IF(OR(B4246="",C4246=""),"",IFERROR(E4246*IF(E4246="",0,VLOOKUP(C4246,'📦 Precios Proforma'!$B$5:$D$104,IF(D4246="DIA",2,3),FALSE)),0))</f>
        <v/>
      </c>
      <c r="J4246" s="31" t="str">
        <f t="shared" si="463"/>
        <v/>
      </c>
      <c r="K4246" s="31" t="str">
        <f t="shared" si="464"/>
        <v/>
      </c>
      <c r="L4246" s="31" t="str">
        <f>IF(OR(B4246="",C4246=""),"",IFERROR(E4246 / SUMIFS('📅 Resumen Diario'!$D$5:$D$504, '📅 Resumen Diario'!$B$5:$B$504, B4246, '📅 Resumen Diario'!$C$5:$C$504, D4246) * SUMIFS('📅 Resumen Diario'!$K$5:$K$504, '📅 Resumen Diario'!$B$5:$B$504, B4246, '📅 Resumen Diario'!$C$5:$C$504, D4246), 0))</f>
        <v/>
      </c>
      <c r="M4246" s="31" t="str">
        <f t="shared" si="465"/>
        <v/>
      </c>
      <c r="N4246" s="31" t="str">
        <f t="shared" si="466"/>
        <v/>
      </c>
      <c r="O4246" s="31" t="str">
        <f>IF(OR(B4246="",C4246=""),"",K4246-N4246 + IFERROR(E4246 / SUMIFS('📅 Resumen Diario'!$D$5:$D$504, '📅 Resumen Diario'!$B$5:$B$504, B4246, '📅 Resumen Diario'!$C$5:$C$504, D4246) * (SUMIFS('📋 Detalle Diario'!$E$5:$E$489, '📋 Detalle Diario'!$B$5:$B$489, B4246, '📋 Detalle Diario'!$C$5:$C$489, D4246) * 135 + SUMIFS('📋 Detalle Diario'!$I$5:$I$489, '📋 Detalle Diario'!$B$5:$B$489, B4246, '📋 Detalle Diario'!$C$5:$C$489, D4246) * 200), 0))</f>
        <v/>
      </c>
      <c r="P4246" s="32" t="str">
        <f t="shared" si="467"/>
        <v/>
      </c>
      <c r="Q4246" s="33" t="str">
        <f t="shared" si="468"/>
        <v/>
      </c>
    </row>
    <row r="4247" spans="2:17" ht="18" customHeight="1" x14ac:dyDescent="0.3">
      <c r="B4247" s="26"/>
      <c r="C4247" s="28"/>
      <c r="D4247" s="27"/>
      <c r="E4247" s="29"/>
      <c r="F4247" s="29"/>
      <c r="G4247" s="29"/>
      <c r="H4247" s="30" t="str">
        <f t="shared" si="462"/>
        <v/>
      </c>
      <c r="I4247" s="31" t="str">
        <f>IF(OR(B4247="",C4247=""),"",IFERROR(E4247*IF(E4247="",0,VLOOKUP(C4247,'📦 Precios Proforma'!$B$5:$D$104,IF(D4247="DIA",2,3),FALSE)),0))</f>
        <v/>
      </c>
      <c r="J4247" s="31" t="str">
        <f t="shared" si="463"/>
        <v/>
      </c>
      <c r="K4247" s="31" t="str">
        <f t="shared" si="464"/>
        <v/>
      </c>
      <c r="L4247" s="31" t="str">
        <f>IF(OR(B4247="",C4247=""),"",IFERROR(E4247 / SUMIFS('📅 Resumen Diario'!$D$5:$D$504, '📅 Resumen Diario'!$B$5:$B$504, B4247, '📅 Resumen Diario'!$C$5:$C$504, D4247) * SUMIFS('📅 Resumen Diario'!$K$5:$K$504, '📅 Resumen Diario'!$B$5:$B$504, B4247, '📅 Resumen Diario'!$C$5:$C$504, D4247), 0))</f>
        <v/>
      </c>
      <c r="M4247" s="31" t="str">
        <f t="shared" si="465"/>
        <v/>
      </c>
      <c r="N4247" s="31" t="str">
        <f t="shared" si="466"/>
        <v/>
      </c>
      <c r="O4247" s="31" t="str">
        <f>IF(OR(B4247="",C4247=""),"",K4247-N4247 + IFERROR(E4247 / SUMIFS('📅 Resumen Diario'!$D$5:$D$504, '📅 Resumen Diario'!$B$5:$B$504, B4247, '📅 Resumen Diario'!$C$5:$C$504, D4247) * (SUMIFS('📋 Detalle Diario'!$E$5:$E$489, '📋 Detalle Diario'!$B$5:$B$489, B4247, '📋 Detalle Diario'!$C$5:$C$489, D4247) * 135 + SUMIFS('📋 Detalle Diario'!$I$5:$I$489, '📋 Detalle Diario'!$B$5:$B$489, B4247, '📋 Detalle Diario'!$C$5:$C$489, D4247) * 200), 0))</f>
        <v/>
      </c>
      <c r="P4247" s="32" t="str">
        <f t="shared" si="467"/>
        <v/>
      </c>
      <c r="Q4247" s="33" t="str">
        <f t="shared" si="468"/>
        <v/>
      </c>
    </row>
    <row r="4248" spans="2:17" ht="18" customHeight="1" x14ac:dyDescent="0.3">
      <c r="B4248" s="26"/>
      <c r="C4248" s="17"/>
      <c r="D4248" s="27"/>
      <c r="E4248" s="18"/>
      <c r="F4248" s="18"/>
      <c r="G4248" s="18"/>
      <c r="H4248" s="30" t="str">
        <f t="shared" si="462"/>
        <v/>
      </c>
      <c r="I4248" s="31" t="str">
        <f>IF(OR(B4248="",C4248=""),"",IFERROR(E4248*IF(E4248="",0,VLOOKUP(C4248,'📦 Precios Proforma'!$B$5:$D$104,IF(D4248="DIA",2,3),FALSE)),0))</f>
        <v/>
      </c>
      <c r="J4248" s="31" t="str">
        <f t="shared" si="463"/>
        <v/>
      </c>
      <c r="K4248" s="31" t="str">
        <f t="shared" si="464"/>
        <v/>
      </c>
      <c r="L4248" s="31" t="str">
        <f>IF(OR(B4248="",C4248=""),"",IFERROR(E4248 / SUMIFS('📅 Resumen Diario'!$D$5:$D$504, '📅 Resumen Diario'!$B$5:$B$504, B4248, '📅 Resumen Diario'!$C$5:$C$504, D4248) * SUMIFS('📅 Resumen Diario'!$K$5:$K$504, '📅 Resumen Diario'!$B$5:$B$504, B4248, '📅 Resumen Diario'!$C$5:$C$504, D4248), 0))</f>
        <v/>
      </c>
      <c r="M4248" s="31" t="str">
        <f t="shared" si="465"/>
        <v/>
      </c>
      <c r="N4248" s="31" t="str">
        <f t="shared" si="466"/>
        <v/>
      </c>
      <c r="O4248" s="31" t="str">
        <f>IF(OR(B4248="",C4248=""),"",K4248-N4248 + IFERROR(E4248 / SUMIFS('📅 Resumen Diario'!$D$5:$D$504, '📅 Resumen Diario'!$B$5:$B$504, B4248, '📅 Resumen Diario'!$C$5:$C$504, D4248) * (SUMIFS('📋 Detalle Diario'!$E$5:$E$489, '📋 Detalle Diario'!$B$5:$B$489, B4248, '📋 Detalle Diario'!$C$5:$C$489, D4248) * 135 + SUMIFS('📋 Detalle Diario'!$I$5:$I$489, '📋 Detalle Diario'!$B$5:$B$489, B4248, '📋 Detalle Diario'!$C$5:$C$489, D4248) * 200), 0))</f>
        <v/>
      </c>
      <c r="P4248" s="32" t="str">
        <f t="shared" si="467"/>
        <v/>
      </c>
      <c r="Q4248" s="33" t="str">
        <f t="shared" si="468"/>
        <v/>
      </c>
    </row>
    <row r="4249" spans="2:17" ht="18" customHeight="1" x14ac:dyDescent="0.3">
      <c r="B4249" s="26"/>
      <c r="C4249" s="28"/>
      <c r="D4249" s="27"/>
      <c r="E4249" s="29"/>
      <c r="F4249" s="29"/>
      <c r="G4249" s="29"/>
      <c r="H4249" s="30" t="str">
        <f t="shared" si="462"/>
        <v/>
      </c>
      <c r="I4249" s="31" t="str">
        <f>IF(OR(B4249="",C4249=""),"",IFERROR(E4249*IF(E4249="",0,VLOOKUP(C4249,'📦 Precios Proforma'!$B$5:$D$104,IF(D4249="DIA",2,3),FALSE)),0))</f>
        <v/>
      </c>
      <c r="J4249" s="31" t="str">
        <f t="shared" si="463"/>
        <v/>
      </c>
      <c r="K4249" s="31" t="str">
        <f t="shared" si="464"/>
        <v/>
      </c>
      <c r="L4249" s="31" t="str">
        <f>IF(OR(B4249="",C4249=""),"",IFERROR(E4249 / SUMIFS('📅 Resumen Diario'!$D$5:$D$504, '📅 Resumen Diario'!$B$5:$B$504, B4249, '📅 Resumen Diario'!$C$5:$C$504, D4249) * SUMIFS('📅 Resumen Diario'!$K$5:$K$504, '📅 Resumen Diario'!$B$5:$B$504, B4249, '📅 Resumen Diario'!$C$5:$C$504, D4249), 0))</f>
        <v/>
      </c>
      <c r="M4249" s="31" t="str">
        <f t="shared" si="465"/>
        <v/>
      </c>
      <c r="N4249" s="31" t="str">
        <f t="shared" si="466"/>
        <v/>
      </c>
      <c r="O4249" s="31" t="str">
        <f>IF(OR(B4249="",C4249=""),"",K4249-N4249 + IFERROR(E4249 / SUMIFS('📅 Resumen Diario'!$D$5:$D$504, '📅 Resumen Diario'!$B$5:$B$504, B4249, '📅 Resumen Diario'!$C$5:$C$504, D4249) * (SUMIFS('📋 Detalle Diario'!$E$5:$E$489, '📋 Detalle Diario'!$B$5:$B$489, B4249, '📋 Detalle Diario'!$C$5:$C$489, D4249) * 135 + SUMIFS('📋 Detalle Diario'!$I$5:$I$489, '📋 Detalle Diario'!$B$5:$B$489, B4249, '📋 Detalle Diario'!$C$5:$C$489, D4249) * 200), 0))</f>
        <v/>
      </c>
      <c r="P4249" s="32" t="str">
        <f t="shared" si="467"/>
        <v/>
      </c>
      <c r="Q4249" s="33" t="str">
        <f t="shared" si="468"/>
        <v/>
      </c>
    </row>
    <row r="4250" spans="2:17" ht="18" customHeight="1" x14ac:dyDescent="0.3">
      <c r="B4250" s="26"/>
      <c r="C4250" s="17"/>
      <c r="D4250" s="27"/>
      <c r="E4250" s="18"/>
      <c r="F4250" s="18"/>
      <c r="G4250" s="18"/>
      <c r="H4250" s="30" t="str">
        <f t="shared" si="462"/>
        <v/>
      </c>
      <c r="I4250" s="31" t="str">
        <f>IF(OR(B4250="",C4250=""),"",IFERROR(E4250*IF(E4250="",0,VLOOKUP(C4250,'📦 Precios Proforma'!$B$5:$D$104,IF(D4250="DIA",2,3),FALSE)),0))</f>
        <v/>
      </c>
      <c r="J4250" s="31" t="str">
        <f t="shared" si="463"/>
        <v/>
      </c>
      <c r="K4250" s="31" t="str">
        <f t="shared" si="464"/>
        <v/>
      </c>
      <c r="L4250" s="31" t="str">
        <f>IF(OR(B4250="",C4250=""),"",IFERROR(E4250 / SUMIFS('📅 Resumen Diario'!$D$5:$D$504, '📅 Resumen Diario'!$B$5:$B$504, B4250, '📅 Resumen Diario'!$C$5:$C$504, D4250) * SUMIFS('📅 Resumen Diario'!$K$5:$K$504, '📅 Resumen Diario'!$B$5:$B$504, B4250, '📅 Resumen Diario'!$C$5:$C$504, D4250), 0))</f>
        <v/>
      </c>
      <c r="M4250" s="31" t="str">
        <f t="shared" si="465"/>
        <v/>
      </c>
      <c r="N4250" s="31" t="str">
        <f t="shared" si="466"/>
        <v/>
      </c>
      <c r="O4250" s="31" t="str">
        <f>IF(OR(B4250="",C4250=""),"",K4250-N4250 + IFERROR(E4250 / SUMIFS('📅 Resumen Diario'!$D$5:$D$504, '📅 Resumen Diario'!$B$5:$B$504, B4250, '📅 Resumen Diario'!$C$5:$C$504, D4250) * (SUMIFS('📋 Detalle Diario'!$E$5:$E$489, '📋 Detalle Diario'!$B$5:$B$489, B4250, '📋 Detalle Diario'!$C$5:$C$489, D4250) * 135 + SUMIFS('📋 Detalle Diario'!$I$5:$I$489, '📋 Detalle Diario'!$B$5:$B$489, B4250, '📋 Detalle Diario'!$C$5:$C$489, D4250) * 200), 0))</f>
        <v/>
      </c>
      <c r="P4250" s="32" t="str">
        <f t="shared" si="467"/>
        <v/>
      </c>
      <c r="Q4250" s="33" t="str">
        <f t="shared" si="468"/>
        <v/>
      </c>
    </row>
    <row r="4251" spans="2:17" ht="18" customHeight="1" x14ac:dyDescent="0.3">
      <c r="B4251" s="26"/>
      <c r="C4251" s="28"/>
      <c r="D4251" s="27"/>
      <c r="E4251" s="29"/>
      <c r="F4251" s="29"/>
      <c r="G4251" s="29"/>
      <c r="H4251" s="30" t="str">
        <f t="shared" si="462"/>
        <v/>
      </c>
      <c r="I4251" s="31" t="str">
        <f>IF(OR(B4251="",C4251=""),"",IFERROR(E4251*IF(E4251="",0,VLOOKUP(C4251,'📦 Precios Proforma'!$B$5:$D$104,IF(D4251="DIA",2,3),FALSE)),0))</f>
        <v/>
      </c>
      <c r="J4251" s="31" t="str">
        <f t="shared" si="463"/>
        <v/>
      </c>
      <c r="K4251" s="31" t="str">
        <f t="shared" si="464"/>
        <v/>
      </c>
      <c r="L4251" s="31" t="str">
        <f>IF(OR(B4251="",C4251=""),"",IFERROR(E4251 / SUMIFS('📅 Resumen Diario'!$D$5:$D$504, '📅 Resumen Diario'!$B$5:$B$504, B4251, '📅 Resumen Diario'!$C$5:$C$504, D4251) * SUMIFS('📅 Resumen Diario'!$K$5:$K$504, '📅 Resumen Diario'!$B$5:$B$504, B4251, '📅 Resumen Diario'!$C$5:$C$504, D4251), 0))</f>
        <v/>
      </c>
      <c r="M4251" s="31" t="str">
        <f t="shared" si="465"/>
        <v/>
      </c>
      <c r="N4251" s="31" t="str">
        <f t="shared" si="466"/>
        <v/>
      </c>
      <c r="O4251" s="31" t="str">
        <f>IF(OR(B4251="",C4251=""),"",K4251-N4251 + IFERROR(E4251 / SUMIFS('📅 Resumen Diario'!$D$5:$D$504, '📅 Resumen Diario'!$B$5:$B$504, B4251, '📅 Resumen Diario'!$C$5:$C$504, D4251) * (SUMIFS('📋 Detalle Diario'!$E$5:$E$489, '📋 Detalle Diario'!$B$5:$B$489, B4251, '📋 Detalle Diario'!$C$5:$C$489, D4251) * 135 + SUMIFS('📋 Detalle Diario'!$I$5:$I$489, '📋 Detalle Diario'!$B$5:$B$489, B4251, '📋 Detalle Diario'!$C$5:$C$489, D4251) * 200), 0))</f>
        <v/>
      </c>
      <c r="P4251" s="32" t="str">
        <f t="shared" si="467"/>
        <v/>
      </c>
      <c r="Q4251" s="33" t="str">
        <f t="shared" si="468"/>
        <v/>
      </c>
    </row>
    <row r="4252" spans="2:17" ht="18" customHeight="1" x14ac:dyDescent="0.3">
      <c r="B4252" s="26"/>
      <c r="C4252" s="17"/>
      <c r="D4252" s="27"/>
      <c r="E4252" s="18"/>
      <c r="F4252" s="18"/>
      <c r="G4252" s="18"/>
      <c r="H4252" s="30" t="str">
        <f t="shared" si="462"/>
        <v/>
      </c>
      <c r="I4252" s="31" t="str">
        <f>IF(OR(B4252="",C4252=""),"",IFERROR(E4252*IF(E4252="",0,VLOOKUP(C4252,'📦 Precios Proforma'!$B$5:$D$104,IF(D4252="DIA",2,3),FALSE)),0))</f>
        <v/>
      </c>
      <c r="J4252" s="31" t="str">
        <f t="shared" si="463"/>
        <v/>
      </c>
      <c r="K4252" s="31" t="str">
        <f t="shared" si="464"/>
        <v/>
      </c>
      <c r="L4252" s="31" t="str">
        <f>IF(OR(B4252="",C4252=""),"",IFERROR(E4252 / SUMIFS('📅 Resumen Diario'!$D$5:$D$504, '📅 Resumen Diario'!$B$5:$B$504, B4252, '📅 Resumen Diario'!$C$5:$C$504, D4252) * SUMIFS('📅 Resumen Diario'!$K$5:$K$504, '📅 Resumen Diario'!$B$5:$B$504, B4252, '📅 Resumen Diario'!$C$5:$C$504, D4252), 0))</f>
        <v/>
      </c>
      <c r="M4252" s="31" t="str">
        <f t="shared" si="465"/>
        <v/>
      </c>
      <c r="N4252" s="31" t="str">
        <f t="shared" si="466"/>
        <v/>
      </c>
      <c r="O4252" s="31" t="str">
        <f>IF(OR(B4252="",C4252=""),"",K4252-N4252 + IFERROR(E4252 / SUMIFS('📅 Resumen Diario'!$D$5:$D$504, '📅 Resumen Diario'!$B$5:$B$504, B4252, '📅 Resumen Diario'!$C$5:$C$504, D4252) * (SUMIFS('📋 Detalle Diario'!$E$5:$E$489, '📋 Detalle Diario'!$B$5:$B$489, B4252, '📋 Detalle Diario'!$C$5:$C$489, D4252) * 135 + SUMIFS('📋 Detalle Diario'!$I$5:$I$489, '📋 Detalle Diario'!$B$5:$B$489, B4252, '📋 Detalle Diario'!$C$5:$C$489, D4252) * 200), 0))</f>
        <v/>
      </c>
      <c r="P4252" s="32" t="str">
        <f t="shared" si="467"/>
        <v/>
      </c>
      <c r="Q4252" s="33" t="str">
        <f t="shared" si="468"/>
        <v/>
      </c>
    </row>
    <row r="4253" spans="2:17" ht="18" customHeight="1" x14ac:dyDescent="0.3">
      <c r="B4253" s="26"/>
      <c r="C4253" s="28"/>
      <c r="D4253" s="27"/>
      <c r="E4253" s="29"/>
      <c r="F4253" s="29"/>
      <c r="G4253" s="29"/>
      <c r="H4253" s="30" t="str">
        <f t="shared" si="462"/>
        <v/>
      </c>
      <c r="I4253" s="31" t="str">
        <f>IF(OR(B4253="",C4253=""),"",IFERROR(E4253*IF(E4253="",0,VLOOKUP(C4253,'📦 Precios Proforma'!$B$5:$D$104,IF(D4253="DIA",2,3),FALSE)),0))</f>
        <v/>
      </c>
      <c r="J4253" s="31" t="str">
        <f t="shared" si="463"/>
        <v/>
      </c>
      <c r="K4253" s="31" t="str">
        <f t="shared" si="464"/>
        <v/>
      </c>
      <c r="L4253" s="31" t="str">
        <f>IF(OR(B4253="",C4253=""),"",IFERROR(E4253 / SUMIFS('📅 Resumen Diario'!$D$5:$D$504, '📅 Resumen Diario'!$B$5:$B$504, B4253, '📅 Resumen Diario'!$C$5:$C$504, D4253) * SUMIFS('📅 Resumen Diario'!$K$5:$K$504, '📅 Resumen Diario'!$B$5:$B$504, B4253, '📅 Resumen Diario'!$C$5:$C$504, D4253), 0))</f>
        <v/>
      </c>
      <c r="M4253" s="31" t="str">
        <f t="shared" si="465"/>
        <v/>
      </c>
      <c r="N4253" s="31" t="str">
        <f t="shared" si="466"/>
        <v/>
      </c>
      <c r="O4253" s="31" t="str">
        <f>IF(OR(B4253="",C4253=""),"",K4253-N4253 + IFERROR(E4253 / SUMIFS('📅 Resumen Diario'!$D$5:$D$504, '📅 Resumen Diario'!$B$5:$B$504, B4253, '📅 Resumen Diario'!$C$5:$C$504, D4253) * (SUMIFS('📋 Detalle Diario'!$E$5:$E$489, '📋 Detalle Diario'!$B$5:$B$489, B4253, '📋 Detalle Diario'!$C$5:$C$489, D4253) * 135 + SUMIFS('📋 Detalle Diario'!$I$5:$I$489, '📋 Detalle Diario'!$B$5:$B$489, B4253, '📋 Detalle Diario'!$C$5:$C$489, D4253) * 200), 0))</f>
        <v/>
      </c>
      <c r="P4253" s="32" t="str">
        <f t="shared" si="467"/>
        <v/>
      </c>
      <c r="Q4253" s="33" t="str">
        <f t="shared" si="468"/>
        <v/>
      </c>
    </row>
    <row r="4254" spans="2:17" ht="18" customHeight="1" x14ac:dyDescent="0.3">
      <c r="B4254" s="26"/>
      <c r="C4254" s="17"/>
      <c r="D4254" s="27"/>
      <c r="E4254" s="18"/>
      <c r="F4254" s="18"/>
      <c r="G4254" s="18"/>
      <c r="H4254" s="30" t="str">
        <f t="shared" si="462"/>
        <v/>
      </c>
      <c r="I4254" s="31" t="str">
        <f>IF(OR(B4254="",C4254=""),"",IFERROR(E4254*IF(E4254="",0,VLOOKUP(C4254,'📦 Precios Proforma'!$B$5:$D$104,IF(D4254="DIA",2,3),FALSE)),0))</f>
        <v/>
      </c>
      <c r="J4254" s="31" t="str">
        <f t="shared" si="463"/>
        <v/>
      </c>
      <c r="K4254" s="31" t="str">
        <f t="shared" si="464"/>
        <v/>
      </c>
      <c r="L4254" s="31" t="str">
        <f>IF(OR(B4254="",C4254=""),"",IFERROR(E4254 / SUMIFS('📅 Resumen Diario'!$D$5:$D$504, '📅 Resumen Diario'!$B$5:$B$504, B4254, '📅 Resumen Diario'!$C$5:$C$504, D4254) * SUMIFS('📅 Resumen Diario'!$K$5:$K$504, '📅 Resumen Diario'!$B$5:$B$504, B4254, '📅 Resumen Diario'!$C$5:$C$504, D4254), 0))</f>
        <v/>
      </c>
      <c r="M4254" s="31" t="str">
        <f t="shared" si="465"/>
        <v/>
      </c>
      <c r="N4254" s="31" t="str">
        <f t="shared" si="466"/>
        <v/>
      </c>
      <c r="O4254" s="31" t="str">
        <f>IF(OR(B4254="",C4254=""),"",K4254-N4254 + IFERROR(E4254 / SUMIFS('📅 Resumen Diario'!$D$5:$D$504, '📅 Resumen Diario'!$B$5:$B$504, B4254, '📅 Resumen Diario'!$C$5:$C$504, D4254) * (SUMIFS('📋 Detalle Diario'!$E$5:$E$489, '📋 Detalle Diario'!$B$5:$B$489, B4254, '📋 Detalle Diario'!$C$5:$C$489, D4254) * 135 + SUMIFS('📋 Detalle Diario'!$I$5:$I$489, '📋 Detalle Diario'!$B$5:$B$489, B4254, '📋 Detalle Diario'!$C$5:$C$489, D4254) * 200), 0))</f>
        <v/>
      </c>
      <c r="P4254" s="32" t="str">
        <f t="shared" si="467"/>
        <v/>
      </c>
      <c r="Q4254" s="33" t="str">
        <f t="shared" si="468"/>
        <v/>
      </c>
    </row>
    <row r="4255" spans="2:17" ht="18" customHeight="1" x14ac:dyDescent="0.3">
      <c r="B4255" s="26"/>
      <c r="C4255" s="28"/>
      <c r="D4255" s="27"/>
      <c r="E4255" s="29"/>
      <c r="F4255" s="29"/>
      <c r="G4255" s="29"/>
      <c r="H4255" s="30" t="str">
        <f t="shared" si="462"/>
        <v/>
      </c>
      <c r="I4255" s="31" t="str">
        <f>IF(OR(B4255="",C4255=""),"",IFERROR(E4255*IF(E4255="",0,VLOOKUP(C4255,'📦 Precios Proforma'!$B$5:$D$104,IF(D4255="DIA",2,3),FALSE)),0))</f>
        <v/>
      </c>
      <c r="J4255" s="31" t="str">
        <f t="shared" si="463"/>
        <v/>
      </c>
      <c r="K4255" s="31" t="str">
        <f t="shared" si="464"/>
        <v/>
      </c>
      <c r="L4255" s="31" t="str">
        <f>IF(OR(B4255="",C4255=""),"",IFERROR(E4255 / SUMIFS('📅 Resumen Diario'!$D$5:$D$504, '📅 Resumen Diario'!$B$5:$B$504, B4255, '📅 Resumen Diario'!$C$5:$C$504, D4255) * SUMIFS('📅 Resumen Diario'!$K$5:$K$504, '📅 Resumen Diario'!$B$5:$B$504, B4255, '📅 Resumen Diario'!$C$5:$C$504, D4255), 0))</f>
        <v/>
      </c>
      <c r="M4255" s="31" t="str">
        <f t="shared" si="465"/>
        <v/>
      </c>
      <c r="N4255" s="31" t="str">
        <f t="shared" si="466"/>
        <v/>
      </c>
      <c r="O4255" s="31" t="str">
        <f>IF(OR(B4255="",C4255=""),"",K4255-N4255 + IFERROR(E4255 / SUMIFS('📅 Resumen Diario'!$D$5:$D$504, '📅 Resumen Diario'!$B$5:$B$504, B4255, '📅 Resumen Diario'!$C$5:$C$504, D4255) * (SUMIFS('📋 Detalle Diario'!$E$5:$E$489, '📋 Detalle Diario'!$B$5:$B$489, B4255, '📋 Detalle Diario'!$C$5:$C$489, D4255) * 135 + SUMIFS('📋 Detalle Diario'!$I$5:$I$489, '📋 Detalle Diario'!$B$5:$B$489, B4255, '📋 Detalle Diario'!$C$5:$C$489, D4255) * 200), 0))</f>
        <v/>
      </c>
      <c r="P4255" s="32" t="str">
        <f t="shared" si="467"/>
        <v/>
      </c>
      <c r="Q4255" s="33" t="str">
        <f t="shared" si="468"/>
        <v/>
      </c>
    </row>
    <row r="4256" spans="2:17" ht="18" customHeight="1" x14ac:dyDescent="0.3">
      <c r="B4256" s="26"/>
      <c r="C4256" s="17"/>
      <c r="D4256" s="27"/>
      <c r="E4256" s="18"/>
      <c r="F4256" s="18"/>
      <c r="G4256" s="18"/>
      <c r="H4256" s="30" t="str">
        <f t="shared" si="462"/>
        <v/>
      </c>
      <c r="I4256" s="31" t="str">
        <f>IF(OR(B4256="",C4256=""),"",IFERROR(E4256*IF(E4256="",0,VLOOKUP(C4256,'📦 Precios Proforma'!$B$5:$D$104,IF(D4256="DIA",2,3),FALSE)),0))</f>
        <v/>
      </c>
      <c r="J4256" s="31" t="str">
        <f t="shared" si="463"/>
        <v/>
      </c>
      <c r="K4256" s="31" t="str">
        <f t="shared" si="464"/>
        <v/>
      </c>
      <c r="L4256" s="31" t="str">
        <f>IF(OR(B4256="",C4256=""),"",IFERROR(E4256 / SUMIFS('📅 Resumen Diario'!$D$5:$D$504, '📅 Resumen Diario'!$B$5:$B$504, B4256, '📅 Resumen Diario'!$C$5:$C$504, D4256) * SUMIFS('📅 Resumen Diario'!$K$5:$K$504, '📅 Resumen Diario'!$B$5:$B$504, B4256, '📅 Resumen Diario'!$C$5:$C$504, D4256), 0))</f>
        <v/>
      </c>
      <c r="M4256" s="31" t="str">
        <f t="shared" si="465"/>
        <v/>
      </c>
      <c r="N4256" s="31" t="str">
        <f t="shared" si="466"/>
        <v/>
      </c>
      <c r="O4256" s="31" t="str">
        <f>IF(OR(B4256="",C4256=""),"",K4256-N4256 + IFERROR(E4256 / SUMIFS('📅 Resumen Diario'!$D$5:$D$504, '📅 Resumen Diario'!$B$5:$B$504, B4256, '📅 Resumen Diario'!$C$5:$C$504, D4256) * (SUMIFS('📋 Detalle Diario'!$E$5:$E$489, '📋 Detalle Diario'!$B$5:$B$489, B4256, '📋 Detalle Diario'!$C$5:$C$489, D4256) * 135 + SUMIFS('📋 Detalle Diario'!$I$5:$I$489, '📋 Detalle Diario'!$B$5:$B$489, B4256, '📋 Detalle Diario'!$C$5:$C$489, D4256) * 200), 0))</f>
        <v/>
      </c>
      <c r="P4256" s="32" t="str">
        <f t="shared" si="467"/>
        <v/>
      </c>
      <c r="Q4256" s="33" t="str">
        <f t="shared" si="468"/>
        <v/>
      </c>
    </row>
    <row r="4257" spans="2:17" ht="18" customHeight="1" x14ac:dyDescent="0.3">
      <c r="B4257" s="26"/>
      <c r="C4257" s="28"/>
      <c r="D4257" s="27"/>
      <c r="E4257" s="29"/>
      <c r="F4257" s="29"/>
      <c r="G4257" s="29"/>
      <c r="H4257" s="30" t="str">
        <f t="shared" si="462"/>
        <v/>
      </c>
      <c r="I4257" s="31" t="str">
        <f>IF(OR(B4257="",C4257=""),"",IFERROR(E4257*IF(E4257="",0,VLOOKUP(C4257,'📦 Precios Proforma'!$B$5:$D$104,IF(D4257="DIA",2,3),FALSE)),0))</f>
        <v/>
      </c>
      <c r="J4257" s="31" t="str">
        <f t="shared" si="463"/>
        <v/>
      </c>
      <c r="K4257" s="31" t="str">
        <f t="shared" si="464"/>
        <v/>
      </c>
      <c r="L4257" s="31" t="str">
        <f>IF(OR(B4257="",C4257=""),"",IFERROR(E4257 / SUMIFS('📅 Resumen Diario'!$D$5:$D$504, '📅 Resumen Diario'!$B$5:$B$504, B4257, '📅 Resumen Diario'!$C$5:$C$504, D4257) * SUMIFS('📅 Resumen Diario'!$K$5:$K$504, '📅 Resumen Diario'!$B$5:$B$504, B4257, '📅 Resumen Diario'!$C$5:$C$504, D4257), 0))</f>
        <v/>
      </c>
      <c r="M4257" s="31" t="str">
        <f t="shared" si="465"/>
        <v/>
      </c>
      <c r="N4257" s="31" t="str">
        <f t="shared" si="466"/>
        <v/>
      </c>
      <c r="O4257" s="31" t="str">
        <f>IF(OR(B4257="",C4257=""),"",K4257-N4257 + IFERROR(E4257 / SUMIFS('📅 Resumen Diario'!$D$5:$D$504, '📅 Resumen Diario'!$B$5:$B$504, B4257, '📅 Resumen Diario'!$C$5:$C$504, D4257) * (SUMIFS('📋 Detalle Diario'!$E$5:$E$489, '📋 Detalle Diario'!$B$5:$B$489, B4257, '📋 Detalle Diario'!$C$5:$C$489, D4257) * 135 + SUMIFS('📋 Detalle Diario'!$I$5:$I$489, '📋 Detalle Diario'!$B$5:$B$489, B4257, '📋 Detalle Diario'!$C$5:$C$489, D4257) * 200), 0))</f>
        <v/>
      </c>
      <c r="P4257" s="32" t="str">
        <f t="shared" si="467"/>
        <v/>
      </c>
      <c r="Q4257" s="33" t="str">
        <f t="shared" si="468"/>
        <v/>
      </c>
    </row>
    <row r="4258" spans="2:17" ht="18" customHeight="1" x14ac:dyDescent="0.3">
      <c r="B4258" s="26"/>
      <c r="C4258" s="17"/>
      <c r="D4258" s="27"/>
      <c r="E4258" s="18"/>
      <c r="F4258" s="18"/>
      <c r="G4258" s="18"/>
      <c r="H4258" s="30" t="str">
        <f t="shared" si="462"/>
        <v/>
      </c>
      <c r="I4258" s="31" t="str">
        <f>IF(OR(B4258="",C4258=""),"",IFERROR(E4258*IF(E4258="",0,VLOOKUP(C4258,'📦 Precios Proforma'!$B$5:$D$104,IF(D4258="DIA",2,3),FALSE)),0))</f>
        <v/>
      </c>
      <c r="J4258" s="31" t="str">
        <f t="shared" si="463"/>
        <v/>
      </c>
      <c r="K4258" s="31" t="str">
        <f t="shared" si="464"/>
        <v/>
      </c>
      <c r="L4258" s="31" t="str">
        <f>IF(OR(B4258="",C4258=""),"",IFERROR(E4258 / SUMIFS('📅 Resumen Diario'!$D$5:$D$504, '📅 Resumen Diario'!$B$5:$B$504, B4258, '📅 Resumen Diario'!$C$5:$C$504, D4258) * SUMIFS('📅 Resumen Diario'!$K$5:$K$504, '📅 Resumen Diario'!$B$5:$B$504, B4258, '📅 Resumen Diario'!$C$5:$C$504, D4258), 0))</f>
        <v/>
      </c>
      <c r="M4258" s="31" t="str">
        <f t="shared" si="465"/>
        <v/>
      </c>
      <c r="N4258" s="31" t="str">
        <f t="shared" si="466"/>
        <v/>
      </c>
      <c r="O4258" s="31" t="str">
        <f>IF(OR(B4258="",C4258=""),"",K4258-N4258 + IFERROR(E4258 / SUMIFS('📅 Resumen Diario'!$D$5:$D$504, '📅 Resumen Diario'!$B$5:$B$504, B4258, '📅 Resumen Diario'!$C$5:$C$504, D4258) * (SUMIFS('📋 Detalle Diario'!$E$5:$E$489, '📋 Detalle Diario'!$B$5:$B$489, B4258, '📋 Detalle Diario'!$C$5:$C$489, D4258) * 135 + SUMIFS('📋 Detalle Diario'!$I$5:$I$489, '📋 Detalle Diario'!$B$5:$B$489, B4258, '📋 Detalle Diario'!$C$5:$C$489, D4258) * 200), 0))</f>
        <v/>
      </c>
      <c r="P4258" s="32" t="str">
        <f t="shared" si="467"/>
        <v/>
      </c>
      <c r="Q4258" s="33" t="str">
        <f t="shared" si="468"/>
        <v/>
      </c>
    </row>
    <row r="4259" spans="2:17" ht="18" customHeight="1" x14ac:dyDescent="0.3">
      <c r="B4259" s="26"/>
      <c r="C4259" s="28"/>
      <c r="D4259" s="27"/>
      <c r="E4259" s="29"/>
      <c r="F4259" s="29"/>
      <c r="G4259" s="29"/>
      <c r="H4259" s="30" t="str">
        <f t="shared" si="462"/>
        <v/>
      </c>
      <c r="I4259" s="31" t="str">
        <f>IF(OR(B4259="",C4259=""),"",IFERROR(E4259*IF(E4259="",0,VLOOKUP(C4259,'📦 Precios Proforma'!$B$5:$D$104,IF(D4259="DIA",2,3),FALSE)),0))</f>
        <v/>
      </c>
      <c r="J4259" s="31" t="str">
        <f t="shared" si="463"/>
        <v/>
      </c>
      <c r="K4259" s="31" t="str">
        <f t="shared" si="464"/>
        <v/>
      </c>
      <c r="L4259" s="31" t="str">
        <f>IF(OR(B4259="",C4259=""),"",IFERROR(E4259 / SUMIFS('📅 Resumen Diario'!$D$5:$D$504, '📅 Resumen Diario'!$B$5:$B$504, B4259, '📅 Resumen Diario'!$C$5:$C$504, D4259) * SUMIFS('📅 Resumen Diario'!$K$5:$K$504, '📅 Resumen Diario'!$B$5:$B$504, B4259, '📅 Resumen Diario'!$C$5:$C$504, D4259), 0))</f>
        <v/>
      </c>
      <c r="M4259" s="31" t="str">
        <f t="shared" si="465"/>
        <v/>
      </c>
      <c r="N4259" s="31" t="str">
        <f t="shared" si="466"/>
        <v/>
      </c>
      <c r="O4259" s="31" t="str">
        <f>IF(OR(B4259="",C4259=""),"",K4259-N4259 + IFERROR(E4259 / SUMIFS('📅 Resumen Diario'!$D$5:$D$504, '📅 Resumen Diario'!$B$5:$B$504, B4259, '📅 Resumen Diario'!$C$5:$C$504, D4259) * (SUMIFS('📋 Detalle Diario'!$E$5:$E$489, '📋 Detalle Diario'!$B$5:$B$489, B4259, '📋 Detalle Diario'!$C$5:$C$489, D4259) * 135 + SUMIFS('📋 Detalle Diario'!$I$5:$I$489, '📋 Detalle Diario'!$B$5:$B$489, B4259, '📋 Detalle Diario'!$C$5:$C$489, D4259) * 200), 0))</f>
        <v/>
      </c>
      <c r="P4259" s="32" t="str">
        <f t="shared" si="467"/>
        <v/>
      </c>
      <c r="Q4259" s="33" t="str">
        <f t="shared" si="468"/>
        <v/>
      </c>
    </row>
    <row r="4260" spans="2:17" ht="18" customHeight="1" x14ac:dyDescent="0.3">
      <c r="B4260" s="26"/>
      <c r="C4260" s="17"/>
      <c r="D4260" s="27"/>
      <c r="E4260" s="18"/>
      <c r="F4260" s="18"/>
      <c r="G4260" s="18"/>
      <c r="H4260" s="30" t="str">
        <f t="shared" si="462"/>
        <v/>
      </c>
      <c r="I4260" s="31" t="str">
        <f>IF(OR(B4260="",C4260=""),"",IFERROR(E4260*IF(E4260="",0,VLOOKUP(C4260,'📦 Precios Proforma'!$B$5:$D$104,IF(D4260="DIA",2,3),FALSE)),0))</f>
        <v/>
      </c>
      <c r="J4260" s="31" t="str">
        <f t="shared" si="463"/>
        <v/>
      </c>
      <c r="K4260" s="31" t="str">
        <f t="shared" si="464"/>
        <v/>
      </c>
      <c r="L4260" s="31" t="str">
        <f>IF(OR(B4260="",C4260=""),"",IFERROR(E4260 / SUMIFS('📅 Resumen Diario'!$D$5:$D$504, '📅 Resumen Diario'!$B$5:$B$504, B4260, '📅 Resumen Diario'!$C$5:$C$504, D4260) * SUMIFS('📅 Resumen Diario'!$K$5:$K$504, '📅 Resumen Diario'!$B$5:$B$504, B4260, '📅 Resumen Diario'!$C$5:$C$504, D4260), 0))</f>
        <v/>
      </c>
      <c r="M4260" s="31" t="str">
        <f t="shared" si="465"/>
        <v/>
      </c>
      <c r="N4260" s="31" t="str">
        <f t="shared" si="466"/>
        <v/>
      </c>
      <c r="O4260" s="31" t="str">
        <f>IF(OR(B4260="",C4260=""),"",K4260-N4260 + IFERROR(E4260 / SUMIFS('📅 Resumen Diario'!$D$5:$D$504, '📅 Resumen Diario'!$B$5:$B$504, B4260, '📅 Resumen Diario'!$C$5:$C$504, D4260) * (SUMIFS('📋 Detalle Diario'!$E$5:$E$489, '📋 Detalle Diario'!$B$5:$B$489, B4260, '📋 Detalle Diario'!$C$5:$C$489, D4260) * 135 + SUMIFS('📋 Detalle Diario'!$I$5:$I$489, '📋 Detalle Diario'!$B$5:$B$489, B4260, '📋 Detalle Diario'!$C$5:$C$489, D4260) * 200), 0))</f>
        <v/>
      </c>
      <c r="P4260" s="32" t="str">
        <f t="shared" si="467"/>
        <v/>
      </c>
      <c r="Q4260" s="33" t="str">
        <f t="shared" si="468"/>
        <v/>
      </c>
    </row>
    <row r="4261" spans="2:17" ht="18" customHeight="1" x14ac:dyDescent="0.3">
      <c r="B4261" s="26"/>
      <c r="C4261" s="28"/>
      <c r="D4261" s="27"/>
      <c r="E4261" s="29"/>
      <c r="F4261" s="29"/>
      <c r="G4261" s="29"/>
      <c r="H4261" s="30" t="str">
        <f t="shared" si="462"/>
        <v/>
      </c>
      <c r="I4261" s="31" t="str">
        <f>IF(OR(B4261="",C4261=""),"",IFERROR(E4261*IF(E4261="",0,VLOOKUP(C4261,'📦 Precios Proforma'!$B$5:$D$104,IF(D4261="DIA",2,3),FALSE)),0))</f>
        <v/>
      </c>
      <c r="J4261" s="31" t="str">
        <f t="shared" si="463"/>
        <v/>
      </c>
      <c r="K4261" s="31" t="str">
        <f t="shared" si="464"/>
        <v/>
      </c>
      <c r="L4261" s="31" t="str">
        <f>IF(OR(B4261="",C4261=""),"",IFERROR(E4261 / SUMIFS('📅 Resumen Diario'!$D$5:$D$504, '📅 Resumen Diario'!$B$5:$B$504, B4261, '📅 Resumen Diario'!$C$5:$C$504, D4261) * SUMIFS('📅 Resumen Diario'!$K$5:$K$504, '📅 Resumen Diario'!$B$5:$B$504, B4261, '📅 Resumen Diario'!$C$5:$C$504, D4261), 0))</f>
        <v/>
      </c>
      <c r="M4261" s="31" t="str">
        <f t="shared" si="465"/>
        <v/>
      </c>
      <c r="N4261" s="31" t="str">
        <f t="shared" si="466"/>
        <v/>
      </c>
      <c r="O4261" s="31" t="str">
        <f>IF(OR(B4261="",C4261=""),"",K4261-N4261 + IFERROR(E4261 / SUMIFS('📅 Resumen Diario'!$D$5:$D$504, '📅 Resumen Diario'!$B$5:$B$504, B4261, '📅 Resumen Diario'!$C$5:$C$504, D4261) * (SUMIFS('📋 Detalle Diario'!$E$5:$E$489, '📋 Detalle Diario'!$B$5:$B$489, B4261, '📋 Detalle Diario'!$C$5:$C$489, D4261) * 135 + SUMIFS('📋 Detalle Diario'!$I$5:$I$489, '📋 Detalle Diario'!$B$5:$B$489, B4261, '📋 Detalle Diario'!$C$5:$C$489, D4261) * 200), 0))</f>
        <v/>
      </c>
      <c r="P4261" s="32" t="str">
        <f t="shared" si="467"/>
        <v/>
      </c>
      <c r="Q4261" s="33" t="str">
        <f t="shared" si="468"/>
        <v/>
      </c>
    </row>
    <row r="4262" spans="2:17" ht="18" customHeight="1" x14ac:dyDescent="0.3">
      <c r="B4262" s="26"/>
      <c r="C4262" s="17"/>
      <c r="D4262" s="27"/>
      <c r="E4262" s="18"/>
      <c r="F4262" s="18"/>
      <c r="G4262" s="18"/>
      <c r="H4262" s="30" t="str">
        <f t="shared" si="462"/>
        <v/>
      </c>
      <c r="I4262" s="31" t="str">
        <f>IF(OR(B4262="",C4262=""),"",IFERROR(E4262*IF(E4262="",0,VLOOKUP(C4262,'📦 Precios Proforma'!$B$5:$D$104,IF(D4262="DIA",2,3),FALSE)),0))</f>
        <v/>
      </c>
      <c r="J4262" s="31" t="str">
        <f t="shared" si="463"/>
        <v/>
      </c>
      <c r="K4262" s="31" t="str">
        <f t="shared" si="464"/>
        <v/>
      </c>
      <c r="L4262" s="31" t="str">
        <f>IF(OR(B4262="",C4262=""),"",IFERROR(E4262 / SUMIFS('📅 Resumen Diario'!$D$5:$D$504, '📅 Resumen Diario'!$B$5:$B$504, B4262, '📅 Resumen Diario'!$C$5:$C$504, D4262) * SUMIFS('📅 Resumen Diario'!$K$5:$K$504, '📅 Resumen Diario'!$B$5:$B$504, B4262, '📅 Resumen Diario'!$C$5:$C$504, D4262), 0))</f>
        <v/>
      </c>
      <c r="M4262" s="31" t="str">
        <f t="shared" si="465"/>
        <v/>
      </c>
      <c r="N4262" s="31" t="str">
        <f t="shared" si="466"/>
        <v/>
      </c>
      <c r="O4262" s="31" t="str">
        <f>IF(OR(B4262="",C4262=""),"",K4262-N4262 + IFERROR(E4262 / SUMIFS('📅 Resumen Diario'!$D$5:$D$504, '📅 Resumen Diario'!$B$5:$B$504, B4262, '📅 Resumen Diario'!$C$5:$C$504, D4262) * (SUMIFS('📋 Detalle Diario'!$E$5:$E$489, '📋 Detalle Diario'!$B$5:$B$489, B4262, '📋 Detalle Diario'!$C$5:$C$489, D4262) * 135 + SUMIFS('📋 Detalle Diario'!$I$5:$I$489, '📋 Detalle Diario'!$B$5:$B$489, B4262, '📋 Detalle Diario'!$C$5:$C$489, D4262) * 200), 0))</f>
        <v/>
      </c>
      <c r="P4262" s="32" t="str">
        <f t="shared" si="467"/>
        <v/>
      </c>
      <c r="Q4262" s="33" t="str">
        <f t="shared" si="468"/>
        <v/>
      </c>
    </row>
    <row r="4263" spans="2:17" ht="18" customHeight="1" x14ac:dyDescent="0.3">
      <c r="B4263" s="26"/>
      <c r="C4263" s="28"/>
      <c r="D4263" s="27"/>
      <c r="E4263" s="29"/>
      <c r="F4263" s="29"/>
      <c r="G4263" s="29"/>
      <c r="H4263" s="30" t="str">
        <f t="shared" si="462"/>
        <v/>
      </c>
      <c r="I4263" s="31" t="str">
        <f>IF(OR(B4263="",C4263=""),"",IFERROR(E4263*IF(E4263="",0,VLOOKUP(C4263,'📦 Precios Proforma'!$B$5:$D$104,IF(D4263="DIA",2,3),FALSE)),0))</f>
        <v/>
      </c>
      <c r="J4263" s="31" t="str">
        <f t="shared" si="463"/>
        <v/>
      </c>
      <c r="K4263" s="31" t="str">
        <f t="shared" si="464"/>
        <v/>
      </c>
      <c r="L4263" s="31" t="str">
        <f>IF(OR(B4263="",C4263=""),"",IFERROR(E4263 / SUMIFS('📅 Resumen Diario'!$D$5:$D$504, '📅 Resumen Diario'!$B$5:$B$504, B4263, '📅 Resumen Diario'!$C$5:$C$504, D4263) * SUMIFS('📅 Resumen Diario'!$K$5:$K$504, '📅 Resumen Diario'!$B$5:$B$504, B4263, '📅 Resumen Diario'!$C$5:$C$504, D4263), 0))</f>
        <v/>
      </c>
      <c r="M4263" s="31" t="str">
        <f t="shared" si="465"/>
        <v/>
      </c>
      <c r="N4263" s="31" t="str">
        <f t="shared" si="466"/>
        <v/>
      </c>
      <c r="O4263" s="31" t="str">
        <f>IF(OR(B4263="",C4263=""),"",K4263-N4263 + IFERROR(E4263 / SUMIFS('📅 Resumen Diario'!$D$5:$D$504, '📅 Resumen Diario'!$B$5:$B$504, B4263, '📅 Resumen Diario'!$C$5:$C$504, D4263) * (SUMIFS('📋 Detalle Diario'!$E$5:$E$489, '📋 Detalle Diario'!$B$5:$B$489, B4263, '📋 Detalle Diario'!$C$5:$C$489, D4263) * 135 + SUMIFS('📋 Detalle Diario'!$I$5:$I$489, '📋 Detalle Diario'!$B$5:$B$489, B4263, '📋 Detalle Diario'!$C$5:$C$489, D4263) * 200), 0))</f>
        <v/>
      </c>
      <c r="P4263" s="32" t="str">
        <f t="shared" si="467"/>
        <v/>
      </c>
      <c r="Q4263" s="33" t="str">
        <f t="shared" si="468"/>
        <v/>
      </c>
    </row>
    <row r="4264" spans="2:17" ht="18" customHeight="1" x14ac:dyDescent="0.3">
      <c r="B4264" s="26"/>
      <c r="C4264" s="17"/>
      <c r="D4264" s="27"/>
      <c r="E4264" s="18"/>
      <c r="F4264" s="18"/>
      <c r="G4264" s="18"/>
      <c r="H4264" s="30" t="str">
        <f t="shared" si="462"/>
        <v/>
      </c>
      <c r="I4264" s="31" t="str">
        <f>IF(OR(B4264="",C4264=""),"",IFERROR(E4264*IF(E4264="",0,VLOOKUP(C4264,'📦 Precios Proforma'!$B$5:$D$104,IF(D4264="DIA",2,3),FALSE)),0))</f>
        <v/>
      </c>
      <c r="J4264" s="31" t="str">
        <f t="shared" si="463"/>
        <v/>
      </c>
      <c r="K4264" s="31" t="str">
        <f t="shared" si="464"/>
        <v/>
      </c>
      <c r="L4264" s="31" t="str">
        <f>IF(OR(B4264="",C4264=""),"",IFERROR(E4264 / SUMIFS('📅 Resumen Diario'!$D$5:$D$504, '📅 Resumen Diario'!$B$5:$B$504, B4264, '📅 Resumen Diario'!$C$5:$C$504, D4264) * SUMIFS('📅 Resumen Diario'!$K$5:$K$504, '📅 Resumen Diario'!$B$5:$B$504, B4264, '📅 Resumen Diario'!$C$5:$C$504, D4264), 0))</f>
        <v/>
      </c>
      <c r="M4264" s="31" t="str">
        <f t="shared" si="465"/>
        <v/>
      </c>
      <c r="N4264" s="31" t="str">
        <f t="shared" si="466"/>
        <v/>
      </c>
      <c r="O4264" s="31" t="str">
        <f>IF(OR(B4264="",C4264=""),"",K4264-N4264 + IFERROR(E4264 / SUMIFS('📅 Resumen Diario'!$D$5:$D$504, '📅 Resumen Diario'!$B$5:$B$504, B4264, '📅 Resumen Diario'!$C$5:$C$504, D4264) * (SUMIFS('📋 Detalle Diario'!$E$5:$E$489, '📋 Detalle Diario'!$B$5:$B$489, B4264, '📋 Detalle Diario'!$C$5:$C$489, D4264) * 135 + SUMIFS('📋 Detalle Diario'!$I$5:$I$489, '📋 Detalle Diario'!$B$5:$B$489, B4264, '📋 Detalle Diario'!$C$5:$C$489, D4264) * 200), 0))</f>
        <v/>
      </c>
      <c r="P4264" s="32" t="str">
        <f t="shared" si="467"/>
        <v/>
      </c>
      <c r="Q4264" s="33" t="str">
        <f t="shared" si="468"/>
        <v/>
      </c>
    </row>
    <row r="4265" spans="2:17" ht="18" customHeight="1" x14ac:dyDescent="0.3">
      <c r="B4265" s="26"/>
      <c r="C4265" s="28"/>
      <c r="D4265" s="27"/>
      <c r="E4265" s="29"/>
      <c r="F4265" s="29"/>
      <c r="G4265" s="29"/>
      <c r="H4265" s="30" t="str">
        <f t="shared" si="462"/>
        <v/>
      </c>
      <c r="I4265" s="31" t="str">
        <f>IF(OR(B4265="",C4265=""),"",IFERROR(E4265*IF(E4265="",0,VLOOKUP(C4265,'📦 Precios Proforma'!$B$5:$D$104,IF(D4265="DIA",2,3),FALSE)),0))</f>
        <v/>
      </c>
      <c r="J4265" s="31" t="str">
        <f t="shared" si="463"/>
        <v/>
      </c>
      <c r="K4265" s="31" t="str">
        <f t="shared" si="464"/>
        <v/>
      </c>
      <c r="L4265" s="31" t="str">
        <f>IF(OR(B4265="",C4265=""),"",IFERROR(E4265 / SUMIFS('📅 Resumen Diario'!$D$5:$D$504, '📅 Resumen Diario'!$B$5:$B$504, B4265, '📅 Resumen Diario'!$C$5:$C$504, D4265) * SUMIFS('📅 Resumen Diario'!$K$5:$K$504, '📅 Resumen Diario'!$B$5:$B$504, B4265, '📅 Resumen Diario'!$C$5:$C$504, D4265), 0))</f>
        <v/>
      </c>
      <c r="M4265" s="31" t="str">
        <f t="shared" si="465"/>
        <v/>
      </c>
      <c r="N4265" s="31" t="str">
        <f t="shared" si="466"/>
        <v/>
      </c>
      <c r="O4265" s="31" t="str">
        <f>IF(OR(B4265="",C4265=""),"",K4265-N4265 + IFERROR(E4265 / SUMIFS('📅 Resumen Diario'!$D$5:$D$504, '📅 Resumen Diario'!$B$5:$B$504, B4265, '📅 Resumen Diario'!$C$5:$C$504, D4265) * (SUMIFS('📋 Detalle Diario'!$E$5:$E$489, '📋 Detalle Diario'!$B$5:$B$489, B4265, '📋 Detalle Diario'!$C$5:$C$489, D4265) * 135 + SUMIFS('📋 Detalle Diario'!$I$5:$I$489, '📋 Detalle Diario'!$B$5:$B$489, B4265, '📋 Detalle Diario'!$C$5:$C$489, D4265) * 200), 0))</f>
        <v/>
      </c>
      <c r="P4265" s="32" t="str">
        <f t="shared" si="467"/>
        <v/>
      </c>
      <c r="Q4265" s="33" t="str">
        <f t="shared" si="468"/>
        <v/>
      </c>
    </row>
    <row r="4266" spans="2:17" ht="18" customHeight="1" x14ac:dyDescent="0.3">
      <c r="B4266" s="26"/>
      <c r="C4266" s="17"/>
      <c r="D4266" s="27"/>
      <c r="E4266" s="18"/>
      <c r="F4266" s="18"/>
      <c r="G4266" s="18"/>
      <c r="H4266" s="30" t="str">
        <f t="shared" si="462"/>
        <v/>
      </c>
      <c r="I4266" s="31" t="str">
        <f>IF(OR(B4266="",C4266=""),"",IFERROR(E4266*IF(E4266="",0,VLOOKUP(C4266,'📦 Precios Proforma'!$B$5:$D$104,IF(D4266="DIA",2,3),FALSE)),0))</f>
        <v/>
      </c>
      <c r="J4266" s="31" t="str">
        <f t="shared" si="463"/>
        <v/>
      </c>
      <c r="K4266" s="31" t="str">
        <f t="shared" si="464"/>
        <v/>
      </c>
      <c r="L4266" s="31" t="str">
        <f>IF(OR(B4266="",C4266=""),"",IFERROR(E4266 / SUMIFS('📅 Resumen Diario'!$D$5:$D$504, '📅 Resumen Diario'!$B$5:$B$504, B4266, '📅 Resumen Diario'!$C$5:$C$504, D4266) * SUMIFS('📅 Resumen Diario'!$K$5:$K$504, '📅 Resumen Diario'!$B$5:$B$504, B4266, '📅 Resumen Diario'!$C$5:$C$504, D4266), 0))</f>
        <v/>
      </c>
      <c r="M4266" s="31" t="str">
        <f t="shared" si="465"/>
        <v/>
      </c>
      <c r="N4266" s="31" t="str">
        <f t="shared" si="466"/>
        <v/>
      </c>
      <c r="O4266" s="31" t="str">
        <f>IF(OR(B4266="",C4266=""),"",K4266-N4266 + IFERROR(E4266 / SUMIFS('📅 Resumen Diario'!$D$5:$D$504, '📅 Resumen Diario'!$B$5:$B$504, B4266, '📅 Resumen Diario'!$C$5:$C$504, D4266) * (SUMIFS('📋 Detalle Diario'!$E$5:$E$489, '📋 Detalle Diario'!$B$5:$B$489, B4266, '📋 Detalle Diario'!$C$5:$C$489, D4266) * 135 + SUMIFS('📋 Detalle Diario'!$I$5:$I$489, '📋 Detalle Diario'!$B$5:$B$489, B4266, '📋 Detalle Diario'!$C$5:$C$489, D4266) * 200), 0))</f>
        <v/>
      </c>
      <c r="P4266" s="32" t="str">
        <f t="shared" si="467"/>
        <v/>
      </c>
      <c r="Q4266" s="33" t="str">
        <f t="shared" si="468"/>
        <v/>
      </c>
    </row>
    <row r="4267" spans="2:17" ht="18" customHeight="1" x14ac:dyDescent="0.3">
      <c r="B4267" s="26"/>
      <c r="C4267" s="28"/>
      <c r="D4267" s="27"/>
      <c r="E4267" s="29"/>
      <c r="F4267" s="29"/>
      <c r="G4267" s="29"/>
      <c r="H4267" s="30" t="str">
        <f t="shared" si="462"/>
        <v/>
      </c>
      <c r="I4267" s="31" t="str">
        <f>IF(OR(B4267="",C4267=""),"",IFERROR(E4267*IF(E4267="",0,VLOOKUP(C4267,'📦 Precios Proforma'!$B$5:$D$104,IF(D4267="DIA",2,3),FALSE)),0))</f>
        <v/>
      </c>
      <c r="J4267" s="31" t="str">
        <f t="shared" si="463"/>
        <v/>
      </c>
      <c r="K4267" s="31" t="str">
        <f t="shared" si="464"/>
        <v/>
      </c>
      <c r="L4267" s="31" t="str">
        <f>IF(OR(B4267="",C4267=""),"",IFERROR(E4267 / SUMIFS('📅 Resumen Diario'!$D$5:$D$504, '📅 Resumen Diario'!$B$5:$B$504, B4267, '📅 Resumen Diario'!$C$5:$C$504, D4267) * SUMIFS('📅 Resumen Diario'!$K$5:$K$504, '📅 Resumen Diario'!$B$5:$B$504, B4267, '📅 Resumen Diario'!$C$5:$C$504, D4267), 0))</f>
        <v/>
      </c>
      <c r="M4267" s="31" t="str">
        <f t="shared" si="465"/>
        <v/>
      </c>
      <c r="N4267" s="31" t="str">
        <f t="shared" si="466"/>
        <v/>
      </c>
      <c r="O4267" s="31" t="str">
        <f>IF(OR(B4267="",C4267=""),"",K4267-N4267 + IFERROR(E4267 / SUMIFS('📅 Resumen Diario'!$D$5:$D$504, '📅 Resumen Diario'!$B$5:$B$504, B4267, '📅 Resumen Diario'!$C$5:$C$504, D4267) * (SUMIFS('📋 Detalle Diario'!$E$5:$E$489, '📋 Detalle Diario'!$B$5:$B$489, B4267, '📋 Detalle Diario'!$C$5:$C$489, D4267) * 135 + SUMIFS('📋 Detalle Diario'!$I$5:$I$489, '📋 Detalle Diario'!$B$5:$B$489, B4267, '📋 Detalle Diario'!$C$5:$C$489, D4267) * 200), 0))</f>
        <v/>
      </c>
      <c r="P4267" s="32" t="str">
        <f t="shared" si="467"/>
        <v/>
      </c>
      <c r="Q4267" s="33" t="str">
        <f t="shared" si="468"/>
        <v/>
      </c>
    </row>
    <row r="4268" spans="2:17" ht="18" customHeight="1" x14ac:dyDescent="0.3">
      <c r="B4268" s="26"/>
      <c r="C4268" s="17"/>
      <c r="D4268" s="27"/>
      <c r="E4268" s="18"/>
      <c r="F4268" s="18"/>
      <c r="G4268" s="18"/>
      <c r="H4268" s="30" t="str">
        <f t="shared" si="462"/>
        <v/>
      </c>
      <c r="I4268" s="31" t="str">
        <f>IF(OR(B4268="",C4268=""),"",IFERROR(E4268*IF(E4268="",0,VLOOKUP(C4268,'📦 Precios Proforma'!$B$5:$D$104,IF(D4268="DIA",2,3),FALSE)),0))</f>
        <v/>
      </c>
      <c r="J4268" s="31" t="str">
        <f t="shared" si="463"/>
        <v/>
      </c>
      <c r="K4268" s="31" t="str">
        <f t="shared" si="464"/>
        <v/>
      </c>
      <c r="L4268" s="31" t="str">
        <f>IF(OR(B4268="",C4268=""),"",IFERROR(E4268 / SUMIFS('📅 Resumen Diario'!$D$5:$D$504, '📅 Resumen Diario'!$B$5:$B$504, B4268, '📅 Resumen Diario'!$C$5:$C$504, D4268) * SUMIFS('📅 Resumen Diario'!$K$5:$K$504, '📅 Resumen Diario'!$B$5:$B$504, B4268, '📅 Resumen Diario'!$C$5:$C$504, D4268), 0))</f>
        <v/>
      </c>
      <c r="M4268" s="31" t="str">
        <f t="shared" si="465"/>
        <v/>
      </c>
      <c r="N4268" s="31" t="str">
        <f t="shared" si="466"/>
        <v/>
      </c>
      <c r="O4268" s="31" t="str">
        <f>IF(OR(B4268="",C4268=""),"",K4268-N4268 + IFERROR(E4268 / SUMIFS('📅 Resumen Diario'!$D$5:$D$504, '📅 Resumen Diario'!$B$5:$B$504, B4268, '📅 Resumen Diario'!$C$5:$C$504, D4268) * (SUMIFS('📋 Detalle Diario'!$E$5:$E$489, '📋 Detalle Diario'!$B$5:$B$489, B4268, '📋 Detalle Diario'!$C$5:$C$489, D4268) * 135 + SUMIFS('📋 Detalle Diario'!$I$5:$I$489, '📋 Detalle Diario'!$B$5:$B$489, B4268, '📋 Detalle Diario'!$C$5:$C$489, D4268) * 200), 0))</f>
        <v/>
      </c>
      <c r="P4268" s="32" t="str">
        <f t="shared" si="467"/>
        <v/>
      </c>
      <c r="Q4268" s="33" t="str">
        <f t="shared" si="468"/>
        <v/>
      </c>
    </row>
    <row r="4269" spans="2:17" ht="18" customHeight="1" x14ac:dyDescent="0.3">
      <c r="B4269" s="26"/>
      <c r="C4269" s="28"/>
      <c r="D4269" s="27"/>
      <c r="E4269" s="29"/>
      <c r="F4269" s="29"/>
      <c r="G4269" s="29"/>
      <c r="H4269" s="30" t="str">
        <f t="shared" si="462"/>
        <v/>
      </c>
      <c r="I4269" s="31" t="str">
        <f>IF(OR(B4269="",C4269=""),"",IFERROR(E4269*IF(E4269="",0,VLOOKUP(C4269,'📦 Precios Proforma'!$B$5:$D$104,IF(D4269="DIA",2,3),FALSE)),0))</f>
        <v/>
      </c>
      <c r="J4269" s="31" t="str">
        <f t="shared" si="463"/>
        <v/>
      </c>
      <c r="K4269" s="31" t="str">
        <f t="shared" si="464"/>
        <v/>
      </c>
      <c r="L4269" s="31" t="str">
        <f>IF(OR(B4269="",C4269=""),"",IFERROR(E4269 / SUMIFS('📅 Resumen Diario'!$D$5:$D$504, '📅 Resumen Diario'!$B$5:$B$504, B4269, '📅 Resumen Diario'!$C$5:$C$504, D4269) * SUMIFS('📅 Resumen Diario'!$K$5:$K$504, '📅 Resumen Diario'!$B$5:$B$504, B4269, '📅 Resumen Diario'!$C$5:$C$504, D4269), 0))</f>
        <v/>
      </c>
      <c r="M4269" s="31" t="str">
        <f t="shared" si="465"/>
        <v/>
      </c>
      <c r="N4269" s="31" t="str">
        <f t="shared" si="466"/>
        <v/>
      </c>
      <c r="O4269" s="31" t="str">
        <f>IF(OR(B4269="",C4269=""),"",K4269-N4269 + IFERROR(E4269 / SUMIFS('📅 Resumen Diario'!$D$5:$D$504, '📅 Resumen Diario'!$B$5:$B$504, B4269, '📅 Resumen Diario'!$C$5:$C$504, D4269) * (SUMIFS('📋 Detalle Diario'!$E$5:$E$489, '📋 Detalle Diario'!$B$5:$B$489, B4269, '📋 Detalle Diario'!$C$5:$C$489, D4269) * 135 + SUMIFS('📋 Detalle Diario'!$I$5:$I$489, '📋 Detalle Diario'!$B$5:$B$489, B4269, '📋 Detalle Diario'!$C$5:$C$489, D4269) * 200), 0))</f>
        <v/>
      </c>
      <c r="P4269" s="32" t="str">
        <f t="shared" si="467"/>
        <v/>
      </c>
      <c r="Q4269" s="33" t="str">
        <f t="shared" si="468"/>
        <v/>
      </c>
    </row>
    <row r="4270" spans="2:17" ht="18" customHeight="1" x14ac:dyDescent="0.3">
      <c r="B4270" s="26"/>
      <c r="C4270" s="17"/>
      <c r="D4270" s="27"/>
      <c r="E4270" s="18"/>
      <c r="F4270" s="18"/>
      <c r="G4270" s="18"/>
      <c r="H4270" s="30" t="str">
        <f t="shared" si="462"/>
        <v/>
      </c>
      <c r="I4270" s="31" t="str">
        <f>IF(OR(B4270="",C4270=""),"",IFERROR(E4270*IF(E4270="",0,VLOOKUP(C4270,'📦 Precios Proforma'!$B$5:$D$104,IF(D4270="DIA",2,3),FALSE)),0))</f>
        <v/>
      </c>
      <c r="J4270" s="31" t="str">
        <f t="shared" si="463"/>
        <v/>
      </c>
      <c r="K4270" s="31" t="str">
        <f t="shared" si="464"/>
        <v/>
      </c>
      <c r="L4270" s="31" t="str">
        <f>IF(OR(B4270="",C4270=""),"",IFERROR(E4270 / SUMIFS('📅 Resumen Diario'!$D$5:$D$504, '📅 Resumen Diario'!$B$5:$B$504, B4270, '📅 Resumen Diario'!$C$5:$C$504, D4270) * SUMIFS('📅 Resumen Diario'!$K$5:$K$504, '📅 Resumen Diario'!$B$5:$B$504, B4270, '📅 Resumen Diario'!$C$5:$C$504, D4270), 0))</f>
        <v/>
      </c>
      <c r="M4270" s="31" t="str">
        <f t="shared" si="465"/>
        <v/>
      </c>
      <c r="N4270" s="31" t="str">
        <f t="shared" si="466"/>
        <v/>
      </c>
      <c r="O4270" s="31" t="str">
        <f>IF(OR(B4270="",C4270=""),"",K4270-N4270 + IFERROR(E4270 / SUMIFS('📅 Resumen Diario'!$D$5:$D$504, '📅 Resumen Diario'!$B$5:$B$504, B4270, '📅 Resumen Diario'!$C$5:$C$504, D4270) * (SUMIFS('📋 Detalle Diario'!$E$5:$E$489, '📋 Detalle Diario'!$B$5:$B$489, B4270, '📋 Detalle Diario'!$C$5:$C$489, D4270) * 135 + SUMIFS('📋 Detalle Diario'!$I$5:$I$489, '📋 Detalle Diario'!$B$5:$B$489, B4270, '📋 Detalle Diario'!$C$5:$C$489, D4270) * 200), 0))</f>
        <v/>
      </c>
      <c r="P4270" s="32" t="str">
        <f t="shared" si="467"/>
        <v/>
      </c>
      <c r="Q4270" s="33" t="str">
        <f t="shared" si="468"/>
        <v/>
      </c>
    </row>
    <row r="4271" spans="2:17" ht="18" customHeight="1" x14ac:dyDescent="0.3">
      <c r="B4271" s="26"/>
      <c r="C4271" s="28"/>
      <c r="D4271" s="27"/>
      <c r="E4271" s="29"/>
      <c r="F4271" s="29"/>
      <c r="G4271" s="29"/>
      <c r="H4271" s="30" t="str">
        <f t="shared" si="462"/>
        <v/>
      </c>
      <c r="I4271" s="31" t="str">
        <f>IF(OR(B4271="",C4271=""),"",IFERROR(E4271*IF(E4271="",0,VLOOKUP(C4271,'📦 Precios Proforma'!$B$5:$D$104,IF(D4271="DIA",2,3),FALSE)),0))</f>
        <v/>
      </c>
      <c r="J4271" s="31" t="str">
        <f t="shared" si="463"/>
        <v/>
      </c>
      <c r="K4271" s="31" t="str">
        <f t="shared" si="464"/>
        <v/>
      </c>
      <c r="L4271" s="31" t="str">
        <f>IF(OR(B4271="",C4271=""),"",IFERROR(E4271 / SUMIFS('📅 Resumen Diario'!$D$5:$D$504, '📅 Resumen Diario'!$B$5:$B$504, B4271, '📅 Resumen Diario'!$C$5:$C$504, D4271) * SUMIFS('📅 Resumen Diario'!$K$5:$K$504, '📅 Resumen Diario'!$B$5:$B$504, B4271, '📅 Resumen Diario'!$C$5:$C$504, D4271), 0))</f>
        <v/>
      </c>
      <c r="M4271" s="31" t="str">
        <f t="shared" si="465"/>
        <v/>
      </c>
      <c r="N4271" s="31" t="str">
        <f t="shared" si="466"/>
        <v/>
      </c>
      <c r="O4271" s="31" t="str">
        <f>IF(OR(B4271="",C4271=""),"",K4271-N4271 + IFERROR(E4271 / SUMIFS('📅 Resumen Diario'!$D$5:$D$504, '📅 Resumen Diario'!$B$5:$B$504, B4271, '📅 Resumen Diario'!$C$5:$C$504, D4271) * (SUMIFS('📋 Detalle Diario'!$E$5:$E$489, '📋 Detalle Diario'!$B$5:$B$489, B4271, '📋 Detalle Diario'!$C$5:$C$489, D4271) * 135 + SUMIFS('📋 Detalle Diario'!$I$5:$I$489, '📋 Detalle Diario'!$B$5:$B$489, B4271, '📋 Detalle Diario'!$C$5:$C$489, D4271) * 200), 0))</f>
        <v/>
      </c>
      <c r="P4271" s="32" t="str">
        <f t="shared" si="467"/>
        <v/>
      </c>
      <c r="Q4271" s="33" t="str">
        <f t="shared" si="468"/>
        <v/>
      </c>
    </row>
    <row r="4272" spans="2:17" ht="18" customHeight="1" x14ac:dyDescent="0.3">
      <c r="B4272" s="26"/>
      <c r="C4272" s="17"/>
      <c r="D4272" s="27"/>
      <c r="E4272" s="18"/>
      <c r="F4272" s="18"/>
      <c r="G4272" s="18"/>
      <c r="H4272" s="30" t="str">
        <f t="shared" si="462"/>
        <v/>
      </c>
      <c r="I4272" s="31" t="str">
        <f>IF(OR(B4272="",C4272=""),"",IFERROR(E4272*IF(E4272="",0,VLOOKUP(C4272,'📦 Precios Proforma'!$B$5:$D$104,IF(D4272="DIA",2,3),FALSE)),0))</f>
        <v/>
      </c>
      <c r="J4272" s="31" t="str">
        <f t="shared" si="463"/>
        <v/>
      </c>
      <c r="K4272" s="31" t="str">
        <f t="shared" si="464"/>
        <v/>
      </c>
      <c r="L4272" s="31" t="str">
        <f>IF(OR(B4272="",C4272=""),"",IFERROR(E4272 / SUMIFS('📅 Resumen Diario'!$D$5:$D$504, '📅 Resumen Diario'!$B$5:$B$504, B4272, '📅 Resumen Diario'!$C$5:$C$504, D4272) * SUMIFS('📅 Resumen Diario'!$K$5:$K$504, '📅 Resumen Diario'!$B$5:$B$504, B4272, '📅 Resumen Diario'!$C$5:$C$504, D4272), 0))</f>
        <v/>
      </c>
      <c r="M4272" s="31" t="str">
        <f t="shared" si="465"/>
        <v/>
      </c>
      <c r="N4272" s="31" t="str">
        <f t="shared" si="466"/>
        <v/>
      </c>
      <c r="O4272" s="31" t="str">
        <f>IF(OR(B4272="",C4272=""),"",K4272-N4272 + IFERROR(E4272 / SUMIFS('📅 Resumen Diario'!$D$5:$D$504, '📅 Resumen Diario'!$B$5:$B$504, B4272, '📅 Resumen Diario'!$C$5:$C$504, D4272) * (SUMIFS('📋 Detalle Diario'!$E$5:$E$489, '📋 Detalle Diario'!$B$5:$B$489, B4272, '📋 Detalle Diario'!$C$5:$C$489, D4272) * 135 + SUMIFS('📋 Detalle Diario'!$I$5:$I$489, '📋 Detalle Diario'!$B$5:$B$489, B4272, '📋 Detalle Diario'!$C$5:$C$489, D4272) * 200), 0))</f>
        <v/>
      </c>
      <c r="P4272" s="32" t="str">
        <f t="shared" si="467"/>
        <v/>
      </c>
      <c r="Q4272" s="33" t="str">
        <f t="shared" si="468"/>
        <v/>
      </c>
    </row>
    <row r="4273" spans="2:17" ht="18" customHeight="1" x14ac:dyDescent="0.3">
      <c r="B4273" s="26"/>
      <c r="C4273" s="28"/>
      <c r="D4273" s="27"/>
      <c r="E4273" s="29"/>
      <c r="F4273" s="29"/>
      <c r="G4273" s="29"/>
      <c r="H4273" s="30" t="str">
        <f t="shared" si="462"/>
        <v/>
      </c>
      <c r="I4273" s="31" t="str">
        <f>IF(OR(B4273="",C4273=""),"",IFERROR(E4273*IF(E4273="",0,VLOOKUP(C4273,'📦 Precios Proforma'!$B$5:$D$104,IF(D4273="DIA",2,3),FALSE)),0))</f>
        <v/>
      </c>
      <c r="J4273" s="31" t="str">
        <f t="shared" si="463"/>
        <v/>
      </c>
      <c r="K4273" s="31" t="str">
        <f t="shared" si="464"/>
        <v/>
      </c>
      <c r="L4273" s="31" t="str">
        <f>IF(OR(B4273="",C4273=""),"",IFERROR(E4273 / SUMIFS('📅 Resumen Diario'!$D$5:$D$504, '📅 Resumen Diario'!$B$5:$B$504, B4273, '📅 Resumen Diario'!$C$5:$C$504, D4273) * SUMIFS('📅 Resumen Diario'!$K$5:$K$504, '📅 Resumen Diario'!$B$5:$B$504, B4273, '📅 Resumen Diario'!$C$5:$C$504, D4273), 0))</f>
        <v/>
      </c>
      <c r="M4273" s="31" t="str">
        <f t="shared" si="465"/>
        <v/>
      </c>
      <c r="N4273" s="31" t="str">
        <f t="shared" si="466"/>
        <v/>
      </c>
      <c r="O4273" s="31" t="str">
        <f>IF(OR(B4273="",C4273=""),"",K4273-N4273 + IFERROR(E4273 / SUMIFS('📅 Resumen Diario'!$D$5:$D$504, '📅 Resumen Diario'!$B$5:$B$504, B4273, '📅 Resumen Diario'!$C$5:$C$504, D4273) * (SUMIFS('📋 Detalle Diario'!$E$5:$E$489, '📋 Detalle Diario'!$B$5:$B$489, B4273, '📋 Detalle Diario'!$C$5:$C$489, D4273) * 135 + SUMIFS('📋 Detalle Diario'!$I$5:$I$489, '📋 Detalle Diario'!$B$5:$B$489, B4273, '📋 Detalle Diario'!$C$5:$C$489, D4273) * 200), 0))</f>
        <v/>
      </c>
      <c r="P4273" s="32" t="str">
        <f t="shared" si="467"/>
        <v/>
      </c>
      <c r="Q4273" s="33" t="str">
        <f t="shared" si="468"/>
        <v/>
      </c>
    </row>
    <row r="4274" spans="2:17" ht="18" customHeight="1" x14ac:dyDescent="0.3">
      <c r="B4274" s="26"/>
      <c r="C4274" s="17"/>
      <c r="D4274" s="27"/>
      <c r="E4274" s="18"/>
      <c r="F4274" s="18"/>
      <c r="G4274" s="18"/>
      <c r="H4274" s="30" t="str">
        <f t="shared" si="462"/>
        <v/>
      </c>
      <c r="I4274" s="31" t="str">
        <f>IF(OR(B4274="",C4274=""),"",IFERROR(E4274*IF(E4274="",0,VLOOKUP(C4274,'📦 Precios Proforma'!$B$5:$D$104,IF(D4274="DIA",2,3),FALSE)),0))</f>
        <v/>
      </c>
      <c r="J4274" s="31" t="str">
        <f t="shared" si="463"/>
        <v/>
      </c>
      <c r="K4274" s="31" t="str">
        <f t="shared" si="464"/>
        <v/>
      </c>
      <c r="L4274" s="31" t="str">
        <f>IF(OR(B4274="",C4274=""),"",IFERROR(E4274 / SUMIFS('📅 Resumen Diario'!$D$5:$D$504, '📅 Resumen Diario'!$B$5:$B$504, B4274, '📅 Resumen Diario'!$C$5:$C$504, D4274) * SUMIFS('📅 Resumen Diario'!$K$5:$K$504, '📅 Resumen Diario'!$B$5:$B$504, B4274, '📅 Resumen Diario'!$C$5:$C$504, D4274), 0))</f>
        <v/>
      </c>
      <c r="M4274" s="31" t="str">
        <f t="shared" si="465"/>
        <v/>
      </c>
      <c r="N4274" s="31" t="str">
        <f t="shared" si="466"/>
        <v/>
      </c>
      <c r="O4274" s="31" t="str">
        <f>IF(OR(B4274="",C4274=""),"",K4274-N4274 + IFERROR(E4274 / SUMIFS('📅 Resumen Diario'!$D$5:$D$504, '📅 Resumen Diario'!$B$5:$B$504, B4274, '📅 Resumen Diario'!$C$5:$C$504, D4274) * (SUMIFS('📋 Detalle Diario'!$E$5:$E$489, '📋 Detalle Diario'!$B$5:$B$489, B4274, '📋 Detalle Diario'!$C$5:$C$489, D4274) * 135 + SUMIFS('📋 Detalle Diario'!$I$5:$I$489, '📋 Detalle Diario'!$B$5:$B$489, B4274, '📋 Detalle Diario'!$C$5:$C$489, D4274) * 200), 0))</f>
        <v/>
      </c>
      <c r="P4274" s="32" t="str">
        <f t="shared" si="467"/>
        <v/>
      </c>
      <c r="Q4274" s="33" t="str">
        <f t="shared" si="468"/>
        <v/>
      </c>
    </row>
    <row r="4275" spans="2:17" ht="18" customHeight="1" x14ac:dyDescent="0.3">
      <c r="B4275" s="26"/>
      <c r="C4275" s="28"/>
      <c r="D4275" s="27"/>
      <c r="E4275" s="29"/>
      <c r="F4275" s="29"/>
      <c r="G4275" s="29"/>
      <c r="H4275" s="30" t="str">
        <f t="shared" si="462"/>
        <v/>
      </c>
      <c r="I4275" s="31" t="str">
        <f>IF(OR(B4275="",C4275=""),"",IFERROR(E4275*IF(E4275="",0,VLOOKUP(C4275,'📦 Precios Proforma'!$B$5:$D$104,IF(D4275="DIA",2,3),FALSE)),0))</f>
        <v/>
      </c>
      <c r="J4275" s="31" t="str">
        <f t="shared" si="463"/>
        <v/>
      </c>
      <c r="K4275" s="31" t="str">
        <f t="shared" si="464"/>
        <v/>
      </c>
      <c r="L4275" s="31" t="str">
        <f>IF(OR(B4275="",C4275=""),"",IFERROR(E4275 / SUMIFS('📅 Resumen Diario'!$D$5:$D$504, '📅 Resumen Diario'!$B$5:$B$504, B4275, '📅 Resumen Diario'!$C$5:$C$504, D4275) * SUMIFS('📅 Resumen Diario'!$K$5:$K$504, '📅 Resumen Diario'!$B$5:$B$504, B4275, '📅 Resumen Diario'!$C$5:$C$504, D4275), 0))</f>
        <v/>
      </c>
      <c r="M4275" s="31" t="str">
        <f t="shared" si="465"/>
        <v/>
      </c>
      <c r="N4275" s="31" t="str">
        <f t="shared" si="466"/>
        <v/>
      </c>
      <c r="O4275" s="31" t="str">
        <f>IF(OR(B4275="",C4275=""),"",K4275-N4275 + IFERROR(E4275 / SUMIFS('📅 Resumen Diario'!$D$5:$D$504, '📅 Resumen Diario'!$B$5:$B$504, B4275, '📅 Resumen Diario'!$C$5:$C$504, D4275) * (SUMIFS('📋 Detalle Diario'!$E$5:$E$489, '📋 Detalle Diario'!$B$5:$B$489, B4275, '📋 Detalle Diario'!$C$5:$C$489, D4275) * 135 + SUMIFS('📋 Detalle Diario'!$I$5:$I$489, '📋 Detalle Diario'!$B$5:$B$489, B4275, '📋 Detalle Diario'!$C$5:$C$489, D4275) * 200), 0))</f>
        <v/>
      </c>
      <c r="P4275" s="32" t="str">
        <f t="shared" si="467"/>
        <v/>
      </c>
      <c r="Q4275" s="33" t="str">
        <f t="shared" si="468"/>
        <v/>
      </c>
    </row>
    <row r="4276" spans="2:17" ht="18" customHeight="1" x14ac:dyDescent="0.3">
      <c r="B4276" s="26"/>
      <c r="C4276" s="17"/>
      <c r="D4276" s="27"/>
      <c r="E4276" s="18"/>
      <c r="F4276" s="18"/>
      <c r="G4276" s="18"/>
      <c r="H4276" s="30" t="str">
        <f t="shared" si="462"/>
        <v/>
      </c>
      <c r="I4276" s="31" t="str">
        <f>IF(OR(B4276="",C4276=""),"",IFERROR(E4276*IF(E4276="",0,VLOOKUP(C4276,'📦 Precios Proforma'!$B$5:$D$104,IF(D4276="DIA",2,3),FALSE)),0))</f>
        <v/>
      </c>
      <c r="J4276" s="31" t="str">
        <f t="shared" si="463"/>
        <v/>
      </c>
      <c r="K4276" s="31" t="str">
        <f t="shared" si="464"/>
        <v/>
      </c>
      <c r="L4276" s="31" t="str">
        <f>IF(OR(B4276="",C4276=""),"",IFERROR(E4276 / SUMIFS('📅 Resumen Diario'!$D$5:$D$504, '📅 Resumen Diario'!$B$5:$B$504, B4276, '📅 Resumen Diario'!$C$5:$C$504, D4276) * SUMIFS('📅 Resumen Diario'!$K$5:$K$504, '📅 Resumen Diario'!$B$5:$B$504, B4276, '📅 Resumen Diario'!$C$5:$C$504, D4276), 0))</f>
        <v/>
      </c>
      <c r="M4276" s="31" t="str">
        <f t="shared" si="465"/>
        <v/>
      </c>
      <c r="N4276" s="31" t="str">
        <f t="shared" si="466"/>
        <v/>
      </c>
      <c r="O4276" s="31" t="str">
        <f>IF(OR(B4276="",C4276=""),"",K4276-N4276 + IFERROR(E4276 / SUMIFS('📅 Resumen Diario'!$D$5:$D$504, '📅 Resumen Diario'!$B$5:$B$504, B4276, '📅 Resumen Diario'!$C$5:$C$504, D4276) * (SUMIFS('📋 Detalle Diario'!$E$5:$E$489, '📋 Detalle Diario'!$B$5:$B$489, B4276, '📋 Detalle Diario'!$C$5:$C$489, D4276) * 135 + SUMIFS('📋 Detalle Diario'!$I$5:$I$489, '📋 Detalle Diario'!$B$5:$B$489, B4276, '📋 Detalle Diario'!$C$5:$C$489, D4276) * 200), 0))</f>
        <v/>
      </c>
      <c r="P4276" s="32" t="str">
        <f t="shared" si="467"/>
        <v/>
      </c>
      <c r="Q4276" s="33" t="str">
        <f t="shared" si="468"/>
        <v/>
      </c>
    </row>
    <row r="4277" spans="2:17" ht="18" customHeight="1" x14ac:dyDescent="0.3">
      <c r="B4277" s="26"/>
      <c r="C4277" s="28"/>
      <c r="D4277" s="27"/>
      <c r="E4277" s="29"/>
      <c r="F4277" s="29"/>
      <c r="G4277" s="29"/>
      <c r="H4277" s="30" t="str">
        <f t="shared" si="462"/>
        <v/>
      </c>
      <c r="I4277" s="31" t="str">
        <f>IF(OR(B4277="",C4277=""),"",IFERROR(E4277*IF(E4277="",0,VLOOKUP(C4277,'📦 Precios Proforma'!$B$5:$D$104,IF(D4277="DIA",2,3),FALSE)),0))</f>
        <v/>
      </c>
      <c r="J4277" s="31" t="str">
        <f t="shared" si="463"/>
        <v/>
      </c>
      <c r="K4277" s="31" t="str">
        <f t="shared" si="464"/>
        <v/>
      </c>
      <c r="L4277" s="31" t="str">
        <f>IF(OR(B4277="",C4277=""),"",IFERROR(E4277 / SUMIFS('📅 Resumen Diario'!$D$5:$D$504, '📅 Resumen Diario'!$B$5:$B$504, B4277, '📅 Resumen Diario'!$C$5:$C$504, D4277) * SUMIFS('📅 Resumen Diario'!$K$5:$K$504, '📅 Resumen Diario'!$B$5:$B$504, B4277, '📅 Resumen Diario'!$C$5:$C$504, D4277), 0))</f>
        <v/>
      </c>
      <c r="M4277" s="31" t="str">
        <f t="shared" si="465"/>
        <v/>
      </c>
      <c r="N4277" s="31" t="str">
        <f t="shared" si="466"/>
        <v/>
      </c>
      <c r="O4277" s="31" t="str">
        <f>IF(OR(B4277="",C4277=""),"",K4277-N4277 + IFERROR(E4277 / SUMIFS('📅 Resumen Diario'!$D$5:$D$504, '📅 Resumen Diario'!$B$5:$B$504, B4277, '📅 Resumen Diario'!$C$5:$C$504, D4277) * (SUMIFS('📋 Detalle Diario'!$E$5:$E$489, '📋 Detalle Diario'!$B$5:$B$489, B4277, '📋 Detalle Diario'!$C$5:$C$489, D4277) * 135 + SUMIFS('📋 Detalle Diario'!$I$5:$I$489, '📋 Detalle Diario'!$B$5:$B$489, B4277, '📋 Detalle Diario'!$C$5:$C$489, D4277) * 200), 0))</f>
        <v/>
      </c>
      <c r="P4277" s="32" t="str">
        <f t="shared" si="467"/>
        <v/>
      </c>
      <c r="Q4277" s="33" t="str">
        <f t="shared" si="468"/>
        <v/>
      </c>
    </row>
    <row r="4278" spans="2:17" ht="18" customHeight="1" x14ac:dyDescent="0.3">
      <c r="B4278" s="26"/>
      <c r="C4278" s="17"/>
      <c r="D4278" s="27"/>
      <c r="E4278" s="18"/>
      <c r="F4278" s="18"/>
      <c r="G4278" s="18"/>
      <c r="H4278" s="30" t="str">
        <f t="shared" si="462"/>
        <v/>
      </c>
      <c r="I4278" s="31" t="str">
        <f>IF(OR(B4278="",C4278=""),"",IFERROR(E4278*IF(E4278="",0,VLOOKUP(C4278,'📦 Precios Proforma'!$B$5:$D$104,IF(D4278="DIA",2,3),FALSE)),0))</f>
        <v/>
      </c>
      <c r="J4278" s="31" t="str">
        <f t="shared" si="463"/>
        <v/>
      </c>
      <c r="K4278" s="31" t="str">
        <f t="shared" si="464"/>
        <v/>
      </c>
      <c r="L4278" s="31" t="str">
        <f>IF(OR(B4278="",C4278=""),"",IFERROR(E4278 / SUMIFS('📅 Resumen Diario'!$D$5:$D$504, '📅 Resumen Diario'!$B$5:$B$504, B4278, '📅 Resumen Diario'!$C$5:$C$504, D4278) * SUMIFS('📅 Resumen Diario'!$K$5:$K$504, '📅 Resumen Diario'!$B$5:$B$504, B4278, '📅 Resumen Diario'!$C$5:$C$504, D4278), 0))</f>
        <v/>
      </c>
      <c r="M4278" s="31" t="str">
        <f t="shared" si="465"/>
        <v/>
      </c>
      <c r="N4278" s="31" t="str">
        <f t="shared" si="466"/>
        <v/>
      </c>
      <c r="O4278" s="31" t="str">
        <f>IF(OR(B4278="",C4278=""),"",K4278-N4278 + IFERROR(E4278 / SUMIFS('📅 Resumen Diario'!$D$5:$D$504, '📅 Resumen Diario'!$B$5:$B$504, B4278, '📅 Resumen Diario'!$C$5:$C$504, D4278) * (SUMIFS('📋 Detalle Diario'!$E$5:$E$489, '📋 Detalle Diario'!$B$5:$B$489, B4278, '📋 Detalle Diario'!$C$5:$C$489, D4278) * 135 + SUMIFS('📋 Detalle Diario'!$I$5:$I$489, '📋 Detalle Diario'!$B$5:$B$489, B4278, '📋 Detalle Diario'!$C$5:$C$489, D4278) * 200), 0))</f>
        <v/>
      </c>
      <c r="P4278" s="32" t="str">
        <f t="shared" si="467"/>
        <v/>
      </c>
      <c r="Q4278" s="33" t="str">
        <f t="shared" si="468"/>
        <v/>
      </c>
    </row>
    <row r="4279" spans="2:17" ht="18" customHeight="1" x14ac:dyDescent="0.3">
      <c r="B4279" s="26"/>
      <c r="C4279" s="28"/>
      <c r="D4279" s="27"/>
      <c r="E4279" s="29"/>
      <c r="F4279" s="29"/>
      <c r="G4279" s="29"/>
      <c r="H4279" s="30" t="str">
        <f t="shared" si="462"/>
        <v/>
      </c>
      <c r="I4279" s="31" t="str">
        <f>IF(OR(B4279="",C4279=""),"",IFERROR(E4279*IF(E4279="",0,VLOOKUP(C4279,'📦 Precios Proforma'!$B$5:$D$104,IF(D4279="DIA",2,3),FALSE)),0))</f>
        <v/>
      </c>
      <c r="J4279" s="31" t="str">
        <f t="shared" si="463"/>
        <v/>
      </c>
      <c r="K4279" s="31" t="str">
        <f t="shared" si="464"/>
        <v/>
      </c>
      <c r="L4279" s="31" t="str">
        <f>IF(OR(B4279="",C4279=""),"",IFERROR(E4279 / SUMIFS('📅 Resumen Diario'!$D$5:$D$504, '📅 Resumen Diario'!$B$5:$B$504, B4279, '📅 Resumen Diario'!$C$5:$C$504, D4279) * SUMIFS('📅 Resumen Diario'!$K$5:$K$504, '📅 Resumen Diario'!$B$5:$B$504, B4279, '📅 Resumen Diario'!$C$5:$C$504, D4279), 0))</f>
        <v/>
      </c>
      <c r="M4279" s="31" t="str">
        <f t="shared" si="465"/>
        <v/>
      </c>
      <c r="N4279" s="31" t="str">
        <f t="shared" si="466"/>
        <v/>
      </c>
      <c r="O4279" s="31" t="str">
        <f>IF(OR(B4279="",C4279=""),"",K4279-N4279 + IFERROR(E4279 / SUMIFS('📅 Resumen Diario'!$D$5:$D$504, '📅 Resumen Diario'!$B$5:$B$504, B4279, '📅 Resumen Diario'!$C$5:$C$504, D4279) * (SUMIFS('📋 Detalle Diario'!$E$5:$E$489, '📋 Detalle Diario'!$B$5:$B$489, B4279, '📋 Detalle Diario'!$C$5:$C$489, D4279) * 135 + SUMIFS('📋 Detalle Diario'!$I$5:$I$489, '📋 Detalle Diario'!$B$5:$B$489, B4279, '📋 Detalle Diario'!$C$5:$C$489, D4279) * 200), 0))</f>
        <v/>
      </c>
      <c r="P4279" s="32" t="str">
        <f t="shared" si="467"/>
        <v/>
      </c>
      <c r="Q4279" s="33" t="str">
        <f t="shared" si="468"/>
        <v/>
      </c>
    </row>
    <row r="4280" spans="2:17" ht="18" customHeight="1" x14ac:dyDescent="0.3">
      <c r="B4280" s="26"/>
      <c r="C4280" s="17"/>
      <c r="D4280" s="27"/>
      <c r="E4280" s="18"/>
      <c r="F4280" s="18"/>
      <c r="G4280" s="18"/>
      <c r="H4280" s="30" t="str">
        <f t="shared" si="462"/>
        <v/>
      </c>
      <c r="I4280" s="31" t="str">
        <f>IF(OR(B4280="",C4280=""),"",IFERROR(E4280*IF(E4280="",0,VLOOKUP(C4280,'📦 Precios Proforma'!$B$5:$D$104,IF(D4280="DIA",2,3),FALSE)),0))</f>
        <v/>
      </c>
      <c r="J4280" s="31" t="str">
        <f t="shared" si="463"/>
        <v/>
      </c>
      <c r="K4280" s="31" t="str">
        <f t="shared" si="464"/>
        <v/>
      </c>
      <c r="L4280" s="31" t="str">
        <f>IF(OR(B4280="",C4280=""),"",IFERROR(E4280 / SUMIFS('📅 Resumen Diario'!$D$5:$D$504, '📅 Resumen Diario'!$B$5:$B$504, B4280, '📅 Resumen Diario'!$C$5:$C$504, D4280) * SUMIFS('📅 Resumen Diario'!$K$5:$K$504, '📅 Resumen Diario'!$B$5:$B$504, B4280, '📅 Resumen Diario'!$C$5:$C$504, D4280), 0))</f>
        <v/>
      </c>
      <c r="M4280" s="31" t="str">
        <f t="shared" si="465"/>
        <v/>
      </c>
      <c r="N4280" s="31" t="str">
        <f t="shared" si="466"/>
        <v/>
      </c>
      <c r="O4280" s="31" t="str">
        <f>IF(OR(B4280="",C4280=""),"",K4280-N4280 + IFERROR(E4280 / SUMIFS('📅 Resumen Diario'!$D$5:$D$504, '📅 Resumen Diario'!$B$5:$B$504, B4280, '📅 Resumen Diario'!$C$5:$C$504, D4280) * (SUMIFS('📋 Detalle Diario'!$E$5:$E$489, '📋 Detalle Diario'!$B$5:$B$489, B4280, '📋 Detalle Diario'!$C$5:$C$489, D4280) * 135 + SUMIFS('📋 Detalle Diario'!$I$5:$I$489, '📋 Detalle Diario'!$B$5:$B$489, B4280, '📋 Detalle Diario'!$C$5:$C$489, D4280) * 200), 0))</f>
        <v/>
      </c>
      <c r="P4280" s="32" t="str">
        <f t="shared" si="467"/>
        <v/>
      </c>
      <c r="Q4280" s="33" t="str">
        <f t="shared" si="468"/>
        <v/>
      </c>
    </row>
    <row r="4281" spans="2:17" ht="18" customHeight="1" x14ac:dyDescent="0.3">
      <c r="B4281" s="26"/>
      <c r="C4281" s="28"/>
      <c r="D4281" s="27"/>
      <c r="E4281" s="29"/>
      <c r="F4281" s="29"/>
      <c r="G4281" s="29"/>
      <c r="H4281" s="30" t="str">
        <f t="shared" si="462"/>
        <v/>
      </c>
      <c r="I4281" s="31" t="str">
        <f>IF(OR(B4281="",C4281=""),"",IFERROR(E4281*IF(E4281="",0,VLOOKUP(C4281,'📦 Precios Proforma'!$B$5:$D$104,IF(D4281="DIA",2,3),FALSE)),0))</f>
        <v/>
      </c>
      <c r="J4281" s="31" t="str">
        <f t="shared" si="463"/>
        <v/>
      </c>
      <c r="K4281" s="31" t="str">
        <f t="shared" si="464"/>
        <v/>
      </c>
      <c r="L4281" s="31" t="str">
        <f>IF(OR(B4281="",C4281=""),"",IFERROR(E4281 / SUMIFS('📅 Resumen Diario'!$D$5:$D$504, '📅 Resumen Diario'!$B$5:$B$504, B4281, '📅 Resumen Diario'!$C$5:$C$504, D4281) * SUMIFS('📅 Resumen Diario'!$K$5:$K$504, '📅 Resumen Diario'!$B$5:$B$504, B4281, '📅 Resumen Diario'!$C$5:$C$504, D4281), 0))</f>
        <v/>
      </c>
      <c r="M4281" s="31" t="str">
        <f t="shared" si="465"/>
        <v/>
      </c>
      <c r="N4281" s="31" t="str">
        <f t="shared" si="466"/>
        <v/>
      </c>
      <c r="O4281" s="31" t="str">
        <f>IF(OR(B4281="",C4281=""),"",K4281-N4281 + IFERROR(E4281 / SUMIFS('📅 Resumen Diario'!$D$5:$D$504, '📅 Resumen Diario'!$B$5:$B$504, B4281, '📅 Resumen Diario'!$C$5:$C$504, D4281) * (SUMIFS('📋 Detalle Diario'!$E$5:$E$489, '📋 Detalle Diario'!$B$5:$B$489, B4281, '📋 Detalle Diario'!$C$5:$C$489, D4281) * 135 + SUMIFS('📋 Detalle Diario'!$I$5:$I$489, '📋 Detalle Diario'!$B$5:$B$489, B4281, '📋 Detalle Diario'!$C$5:$C$489, D4281) * 200), 0))</f>
        <v/>
      </c>
      <c r="P4281" s="32" t="str">
        <f t="shared" si="467"/>
        <v/>
      </c>
      <c r="Q4281" s="33" t="str">
        <f t="shared" si="468"/>
        <v/>
      </c>
    </row>
    <row r="4282" spans="2:17" ht="18" customHeight="1" x14ac:dyDescent="0.3">
      <c r="B4282" s="26"/>
      <c r="C4282" s="17"/>
      <c r="D4282" s="27"/>
      <c r="E4282" s="18"/>
      <c r="F4282" s="18"/>
      <c r="G4282" s="18"/>
      <c r="H4282" s="30" t="str">
        <f t="shared" si="462"/>
        <v/>
      </c>
      <c r="I4282" s="31" t="str">
        <f>IF(OR(B4282="",C4282=""),"",IFERROR(E4282*IF(E4282="",0,VLOOKUP(C4282,'📦 Precios Proforma'!$B$5:$D$104,IF(D4282="DIA",2,3),FALSE)),0))</f>
        <v/>
      </c>
      <c r="J4282" s="31" t="str">
        <f t="shared" si="463"/>
        <v/>
      </c>
      <c r="K4282" s="31" t="str">
        <f t="shared" si="464"/>
        <v/>
      </c>
      <c r="L4282" s="31" t="str">
        <f>IF(OR(B4282="",C4282=""),"",IFERROR(E4282 / SUMIFS('📅 Resumen Diario'!$D$5:$D$504, '📅 Resumen Diario'!$B$5:$B$504, B4282, '📅 Resumen Diario'!$C$5:$C$504, D4282) * SUMIFS('📅 Resumen Diario'!$K$5:$K$504, '📅 Resumen Diario'!$B$5:$B$504, B4282, '📅 Resumen Diario'!$C$5:$C$504, D4282), 0))</f>
        <v/>
      </c>
      <c r="M4282" s="31" t="str">
        <f t="shared" si="465"/>
        <v/>
      </c>
      <c r="N4282" s="31" t="str">
        <f t="shared" si="466"/>
        <v/>
      </c>
      <c r="O4282" s="31" t="str">
        <f>IF(OR(B4282="",C4282=""),"",K4282-N4282 + IFERROR(E4282 / SUMIFS('📅 Resumen Diario'!$D$5:$D$504, '📅 Resumen Diario'!$B$5:$B$504, B4282, '📅 Resumen Diario'!$C$5:$C$504, D4282) * (SUMIFS('📋 Detalle Diario'!$E$5:$E$489, '📋 Detalle Diario'!$B$5:$B$489, B4282, '📋 Detalle Diario'!$C$5:$C$489, D4282) * 135 + SUMIFS('📋 Detalle Diario'!$I$5:$I$489, '📋 Detalle Diario'!$B$5:$B$489, B4282, '📋 Detalle Diario'!$C$5:$C$489, D4282) * 200), 0))</f>
        <v/>
      </c>
      <c r="P4282" s="32" t="str">
        <f t="shared" si="467"/>
        <v/>
      </c>
      <c r="Q4282" s="33" t="str">
        <f t="shared" si="468"/>
        <v/>
      </c>
    </row>
    <row r="4283" spans="2:17" ht="18" customHeight="1" x14ac:dyDescent="0.3">
      <c r="B4283" s="26"/>
      <c r="C4283" s="28"/>
      <c r="D4283" s="27"/>
      <c r="E4283" s="29"/>
      <c r="F4283" s="29"/>
      <c r="G4283" s="29"/>
      <c r="H4283" s="30" t="str">
        <f t="shared" si="462"/>
        <v/>
      </c>
      <c r="I4283" s="31" t="str">
        <f>IF(OR(B4283="",C4283=""),"",IFERROR(E4283*IF(E4283="",0,VLOOKUP(C4283,'📦 Precios Proforma'!$B$5:$D$104,IF(D4283="DIA",2,3),FALSE)),0))</f>
        <v/>
      </c>
      <c r="J4283" s="31" t="str">
        <f t="shared" si="463"/>
        <v/>
      </c>
      <c r="K4283" s="31" t="str">
        <f t="shared" si="464"/>
        <v/>
      </c>
      <c r="L4283" s="31" t="str">
        <f>IF(OR(B4283="",C4283=""),"",IFERROR(E4283 / SUMIFS('📅 Resumen Diario'!$D$5:$D$504, '📅 Resumen Diario'!$B$5:$B$504, B4283, '📅 Resumen Diario'!$C$5:$C$504, D4283) * SUMIFS('📅 Resumen Diario'!$K$5:$K$504, '📅 Resumen Diario'!$B$5:$B$504, B4283, '📅 Resumen Diario'!$C$5:$C$504, D4283), 0))</f>
        <v/>
      </c>
      <c r="M4283" s="31" t="str">
        <f t="shared" si="465"/>
        <v/>
      </c>
      <c r="N4283" s="31" t="str">
        <f t="shared" si="466"/>
        <v/>
      </c>
      <c r="O4283" s="31" t="str">
        <f>IF(OR(B4283="",C4283=""),"",K4283-N4283 + IFERROR(E4283 / SUMIFS('📅 Resumen Diario'!$D$5:$D$504, '📅 Resumen Diario'!$B$5:$B$504, B4283, '📅 Resumen Diario'!$C$5:$C$504, D4283) * (SUMIFS('📋 Detalle Diario'!$E$5:$E$489, '📋 Detalle Diario'!$B$5:$B$489, B4283, '📋 Detalle Diario'!$C$5:$C$489, D4283) * 135 + SUMIFS('📋 Detalle Diario'!$I$5:$I$489, '📋 Detalle Diario'!$B$5:$B$489, B4283, '📋 Detalle Diario'!$C$5:$C$489, D4283) * 200), 0))</f>
        <v/>
      </c>
      <c r="P4283" s="32" t="str">
        <f t="shared" si="467"/>
        <v/>
      </c>
      <c r="Q4283" s="33" t="str">
        <f t="shared" si="468"/>
        <v/>
      </c>
    </row>
    <row r="4284" spans="2:17" ht="18" customHeight="1" x14ac:dyDescent="0.3">
      <c r="B4284" s="26"/>
      <c r="C4284" s="17"/>
      <c r="D4284" s="27"/>
      <c r="E4284" s="18"/>
      <c r="F4284" s="18"/>
      <c r="G4284" s="18"/>
      <c r="H4284" s="30" t="str">
        <f t="shared" si="462"/>
        <v/>
      </c>
      <c r="I4284" s="31" t="str">
        <f>IF(OR(B4284="",C4284=""),"",IFERROR(E4284*IF(E4284="",0,VLOOKUP(C4284,'📦 Precios Proforma'!$B$5:$D$104,IF(D4284="DIA",2,3),FALSE)),0))</f>
        <v/>
      </c>
      <c r="J4284" s="31" t="str">
        <f t="shared" si="463"/>
        <v/>
      </c>
      <c r="K4284" s="31" t="str">
        <f t="shared" si="464"/>
        <v/>
      </c>
      <c r="L4284" s="31" t="str">
        <f>IF(OR(B4284="",C4284=""),"",IFERROR(E4284 / SUMIFS('📅 Resumen Diario'!$D$5:$D$504, '📅 Resumen Diario'!$B$5:$B$504, B4284, '📅 Resumen Diario'!$C$5:$C$504, D4284) * SUMIFS('📅 Resumen Diario'!$K$5:$K$504, '📅 Resumen Diario'!$B$5:$B$504, B4284, '📅 Resumen Diario'!$C$5:$C$504, D4284), 0))</f>
        <v/>
      </c>
      <c r="M4284" s="31" t="str">
        <f t="shared" si="465"/>
        <v/>
      </c>
      <c r="N4284" s="31" t="str">
        <f t="shared" si="466"/>
        <v/>
      </c>
      <c r="O4284" s="31" t="str">
        <f>IF(OR(B4284="",C4284=""),"",K4284-N4284 + IFERROR(E4284 / SUMIFS('📅 Resumen Diario'!$D$5:$D$504, '📅 Resumen Diario'!$B$5:$B$504, B4284, '📅 Resumen Diario'!$C$5:$C$504, D4284) * (SUMIFS('📋 Detalle Diario'!$E$5:$E$489, '📋 Detalle Diario'!$B$5:$B$489, B4284, '📋 Detalle Diario'!$C$5:$C$489, D4284) * 135 + SUMIFS('📋 Detalle Diario'!$I$5:$I$489, '📋 Detalle Diario'!$B$5:$B$489, B4284, '📋 Detalle Diario'!$C$5:$C$489, D4284) * 200), 0))</f>
        <v/>
      </c>
      <c r="P4284" s="32" t="str">
        <f t="shared" si="467"/>
        <v/>
      </c>
      <c r="Q4284" s="33" t="str">
        <f t="shared" si="468"/>
        <v/>
      </c>
    </row>
    <row r="4285" spans="2:17" ht="18" customHeight="1" x14ac:dyDescent="0.3">
      <c r="B4285" s="26"/>
      <c r="C4285" s="28"/>
      <c r="D4285" s="27"/>
      <c r="E4285" s="29"/>
      <c r="F4285" s="29"/>
      <c r="G4285" s="29"/>
      <c r="H4285" s="30" t="str">
        <f t="shared" si="462"/>
        <v/>
      </c>
      <c r="I4285" s="31" t="str">
        <f>IF(OR(B4285="",C4285=""),"",IFERROR(E4285*IF(E4285="",0,VLOOKUP(C4285,'📦 Precios Proforma'!$B$5:$D$104,IF(D4285="DIA",2,3),FALSE)),0))</f>
        <v/>
      </c>
      <c r="J4285" s="31" t="str">
        <f t="shared" si="463"/>
        <v/>
      </c>
      <c r="K4285" s="31" t="str">
        <f t="shared" si="464"/>
        <v/>
      </c>
      <c r="L4285" s="31" t="str">
        <f>IF(OR(B4285="",C4285=""),"",IFERROR(E4285 / SUMIFS('📅 Resumen Diario'!$D$5:$D$504, '📅 Resumen Diario'!$B$5:$B$504, B4285, '📅 Resumen Diario'!$C$5:$C$504, D4285) * SUMIFS('📅 Resumen Diario'!$K$5:$K$504, '📅 Resumen Diario'!$B$5:$B$504, B4285, '📅 Resumen Diario'!$C$5:$C$504, D4285), 0))</f>
        <v/>
      </c>
      <c r="M4285" s="31" t="str">
        <f t="shared" si="465"/>
        <v/>
      </c>
      <c r="N4285" s="31" t="str">
        <f t="shared" si="466"/>
        <v/>
      </c>
      <c r="O4285" s="31" t="str">
        <f>IF(OR(B4285="",C4285=""),"",K4285-N4285 + IFERROR(E4285 / SUMIFS('📅 Resumen Diario'!$D$5:$D$504, '📅 Resumen Diario'!$B$5:$B$504, B4285, '📅 Resumen Diario'!$C$5:$C$504, D4285) * (SUMIFS('📋 Detalle Diario'!$E$5:$E$489, '📋 Detalle Diario'!$B$5:$B$489, B4285, '📋 Detalle Diario'!$C$5:$C$489, D4285) * 135 + SUMIFS('📋 Detalle Diario'!$I$5:$I$489, '📋 Detalle Diario'!$B$5:$B$489, B4285, '📋 Detalle Diario'!$C$5:$C$489, D4285) * 200), 0))</f>
        <v/>
      </c>
      <c r="P4285" s="32" t="str">
        <f t="shared" si="467"/>
        <v/>
      </c>
      <c r="Q4285" s="33" t="str">
        <f t="shared" si="468"/>
        <v/>
      </c>
    </row>
    <row r="4286" spans="2:17" ht="18" customHeight="1" x14ac:dyDescent="0.3">
      <c r="B4286" s="26"/>
      <c r="C4286" s="17"/>
      <c r="D4286" s="27"/>
      <c r="E4286" s="18"/>
      <c r="F4286" s="18"/>
      <c r="G4286" s="18"/>
      <c r="H4286" s="30" t="str">
        <f t="shared" si="462"/>
        <v/>
      </c>
      <c r="I4286" s="31" t="str">
        <f>IF(OR(B4286="",C4286=""),"",IFERROR(E4286*IF(E4286="",0,VLOOKUP(C4286,'📦 Precios Proforma'!$B$5:$D$104,IF(D4286="DIA",2,3),FALSE)),0))</f>
        <v/>
      </c>
      <c r="J4286" s="31" t="str">
        <f t="shared" si="463"/>
        <v/>
      </c>
      <c r="K4286" s="31" t="str">
        <f t="shared" si="464"/>
        <v/>
      </c>
      <c r="L4286" s="31" t="str">
        <f>IF(OR(B4286="",C4286=""),"",IFERROR(E4286 / SUMIFS('📅 Resumen Diario'!$D$5:$D$504, '📅 Resumen Diario'!$B$5:$B$504, B4286, '📅 Resumen Diario'!$C$5:$C$504, D4286) * SUMIFS('📅 Resumen Diario'!$K$5:$K$504, '📅 Resumen Diario'!$B$5:$B$504, B4286, '📅 Resumen Diario'!$C$5:$C$504, D4286), 0))</f>
        <v/>
      </c>
      <c r="M4286" s="31" t="str">
        <f t="shared" si="465"/>
        <v/>
      </c>
      <c r="N4286" s="31" t="str">
        <f t="shared" si="466"/>
        <v/>
      </c>
      <c r="O4286" s="31" t="str">
        <f>IF(OR(B4286="",C4286=""),"",K4286-N4286 + IFERROR(E4286 / SUMIFS('📅 Resumen Diario'!$D$5:$D$504, '📅 Resumen Diario'!$B$5:$B$504, B4286, '📅 Resumen Diario'!$C$5:$C$504, D4286) * (SUMIFS('📋 Detalle Diario'!$E$5:$E$489, '📋 Detalle Diario'!$B$5:$B$489, B4286, '📋 Detalle Diario'!$C$5:$C$489, D4286) * 135 + SUMIFS('📋 Detalle Diario'!$I$5:$I$489, '📋 Detalle Diario'!$B$5:$B$489, B4286, '📋 Detalle Diario'!$C$5:$C$489, D4286) * 200), 0))</f>
        <v/>
      </c>
      <c r="P4286" s="32" t="str">
        <f t="shared" si="467"/>
        <v/>
      </c>
      <c r="Q4286" s="33" t="str">
        <f t="shared" si="468"/>
        <v/>
      </c>
    </row>
    <row r="4287" spans="2:17" ht="18" customHeight="1" x14ac:dyDescent="0.3">
      <c r="B4287" s="26"/>
      <c r="C4287" s="28"/>
      <c r="D4287" s="27"/>
      <c r="E4287" s="29"/>
      <c r="F4287" s="29"/>
      <c r="G4287" s="29"/>
      <c r="H4287" s="30" t="str">
        <f t="shared" si="462"/>
        <v/>
      </c>
      <c r="I4287" s="31" t="str">
        <f>IF(OR(B4287="",C4287=""),"",IFERROR(E4287*IF(E4287="",0,VLOOKUP(C4287,'📦 Precios Proforma'!$B$5:$D$104,IF(D4287="DIA",2,3),FALSE)),0))</f>
        <v/>
      </c>
      <c r="J4287" s="31" t="str">
        <f t="shared" si="463"/>
        <v/>
      </c>
      <c r="K4287" s="31" t="str">
        <f t="shared" si="464"/>
        <v/>
      </c>
      <c r="L4287" s="31" t="str">
        <f>IF(OR(B4287="",C4287=""),"",IFERROR(E4287 / SUMIFS('📅 Resumen Diario'!$D$5:$D$504, '📅 Resumen Diario'!$B$5:$B$504, B4287, '📅 Resumen Diario'!$C$5:$C$504, D4287) * SUMIFS('📅 Resumen Diario'!$K$5:$K$504, '📅 Resumen Diario'!$B$5:$B$504, B4287, '📅 Resumen Diario'!$C$5:$C$504, D4287), 0))</f>
        <v/>
      </c>
      <c r="M4287" s="31" t="str">
        <f t="shared" si="465"/>
        <v/>
      </c>
      <c r="N4287" s="31" t="str">
        <f t="shared" si="466"/>
        <v/>
      </c>
      <c r="O4287" s="31" t="str">
        <f>IF(OR(B4287="",C4287=""),"",K4287-N4287 + IFERROR(E4287 / SUMIFS('📅 Resumen Diario'!$D$5:$D$504, '📅 Resumen Diario'!$B$5:$B$504, B4287, '📅 Resumen Diario'!$C$5:$C$504, D4287) * (SUMIFS('📋 Detalle Diario'!$E$5:$E$489, '📋 Detalle Diario'!$B$5:$B$489, B4287, '📋 Detalle Diario'!$C$5:$C$489, D4287) * 135 + SUMIFS('📋 Detalle Diario'!$I$5:$I$489, '📋 Detalle Diario'!$B$5:$B$489, B4287, '📋 Detalle Diario'!$C$5:$C$489, D4287) * 200), 0))</f>
        <v/>
      </c>
      <c r="P4287" s="32" t="str">
        <f t="shared" si="467"/>
        <v/>
      </c>
      <c r="Q4287" s="33" t="str">
        <f t="shared" si="468"/>
        <v/>
      </c>
    </row>
    <row r="4288" spans="2:17" ht="18" customHeight="1" x14ac:dyDescent="0.3">
      <c r="B4288" s="26"/>
      <c r="C4288" s="17"/>
      <c r="D4288" s="27"/>
      <c r="E4288" s="18"/>
      <c r="F4288" s="18"/>
      <c r="G4288" s="18"/>
      <c r="H4288" s="30" t="str">
        <f t="shared" si="462"/>
        <v/>
      </c>
      <c r="I4288" s="31" t="str">
        <f>IF(OR(B4288="",C4288=""),"",IFERROR(E4288*IF(E4288="",0,VLOOKUP(C4288,'📦 Precios Proforma'!$B$5:$D$104,IF(D4288="DIA",2,3),FALSE)),0))</f>
        <v/>
      </c>
      <c r="J4288" s="31" t="str">
        <f t="shared" si="463"/>
        <v/>
      </c>
      <c r="K4288" s="31" t="str">
        <f t="shared" si="464"/>
        <v/>
      </c>
      <c r="L4288" s="31" t="str">
        <f>IF(OR(B4288="",C4288=""),"",IFERROR(E4288 / SUMIFS('📅 Resumen Diario'!$D$5:$D$504, '📅 Resumen Diario'!$B$5:$B$504, B4288, '📅 Resumen Diario'!$C$5:$C$504, D4288) * SUMIFS('📅 Resumen Diario'!$K$5:$K$504, '📅 Resumen Diario'!$B$5:$B$504, B4288, '📅 Resumen Diario'!$C$5:$C$504, D4288), 0))</f>
        <v/>
      </c>
      <c r="M4288" s="31" t="str">
        <f t="shared" si="465"/>
        <v/>
      </c>
      <c r="N4288" s="31" t="str">
        <f t="shared" si="466"/>
        <v/>
      </c>
      <c r="O4288" s="31" t="str">
        <f>IF(OR(B4288="",C4288=""),"",K4288-N4288 + IFERROR(E4288 / SUMIFS('📅 Resumen Diario'!$D$5:$D$504, '📅 Resumen Diario'!$B$5:$B$504, B4288, '📅 Resumen Diario'!$C$5:$C$504, D4288) * (SUMIFS('📋 Detalle Diario'!$E$5:$E$489, '📋 Detalle Diario'!$B$5:$B$489, B4288, '📋 Detalle Diario'!$C$5:$C$489, D4288) * 135 + SUMIFS('📋 Detalle Diario'!$I$5:$I$489, '📋 Detalle Diario'!$B$5:$B$489, B4288, '📋 Detalle Diario'!$C$5:$C$489, D4288) * 200), 0))</f>
        <v/>
      </c>
      <c r="P4288" s="32" t="str">
        <f t="shared" si="467"/>
        <v/>
      </c>
      <c r="Q4288" s="33" t="str">
        <f t="shared" si="468"/>
        <v/>
      </c>
    </row>
    <row r="4289" spans="2:17" ht="18" customHeight="1" x14ac:dyDescent="0.3">
      <c r="B4289" s="26"/>
      <c r="C4289" s="28"/>
      <c r="D4289" s="27"/>
      <c r="E4289" s="29"/>
      <c r="F4289" s="29"/>
      <c r="G4289" s="29"/>
      <c r="H4289" s="30" t="str">
        <f t="shared" si="462"/>
        <v/>
      </c>
      <c r="I4289" s="31" t="str">
        <f>IF(OR(B4289="",C4289=""),"",IFERROR(E4289*IF(E4289="",0,VLOOKUP(C4289,'📦 Precios Proforma'!$B$5:$D$104,IF(D4289="DIA",2,3),FALSE)),0))</f>
        <v/>
      </c>
      <c r="J4289" s="31" t="str">
        <f t="shared" si="463"/>
        <v/>
      </c>
      <c r="K4289" s="31" t="str">
        <f t="shared" si="464"/>
        <v/>
      </c>
      <c r="L4289" s="31" t="str">
        <f>IF(OR(B4289="",C4289=""),"",IFERROR(E4289 / SUMIFS('📅 Resumen Diario'!$D$5:$D$504, '📅 Resumen Diario'!$B$5:$B$504, B4289, '📅 Resumen Diario'!$C$5:$C$504, D4289) * SUMIFS('📅 Resumen Diario'!$K$5:$K$504, '📅 Resumen Diario'!$B$5:$B$504, B4289, '📅 Resumen Diario'!$C$5:$C$504, D4289), 0))</f>
        <v/>
      </c>
      <c r="M4289" s="31" t="str">
        <f t="shared" si="465"/>
        <v/>
      </c>
      <c r="N4289" s="31" t="str">
        <f t="shared" si="466"/>
        <v/>
      </c>
      <c r="O4289" s="31" t="str">
        <f>IF(OR(B4289="",C4289=""),"",K4289-N4289 + IFERROR(E4289 / SUMIFS('📅 Resumen Diario'!$D$5:$D$504, '📅 Resumen Diario'!$B$5:$B$504, B4289, '📅 Resumen Diario'!$C$5:$C$504, D4289) * (SUMIFS('📋 Detalle Diario'!$E$5:$E$489, '📋 Detalle Diario'!$B$5:$B$489, B4289, '📋 Detalle Diario'!$C$5:$C$489, D4289) * 135 + SUMIFS('📋 Detalle Diario'!$I$5:$I$489, '📋 Detalle Diario'!$B$5:$B$489, B4289, '📋 Detalle Diario'!$C$5:$C$489, D4289) * 200), 0))</f>
        <v/>
      </c>
      <c r="P4289" s="32" t="str">
        <f t="shared" si="467"/>
        <v/>
      </c>
      <c r="Q4289" s="33" t="str">
        <f t="shared" si="468"/>
        <v/>
      </c>
    </row>
    <row r="4290" spans="2:17" ht="18" customHeight="1" x14ac:dyDescent="0.3">
      <c r="B4290" s="26"/>
      <c r="C4290" s="17"/>
      <c r="D4290" s="27"/>
      <c r="E4290" s="18"/>
      <c r="F4290" s="18"/>
      <c r="G4290" s="18"/>
      <c r="H4290" s="30" t="str">
        <f t="shared" si="462"/>
        <v/>
      </c>
      <c r="I4290" s="31" t="str">
        <f>IF(OR(B4290="",C4290=""),"",IFERROR(E4290*IF(E4290="",0,VLOOKUP(C4290,'📦 Precios Proforma'!$B$5:$D$104,IF(D4290="DIA",2,3),FALSE)),0))</f>
        <v/>
      </c>
      <c r="J4290" s="31" t="str">
        <f t="shared" si="463"/>
        <v/>
      </c>
      <c r="K4290" s="31" t="str">
        <f t="shared" si="464"/>
        <v/>
      </c>
      <c r="L4290" s="31" t="str">
        <f>IF(OR(B4290="",C4290=""),"",IFERROR(E4290 / SUMIFS('📅 Resumen Diario'!$D$5:$D$504, '📅 Resumen Diario'!$B$5:$B$504, B4290, '📅 Resumen Diario'!$C$5:$C$504, D4290) * SUMIFS('📅 Resumen Diario'!$K$5:$K$504, '📅 Resumen Diario'!$B$5:$B$504, B4290, '📅 Resumen Diario'!$C$5:$C$504, D4290), 0))</f>
        <v/>
      </c>
      <c r="M4290" s="31" t="str">
        <f t="shared" si="465"/>
        <v/>
      </c>
      <c r="N4290" s="31" t="str">
        <f t="shared" si="466"/>
        <v/>
      </c>
      <c r="O4290" s="31" t="str">
        <f>IF(OR(B4290="",C4290=""),"",K4290-N4290 + IFERROR(E4290 / SUMIFS('📅 Resumen Diario'!$D$5:$D$504, '📅 Resumen Diario'!$B$5:$B$504, B4290, '📅 Resumen Diario'!$C$5:$C$504, D4290) * (SUMIFS('📋 Detalle Diario'!$E$5:$E$489, '📋 Detalle Diario'!$B$5:$B$489, B4290, '📋 Detalle Diario'!$C$5:$C$489, D4290) * 135 + SUMIFS('📋 Detalle Diario'!$I$5:$I$489, '📋 Detalle Diario'!$B$5:$B$489, B4290, '📋 Detalle Diario'!$C$5:$C$489, D4290) * 200), 0))</f>
        <v/>
      </c>
      <c r="P4290" s="32" t="str">
        <f t="shared" si="467"/>
        <v/>
      </c>
      <c r="Q4290" s="33" t="str">
        <f t="shared" si="468"/>
        <v/>
      </c>
    </row>
    <row r="4291" spans="2:17" ht="18" customHeight="1" x14ac:dyDescent="0.3">
      <c r="B4291" s="26"/>
      <c r="C4291" s="28"/>
      <c r="D4291" s="27"/>
      <c r="E4291" s="29"/>
      <c r="F4291" s="29"/>
      <c r="G4291" s="29"/>
      <c r="H4291" s="30" t="str">
        <f t="shared" si="462"/>
        <v/>
      </c>
      <c r="I4291" s="31" t="str">
        <f>IF(OR(B4291="",C4291=""),"",IFERROR(E4291*IF(E4291="",0,VLOOKUP(C4291,'📦 Precios Proforma'!$B$5:$D$104,IF(D4291="DIA",2,3),FALSE)),0))</f>
        <v/>
      </c>
      <c r="J4291" s="31" t="str">
        <f t="shared" si="463"/>
        <v/>
      </c>
      <c r="K4291" s="31" t="str">
        <f t="shared" si="464"/>
        <v/>
      </c>
      <c r="L4291" s="31" t="str">
        <f>IF(OR(B4291="",C4291=""),"",IFERROR(E4291 / SUMIFS('📅 Resumen Diario'!$D$5:$D$504, '📅 Resumen Diario'!$B$5:$B$504, B4291, '📅 Resumen Diario'!$C$5:$C$504, D4291) * SUMIFS('📅 Resumen Diario'!$K$5:$K$504, '📅 Resumen Diario'!$B$5:$B$504, B4291, '📅 Resumen Diario'!$C$5:$C$504, D4291), 0))</f>
        <v/>
      </c>
      <c r="M4291" s="31" t="str">
        <f t="shared" si="465"/>
        <v/>
      </c>
      <c r="N4291" s="31" t="str">
        <f t="shared" si="466"/>
        <v/>
      </c>
      <c r="O4291" s="31" t="str">
        <f>IF(OR(B4291="",C4291=""),"",K4291-N4291 + IFERROR(E4291 / SUMIFS('📅 Resumen Diario'!$D$5:$D$504, '📅 Resumen Diario'!$B$5:$B$504, B4291, '📅 Resumen Diario'!$C$5:$C$504, D4291) * (SUMIFS('📋 Detalle Diario'!$E$5:$E$489, '📋 Detalle Diario'!$B$5:$B$489, B4291, '📋 Detalle Diario'!$C$5:$C$489, D4291) * 135 + SUMIFS('📋 Detalle Diario'!$I$5:$I$489, '📋 Detalle Diario'!$B$5:$B$489, B4291, '📋 Detalle Diario'!$C$5:$C$489, D4291) * 200), 0))</f>
        <v/>
      </c>
      <c r="P4291" s="32" t="str">
        <f t="shared" si="467"/>
        <v/>
      </c>
      <c r="Q4291" s="33" t="str">
        <f t="shared" si="468"/>
        <v/>
      </c>
    </row>
    <row r="4292" spans="2:17" ht="18" customHeight="1" x14ac:dyDescent="0.3">
      <c r="B4292" s="26"/>
      <c r="C4292" s="17"/>
      <c r="D4292" s="27"/>
      <c r="E4292" s="18"/>
      <c r="F4292" s="18"/>
      <c r="G4292" s="18"/>
      <c r="H4292" s="30" t="str">
        <f t="shared" si="462"/>
        <v/>
      </c>
      <c r="I4292" s="31" t="str">
        <f>IF(OR(B4292="",C4292=""),"",IFERROR(E4292*IF(E4292="",0,VLOOKUP(C4292,'📦 Precios Proforma'!$B$5:$D$104,IF(D4292="DIA",2,3),FALSE)),0))</f>
        <v/>
      </c>
      <c r="J4292" s="31" t="str">
        <f t="shared" si="463"/>
        <v/>
      </c>
      <c r="K4292" s="31" t="str">
        <f t="shared" si="464"/>
        <v/>
      </c>
      <c r="L4292" s="31" t="str">
        <f>IF(OR(B4292="",C4292=""),"",IFERROR(E4292 / SUMIFS('📅 Resumen Diario'!$D$5:$D$504, '📅 Resumen Diario'!$B$5:$B$504, B4292, '📅 Resumen Diario'!$C$5:$C$504, D4292) * SUMIFS('📅 Resumen Diario'!$K$5:$K$504, '📅 Resumen Diario'!$B$5:$B$504, B4292, '📅 Resumen Diario'!$C$5:$C$504, D4292), 0))</f>
        <v/>
      </c>
      <c r="M4292" s="31" t="str">
        <f t="shared" si="465"/>
        <v/>
      </c>
      <c r="N4292" s="31" t="str">
        <f t="shared" si="466"/>
        <v/>
      </c>
      <c r="O4292" s="31" t="str">
        <f>IF(OR(B4292="",C4292=""),"",K4292-N4292 + IFERROR(E4292 / SUMIFS('📅 Resumen Diario'!$D$5:$D$504, '📅 Resumen Diario'!$B$5:$B$504, B4292, '📅 Resumen Diario'!$C$5:$C$504, D4292) * (SUMIFS('📋 Detalle Diario'!$E$5:$E$489, '📋 Detalle Diario'!$B$5:$B$489, B4292, '📋 Detalle Diario'!$C$5:$C$489, D4292) * 135 + SUMIFS('📋 Detalle Diario'!$I$5:$I$489, '📋 Detalle Diario'!$B$5:$B$489, B4292, '📋 Detalle Diario'!$C$5:$C$489, D4292) * 200), 0))</f>
        <v/>
      </c>
      <c r="P4292" s="32" t="str">
        <f t="shared" si="467"/>
        <v/>
      </c>
      <c r="Q4292" s="33" t="str">
        <f t="shared" si="468"/>
        <v/>
      </c>
    </row>
    <row r="4293" spans="2:17" ht="18" customHeight="1" x14ac:dyDescent="0.3">
      <c r="B4293" s="26"/>
      <c r="C4293" s="28"/>
      <c r="D4293" s="27"/>
      <c r="E4293" s="29"/>
      <c r="F4293" s="29"/>
      <c r="G4293" s="29"/>
      <c r="H4293" s="30" t="str">
        <f t="shared" si="462"/>
        <v/>
      </c>
      <c r="I4293" s="31" t="str">
        <f>IF(OR(B4293="",C4293=""),"",IFERROR(E4293*IF(E4293="",0,VLOOKUP(C4293,'📦 Precios Proforma'!$B$5:$D$104,IF(D4293="DIA",2,3),FALSE)),0))</f>
        <v/>
      </c>
      <c r="J4293" s="31" t="str">
        <f t="shared" si="463"/>
        <v/>
      </c>
      <c r="K4293" s="31" t="str">
        <f t="shared" si="464"/>
        <v/>
      </c>
      <c r="L4293" s="31" t="str">
        <f>IF(OR(B4293="",C4293=""),"",IFERROR(E4293 / SUMIFS('📅 Resumen Diario'!$D$5:$D$504, '📅 Resumen Diario'!$B$5:$B$504, B4293, '📅 Resumen Diario'!$C$5:$C$504, D4293) * SUMIFS('📅 Resumen Diario'!$K$5:$K$504, '📅 Resumen Diario'!$B$5:$B$504, B4293, '📅 Resumen Diario'!$C$5:$C$504, D4293), 0))</f>
        <v/>
      </c>
      <c r="M4293" s="31" t="str">
        <f t="shared" si="465"/>
        <v/>
      </c>
      <c r="N4293" s="31" t="str">
        <f t="shared" si="466"/>
        <v/>
      </c>
      <c r="O4293" s="31" t="str">
        <f>IF(OR(B4293="",C4293=""),"",K4293-N4293 + IFERROR(E4293 / SUMIFS('📅 Resumen Diario'!$D$5:$D$504, '📅 Resumen Diario'!$B$5:$B$504, B4293, '📅 Resumen Diario'!$C$5:$C$504, D4293) * (SUMIFS('📋 Detalle Diario'!$E$5:$E$489, '📋 Detalle Diario'!$B$5:$B$489, B4293, '📋 Detalle Diario'!$C$5:$C$489, D4293) * 135 + SUMIFS('📋 Detalle Diario'!$I$5:$I$489, '📋 Detalle Diario'!$B$5:$B$489, B4293, '📋 Detalle Diario'!$C$5:$C$489, D4293) * 200), 0))</f>
        <v/>
      </c>
      <c r="P4293" s="32" t="str">
        <f t="shared" si="467"/>
        <v/>
      </c>
      <c r="Q4293" s="33" t="str">
        <f t="shared" si="468"/>
        <v/>
      </c>
    </row>
    <row r="4294" spans="2:17" ht="18" customHeight="1" x14ac:dyDescent="0.3">
      <c r="B4294" s="26"/>
      <c r="C4294" s="17"/>
      <c r="D4294" s="27"/>
      <c r="E4294" s="18"/>
      <c r="F4294" s="18"/>
      <c r="G4294" s="18"/>
      <c r="H4294" s="30" t="str">
        <f t="shared" si="462"/>
        <v/>
      </c>
      <c r="I4294" s="31" t="str">
        <f>IF(OR(B4294="",C4294=""),"",IFERROR(E4294*IF(E4294="",0,VLOOKUP(C4294,'📦 Precios Proforma'!$B$5:$D$104,IF(D4294="DIA",2,3),FALSE)),0))</f>
        <v/>
      </c>
      <c r="J4294" s="31" t="str">
        <f t="shared" si="463"/>
        <v/>
      </c>
      <c r="K4294" s="31" t="str">
        <f t="shared" si="464"/>
        <v/>
      </c>
      <c r="L4294" s="31" t="str">
        <f>IF(OR(B4294="",C4294=""),"",IFERROR(E4294 / SUMIFS('📅 Resumen Diario'!$D$5:$D$504, '📅 Resumen Diario'!$B$5:$B$504, B4294, '📅 Resumen Diario'!$C$5:$C$504, D4294) * SUMIFS('📅 Resumen Diario'!$K$5:$K$504, '📅 Resumen Diario'!$B$5:$B$504, B4294, '📅 Resumen Diario'!$C$5:$C$504, D4294), 0))</f>
        <v/>
      </c>
      <c r="M4294" s="31" t="str">
        <f t="shared" si="465"/>
        <v/>
      </c>
      <c r="N4294" s="31" t="str">
        <f t="shared" si="466"/>
        <v/>
      </c>
      <c r="O4294" s="31" t="str">
        <f>IF(OR(B4294="",C4294=""),"",K4294-N4294 + IFERROR(E4294 / SUMIFS('📅 Resumen Diario'!$D$5:$D$504, '📅 Resumen Diario'!$B$5:$B$504, B4294, '📅 Resumen Diario'!$C$5:$C$504, D4294) * (SUMIFS('📋 Detalle Diario'!$E$5:$E$489, '📋 Detalle Diario'!$B$5:$B$489, B4294, '📋 Detalle Diario'!$C$5:$C$489, D4294) * 135 + SUMIFS('📋 Detalle Diario'!$I$5:$I$489, '📋 Detalle Diario'!$B$5:$B$489, B4294, '📋 Detalle Diario'!$C$5:$C$489, D4294) * 200), 0))</f>
        <v/>
      </c>
      <c r="P4294" s="32" t="str">
        <f t="shared" si="467"/>
        <v/>
      </c>
      <c r="Q4294" s="33" t="str">
        <f t="shared" si="468"/>
        <v/>
      </c>
    </row>
    <row r="4295" spans="2:17" ht="18" customHeight="1" x14ac:dyDescent="0.3">
      <c r="B4295" s="26"/>
      <c r="C4295" s="28"/>
      <c r="D4295" s="27"/>
      <c r="E4295" s="29"/>
      <c r="F4295" s="29"/>
      <c r="G4295" s="29"/>
      <c r="H4295" s="30" t="str">
        <f t="shared" ref="H4295:H4358" si="469">IF(OR(B4295="",C4295=""),"",F4295+G4295)</f>
        <v/>
      </c>
      <c r="I4295" s="31" t="str">
        <f>IF(OR(B4295="",C4295=""),"",IFERROR(E4295*IF(E4295="",0,VLOOKUP(C4295,'📦 Precios Proforma'!$B$5:$D$104,IF(D4295="DIA",2,3),FALSE)),0))</f>
        <v/>
      </c>
      <c r="J4295" s="31" t="str">
        <f t="shared" ref="J4295:J4358" si="470">IF(OR(B4295="",C4295=""),"",IF(D4295="DIA",H4295*1.01,H4295*1.35))</f>
        <v/>
      </c>
      <c r="K4295" s="31" t="str">
        <f t="shared" ref="K4295:K4358" si="471">IF(OR(B4295="",C4295=""),"",I4295+J4295)</f>
        <v/>
      </c>
      <c r="L4295" s="31" t="str">
        <f>IF(OR(B4295="",C4295=""),"",IFERROR(E4295 / SUMIFS('📅 Resumen Diario'!$D$5:$D$504, '📅 Resumen Diario'!$B$5:$B$504, B4295, '📅 Resumen Diario'!$C$5:$C$504, D4295) * SUMIFS('📅 Resumen Diario'!$K$5:$K$504, '📅 Resumen Diario'!$B$5:$B$504, B4295, '📅 Resumen Diario'!$C$5:$C$504, D4295), 0))</f>
        <v/>
      </c>
      <c r="M4295" s="31" t="str">
        <f t="shared" ref="M4295:M4358" si="472">IF(OR(B4295="",C4295=""),"",H4295*0.09)</f>
        <v/>
      </c>
      <c r="N4295" s="31" t="str">
        <f t="shared" ref="N4295:N4358" si="473">IF(OR(B4295="",C4295=""),"",L4295+M4295)</f>
        <v/>
      </c>
      <c r="O4295" s="31" t="str">
        <f>IF(OR(B4295="",C4295=""),"",K4295-N4295 + IFERROR(E4295 / SUMIFS('📅 Resumen Diario'!$D$5:$D$504, '📅 Resumen Diario'!$B$5:$B$504, B4295, '📅 Resumen Diario'!$C$5:$C$504, D4295) * (SUMIFS('📋 Detalle Diario'!$E$5:$E$489, '📋 Detalle Diario'!$B$5:$B$489, B4295, '📋 Detalle Diario'!$C$5:$C$489, D4295) * 135 + SUMIFS('📋 Detalle Diario'!$I$5:$I$489, '📋 Detalle Diario'!$B$5:$B$489, B4295, '📋 Detalle Diario'!$C$5:$C$489, D4295) * 200), 0))</f>
        <v/>
      </c>
      <c r="P4295" s="32" t="str">
        <f t="shared" ref="P4295:P4358" si="474">IF(OR(B4295="",C4295=""),"",IF(K4295=0, 0, O4295/K4295))</f>
        <v/>
      </c>
      <c r="Q4295" s="33" t="str">
        <f t="shared" ref="Q4295:Q4358" si="475">IF(B4295="","",IF(ISNUMBER(B4295),YEAR(B4295)&amp;"-"&amp;IF(MONTH(B4295)&lt;10,"0","")&amp;MONTH(B4295),LEFT(B4295,7)))</f>
        <v/>
      </c>
    </row>
    <row r="4296" spans="2:17" ht="18" customHeight="1" x14ac:dyDescent="0.3">
      <c r="B4296" s="26"/>
      <c r="C4296" s="17"/>
      <c r="D4296" s="27"/>
      <c r="E4296" s="18"/>
      <c r="F4296" s="18"/>
      <c r="G4296" s="18"/>
      <c r="H4296" s="30" t="str">
        <f t="shared" si="469"/>
        <v/>
      </c>
      <c r="I4296" s="31" t="str">
        <f>IF(OR(B4296="",C4296=""),"",IFERROR(E4296*IF(E4296="",0,VLOOKUP(C4296,'📦 Precios Proforma'!$B$5:$D$104,IF(D4296="DIA",2,3),FALSE)),0))</f>
        <v/>
      </c>
      <c r="J4296" s="31" t="str">
        <f t="shared" si="470"/>
        <v/>
      </c>
      <c r="K4296" s="31" t="str">
        <f t="shared" si="471"/>
        <v/>
      </c>
      <c r="L4296" s="31" t="str">
        <f>IF(OR(B4296="",C4296=""),"",IFERROR(E4296 / SUMIFS('📅 Resumen Diario'!$D$5:$D$504, '📅 Resumen Diario'!$B$5:$B$504, B4296, '📅 Resumen Diario'!$C$5:$C$504, D4296) * SUMIFS('📅 Resumen Diario'!$K$5:$K$504, '📅 Resumen Diario'!$B$5:$B$504, B4296, '📅 Resumen Diario'!$C$5:$C$504, D4296), 0))</f>
        <v/>
      </c>
      <c r="M4296" s="31" t="str">
        <f t="shared" si="472"/>
        <v/>
      </c>
      <c r="N4296" s="31" t="str">
        <f t="shared" si="473"/>
        <v/>
      </c>
      <c r="O4296" s="31" t="str">
        <f>IF(OR(B4296="",C4296=""),"",K4296-N4296 + IFERROR(E4296 / SUMIFS('📅 Resumen Diario'!$D$5:$D$504, '📅 Resumen Diario'!$B$5:$B$504, B4296, '📅 Resumen Diario'!$C$5:$C$504, D4296) * (SUMIFS('📋 Detalle Diario'!$E$5:$E$489, '📋 Detalle Diario'!$B$5:$B$489, B4296, '📋 Detalle Diario'!$C$5:$C$489, D4296) * 135 + SUMIFS('📋 Detalle Diario'!$I$5:$I$489, '📋 Detalle Diario'!$B$5:$B$489, B4296, '📋 Detalle Diario'!$C$5:$C$489, D4296) * 200), 0))</f>
        <v/>
      </c>
      <c r="P4296" s="32" t="str">
        <f t="shared" si="474"/>
        <v/>
      </c>
      <c r="Q4296" s="33" t="str">
        <f t="shared" si="475"/>
        <v/>
      </c>
    </row>
    <row r="4297" spans="2:17" ht="18" customHeight="1" x14ac:dyDescent="0.3">
      <c r="B4297" s="26"/>
      <c r="C4297" s="28"/>
      <c r="D4297" s="27"/>
      <c r="E4297" s="29"/>
      <c r="F4297" s="29"/>
      <c r="G4297" s="29"/>
      <c r="H4297" s="30" t="str">
        <f t="shared" si="469"/>
        <v/>
      </c>
      <c r="I4297" s="31" t="str">
        <f>IF(OR(B4297="",C4297=""),"",IFERROR(E4297*IF(E4297="",0,VLOOKUP(C4297,'📦 Precios Proforma'!$B$5:$D$104,IF(D4297="DIA",2,3),FALSE)),0))</f>
        <v/>
      </c>
      <c r="J4297" s="31" t="str">
        <f t="shared" si="470"/>
        <v/>
      </c>
      <c r="K4297" s="31" t="str">
        <f t="shared" si="471"/>
        <v/>
      </c>
      <c r="L4297" s="31" t="str">
        <f>IF(OR(B4297="",C4297=""),"",IFERROR(E4297 / SUMIFS('📅 Resumen Diario'!$D$5:$D$504, '📅 Resumen Diario'!$B$5:$B$504, B4297, '📅 Resumen Diario'!$C$5:$C$504, D4297) * SUMIFS('📅 Resumen Diario'!$K$5:$K$504, '📅 Resumen Diario'!$B$5:$B$504, B4297, '📅 Resumen Diario'!$C$5:$C$504, D4297), 0))</f>
        <v/>
      </c>
      <c r="M4297" s="31" t="str">
        <f t="shared" si="472"/>
        <v/>
      </c>
      <c r="N4297" s="31" t="str">
        <f t="shared" si="473"/>
        <v/>
      </c>
      <c r="O4297" s="31" t="str">
        <f>IF(OR(B4297="",C4297=""),"",K4297-N4297 + IFERROR(E4297 / SUMIFS('📅 Resumen Diario'!$D$5:$D$504, '📅 Resumen Diario'!$B$5:$B$504, B4297, '📅 Resumen Diario'!$C$5:$C$504, D4297) * (SUMIFS('📋 Detalle Diario'!$E$5:$E$489, '📋 Detalle Diario'!$B$5:$B$489, B4297, '📋 Detalle Diario'!$C$5:$C$489, D4297) * 135 + SUMIFS('📋 Detalle Diario'!$I$5:$I$489, '📋 Detalle Diario'!$B$5:$B$489, B4297, '📋 Detalle Diario'!$C$5:$C$489, D4297) * 200), 0))</f>
        <v/>
      </c>
      <c r="P4297" s="32" t="str">
        <f t="shared" si="474"/>
        <v/>
      </c>
      <c r="Q4297" s="33" t="str">
        <f t="shared" si="475"/>
        <v/>
      </c>
    </row>
    <row r="4298" spans="2:17" ht="18" customHeight="1" x14ac:dyDescent="0.3">
      <c r="B4298" s="26"/>
      <c r="C4298" s="17"/>
      <c r="D4298" s="27"/>
      <c r="E4298" s="18"/>
      <c r="F4298" s="18"/>
      <c r="G4298" s="18"/>
      <c r="H4298" s="30" t="str">
        <f t="shared" si="469"/>
        <v/>
      </c>
      <c r="I4298" s="31" t="str">
        <f>IF(OR(B4298="",C4298=""),"",IFERROR(E4298*IF(E4298="",0,VLOOKUP(C4298,'📦 Precios Proforma'!$B$5:$D$104,IF(D4298="DIA",2,3),FALSE)),0))</f>
        <v/>
      </c>
      <c r="J4298" s="31" t="str">
        <f t="shared" si="470"/>
        <v/>
      </c>
      <c r="K4298" s="31" t="str">
        <f t="shared" si="471"/>
        <v/>
      </c>
      <c r="L4298" s="31" t="str">
        <f>IF(OR(B4298="",C4298=""),"",IFERROR(E4298 / SUMIFS('📅 Resumen Diario'!$D$5:$D$504, '📅 Resumen Diario'!$B$5:$B$504, B4298, '📅 Resumen Diario'!$C$5:$C$504, D4298) * SUMIFS('📅 Resumen Diario'!$K$5:$K$504, '📅 Resumen Diario'!$B$5:$B$504, B4298, '📅 Resumen Diario'!$C$5:$C$504, D4298), 0))</f>
        <v/>
      </c>
      <c r="M4298" s="31" t="str">
        <f t="shared" si="472"/>
        <v/>
      </c>
      <c r="N4298" s="31" t="str">
        <f t="shared" si="473"/>
        <v/>
      </c>
      <c r="O4298" s="31" t="str">
        <f>IF(OR(B4298="",C4298=""),"",K4298-N4298 + IFERROR(E4298 / SUMIFS('📅 Resumen Diario'!$D$5:$D$504, '📅 Resumen Diario'!$B$5:$B$504, B4298, '📅 Resumen Diario'!$C$5:$C$504, D4298) * (SUMIFS('📋 Detalle Diario'!$E$5:$E$489, '📋 Detalle Diario'!$B$5:$B$489, B4298, '📋 Detalle Diario'!$C$5:$C$489, D4298) * 135 + SUMIFS('📋 Detalle Diario'!$I$5:$I$489, '📋 Detalle Diario'!$B$5:$B$489, B4298, '📋 Detalle Diario'!$C$5:$C$489, D4298) * 200), 0))</f>
        <v/>
      </c>
      <c r="P4298" s="32" t="str">
        <f t="shared" si="474"/>
        <v/>
      </c>
      <c r="Q4298" s="33" t="str">
        <f t="shared" si="475"/>
        <v/>
      </c>
    </row>
    <row r="4299" spans="2:17" ht="18" customHeight="1" x14ac:dyDescent="0.3">
      <c r="B4299" s="26"/>
      <c r="C4299" s="28"/>
      <c r="D4299" s="27"/>
      <c r="E4299" s="29"/>
      <c r="F4299" s="29"/>
      <c r="G4299" s="29"/>
      <c r="H4299" s="30" t="str">
        <f t="shared" si="469"/>
        <v/>
      </c>
      <c r="I4299" s="31" t="str">
        <f>IF(OR(B4299="",C4299=""),"",IFERROR(E4299*IF(E4299="",0,VLOOKUP(C4299,'📦 Precios Proforma'!$B$5:$D$104,IF(D4299="DIA",2,3),FALSE)),0))</f>
        <v/>
      </c>
      <c r="J4299" s="31" t="str">
        <f t="shared" si="470"/>
        <v/>
      </c>
      <c r="K4299" s="31" t="str">
        <f t="shared" si="471"/>
        <v/>
      </c>
      <c r="L4299" s="31" t="str">
        <f>IF(OR(B4299="",C4299=""),"",IFERROR(E4299 / SUMIFS('📅 Resumen Diario'!$D$5:$D$504, '📅 Resumen Diario'!$B$5:$B$504, B4299, '📅 Resumen Diario'!$C$5:$C$504, D4299) * SUMIFS('📅 Resumen Diario'!$K$5:$K$504, '📅 Resumen Diario'!$B$5:$B$504, B4299, '📅 Resumen Diario'!$C$5:$C$504, D4299), 0))</f>
        <v/>
      </c>
      <c r="M4299" s="31" t="str">
        <f t="shared" si="472"/>
        <v/>
      </c>
      <c r="N4299" s="31" t="str">
        <f t="shared" si="473"/>
        <v/>
      </c>
      <c r="O4299" s="31" t="str">
        <f>IF(OR(B4299="",C4299=""),"",K4299-N4299 + IFERROR(E4299 / SUMIFS('📅 Resumen Diario'!$D$5:$D$504, '📅 Resumen Diario'!$B$5:$B$504, B4299, '📅 Resumen Diario'!$C$5:$C$504, D4299) * (SUMIFS('📋 Detalle Diario'!$E$5:$E$489, '📋 Detalle Diario'!$B$5:$B$489, B4299, '📋 Detalle Diario'!$C$5:$C$489, D4299) * 135 + SUMIFS('📋 Detalle Diario'!$I$5:$I$489, '📋 Detalle Diario'!$B$5:$B$489, B4299, '📋 Detalle Diario'!$C$5:$C$489, D4299) * 200), 0))</f>
        <v/>
      </c>
      <c r="P4299" s="32" t="str">
        <f t="shared" si="474"/>
        <v/>
      </c>
      <c r="Q4299" s="33" t="str">
        <f t="shared" si="475"/>
        <v/>
      </c>
    </row>
    <row r="4300" spans="2:17" ht="18" customHeight="1" x14ac:dyDescent="0.3">
      <c r="B4300" s="26"/>
      <c r="C4300" s="17"/>
      <c r="D4300" s="27"/>
      <c r="E4300" s="18"/>
      <c r="F4300" s="18"/>
      <c r="G4300" s="18"/>
      <c r="H4300" s="30" t="str">
        <f t="shared" si="469"/>
        <v/>
      </c>
      <c r="I4300" s="31" t="str">
        <f>IF(OR(B4300="",C4300=""),"",IFERROR(E4300*IF(E4300="",0,VLOOKUP(C4300,'📦 Precios Proforma'!$B$5:$D$104,IF(D4300="DIA",2,3),FALSE)),0))</f>
        <v/>
      </c>
      <c r="J4300" s="31" t="str">
        <f t="shared" si="470"/>
        <v/>
      </c>
      <c r="K4300" s="31" t="str">
        <f t="shared" si="471"/>
        <v/>
      </c>
      <c r="L4300" s="31" t="str">
        <f>IF(OR(B4300="",C4300=""),"",IFERROR(E4300 / SUMIFS('📅 Resumen Diario'!$D$5:$D$504, '📅 Resumen Diario'!$B$5:$B$504, B4300, '📅 Resumen Diario'!$C$5:$C$504, D4300) * SUMIFS('📅 Resumen Diario'!$K$5:$K$504, '📅 Resumen Diario'!$B$5:$B$504, B4300, '📅 Resumen Diario'!$C$5:$C$504, D4300), 0))</f>
        <v/>
      </c>
      <c r="M4300" s="31" t="str">
        <f t="shared" si="472"/>
        <v/>
      </c>
      <c r="N4300" s="31" t="str">
        <f t="shared" si="473"/>
        <v/>
      </c>
      <c r="O4300" s="31" t="str">
        <f>IF(OR(B4300="",C4300=""),"",K4300-N4300 + IFERROR(E4300 / SUMIFS('📅 Resumen Diario'!$D$5:$D$504, '📅 Resumen Diario'!$B$5:$B$504, B4300, '📅 Resumen Diario'!$C$5:$C$504, D4300) * (SUMIFS('📋 Detalle Diario'!$E$5:$E$489, '📋 Detalle Diario'!$B$5:$B$489, B4300, '📋 Detalle Diario'!$C$5:$C$489, D4300) * 135 + SUMIFS('📋 Detalle Diario'!$I$5:$I$489, '📋 Detalle Diario'!$B$5:$B$489, B4300, '📋 Detalle Diario'!$C$5:$C$489, D4300) * 200), 0))</f>
        <v/>
      </c>
      <c r="P4300" s="32" t="str">
        <f t="shared" si="474"/>
        <v/>
      </c>
      <c r="Q4300" s="33" t="str">
        <f t="shared" si="475"/>
        <v/>
      </c>
    </row>
    <row r="4301" spans="2:17" ht="18" customHeight="1" x14ac:dyDescent="0.3">
      <c r="B4301" s="26"/>
      <c r="C4301" s="28"/>
      <c r="D4301" s="27"/>
      <c r="E4301" s="29"/>
      <c r="F4301" s="29"/>
      <c r="G4301" s="29"/>
      <c r="H4301" s="30" t="str">
        <f t="shared" si="469"/>
        <v/>
      </c>
      <c r="I4301" s="31" t="str">
        <f>IF(OR(B4301="",C4301=""),"",IFERROR(E4301*IF(E4301="",0,VLOOKUP(C4301,'📦 Precios Proforma'!$B$5:$D$104,IF(D4301="DIA",2,3),FALSE)),0))</f>
        <v/>
      </c>
      <c r="J4301" s="31" t="str">
        <f t="shared" si="470"/>
        <v/>
      </c>
      <c r="K4301" s="31" t="str">
        <f t="shared" si="471"/>
        <v/>
      </c>
      <c r="L4301" s="31" t="str">
        <f>IF(OR(B4301="",C4301=""),"",IFERROR(E4301 / SUMIFS('📅 Resumen Diario'!$D$5:$D$504, '📅 Resumen Diario'!$B$5:$B$504, B4301, '📅 Resumen Diario'!$C$5:$C$504, D4301) * SUMIFS('📅 Resumen Diario'!$K$5:$K$504, '📅 Resumen Diario'!$B$5:$B$504, B4301, '📅 Resumen Diario'!$C$5:$C$504, D4301), 0))</f>
        <v/>
      </c>
      <c r="M4301" s="31" t="str">
        <f t="shared" si="472"/>
        <v/>
      </c>
      <c r="N4301" s="31" t="str">
        <f t="shared" si="473"/>
        <v/>
      </c>
      <c r="O4301" s="31" t="str">
        <f>IF(OR(B4301="",C4301=""),"",K4301-N4301 + IFERROR(E4301 / SUMIFS('📅 Resumen Diario'!$D$5:$D$504, '📅 Resumen Diario'!$B$5:$B$504, B4301, '📅 Resumen Diario'!$C$5:$C$504, D4301) * (SUMIFS('📋 Detalle Diario'!$E$5:$E$489, '📋 Detalle Diario'!$B$5:$B$489, B4301, '📋 Detalle Diario'!$C$5:$C$489, D4301) * 135 + SUMIFS('📋 Detalle Diario'!$I$5:$I$489, '📋 Detalle Diario'!$B$5:$B$489, B4301, '📋 Detalle Diario'!$C$5:$C$489, D4301) * 200), 0))</f>
        <v/>
      </c>
      <c r="P4301" s="32" t="str">
        <f t="shared" si="474"/>
        <v/>
      </c>
      <c r="Q4301" s="33" t="str">
        <f t="shared" si="475"/>
        <v/>
      </c>
    </row>
    <row r="4302" spans="2:17" ht="18" customHeight="1" x14ac:dyDescent="0.3">
      <c r="B4302" s="26"/>
      <c r="C4302" s="17"/>
      <c r="D4302" s="27"/>
      <c r="E4302" s="18"/>
      <c r="F4302" s="18"/>
      <c r="G4302" s="18"/>
      <c r="H4302" s="30" t="str">
        <f t="shared" si="469"/>
        <v/>
      </c>
      <c r="I4302" s="31" t="str">
        <f>IF(OR(B4302="",C4302=""),"",IFERROR(E4302*IF(E4302="",0,VLOOKUP(C4302,'📦 Precios Proforma'!$B$5:$D$104,IF(D4302="DIA",2,3),FALSE)),0))</f>
        <v/>
      </c>
      <c r="J4302" s="31" t="str">
        <f t="shared" si="470"/>
        <v/>
      </c>
      <c r="K4302" s="31" t="str">
        <f t="shared" si="471"/>
        <v/>
      </c>
      <c r="L4302" s="31" t="str">
        <f>IF(OR(B4302="",C4302=""),"",IFERROR(E4302 / SUMIFS('📅 Resumen Diario'!$D$5:$D$504, '📅 Resumen Diario'!$B$5:$B$504, B4302, '📅 Resumen Diario'!$C$5:$C$504, D4302) * SUMIFS('📅 Resumen Diario'!$K$5:$K$504, '📅 Resumen Diario'!$B$5:$B$504, B4302, '📅 Resumen Diario'!$C$5:$C$504, D4302), 0))</f>
        <v/>
      </c>
      <c r="M4302" s="31" t="str">
        <f t="shared" si="472"/>
        <v/>
      </c>
      <c r="N4302" s="31" t="str">
        <f t="shared" si="473"/>
        <v/>
      </c>
      <c r="O4302" s="31" t="str">
        <f>IF(OR(B4302="",C4302=""),"",K4302-N4302 + IFERROR(E4302 / SUMIFS('📅 Resumen Diario'!$D$5:$D$504, '📅 Resumen Diario'!$B$5:$B$504, B4302, '📅 Resumen Diario'!$C$5:$C$504, D4302) * (SUMIFS('📋 Detalle Diario'!$E$5:$E$489, '📋 Detalle Diario'!$B$5:$B$489, B4302, '📋 Detalle Diario'!$C$5:$C$489, D4302) * 135 + SUMIFS('📋 Detalle Diario'!$I$5:$I$489, '📋 Detalle Diario'!$B$5:$B$489, B4302, '📋 Detalle Diario'!$C$5:$C$489, D4302) * 200), 0))</f>
        <v/>
      </c>
      <c r="P4302" s="32" t="str">
        <f t="shared" si="474"/>
        <v/>
      </c>
      <c r="Q4302" s="33" t="str">
        <f t="shared" si="475"/>
        <v/>
      </c>
    </row>
    <row r="4303" spans="2:17" ht="18" customHeight="1" x14ac:dyDescent="0.3">
      <c r="B4303" s="26"/>
      <c r="C4303" s="28"/>
      <c r="D4303" s="27"/>
      <c r="E4303" s="29"/>
      <c r="F4303" s="29"/>
      <c r="G4303" s="29"/>
      <c r="H4303" s="30" t="str">
        <f t="shared" si="469"/>
        <v/>
      </c>
      <c r="I4303" s="31" t="str">
        <f>IF(OR(B4303="",C4303=""),"",IFERROR(E4303*IF(E4303="",0,VLOOKUP(C4303,'📦 Precios Proforma'!$B$5:$D$104,IF(D4303="DIA",2,3),FALSE)),0))</f>
        <v/>
      </c>
      <c r="J4303" s="31" t="str">
        <f t="shared" si="470"/>
        <v/>
      </c>
      <c r="K4303" s="31" t="str">
        <f t="shared" si="471"/>
        <v/>
      </c>
      <c r="L4303" s="31" t="str">
        <f>IF(OR(B4303="",C4303=""),"",IFERROR(E4303 / SUMIFS('📅 Resumen Diario'!$D$5:$D$504, '📅 Resumen Diario'!$B$5:$B$504, B4303, '📅 Resumen Diario'!$C$5:$C$504, D4303) * SUMIFS('📅 Resumen Diario'!$K$5:$K$504, '📅 Resumen Diario'!$B$5:$B$504, B4303, '📅 Resumen Diario'!$C$5:$C$504, D4303), 0))</f>
        <v/>
      </c>
      <c r="M4303" s="31" t="str">
        <f t="shared" si="472"/>
        <v/>
      </c>
      <c r="N4303" s="31" t="str">
        <f t="shared" si="473"/>
        <v/>
      </c>
      <c r="O4303" s="31" t="str">
        <f>IF(OR(B4303="",C4303=""),"",K4303-N4303 + IFERROR(E4303 / SUMIFS('📅 Resumen Diario'!$D$5:$D$504, '📅 Resumen Diario'!$B$5:$B$504, B4303, '📅 Resumen Diario'!$C$5:$C$504, D4303) * (SUMIFS('📋 Detalle Diario'!$E$5:$E$489, '📋 Detalle Diario'!$B$5:$B$489, B4303, '📋 Detalle Diario'!$C$5:$C$489, D4303) * 135 + SUMIFS('📋 Detalle Diario'!$I$5:$I$489, '📋 Detalle Diario'!$B$5:$B$489, B4303, '📋 Detalle Diario'!$C$5:$C$489, D4303) * 200), 0))</f>
        <v/>
      </c>
      <c r="P4303" s="32" t="str">
        <f t="shared" si="474"/>
        <v/>
      </c>
      <c r="Q4303" s="33" t="str">
        <f t="shared" si="475"/>
        <v/>
      </c>
    </row>
    <row r="4304" spans="2:17" ht="18" customHeight="1" x14ac:dyDescent="0.3">
      <c r="B4304" s="26"/>
      <c r="C4304" s="17"/>
      <c r="D4304" s="27"/>
      <c r="E4304" s="18"/>
      <c r="F4304" s="18"/>
      <c r="G4304" s="18"/>
      <c r="H4304" s="30" t="str">
        <f t="shared" si="469"/>
        <v/>
      </c>
      <c r="I4304" s="31" t="str">
        <f>IF(OR(B4304="",C4304=""),"",IFERROR(E4304*IF(E4304="",0,VLOOKUP(C4304,'📦 Precios Proforma'!$B$5:$D$104,IF(D4304="DIA",2,3),FALSE)),0))</f>
        <v/>
      </c>
      <c r="J4304" s="31" t="str">
        <f t="shared" si="470"/>
        <v/>
      </c>
      <c r="K4304" s="31" t="str">
        <f t="shared" si="471"/>
        <v/>
      </c>
      <c r="L4304" s="31" t="str">
        <f>IF(OR(B4304="",C4304=""),"",IFERROR(E4304 / SUMIFS('📅 Resumen Diario'!$D$5:$D$504, '📅 Resumen Diario'!$B$5:$B$504, B4304, '📅 Resumen Diario'!$C$5:$C$504, D4304) * SUMIFS('📅 Resumen Diario'!$K$5:$K$504, '📅 Resumen Diario'!$B$5:$B$504, B4304, '📅 Resumen Diario'!$C$5:$C$504, D4304), 0))</f>
        <v/>
      </c>
      <c r="M4304" s="31" t="str">
        <f t="shared" si="472"/>
        <v/>
      </c>
      <c r="N4304" s="31" t="str">
        <f t="shared" si="473"/>
        <v/>
      </c>
      <c r="O4304" s="31" t="str">
        <f>IF(OR(B4304="",C4304=""),"",K4304-N4304 + IFERROR(E4304 / SUMIFS('📅 Resumen Diario'!$D$5:$D$504, '📅 Resumen Diario'!$B$5:$B$504, B4304, '📅 Resumen Diario'!$C$5:$C$504, D4304) * (SUMIFS('📋 Detalle Diario'!$E$5:$E$489, '📋 Detalle Diario'!$B$5:$B$489, B4304, '📋 Detalle Diario'!$C$5:$C$489, D4304) * 135 + SUMIFS('📋 Detalle Diario'!$I$5:$I$489, '📋 Detalle Diario'!$B$5:$B$489, B4304, '📋 Detalle Diario'!$C$5:$C$489, D4304) * 200), 0))</f>
        <v/>
      </c>
      <c r="P4304" s="32" t="str">
        <f t="shared" si="474"/>
        <v/>
      </c>
      <c r="Q4304" s="33" t="str">
        <f t="shared" si="475"/>
        <v/>
      </c>
    </row>
    <row r="4305" spans="2:17" ht="18" customHeight="1" x14ac:dyDescent="0.3">
      <c r="B4305" s="26"/>
      <c r="C4305" s="28"/>
      <c r="D4305" s="27"/>
      <c r="E4305" s="29"/>
      <c r="F4305" s="29"/>
      <c r="G4305" s="29"/>
      <c r="H4305" s="30" t="str">
        <f t="shared" si="469"/>
        <v/>
      </c>
      <c r="I4305" s="31" t="str">
        <f>IF(OR(B4305="",C4305=""),"",IFERROR(E4305*IF(E4305="",0,VLOOKUP(C4305,'📦 Precios Proforma'!$B$5:$D$104,IF(D4305="DIA",2,3),FALSE)),0))</f>
        <v/>
      </c>
      <c r="J4305" s="31" t="str">
        <f t="shared" si="470"/>
        <v/>
      </c>
      <c r="K4305" s="31" t="str">
        <f t="shared" si="471"/>
        <v/>
      </c>
      <c r="L4305" s="31" t="str">
        <f>IF(OR(B4305="",C4305=""),"",IFERROR(E4305 / SUMIFS('📅 Resumen Diario'!$D$5:$D$504, '📅 Resumen Diario'!$B$5:$B$504, B4305, '📅 Resumen Diario'!$C$5:$C$504, D4305) * SUMIFS('📅 Resumen Diario'!$K$5:$K$504, '📅 Resumen Diario'!$B$5:$B$504, B4305, '📅 Resumen Diario'!$C$5:$C$504, D4305), 0))</f>
        <v/>
      </c>
      <c r="M4305" s="31" t="str">
        <f t="shared" si="472"/>
        <v/>
      </c>
      <c r="N4305" s="31" t="str">
        <f t="shared" si="473"/>
        <v/>
      </c>
      <c r="O4305" s="31" t="str">
        <f>IF(OR(B4305="",C4305=""),"",K4305-N4305 + IFERROR(E4305 / SUMIFS('📅 Resumen Diario'!$D$5:$D$504, '📅 Resumen Diario'!$B$5:$B$504, B4305, '📅 Resumen Diario'!$C$5:$C$504, D4305) * (SUMIFS('📋 Detalle Diario'!$E$5:$E$489, '📋 Detalle Diario'!$B$5:$B$489, B4305, '📋 Detalle Diario'!$C$5:$C$489, D4305) * 135 + SUMIFS('📋 Detalle Diario'!$I$5:$I$489, '📋 Detalle Diario'!$B$5:$B$489, B4305, '📋 Detalle Diario'!$C$5:$C$489, D4305) * 200), 0))</f>
        <v/>
      </c>
      <c r="P4305" s="32" t="str">
        <f t="shared" si="474"/>
        <v/>
      </c>
      <c r="Q4305" s="33" t="str">
        <f t="shared" si="475"/>
        <v/>
      </c>
    </row>
    <row r="4306" spans="2:17" ht="18" customHeight="1" x14ac:dyDescent="0.3">
      <c r="B4306" s="26"/>
      <c r="C4306" s="17"/>
      <c r="D4306" s="27"/>
      <c r="E4306" s="18"/>
      <c r="F4306" s="18"/>
      <c r="G4306" s="18"/>
      <c r="H4306" s="30" t="str">
        <f t="shared" si="469"/>
        <v/>
      </c>
      <c r="I4306" s="31" t="str">
        <f>IF(OR(B4306="",C4306=""),"",IFERROR(E4306*IF(E4306="",0,VLOOKUP(C4306,'📦 Precios Proforma'!$B$5:$D$104,IF(D4306="DIA",2,3),FALSE)),0))</f>
        <v/>
      </c>
      <c r="J4306" s="31" t="str">
        <f t="shared" si="470"/>
        <v/>
      </c>
      <c r="K4306" s="31" t="str">
        <f t="shared" si="471"/>
        <v/>
      </c>
      <c r="L4306" s="31" t="str">
        <f>IF(OR(B4306="",C4306=""),"",IFERROR(E4306 / SUMIFS('📅 Resumen Diario'!$D$5:$D$504, '📅 Resumen Diario'!$B$5:$B$504, B4306, '📅 Resumen Diario'!$C$5:$C$504, D4306) * SUMIFS('📅 Resumen Diario'!$K$5:$K$504, '📅 Resumen Diario'!$B$5:$B$504, B4306, '📅 Resumen Diario'!$C$5:$C$504, D4306), 0))</f>
        <v/>
      </c>
      <c r="M4306" s="31" t="str">
        <f t="shared" si="472"/>
        <v/>
      </c>
      <c r="N4306" s="31" t="str">
        <f t="shared" si="473"/>
        <v/>
      </c>
      <c r="O4306" s="31" t="str">
        <f>IF(OR(B4306="",C4306=""),"",K4306-N4306 + IFERROR(E4306 / SUMIFS('📅 Resumen Diario'!$D$5:$D$504, '📅 Resumen Diario'!$B$5:$B$504, B4306, '📅 Resumen Diario'!$C$5:$C$504, D4306) * (SUMIFS('📋 Detalle Diario'!$E$5:$E$489, '📋 Detalle Diario'!$B$5:$B$489, B4306, '📋 Detalle Diario'!$C$5:$C$489, D4306) * 135 + SUMIFS('📋 Detalle Diario'!$I$5:$I$489, '📋 Detalle Diario'!$B$5:$B$489, B4306, '📋 Detalle Diario'!$C$5:$C$489, D4306) * 200), 0))</f>
        <v/>
      </c>
      <c r="P4306" s="32" t="str">
        <f t="shared" si="474"/>
        <v/>
      </c>
      <c r="Q4306" s="33" t="str">
        <f t="shared" si="475"/>
        <v/>
      </c>
    </row>
    <row r="4307" spans="2:17" ht="18" customHeight="1" x14ac:dyDescent="0.3">
      <c r="B4307" s="26"/>
      <c r="C4307" s="28"/>
      <c r="D4307" s="27"/>
      <c r="E4307" s="29"/>
      <c r="F4307" s="29"/>
      <c r="G4307" s="29"/>
      <c r="H4307" s="30" t="str">
        <f t="shared" si="469"/>
        <v/>
      </c>
      <c r="I4307" s="31" t="str">
        <f>IF(OR(B4307="",C4307=""),"",IFERROR(E4307*IF(E4307="",0,VLOOKUP(C4307,'📦 Precios Proforma'!$B$5:$D$104,IF(D4307="DIA",2,3),FALSE)),0))</f>
        <v/>
      </c>
      <c r="J4307" s="31" t="str">
        <f t="shared" si="470"/>
        <v/>
      </c>
      <c r="K4307" s="31" t="str">
        <f t="shared" si="471"/>
        <v/>
      </c>
      <c r="L4307" s="31" t="str">
        <f>IF(OR(B4307="",C4307=""),"",IFERROR(E4307 / SUMIFS('📅 Resumen Diario'!$D$5:$D$504, '📅 Resumen Diario'!$B$5:$B$504, B4307, '📅 Resumen Diario'!$C$5:$C$504, D4307) * SUMIFS('📅 Resumen Diario'!$K$5:$K$504, '📅 Resumen Diario'!$B$5:$B$504, B4307, '📅 Resumen Diario'!$C$5:$C$504, D4307), 0))</f>
        <v/>
      </c>
      <c r="M4307" s="31" t="str">
        <f t="shared" si="472"/>
        <v/>
      </c>
      <c r="N4307" s="31" t="str">
        <f t="shared" si="473"/>
        <v/>
      </c>
      <c r="O4307" s="31" t="str">
        <f>IF(OR(B4307="",C4307=""),"",K4307-N4307 + IFERROR(E4307 / SUMIFS('📅 Resumen Diario'!$D$5:$D$504, '📅 Resumen Diario'!$B$5:$B$504, B4307, '📅 Resumen Diario'!$C$5:$C$504, D4307) * (SUMIFS('📋 Detalle Diario'!$E$5:$E$489, '📋 Detalle Diario'!$B$5:$B$489, B4307, '📋 Detalle Diario'!$C$5:$C$489, D4307) * 135 + SUMIFS('📋 Detalle Diario'!$I$5:$I$489, '📋 Detalle Diario'!$B$5:$B$489, B4307, '📋 Detalle Diario'!$C$5:$C$489, D4307) * 200), 0))</f>
        <v/>
      </c>
      <c r="P4307" s="32" t="str">
        <f t="shared" si="474"/>
        <v/>
      </c>
      <c r="Q4307" s="33" t="str">
        <f t="shared" si="475"/>
        <v/>
      </c>
    </row>
    <row r="4308" spans="2:17" ht="18" customHeight="1" x14ac:dyDescent="0.3">
      <c r="B4308" s="26"/>
      <c r="C4308" s="17"/>
      <c r="D4308" s="27"/>
      <c r="E4308" s="18"/>
      <c r="F4308" s="18"/>
      <c r="G4308" s="18"/>
      <c r="H4308" s="30" t="str">
        <f t="shared" si="469"/>
        <v/>
      </c>
      <c r="I4308" s="31" t="str">
        <f>IF(OR(B4308="",C4308=""),"",IFERROR(E4308*IF(E4308="",0,VLOOKUP(C4308,'📦 Precios Proforma'!$B$5:$D$104,IF(D4308="DIA",2,3),FALSE)),0))</f>
        <v/>
      </c>
      <c r="J4308" s="31" t="str">
        <f t="shared" si="470"/>
        <v/>
      </c>
      <c r="K4308" s="31" t="str">
        <f t="shared" si="471"/>
        <v/>
      </c>
      <c r="L4308" s="31" t="str">
        <f>IF(OR(B4308="",C4308=""),"",IFERROR(E4308 / SUMIFS('📅 Resumen Diario'!$D$5:$D$504, '📅 Resumen Diario'!$B$5:$B$504, B4308, '📅 Resumen Diario'!$C$5:$C$504, D4308) * SUMIFS('📅 Resumen Diario'!$K$5:$K$504, '📅 Resumen Diario'!$B$5:$B$504, B4308, '📅 Resumen Diario'!$C$5:$C$504, D4308), 0))</f>
        <v/>
      </c>
      <c r="M4308" s="31" t="str">
        <f t="shared" si="472"/>
        <v/>
      </c>
      <c r="N4308" s="31" t="str">
        <f t="shared" si="473"/>
        <v/>
      </c>
      <c r="O4308" s="31" t="str">
        <f>IF(OR(B4308="",C4308=""),"",K4308-N4308 + IFERROR(E4308 / SUMIFS('📅 Resumen Diario'!$D$5:$D$504, '📅 Resumen Diario'!$B$5:$B$504, B4308, '📅 Resumen Diario'!$C$5:$C$504, D4308) * (SUMIFS('📋 Detalle Diario'!$E$5:$E$489, '📋 Detalle Diario'!$B$5:$B$489, B4308, '📋 Detalle Diario'!$C$5:$C$489, D4308) * 135 + SUMIFS('📋 Detalle Diario'!$I$5:$I$489, '📋 Detalle Diario'!$B$5:$B$489, B4308, '📋 Detalle Diario'!$C$5:$C$489, D4308) * 200), 0))</f>
        <v/>
      </c>
      <c r="P4308" s="32" t="str">
        <f t="shared" si="474"/>
        <v/>
      </c>
      <c r="Q4308" s="33" t="str">
        <f t="shared" si="475"/>
        <v/>
      </c>
    </row>
    <row r="4309" spans="2:17" ht="18" customHeight="1" x14ac:dyDescent="0.3">
      <c r="B4309" s="26"/>
      <c r="C4309" s="28"/>
      <c r="D4309" s="27"/>
      <c r="E4309" s="29"/>
      <c r="F4309" s="29"/>
      <c r="G4309" s="29"/>
      <c r="H4309" s="30" t="str">
        <f t="shared" si="469"/>
        <v/>
      </c>
      <c r="I4309" s="31" t="str">
        <f>IF(OR(B4309="",C4309=""),"",IFERROR(E4309*IF(E4309="",0,VLOOKUP(C4309,'📦 Precios Proforma'!$B$5:$D$104,IF(D4309="DIA",2,3),FALSE)),0))</f>
        <v/>
      </c>
      <c r="J4309" s="31" t="str">
        <f t="shared" si="470"/>
        <v/>
      </c>
      <c r="K4309" s="31" t="str">
        <f t="shared" si="471"/>
        <v/>
      </c>
      <c r="L4309" s="31" t="str">
        <f>IF(OR(B4309="",C4309=""),"",IFERROR(E4309 / SUMIFS('📅 Resumen Diario'!$D$5:$D$504, '📅 Resumen Diario'!$B$5:$B$504, B4309, '📅 Resumen Diario'!$C$5:$C$504, D4309) * SUMIFS('📅 Resumen Diario'!$K$5:$K$504, '📅 Resumen Diario'!$B$5:$B$504, B4309, '📅 Resumen Diario'!$C$5:$C$504, D4309), 0))</f>
        <v/>
      </c>
      <c r="M4309" s="31" t="str">
        <f t="shared" si="472"/>
        <v/>
      </c>
      <c r="N4309" s="31" t="str">
        <f t="shared" si="473"/>
        <v/>
      </c>
      <c r="O4309" s="31" t="str">
        <f>IF(OR(B4309="",C4309=""),"",K4309-N4309 + IFERROR(E4309 / SUMIFS('📅 Resumen Diario'!$D$5:$D$504, '📅 Resumen Diario'!$B$5:$B$504, B4309, '📅 Resumen Diario'!$C$5:$C$504, D4309) * (SUMIFS('📋 Detalle Diario'!$E$5:$E$489, '📋 Detalle Diario'!$B$5:$B$489, B4309, '📋 Detalle Diario'!$C$5:$C$489, D4309) * 135 + SUMIFS('📋 Detalle Diario'!$I$5:$I$489, '📋 Detalle Diario'!$B$5:$B$489, B4309, '📋 Detalle Diario'!$C$5:$C$489, D4309) * 200), 0))</f>
        <v/>
      </c>
      <c r="P4309" s="32" t="str">
        <f t="shared" si="474"/>
        <v/>
      </c>
      <c r="Q4309" s="33" t="str">
        <f t="shared" si="475"/>
        <v/>
      </c>
    </row>
    <row r="4310" spans="2:17" ht="18" customHeight="1" x14ac:dyDescent="0.3">
      <c r="B4310" s="26"/>
      <c r="C4310" s="17"/>
      <c r="D4310" s="27"/>
      <c r="E4310" s="18"/>
      <c r="F4310" s="18"/>
      <c r="G4310" s="18"/>
      <c r="H4310" s="30" t="str">
        <f t="shared" si="469"/>
        <v/>
      </c>
      <c r="I4310" s="31" t="str">
        <f>IF(OR(B4310="",C4310=""),"",IFERROR(E4310*IF(E4310="",0,VLOOKUP(C4310,'📦 Precios Proforma'!$B$5:$D$104,IF(D4310="DIA",2,3),FALSE)),0))</f>
        <v/>
      </c>
      <c r="J4310" s="31" t="str">
        <f t="shared" si="470"/>
        <v/>
      </c>
      <c r="K4310" s="31" t="str">
        <f t="shared" si="471"/>
        <v/>
      </c>
      <c r="L4310" s="31" t="str">
        <f>IF(OR(B4310="",C4310=""),"",IFERROR(E4310 / SUMIFS('📅 Resumen Diario'!$D$5:$D$504, '📅 Resumen Diario'!$B$5:$B$504, B4310, '📅 Resumen Diario'!$C$5:$C$504, D4310) * SUMIFS('📅 Resumen Diario'!$K$5:$K$504, '📅 Resumen Diario'!$B$5:$B$504, B4310, '📅 Resumen Diario'!$C$5:$C$504, D4310), 0))</f>
        <v/>
      </c>
      <c r="M4310" s="31" t="str">
        <f t="shared" si="472"/>
        <v/>
      </c>
      <c r="N4310" s="31" t="str">
        <f t="shared" si="473"/>
        <v/>
      </c>
      <c r="O4310" s="31" t="str">
        <f>IF(OR(B4310="",C4310=""),"",K4310-N4310 + IFERROR(E4310 / SUMIFS('📅 Resumen Diario'!$D$5:$D$504, '📅 Resumen Diario'!$B$5:$B$504, B4310, '📅 Resumen Diario'!$C$5:$C$504, D4310) * (SUMIFS('📋 Detalle Diario'!$E$5:$E$489, '📋 Detalle Diario'!$B$5:$B$489, B4310, '📋 Detalle Diario'!$C$5:$C$489, D4310) * 135 + SUMIFS('📋 Detalle Diario'!$I$5:$I$489, '📋 Detalle Diario'!$B$5:$B$489, B4310, '📋 Detalle Diario'!$C$5:$C$489, D4310) * 200), 0))</f>
        <v/>
      </c>
      <c r="P4310" s="32" t="str">
        <f t="shared" si="474"/>
        <v/>
      </c>
      <c r="Q4310" s="33" t="str">
        <f t="shared" si="475"/>
        <v/>
      </c>
    </row>
    <row r="4311" spans="2:17" ht="18" customHeight="1" x14ac:dyDescent="0.3">
      <c r="B4311" s="26"/>
      <c r="C4311" s="28"/>
      <c r="D4311" s="27"/>
      <c r="E4311" s="29"/>
      <c r="F4311" s="29"/>
      <c r="G4311" s="29"/>
      <c r="H4311" s="30" t="str">
        <f t="shared" si="469"/>
        <v/>
      </c>
      <c r="I4311" s="31" t="str">
        <f>IF(OR(B4311="",C4311=""),"",IFERROR(E4311*IF(E4311="",0,VLOOKUP(C4311,'📦 Precios Proforma'!$B$5:$D$104,IF(D4311="DIA",2,3),FALSE)),0))</f>
        <v/>
      </c>
      <c r="J4311" s="31" t="str">
        <f t="shared" si="470"/>
        <v/>
      </c>
      <c r="K4311" s="31" t="str">
        <f t="shared" si="471"/>
        <v/>
      </c>
      <c r="L4311" s="31" t="str">
        <f>IF(OR(B4311="",C4311=""),"",IFERROR(E4311 / SUMIFS('📅 Resumen Diario'!$D$5:$D$504, '📅 Resumen Diario'!$B$5:$B$504, B4311, '📅 Resumen Diario'!$C$5:$C$504, D4311) * SUMIFS('📅 Resumen Diario'!$K$5:$K$504, '📅 Resumen Diario'!$B$5:$B$504, B4311, '📅 Resumen Diario'!$C$5:$C$504, D4311), 0))</f>
        <v/>
      </c>
      <c r="M4311" s="31" t="str">
        <f t="shared" si="472"/>
        <v/>
      </c>
      <c r="N4311" s="31" t="str">
        <f t="shared" si="473"/>
        <v/>
      </c>
      <c r="O4311" s="31" t="str">
        <f>IF(OR(B4311="",C4311=""),"",K4311-N4311 + IFERROR(E4311 / SUMIFS('📅 Resumen Diario'!$D$5:$D$504, '📅 Resumen Diario'!$B$5:$B$504, B4311, '📅 Resumen Diario'!$C$5:$C$504, D4311) * (SUMIFS('📋 Detalle Diario'!$E$5:$E$489, '📋 Detalle Diario'!$B$5:$B$489, B4311, '📋 Detalle Diario'!$C$5:$C$489, D4311) * 135 + SUMIFS('📋 Detalle Diario'!$I$5:$I$489, '📋 Detalle Diario'!$B$5:$B$489, B4311, '📋 Detalle Diario'!$C$5:$C$489, D4311) * 200), 0))</f>
        <v/>
      </c>
      <c r="P4311" s="32" t="str">
        <f t="shared" si="474"/>
        <v/>
      </c>
      <c r="Q4311" s="33" t="str">
        <f t="shared" si="475"/>
        <v/>
      </c>
    </row>
    <row r="4312" spans="2:17" ht="18" customHeight="1" x14ac:dyDescent="0.3">
      <c r="B4312" s="26"/>
      <c r="C4312" s="17"/>
      <c r="D4312" s="27"/>
      <c r="E4312" s="18"/>
      <c r="F4312" s="18"/>
      <c r="G4312" s="18"/>
      <c r="H4312" s="30" t="str">
        <f t="shared" si="469"/>
        <v/>
      </c>
      <c r="I4312" s="31" t="str">
        <f>IF(OR(B4312="",C4312=""),"",IFERROR(E4312*IF(E4312="",0,VLOOKUP(C4312,'📦 Precios Proforma'!$B$5:$D$104,IF(D4312="DIA",2,3),FALSE)),0))</f>
        <v/>
      </c>
      <c r="J4312" s="31" t="str">
        <f t="shared" si="470"/>
        <v/>
      </c>
      <c r="K4312" s="31" t="str">
        <f t="shared" si="471"/>
        <v/>
      </c>
      <c r="L4312" s="31" t="str">
        <f>IF(OR(B4312="",C4312=""),"",IFERROR(E4312 / SUMIFS('📅 Resumen Diario'!$D$5:$D$504, '📅 Resumen Diario'!$B$5:$B$504, B4312, '📅 Resumen Diario'!$C$5:$C$504, D4312) * SUMIFS('📅 Resumen Diario'!$K$5:$K$504, '📅 Resumen Diario'!$B$5:$B$504, B4312, '📅 Resumen Diario'!$C$5:$C$504, D4312), 0))</f>
        <v/>
      </c>
      <c r="M4312" s="31" t="str">
        <f t="shared" si="472"/>
        <v/>
      </c>
      <c r="N4312" s="31" t="str">
        <f t="shared" si="473"/>
        <v/>
      </c>
      <c r="O4312" s="31" t="str">
        <f>IF(OR(B4312="",C4312=""),"",K4312-N4312 + IFERROR(E4312 / SUMIFS('📅 Resumen Diario'!$D$5:$D$504, '📅 Resumen Diario'!$B$5:$B$504, B4312, '📅 Resumen Diario'!$C$5:$C$504, D4312) * (SUMIFS('📋 Detalle Diario'!$E$5:$E$489, '📋 Detalle Diario'!$B$5:$B$489, B4312, '📋 Detalle Diario'!$C$5:$C$489, D4312) * 135 + SUMIFS('📋 Detalle Diario'!$I$5:$I$489, '📋 Detalle Diario'!$B$5:$B$489, B4312, '📋 Detalle Diario'!$C$5:$C$489, D4312) * 200), 0))</f>
        <v/>
      </c>
      <c r="P4312" s="32" t="str">
        <f t="shared" si="474"/>
        <v/>
      </c>
      <c r="Q4312" s="33" t="str">
        <f t="shared" si="475"/>
        <v/>
      </c>
    </row>
    <row r="4313" spans="2:17" ht="18" customHeight="1" x14ac:dyDescent="0.3">
      <c r="B4313" s="26"/>
      <c r="C4313" s="28"/>
      <c r="D4313" s="27"/>
      <c r="E4313" s="29"/>
      <c r="F4313" s="29"/>
      <c r="G4313" s="29"/>
      <c r="H4313" s="30" t="str">
        <f t="shared" si="469"/>
        <v/>
      </c>
      <c r="I4313" s="31" t="str">
        <f>IF(OR(B4313="",C4313=""),"",IFERROR(E4313*IF(E4313="",0,VLOOKUP(C4313,'📦 Precios Proforma'!$B$5:$D$104,IF(D4313="DIA",2,3),FALSE)),0))</f>
        <v/>
      </c>
      <c r="J4313" s="31" t="str">
        <f t="shared" si="470"/>
        <v/>
      </c>
      <c r="K4313" s="31" t="str">
        <f t="shared" si="471"/>
        <v/>
      </c>
      <c r="L4313" s="31" t="str">
        <f>IF(OR(B4313="",C4313=""),"",IFERROR(E4313 / SUMIFS('📅 Resumen Diario'!$D$5:$D$504, '📅 Resumen Diario'!$B$5:$B$504, B4313, '📅 Resumen Diario'!$C$5:$C$504, D4313) * SUMIFS('📅 Resumen Diario'!$K$5:$K$504, '📅 Resumen Diario'!$B$5:$B$504, B4313, '📅 Resumen Diario'!$C$5:$C$504, D4313), 0))</f>
        <v/>
      </c>
      <c r="M4313" s="31" t="str">
        <f t="shared" si="472"/>
        <v/>
      </c>
      <c r="N4313" s="31" t="str">
        <f t="shared" si="473"/>
        <v/>
      </c>
      <c r="O4313" s="31" t="str">
        <f>IF(OR(B4313="",C4313=""),"",K4313-N4313 + IFERROR(E4313 / SUMIFS('📅 Resumen Diario'!$D$5:$D$504, '📅 Resumen Diario'!$B$5:$B$504, B4313, '📅 Resumen Diario'!$C$5:$C$504, D4313) * (SUMIFS('📋 Detalle Diario'!$E$5:$E$489, '📋 Detalle Diario'!$B$5:$B$489, B4313, '📋 Detalle Diario'!$C$5:$C$489, D4313) * 135 + SUMIFS('📋 Detalle Diario'!$I$5:$I$489, '📋 Detalle Diario'!$B$5:$B$489, B4313, '📋 Detalle Diario'!$C$5:$C$489, D4313) * 200), 0))</f>
        <v/>
      </c>
      <c r="P4313" s="32" t="str">
        <f t="shared" si="474"/>
        <v/>
      </c>
      <c r="Q4313" s="33" t="str">
        <f t="shared" si="475"/>
        <v/>
      </c>
    </row>
    <row r="4314" spans="2:17" ht="18" customHeight="1" x14ac:dyDescent="0.3">
      <c r="B4314" s="26"/>
      <c r="C4314" s="17"/>
      <c r="D4314" s="27"/>
      <c r="E4314" s="18"/>
      <c r="F4314" s="18"/>
      <c r="G4314" s="18"/>
      <c r="H4314" s="30" t="str">
        <f t="shared" si="469"/>
        <v/>
      </c>
      <c r="I4314" s="31" t="str">
        <f>IF(OR(B4314="",C4314=""),"",IFERROR(E4314*IF(E4314="",0,VLOOKUP(C4314,'📦 Precios Proforma'!$B$5:$D$104,IF(D4314="DIA",2,3),FALSE)),0))</f>
        <v/>
      </c>
      <c r="J4314" s="31" t="str">
        <f t="shared" si="470"/>
        <v/>
      </c>
      <c r="K4314" s="31" t="str">
        <f t="shared" si="471"/>
        <v/>
      </c>
      <c r="L4314" s="31" t="str">
        <f>IF(OR(B4314="",C4314=""),"",IFERROR(E4314 / SUMIFS('📅 Resumen Diario'!$D$5:$D$504, '📅 Resumen Diario'!$B$5:$B$504, B4314, '📅 Resumen Diario'!$C$5:$C$504, D4314) * SUMIFS('📅 Resumen Diario'!$K$5:$K$504, '📅 Resumen Diario'!$B$5:$B$504, B4314, '📅 Resumen Diario'!$C$5:$C$504, D4314), 0))</f>
        <v/>
      </c>
      <c r="M4314" s="31" t="str">
        <f t="shared" si="472"/>
        <v/>
      </c>
      <c r="N4314" s="31" t="str">
        <f t="shared" si="473"/>
        <v/>
      </c>
      <c r="O4314" s="31" t="str">
        <f>IF(OR(B4314="",C4314=""),"",K4314-N4314 + IFERROR(E4314 / SUMIFS('📅 Resumen Diario'!$D$5:$D$504, '📅 Resumen Diario'!$B$5:$B$504, B4314, '📅 Resumen Diario'!$C$5:$C$504, D4314) * (SUMIFS('📋 Detalle Diario'!$E$5:$E$489, '📋 Detalle Diario'!$B$5:$B$489, B4314, '📋 Detalle Diario'!$C$5:$C$489, D4314) * 135 + SUMIFS('📋 Detalle Diario'!$I$5:$I$489, '📋 Detalle Diario'!$B$5:$B$489, B4314, '📋 Detalle Diario'!$C$5:$C$489, D4314) * 200), 0))</f>
        <v/>
      </c>
      <c r="P4314" s="32" t="str">
        <f t="shared" si="474"/>
        <v/>
      </c>
      <c r="Q4314" s="33" t="str">
        <f t="shared" si="475"/>
        <v/>
      </c>
    </row>
    <row r="4315" spans="2:17" ht="18" customHeight="1" x14ac:dyDescent="0.3">
      <c r="B4315" s="26"/>
      <c r="C4315" s="28"/>
      <c r="D4315" s="27"/>
      <c r="E4315" s="29"/>
      <c r="F4315" s="29"/>
      <c r="G4315" s="29"/>
      <c r="H4315" s="30" t="str">
        <f t="shared" si="469"/>
        <v/>
      </c>
      <c r="I4315" s="31" t="str">
        <f>IF(OR(B4315="",C4315=""),"",IFERROR(E4315*IF(E4315="",0,VLOOKUP(C4315,'📦 Precios Proforma'!$B$5:$D$104,IF(D4315="DIA",2,3),FALSE)),0))</f>
        <v/>
      </c>
      <c r="J4315" s="31" t="str">
        <f t="shared" si="470"/>
        <v/>
      </c>
      <c r="K4315" s="31" t="str">
        <f t="shared" si="471"/>
        <v/>
      </c>
      <c r="L4315" s="31" t="str">
        <f>IF(OR(B4315="",C4315=""),"",IFERROR(E4315 / SUMIFS('📅 Resumen Diario'!$D$5:$D$504, '📅 Resumen Diario'!$B$5:$B$504, B4315, '📅 Resumen Diario'!$C$5:$C$504, D4315) * SUMIFS('📅 Resumen Diario'!$K$5:$K$504, '📅 Resumen Diario'!$B$5:$B$504, B4315, '📅 Resumen Diario'!$C$5:$C$504, D4315), 0))</f>
        <v/>
      </c>
      <c r="M4315" s="31" t="str">
        <f t="shared" si="472"/>
        <v/>
      </c>
      <c r="N4315" s="31" t="str">
        <f t="shared" si="473"/>
        <v/>
      </c>
      <c r="O4315" s="31" t="str">
        <f>IF(OR(B4315="",C4315=""),"",K4315-N4315 + IFERROR(E4315 / SUMIFS('📅 Resumen Diario'!$D$5:$D$504, '📅 Resumen Diario'!$B$5:$B$504, B4315, '📅 Resumen Diario'!$C$5:$C$504, D4315) * (SUMIFS('📋 Detalle Diario'!$E$5:$E$489, '📋 Detalle Diario'!$B$5:$B$489, B4315, '📋 Detalle Diario'!$C$5:$C$489, D4315) * 135 + SUMIFS('📋 Detalle Diario'!$I$5:$I$489, '📋 Detalle Diario'!$B$5:$B$489, B4315, '📋 Detalle Diario'!$C$5:$C$489, D4315) * 200), 0))</f>
        <v/>
      </c>
      <c r="P4315" s="32" t="str">
        <f t="shared" si="474"/>
        <v/>
      </c>
      <c r="Q4315" s="33" t="str">
        <f t="shared" si="475"/>
        <v/>
      </c>
    </row>
    <row r="4316" spans="2:17" ht="18" customHeight="1" x14ac:dyDescent="0.3">
      <c r="B4316" s="26"/>
      <c r="C4316" s="17"/>
      <c r="D4316" s="27"/>
      <c r="E4316" s="18"/>
      <c r="F4316" s="18"/>
      <c r="G4316" s="18"/>
      <c r="H4316" s="30" t="str">
        <f t="shared" si="469"/>
        <v/>
      </c>
      <c r="I4316" s="31" t="str">
        <f>IF(OR(B4316="",C4316=""),"",IFERROR(E4316*IF(E4316="",0,VLOOKUP(C4316,'📦 Precios Proforma'!$B$5:$D$104,IF(D4316="DIA",2,3),FALSE)),0))</f>
        <v/>
      </c>
      <c r="J4316" s="31" t="str">
        <f t="shared" si="470"/>
        <v/>
      </c>
      <c r="K4316" s="31" t="str">
        <f t="shared" si="471"/>
        <v/>
      </c>
      <c r="L4316" s="31" t="str">
        <f>IF(OR(B4316="",C4316=""),"",IFERROR(E4316 / SUMIFS('📅 Resumen Diario'!$D$5:$D$504, '📅 Resumen Diario'!$B$5:$B$504, B4316, '📅 Resumen Diario'!$C$5:$C$504, D4316) * SUMIFS('📅 Resumen Diario'!$K$5:$K$504, '📅 Resumen Diario'!$B$5:$B$504, B4316, '📅 Resumen Diario'!$C$5:$C$504, D4316), 0))</f>
        <v/>
      </c>
      <c r="M4316" s="31" t="str">
        <f t="shared" si="472"/>
        <v/>
      </c>
      <c r="N4316" s="31" t="str">
        <f t="shared" si="473"/>
        <v/>
      </c>
      <c r="O4316" s="31" t="str">
        <f>IF(OR(B4316="",C4316=""),"",K4316-N4316 + IFERROR(E4316 / SUMIFS('📅 Resumen Diario'!$D$5:$D$504, '📅 Resumen Diario'!$B$5:$B$504, B4316, '📅 Resumen Diario'!$C$5:$C$504, D4316) * (SUMIFS('📋 Detalle Diario'!$E$5:$E$489, '📋 Detalle Diario'!$B$5:$B$489, B4316, '📋 Detalle Diario'!$C$5:$C$489, D4316) * 135 + SUMIFS('📋 Detalle Diario'!$I$5:$I$489, '📋 Detalle Diario'!$B$5:$B$489, B4316, '📋 Detalle Diario'!$C$5:$C$489, D4316) * 200), 0))</f>
        <v/>
      </c>
      <c r="P4316" s="32" t="str">
        <f t="shared" si="474"/>
        <v/>
      </c>
      <c r="Q4316" s="33" t="str">
        <f t="shared" si="475"/>
        <v/>
      </c>
    </row>
    <row r="4317" spans="2:17" ht="18" customHeight="1" x14ac:dyDescent="0.3">
      <c r="B4317" s="26"/>
      <c r="C4317" s="28"/>
      <c r="D4317" s="27"/>
      <c r="E4317" s="29"/>
      <c r="F4317" s="29"/>
      <c r="G4317" s="29"/>
      <c r="H4317" s="30" t="str">
        <f t="shared" si="469"/>
        <v/>
      </c>
      <c r="I4317" s="31" t="str">
        <f>IF(OR(B4317="",C4317=""),"",IFERROR(E4317*IF(E4317="",0,VLOOKUP(C4317,'📦 Precios Proforma'!$B$5:$D$104,IF(D4317="DIA",2,3),FALSE)),0))</f>
        <v/>
      </c>
      <c r="J4317" s="31" t="str">
        <f t="shared" si="470"/>
        <v/>
      </c>
      <c r="K4317" s="31" t="str">
        <f t="shared" si="471"/>
        <v/>
      </c>
      <c r="L4317" s="31" t="str">
        <f>IF(OR(B4317="",C4317=""),"",IFERROR(E4317 / SUMIFS('📅 Resumen Diario'!$D$5:$D$504, '📅 Resumen Diario'!$B$5:$B$504, B4317, '📅 Resumen Diario'!$C$5:$C$504, D4317) * SUMIFS('📅 Resumen Diario'!$K$5:$K$504, '📅 Resumen Diario'!$B$5:$B$504, B4317, '📅 Resumen Diario'!$C$5:$C$504, D4317), 0))</f>
        <v/>
      </c>
      <c r="M4317" s="31" t="str">
        <f t="shared" si="472"/>
        <v/>
      </c>
      <c r="N4317" s="31" t="str">
        <f t="shared" si="473"/>
        <v/>
      </c>
      <c r="O4317" s="31" t="str">
        <f>IF(OR(B4317="",C4317=""),"",K4317-N4317 + IFERROR(E4317 / SUMIFS('📅 Resumen Diario'!$D$5:$D$504, '📅 Resumen Diario'!$B$5:$B$504, B4317, '📅 Resumen Diario'!$C$5:$C$504, D4317) * (SUMIFS('📋 Detalle Diario'!$E$5:$E$489, '📋 Detalle Diario'!$B$5:$B$489, B4317, '📋 Detalle Diario'!$C$5:$C$489, D4317) * 135 + SUMIFS('📋 Detalle Diario'!$I$5:$I$489, '📋 Detalle Diario'!$B$5:$B$489, B4317, '📋 Detalle Diario'!$C$5:$C$489, D4317) * 200), 0))</f>
        <v/>
      </c>
      <c r="P4317" s="32" t="str">
        <f t="shared" si="474"/>
        <v/>
      </c>
      <c r="Q4317" s="33" t="str">
        <f t="shared" si="475"/>
        <v/>
      </c>
    </row>
    <row r="4318" spans="2:17" ht="18" customHeight="1" x14ac:dyDescent="0.3">
      <c r="B4318" s="26"/>
      <c r="C4318" s="17"/>
      <c r="D4318" s="27"/>
      <c r="E4318" s="18"/>
      <c r="F4318" s="18"/>
      <c r="G4318" s="18"/>
      <c r="H4318" s="30" t="str">
        <f t="shared" si="469"/>
        <v/>
      </c>
      <c r="I4318" s="31" t="str">
        <f>IF(OR(B4318="",C4318=""),"",IFERROR(E4318*IF(E4318="",0,VLOOKUP(C4318,'📦 Precios Proforma'!$B$5:$D$104,IF(D4318="DIA",2,3),FALSE)),0))</f>
        <v/>
      </c>
      <c r="J4318" s="31" t="str">
        <f t="shared" si="470"/>
        <v/>
      </c>
      <c r="K4318" s="31" t="str">
        <f t="shared" si="471"/>
        <v/>
      </c>
      <c r="L4318" s="31" t="str">
        <f>IF(OR(B4318="",C4318=""),"",IFERROR(E4318 / SUMIFS('📅 Resumen Diario'!$D$5:$D$504, '📅 Resumen Diario'!$B$5:$B$504, B4318, '📅 Resumen Diario'!$C$5:$C$504, D4318) * SUMIFS('📅 Resumen Diario'!$K$5:$K$504, '📅 Resumen Diario'!$B$5:$B$504, B4318, '📅 Resumen Diario'!$C$5:$C$504, D4318), 0))</f>
        <v/>
      </c>
      <c r="M4318" s="31" t="str">
        <f t="shared" si="472"/>
        <v/>
      </c>
      <c r="N4318" s="31" t="str">
        <f t="shared" si="473"/>
        <v/>
      </c>
      <c r="O4318" s="31" t="str">
        <f>IF(OR(B4318="",C4318=""),"",K4318-N4318 + IFERROR(E4318 / SUMIFS('📅 Resumen Diario'!$D$5:$D$504, '📅 Resumen Diario'!$B$5:$B$504, B4318, '📅 Resumen Diario'!$C$5:$C$504, D4318) * (SUMIFS('📋 Detalle Diario'!$E$5:$E$489, '📋 Detalle Diario'!$B$5:$B$489, B4318, '📋 Detalle Diario'!$C$5:$C$489, D4318) * 135 + SUMIFS('📋 Detalle Diario'!$I$5:$I$489, '📋 Detalle Diario'!$B$5:$B$489, B4318, '📋 Detalle Diario'!$C$5:$C$489, D4318) * 200), 0))</f>
        <v/>
      </c>
      <c r="P4318" s="32" t="str">
        <f t="shared" si="474"/>
        <v/>
      </c>
      <c r="Q4318" s="33" t="str">
        <f t="shared" si="475"/>
        <v/>
      </c>
    </row>
    <row r="4319" spans="2:17" ht="18" customHeight="1" x14ac:dyDescent="0.3">
      <c r="B4319" s="26"/>
      <c r="C4319" s="28"/>
      <c r="D4319" s="27"/>
      <c r="E4319" s="29"/>
      <c r="F4319" s="29"/>
      <c r="G4319" s="29"/>
      <c r="H4319" s="30" t="str">
        <f t="shared" si="469"/>
        <v/>
      </c>
      <c r="I4319" s="31" t="str">
        <f>IF(OR(B4319="",C4319=""),"",IFERROR(E4319*IF(E4319="",0,VLOOKUP(C4319,'📦 Precios Proforma'!$B$5:$D$104,IF(D4319="DIA",2,3),FALSE)),0))</f>
        <v/>
      </c>
      <c r="J4319" s="31" t="str">
        <f t="shared" si="470"/>
        <v/>
      </c>
      <c r="K4319" s="31" t="str">
        <f t="shared" si="471"/>
        <v/>
      </c>
      <c r="L4319" s="31" t="str">
        <f>IF(OR(B4319="",C4319=""),"",IFERROR(E4319 / SUMIFS('📅 Resumen Diario'!$D$5:$D$504, '📅 Resumen Diario'!$B$5:$B$504, B4319, '📅 Resumen Diario'!$C$5:$C$504, D4319) * SUMIFS('📅 Resumen Diario'!$K$5:$K$504, '📅 Resumen Diario'!$B$5:$B$504, B4319, '📅 Resumen Diario'!$C$5:$C$504, D4319), 0))</f>
        <v/>
      </c>
      <c r="M4319" s="31" t="str">
        <f t="shared" si="472"/>
        <v/>
      </c>
      <c r="N4319" s="31" t="str">
        <f t="shared" si="473"/>
        <v/>
      </c>
      <c r="O4319" s="31" t="str">
        <f>IF(OR(B4319="",C4319=""),"",K4319-N4319 + IFERROR(E4319 / SUMIFS('📅 Resumen Diario'!$D$5:$D$504, '📅 Resumen Diario'!$B$5:$B$504, B4319, '📅 Resumen Diario'!$C$5:$C$504, D4319) * (SUMIFS('📋 Detalle Diario'!$E$5:$E$489, '📋 Detalle Diario'!$B$5:$B$489, B4319, '📋 Detalle Diario'!$C$5:$C$489, D4319) * 135 + SUMIFS('📋 Detalle Diario'!$I$5:$I$489, '📋 Detalle Diario'!$B$5:$B$489, B4319, '📋 Detalle Diario'!$C$5:$C$489, D4319) * 200), 0))</f>
        <v/>
      </c>
      <c r="P4319" s="32" t="str">
        <f t="shared" si="474"/>
        <v/>
      </c>
      <c r="Q4319" s="33" t="str">
        <f t="shared" si="475"/>
        <v/>
      </c>
    </row>
    <row r="4320" spans="2:17" ht="18" customHeight="1" x14ac:dyDescent="0.3">
      <c r="B4320" s="26"/>
      <c r="C4320" s="17"/>
      <c r="D4320" s="27"/>
      <c r="E4320" s="18"/>
      <c r="F4320" s="18"/>
      <c r="G4320" s="18"/>
      <c r="H4320" s="30" t="str">
        <f t="shared" si="469"/>
        <v/>
      </c>
      <c r="I4320" s="31" t="str">
        <f>IF(OR(B4320="",C4320=""),"",IFERROR(E4320*IF(E4320="",0,VLOOKUP(C4320,'📦 Precios Proforma'!$B$5:$D$104,IF(D4320="DIA",2,3),FALSE)),0))</f>
        <v/>
      </c>
      <c r="J4320" s="31" t="str">
        <f t="shared" si="470"/>
        <v/>
      </c>
      <c r="K4320" s="31" t="str">
        <f t="shared" si="471"/>
        <v/>
      </c>
      <c r="L4320" s="31" t="str">
        <f>IF(OR(B4320="",C4320=""),"",IFERROR(E4320 / SUMIFS('📅 Resumen Diario'!$D$5:$D$504, '📅 Resumen Diario'!$B$5:$B$504, B4320, '📅 Resumen Diario'!$C$5:$C$504, D4320) * SUMIFS('📅 Resumen Diario'!$K$5:$K$504, '📅 Resumen Diario'!$B$5:$B$504, B4320, '📅 Resumen Diario'!$C$5:$C$504, D4320), 0))</f>
        <v/>
      </c>
      <c r="M4320" s="31" t="str">
        <f t="shared" si="472"/>
        <v/>
      </c>
      <c r="N4320" s="31" t="str">
        <f t="shared" si="473"/>
        <v/>
      </c>
      <c r="O4320" s="31" t="str">
        <f>IF(OR(B4320="",C4320=""),"",K4320-N4320 + IFERROR(E4320 / SUMIFS('📅 Resumen Diario'!$D$5:$D$504, '📅 Resumen Diario'!$B$5:$B$504, B4320, '📅 Resumen Diario'!$C$5:$C$504, D4320) * (SUMIFS('📋 Detalle Diario'!$E$5:$E$489, '📋 Detalle Diario'!$B$5:$B$489, B4320, '📋 Detalle Diario'!$C$5:$C$489, D4320) * 135 + SUMIFS('📋 Detalle Diario'!$I$5:$I$489, '📋 Detalle Diario'!$B$5:$B$489, B4320, '📋 Detalle Diario'!$C$5:$C$489, D4320) * 200), 0))</f>
        <v/>
      </c>
      <c r="P4320" s="32" t="str">
        <f t="shared" si="474"/>
        <v/>
      </c>
      <c r="Q4320" s="33" t="str">
        <f t="shared" si="475"/>
        <v/>
      </c>
    </row>
    <row r="4321" spans="2:17" ht="18" customHeight="1" x14ac:dyDescent="0.3">
      <c r="B4321" s="26"/>
      <c r="C4321" s="28"/>
      <c r="D4321" s="27"/>
      <c r="E4321" s="29"/>
      <c r="F4321" s="29"/>
      <c r="G4321" s="29"/>
      <c r="H4321" s="30" t="str">
        <f t="shared" si="469"/>
        <v/>
      </c>
      <c r="I4321" s="31" t="str">
        <f>IF(OR(B4321="",C4321=""),"",IFERROR(E4321*IF(E4321="",0,VLOOKUP(C4321,'📦 Precios Proforma'!$B$5:$D$104,IF(D4321="DIA",2,3),FALSE)),0))</f>
        <v/>
      </c>
      <c r="J4321" s="31" t="str">
        <f t="shared" si="470"/>
        <v/>
      </c>
      <c r="K4321" s="31" t="str">
        <f t="shared" si="471"/>
        <v/>
      </c>
      <c r="L4321" s="31" t="str">
        <f>IF(OR(B4321="",C4321=""),"",IFERROR(E4321 / SUMIFS('📅 Resumen Diario'!$D$5:$D$504, '📅 Resumen Diario'!$B$5:$B$504, B4321, '📅 Resumen Diario'!$C$5:$C$504, D4321) * SUMIFS('📅 Resumen Diario'!$K$5:$K$504, '📅 Resumen Diario'!$B$5:$B$504, B4321, '📅 Resumen Diario'!$C$5:$C$504, D4321), 0))</f>
        <v/>
      </c>
      <c r="M4321" s="31" t="str">
        <f t="shared" si="472"/>
        <v/>
      </c>
      <c r="N4321" s="31" t="str">
        <f t="shared" si="473"/>
        <v/>
      </c>
      <c r="O4321" s="31" t="str">
        <f>IF(OR(B4321="",C4321=""),"",K4321-N4321 + IFERROR(E4321 / SUMIFS('📅 Resumen Diario'!$D$5:$D$504, '📅 Resumen Diario'!$B$5:$B$504, B4321, '📅 Resumen Diario'!$C$5:$C$504, D4321) * (SUMIFS('📋 Detalle Diario'!$E$5:$E$489, '📋 Detalle Diario'!$B$5:$B$489, B4321, '📋 Detalle Diario'!$C$5:$C$489, D4321) * 135 + SUMIFS('📋 Detalle Diario'!$I$5:$I$489, '📋 Detalle Diario'!$B$5:$B$489, B4321, '📋 Detalle Diario'!$C$5:$C$489, D4321) * 200), 0))</f>
        <v/>
      </c>
      <c r="P4321" s="32" t="str">
        <f t="shared" si="474"/>
        <v/>
      </c>
      <c r="Q4321" s="33" t="str">
        <f t="shared" si="475"/>
        <v/>
      </c>
    </row>
    <row r="4322" spans="2:17" ht="18" customHeight="1" x14ac:dyDescent="0.3">
      <c r="B4322" s="26"/>
      <c r="C4322" s="17"/>
      <c r="D4322" s="27"/>
      <c r="E4322" s="18"/>
      <c r="F4322" s="18"/>
      <c r="G4322" s="18"/>
      <c r="H4322" s="30" t="str">
        <f t="shared" si="469"/>
        <v/>
      </c>
      <c r="I4322" s="31" t="str">
        <f>IF(OR(B4322="",C4322=""),"",IFERROR(E4322*IF(E4322="",0,VLOOKUP(C4322,'📦 Precios Proforma'!$B$5:$D$104,IF(D4322="DIA",2,3),FALSE)),0))</f>
        <v/>
      </c>
      <c r="J4322" s="31" t="str">
        <f t="shared" si="470"/>
        <v/>
      </c>
      <c r="K4322" s="31" t="str">
        <f t="shared" si="471"/>
        <v/>
      </c>
      <c r="L4322" s="31" t="str">
        <f>IF(OR(B4322="",C4322=""),"",IFERROR(E4322 / SUMIFS('📅 Resumen Diario'!$D$5:$D$504, '📅 Resumen Diario'!$B$5:$B$504, B4322, '📅 Resumen Diario'!$C$5:$C$504, D4322) * SUMIFS('📅 Resumen Diario'!$K$5:$K$504, '📅 Resumen Diario'!$B$5:$B$504, B4322, '📅 Resumen Diario'!$C$5:$C$504, D4322), 0))</f>
        <v/>
      </c>
      <c r="M4322" s="31" t="str">
        <f t="shared" si="472"/>
        <v/>
      </c>
      <c r="N4322" s="31" t="str">
        <f t="shared" si="473"/>
        <v/>
      </c>
      <c r="O4322" s="31" t="str">
        <f>IF(OR(B4322="",C4322=""),"",K4322-N4322 + IFERROR(E4322 / SUMIFS('📅 Resumen Diario'!$D$5:$D$504, '📅 Resumen Diario'!$B$5:$B$504, B4322, '📅 Resumen Diario'!$C$5:$C$504, D4322) * (SUMIFS('📋 Detalle Diario'!$E$5:$E$489, '📋 Detalle Diario'!$B$5:$B$489, B4322, '📋 Detalle Diario'!$C$5:$C$489, D4322) * 135 + SUMIFS('📋 Detalle Diario'!$I$5:$I$489, '📋 Detalle Diario'!$B$5:$B$489, B4322, '📋 Detalle Diario'!$C$5:$C$489, D4322) * 200), 0))</f>
        <v/>
      </c>
      <c r="P4322" s="32" t="str">
        <f t="shared" si="474"/>
        <v/>
      </c>
      <c r="Q4322" s="33" t="str">
        <f t="shared" si="475"/>
        <v/>
      </c>
    </row>
    <row r="4323" spans="2:17" ht="18" customHeight="1" x14ac:dyDescent="0.3">
      <c r="B4323" s="26"/>
      <c r="C4323" s="28"/>
      <c r="D4323" s="27"/>
      <c r="E4323" s="29"/>
      <c r="F4323" s="29"/>
      <c r="G4323" s="29"/>
      <c r="H4323" s="30" t="str">
        <f t="shared" si="469"/>
        <v/>
      </c>
      <c r="I4323" s="31" t="str">
        <f>IF(OR(B4323="",C4323=""),"",IFERROR(E4323*IF(E4323="",0,VLOOKUP(C4323,'📦 Precios Proforma'!$B$5:$D$104,IF(D4323="DIA",2,3),FALSE)),0))</f>
        <v/>
      </c>
      <c r="J4323" s="31" t="str">
        <f t="shared" si="470"/>
        <v/>
      </c>
      <c r="K4323" s="31" t="str">
        <f t="shared" si="471"/>
        <v/>
      </c>
      <c r="L4323" s="31" t="str">
        <f>IF(OR(B4323="",C4323=""),"",IFERROR(E4323 / SUMIFS('📅 Resumen Diario'!$D$5:$D$504, '📅 Resumen Diario'!$B$5:$B$504, B4323, '📅 Resumen Diario'!$C$5:$C$504, D4323) * SUMIFS('📅 Resumen Diario'!$K$5:$K$504, '📅 Resumen Diario'!$B$5:$B$504, B4323, '📅 Resumen Diario'!$C$5:$C$504, D4323), 0))</f>
        <v/>
      </c>
      <c r="M4323" s="31" t="str">
        <f t="shared" si="472"/>
        <v/>
      </c>
      <c r="N4323" s="31" t="str">
        <f t="shared" si="473"/>
        <v/>
      </c>
      <c r="O4323" s="31" t="str">
        <f>IF(OR(B4323="",C4323=""),"",K4323-N4323 + IFERROR(E4323 / SUMIFS('📅 Resumen Diario'!$D$5:$D$504, '📅 Resumen Diario'!$B$5:$B$504, B4323, '📅 Resumen Diario'!$C$5:$C$504, D4323) * (SUMIFS('📋 Detalle Diario'!$E$5:$E$489, '📋 Detalle Diario'!$B$5:$B$489, B4323, '📋 Detalle Diario'!$C$5:$C$489, D4323) * 135 + SUMIFS('📋 Detalle Diario'!$I$5:$I$489, '📋 Detalle Diario'!$B$5:$B$489, B4323, '📋 Detalle Diario'!$C$5:$C$489, D4323) * 200), 0))</f>
        <v/>
      </c>
      <c r="P4323" s="32" t="str">
        <f t="shared" si="474"/>
        <v/>
      </c>
      <c r="Q4323" s="33" t="str">
        <f t="shared" si="475"/>
        <v/>
      </c>
    </row>
    <row r="4324" spans="2:17" ht="18" customHeight="1" x14ac:dyDescent="0.3">
      <c r="B4324" s="26"/>
      <c r="C4324" s="17"/>
      <c r="D4324" s="27"/>
      <c r="E4324" s="18"/>
      <c r="F4324" s="18"/>
      <c r="G4324" s="18"/>
      <c r="H4324" s="30" t="str">
        <f t="shared" si="469"/>
        <v/>
      </c>
      <c r="I4324" s="31" t="str">
        <f>IF(OR(B4324="",C4324=""),"",IFERROR(E4324*IF(E4324="",0,VLOOKUP(C4324,'📦 Precios Proforma'!$B$5:$D$104,IF(D4324="DIA",2,3),FALSE)),0))</f>
        <v/>
      </c>
      <c r="J4324" s="31" t="str">
        <f t="shared" si="470"/>
        <v/>
      </c>
      <c r="K4324" s="31" t="str">
        <f t="shared" si="471"/>
        <v/>
      </c>
      <c r="L4324" s="31" t="str">
        <f>IF(OR(B4324="",C4324=""),"",IFERROR(E4324 / SUMIFS('📅 Resumen Diario'!$D$5:$D$504, '📅 Resumen Diario'!$B$5:$B$504, B4324, '📅 Resumen Diario'!$C$5:$C$504, D4324) * SUMIFS('📅 Resumen Diario'!$K$5:$K$504, '📅 Resumen Diario'!$B$5:$B$504, B4324, '📅 Resumen Diario'!$C$5:$C$504, D4324), 0))</f>
        <v/>
      </c>
      <c r="M4324" s="31" t="str">
        <f t="shared" si="472"/>
        <v/>
      </c>
      <c r="N4324" s="31" t="str">
        <f t="shared" si="473"/>
        <v/>
      </c>
      <c r="O4324" s="31" t="str">
        <f>IF(OR(B4324="",C4324=""),"",K4324-N4324 + IFERROR(E4324 / SUMIFS('📅 Resumen Diario'!$D$5:$D$504, '📅 Resumen Diario'!$B$5:$B$504, B4324, '📅 Resumen Diario'!$C$5:$C$504, D4324) * (SUMIFS('📋 Detalle Diario'!$E$5:$E$489, '📋 Detalle Diario'!$B$5:$B$489, B4324, '📋 Detalle Diario'!$C$5:$C$489, D4324) * 135 + SUMIFS('📋 Detalle Diario'!$I$5:$I$489, '📋 Detalle Diario'!$B$5:$B$489, B4324, '📋 Detalle Diario'!$C$5:$C$489, D4324) * 200), 0))</f>
        <v/>
      </c>
      <c r="P4324" s="32" t="str">
        <f t="shared" si="474"/>
        <v/>
      </c>
      <c r="Q4324" s="33" t="str">
        <f t="shared" si="475"/>
        <v/>
      </c>
    </row>
    <row r="4325" spans="2:17" ht="18" customHeight="1" x14ac:dyDescent="0.3">
      <c r="B4325" s="26"/>
      <c r="C4325" s="28"/>
      <c r="D4325" s="27"/>
      <c r="E4325" s="29"/>
      <c r="F4325" s="29"/>
      <c r="G4325" s="29"/>
      <c r="H4325" s="30" t="str">
        <f t="shared" si="469"/>
        <v/>
      </c>
      <c r="I4325" s="31" t="str">
        <f>IF(OR(B4325="",C4325=""),"",IFERROR(E4325*IF(E4325="",0,VLOOKUP(C4325,'📦 Precios Proforma'!$B$5:$D$104,IF(D4325="DIA",2,3),FALSE)),0))</f>
        <v/>
      </c>
      <c r="J4325" s="31" t="str">
        <f t="shared" si="470"/>
        <v/>
      </c>
      <c r="K4325" s="31" t="str">
        <f t="shared" si="471"/>
        <v/>
      </c>
      <c r="L4325" s="31" t="str">
        <f>IF(OR(B4325="",C4325=""),"",IFERROR(E4325 / SUMIFS('📅 Resumen Diario'!$D$5:$D$504, '📅 Resumen Diario'!$B$5:$B$504, B4325, '📅 Resumen Diario'!$C$5:$C$504, D4325) * SUMIFS('📅 Resumen Diario'!$K$5:$K$504, '📅 Resumen Diario'!$B$5:$B$504, B4325, '📅 Resumen Diario'!$C$5:$C$504, D4325), 0))</f>
        <v/>
      </c>
      <c r="M4325" s="31" t="str">
        <f t="shared" si="472"/>
        <v/>
      </c>
      <c r="N4325" s="31" t="str">
        <f t="shared" si="473"/>
        <v/>
      </c>
      <c r="O4325" s="31" t="str">
        <f>IF(OR(B4325="",C4325=""),"",K4325-N4325 + IFERROR(E4325 / SUMIFS('📅 Resumen Diario'!$D$5:$D$504, '📅 Resumen Diario'!$B$5:$B$504, B4325, '📅 Resumen Diario'!$C$5:$C$504, D4325) * (SUMIFS('📋 Detalle Diario'!$E$5:$E$489, '📋 Detalle Diario'!$B$5:$B$489, B4325, '📋 Detalle Diario'!$C$5:$C$489, D4325) * 135 + SUMIFS('📋 Detalle Diario'!$I$5:$I$489, '📋 Detalle Diario'!$B$5:$B$489, B4325, '📋 Detalle Diario'!$C$5:$C$489, D4325) * 200), 0))</f>
        <v/>
      </c>
      <c r="P4325" s="32" t="str">
        <f t="shared" si="474"/>
        <v/>
      </c>
      <c r="Q4325" s="33" t="str">
        <f t="shared" si="475"/>
        <v/>
      </c>
    </row>
    <row r="4326" spans="2:17" ht="18" customHeight="1" x14ac:dyDescent="0.3">
      <c r="B4326" s="26"/>
      <c r="C4326" s="17"/>
      <c r="D4326" s="27"/>
      <c r="E4326" s="18"/>
      <c r="F4326" s="18"/>
      <c r="G4326" s="18"/>
      <c r="H4326" s="30" t="str">
        <f t="shared" si="469"/>
        <v/>
      </c>
      <c r="I4326" s="31" t="str">
        <f>IF(OR(B4326="",C4326=""),"",IFERROR(E4326*IF(E4326="",0,VLOOKUP(C4326,'📦 Precios Proforma'!$B$5:$D$104,IF(D4326="DIA",2,3),FALSE)),0))</f>
        <v/>
      </c>
      <c r="J4326" s="31" t="str">
        <f t="shared" si="470"/>
        <v/>
      </c>
      <c r="K4326" s="31" t="str">
        <f t="shared" si="471"/>
        <v/>
      </c>
      <c r="L4326" s="31" t="str">
        <f>IF(OR(B4326="",C4326=""),"",IFERROR(E4326 / SUMIFS('📅 Resumen Diario'!$D$5:$D$504, '📅 Resumen Diario'!$B$5:$B$504, B4326, '📅 Resumen Diario'!$C$5:$C$504, D4326) * SUMIFS('📅 Resumen Diario'!$K$5:$K$504, '📅 Resumen Diario'!$B$5:$B$504, B4326, '📅 Resumen Diario'!$C$5:$C$504, D4326), 0))</f>
        <v/>
      </c>
      <c r="M4326" s="31" t="str">
        <f t="shared" si="472"/>
        <v/>
      </c>
      <c r="N4326" s="31" t="str">
        <f t="shared" si="473"/>
        <v/>
      </c>
      <c r="O4326" s="31" t="str">
        <f>IF(OR(B4326="",C4326=""),"",K4326-N4326 + IFERROR(E4326 / SUMIFS('📅 Resumen Diario'!$D$5:$D$504, '📅 Resumen Diario'!$B$5:$B$504, B4326, '📅 Resumen Diario'!$C$5:$C$504, D4326) * (SUMIFS('📋 Detalle Diario'!$E$5:$E$489, '📋 Detalle Diario'!$B$5:$B$489, B4326, '📋 Detalle Diario'!$C$5:$C$489, D4326) * 135 + SUMIFS('📋 Detalle Diario'!$I$5:$I$489, '📋 Detalle Diario'!$B$5:$B$489, B4326, '📋 Detalle Diario'!$C$5:$C$489, D4326) * 200), 0))</f>
        <v/>
      </c>
      <c r="P4326" s="32" t="str">
        <f t="shared" si="474"/>
        <v/>
      </c>
      <c r="Q4326" s="33" t="str">
        <f t="shared" si="475"/>
        <v/>
      </c>
    </row>
    <row r="4327" spans="2:17" ht="18" customHeight="1" x14ac:dyDescent="0.3">
      <c r="B4327" s="26"/>
      <c r="C4327" s="28"/>
      <c r="D4327" s="27"/>
      <c r="E4327" s="29"/>
      <c r="F4327" s="29"/>
      <c r="G4327" s="29"/>
      <c r="H4327" s="30" t="str">
        <f t="shared" si="469"/>
        <v/>
      </c>
      <c r="I4327" s="31" t="str">
        <f>IF(OR(B4327="",C4327=""),"",IFERROR(E4327*IF(E4327="",0,VLOOKUP(C4327,'📦 Precios Proforma'!$B$5:$D$104,IF(D4327="DIA",2,3),FALSE)),0))</f>
        <v/>
      </c>
      <c r="J4327" s="31" t="str">
        <f t="shared" si="470"/>
        <v/>
      </c>
      <c r="K4327" s="31" t="str">
        <f t="shared" si="471"/>
        <v/>
      </c>
      <c r="L4327" s="31" t="str">
        <f>IF(OR(B4327="",C4327=""),"",IFERROR(E4327 / SUMIFS('📅 Resumen Diario'!$D$5:$D$504, '📅 Resumen Diario'!$B$5:$B$504, B4327, '📅 Resumen Diario'!$C$5:$C$504, D4327) * SUMIFS('📅 Resumen Diario'!$K$5:$K$504, '📅 Resumen Diario'!$B$5:$B$504, B4327, '📅 Resumen Diario'!$C$5:$C$504, D4327), 0))</f>
        <v/>
      </c>
      <c r="M4327" s="31" t="str">
        <f t="shared" si="472"/>
        <v/>
      </c>
      <c r="N4327" s="31" t="str">
        <f t="shared" si="473"/>
        <v/>
      </c>
      <c r="O4327" s="31" t="str">
        <f>IF(OR(B4327="",C4327=""),"",K4327-N4327 + IFERROR(E4327 / SUMIFS('📅 Resumen Diario'!$D$5:$D$504, '📅 Resumen Diario'!$B$5:$B$504, B4327, '📅 Resumen Diario'!$C$5:$C$504, D4327) * (SUMIFS('📋 Detalle Diario'!$E$5:$E$489, '📋 Detalle Diario'!$B$5:$B$489, B4327, '📋 Detalle Diario'!$C$5:$C$489, D4327) * 135 + SUMIFS('📋 Detalle Diario'!$I$5:$I$489, '📋 Detalle Diario'!$B$5:$B$489, B4327, '📋 Detalle Diario'!$C$5:$C$489, D4327) * 200), 0))</f>
        <v/>
      </c>
      <c r="P4327" s="32" t="str">
        <f t="shared" si="474"/>
        <v/>
      </c>
      <c r="Q4327" s="33" t="str">
        <f t="shared" si="475"/>
        <v/>
      </c>
    </row>
    <row r="4328" spans="2:17" ht="18" customHeight="1" x14ac:dyDescent="0.3">
      <c r="B4328" s="26"/>
      <c r="C4328" s="17"/>
      <c r="D4328" s="27"/>
      <c r="E4328" s="18"/>
      <c r="F4328" s="18"/>
      <c r="G4328" s="18"/>
      <c r="H4328" s="30" t="str">
        <f t="shared" si="469"/>
        <v/>
      </c>
      <c r="I4328" s="31" t="str">
        <f>IF(OR(B4328="",C4328=""),"",IFERROR(E4328*IF(E4328="",0,VLOOKUP(C4328,'📦 Precios Proforma'!$B$5:$D$104,IF(D4328="DIA",2,3),FALSE)),0))</f>
        <v/>
      </c>
      <c r="J4328" s="31" t="str">
        <f t="shared" si="470"/>
        <v/>
      </c>
      <c r="K4328" s="31" t="str">
        <f t="shared" si="471"/>
        <v/>
      </c>
      <c r="L4328" s="31" t="str">
        <f>IF(OR(B4328="",C4328=""),"",IFERROR(E4328 / SUMIFS('📅 Resumen Diario'!$D$5:$D$504, '📅 Resumen Diario'!$B$5:$B$504, B4328, '📅 Resumen Diario'!$C$5:$C$504, D4328) * SUMIFS('📅 Resumen Diario'!$K$5:$K$504, '📅 Resumen Diario'!$B$5:$B$504, B4328, '📅 Resumen Diario'!$C$5:$C$504, D4328), 0))</f>
        <v/>
      </c>
      <c r="M4328" s="31" t="str">
        <f t="shared" si="472"/>
        <v/>
      </c>
      <c r="N4328" s="31" t="str">
        <f t="shared" si="473"/>
        <v/>
      </c>
      <c r="O4328" s="31" t="str">
        <f>IF(OR(B4328="",C4328=""),"",K4328-N4328 + IFERROR(E4328 / SUMIFS('📅 Resumen Diario'!$D$5:$D$504, '📅 Resumen Diario'!$B$5:$B$504, B4328, '📅 Resumen Diario'!$C$5:$C$504, D4328) * (SUMIFS('📋 Detalle Diario'!$E$5:$E$489, '📋 Detalle Diario'!$B$5:$B$489, B4328, '📋 Detalle Diario'!$C$5:$C$489, D4328) * 135 + SUMIFS('📋 Detalle Diario'!$I$5:$I$489, '📋 Detalle Diario'!$B$5:$B$489, B4328, '📋 Detalle Diario'!$C$5:$C$489, D4328) * 200), 0))</f>
        <v/>
      </c>
      <c r="P4328" s="32" t="str">
        <f t="shared" si="474"/>
        <v/>
      </c>
      <c r="Q4328" s="33" t="str">
        <f t="shared" si="475"/>
        <v/>
      </c>
    </row>
    <row r="4329" spans="2:17" ht="18" customHeight="1" x14ac:dyDescent="0.3">
      <c r="B4329" s="26"/>
      <c r="C4329" s="28"/>
      <c r="D4329" s="27"/>
      <c r="E4329" s="29"/>
      <c r="F4329" s="29"/>
      <c r="G4329" s="29"/>
      <c r="H4329" s="30" t="str">
        <f t="shared" si="469"/>
        <v/>
      </c>
      <c r="I4329" s="31" t="str">
        <f>IF(OR(B4329="",C4329=""),"",IFERROR(E4329*IF(E4329="",0,VLOOKUP(C4329,'📦 Precios Proforma'!$B$5:$D$104,IF(D4329="DIA",2,3),FALSE)),0))</f>
        <v/>
      </c>
      <c r="J4329" s="31" t="str">
        <f t="shared" si="470"/>
        <v/>
      </c>
      <c r="K4329" s="31" t="str">
        <f t="shared" si="471"/>
        <v/>
      </c>
      <c r="L4329" s="31" t="str">
        <f>IF(OR(B4329="",C4329=""),"",IFERROR(E4329 / SUMIFS('📅 Resumen Diario'!$D$5:$D$504, '📅 Resumen Diario'!$B$5:$B$504, B4329, '📅 Resumen Diario'!$C$5:$C$504, D4329) * SUMIFS('📅 Resumen Diario'!$K$5:$K$504, '📅 Resumen Diario'!$B$5:$B$504, B4329, '📅 Resumen Diario'!$C$5:$C$504, D4329), 0))</f>
        <v/>
      </c>
      <c r="M4329" s="31" t="str">
        <f t="shared" si="472"/>
        <v/>
      </c>
      <c r="N4329" s="31" t="str">
        <f t="shared" si="473"/>
        <v/>
      </c>
      <c r="O4329" s="31" t="str">
        <f>IF(OR(B4329="",C4329=""),"",K4329-N4329 + IFERROR(E4329 / SUMIFS('📅 Resumen Diario'!$D$5:$D$504, '📅 Resumen Diario'!$B$5:$B$504, B4329, '📅 Resumen Diario'!$C$5:$C$504, D4329) * (SUMIFS('📋 Detalle Diario'!$E$5:$E$489, '📋 Detalle Diario'!$B$5:$B$489, B4329, '📋 Detalle Diario'!$C$5:$C$489, D4329) * 135 + SUMIFS('📋 Detalle Diario'!$I$5:$I$489, '📋 Detalle Diario'!$B$5:$B$489, B4329, '📋 Detalle Diario'!$C$5:$C$489, D4329) * 200), 0))</f>
        <v/>
      </c>
      <c r="P4329" s="32" t="str">
        <f t="shared" si="474"/>
        <v/>
      </c>
      <c r="Q4329" s="33" t="str">
        <f t="shared" si="475"/>
        <v/>
      </c>
    </row>
    <row r="4330" spans="2:17" ht="18" customHeight="1" x14ac:dyDescent="0.3">
      <c r="B4330" s="26"/>
      <c r="C4330" s="17"/>
      <c r="D4330" s="27"/>
      <c r="E4330" s="18"/>
      <c r="F4330" s="18"/>
      <c r="G4330" s="18"/>
      <c r="H4330" s="30" t="str">
        <f t="shared" si="469"/>
        <v/>
      </c>
      <c r="I4330" s="31" t="str">
        <f>IF(OR(B4330="",C4330=""),"",IFERROR(E4330*IF(E4330="",0,VLOOKUP(C4330,'📦 Precios Proforma'!$B$5:$D$104,IF(D4330="DIA",2,3),FALSE)),0))</f>
        <v/>
      </c>
      <c r="J4330" s="31" t="str">
        <f t="shared" si="470"/>
        <v/>
      </c>
      <c r="K4330" s="31" t="str">
        <f t="shared" si="471"/>
        <v/>
      </c>
      <c r="L4330" s="31" t="str">
        <f>IF(OR(B4330="",C4330=""),"",IFERROR(E4330 / SUMIFS('📅 Resumen Diario'!$D$5:$D$504, '📅 Resumen Diario'!$B$5:$B$504, B4330, '📅 Resumen Diario'!$C$5:$C$504, D4330) * SUMIFS('📅 Resumen Diario'!$K$5:$K$504, '📅 Resumen Diario'!$B$5:$B$504, B4330, '📅 Resumen Diario'!$C$5:$C$504, D4330), 0))</f>
        <v/>
      </c>
      <c r="M4330" s="31" t="str">
        <f t="shared" si="472"/>
        <v/>
      </c>
      <c r="N4330" s="31" t="str">
        <f t="shared" si="473"/>
        <v/>
      </c>
      <c r="O4330" s="31" t="str">
        <f>IF(OR(B4330="",C4330=""),"",K4330-N4330 + IFERROR(E4330 / SUMIFS('📅 Resumen Diario'!$D$5:$D$504, '📅 Resumen Diario'!$B$5:$B$504, B4330, '📅 Resumen Diario'!$C$5:$C$504, D4330) * (SUMIFS('📋 Detalle Diario'!$E$5:$E$489, '📋 Detalle Diario'!$B$5:$B$489, B4330, '📋 Detalle Diario'!$C$5:$C$489, D4330) * 135 + SUMIFS('📋 Detalle Diario'!$I$5:$I$489, '📋 Detalle Diario'!$B$5:$B$489, B4330, '📋 Detalle Diario'!$C$5:$C$489, D4330) * 200), 0))</f>
        <v/>
      </c>
      <c r="P4330" s="32" t="str">
        <f t="shared" si="474"/>
        <v/>
      </c>
      <c r="Q4330" s="33" t="str">
        <f t="shared" si="475"/>
        <v/>
      </c>
    </row>
    <row r="4331" spans="2:17" ht="18" customHeight="1" x14ac:dyDescent="0.3">
      <c r="B4331" s="26"/>
      <c r="C4331" s="28"/>
      <c r="D4331" s="27"/>
      <c r="E4331" s="29"/>
      <c r="F4331" s="29"/>
      <c r="G4331" s="29"/>
      <c r="H4331" s="30" t="str">
        <f t="shared" si="469"/>
        <v/>
      </c>
      <c r="I4331" s="31" t="str">
        <f>IF(OR(B4331="",C4331=""),"",IFERROR(E4331*IF(E4331="",0,VLOOKUP(C4331,'📦 Precios Proforma'!$B$5:$D$104,IF(D4331="DIA",2,3),FALSE)),0))</f>
        <v/>
      </c>
      <c r="J4331" s="31" t="str">
        <f t="shared" si="470"/>
        <v/>
      </c>
      <c r="K4331" s="31" t="str">
        <f t="shared" si="471"/>
        <v/>
      </c>
      <c r="L4331" s="31" t="str">
        <f>IF(OR(B4331="",C4331=""),"",IFERROR(E4331 / SUMIFS('📅 Resumen Diario'!$D$5:$D$504, '📅 Resumen Diario'!$B$5:$B$504, B4331, '📅 Resumen Diario'!$C$5:$C$504, D4331) * SUMIFS('📅 Resumen Diario'!$K$5:$K$504, '📅 Resumen Diario'!$B$5:$B$504, B4331, '📅 Resumen Diario'!$C$5:$C$504, D4331), 0))</f>
        <v/>
      </c>
      <c r="M4331" s="31" t="str">
        <f t="shared" si="472"/>
        <v/>
      </c>
      <c r="N4331" s="31" t="str">
        <f t="shared" si="473"/>
        <v/>
      </c>
      <c r="O4331" s="31" t="str">
        <f>IF(OR(B4331="",C4331=""),"",K4331-N4331 + IFERROR(E4331 / SUMIFS('📅 Resumen Diario'!$D$5:$D$504, '📅 Resumen Diario'!$B$5:$B$504, B4331, '📅 Resumen Diario'!$C$5:$C$504, D4331) * (SUMIFS('📋 Detalle Diario'!$E$5:$E$489, '📋 Detalle Diario'!$B$5:$B$489, B4331, '📋 Detalle Diario'!$C$5:$C$489, D4331) * 135 + SUMIFS('📋 Detalle Diario'!$I$5:$I$489, '📋 Detalle Diario'!$B$5:$B$489, B4331, '📋 Detalle Diario'!$C$5:$C$489, D4331) * 200), 0))</f>
        <v/>
      </c>
      <c r="P4331" s="32" t="str">
        <f t="shared" si="474"/>
        <v/>
      </c>
      <c r="Q4331" s="33" t="str">
        <f t="shared" si="475"/>
        <v/>
      </c>
    </row>
    <row r="4332" spans="2:17" ht="18" customHeight="1" x14ac:dyDescent="0.3">
      <c r="B4332" s="26"/>
      <c r="C4332" s="17"/>
      <c r="D4332" s="27"/>
      <c r="E4332" s="18"/>
      <c r="F4332" s="18"/>
      <c r="G4332" s="18"/>
      <c r="H4332" s="30" t="str">
        <f t="shared" si="469"/>
        <v/>
      </c>
      <c r="I4332" s="31" t="str">
        <f>IF(OR(B4332="",C4332=""),"",IFERROR(E4332*IF(E4332="",0,VLOOKUP(C4332,'📦 Precios Proforma'!$B$5:$D$104,IF(D4332="DIA",2,3),FALSE)),0))</f>
        <v/>
      </c>
      <c r="J4332" s="31" t="str">
        <f t="shared" si="470"/>
        <v/>
      </c>
      <c r="K4332" s="31" t="str">
        <f t="shared" si="471"/>
        <v/>
      </c>
      <c r="L4332" s="31" t="str">
        <f>IF(OR(B4332="",C4332=""),"",IFERROR(E4332 / SUMIFS('📅 Resumen Diario'!$D$5:$D$504, '📅 Resumen Diario'!$B$5:$B$504, B4332, '📅 Resumen Diario'!$C$5:$C$504, D4332) * SUMIFS('📅 Resumen Diario'!$K$5:$K$504, '📅 Resumen Diario'!$B$5:$B$504, B4332, '📅 Resumen Diario'!$C$5:$C$504, D4332), 0))</f>
        <v/>
      </c>
      <c r="M4332" s="31" t="str">
        <f t="shared" si="472"/>
        <v/>
      </c>
      <c r="N4332" s="31" t="str">
        <f t="shared" si="473"/>
        <v/>
      </c>
      <c r="O4332" s="31" t="str">
        <f>IF(OR(B4332="",C4332=""),"",K4332-N4332 + IFERROR(E4332 / SUMIFS('📅 Resumen Diario'!$D$5:$D$504, '📅 Resumen Diario'!$B$5:$B$504, B4332, '📅 Resumen Diario'!$C$5:$C$504, D4332) * (SUMIFS('📋 Detalle Diario'!$E$5:$E$489, '📋 Detalle Diario'!$B$5:$B$489, B4332, '📋 Detalle Diario'!$C$5:$C$489, D4332) * 135 + SUMIFS('📋 Detalle Diario'!$I$5:$I$489, '📋 Detalle Diario'!$B$5:$B$489, B4332, '📋 Detalle Diario'!$C$5:$C$489, D4332) * 200), 0))</f>
        <v/>
      </c>
      <c r="P4332" s="32" t="str">
        <f t="shared" si="474"/>
        <v/>
      </c>
      <c r="Q4332" s="33" t="str">
        <f t="shared" si="475"/>
        <v/>
      </c>
    </row>
    <row r="4333" spans="2:17" ht="18" customHeight="1" x14ac:dyDescent="0.3">
      <c r="B4333" s="26"/>
      <c r="C4333" s="28"/>
      <c r="D4333" s="27"/>
      <c r="E4333" s="29"/>
      <c r="F4333" s="29"/>
      <c r="G4333" s="29"/>
      <c r="H4333" s="30" t="str">
        <f t="shared" si="469"/>
        <v/>
      </c>
      <c r="I4333" s="31" t="str">
        <f>IF(OR(B4333="",C4333=""),"",IFERROR(E4333*IF(E4333="",0,VLOOKUP(C4333,'📦 Precios Proforma'!$B$5:$D$104,IF(D4333="DIA",2,3),FALSE)),0))</f>
        <v/>
      </c>
      <c r="J4333" s="31" t="str">
        <f t="shared" si="470"/>
        <v/>
      </c>
      <c r="K4333" s="31" t="str">
        <f t="shared" si="471"/>
        <v/>
      </c>
      <c r="L4333" s="31" t="str">
        <f>IF(OR(B4333="",C4333=""),"",IFERROR(E4333 / SUMIFS('📅 Resumen Diario'!$D$5:$D$504, '📅 Resumen Diario'!$B$5:$B$504, B4333, '📅 Resumen Diario'!$C$5:$C$504, D4333) * SUMIFS('📅 Resumen Diario'!$K$5:$K$504, '📅 Resumen Diario'!$B$5:$B$504, B4333, '📅 Resumen Diario'!$C$5:$C$504, D4333), 0))</f>
        <v/>
      </c>
      <c r="M4333" s="31" t="str">
        <f t="shared" si="472"/>
        <v/>
      </c>
      <c r="N4333" s="31" t="str">
        <f t="shared" si="473"/>
        <v/>
      </c>
      <c r="O4333" s="31" t="str">
        <f>IF(OR(B4333="",C4333=""),"",K4333-N4333 + IFERROR(E4333 / SUMIFS('📅 Resumen Diario'!$D$5:$D$504, '📅 Resumen Diario'!$B$5:$B$504, B4333, '📅 Resumen Diario'!$C$5:$C$504, D4333) * (SUMIFS('📋 Detalle Diario'!$E$5:$E$489, '📋 Detalle Diario'!$B$5:$B$489, B4333, '📋 Detalle Diario'!$C$5:$C$489, D4333) * 135 + SUMIFS('📋 Detalle Diario'!$I$5:$I$489, '📋 Detalle Diario'!$B$5:$B$489, B4333, '📋 Detalle Diario'!$C$5:$C$489, D4333) * 200), 0))</f>
        <v/>
      </c>
      <c r="P4333" s="32" t="str">
        <f t="shared" si="474"/>
        <v/>
      </c>
      <c r="Q4333" s="33" t="str">
        <f t="shared" si="475"/>
        <v/>
      </c>
    </row>
    <row r="4334" spans="2:17" ht="18" customHeight="1" x14ac:dyDescent="0.3">
      <c r="B4334" s="26"/>
      <c r="C4334" s="17"/>
      <c r="D4334" s="27"/>
      <c r="E4334" s="18"/>
      <c r="F4334" s="18"/>
      <c r="G4334" s="18"/>
      <c r="H4334" s="30" t="str">
        <f t="shared" si="469"/>
        <v/>
      </c>
      <c r="I4334" s="31" t="str">
        <f>IF(OR(B4334="",C4334=""),"",IFERROR(E4334*IF(E4334="",0,VLOOKUP(C4334,'📦 Precios Proforma'!$B$5:$D$104,IF(D4334="DIA",2,3),FALSE)),0))</f>
        <v/>
      </c>
      <c r="J4334" s="31" t="str">
        <f t="shared" si="470"/>
        <v/>
      </c>
      <c r="K4334" s="31" t="str">
        <f t="shared" si="471"/>
        <v/>
      </c>
      <c r="L4334" s="31" t="str">
        <f>IF(OR(B4334="",C4334=""),"",IFERROR(E4334 / SUMIFS('📅 Resumen Diario'!$D$5:$D$504, '📅 Resumen Diario'!$B$5:$B$504, B4334, '📅 Resumen Diario'!$C$5:$C$504, D4334) * SUMIFS('📅 Resumen Diario'!$K$5:$K$504, '📅 Resumen Diario'!$B$5:$B$504, B4334, '📅 Resumen Diario'!$C$5:$C$504, D4334), 0))</f>
        <v/>
      </c>
      <c r="M4334" s="31" t="str">
        <f t="shared" si="472"/>
        <v/>
      </c>
      <c r="N4334" s="31" t="str">
        <f t="shared" si="473"/>
        <v/>
      </c>
      <c r="O4334" s="31" t="str">
        <f>IF(OR(B4334="",C4334=""),"",K4334-N4334 + IFERROR(E4334 / SUMIFS('📅 Resumen Diario'!$D$5:$D$504, '📅 Resumen Diario'!$B$5:$B$504, B4334, '📅 Resumen Diario'!$C$5:$C$504, D4334) * (SUMIFS('📋 Detalle Diario'!$E$5:$E$489, '📋 Detalle Diario'!$B$5:$B$489, B4334, '📋 Detalle Diario'!$C$5:$C$489, D4334) * 135 + SUMIFS('📋 Detalle Diario'!$I$5:$I$489, '📋 Detalle Diario'!$B$5:$B$489, B4334, '📋 Detalle Diario'!$C$5:$C$489, D4334) * 200), 0))</f>
        <v/>
      </c>
      <c r="P4334" s="32" t="str">
        <f t="shared" si="474"/>
        <v/>
      </c>
      <c r="Q4334" s="33" t="str">
        <f t="shared" si="475"/>
        <v/>
      </c>
    </row>
    <row r="4335" spans="2:17" ht="18" customHeight="1" x14ac:dyDescent="0.3">
      <c r="B4335" s="26"/>
      <c r="C4335" s="28"/>
      <c r="D4335" s="27"/>
      <c r="E4335" s="29"/>
      <c r="F4335" s="29"/>
      <c r="G4335" s="29"/>
      <c r="H4335" s="30" t="str">
        <f t="shared" si="469"/>
        <v/>
      </c>
      <c r="I4335" s="31" t="str">
        <f>IF(OR(B4335="",C4335=""),"",IFERROR(E4335*IF(E4335="",0,VLOOKUP(C4335,'📦 Precios Proforma'!$B$5:$D$104,IF(D4335="DIA",2,3),FALSE)),0))</f>
        <v/>
      </c>
      <c r="J4335" s="31" t="str">
        <f t="shared" si="470"/>
        <v/>
      </c>
      <c r="K4335" s="31" t="str">
        <f t="shared" si="471"/>
        <v/>
      </c>
      <c r="L4335" s="31" t="str">
        <f>IF(OR(B4335="",C4335=""),"",IFERROR(E4335 / SUMIFS('📅 Resumen Diario'!$D$5:$D$504, '📅 Resumen Diario'!$B$5:$B$504, B4335, '📅 Resumen Diario'!$C$5:$C$504, D4335) * SUMIFS('📅 Resumen Diario'!$K$5:$K$504, '📅 Resumen Diario'!$B$5:$B$504, B4335, '📅 Resumen Diario'!$C$5:$C$504, D4335), 0))</f>
        <v/>
      </c>
      <c r="M4335" s="31" t="str">
        <f t="shared" si="472"/>
        <v/>
      </c>
      <c r="N4335" s="31" t="str">
        <f t="shared" si="473"/>
        <v/>
      </c>
      <c r="O4335" s="31" t="str">
        <f>IF(OR(B4335="",C4335=""),"",K4335-N4335 + IFERROR(E4335 / SUMIFS('📅 Resumen Diario'!$D$5:$D$504, '📅 Resumen Diario'!$B$5:$B$504, B4335, '📅 Resumen Diario'!$C$5:$C$504, D4335) * (SUMIFS('📋 Detalle Diario'!$E$5:$E$489, '📋 Detalle Diario'!$B$5:$B$489, B4335, '📋 Detalle Diario'!$C$5:$C$489, D4335) * 135 + SUMIFS('📋 Detalle Diario'!$I$5:$I$489, '📋 Detalle Diario'!$B$5:$B$489, B4335, '📋 Detalle Diario'!$C$5:$C$489, D4335) * 200), 0))</f>
        <v/>
      </c>
      <c r="P4335" s="32" t="str">
        <f t="shared" si="474"/>
        <v/>
      </c>
      <c r="Q4335" s="33" t="str">
        <f t="shared" si="475"/>
        <v/>
      </c>
    </row>
    <row r="4336" spans="2:17" ht="18" customHeight="1" x14ac:dyDescent="0.3">
      <c r="B4336" s="26"/>
      <c r="C4336" s="17"/>
      <c r="D4336" s="27"/>
      <c r="E4336" s="18"/>
      <c r="F4336" s="18"/>
      <c r="G4336" s="18"/>
      <c r="H4336" s="30" t="str">
        <f t="shared" si="469"/>
        <v/>
      </c>
      <c r="I4336" s="31" t="str">
        <f>IF(OR(B4336="",C4336=""),"",IFERROR(E4336*IF(E4336="",0,VLOOKUP(C4336,'📦 Precios Proforma'!$B$5:$D$104,IF(D4336="DIA",2,3),FALSE)),0))</f>
        <v/>
      </c>
      <c r="J4336" s="31" t="str">
        <f t="shared" si="470"/>
        <v/>
      </c>
      <c r="K4336" s="31" t="str">
        <f t="shared" si="471"/>
        <v/>
      </c>
      <c r="L4336" s="31" t="str">
        <f>IF(OR(B4336="",C4336=""),"",IFERROR(E4336 / SUMIFS('📅 Resumen Diario'!$D$5:$D$504, '📅 Resumen Diario'!$B$5:$B$504, B4336, '📅 Resumen Diario'!$C$5:$C$504, D4336) * SUMIFS('📅 Resumen Diario'!$K$5:$K$504, '📅 Resumen Diario'!$B$5:$B$504, B4336, '📅 Resumen Diario'!$C$5:$C$504, D4336), 0))</f>
        <v/>
      </c>
      <c r="M4336" s="31" t="str">
        <f t="shared" si="472"/>
        <v/>
      </c>
      <c r="N4336" s="31" t="str">
        <f t="shared" si="473"/>
        <v/>
      </c>
      <c r="O4336" s="31" t="str">
        <f>IF(OR(B4336="",C4336=""),"",K4336-N4336 + IFERROR(E4336 / SUMIFS('📅 Resumen Diario'!$D$5:$D$504, '📅 Resumen Diario'!$B$5:$B$504, B4336, '📅 Resumen Diario'!$C$5:$C$504, D4336) * (SUMIFS('📋 Detalle Diario'!$E$5:$E$489, '📋 Detalle Diario'!$B$5:$B$489, B4336, '📋 Detalle Diario'!$C$5:$C$489, D4336) * 135 + SUMIFS('📋 Detalle Diario'!$I$5:$I$489, '📋 Detalle Diario'!$B$5:$B$489, B4336, '📋 Detalle Diario'!$C$5:$C$489, D4336) * 200), 0))</f>
        <v/>
      </c>
      <c r="P4336" s="32" t="str">
        <f t="shared" si="474"/>
        <v/>
      </c>
      <c r="Q4336" s="33" t="str">
        <f t="shared" si="475"/>
        <v/>
      </c>
    </row>
    <row r="4337" spans="2:17" ht="18" customHeight="1" x14ac:dyDescent="0.3">
      <c r="B4337" s="26"/>
      <c r="C4337" s="28"/>
      <c r="D4337" s="27"/>
      <c r="E4337" s="29"/>
      <c r="F4337" s="29"/>
      <c r="G4337" s="29"/>
      <c r="H4337" s="30" t="str">
        <f t="shared" si="469"/>
        <v/>
      </c>
      <c r="I4337" s="31" t="str">
        <f>IF(OR(B4337="",C4337=""),"",IFERROR(E4337*IF(E4337="",0,VLOOKUP(C4337,'📦 Precios Proforma'!$B$5:$D$104,IF(D4337="DIA",2,3),FALSE)),0))</f>
        <v/>
      </c>
      <c r="J4337" s="31" t="str">
        <f t="shared" si="470"/>
        <v/>
      </c>
      <c r="K4337" s="31" t="str">
        <f t="shared" si="471"/>
        <v/>
      </c>
      <c r="L4337" s="31" t="str">
        <f>IF(OR(B4337="",C4337=""),"",IFERROR(E4337 / SUMIFS('📅 Resumen Diario'!$D$5:$D$504, '📅 Resumen Diario'!$B$5:$B$504, B4337, '📅 Resumen Diario'!$C$5:$C$504, D4337) * SUMIFS('📅 Resumen Diario'!$K$5:$K$504, '📅 Resumen Diario'!$B$5:$B$504, B4337, '📅 Resumen Diario'!$C$5:$C$504, D4337), 0))</f>
        <v/>
      </c>
      <c r="M4337" s="31" t="str">
        <f t="shared" si="472"/>
        <v/>
      </c>
      <c r="N4337" s="31" t="str">
        <f t="shared" si="473"/>
        <v/>
      </c>
      <c r="O4337" s="31" t="str">
        <f>IF(OR(B4337="",C4337=""),"",K4337-N4337 + IFERROR(E4337 / SUMIFS('📅 Resumen Diario'!$D$5:$D$504, '📅 Resumen Diario'!$B$5:$B$504, B4337, '📅 Resumen Diario'!$C$5:$C$504, D4337) * (SUMIFS('📋 Detalle Diario'!$E$5:$E$489, '📋 Detalle Diario'!$B$5:$B$489, B4337, '📋 Detalle Diario'!$C$5:$C$489, D4337) * 135 + SUMIFS('📋 Detalle Diario'!$I$5:$I$489, '📋 Detalle Diario'!$B$5:$B$489, B4337, '📋 Detalle Diario'!$C$5:$C$489, D4337) * 200), 0))</f>
        <v/>
      </c>
      <c r="P4337" s="32" t="str">
        <f t="shared" si="474"/>
        <v/>
      </c>
      <c r="Q4337" s="33" t="str">
        <f t="shared" si="475"/>
        <v/>
      </c>
    </row>
    <row r="4338" spans="2:17" ht="18" customHeight="1" x14ac:dyDescent="0.3">
      <c r="B4338" s="26"/>
      <c r="C4338" s="17"/>
      <c r="D4338" s="27"/>
      <c r="E4338" s="18"/>
      <c r="F4338" s="18"/>
      <c r="G4338" s="18"/>
      <c r="H4338" s="30" t="str">
        <f t="shared" si="469"/>
        <v/>
      </c>
      <c r="I4338" s="31" t="str">
        <f>IF(OR(B4338="",C4338=""),"",IFERROR(E4338*IF(E4338="",0,VLOOKUP(C4338,'📦 Precios Proforma'!$B$5:$D$104,IF(D4338="DIA",2,3),FALSE)),0))</f>
        <v/>
      </c>
      <c r="J4338" s="31" t="str">
        <f t="shared" si="470"/>
        <v/>
      </c>
      <c r="K4338" s="31" t="str">
        <f t="shared" si="471"/>
        <v/>
      </c>
      <c r="L4338" s="31" t="str">
        <f>IF(OR(B4338="",C4338=""),"",IFERROR(E4338 / SUMIFS('📅 Resumen Diario'!$D$5:$D$504, '📅 Resumen Diario'!$B$5:$B$504, B4338, '📅 Resumen Diario'!$C$5:$C$504, D4338) * SUMIFS('📅 Resumen Diario'!$K$5:$K$504, '📅 Resumen Diario'!$B$5:$B$504, B4338, '📅 Resumen Diario'!$C$5:$C$504, D4338), 0))</f>
        <v/>
      </c>
      <c r="M4338" s="31" t="str">
        <f t="shared" si="472"/>
        <v/>
      </c>
      <c r="N4338" s="31" t="str">
        <f t="shared" si="473"/>
        <v/>
      </c>
      <c r="O4338" s="31" t="str">
        <f>IF(OR(B4338="",C4338=""),"",K4338-N4338 + IFERROR(E4338 / SUMIFS('📅 Resumen Diario'!$D$5:$D$504, '📅 Resumen Diario'!$B$5:$B$504, B4338, '📅 Resumen Diario'!$C$5:$C$504, D4338) * (SUMIFS('📋 Detalle Diario'!$E$5:$E$489, '📋 Detalle Diario'!$B$5:$B$489, B4338, '📋 Detalle Diario'!$C$5:$C$489, D4338) * 135 + SUMIFS('📋 Detalle Diario'!$I$5:$I$489, '📋 Detalle Diario'!$B$5:$B$489, B4338, '📋 Detalle Diario'!$C$5:$C$489, D4338) * 200), 0))</f>
        <v/>
      </c>
      <c r="P4338" s="32" t="str">
        <f t="shared" si="474"/>
        <v/>
      </c>
      <c r="Q4338" s="33" t="str">
        <f t="shared" si="475"/>
        <v/>
      </c>
    </row>
    <row r="4339" spans="2:17" ht="18" customHeight="1" x14ac:dyDescent="0.3">
      <c r="B4339" s="26"/>
      <c r="C4339" s="28"/>
      <c r="D4339" s="27"/>
      <c r="E4339" s="29"/>
      <c r="F4339" s="29"/>
      <c r="G4339" s="29"/>
      <c r="H4339" s="30" t="str">
        <f t="shared" si="469"/>
        <v/>
      </c>
      <c r="I4339" s="31" t="str">
        <f>IF(OR(B4339="",C4339=""),"",IFERROR(E4339*IF(E4339="",0,VLOOKUP(C4339,'📦 Precios Proforma'!$B$5:$D$104,IF(D4339="DIA",2,3),FALSE)),0))</f>
        <v/>
      </c>
      <c r="J4339" s="31" t="str">
        <f t="shared" si="470"/>
        <v/>
      </c>
      <c r="K4339" s="31" t="str">
        <f t="shared" si="471"/>
        <v/>
      </c>
      <c r="L4339" s="31" t="str">
        <f>IF(OR(B4339="",C4339=""),"",IFERROR(E4339 / SUMIFS('📅 Resumen Diario'!$D$5:$D$504, '📅 Resumen Diario'!$B$5:$B$504, B4339, '📅 Resumen Diario'!$C$5:$C$504, D4339) * SUMIFS('📅 Resumen Diario'!$K$5:$K$504, '📅 Resumen Diario'!$B$5:$B$504, B4339, '📅 Resumen Diario'!$C$5:$C$504, D4339), 0))</f>
        <v/>
      </c>
      <c r="M4339" s="31" t="str">
        <f t="shared" si="472"/>
        <v/>
      </c>
      <c r="N4339" s="31" t="str">
        <f t="shared" si="473"/>
        <v/>
      </c>
      <c r="O4339" s="31" t="str">
        <f>IF(OR(B4339="",C4339=""),"",K4339-N4339 + IFERROR(E4339 / SUMIFS('📅 Resumen Diario'!$D$5:$D$504, '📅 Resumen Diario'!$B$5:$B$504, B4339, '📅 Resumen Diario'!$C$5:$C$504, D4339) * (SUMIFS('📋 Detalle Diario'!$E$5:$E$489, '📋 Detalle Diario'!$B$5:$B$489, B4339, '📋 Detalle Diario'!$C$5:$C$489, D4339) * 135 + SUMIFS('📋 Detalle Diario'!$I$5:$I$489, '📋 Detalle Diario'!$B$5:$B$489, B4339, '📋 Detalle Diario'!$C$5:$C$489, D4339) * 200), 0))</f>
        <v/>
      </c>
      <c r="P4339" s="32" t="str">
        <f t="shared" si="474"/>
        <v/>
      </c>
      <c r="Q4339" s="33" t="str">
        <f t="shared" si="475"/>
        <v/>
      </c>
    </row>
    <row r="4340" spans="2:17" ht="18" customHeight="1" x14ac:dyDescent="0.3">
      <c r="B4340" s="26"/>
      <c r="C4340" s="17"/>
      <c r="D4340" s="27"/>
      <c r="E4340" s="18"/>
      <c r="F4340" s="18"/>
      <c r="G4340" s="18"/>
      <c r="H4340" s="30" t="str">
        <f t="shared" si="469"/>
        <v/>
      </c>
      <c r="I4340" s="31" t="str">
        <f>IF(OR(B4340="",C4340=""),"",IFERROR(E4340*IF(E4340="",0,VLOOKUP(C4340,'📦 Precios Proforma'!$B$5:$D$104,IF(D4340="DIA",2,3),FALSE)),0))</f>
        <v/>
      </c>
      <c r="J4340" s="31" t="str">
        <f t="shared" si="470"/>
        <v/>
      </c>
      <c r="K4340" s="31" t="str">
        <f t="shared" si="471"/>
        <v/>
      </c>
      <c r="L4340" s="31" t="str">
        <f>IF(OR(B4340="",C4340=""),"",IFERROR(E4340 / SUMIFS('📅 Resumen Diario'!$D$5:$D$504, '📅 Resumen Diario'!$B$5:$B$504, B4340, '📅 Resumen Diario'!$C$5:$C$504, D4340) * SUMIFS('📅 Resumen Diario'!$K$5:$K$504, '📅 Resumen Diario'!$B$5:$B$504, B4340, '📅 Resumen Diario'!$C$5:$C$504, D4340), 0))</f>
        <v/>
      </c>
      <c r="M4340" s="31" t="str">
        <f t="shared" si="472"/>
        <v/>
      </c>
      <c r="N4340" s="31" t="str">
        <f t="shared" si="473"/>
        <v/>
      </c>
      <c r="O4340" s="31" t="str">
        <f>IF(OR(B4340="",C4340=""),"",K4340-N4340 + IFERROR(E4340 / SUMIFS('📅 Resumen Diario'!$D$5:$D$504, '📅 Resumen Diario'!$B$5:$B$504, B4340, '📅 Resumen Diario'!$C$5:$C$504, D4340) * (SUMIFS('📋 Detalle Diario'!$E$5:$E$489, '📋 Detalle Diario'!$B$5:$B$489, B4340, '📋 Detalle Diario'!$C$5:$C$489, D4340) * 135 + SUMIFS('📋 Detalle Diario'!$I$5:$I$489, '📋 Detalle Diario'!$B$5:$B$489, B4340, '📋 Detalle Diario'!$C$5:$C$489, D4340) * 200), 0))</f>
        <v/>
      </c>
      <c r="P4340" s="32" t="str">
        <f t="shared" si="474"/>
        <v/>
      </c>
      <c r="Q4340" s="33" t="str">
        <f t="shared" si="475"/>
        <v/>
      </c>
    </row>
    <row r="4341" spans="2:17" ht="18" customHeight="1" x14ac:dyDescent="0.3">
      <c r="B4341" s="26"/>
      <c r="C4341" s="28"/>
      <c r="D4341" s="27"/>
      <c r="E4341" s="29"/>
      <c r="F4341" s="29"/>
      <c r="G4341" s="29"/>
      <c r="H4341" s="30" t="str">
        <f t="shared" si="469"/>
        <v/>
      </c>
      <c r="I4341" s="31" t="str">
        <f>IF(OR(B4341="",C4341=""),"",IFERROR(E4341*IF(E4341="",0,VLOOKUP(C4341,'📦 Precios Proforma'!$B$5:$D$104,IF(D4341="DIA",2,3),FALSE)),0))</f>
        <v/>
      </c>
      <c r="J4341" s="31" t="str">
        <f t="shared" si="470"/>
        <v/>
      </c>
      <c r="K4341" s="31" t="str">
        <f t="shared" si="471"/>
        <v/>
      </c>
      <c r="L4341" s="31" t="str">
        <f>IF(OR(B4341="",C4341=""),"",IFERROR(E4341 / SUMIFS('📅 Resumen Diario'!$D$5:$D$504, '📅 Resumen Diario'!$B$5:$B$504, B4341, '📅 Resumen Diario'!$C$5:$C$504, D4341) * SUMIFS('📅 Resumen Diario'!$K$5:$K$504, '📅 Resumen Diario'!$B$5:$B$504, B4341, '📅 Resumen Diario'!$C$5:$C$504, D4341), 0))</f>
        <v/>
      </c>
      <c r="M4341" s="31" t="str">
        <f t="shared" si="472"/>
        <v/>
      </c>
      <c r="N4341" s="31" t="str">
        <f t="shared" si="473"/>
        <v/>
      </c>
      <c r="O4341" s="31" t="str">
        <f>IF(OR(B4341="",C4341=""),"",K4341-N4341 + IFERROR(E4341 / SUMIFS('📅 Resumen Diario'!$D$5:$D$504, '📅 Resumen Diario'!$B$5:$B$504, B4341, '📅 Resumen Diario'!$C$5:$C$504, D4341) * (SUMIFS('📋 Detalle Diario'!$E$5:$E$489, '📋 Detalle Diario'!$B$5:$B$489, B4341, '📋 Detalle Diario'!$C$5:$C$489, D4341) * 135 + SUMIFS('📋 Detalle Diario'!$I$5:$I$489, '📋 Detalle Diario'!$B$5:$B$489, B4341, '📋 Detalle Diario'!$C$5:$C$489, D4341) * 200), 0))</f>
        <v/>
      </c>
      <c r="P4341" s="32" t="str">
        <f t="shared" si="474"/>
        <v/>
      </c>
      <c r="Q4341" s="33" t="str">
        <f t="shared" si="475"/>
        <v/>
      </c>
    </row>
    <row r="4342" spans="2:17" ht="18" customHeight="1" x14ac:dyDescent="0.3">
      <c r="B4342" s="26"/>
      <c r="C4342" s="17"/>
      <c r="D4342" s="27"/>
      <c r="E4342" s="18"/>
      <c r="F4342" s="18"/>
      <c r="G4342" s="18"/>
      <c r="H4342" s="30" t="str">
        <f t="shared" si="469"/>
        <v/>
      </c>
      <c r="I4342" s="31" t="str">
        <f>IF(OR(B4342="",C4342=""),"",IFERROR(E4342*IF(E4342="",0,VLOOKUP(C4342,'📦 Precios Proforma'!$B$5:$D$104,IF(D4342="DIA",2,3),FALSE)),0))</f>
        <v/>
      </c>
      <c r="J4342" s="31" t="str">
        <f t="shared" si="470"/>
        <v/>
      </c>
      <c r="K4342" s="31" t="str">
        <f t="shared" si="471"/>
        <v/>
      </c>
      <c r="L4342" s="31" t="str">
        <f>IF(OR(B4342="",C4342=""),"",IFERROR(E4342 / SUMIFS('📅 Resumen Diario'!$D$5:$D$504, '📅 Resumen Diario'!$B$5:$B$504, B4342, '📅 Resumen Diario'!$C$5:$C$504, D4342) * SUMIFS('📅 Resumen Diario'!$K$5:$K$504, '📅 Resumen Diario'!$B$5:$B$504, B4342, '📅 Resumen Diario'!$C$5:$C$504, D4342), 0))</f>
        <v/>
      </c>
      <c r="M4342" s="31" t="str">
        <f t="shared" si="472"/>
        <v/>
      </c>
      <c r="N4342" s="31" t="str">
        <f t="shared" si="473"/>
        <v/>
      </c>
      <c r="O4342" s="31" t="str">
        <f>IF(OR(B4342="",C4342=""),"",K4342-N4342 + IFERROR(E4342 / SUMIFS('📅 Resumen Diario'!$D$5:$D$504, '📅 Resumen Diario'!$B$5:$B$504, B4342, '📅 Resumen Diario'!$C$5:$C$504, D4342) * (SUMIFS('📋 Detalle Diario'!$E$5:$E$489, '📋 Detalle Diario'!$B$5:$B$489, B4342, '📋 Detalle Diario'!$C$5:$C$489, D4342) * 135 + SUMIFS('📋 Detalle Diario'!$I$5:$I$489, '📋 Detalle Diario'!$B$5:$B$489, B4342, '📋 Detalle Diario'!$C$5:$C$489, D4342) * 200), 0))</f>
        <v/>
      </c>
      <c r="P4342" s="32" t="str">
        <f t="shared" si="474"/>
        <v/>
      </c>
      <c r="Q4342" s="33" t="str">
        <f t="shared" si="475"/>
        <v/>
      </c>
    </row>
    <row r="4343" spans="2:17" ht="18" customHeight="1" x14ac:dyDescent="0.3">
      <c r="B4343" s="26"/>
      <c r="C4343" s="28"/>
      <c r="D4343" s="27"/>
      <c r="E4343" s="29"/>
      <c r="F4343" s="29"/>
      <c r="G4343" s="29"/>
      <c r="H4343" s="30" t="str">
        <f t="shared" si="469"/>
        <v/>
      </c>
      <c r="I4343" s="31" t="str">
        <f>IF(OR(B4343="",C4343=""),"",IFERROR(E4343*IF(E4343="",0,VLOOKUP(C4343,'📦 Precios Proforma'!$B$5:$D$104,IF(D4343="DIA",2,3),FALSE)),0))</f>
        <v/>
      </c>
      <c r="J4343" s="31" t="str">
        <f t="shared" si="470"/>
        <v/>
      </c>
      <c r="K4343" s="31" t="str">
        <f t="shared" si="471"/>
        <v/>
      </c>
      <c r="L4343" s="31" t="str">
        <f>IF(OR(B4343="",C4343=""),"",IFERROR(E4343 / SUMIFS('📅 Resumen Diario'!$D$5:$D$504, '📅 Resumen Diario'!$B$5:$B$504, B4343, '📅 Resumen Diario'!$C$5:$C$504, D4343) * SUMIFS('📅 Resumen Diario'!$K$5:$K$504, '📅 Resumen Diario'!$B$5:$B$504, B4343, '📅 Resumen Diario'!$C$5:$C$504, D4343), 0))</f>
        <v/>
      </c>
      <c r="M4343" s="31" t="str">
        <f t="shared" si="472"/>
        <v/>
      </c>
      <c r="N4343" s="31" t="str">
        <f t="shared" si="473"/>
        <v/>
      </c>
      <c r="O4343" s="31" t="str">
        <f>IF(OR(B4343="",C4343=""),"",K4343-N4343 + IFERROR(E4343 / SUMIFS('📅 Resumen Diario'!$D$5:$D$504, '📅 Resumen Diario'!$B$5:$B$504, B4343, '📅 Resumen Diario'!$C$5:$C$504, D4343) * (SUMIFS('📋 Detalle Diario'!$E$5:$E$489, '📋 Detalle Diario'!$B$5:$B$489, B4343, '📋 Detalle Diario'!$C$5:$C$489, D4343) * 135 + SUMIFS('📋 Detalle Diario'!$I$5:$I$489, '📋 Detalle Diario'!$B$5:$B$489, B4343, '📋 Detalle Diario'!$C$5:$C$489, D4343) * 200), 0))</f>
        <v/>
      </c>
      <c r="P4343" s="32" t="str">
        <f t="shared" si="474"/>
        <v/>
      </c>
      <c r="Q4343" s="33" t="str">
        <f t="shared" si="475"/>
        <v/>
      </c>
    </row>
    <row r="4344" spans="2:17" ht="18" customHeight="1" x14ac:dyDescent="0.3">
      <c r="B4344" s="26"/>
      <c r="C4344" s="17"/>
      <c r="D4344" s="27"/>
      <c r="E4344" s="18"/>
      <c r="F4344" s="18"/>
      <c r="G4344" s="18"/>
      <c r="H4344" s="30" t="str">
        <f t="shared" si="469"/>
        <v/>
      </c>
      <c r="I4344" s="31" t="str">
        <f>IF(OR(B4344="",C4344=""),"",IFERROR(E4344*IF(E4344="",0,VLOOKUP(C4344,'📦 Precios Proforma'!$B$5:$D$104,IF(D4344="DIA",2,3),FALSE)),0))</f>
        <v/>
      </c>
      <c r="J4344" s="31" t="str">
        <f t="shared" si="470"/>
        <v/>
      </c>
      <c r="K4344" s="31" t="str">
        <f t="shared" si="471"/>
        <v/>
      </c>
      <c r="L4344" s="31" t="str">
        <f>IF(OR(B4344="",C4344=""),"",IFERROR(E4344 / SUMIFS('📅 Resumen Diario'!$D$5:$D$504, '📅 Resumen Diario'!$B$5:$B$504, B4344, '📅 Resumen Diario'!$C$5:$C$504, D4344) * SUMIFS('📅 Resumen Diario'!$K$5:$K$504, '📅 Resumen Diario'!$B$5:$B$504, B4344, '📅 Resumen Diario'!$C$5:$C$504, D4344), 0))</f>
        <v/>
      </c>
      <c r="M4344" s="31" t="str">
        <f t="shared" si="472"/>
        <v/>
      </c>
      <c r="N4344" s="31" t="str">
        <f t="shared" si="473"/>
        <v/>
      </c>
      <c r="O4344" s="31" t="str">
        <f>IF(OR(B4344="",C4344=""),"",K4344-N4344 + IFERROR(E4344 / SUMIFS('📅 Resumen Diario'!$D$5:$D$504, '📅 Resumen Diario'!$B$5:$B$504, B4344, '📅 Resumen Diario'!$C$5:$C$504, D4344) * (SUMIFS('📋 Detalle Diario'!$E$5:$E$489, '📋 Detalle Diario'!$B$5:$B$489, B4344, '📋 Detalle Diario'!$C$5:$C$489, D4344) * 135 + SUMIFS('📋 Detalle Diario'!$I$5:$I$489, '📋 Detalle Diario'!$B$5:$B$489, B4344, '📋 Detalle Diario'!$C$5:$C$489, D4344) * 200), 0))</f>
        <v/>
      </c>
      <c r="P4344" s="32" t="str">
        <f t="shared" si="474"/>
        <v/>
      </c>
      <c r="Q4344" s="33" t="str">
        <f t="shared" si="475"/>
        <v/>
      </c>
    </row>
    <row r="4345" spans="2:17" ht="18" customHeight="1" x14ac:dyDescent="0.3">
      <c r="B4345" s="26"/>
      <c r="C4345" s="28"/>
      <c r="D4345" s="27"/>
      <c r="E4345" s="29"/>
      <c r="F4345" s="29"/>
      <c r="G4345" s="29"/>
      <c r="H4345" s="30" t="str">
        <f t="shared" si="469"/>
        <v/>
      </c>
      <c r="I4345" s="31" t="str">
        <f>IF(OR(B4345="",C4345=""),"",IFERROR(E4345*IF(E4345="",0,VLOOKUP(C4345,'📦 Precios Proforma'!$B$5:$D$104,IF(D4345="DIA",2,3),FALSE)),0))</f>
        <v/>
      </c>
      <c r="J4345" s="31" t="str">
        <f t="shared" si="470"/>
        <v/>
      </c>
      <c r="K4345" s="31" t="str">
        <f t="shared" si="471"/>
        <v/>
      </c>
      <c r="L4345" s="31" t="str">
        <f>IF(OR(B4345="",C4345=""),"",IFERROR(E4345 / SUMIFS('📅 Resumen Diario'!$D$5:$D$504, '📅 Resumen Diario'!$B$5:$B$504, B4345, '📅 Resumen Diario'!$C$5:$C$504, D4345) * SUMIFS('📅 Resumen Diario'!$K$5:$K$504, '📅 Resumen Diario'!$B$5:$B$504, B4345, '📅 Resumen Diario'!$C$5:$C$504, D4345), 0))</f>
        <v/>
      </c>
      <c r="M4345" s="31" t="str">
        <f t="shared" si="472"/>
        <v/>
      </c>
      <c r="N4345" s="31" t="str">
        <f t="shared" si="473"/>
        <v/>
      </c>
      <c r="O4345" s="31" t="str">
        <f>IF(OR(B4345="",C4345=""),"",K4345-N4345 + IFERROR(E4345 / SUMIFS('📅 Resumen Diario'!$D$5:$D$504, '📅 Resumen Diario'!$B$5:$B$504, B4345, '📅 Resumen Diario'!$C$5:$C$504, D4345) * (SUMIFS('📋 Detalle Diario'!$E$5:$E$489, '📋 Detalle Diario'!$B$5:$B$489, B4345, '📋 Detalle Diario'!$C$5:$C$489, D4345) * 135 + SUMIFS('📋 Detalle Diario'!$I$5:$I$489, '📋 Detalle Diario'!$B$5:$B$489, B4345, '📋 Detalle Diario'!$C$5:$C$489, D4345) * 200), 0))</f>
        <v/>
      </c>
      <c r="P4345" s="32" t="str">
        <f t="shared" si="474"/>
        <v/>
      </c>
      <c r="Q4345" s="33" t="str">
        <f t="shared" si="475"/>
        <v/>
      </c>
    </row>
    <row r="4346" spans="2:17" ht="18" customHeight="1" x14ac:dyDescent="0.3">
      <c r="B4346" s="26"/>
      <c r="C4346" s="17"/>
      <c r="D4346" s="27"/>
      <c r="E4346" s="18"/>
      <c r="F4346" s="18"/>
      <c r="G4346" s="18"/>
      <c r="H4346" s="30" t="str">
        <f t="shared" si="469"/>
        <v/>
      </c>
      <c r="I4346" s="31" t="str">
        <f>IF(OR(B4346="",C4346=""),"",IFERROR(E4346*IF(E4346="",0,VLOOKUP(C4346,'📦 Precios Proforma'!$B$5:$D$104,IF(D4346="DIA",2,3),FALSE)),0))</f>
        <v/>
      </c>
      <c r="J4346" s="31" t="str">
        <f t="shared" si="470"/>
        <v/>
      </c>
      <c r="K4346" s="31" t="str">
        <f t="shared" si="471"/>
        <v/>
      </c>
      <c r="L4346" s="31" t="str">
        <f>IF(OR(B4346="",C4346=""),"",IFERROR(E4346 / SUMIFS('📅 Resumen Diario'!$D$5:$D$504, '📅 Resumen Diario'!$B$5:$B$504, B4346, '📅 Resumen Diario'!$C$5:$C$504, D4346) * SUMIFS('📅 Resumen Diario'!$K$5:$K$504, '📅 Resumen Diario'!$B$5:$B$504, B4346, '📅 Resumen Diario'!$C$5:$C$504, D4346), 0))</f>
        <v/>
      </c>
      <c r="M4346" s="31" t="str">
        <f t="shared" si="472"/>
        <v/>
      </c>
      <c r="N4346" s="31" t="str">
        <f t="shared" si="473"/>
        <v/>
      </c>
      <c r="O4346" s="31" t="str">
        <f>IF(OR(B4346="",C4346=""),"",K4346-N4346 + IFERROR(E4346 / SUMIFS('📅 Resumen Diario'!$D$5:$D$504, '📅 Resumen Diario'!$B$5:$B$504, B4346, '📅 Resumen Diario'!$C$5:$C$504, D4346) * (SUMIFS('📋 Detalle Diario'!$E$5:$E$489, '📋 Detalle Diario'!$B$5:$B$489, B4346, '📋 Detalle Diario'!$C$5:$C$489, D4346) * 135 + SUMIFS('📋 Detalle Diario'!$I$5:$I$489, '📋 Detalle Diario'!$B$5:$B$489, B4346, '📋 Detalle Diario'!$C$5:$C$489, D4346) * 200), 0))</f>
        <v/>
      </c>
      <c r="P4346" s="32" t="str">
        <f t="shared" si="474"/>
        <v/>
      </c>
      <c r="Q4346" s="33" t="str">
        <f t="shared" si="475"/>
        <v/>
      </c>
    </row>
    <row r="4347" spans="2:17" ht="18" customHeight="1" x14ac:dyDescent="0.3">
      <c r="B4347" s="26"/>
      <c r="C4347" s="28"/>
      <c r="D4347" s="27"/>
      <c r="E4347" s="29"/>
      <c r="F4347" s="29"/>
      <c r="G4347" s="29"/>
      <c r="H4347" s="30" t="str">
        <f t="shared" si="469"/>
        <v/>
      </c>
      <c r="I4347" s="31" t="str">
        <f>IF(OR(B4347="",C4347=""),"",IFERROR(E4347*IF(E4347="",0,VLOOKUP(C4347,'📦 Precios Proforma'!$B$5:$D$104,IF(D4347="DIA",2,3),FALSE)),0))</f>
        <v/>
      </c>
      <c r="J4347" s="31" t="str">
        <f t="shared" si="470"/>
        <v/>
      </c>
      <c r="K4347" s="31" t="str">
        <f t="shared" si="471"/>
        <v/>
      </c>
      <c r="L4347" s="31" t="str">
        <f>IF(OR(B4347="",C4347=""),"",IFERROR(E4347 / SUMIFS('📅 Resumen Diario'!$D$5:$D$504, '📅 Resumen Diario'!$B$5:$B$504, B4347, '📅 Resumen Diario'!$C$5:$C$504, D4347) * SUMIFS('📅 Resumen Diario'!$K$5:$K$504, '📅 Resumen Diario'!$B$5:$B$504, B4347, '📅 Resumen Diario'!$C$5:$C$504, D4347), 0))</f>
        <v/>
      </c>
      <c r="M4347" s="31" t="str">
        <f t="shared" si="472"/>
        <v/>
      </c>
      <c r="N4347" s="31" t="str">
        <f t="shared" si="473"/>
        <v/>
      </c>
      <c r="O4347" s="31" t="str">
        <f>IF(OR(B4347="",C4347=""),"",K4347-N4347 + IFERROR(E4347 / SUMIFS('📅 Resumen Diario'!$D$5:$D$504, '📅 Resumen Diario'!$B$5:$B$504, B4347, '📅 Resumen Diario'!$C$5:$C$504, D4347) * (SUMIFS('📋 Detalle Diario'!$E$5:$E$489, '📋 Detalle Diario'!$B$5:$B$489, B4347, '📋 Detalle Diario'!$C$5:$C$489, D4347) * 135 + SUMIFS('📋 Detalle Diario'!$I$5:$I$489, '📋 Detalle Diario'!$B$5:$B$489, B4347, '📋 Detalle Diario'!$C$5:$C$489, D4347) * 200), 0))</f>
        <v/>
      </c>
      <c r="P4347" s="32" t="str">
        <f t="shared" si="474"/>
        <v/>
      </c>
      <c r="Q4347" s="33" t="str">
        <f t="shared" si="475"/>
        <v/>
      </c>
    </row>
    <row r="4348" spans="2:17" ht="18" customHeight="1" x14ac:dyDescent="0.3">
      <c r="B4348" s="26"/>
      <c r="C4348" s="17"/>
      <c r="D4348" s="27"/>
      <c r="E4348" s="18"/>
      <c r="F4348" s="18"/>
      <c r="G4348" s="18"/>
      <c r="H4348" s="30" t="str">
        <f t="shared" si="469"/>
        <v/>
      </c>
      <c r="I4348" s="31" t="str">
        <f>IF(OR(B4348="",C4348=""),"",IFERROR(E4348*IF(E4348="",0,VLOOKUP(C4348,'📦 Precios Proforma'!$B$5:$D$104,IF(D4348="DIA",2,3),FALSE)),0))</f>
        <v/>
      </c>
      <c r="J4348" s="31" t="str">
        <f t="shared" si="470"/>
        <v/>
      </c>
      <c r="K4348" s="31" t="str">
        <f t="shared" si="471"/>
        <v/>
      </c>
      <c r="L4348" s="31" t="str">
        <f>IF(OR(B4348="",C4348=""),"",IFERROR(E4348 / SUMIFS('📅 Resumen Diario'!$D$5:$D$504, '📅 Resumen Diario'!$B$5:$B$504, B4348, '📅 Resumen Diario'!$C$5:$C$504, D4348) * SUMIFS('📅 Resumen Diario'!$K$5:$K$504, '📅 Resumen Diario'!$B$5:$B$504, B4348, '📅 Resumen Diario'!$C$5:$C$504, D4348), 0))</f>
        <v/>
      </c>
      <c r="M4348" s="31" t="str">
        <f t="shared" si="472"/>
        <v/>
      </c>
      <c r="N4348" s="31" t="str">
        <f t="shared" si="473"/>
        <v/>
      </c>
      <c r="O4348" s="31" t="str">
        <f>IF(OR(B4348="",C4348=""),"",K4348-N4348 + IFERROR(E4348 / SUMIFS('📅 Resumen Diario'!$D$5:$D$504, '📅 Resumen Diario'!$B$5:$B$504, B4348, '📅 Resumen Diario'!$C$5:$C$504, D4348) * (SUMIFS('📋 Detalle Diario'!$E$5:$E$489, '📋 Detalle Diario'!$B$5:$B$489, B4348, '📋 Detalle Diario'!$C$5:$C$489, D4348) * 135 + SUMIFS('📋 Detalle Diario'!$I$5:$I$489, '📋 Detalle Diario'!$B$5:$B$489, B4348, '📋 Detalle Diario'!$C$5:$C$489, D4348) * 200), 0))</f>
        <v/>
      </c>
      <c r="P4348" s="32" t="str">
        <f t="shared" si="474"/>
        <v/>
      </c>
      <c r="Q4348" s="33" t="str">
        <f t="shared" si="475"/>
        <v/>
      </c>
    </row>
    <row r="4349" spans="2:17" ht="18" customHeight="1" x14ac:dyDescent="0.3">
      <c r="B4349" s="26"/>
      <c r="C4349" s="28"/>
      <c r="D4349" s="27"/>
      <c r="E4349" s="29"/>
      <c r="F4349" s="29"/>
      <c r="G4349" s="29"/>
      <c r="H4349" s="30" t="str">
        <f t="shared" si="469"/>
        <v/>
      </c>
      <c r="I4349" s="31" t="str">
        <f>IF(OR(B4349="",C4349=""),"",IFERROR(E4349*IF(E4349="",0,VLOOKUP(C4349,'📦 Precios Proforma'!$B$5:$D$104,IF(D4349="DIA",2,3),FALSE)),0))</f>
        <v/>
      </c>
      <c r="J4349" s="31" t="str">
        <f t="shared" si="470"/>
        <v/>
      </c>
      <c r="K4349" s="31" t="str">
        <f t="shared" si="471"/>
        <v/>
      </c>
      <c r="L4349" s="31" t="str">
        <f>IF(OR(B4349="",C4349=""),"",IFERROR(E4349 / SUMIFS('📅 Resumen Diario'!$D$5:$D$504, '📅 Resumen Diario'!$B$5:$B$504, B4349, '📅 Resumen Diario'!$C$5:$C$504, D4349) * SUMIFS('📅 Resumen Diario'!$K$5:$K$504, '📅 Resumen Diario'!$B$5:$B$504, B4349, '📅 Resumen Diario'!$C$5:$C$504, D4349), 0))</f>
        <v/>
      </c>
      <c r="M4349" s="31" t="str">
        <f t="shared" si="472"/>
        <v/>
      </c>
      <c r="N4349" s="31" t="str">
        <f t="shared" si="473"/>
        <v/>
      </c>
      <c r="O4349" s="31" t="str">
        <f>IF(OR(B4349="",C4349=""),"",K4349-N4349 + IFERROR(E4349 / SUMIFS('📅 Resumen Diario'!$D$5:$D$504, '📅 Resumen Diario'!$B$5:$B$504, B4349, '📅 Resumen Diario'!$C$5:$C$504, D4349) * (SUMIFS('📋 Detalle Diario'!$E$5:$E$489, '📋 Detalle Diario'!$B$5:$B$489, B4349, '📋 Detalle Diario'!$C$5:$C$489, D4349) * 135 + SUMIFS('📋 Detalle Diario'!$I$5:$I$489, '📋 Detalle Diario'!$B$5:$B$489, B4349, '📋 Detalle Diario'!$C$5:$C$489, D4349) * 200), 0))</f>
        <v/>
      </c>
      <c r="P4349" s="32" t="str">
        <f t="shared" si="474"/>
        <v/>
      </c>
      <c r="Q4349" s="33" t="str">
        <f t="shared" si="475"/>
        <v/>
      </c>
    </row>
    <row r="4350" spans="2:17" ht="18" customHeight="1" x14ac:dyDescent="0.3">
      <c r="B4350" s="26"/>
      <c r="C4350" s="17"/>
      <c r="D4350" s="27"/>
      <c r="E4350" s="18"/>
      <c r="F4350" s="18"/>
      <c r="G4350" s="18"/>
      <c r="H4350" s="30" t="str">
        <f t="shared" si="469"/>
        <v/>
      </c>
      <c r="I4350" s="31" t="str">
        <f>IF(OR(B4350="",C4350=""),"",IFERROR(E4350*IF(E4350="",0,VLOOKUP(C4350,'📦 Precios Proforma'!$B$5:$D$104,IF(D4350="DIA",2,3),FALSE)),0))</f>
        <v/>
      </c>
      <c r="J4350" s="31" t="str">
        <f t="shared" si="470"/>
        <v/>
      </c>
      <c r="K4350" s="31" t="str">
        <f t="shared" si="471"/>
        <v/>
      </c>
      <c r="L4350" s="31" t="str">
        <f>IF(OR(B4350="",C4350=""),"",IFERROR(E4350 / SUMIFS('📅 Resumen Diario'!$D$5:$D$504, '📅 Resumen Diario'!$B$5:$B$504, B4350, '📅 Resumen Diario'!$C$5:$C$504, D4350) * SUMIFS('📅 Resumen Diario'!$K$5:$K$504, '📅 Resumen Diario'!$B$5:$B$504, B4350, '📅 Resumen Diario'!$C$5:$C$504, D4350), 0))</f>
        <v/>
      </c>
      <c r="M4350" s="31" t="str">
        <f t="shared" si="472"/>
        <v/>
      </c>
      <c r="N4350" s="31" t="str">
        <f t="shared" si="473"/>
        <v/>
      </c>
      <c r="O4350" s="31" t="str">
        <f>IF(OR(B4350="",C4350=""),"",K4350-N4350 + IFERROR(E4350 / SUMIFS('📅 Resumen Diario'!$D$5:$D$504, '📅 Resumen Diario'!$B$5:$B$504, B4350, '📅 Resumen Diario'!$C$5:$C$504, D4350) * (SUMIFS('📋 Detalle Diario'!$E$5:$E$489, '📋 Detalle Diario'!$B$5:$B$489, B4350, '📋 Detalle Diario'!$C$5:$C$489, D4350) * 135 + SUMIFS('📋 Detalle Diario'!$I$5:$I$489, '📋 Detalle Diario'!$B$5:$B$489, B4350, '📋 Detalle Diario'!$C$5:$C$489, D4350) * 200), 0))</f>
        <v/>
      </c>
      <c r="P4350" s="32" t="str">
        <f t="shared" si="474"/>
        <v/>
      </c>
      <c r="Q4350" s="33" t="str">
        <f t="shared" si="475"/>
        <v/>
      </c>
    </row>
    <row r="4351" spans="2:17" ht="18" customHeight="1" x14ac:dyDescent="0.3">
      <c r="B4351" s="26"/>
      <c r="C4351" s="28"/>
      <c r="D4351" s="27"/>
      <c r="E4351" s="29"/>
      <c r="F4351" s="29"/>
      <c r="G4351" s="29"/>
      <c r="H4351" s="30" t="str">
        <f t="shared" si="469"/>
        <v/>
      </c>
      <c r="I4351" s="31" t="str">
        <f>IF(OR(B4351="",C4351=""),"",IFERROR(E4351*IF(E4351="",0,VLOOKUP(C4351,'📦 Precios Proforma'!$B$5:$D$104,IF(D4351="DIA",2,3),FALSE)),0))</f>
        <v/>
      </c>
      <c r="J4351" s="31" t="str">
        <f t="shared" si="470"/>
        <v/>
      </c>
      <c r="K4351" s="31" t="str">
        <f t="shared" si="471"/>
        <v/>
      </c>
      <c r="L4351" s="31" t="str">
        <f>IF(OR(B4351="",C4351=""),"",IFERROR(E4351 / SUMIFS('📅 Resumen Diario'!$D$5:$D$504, '📅 Resumen Diario'!$B$5:$B$504, B4351, '📅 Resumen Diario'!$C$5:$C$504, D4351) * SUMIFS('📅 Resumen Diario'!$K$5:$K$504, '📅 Resumen Diario'!$B$5:$B$504, B4351, '📅 Resumen Diario'!$C$5:$C$504, D4351), 0))</f>
        <v/>
      </c>
      <c r="M4351" s="31" t="str">
        <f t="shared" si="472"/>
        <v/>
      </c>
      <c r="N4351" s="31" t="str">
        <f t="shared" si="473"/>
        <v/>
      </c>
      <c r="O4351" s="31" t="str">
        <f>IF(OR(B4351="",C4351=""),"",K4351-N4351 + IFERROR(E4351 / SUMIFS('📅 Resumen Diario'!$D$5:$D$504, '📅 Resumen Diario'!$B$5:$B$504, B4351, '📅 Resumen Diario'!$C$5:$C$504, D4351) * (SUMIFS('📋 Detalle Diario'!$E$5:$E$489, '📋 Detalle Diario'!$B$5:$B$489, B4351, '📋 Detalle Diario'!$C$5:$C$489, D4351) * 135 + SUMIFS('📋 Detalle Diario'!$I$5:$I$489, '📋 Detalle Diario'!$B$5:$B$489, B4351, '📋 Detalle Diario'!$C$5:$C$489, D4351) * 200), 0))</f>
        <v/>
      </c>
      <c r="P4351" s="32" t="str">
        <f t="shared" si="474"/>
        <v/>
      </c>
      <c r="Q4351" s="33" t="str">
        <f t="shared" si="475"/>
        <v/>
      </c>
    </row>
    <row r="4352" spans="2:17" ht="18" customHeight="1" x14ac:dyDescent="0.3">
      <c r="B4352" s="26"/>
      <c r="C4352" s="17"/>
      <c r="D4352" s="27"/>
      <c r="E4352" s="18"/>
      <c r="F4352" s="18"/>
      <c r="G4352" s="18"/>
      <c r="H4352" s="30" t="str">
        <f t="shared" si="469"/>
        <v/>
      </c>
      <c r="I4352" s="31" t="str">
        <f>IF(OR(B4352="",C4352=""),"",IFERROR(E4352*IF(E4352="",0,VLOOKUP(C4352,'📦 Precios Proforma'!$B$5:$D$104,IF(D4352="DIA",2,3),FALSE)),0))</f>
        <v/>
      </c>
      <c r="J4352" s="31" t="str">
        <f t="shared" si="470"/>
        <v/>
      </c>
      <c r="K4352" s="31" t="str">
        <f t="shared" si="471"/>
        <v/>
      </c>
      <c r="L4352" s="31" t="str">
        <f>IF(OR(B4352="",C4352=""),"",IFERROR(E4352 / SUMIFS('📅 Resumen Diario'!$D$5:$D$504, '📅 Resumen Diario'!$B$5:$B$504, B4352, '📅 Resumen Diario'!$C$5:$C$504, D4352) * SUMIFS('📅 Resumen Diario'!$K$5:$K$504, '📅 Resumen Diario'!$B$5:$B$504, B4352, '📅 Resumen Diario'!$C$5:$C$504, D4352), 0))</f>
        <v/>
      </c>
      <c r="M4352" s="31" t="str">
        <f t="shared" si="472"/>
        <v/>
      </c>
      <c r="N4352" s="31" t="str">
        <f t="shared" si="473"/>
        <v/>
      </c>
      <c r="O4352" s="31" t="str">
        <f>IF(OR(B4352="",C4352=""),"",K4352-N4352 + IFERROR(E4352 / SUMIFS('📅 Resumen Diario'!$D$5:$D$504, '📅 Resumen Diario'!$B$5:$B$504, B4352, '📅 Resumen Diario'!$C$5:$C$504, D4352) * (SUMIFS('📋 Detalle Diario'!$E$5:$E$489, '📋 Detalle Diario'!$B$5:$B$489, B4352, '📋 Detalle Diario'!$C$5:$C$489, D4352) * 135 + SUMIFS('📋 Detalle Diario'!$I$5:$I$489, '📋 Detalle Diario'!$B$5:$B$489, B4352, '📋 Detalle Diario'!$C$5:$C$489, D4352) * 200), 0))</f>
        <v/>
      </c>
      <c r="P4352" s="32" t="str">
        <f t="shared" si="474"/>
        <v/>
      </c>
      <c r="Q4352" s="33" t="str">
        <f t="shared" si="475"/>
        <v/>
      </c>
    </row>
    <row r="4353" spans="2:17" ht="18" customHeight="1" x14ac:dyDescent="0.3">
      <c r="B4353" s="26"/>
      <c r="C4353" s="28"/>
      <c r="D4353" s="27"/>
      <c r="E4353" s="29"/>
      <c r="F4353" s="29"/>
      <c r="G4353" s="29"/>
      <c r="H4353" s="30" t="str">
        <f t="shared" si="469"/>
        <v/>
      </c>
      <c r="I4353" s="31" t="str">
        <f>IF(OR(B4353="",C4353=""),"",IFERROR(E4353*IF(E4353="",0,VLOOKUP(C4353,'📦 Precios Proforma'!$B$5:$D$104,IF(D4353="DIA",2,3),FALSE)),0))</f>
        <v/>
      </c>
      <c r="J4353" s="31" t="str">
        <f t="shared" si="470"/>
        <v/>
      </c>
      <c r="K4353" s="31" t="str">
        <f t="shared" si="471"/>
        <v/>
      </c>
      <c r="L4353" s="31" t="str">
        <f>IF(OR(B4353="",C4353=""),"",IFERROR(E4353 / SUMIFS('📅 Resumen Diario'!$D$5:$D$504, '📅 Resumen Diario'!$B$5:$B$504, B4353, '📅 Resumen Diario'!$C$5:$C$504, D4353) * SUMIFS('📅 Resumen Diario'!$K$5:$K$504, '📅 Resumen Diario'!$B$5:$B$504, B4353, '📅 Resumen Diario'!$C$5:$C$504, D4353), 0))</f>
        <v/>
      </c>
      <c r="M4353" s="31" t="str">
        <f t="shared" si="472"/>
        <v/>
      </c>
      <c r="N4353" s="31" t="str">
        <f t="shared" si="473"/>
        <v/>
      </c>
      <c r="O4353" s="31" t="str">
        <f>IF(OR(B4353="",C4353=""),"",K4353-N4353 + IFERROR(E4353 / SUMIFS('📅 Resumen Diario'!$D$5:$D$504, '📅 Resumen Diario'!$B$5:$B$504, B4353, '📅 Resumen Diario'!$C$5:$C$504, D4353) * (SUMIFS('📋 Detalle Diario'!$E$5:$E$489, '📋 Detalle Diario'!$B$5:$B$489, B4353, '📋 Detalle Diario'!$C$5:$C$489, D4353) * 135 + SUMIFS('📋 Detalle Diario'!$I$5:$I$489, '📋 Detalle Diario'!$B$5:$B$489, B4353, '📋 Detalle Diario'!$C$5:$C$489, D4353) * 200), 0))</f>
        <v/>
      </c>
      <c r="P4353" s="32" t="str">
        <f t="shared" si="474"/>
        <v/>
      </c>
      <c r="Q4353" s="33" t="str">
        <f t="shared" si="475"/>
        <v/>
      </c>
    </row>
    <row r="4354" spans="2:17" ht="18" customHeight="1" x14ac:dyDescent="0.3">
      <c r="B4354" s="26"/>
      <c r="C4354" s="17"/>
      <c r="D4354" s="27"/>
      <c r="E4354" s="18"/>
      <c r="F4354" s="18"/>
      <c r="G4354" s="18"/>
      <c r="H4354" s="30" t="str">
        <f t="shared" si="469"/>
        <v/>
      </c>
      <c r="I4354" s="31" t="str">
        <f>IF(OR(B4354="",C4354=""),"",IFERROR(E4354*IF(E4354="",0,VLOOKUP(C4354,'📦 Precios Proforma'!$B$5:$D$104,IF(D4354="DIA",2,3),FALSE)),0))</f>
        <v/>
      </c>
      <c r="J4354" s="31" t="str">
        <f t="shared" si="470"/>
        <v/>
      </c>
      <c r="K4354" s="31" t="str">
        <f t="shared" si="471"/>
        <v/>
      </c>
      <c r="L4354" s="31" t="str">
        <f>IF(OR(B4354="",C4354=""),"",IFERROR(E4354 / SUMIFS('📅 Resumen Diario'!$D$5:$D$504, '📅 Resumen Diario'!$B$5:$B$504, B4354, '📅 Resumen Diario'!$C$5:$C$504, D4354) * SUMIFS('📅 Resumen Diario'!$K$5:$K$504, '📅 Resumen Diario'!$B$5:$B$504, B4354, '📅 Resumen Diario'!$C$5:$C$504, D4354), 0))</f>
        <v/>
      </c>
      <c r="M4354" s="31" t="str">
        <f t="shared" si="472"/>
        <v/>
      </c>
      <c r="N4354" s="31" t="str">
        <f t="shared" si="473"/>
        <v/>
      </c>
      <c r="O4354" s="31" t="str">
        <f>IF(OR(B4354="",C4354=""),"",K4354-N4354 + IFERROR(E4354 / SUMIFS('📅 Resumen Diario'!$D$5:$D$504, '📅 Resumen Diario'!$B$5:$B$504, B4354, '📅 Resumen Diario'!$C$5:$C$504, D4354) * (SUMIFS('📋 Detalle Diario'!$E$5:$E$489, '📋 Detalle Diario'!$B$5:$B$489, B4354, '📋 Detalle Diario'!$C$5:$C$489, D4354) * 135 + SUMIFS('📋 Detalle Diario'!$I$5:$I$489, '📋 Detalle Diario'!$B$5:$B$489, B4354, '📋 Detalle Diario'!$C$5:$C$489, D4354) * 200), 0))</f>
        <v/>
      </c>
      <c r="P4354" s="32" t="str">
        <f t="shared" si="474"/>
        <v/>
      </c>
      <c r="Q4354" s="33" t="str">
        <f t="shared" si="475"/>
        <v/>
      </c>
    </row>
    <row r="4355" spans="2:17" ht="18" customHeight="1" x14ac:dyDescent="0.3">
      <c r="B4355" s="26"/>
      <c r="C4355" s="28"/>
      <c r="D4355" s="27"/>
      <c r="E4355" s="29"/>
      <c r="F4355" s="29"/>
      <c r="G4355" s="29"/>
      <c r="H4355" s="30" t="str">
        <f t="shared" si="469"/>
        <v/>
      </c>
      <c r="I4355" s="31" t="str">
        <f>IF(OR(B4355="",C4355=""),"",IFERROR(E4355*IF(E4355="",0,VLOOKUP(C4355,'📦 Precios Proforma'!$B$5:$D$104,IF(D4355="DIA",2,3),FALSE)),0))</f>
        <v/>
      </c>
      <c r="J4355" s="31" t="str">
        <f t="shared" si="470"/>
        <v/>
      </c>
      <c r="K4355" s="31" t="str">
        <f t="shared" si="471"/>
        <v/>
      </c>
      <c r="L4355" s="31" t="str">
        <f>IF(OR(B4355="",C4355=""),"",IFERROR(E4355 / SUMIFS('📅 Resumen Diario'!$D$5:$D$504, '📅 Resumen Diario'!$B$5:$B$504, B4355, '📅 Resumen Diario'!$C$5:$C$504, D4355) * SUMIFS('📅 Resumen Diario'!$K$5:$K$504, '📅 Resumen Diario'!$B$5:$B$504, B4355, '📅 Resumen Diario'!$C$5:$C$504, D4355), 0))</f>
        <v/>
      </c>
      <c r="M4355" s="31" t="str">
        <f t="shared" si="472"/>
        <v/>
      </c>
      <c r="N4355" s="31" t="str">
        <f t="shared" si="473"/>
        <v/>
      </c>
      <c r="O4355" s="31" t="str">
        <f>IF(OR(B4355="",C4355=""),"",K4355-N4355 + IFERROR(E4355 / SUMIFS('📅 Resumen Diario'!$D$5:$D$504, '📅 Resumen Diario'!$B$5:$B$504, B4355, '📅 Resumen Diario'!$C$5:$C$504, D4355) * (SUMIFS('📋 Detalle Diario'!$E$5:$E$489, '📋 Detalle Diario'!$B$5:$B$489, B4355, '📋 Detalle Diario'!$C$5:$C$489, D4355) * 135 + SUMIFS('📋 Detalle Diario'!$I$5:$I$489, '📋 Detalle Diario'!$B$5:$B$489, B4355, '📋 Detalle Diario'!$C$5:$C$489, D4355) * 200), 0))</f>
        <v/>
      </c>
      <c r="P4355" s="32" t="str">
        <f t="shared" si="474"/>
        <v/>
      </c>
      <c r="Q4355" s="33" t="str">
        <f t="shared" si="475"/>
        <v/>
      </c>
    </row>
    <row r="4356" spans="2:17" ht="18" customHeight="1" x14ac:dyDescent="0.3">
      <c r="B4356" s="26"/>
      <c r="C4356" s="17"/>
      <c r="D4356" s="27"/>
      <c r="E4356" s="18"/>
      <c r="F4356" s="18"/>
      <c r="G4356" s="18"/>
      <c r="H4356" s="30" t="str">
        <f t="shared" si="469"/>
        <v/>
      </c>
      <c r="I4356" s="31" t="str">
        <f>IF(OR(B4356="",C4356=""),"",IFERROR(E4356*IF(E4356="",0,VLOOKUP(C4356,'📦 Precios Proforma'!$B$5:$D$104,IF(D4356="DIA",2,3),FALSE)),0))</f>
        <v/>
      </c>
      <c r="J4356" s="31" t="str">
        <f t="shared" si="470"/>
        <v/>
      </c>
      <c r="K4356" s="31" t="str">
        <f t="shared" si="471"/>
        <v/>
      </c>
      <c r="L4356" s="31" t="str">
        <f>IF(OR(B4356="",C4356=""),"",IFERROR(E4356 / SUMIFS('📅 Resumen Diario'!$D$5:$D$504, '📅 Resumen Diario'!$B$5:$B$504, B4356, '📅 Resumen Diario'!$C$5:$C$504, D4356) * SUMIFS('📅 Resumen Diario'!$K$5:$K$504, '📅 Resumen Diario'!$B$5:$B$504, B4356, '📅 Resumen Diario'!$C$5:$C$504, D4356), 0))</f>
        <v/>
      </c>
      <c r="M4356" s="31" t="str">
        <f t="shared" si="472"/>
        <v/>
      </c>
      <c r="N4356" s="31" t="str">
        <f t="shared" si="473"/>
        <v/>
      </c>
      <c r="O4356" s="31" t="str">
        <f>IF(OR(B4356="",C4356=""),"",K4356-N4356 + IFERROR(E4356 / SUMIFS('📅 Resumen Diario'!$D$5:$D$504, '📅 Resumen Diario'!$B$5:$B$504, B4356, '📅 Resumen Diario'!$C$5:$C$504, D4356) * (SUMIFS('📋 Detalle Diario'!$E$5:$E$489, '📋 Detalle Diario'!$B$5:$B$489, B4356, '📋 Detalle Diario'!$C$5:$C$489, D4356) * 135 + SUMIFS('📋 Detalle Diario'!$I$5:$I$489, '📋 Detalle Diario'!$B$5:$B$489, B4356, '📋 Detalle Diario'!$C$5:$C$489, D4356) * 200), 0))</f>
        <v/>
      </c>
      <c r="P4356" s="32" t="str">
        <f t="shared" si="474"/>
        <v/>
      </c>
      <c r="Q4356" s="33" t="str">
        <f t="shared" si="475"/>
        <v/>
      </c>
    </row>
    <row r="4357" spans="2:17" ht="18" customHeight="1" x14ac:dyDescent="0.3">
      <c r="B4357" s="26"/>
      <c r="C4357" s="28"/>
      <c r="D4357" s="27"/>
      <c r="E4357" s="29"/>
      <c r="F4357" s="29"/>
      <c r="G4357" s="29"/>
      <c r="H4357" s="30" t="str">
        <f t="shared" si="469"/>
        <v/>
      </c>
      <c r="I4357" s="31" t="str">
        <f>IF(OR(B4357="",C4357=""),"",IFERROR(E4357*IF(E4357="",0,VLOOKUP(C4357,'📦 Precios Proforma'!$B$5:$D$104,IF(D4357="DIA",2,3),FALSE)),0))</f>
        <v/>
      </c>
      <c r="J4357" s="31" t="str">
        <f t="shared" si="470"/>
        <v/>
      </c>
      <c r="K4357" s="31" t="str">
        <f t="shared" si="471"/>
        <v/>
      </c>
      <c r="L4357" s="31" t="str">
        <f>IF(OR(B4357="",C4357=""),"",IFERROR(E4357 / SUMIFS('📅 Resumen Diario'!$D$5:$D$504, '📅 Resumen Diario'!$B$5:$B$504, B4357, '📅 Resumen Diario'!$C$5:$C$504, D4357) * SUMIFS('📅 Resumen Diario'!$K$5:$K$504, '📅 Resumen Diario'!$B$5:$B$504, B4357, '📅 Resumen Diario'!$C$5:$C$504, D4357), 0))</f>
        <v/>
      </c>
      <c r="M4357" s="31" t="str">
        <f t="shared" si="472"/>
        <v/>
      </c>
      <c r="N4357" s="31" t="str">
        <f t="shared" si="473"/>
        <v/>
      </c>
      <c r="O4357" s="31" t="str">
        <f>IF(OR(B4357="",C4357=""),"",K4357-N4357 + IFERROR(E4357 / SUMIFS('📅 Resumen Diario'!$D$5:$D$504, '📅 Resumen Diario'!$B$5:$B$504, B4357, '📅 Resumen Diario'!$C$5:$C$504, D4357) * (SUMIFS('📋 Detalle Diario'!$E$5:$E$489, '📋 Detalle Diario'!$B$5:$B$489, B4357, '📋 Detalle Diario'!$C$5:$C$489, D4357) * 135 + SUMIFS('📋 Detalle Diario'!$I$5:$I$489, '📋 Detalle Diario'!$B$5:$B$489, B4357, '📋 Detalle Diario'!$C$5:$C$489, D4357) * 200), 0))</f>
        <v/>
      </c>
      <c r="P4357" s="32" t="str">
        <f t="shared" si="474"/>
        <v/>
      </c>
      <c r="Q4357" s="33" t="str">
        <f t="shared" si="475"/>
        <v/>
      </c>
    </row>
    <row r="4358" spans="2:17" ht="18" customHeight="1" x14ac:dyDescent="0.3">
      <c r="B4358" s="26"/>
      <c r="C4358" s="17"/>
      <c r="D4358" s="27"/>
      <c r="E4358" s="18"/>
      <c r="F4358" s="18"/>
      <c r="G4358" s="18"/>
      <c r="H4358" s="30" t="str">
        <f t="shared" si="469"/>
        <v/>
      </c>
      <c r="I4358" s="31" t="str">
        <f>IF(OR(B4358="",C4358=""),"",IFERROR(E4358*IF(E4358="",0,VLOOKUP(C4358,'📦 Precios Proforma'!$B$5:$D$104,IF(D4358="DIA",2,3),FALSE)),0))</f>
        <v/>
      </c>
      <c r="J4358" s="31" t="str">
        <f t="shared" si="470"/>
        <v/>
      </c>
      <c r="K4358" s="31" t="str">
        <f t="shared" si="471"/>
        <v/>
      </c>
      <c r="L4358" s="31" t="str">
        <f>IF(OR(B4358="",C4358=""),"",IFERROR(E4358 / SUMIFS('📅 Resumen Diario'!$D$5:$D$504, '📅 Resumen Diario'!$B$5:$B$504, B4358, '📅 Resumen Diario'!$C$5:$C$504, D4358) * SUMIFS('📅 Resumen Diario'!$K$5:$K$504, '📅 Resumen Diario'!$B$5:$B$504, B4358, '📅 Resumen Diario'!$C$5:$C$504, D4358), 0))</f>
        <v/>
      </c>
      <c r="M4358" s="31" t="str">
        <f t="shared" si="472"/>
        <v/>
      </c>
      <c r="N4358" s="31" t="str">
        <f t="shared" si="473"/>
        <v/>
      </c>
      <c r="O4358" s="31" t="str">
        <f>IF(OR(B4358="",C4358=""),"",K4358-N4358 + IFERROR(E4358 / SUMIFS('📅 Resumen Diario'!$D$5:$D$504, '📅 Resumen Diario'!$B$5:$B$504, B4358, '📅 Resumen Diario'!$C$5:$C$504, D4358) * (SUMIFS('📋 Detalle Diario'!$E$5:$E$489, '📋 Detalle Diario'!$B$5:$B$489, B4358, '📋 Detalle Diario'!$C$5:$C$489, D4358) * 135 + SUMIFS('📋 Detalle Diario'!$I$5:$I$489, '📋 Detalle Diario'!$B$5:$B$489, B4358, '📋 Detalle Diario'!$C$5:$C$489, D4358) * 200), 0))</f>
        <v/>
      </c>
      <c r="P4358" s="32" t="str">
        <f t="shared" si="474"/>
        <v/>
      </c>
      <c r="Q4358" s="33" t="str">
        <f t="shared" si="475"/>
        <v/>
      </c>
    </row>
    <row r="4359" spans="2:17" ht="18" customHeight="1" x14ac:dyDescent="0.3">
      <c r="B4359" s="26"/>
      <c r="C4359" s="28"/>
      <c r="D4359" s="27"/>
      <c r="E4359" s="29"/>
      <c r="F4359" s="29"/>
      <c r="G4359" s="29"/>
      <c r="H4359" s="30" t="str">
        <f t="shared" ref="H4359:H4422" si="476">IF(OR(B4359="",C4359=""),"",F4359+G4359)</f>
        <v/>
      </c>
      <c r="I4359" s="31" t="str">
        <f>IF(OR(B4359="",C4359=""),"",IFERROR(E4359*IF(E4359="",0,VLOOKUP(C4359,'📦 Precios Proforma'!$B$5:$D$104,IF(D4359="DIA",2,3),FALSE)),0))</f>
        <v/>
      </c>
      <c r="J4359" s="31" t="str">
        <f t="shared" ref="J4359:J4422" si="477">IF(OR(B4359="",C4359=""),"",IF(D4359="DIA",H4359*1.01,H4359*1.35))</f>
        <v/>
      </c>
      <c r="K4359" s="31" t="str">
        <f t="shared" ref="K4359:K4422" si="478">IF(OR(B4359="",C4359=""),"",I4359+J4359)</f>
        <v/>
      </c>
      <c r="L4359" s="31" t="str">
        <f>IF(OR(B4359="",C4359=""),"",IFERROR(E4359 / SUMIFS('📅 Resumen Diario'!$D$5:$D$504, '📅 Resumen Diario'!$B$5:$B$504, B4359, '📅 Resumen Diario'!$C$5:$C$504, D4359) * SUMIFS('📅 Resumen Diario'!$K$5:$K$504, '📅 Resumen Diario'!$B$5:$B$504, B4359, '📅 Resumen Diario'!$C$5:$C$504, D4359), 0))</f>
        <v/>
      </c>
      <c r="M4359" s="31" t="str">
        <f t="shared" ref="M4359:M4422" si="479">IF(OR(B4359="",C4359=""),"",H4359*0.09)</f>
        <v/>
      </c>
      <c r="N4359" s="31" t="str">
        <f t="shared" ref="N4359:N4422" si="480">IF(OR(B4359="",C4359=""),"",L4359+M4359)</f>
        <v/>
      </c>
      <c r="O4359" s="31" t="str">
        <f>IF(OR(B4359="",C4359=""),"",K4359-N4359 + IFERROR(E4359 / SUMIFS('📅 Resumen Diario'!$D$5:$D$504, '📅 Resumen Diario'!$B$5:$B$504, B4359, '📅 Resumen Diario'!$C$5:$C$504, D4359) * (SUMIFS('📋 Detalle Diario'!$E$5:$E$489, '📋 Detalle Diario'!$B$5:$B$489, B4359, '📋 Detalle Diario'!$C$5:$C$489, D4359) * 135 + SUMIFS('📋 Detalle Diario'!$I$5:$I$489, '📋 Detalle Diario'!$B$5:$B$489, B4359, '📋 Detalle Diario'!$C$5:$C$489, D4359) * 200), 0))</f>
        <v/>
      </c>
      <c r="P4359" s="32" t="str">
        <f t="shared" ref="P4359:P4422" si="481">IF(OR(B4359="",C4359=""),"",IF(K4359=0, 0, O4359/K4359))</f>
        <v/>
      </c>
      <c r="Q4359" s="33" t="str">
        <f t="shared" ref="Q4359:Q4422" si="482">IF(B4359="","",IF(ISNUMBER(B4359),YEAR(B4359)&amp;"-"&amp;IF(MONTH(B4359)&lt;10,"0","")&amp;MONTH(B4359),LEFT(B4359,7)))</f>
        <v/>
      </c>
    </row>
    <row r="4360" spans="2:17" ht="18" customHeight="1" x14ac:dyDescent="0.3">
      <c r="B4360" s="26"/>
      <c r="C4360" s="17"/>
      <c r="D4360" s="27"/>
      <c r="E4360" s="18"/>
      <c r="F4360" s="18"/>
      <c r="G4360" s="18"/>
      <c r="H4360" s="30" t="str">
        <f t="shared" si="476"/>
        <v/>
      </c>
      <c r="I4360" s="31" t="str">
        <f>IF(OR(B4360="",C4360=""),"",IFERROR(E4360*IF(E4360="",0,VLOOKUP(C4360,'📦 Precios Proforma'!$B$5:$D$104,IF(D4360="DIA",2,3),FALSE)),0))</f>
        <v/>
      </c>
      <c r="J4360" s="31" t="str">
        <f t="shared" si="477"/>
        <v/>
      </c>
      <c r="K4360" s="31" t="str">
        <f t="shared" si="478"/>
        <v/>
      </c>
      <c r="L4360" s="31" t="str">
        <f>IF(OR(B4360="",C4360=""),"",IFERROR(E4360 / SUMIFS('📅 Resumen Diario'!$D$5:$D$504, '📅 Resumen Diario'!$B$5:$B$504, B4360, '📅 Resumen Diario'!$C$5:$C$504, D4360) * SUMIFS('📅 Resumen Diario'!$K$5:$K$504, '📅 Resumen Diario'!$B$5:$B$504, B4360, '📅 Resumen Diario'!$C$5:$C$504, D4360), 0))</f>
        <v/>
      </c>
      <c r="M4360" s="31" t="str">
        <f t="shared" si="479"/>
        <v/>
      </c>
      <c r="N4360" s="31" t="str">
        <f t="shared" si="480"/>
        <v/>
      </c>
      <c r="O4360" s="31" t="str">
        <f>IF(OR(B4360="",C4360=""),"",K4360-N4360 + IFERROR(E4360 / SUMIFS('📅 Resumen Diario'!$D$5:$D$504, '📅 Resumen Diario'!$B$5:$B$504, B4360, '📅 Resumen Diario'!$C$5:$C$504, D4360) * (SUMIFS('📋 Detalle Diario'!$E$5:$E$489, '📋 Detalle Diario'!$B$5:$B$489, B4360, '📋 Detalle Diario'!$C$5:$C$489, D4360) * 135 + SUMIFS('📋 Detalle Diario'!$I$5:$I$489, '📋 Detalle Diario'!$B$5:$B$489, B4360, '📋 Detalle Diario'!$C$5:$C$489, D4360) * 200), 0))</f>
        <v/>
      </c>
      <c r="P4360" s="32" t="str">
        <f t="shared" si="481"/>
        <v/>
      </c>
      <c r="Q4360" s="33" t="str">
        <f t="shared" si="482"/>
        <v/>
      </c>
    </row>
    <row r="4361" spans="2:17" ht="18" customHeight="1" x14ac:dyDescent="0.3">
      <c r="B4361" s="26"/>
      <c r="C4361" s="28"/>
      <c r="D4361" s="27"/>
      <c r="E4361" s="29"/>
      <c r="F4361" s="29"/>
      <c r="G4361" s="29"/>
      <c r="H4361" s="30" t="str">
        <f t="shared" si="476"/>
        <v/>
      </c>
      <c r="I4361" s="31" t="str">
        <f>IF(OR(B4361="",C4361=""),"",IFERROR(E4361*IF(E4361="",0,VLOOKUP(C4361,'📦 Precios Proforma'!$B$5:$D$104,IF(D4361="DIA",2,3),FALSE)),0))</f>
        <v/>
      </c>
      <c r="J4361" s="31" t="str">
        <f t="shared" si="477"/>
        <v/>
      </c>
      <c r="K4361" s="31" t="str">
        <f t="shared" si="478"/>
        <v/>
      </c>
      <c r="L4361" s="31" t="str">
        <f>IF(OR(B4361="",C4361=""),"",IFERROR(E4361 / SUMIFS('📅 Resumen Diario'!$D$5:$D$504, '📅 Resumen Diario'!$B$5:$B$504, B4361, '📅 Resumen Diario'!$C$5:$C$504, D4361) * SUMIFS('📅 Resumen Diario'!$K$5:$K$504, '📅 Resumen Diario'!$B$5:$B$504, B4361, '📅 Resumen Diario'!$C$5:$C$504, D4361), 0))</f>
        <v/>
      </c>
      <c r="M4361" s="31" t="str">
        <f t="shared" si="479"/>
        <v/>
      </c>
      <c r="N4361" s="31" t="str">
        <f t="shared" si="480"/>
        <v/>
      </c>
      <c r="O4361" s="31" t="str">
        <f>IF(OR(B4361="",C4361=""),"",K4361-N4361 + IFERROR(E4361 / SUMIFS('📅 Resumen Diario'!$D$5:$D$504, '📅 Resumen Diario'!$B$5:$B$504, B4361, '📅 Resumen Diario'!$C$5:$C$504, D4361) * (SUMIFS('📋 Detalle Diario'!$E$5:$E$489, '📋 Detalle Diario'!$B$5:$B$489, B4361, '📋 Detalle Diario'!$C$5:$C$489, D4361) * 135 + SUMIFS('📋 Detalle Diario'!$I$5:$I$489, '📋 Detalle Diario'!$B$5:$B$489, B4361, '📋 Detalle Diario'!$C$5:$C$489, D4361) * 200), 0))</f>
        <v/>
      </c>
      <c r="P4361" s="32" t="str">
        <f t="shared" si="481"/>
        <v/>
      </c>
      <c r="Q4361" s="33" t="str">
        <f t="shared" si="482"/>
        <v/>
      </c>
    </row>
    <row r="4362" spans="2:17" ht="18" customHeight="1" x14ac:dyDescent="0.3">
      <c r="B4362" s="26"/>
      <c r="C4362" s="17"/>
      <c r="D4362" s="27"/>
      <c r="E4362" s="18"/>
      <c r="F4362" s="18"/>
      <c r="G4362" s="18"/>
      <c r="H4362" s="30" t="str">
        <f t="shared" si="476"/>
        <v/>
      </c>
      <c r="I4362" s="31" t="str">
        <f>IF(OR(B4362="",C4362=""),"",IFERROR(E4362*IF(E4362="",0,VLOOKUP(C4362,'📦 Precios Proforma'!$B$5:$D$104,IF(D4362="DIA",2,3),FALSE)),0))</f>
        <v/>
      </c>
      <c r="J4362" s="31" t="str">
        <f t="shared" si="477"/>
        <v/>
      </c>
      <c r="K4362" s="31" t="str">
        <f t="shared" si="478"/>
        <v/>
      </c>
      <c r="L4362" s="31" t="str">
        <f>IF(OR(B4362="",C4362=""),"",IFERROR(E4362 / SUMIFS('📅 Resumen Diario'!$D$5:$D$504, '📅 Resumen Diario'!$B$5:$B$504, B4362, '📅 Resumen Diario'!$C$5:$C$504, D4362) * SUMIFS('📅 Resumen Diario'!$K$5:$K$504, '📅 Resumen Diario'!$B$5:$B$504, B4362, '📅 Resumen Diario'!$C$5:$C$504, D4362), 0))</f>
        <v/>
      </c>
      <c r="M4362" s="31" t="str">
        <f t="shared" si="479"/>
        <v/>
      </c>
      <c r="N4362" s="31" t="str">
        <f t="shared" si="480"/>
        <v/>
      </c>
      <c r="O4362" s="31" t="str">
        <f>IF(OR(B4362="",C4362=""),"",K4362-N4362 + IFERROR(E4362 / SUMIFS('📅 Resumen Diario'!$D$5:$D$504, '📅 Resumen Diario'!$B$5:$B$504, B4362, '📅 Resumen Diario'!$C$5:$C$504, D4362) * (SUMIFS('📋 Detalle Diario'!$E$5:$E$489, '📋 Detalle Diario'!$B$5:$B$489, B4362, '📋 Detalle Diario'!$C$5:$C$489, D4362) * 135 + SUMIFS('📋 Detalle Diario'!$I$5:$I$489, '📋 Detalle Diario'!$B$5:$B$489, B4362, '📋 Detalle Diario'!$C$5:$C$489, D4362) * 200), 0))</f>
        <v/>
      </c>
      <c r="P4362" s="32" t="str">
        <f t="shared" si="481"/>
        <v/>
      </c>
      <c r="Q4362" s="33" t="str">
        <f t="shared" si="482"/>
        <v/>
      </c>
    </row>
    <row r="4363" spans="2:17" ht="18" customHeight="1" x14ac:dyDescent="0.3">
      <c r="B4363" s="26"/>
      <c r="C4363" s="28"/>
      <c r="D4363" s="27"/>
      <c r="E4363" s="29"/>
      <c r="F4363" s="29"/>
      <c r="G4363" s="29"/>
      <c r="H4363" s="30" t="str">
        <f t="shared" si="476"/>
        <v/>
      </c>
      <c r="I4363" s="31" t="str">
        <f>IF(OR(B4363="",C4363=""),"",IFERROR(E4363*IF(E4363="",0,VLOOKUP(C4363,'📦 Precios Proforma'!$B$5:$D$104,IF(D4363="DIA",2,3),FALSE)),0))</f>
        <v/>
      </c>
      <c r="J4363" s="31" t="str">
        <f t="shared" si="477"/>
        <v/>
      </c>
      <c r="K4363" s="31" t="str">
        <f t="shared" si="478"/>
        <v/>
      </c>
      <c r="L4363" s="31" t="str">
        <f>IF(OR(B4363="",C4363=""),"",IFERROR(E4363 / SUMIFS('📅 Resumen Diario'!$D$5:$D$504, '📅 Resumen Diario'!$B$5:$B$504, B4363, '📅 Resumen Diario'!$C$5:$C$504, D4363) * SUMIFS('📅 Resumen Diario'!$K$5:$K$504, '📅 Resumen Diario'!$B$5:$B$504, B4363, '📅 Resumen Diario'!$C$5:$C$504, D4363), 0))</f>
        <v/>
      </c>
      <c r="M4363" s="31" t="str">
        <f t="shared" si="479"/>
        <v/>
      </c>
      <c r="N4363" s="31" t="str">
        <f t="shared" si="480"/>
        <v/>
      </c>
      <c r="O4363" s="31" t="str">
        <f>IF(OR(B4363="",C4363=""),"",K4363-N4363 + IFERROR(E4363 / SUMIFS('📅 Resumen Diario'!$D$5:$D$504, '📅 Resumen Diario'!$B$5:$B$504, B4363, '📅 Resumen Diario'!$C$5:$C$504, D4363) * (SUMIFS('📋 Detalle Diario'!$E$5:$E$489, '📋 Detalle Diario'!$B$5:$B$489, B4363, '📋 Detalle Diario'!$C$5:$C$489, D4363) * 135 + SUMIFS('📋 Detalle Diario'!$I$5:$I$489, '📋 Detalle Diario'!$B$5:$B$489, B4363, '📋 Detalle Diario'!$C$5:$C$489, D4363) * 200), 0))</f>
        <v/>
      </c>
      <c r="P4363" s="32" t="str">
        <f t="shared" si="481"/>
        <v/>
      </c>
      <c r="Q4363" s="33" t="str">
        <f t="shared" si="482"/>
        <v/>
      </c>
    </row>
    <row r="4364" spans="2:17" ht="18" customHeight="1" x14ac:dyDescent="0.3">
      <c r="B4364" s="26"/>
      <c r="C4364" s="17"/>
      <c r="D4364" s="27"/>
      <c r="E4364" s="18"/>
      <c r="F4364" s="18"/>
      <c r="G4364" s="18"/>
      <c r="H4364" s="30" t="str">
        <f t="shared" si="476"/>
        <v/>
      </c>
      <c r="I4364" s="31" t="str">
        <f>IF(OR(B4364="",C4364=""),"",IFERROR(E4364*IF(E4364="",0,VLOOKUP(C4364,'📦 Precios Proforma'!$B$5:$D$104,IF(D4364="DIA",2,3),FALSE)),0))</f>
        <v/>
      </c>
      <c r="J4364" s="31" t="str">
        <f t="shared" si="477"/>
        <v/>
      </c>
      <c r="K4364" s="31" t="str">
        <f t="shared" si="478"/>
        <v/>
      </c>
      <c r="L4364" s="31" t="str">
        <f>IF(OR(B4364="",C4364=""),"",IFERROR(E4364 / SUMIFS('📅 Resumen Diario'!$D$5:$D$504, '📅 Resumen Diario'!$B$5:$B$504, B4364, '📅 Resumen Diario'!$C$5:$C$504, D4364) * SUMIFS('📅 Resumen Diario'!$K$5:$K$504, '📅 Resumen Diario'!$B$5:$B$504, B4364, '📅 Resumen Diario'!$C$5:$C$504, D4364), 0))</f>
        <v/>
      </c>
      <c r="M4364" s="31" t="str">
        <f t="shared" si="479"/>
        <v/>
      </c>
      <c r="N4364" s="31" t="str">
        <f t="shared" si="480"/>
        <v/>
      </c>
      <c r="O4364" s="31" t="str">
        <f>IF(OR(B4364="",C4364=""),"",K4364-N4364 + IFERROR(E4364 / SUMIFS('📅 Resumen Diario'!$D$5:$D$504, '📅 Resumen Diario'!$B$5:$B$504, B4364, '📅 Resumen Diario'!$C$5:$C$504, D4364) * (SUMIFS('📋 Detalle Diario'!$E$5:$E$489, '📋 Detalle Diario'!$B$5:$B$489, B4364, '📋 Detalle Diario'!$C$5:$C$489, D4364) * 135 + SUMIFS('📋 Detalle Diario'!$I$5:$I$489, '📋 Detalle Diario'!$B$5:$B$489, B4364, '📋 Detalle Diario'!$C$5:$C$489, D4364) * 200), 0))</f>
        <v/>
      </c>
      <c r="P4364" s="32" t="str">
        <f t="shared" si="481"/>
        <v/>
      </c>
      <c r="Q4364" s="33" t="str">
        <f t="shared" si="482"/>
        <v/>
      </c>
    </row>
    <row r="4365" spans="2:17" ht="18" customHeight="1" x14ac:dyDescent="0.3">
      <c r="B4365" s="26"/>
      <c r="C4365" s="28"/>
      <c r="D4365" s="27"/>
      <c r="E4365" s="29"/>
      <c r="F4365" s="29"/>
      <c r="G4365" s="29"/>
      <c r="H4365" s="30" t="str">
        <f t="shared" si="476"/>
        <v/>
      </c>
      <c r="I4365" s="31" t="str">
        <f>IF(OR(B4365="",C4365=""),"",IFERROR(E4365*IF(E4365="",0,VLOOKUP(C4365,'📦 Precios Proforma'!$B$5:$D$104,IF(D4365="DIA",2,3),FALSE)),0))</f>
        <v/>
      </c>
      <c r="J4365" s="31" t="str">
        <f t="shared" si="477"/>
        <v/>
      </c>
      <c r="K4365" s="31" t="str">
        <f t="shared" si="478"/>
        <v/>
      </c>
      <c r="L4365" s="31" t="str">
        <f>IF(OR(B4365="",C4365=""),"",IFERROR(E4365 / SUMIFS('📅 Resumen Diario'!$D$5:$D$504, '📅 Resumen Diario'!$B$5:$B$504, B4365, '📅 Resumen Diario'!$C$5:$C$504, D4365) * SUMIFS('📅 Resumen Diario'!$K$5:$K$504, '📅 Resumen Diario'!$B$5:$B$504, B4365, '📅 Resumen Diario'!$C$5:$C$504, D4365), 0))</f>
        <v/>
      </c>
      <c r="M4365" s="31" t="str">
        <f t="shared" si="479"/>
        <v/>
      </c>
      <c r="N4365" s="31" t="str">
        <f t="shared" si="480"/>
        <v/>
      </c>
      <c r="O4365" s="31" t="str">
        <f>IF(OR(B4365="",C4365=""),"",K4365-N4365 + IFERROR(E4365 / SUMIFS('📅 Resumen Diario'!$D$5:$D$504, '📅 Resumen Diario'!$B$5:$B$504, B4365, '📅 Resumen Diario'!$C$5:$C$504, D4365) * (SUMIFS('📋 Detalle Diario'!$E$5:$E$489, '📋 Detalle Diario'!$B$5:$B$489, B4365, '📋 Detalle Diario'!$C$5:$C$489, D4365) * 135 + SUMIFS('📋 Detalle Diario'!$I$5:$I$489, '📋 Detalle Diario'!$B$5:$B$489, B4365, '📋 Detalle Diario'!$C$5:$C$489, D4365) * 200), 0))</f>
        <v/>
      </c>
      <c r="P4365" s="32" t="str">
        <f t="shared" si="481"/>
        <v/>
      </c>
      <c r="Q4365" s="33" t="str">
        <f t="shared" si="482"/>
        <v/>
      </c>
    </row>
    <row r="4366" spans="2:17" ht="18" customHeight="1" x14ac:dyDescent="0.3">
      <c r="B4366" s="26"/>
      <c r="C4366" s="17"/>
      <c r="D4366" s="27"/>
      <c r="E4366" s="18"/>
      <c r="F4366" s="18"/>
      <c r="G4366" s="18"/>
      <c r="H4366" s="30" t="str">
        <f t="shared" si="476"/>
        <v/>
      </c>
      <c r="I4366" s="31" t="str">
        <f>IF(OR(B4366="",C4366=""),"",IFERROR(E4366*IF(E4366="",0,VLOOKUP(C4366,'📦 Precios Proforma'!$B$5:$D$104,IF(D4366="DIA",2,3),FALSE)),0))</f>
        <v/>
      </c>
      <c r="J4366" s="31" t="str">
        <f t="shared" si="477"/>
        <v/>
      </c>
      <c r="K4366" s="31" t="str">
        <f t="shared" si="478"/>
        <v/>
      </c>
      <c r="L4366" s="31" t="str">
        <f>IF(OR(B4366="",C4366=""),"",IFERROR(E4366 / SUMIFS('📅 Resumen Diario'!$D$5:$D$504, '📅 Resumen Diario'!$B$5:$B$504, B4366, '📅 Resumen Diario'!$C$5:$C$504, D4366) * SUMIFS('📅 Resumen Diario'!$K$5:$K$504, '📅 Resumen Diario'!$B$5:$B$504, B4366, '📅 Resumen Diario'!$C$5:$C$504, D4366), 0))</f>
        <v/>
      </c>
      <c r="M4366" s="31" t="str">
        <f t="shared" si="479"/>
        <v/>
      </c>
      <c r="N4366" s="31" t="str">
        <f t="shared" si="480"/>
        <v/>
      </c>
      <c r="O4366" s="31" t="str">
        <f>IF(OR(B4366="",C4366=""),"",K4366-N4366 + IFERROR(E4366 / SUMIFS('📅 Resumen Diario'!$D$5:$D$504, '📅 Resumen Diario'!$B$5:$B$504, B4366, '📅 Resumen Diario'!$C$5:$C$504, D4366) * (SUMIFS('📋 Detalle Diario'!$E$5:$E$489, '📋 Detalle Diario'!$B$5:$B$489, B4366, '📋 Detalle Diario'!$C$5:$C$489, D4366) * 135 + SUMIFS('📋 Detalle Diario'!$I$5:$I$489, '📋 Detalle Diario'!$B$5:$B$489, B4366, '📋 Detalle Diario'!$C$5:$C$489, D4366) * 200), 0))</f>
        <v/>
      </c>
      <c r="P4366" s="32" t="str">
        <f t="shared" si="481"/>
        <v/>
      </c>
      <c r="Q4366" s="33" t="str">
        <f t="shared" si="482"/>
        <v/>
      </c>
    </row>
    <row r="4367" spans="2:17" ht="18" customHeight="1" x14ac:dyDescent="0.3">
      <c r="B4367" s="26"/>
      <c r="C4367" s="28"/>
      <c r="D4367" s="27"/>
      <c r="E4367" s="29"/>
      <c r="F4367" s="29"/>
      <c r="G4367" s="29"/>
      <c r="H4367" s="30" t="str">
        <f t="shared" si="476"/>
        <v/>
      </c>
      <c r="I4367" s="31" t="str">
        <f>IF(OR(B4367="",C4367=""),"",IFERROR(E4367*IF(E4367="",0,VLOOKUP(C4367,'📦 Precios Proforma'!$B$5:$D$104,IF(D4367="DIA",2,3),FALSE)),0))</f>
        <v/>
      </c>
      <c r="J4367" s="31" t="str">
        <f t="shared" si="477"/>
        <v/>
      </c>
      <c r="K4367" s="31" t="str">
        <f t="shared" si="478"/>
        <v/>
      </c>
      <c r="L4367" s="31" t="str">
        <f>IF(OR(B4367="",C4367=""),"",IFERROR(E4367 / SUMIFS('📅 Resumen Diario'!$D$5:$D$504, '📅 Resumen Diario'!$B$5:$B$504, B4367, '📅 Resumen Diario'!$C$5:$C$504, D4367) * SUMIFS('📅 Resumen Diario'!$K$5:$K$504, '📅 Resumen Diario'!$B$5:$B$504, B4367, '📅 Resumen Diario'!$C$5:$C$504, D4367), 0))</f>
        <v/>
      </c>
      <c r="M4367" s="31" t="str">
        <f t="shared" si="479"/>
        <v/>
      </c>
      <c r="N4367" s="31" t="str">
        <f t="shared" si="480"/>
        <v/>
      </c>
      <c r="O4367" s="31" t="str">
        <f>IF(OR(B4367="",C4367=""),"",K4367-N4367 + IFERROR(E4367 / SUMIFS('📅 Resumen Diario'!$D$5:$D$504, '📅 Resumen Diario'!$B$5:$B$504, B4367, '📅 Resumen Diario'!$C$5:$C$504, D4367) * (SUMIFS('📋 Detalle Diario'!$E$5:$E$489, '📋 Detalle Diario'!$B$5:$B$489, B4367, '📋 Detalle Diario'!$C$5:$C$489, D4367) * 135 + SUMIFS('📋 Detalle Diario'!$I$5:$I$489, '📋 Detalle Diario'!$B$5:$B$489, B4367, '📋 Detalle Diario'!$C$5:$C$489, D4367) * 200), 0))</f>
        <v/>
      </c>
      <c r="P4367" s="32" t="str">
        <f t="shared" si="481"/>
        <v/>
      </c>
      <c r="Q4367" s="33" t="str">
        <f t="shared" si="482"/>
        <v/>
      </c>
    </row>
    <row r="4368" spans="2:17" ht="18" customHeight="1" x14ac:dyDescent="0.3">
      <c r="B4368" s="26"/>
      <c r="C4368" s="17"/>
      <c r="D4368" s="27"/>
      <c r="E4368" s="18"/>
      <c r="F4368" s="18"/>
      <c r="G4368" s="18"/>
      <c r="H4368" s="30" t="str">
        <f t="shared" si="476"/>
        <v/>
      </c>
      <c r="I4368" s="31" t="str">
        <f>IF(OR(B4368="",C4368=""),"",IFERROR(E4368*IF(E4368="",0,VLOOKUP(C4368,'📦 Precios Proforma'!$B$5:$D$104,IF(D4368="DIA",2,3),FALSE)),0))</f>
        <v/>
      </c>
      <c r="J4368" s="31" t="str">
        <f t="shared" si="477"/>
        <v/>
      </c>
      <c r="K4368" s="31" t="str">
        <f t="shared" si="478"/>
        <v/>
      </c>
      <c r="L4368" s="31" t="str">
        <f>IF(OR(B4368="",C4368=""),"",IFERROR(E4368 / SUMIFS('📅 Resumen Diario'!$D$5:$D$504, '📅 Resumen Diario'!$B$5:$B$504, B4368, '📅 Resumen Diario'!$C$5:$C$504, D4368) * SUMIFS('📅 Resumen Diario'!$K$5:$K$504, '📅 Resumen Diario'!$B$5:$B$504, B4368, '📅 Resumen Diario'!$C$5:$C$504, D4368), 0))</f>
        <v/>
      </c>
      <c r="M4368" s="31" t="str">
        <f t="shared" si="479"/>
        <v/>
      </c>
      <c r="N4368" s="31" t="str">
        <f t="shared" si="480"/>
        <v/>
      </c>
      <c r="O4368" s="31" t="str">
        <f>IF(OR(B4368="",C4368=""),"",K4368-N4368 + IFERROR(E4368 / SUMIFS('📅 Resumen Diario'!$D$5:$D$504, '📅 Resumen Diario'!$B$5:$B$504, B4368, '📅 Resumen Diario'!$C$5:$C$504, D4368) * (SUMIFS('📋 Detalle Diario'!$E$5:$E$489, '📋 Detalle Diario'!$B$5:$B$489, B4368, '📋 Detalle Diario'!$C$5:$C$489, D4368) * 135 + SUMIFS('📋 Detalle Diario'!$I$5:$I$489, '📋 Detalle Diario'!$B$5:$B$489, B4368, '📋 Detalle Diario'!$C$5:$C$489, D4368) * 200), 0))</f>
        <v/>
      </c>
      <c r="P4368" s="32" t="str">
        <f t="shared" si="481"/>
        <v/>
      </c>
      <c r="Q4368" s="33" t="str">
        <f t="shared" si="482"/>
        <v/>
      </c>
    </row>
    <row r="4369" spans="2:17" ht="18" customHeight="1" x14ac:dyDescent="0.3">
      <c r="B4369" s="26"/>
      <c r="C4369" s="28"/>
      <c r="D4369" s="27"/>
      <c r="E4369" s="29"/>
      <c r="F4369" s="29"/>
      <c r="G4369" s="29"/>
      <c r="H4369" s="30" t="str">
        <f t="shared" si="476"/>
        <v/>
      </c>
      <c r="I4369" s="31" t="str">
        <f>IF(OR(B4369="",C4369=""),"",IFERROR(E4369*IF(E4369="",0,VLOOKUP(C4369,'📦 Precios Proforma'!$B$5:$D$104,IF(D4369="DIA",2,3),FALSE)),0))</f>
        <v/>
      </c>
      <c r="J4369" s="31" t="str">
        <f t="shared" si="477"/>
        <v/>
      </c>
      <c r="K4369" s="31" t="str">
        <f t="shared" si="478"/>
        <v/>
      </c>
      <c r="L4369" s="31" t="str">
        <f>IF(OR(B4369="",C4369=""),"",IFERROR(E4369 / SUMIFS('📅 Resumen Diario'!$D$5:$D$504, '📅 Resumen Diario'!$B$5:$B$504, B4369, '📅 Resumen Diario'!$C$5:$C$504, D4369) * SUMIFS('📅 Resumen Diario'!$K$5:$K$504, '📅 Resumen Diario'!$B$5:$B$504, B4369, '📅 Resumen Diario'!$C$5:$C$504, D4369), 0))</f>
        <v/>
      </c>
      <c r="M4369" s="31" t="str">
        <f t="shared" si="479"/>
        <v/>
      </c>
      <c r="N4369" s="31" t="str">
        <f t="shared" si="480"/>
        <v/>
      </c>
      <c r="O4369" s="31" t="str">
        <f>IF(OR(B4369="",C4369=""),"",K4369-N4369 + IFERROR(E4369 / SUMIFS('📅 Resumen Diario'!$D$5:$D$504, '📅 Resumen Diario'!$B$5:$B$504, B4369, '📅 Resumen Diario'!$C$5:$C$504, D4369) * (SUMIFS('📋 Detalle Diario'!$E$5:$E$489, '📋 Detalle Diario'!$B$5:$B$489, B4369, '📋 Detalle Diario'!$C$5:$C$489, D4369) * 135 + SUMIFS('📋 Detalle Diario'!$I$5:$I$489, '📋 Detalle Diario'!$B$5:$B$489, B4369, '📋 Detalle Diario'!$C$5:$C$489, D4369) * 200), 0))</f>
        <v/>
      </c>
      <c r="P4369" s="32" t="str">
        <f t="shared" si="481"/>
        <v/>
      </c>
      <c r="Q4369" s="33" t="str">
        <f t="shared" si="482"/>
        <v/>
      </c>
    </row>
    <row r="4370" spans="2:17" ht="18" customHeight="1" x14ac:dyDescent="0.3">
      <c r="B4370" s="26"/>
      <c r="C4370" s="17"/>
      <c r="D4370" s="27"/>
      <c r="E4370" s="18"/>
      <c r="F4370" s="18"/>
      <c r="G4370" s="18"/>
      <c r="H4370" s="30" t="str">
        <f t="shared" si="476"/>
        <v/>
      </c>
      <c r="I4370" s="31" t="str">
        <f>IF(OR(B4370="",C4370=""),"",IFERROR(E4370*IF(E4370="",0,VLOOKUP(C4370,'📦 Precios Proforma'!$B$5:$D$104,IF(D4370="DIA",2,3),FALSE)),0))</f>
        <v/>
      </c>
      <c r="J4370" s="31" t="str">
        <f t="shared" si="477"/>
        <v/>
      </c>
      <c r="K4370" s="31" t="str">
        <f t="shared" si="478"/>
        <v/>
      </c>
      <c r="L4370" s="31" t="str">
        <f>IF(OR(B4370="",C4370=""),"",IFERROR(E4370 / SUMIFS('📅 Resumen Diario'!$D$5:$D$504, '📅 Resumen Diario'!$B$5:$B$504, B4370, '📅 Resumen Diario'!$C$5:$C$504, D4370) * SUMIFS('📅 Resumen Diario'!$K$5:$K$504, '📅 Resumen Diario'!$B$5:$B$504, B4370, '📅 Resumen Diario'!$C$5:$C$504, D4370), 0))</f>
        <v/>
      </c>
      <c r="M4370" s="31" t="str">
        <f t="shared" si="479"/>
        <v/>
      </c>
      <c r="N4370" s="31" t="str">
        <f t="shared" si="480"/>
        <v/>
      </c>
      <c r="O4370" s="31" t="str">
        <f>IF(OR(B4370="",C4370=""),"",K4370-N4370 + IFERROR(E4370 / SUMIFS('📅 Resumen Diario'!$D$5:$D$504, '📅 Resumen Diario'!$B$5:$B$504, B4370, '📅 Resumen Diario'!$C$5:$C$504, D4370) * (SUMIFS('📋 Detalle Diario'!$E$5:$E$489, '📋 Detalle Diario'!$B$5:$B$489, B4370, '📋 Detalle Diario'!$C$5:$C$489, D4370) * 135 + SUMIFS('📋 Detalle Diario'!$I$5:$I$489, '📋 Detalle Diario'!$B$5:$B$489, B4370, '📋 Detalle Diario'!$C$5:$C$489, D4370) * 200), 0))</f>
        <v/>
      </c>
      <c r="P4370" s="32" t="str">
        <f t="shared" si="481"/>
        <v/>
      </c>
      <c r="Q4370" s="33" t="str">
        <f t="shared" si="482"/>
        <v/>
      </c>
    </row>
    <row r="4371" spans="2:17" ht="18" customHeight="1" x14ac:dyDescent="0.3">
      <c r="B4371" s="26"/>
      <c r="C4371" s="28"/>
      <c r="D4371" s="27"/>
      <c r="E4371" s="29"/>
      <c r="F4371" s="29"/>
      <c r="G4371" s="29"/>
      <c r="H4371" s="30" t="str">
        <f t="shared" si="476"/>
        <v/>
      </c>
      <c r="I4371" s="31" t="str">
        <f>IF(OR(B4371="",C4371=""),"",IFERROR(E4371*IF(E4371="",0,VLOOKUP(C4371,'📦 Precios Proforma'!$B$5:$D$104,IF(D4371="DIA",2,3),FALSE)),0))</f>
        <v/>
      </c>
      <c r="J4371" s="31" t="str">
        <f t="shared" si="477"/>
        <v/>
      </c>
      <c r="K4371" s="31" t="str">
        <f t="shared" si="478"/>
        <v/>
      </c>
      <c r="L4371" s="31" t="str">
        <f>IF(OR(B4371="",C4371=""),"",IFERROR(E4371 / SUMIFS('📅 Resumen Diario'!$D$5:$D$504, '📅 Resumen Diario'!$B$5:$B$504, B4371, '📅 Resumen Diario'!$C$5:$C$504, D4371) * SUMIFS('📅 Resumen Diario'!$K$5:$K$504, '📅 Resumen Diario'!$B$5:$B$504, B4371, '📅 Resumen Diario'!$C$5:$C$504, D4371), 0))</f>
        <v/>
      </c>
      <c r="M4371" s="31" t="str">
        <f t="shared" si="479"/>
        <v/>
      </c>
      <c r="N4371" s="31" t="str">
        <f t="shared" si="480"/>
        <v/>
      </c>
      <c r="O4371" s="31" t="str">
        <f>IF(OR(B4371="",C4371=""),"",K4371-N4371 + IFERROR(E4371 / SUMIFS('📅 Resumen Diario'!$D$5:$D$504, '📅 Resumen Diario'!$B$5:$B$504, B4371, '📅 Resumen Diario'!$C$5:$C$504, D4371) * (SUMIFS('📋 Detalle Diario'!$E$5:$E$489, '📋 Detalle Diario'!$B$5:$B$489, B4371, '📋 Detalle Diario'!$C$5:$C$489, D4371) * 135 + SUMIFS('📋 Detalle Diario'!$I$5:$I$489, '📋 Detalle Diario'!$B$5:$B$489, B4371, '📋 Detalle Diario'!$C$5:$C$489, D4371) * 200), 0))</f>
        <v/>
      </c>
      <c r="P4371" s="32" t="str">
        <f t="shared" si="481"/>
        <v/>
      </c>
      <c r="Q4371" s="33" t="str">
        <f t="shared" si="482"/>
        <v/>
      </c>
    </row>
    <row r="4372" spans="2:17" ht="18" customHeight="1" x14ac:dyDescent="0.3">
      <c r="B4372" s="26"/>
      <c r="C4372" s="17"/>
      <c r="D4372" s="27"/>
      <c r="E4372" s="18"/>
      <c r="F4372" s="18"/>
      <c r="G4372" s="18"/>
      <c r="H4372" s="30" t="str">
        <f t="shared" si="476"/>
        <v/>
      </c>
      <c r="I4372" s="31" t="str">
        <f>IF(OR(B4372="",C4372=""),"",IFERROR(E4372*IF(E4372="",0,VLOOKUP(C4372,'📦 Precios Proforma'!$B$5:$D$104,IF(D4372="DIA",2,3),FALSE)),0))</f>
        <v/>
      </c>
      <c r="J4372" s="31" t="str">
        <f t="shared" si="477"/>
        <v/>
      </c>
      <c r="K4372" s="31" t="str">
        <f t="shared" si="478"/>
        <v/>
      </c>
      <c r="L4372" s="31" t="str">
        <f>IF(OR(B4372="",C4372=""),"",IFERROR(E4372 / SUMIFS('📅 Resumen Diario'!$D$5:$D$504, '📅 Resumen Diario'!$B$5:$B$504, B4372, '📅 Resumen Diario'!$C$5:$C$504, D4372) * SUMIFS('📅 Resumen Diario'!$K$5:$K$504, '📅 Resumen Diario'!$B$5:$B$504, B4372, '📅 Resumen Diario'!$C$5:$C$504, D4372), 0))</f>
        <v/>
      </c>
      <c r="M4372" s="31" t="str">
        <f t="shared" si="479"/>
        <v/>
      </c>
      <c r="N4372" s="31" t="str">
        <f t="shared" si="480"/>
        <v/>
      </c>
      <c r="O4372" s="31" t="str">
        <f>IF(OR(B4372="",C4372=""),"",K4372-N4372 + IFERROR(E4372 / SUMIFS('📅 Resumen Diario'!$D$5:$D$504, '📅 Resumen Diario'!$B$5:$B$504, B4372, '📅 Resumen Diario'!$C$5:$C$504, D4372) * (SUMIFS('📋 Detalle Diario'!$E$5:$E$489, '📋 Detalle Diario'!$B$5:$B$489, B4372, '📋 Detalle Diario'!$C$5:$C$489, D4372) * 135 + SUMIFS('📋 Detalle Diario'!$I$5:$I$489, '📋 Detalle Diario'!$B$5:$B$489, B4372, '📋 Detalle Diario'!$C$5:$C$489, D4372) * 200), 0))</f>
        <v/>
      </c>
      <c r="P4372" s="32" t="str">
        <f t="shared" si="481"/>
        <v/>
      </c>
      <c r="Q4372" s="33" t="str">
        <f t="shared" si="482"/>
        <v/>
      </c>
    </row>
    <row r="4373" spans="2:17" ht="18" customHeight="1" x14ac:dyDescent="0.3">
      <c r="B4373" s="26"/>
      <c r="C4373" s="28"/>
      <c r="D4373" s="27"/>
      <c r="E4373" s="29"/>
      <c r="F4373" s="29"/>
      <c r="G4373" s="29"/>
      <c r="H4373" s="30" t="str">
        <f t="shared" si="476"/>
        <v/>
      </c>
      <c r="I4373" s="31" t="str">
        <f>IF(OR(B4373="",C4373=""),"",IFERROR(E4373*IF(E4373="",0,VLOOKUP(C4373,'📦 Precios Proforma'!$B$5:$D$104,IF(D4373="DIA",2,3),FALSE)),0))</f>
        <v/>
      </c>
      <c r="J4373" s="31" t="str">
        <f t="shared" si="477"/>
        <v/>
      </c>
      <c r="K4373" s="31" t="str">
        <f t="shared" si="478"/>
        <v/>
      </c>
      <c r="L4373" s="31" t="str">
        <f>IF(OR(B4373="",C4373=""),"",IFERROR(E4373 / SUMIFS('📅 Resumen Diario'!$D$5:$D$504, '📅 Resumen Diario'!$B$5:$B$504, B4373, '📅 Resumen Diario'!$C$5:$C$504, D4373) * SUMIFS('📅 Resumen Diario'!$K$5:$K$504, '📅 Resumen Diario'!$B$5:$B$504, B4373, '📅 Resumen Diario'!$C$5:$C$504, D4373), 0))</f>
        <v/>
      </c>
      <c r="M4373" s="31" t="str">
        <f t="shared" si="479"/>
        <v/>
      </c>
      <c r="N4373" s="31" t="str">
        <f t="shared" si="480"/>
        <v/>
      </c>
      <c r="O4373" s="31" t="str">
        <f>IF(OR(B4373="",C4373=""),"",K4373-N4373 + IFERROR(E4373 / SUMIFS('📅 Resumen Diario'!$D$5:$D$504, '📅 Resumen Diario'!$B$5:$B$504, B4373, '📅 Resumen Diario'!$C$5:$C$504, D4373) * (SUMIFS('📋 Detalle Diario'!$E$5:$E$489, '📋 Detalle Diario'!$B$5:$B$489, B4373, '📋 Detalle Diario'!$C$5:$C$489, D4373) * 135 + SUMIFS('📋 Detalle Diario'!$I$5:$I$489, '📋 Detalle Diario'!$B$5:$B$489, B4373, '📋 Detalle Diario'!$C$5:$C$489, D4373) * 200), 0))</f>
        <v/>
      </c>
      <c r="P4373" s="32" t="str">
        <f t="shared" si="481"/>
        <v/>
      </c>
      <c r="Q4373" s="33" t="str">
        <f t="shared" si="482"/>
        <v/>
      </c>
    </row>
    <row r="4374" spans="2:17" ht="18" customHeight="1" x14ac:dyDescent="0.3">
      <c r="B4374" s="26"/>
      <c r="C4374" s="17"/>
      <c r="D4374" s="27"/>
      <c r="E4374" s="18"/>
      <c r="F4374" s="18"/>
      <c r="G4374" s="18"/>
      <c r="H4374" s="30" t="str">
        <f t="shared" si="476"/>
        <v/>
      </c>
      <c r="I4374" s="31" t="str">
        <f>IF(OR(B4374="",C4374=""),"",IFERROR(E4374*IF(E4374="",0,VLOOKUP(C4374,'📦 Precios Proforma'!$B$5:$D$104,IF(D4374="DIA",2,3),FALSE)),0))</f>
        <v/>
      </c>
      <c r="J4374" s="31" t="str">
        <f t="shared" si="477"/>
        <v/>
      </c>
      <c r="K4374" s="31" t="str">
        <f t="shared" si="478"/>
        <v/>
      </c>
      <c r="L4374" s="31" t="str">
        <f>IF(OR(B4374="",C4374=""),"",IFERROR(E4374 / SUMIFS('📅 Resumen Diario'!$D$5:$D$504, '📅 Resumen Diario'!$B$5:$B$504, B4374, '📅 Resumen Diario'!$C$5:$C$504, D4374) * SUMIFS('📅 Resumen Diario'!$K$5:$K$504, '📅 Resumen Diario'!$B$5:$B$504, B4374, '📅 Resumen Diario'!$C$5:$C$504, D4374), 0))</f>
        <v/>
      </c>
      <c r="M4374" s="31" t="str">
        <f t="shared" si="479"/>
        <v/>
      </c>
      <c r="N4374" s="31" t="str">
        <f t="shared" si="480"/>
        <v/>
      </c>
      <c r="O4374" s="31" t="str">
        <f>IF(OR(B4374="",C4374=""),"",K4374-N4374 + IFERROR(E4374 / SUMIFS('📅 Resumen Diario'!$D$5:$D$504, '📅 Resumen Diario'!$B$5:$B$504, B4374, '📅 Resumen Diario'!$C$5:$C$504, D4374) * (SUMIFS('📋 Detalle Diario'!$E$5:$E$489, '📋 Detalle Diario'!$B$5:$B$489, B4374, '📋 Detalle Diario'!$C$5:$C$489, D4374) * 135 + SUMIFS('📋 Detalle Diario'!$I$5:$I$489, '📋 Detalle Diario'!$B$5:$B$489, B4374, '📋 Detalle Diario'!$C$5:$C$489, D4374) * 200), 0))</f>
        <v/>
      </c>
      <c r="P4374" s="32" t="str">
        <f t="shared" si="481"/>
        <v/>
      </c>
      <c r="Q4374" s="33" t="str">
        <f t="shared" si="482"/>
        <v/>
      </c>
    </row>
    <row r="4375" spans="2:17" ht="18" customHeight="1" x14ac:dyDescent="0.3">
      <c r="B4375" s="26"/>
      <c r="C4375" s="28"/>
      <c r="D4375" s="27"/>
      <c r="E4375" s="29"/>
      <c r="F4375" s="29"/>
      <c r="G4375" s="29"/>
      <c r="H4375" s="30" t="str">
        <f t="shared" si="476"/>
        <v/>
      </c>
      <c r="I4375" s="31" t="str">
        <f>IF(OR(B4375="",C4375=""),"",IFERROR(E4375*IF(E4375="",0,VLOOKUP(C4375,'📦 Precios Proforma'!$B$5:$D$104,IF(D4375="DIA",2,3),FALSE)),0))</f>
        <v/>
      </c>
      <c r="J4375" s="31" t="str">
        <f t="shared" si="477"/>
        <v/>
      </c>
      <c r="K4375" s="31" t="str">
        <f t="shared" si="478"/>
        <v/>
      </c>
      <c r="L4375" s="31" t="str">
        <f>IF(OR(B4375="",C4375=""),"",IFERROR(E4375 / SUMIFS('📅 Resumen Diario'!$D$5:$D$504, '📅 Resumen Diario'!$B$5:$B$504, B4375, '📅 Resumen Diario'!$C$5:$C$504, D4375) * SUMIFS('📅 Resumen Diario'!$K$5:$K$504, '📅 Resumen Diario'!$B$5:$B$504, B4375, '📅 Resumen Diario'!$C$5:$C$504, D4375), 0))</f>
        <v/>
      </c>
      <c r="M4375" s="31" t="str">
        <f t="shared" si="479"/>
        <v/>
      </c>
      <c r="N4375" s="31" t="str">
        <f t="shared" si="480"/>
        <v/>
      </c>
      <c r="O4375" s="31" t="str">
        <f>IF(OR(B4375="",C4375=""),"",K4375-N4375 + IFERROR(E4375 / SUMIFS('📅 Resumen Diario'!$D$5:$D$504, '📅 Resumen Diario'!$B$5:$B$504, B4375, '📅 Resumen Diario'!$C$5:$C$504, D4375) * (SUMIFS('📋 Detalle Diario'!$E$5:$E$489, '📋 Detalle Diario'!$B$5:$B$489, B4375, '📋 Detalle Diario'!$C$5:$C$489, D4375) * 135 + SUMIFS('📋 Detalle Diario'!$I$5:$I$489, '📋 Detalle Diario'!$B$5:$B$489, B4375, '📋 Detalle Diario'!$C$5:$C$489, D4375) * 200), 0))</f>
        <v/>
      </c>
      <c r="P4375" s="32" t="str">
        <f t="shared" si="481"/>
        <v/>
      </c>
      <c r="Q4375" s="33" t="str">
        <f t="shared" si="482"/>
        <v/>
      </c>
    </row>
    <row r="4376" spans="2:17" ht="18" customHeight="1" x14ac:dyDescent="0.3">
      <c r="B4376" s="26"/>
      <c r="C4376" s="17"/>
      <c r="D4376" s="27"/>
      <c r="E4376" s="18"/>
      <c r="F4376" s="18"/>
      <c r="G4376" s="18"/>
      <c r="H4376" s="30" t="str">
        <f t="shared" si="476"/>
        <v/>
      </c>
      <c r="I4376" s="31" t="str">
        <f>IF(OR(B4376="",C4376=""),"",IFERROR(E4376*IF(E4376="",0,VLOOKUP(C4376,'📦 Precios Proforma'!$B$5:$D$104,IF(D4376="DIA",2,3),FALSE)),0))</f>
        <v/>
      </c>
      <c r="J4376" s="31" t="str">
        <f t="shared" si="477"/>
        <v/>
      </c>
      <c r="K4376" s="31" t="str">
        <f t="shared" si="478"/>
        <v/>
      </c>
      <c r="L4376" s="31" t="str">
        <f>IF(OR(B4376="",C4376=""),"",IFERROR(E4376 / SUMIFS('📅 Resumen Diario'!$D$5:$D$504, '📅 Resumen Diario'!$B$5:$B$504, B4376, '📅 Resumen Diario'!$C$5:$C$504, D4376) * SUMIFS('📅 Resumen Diario'!$K$5:$K$504, '📅 Resumen Diario'!$B$5:$B$504, B4376, '📅 Resumen Diario'!$C$5:$C$504, D4376), 0))</f>
        <v/>
      </c>
      <c r="M4376" s="31" t="str">
        <f t="shared" si="479"/>
        <v/>
      </c>
      <c r="N4376" s="31" t="str">
        <f t="shared" si="480"/>
        <v/>
      </c>
      <c r="O4376" s="31" t="str">
        <f>IF(OR(B4376="",C4376=""),"",K4376-N4376 + IFERROR(E4376 / SUMIFS('📅 Resumen Diario'!$D$5:$D$504, '📅 Resumen Diario'!$B$5:$B$504, B4376, '📅 Resumen Diario'!$C$5:$C$504, D4376) * (SUMIFS('📋 Detalle Diario'!$E$5:$E$489, '📋 Detalle Diario'!$B$5:$B$489, B4376, '📋 Detalle Diario'!$C$5:$C$489, D4376) * 135 + SUMIFS('📋 Detalle Diario'!$I$5:$I$489, '📋 Detalle Diario'!$B$5:$B$489, B4376, '📋 Detalle Diario'!$C$5:$C$489, D4376) * 200), 0))</f>
        <v/>
      </c>
      <c r="P4376" s="32" t="str">
        <f t="shared" si="481"/>
        <v/>
      </c>
      <c r="Q4376" s="33" t="str">
        <f t="shared" si="482"/>
        <v/>
      </c>
    </row>
    <row r="4377" spans="2:17" ht="18" customHeight="1" x14ac:dyDescent="0.3">
      <c r="B4377" s="26"/>
      <c r="C4377" s="28"/>
      <c r="D4377" s="27"/>
      <c r="E4377" s="29"/>
      <c r="F4377" s="29"/>
      <c r="G4377" s="29"/>
      <c r="H4377" s="30" t="str">
        <f t="shared" si="476"/>
        <v/>
      </c>
      <c r="I4377" s="31" t="str">
        <f>IF(OR(B4377="",C4377=""),"",IFERROR(E4377*IF(E4377="",0,VLOOKUP(C4377,'📦 Precios Proforma'!$B$5:$D$104,IF(D4377="DIA",2,3),FALSE)),0))</f>
        <v/>
      </c>
      <c r="J4377" s="31" t="str">
        <f t="shared" si="477"/>
        <v/>
      </c>
      <c r="K4377" s="31" t="str">
        <f t="shared" si="478"/>
        <v/>
      </c>
      <c r="L4377" s="31" t="str">
        <f>IF(OR(B4377="",C4377=""),"",IFERROR(E4377 / SUMIFS('📅 Resumen Diario'!$D$5:$D$504, '📅 Resumen Diario'!$B$5:$B$504, B4377, '📅 Resumen Diario'!$C$5:$C$504, D4377) * SUMIFS('📅 Resumen Diario'!$K$5:$K$504, '📅 Resumen Diario'!$B$5:$B$504, B4377, '📅 Resumen Diario'!$C$5:$C$504, D4377), 0))</f>
        <v/>
      </c>
      <c r="M4377" s="31" t="str">
        <f t="shared" si="479"/>
        <v/>
      </c>
      <c r="N4377" s="31" t="str">
        <f t="shared" si="480"/>
        <v/>
      </c>
      <c r="O4377" s="31" t="str">
        <f>IF(OR(B4377="",C4377=""),"",K4377-N4377 + IFERROR(E4377 / SUMIFS('📅 Resumen Diario'!$D$5:$D$504, '📅 Resumen Diario'!$B$5:$B$504, B4377, '📅 Resumen Diario'!$C$5:$C$504, D4377) * (SUMIFS('📋 Detalle Diario'!$E$5:$E$489, '📋 Detalle Diario'!$B$5:$B$489, B4377, '📋 Detalle Diario'!$C$5:$C$489, D4377) * 135 + SUMIFS('📋 Detalle Diario'!$I$5:$I$489, '📋 Detalle Diario'!$B$5:$B$489, B4377, '📋 Detalle Diario'!$C$5:$C$489, D4377) * 200), 0))</f>
        <v/>
      </c>
      <c r="P4377" s="32" t="str">
        <f t="shared" si="481"/>
        <v/>
      </c>
      <c r="Q4377" s="33" t="str">
        <f t="shared" si="482"/>
        <v/>
      </c>
    </row>
    <row r="4378" spans="2:17" ht="18" customHeight="1" x14ac:dyDescent="0.3">
      <c r="B4378" s="26"/>
      <c r="C4378" s="17"/>
      <c r="D4378" s="27"/>
      <c r="E4378" s="18"/>
      <c r="F4378" s="18"/>
      <c r="G4378" s="18"/>
      <c r="H4378" s="30" t="str">
        <f t="shared" si="476"/>
        <v/>
      </c>
      <c r="I4378" s="31" t="str">
        <f>IF(OR(B4378="",C4378=""),"",IFERROR(E4378*IF(E4378="",0,VLOOKUP(C4378,'📦 Precios Proforma'!$B$5:$D$104,IF(D4378="DIA",2,3),FALSE)),0))</f>
        <v/>
      </c>
      <c r="J4378" s="31" t="str">
        <f t="shared" si="477"/>
        <v/>
      </c>
      <c r="K4378" s="31" t="str">
        <f t="shared" si="478"/>
        <v/>
      </c>
      <c r="L4378" s="31" t="str">
        <f>IF(OR(B4378="",C4378=""),"",IFERROR(E4378 / SUMIFS('📅 Resumen Diario'!$D$5:$D$504, '📅 Resumen Diario'!$B$5:$B$504, B4378, '📅 Resumen Diario'!$C$5:$C$504, D4378) * SUMIFS('📅 Resumen Diario'!$K$5:$K$504, '📅 Resumen Diario'!$B$5:$B$504, B4378, '📅 Resumen Diario'!$C$5:$C$504, D4378), 0))</f>
        <v/>
      </c>
      <c r="M4378" s="31" t="str">
        <f t="shared" si="479"/>
        <v/>
      </c>
      <c r="N4378" s="31" t="str">
        <f t="shared" si="480"/>
        <v/>
      </c>
      <c r="O4378" s="31" t="str">
        <f>IF(OR(B4378="",C4378=""),"",K4378-N4378 + IFERROR(E4378 / SUMIFS('📅 Resumen Diario'!$D$5:$D$504, '📅 Resumen Diario'!$B$5:$B$504, B4378, '📅 Resumen Diario'!$C$5:$C$504, D4378) * (SUMIFS('📋 Detalle Diario'!$E$5:$E$489, '📋 Detalle Diario'!$B$5:$B$489, B4378, '📋 Detalle Diario'!$C$5:$C$489, D4378) * 135 + SUMIFS('📋 Detalle Diario'!$I$5:$I$489, '📋 Detalle Diario'!$B$5:$B$489, B4378, '📋 Detalle Diario'!$C$5:$C$489, D4378) * 200), 0))</f>
        <v/>
      </c>
      <c r="P4378" s="32" t="str">
        <f t="shared" si="481"/>
        <v/>
      </c>
      <c r="Q4378" s="33" t="str">
        <f t="shared" si="482"/>
        <v/>
      </c>
    </row>
    <row r="4379" spans="2:17" ht="18" customHeight="1" x14ac:dyDescent="0.3">
      <c r="B4379" s="26"/>
      <c r="C4379" s="28"/>
      <c r="D4379" s="27"/>
      <c r="E4379" s="29"/>
      <c r="F4379" s="29"/>
      <c r="G4379" s="29"/>
      <c r="H4379" s="30" t="str">
        <f t="shared" si="476"/>
        <v/>
      </c>
      <c r="I4379" s="31" t="str">
        <f>IF(OR(B4379="",C4379=""),"",IFERROR(E4379*IF(E4379="",0,VLOOKUP(C4379,'📦 Precios Proforma'!$B$5:$D$104,IF(D4379="DIA",2,3),FALSE)),0))</f>
        <v/>
      </c>
      <c r="J4379" s="31" t="str">
        <f t="shared" si="477"/>
        <v/>
      </c>
      <c r="K4379" s="31" t="str">
        <f t="shared" si="478"/>
        <v/>
      </c>
      <c r="L4379" s="31" t="str">
        <f>IF(OR(B4379="",C4379=""),"",IFERROR(E4379 / SUMIFS('📅 Resumen Diario'!$D$5:$D$504, '📅 Resumen Diario'!$B$5:$B$504, B4379, '📅 Resumen Diario'!$C$5:$C$504, D4379) * SUMIFS('📅 Resumen Diario'!$K$5:$K$504, '📅 Resumen Diario'!$B$5:$B$504, B4379, '📅 Resumen Diario'!$C$5:$C$504, D4379), 0))</f>
        <v/>
      </c>
      <c r="M4379" s="31" t="str">
        <f t="shared" si="479"/>
        <v/>
      </c>
      <c r="N4379" s="31" t="str">
        <f t="shared" si="480"/>
        <v/>
      </c>
      <c r="O4379" s="31" t="str">
        <f>IF(OR(B4379="",C4379=""),"",K4379-N4379 + IFERROR(E4379 / SUMIFS('📅 Resumen Diario'!$D$5:$D$504, '📅 Resumen Diario'!$B$5:$B$504, B4379, '📅 Resumen Diario'!$C$5:$C$504, D4379) * (SUMIFS('📋 Detalle Diario'!$E$5:$E$489, '📋 Detalle Diario'!$B$5:$B$489, B4379, '📋 Detalle Diario'!$C$5:$C$489, D4379) * 135 + SUMIFS('📋 Detalle Diario'!$I$5:$I$489, '📋 Detalle Diario'!$B$5:$B$489, B4379, '📋 Detalle Diario'!$C$5:$C$489, D4379) * 200), 0))</f>
        <v/>
      </c>
      <c r="P4379" s="32" t="str">
        <f t="shared" si="481"/>
        <v/>
      </c>
      <c r="Q4379" s="33" t="str">
        <f t="shared" si="482"/>
        <v/>
      </c>
    </row>
    <row r="4380" spans="2:17" ht="18" customHeight="1" x14ac:dyDescent="0.3">
      <c r="B4380" s="26"/>
      <c r="C4380" s="17"/>
      <c r="D4380" s="27"/>
      <c r="E4380" s="18"/>
      <c r="F4380" s="18"/>
      <c r="G4380" s="18"/>
      <c r="H4380" s="30" t="str">
        <f t="shared" si="476"/>
        <v/>
      </c>
      <c r="I4380" s="31" t="str">
        <f>IF(OR(B4380="",C4380=""),"",IFERROR(E4380*IF(E4380="",0,VLOOKUP(C4380,'📦 Precios Proforma'!$B$5:$D$104,IF(D4380="DIA",2,3),FALSE)),0))</f>
        <v/>
      </c>
      <c r="J4380" s="31" t="str">
        <f t="shared" si="477"/>
        <v/>
      </c>
      <c r="K4380" s="31" t="str">
        <f t="shared" si="478"/>
        <v/>
      </c>
      <c r="L4380" s="31" t="str">
        <f>IF(OR(B4380="",C4380=""),"",IFERROR(E4380 / SUMIFS('📅 Resumen Diario'!$D$5:$D$504, '📅 Resumen Diario'!$B$5:$B$504, B4380, '📅 Resumen Diario'!$C$5:$C$504, D4380) * SUMIFS('📅 Resumen Diario'!$K$5:$K$504, '📅 Resumen Diario'!$B$5:$B$504, B4380, '📅 Resumen Diario'!$C$5:$C$504, D4380), 0))</f>
        <v/>
      </c>
      <c r="M4380" s="31" t="str">
        <f t="shared" si="479"/>
        <v/>
      </c>
      <c r="N4380" s="31" t="str">
        <f t="shared" si="480"/>
        <v/>
      </c>
      <c r="O4380" s="31" t="str">
        <f>IF(OR(B4380="",C4380=""),"",K4380-N4380 + IFERROR(E4380 / SUMIFS('📅 Resumen Diario'!$D$5:$D$504, '📅 Resumen Diario'!$B$5:$B$504, B4380, '📅 Resumen Diario'!$C$5:$C$504, D4380) * (SUMIFS('📋 Detalle Diario'!$E$5:$E$489, '📋 Detalle Diario'!$B$5:$B$489, B4380, '📋 Detalle Diario'!$C$5:$C$489, D4380) * 135 + SUMIFS('📋 Detalle Diario'!$I$5:$I$489, '📋 Detalle Diario'!$B$5:$B$489, B4380, '📋 Detalle Diario'!$C$5:$C$489, D4380) * 200), 0))</f>
        <v/>
      </c>
      <c r="P4380" s="32" t="str">
        <f t="shared" si="481"/>
        <v/>
      </c>
      <c r="Q4380" s="33" t="str">
        <f t="shared" si="482"/>
        <v/>
      </c>
    </row>
    <row r="4381" spans="2:17" ht="18" customHeight="1" x14ac:dyDescent="0.3">
      <c r="B4381" s="26"/>
      <c r="C4381" s="28"/>
      <c r="D4381" s="27"/>
      <c r="E4381" s="29"/>
      <c r="F4381" s="29"/>
      <c r="G4381" s="29"/>
      <c r="H4381" s="30" t="str">
        <f t="shared" si="476"/>
        <v/>
      </c>
      <c r="I4381" s="31" t="str">
        <f>IF(OR(B4381="",C4381=""),"",IFERROR(E4381*IF(E4381="",0,VLOOKUP(C4381,'📦 Precios Proforma'!$B$5:$D$104,IF(D4381="DIA",2,3),FALSE)),0))</f>
        <v/>
      </c>
      <c r="J4381" s="31" t="str">
        <f t="shared" si="477"/>
        <v/>
      </c>
      <c r="K4381" s="31" t="str">
        <f t="shared" si="478"/>
        <v/>
      </c>
      <c r="L4381" s="31" t="str">
        <f>IF(OR(B4381="",C4381=""),"",IFERROR(E4381 / SUMIFS('📅 Resumen Diario'!$D$5:$D$504, '📅 Resumen Diario'!$B$5:$B$504, B4381, '📅 Resumen Diario'!$C$5:$C$504, D4381) * SUMIFS('📅 Resumen Diario'!$K$5:$K$504, '📅 Resumen Diario'!$B$5:$B$504, B4381, '📅 Resumen Diario'!$C$5:$C$504, D4381), 0))</f>
        <v/>
      </c>
      <c r="M4381" s="31" t="str">
        <f t="shared" si="479"/>
        <v/>
      </c>
      <c r="N4381" s="31" t="str">
        <f t="shared" si="480"/>
        <v/>
      </c>
      <c r="O4381" s="31" t="str">
        <f>IF(OR(B4381="",C4381=""),"",K4381-N4381 + IFERROR(E4381 / SUMIFS('📅 Resumen Diario'!$D$5:$D$504, '📅 Resumen Diario'!$B$5:$B$504, B4381, '📅 Resumen Diario'!$C$5:$C$504, D4381) * (SUMIFS('📋 Detalle Diario'!$E$5:$E$489, '📋 Detalle Diario'!$B$5:$B$489, B4381, '📋 Detalle Diario'!$C$5:$C$489, D4381) * 135 + SUMIFS('📋 Detalle Diario'!$I$5:$I$489, '📋 Detalle Diario'!$B$5:$B$489, B4381, '📋 Detalle Diario'!$C$5:$C$489, D4381) * 200), 0))</f>
        <v/>
      </c>
      <c r="P4381" s="32" t="str">
        <f t="shared" si="481"/>
        <v/>
      </c>
      <c r="Q4381" s="33" t="str">
        <f t="shared" si="482"/>
        <v/>
      </c>
    </row>
    <row r="4382" spans="2:17" ht="18" customHeight="1" x14ac:dyDescent="0.3">
      <c r="B4382" s="26"/>
      <c r="C4382" s="17"/>
      <c r="D4382" s="27"/>
      <c r="E4382" s="18"/>
      <c r="F4382" s="18"/>
      <c r="G4382" s="18"/>
      <c r="H4382" s="30" t="str">
        <f t="shared" si="476"/>
        <v/>
      </c>
      <c r="I4382" s="31" t="str">
        <f>IF(OR(B4382="",C4382=""),"",IFERROR(E4382*IF(E4382="",0,VLOOKUP(C4382,'📦 Precios Proforma'!$B$5:$D$104,IF(D4382="DIA",2,3),FALSE)),0))</f>
        <v/>
      </c>
      <c r="J4382" s="31" t="str">
        <f t="shared" si="477"/>
        <v/>
      </c>
      <c r="K4382" s="31" t="str">
        <f t="shared" si="478"/>
        <v/>
      </c>
      <c r="L4382" s="31" t="str">
        <f>IF(OR(B4382="",C4382=""),"",IFERROR(E4382 / SUMIFS('📅 Resumen Diario'!$D$5:$D$504, '📅 Resumen Diario'!$B$5:$B$504, B4382, '📅 Resumen Diario'!$C$5:$C$504, D4382) * SUMIFS('📅 Resumen Diario'!$K$5:$K$504, '📅 Resumen Diario'!$B$5:$B$504, B4382, '📅 Resumen Diario'!$C$5:$C$504, D4382), 0))</f>
        <v/>
      </c>
      <c r="M4382" s="31" t="str">
        <f t="shared" si="479"/>
        <v/>
      </c>
      <c r="N4382" s="31" t="str">
        <f t="shared" si="480"/>
        <v/>
      </c>
      <c r="O4382" s="31" t="str">
        <f>IF(OR(B4382="",C4382=""),"",K4382-N4382 + IFERROR(E4382 / SUMIFS('📅 Resumen Diario'!$D$5:$D$504, '📅 Resumen Diario'!$B$5:$B$504, B4382, '📅 Resumen Diario'!$C$5:$C$504, D4382) * (SUMIFS('📋 Detalle Diario'!$E$5:$E$489, '📋 Detalle Diario'!$B$5:$B$489, B4382, '📋 Detalle Diario'!$C$5:$C$489, D4382) * 135 + SUMIFS('📋 Detalle Diario'!$I$5:$I$489, '📋 Detalle Diario'!$B$5:$B$489, B4382, '📋 Detalle Diario'!$C$5:$C$489, D4382) * 200), 0))</f>
        <v/>
      </c>
      <c r="P4382" s="32" t="str">
        <f t="shared" si="481"/>
        <v/>
      </c>
      <c r="Q4382" s="33" t="str">
        <f t="shared" si="482"/>
        <v/>
      </c>
    </row>
    <row r="4383" spans="2:17" ht="18" customHeight="1" x14ac:dyDescent="0.3">
      <c r="B4383" s="26"/>
      <c r="C4383" s="28"/>
      <c r="D4383" s="27"/>
      <c r="E4383" s="29"/>
      <c r="F4383" s="29"/>
      <c r="G4383" s="29"/>
      <c r="H4383" s="30" t="str">
        <f t="shared" si="476"/>
        <v/>
      </c>
      <c r="I4383" s="31" t="str">
        <f>IF(OR(B4383="",C4383=""),"",IFERROR(E4383*IF(E4383="",0,VLOOKUP(C4383,'📦 Precios Proforma'!$B$5:$D$104,IF(D4383="DIA",2,3),FALSE)),0))</f>
        <v/>
      </c>
      <c r="J4383" s="31" t="str">
        <f t="shared" si="477"/>
        <v/>
      </c>
      <c r="K4383" s="31" t="str">
        <f t="shared" si="478"/>
        <v/>
      </c>
      <c r="L4383" s="31" t="str">
        <f>IF(OR(B4383="",C4383=""),"",IFERROR(E4383 / SUMIFS('📅 Resumen Diario'!$D$5:$D$504, '📅 Resumen Diario'!$B$5:$B$504, B4383, '📅 Resumen Diario'!$C$5:$C$504, D4383) * SUMIFS('📅 Resumen Diario'!$K$5:$K$504, '📅 Resumen Diario'!$B$5:$B$504, B4383, '📅 Resumen Diario'!$C$5:$C$504, D4383), 0))</f>
        <v/>
      </c>
      <c r="M4383" s="31" t="str">
        <f t="shared" si="479"/>
        <v/>
      </c>
      <c r="N4383" s="31" t="str">
        <f t="shared" si="480"/>
        <v/>
      </c>
      <c r="O4383" s="31" t="str">
        <f>IF(OR(B4383="",C4383=""),"",K4383-N4383 + IFERROR(E4383 / SUMIFS('📅 Resumen Diario'!$D$5:$D$504, '📅 Resumen Diario'!$B$5:$B$504, B4383, '📅 Resumen Diario'!$C$5:$C$504, D4383) * (SUMIFS('📋 Detalle Diario'!$E$5:$E$489, '📋 Detalle Diario'!$B$5:$B$489, B4383, '📋 Detalle Diario'!$C$5:$C$489, D4383) * 135 + SUMIFS('📋 Detalle Diario'!$I$5:$I$489, '📋 Detalle Diario'!$B$5:$B$489, B4383, '📋 Detalle Diario'!$C$5:$C$489, D4383) * 200), 0))</f>
        <v/>
      </c>
      <c r="P4383" s="32" t="str">
        <f t="shared" si="481"/>
        <v/>
      </c>
      <c r="Q4383" s="33" t="str">
        <f t="shared" si="482"/>
        <v/>
      </c>
    </row>
    <row r="4384" spans="2:17" ht="18" customHeight="1" x14ac:dyDescent="0.3">
      <c r="B4384" s="26"/>
      <c r="C4384" s="17"/>
      <c r="D4384" s="27"/>
      <c r="E4384" s="18"/>
      <c r="F4384" s="18"/>
      <c r="G4384" s="18"/>
      <c r="H4384" s="30" t="str">
        <f t="shared" si="476"/>
        <v/>
      </c>
      <c r="I4384" s="31" t="str">
        <f>IF(OR(B4384="",C4384=""),"",IFERROR(E4384*IF(E4384="",0,VLOOKUP(C4384,'📦 Precios Proforma'!$B$5:$D$104,IF(D4384="DIA",2,3),FALSE)),0))</f>
        <v/>
      </c>
      <c r="J4384" s="31" t="str">
        <f t="shared" si="477"/>
        <v/>
      </c>
      <c r="K4384" s="31" t="str">
        <f t="shared" si="478"/>
        <v/>
      </c>
      <c r="L4384" s="31" t="str">
        <f>IF(OR(B4384="",C4384=""),"",IFERROR(E4384 / SUMIFS('📅 Resumen Diario'!$D$5:$D$504, '📅 Resumen Diario'!$B$5:$B$504, B4384, '📅 Resumen Diario'!$C$5:$C$504, D4384) * SUMIFS('📅 Resumen Diario'!$K$5:$K$504, '📅 Resumen Diario'!$B$5:$B$504, B4384, '📅 Resumen Diario'!$C$5:$C$504, D4384), 0))</f>
        <v/>
      </c>
      <c r="M4384" s="31" t="str">
        <f t="shared" si="479"/>
        <v/>
      </c>
      <c r="N4384" s="31" t="str">
        <f t="shared" si="480"/>
        <v/>
      </c>
      <c r="O4384" s="31" t="str">
        <f>IF(OR(B4384="",C4384=""),"",K4384-N4384 + IFERROR(E4384 / SUMIFS('📅 Resumen Diario'!$D$5:$D$504, '📅 Resumen Diario'!$B$5:$B$504, B4384, '📅 Resumen Diario'!$C$5:$C$504, D4384) * (SUMIFS('📋 Detalle Diario'!$E$5:$E$489, '📋 Detalle Diario'!$B$5:$B$489, B4384, '📋 Detalle Diario'!$C$5:$C$489, D4384) * 135 + SUMIFS('📋 Detalle Diario'!$I$5:$I$489, '📋 Detalle Diario'!$B$5:$B$489, B4384, '📋 Detalle Diario'!$C$5:$C$489, D4384) * 200), 0))</f>
        <v/>
      </c>
      <c r="P4384" s="32" t="str">
        <f t="shared" si="481"/>
        <v/>
      </c>
      <c r="Q4384" s="33" t="str">
        <f t="shared" si="482"/>
        <v/>
      </c>
    </row>
    <row r="4385" spans="2:17" ht="18" customHeight="1" x14ac:dyDescent="0.3">
      <c r="B4385" s="26"/>
      <c r="C4385" s="28"/>
      <c r="D4385" s="27"/>
      <c r="E4385" s="29"/>
      <c r="F4385" s="29"/>
      <c r="G4385" s="29"/>
      <c r="H4385" s="30" t="str">
        <f t="shared" si="476"/>
        <v/>
      </c>
      <c r="I4385" s="31" t="str">
        <f>IF(OR(B4385="",C4385=""),"",IFERROR(E4385*IF(E4385="",0,VLOOKUP(C4385,'📦 Precios Proforma'!$B$5:$D$104,IF(D4385="DIA",2,3),FALSE)),0))</f>
        <v/>
      </c>
      <c r="J4385" s="31" t="str">
        <f t="shared" si="477"/>
        <v/>
      </c>
      <c r="K4385" s="31" t="str">
        <f t="shared" si="478"/>
        <v/>
      </c>
      <c r="L4385" s="31" t="str">
        <f>IF(OR(B4385="",C4385=""),"",IFERROR(E4385 / SUMIFS('📅 Resumen Diario'!$D$5:$D$504, '📅 Resumen Diario'!$B$5:$B$504, B4385, '📅 Resumen Diario'!$C$5:$C$504, D4385) * SUMIFS('📅 Resumen Diario'!$K$5:$K$504, '📅 Resumen Diario'!$B$5:$B$504, B4385, '📅 Resumen Diario'!$C$5:$C$504, D4385), 0))</f>
        <v/>
      </c>
      <c r="M4385" s="31" t="str">
        <f t="shared" si="479"/>
        <v/>
      </c>
      <c r="N4385" s="31" t="str">
        <f t="shared" si="480"/>
        <v/>
      </c>
      <c r="O4385" s="31" t="str">
        <f>IF(OR(B4385="",C4385=""),"",K4385-N4385 + IFERROR(E4385 / SUMIFS('📅 Resumen Diario'!$D$5:$D$504, '📅 Resumen Diario'!$B$5:$B$504, B4385, '📅 Resumen Diario'!$C$5:$C$504, D4385) * (SUMIFS('📋 Detalle Diario'!$E$5:$E$489, '📋 Detalle Diario'!$B$5:$B$489, B4385, '📋 Detalle Diario'!$C$5:$C$489, D4385) * 135 + SUMIFS('📋 Detalle Diario'!$I$5:$I$489, '📋 Detalle Diario'!$B$5:$B$489, B4385, '📋 Detalle Diario'!$C$5:$C$489, D4385) * 200), 0))</f>
        <v/>
      </c>
      <c r="P4385" s="32" t="str">
        <f t="shared" si="481"/>
        <v/>
      </c>
      <c r="Q4385" s="33" t="str">
        <f t="shared" si="482"/>
        <v/>
      </c>
    </row>
    <row r="4386" spans="2:17" ht="18" customHeight="1" x14ac:dyDescent="0.3">
      <c r="B4386" s="26"/>
      <c r="C4386" s="17"/>
      <c r="D4386" s="27"/>
      <c r="E4386" s="18"/>
      <c r="F4386" s="18"/>
      <c r="G4386" s="18"/>
      <c r="H4386" s="30" t="str">
        <f t="shared" si="476"/>
        <v/>
      </c>
      <c r="I4386" s="31" t="str">
        <f>IF(OR(B4386="",C4386=""),"",IFERROR(E4386*IF(E4386="",0,VLOOKUP(C4386,'📦 Precios Proforma'!$B$5:$D$104,IF(D4386="DIA",2,3),FALSE)),0))</f>
        <v/>
      </c>
      <c r="J4386" s="31" t="str">
        <f t="shared" si="477"/>
        <v/>
      </c>
      <c r="K4386" s="31" t="str">
        <f t="shared" si="478"/>
        <v/>
      </c>
      <c r="L4386" s="31" t="str">
        <f>IF(OR(B4386="",C4386=""),"",IFERROR(E4386 / SUMIFS('📅 Resumen Diario'!$D$5:$D$504, '📅 Resumen Diario'!$B$5:$B$504, B4386, '📅 Resumen Diario'!$C$5:$C$504, D4386) * SUMIFS('📅 Resumen Diario'!$K$5:$K$504, '📅 Resumen Diario'!$B$5:$B$504, B4386, '📅 Resumen Diario'!$C$5:$C$504, D4386), 0))</f>
        <v/>
      </c>
      <c r="M4386" s="31" t="str">
        <f t="shared" si="479"/>
        <v/>
      </c>
      <c r="N4386" s="31" t="str">
        <f t="shared" si="480"/>
        <v/>
      </c>
      <c r="O4386" s="31" t="str">
        <f>IF(OR(B4386="",C4386=""),"",K4386-N4386 + IFERROR(E4386 / SUMIFS('📅 Resumen Diario'!$D$5:$D$504, '📅 Resumen Diario'!$B$5:$B$504, B4386, '📅 Resumen Diario'!$C$5:$C$504, D4386) * (SUMIFS('📋 Detalle Diario'!$E$5:$E$489, '📋 Detalle Diario'!$B$5:$B$489, B4386, '📋 Detalle Diario'!$C$5:$C$489, D4386) * 135 + SUMIFS('📋 Detalle Diario'!$I$5:$I$489, '📋 Detalle Diario'!$B$5:$B$489, B4386, '📋 Detalle Diario'!$C$5:$C$489, D4386) * 200), 0))</f>
        <v/>
      </c>
      <c r="P4386" s="32" t="str">
        <f t="shared" si="481"/>
        <v/>
      </c>
      <c r="Q4386" s="33" t="str">
        <f t="shared" si="482"/>
        <v/>
      </c>
    </row>
    <row r="4387" spans="2:17" ht="18" customHeight="1" x14ac:dyDescent="0.3">
      <c r="B4387" s="26"/>
      <c r="C4387" s="28"/>
      <c r="D4387" s="27"/>
      <c r="E4387" s="29"/>
      <c r="F4387" s="29"/>
      <c r="G4387" s="29"/>
      <c r="H4387" s="30" t="str">
        <f t="shared" si="476"/>
        <v/>
      </c>
      <c r="I4387" s="31" t="str">
        <f>IF(OR(B4387="",C4387=""),"",IFERROR(E4387*IF(E4387="",0,VLOOKUP(C4387,'📦 Precios Proforma'!$B$5:$D$104,IF(D4387="DIA",2,3),FALSE)),0))</f>
        <v/>
      </c>
      <c r="J4387" s="31" t="str">
        <f t="shared" si="477"/>
        <v/>
      </c>
      <c r="K4387" s="31" t="str">
        <f t="shared" si="478"/>
        <v/>
      </c>
      <c r="L4387" s="31" t="str">
        <f>IF(OR(B4387="",C4387=""),"",IFERROR(E4387 / SUMIFS('📅 Resumen Diario'!$D$5:$D$504, '📅 Resumen Diario'!$B$5:$B$504, B4387, '📅 Resumen Diario'!$C$5:$C$504, D4387) * SUMIFS('📅 Resumen Diario'!$K$5:$K$504, '📅 Resumen Diario'!$B$5:$B$504, B4387, '📅 Resumen Diario'!$C$5:$C$504, D4387), 0))</f>
        <v/>
      </c>
      <c r="M4387" s="31" t="str">
        <f t="shared" si="479"/>
        <v/>
      </c>
      <c r="N4387" s="31" t="str">
        <f t="shared" si="480"/>
        <v/>
      </c>
      <c r="O4387" s="31" t="str">
        <f>IF(OR(B4387="",C4387=""),"",K4387-N4387 + IFERROR(E4387 / SUMIFS('📅 Resumen Diario'!$D$5:$D$504, '📅 Resumen Diario'!$B$5:$B$504, B4387, '📅 Resumen Diario'!$C$5:$C$504, D4387) * (SUMIFS('📋 Detalle Diario'!$E$5:$E$489, '📋 Detalle Diario'!$B$5:$B$489, B4387, '📋 Detalle Diario'!$C$5:$C$489, D4387) * 135 + SUMIFS('📋 Detalle Diario'!$I$5:$I$489, '📋 Detalle Diario'!$B$5:$B$489, B4387, '📋 Detalle Diario'!$C$5:$C$489, D4387) * 200), 0))</f>
        <v/>
      </c>
      <c r="P4387" s="32" t="str">
        <f t="shared" si="481"/>
        <v/>
      </c>
      <c r="Q4387" s="33" t="str">
        <f t="shared" si="482"/>
        <v/>
      </c>
    </row>
    <row r="4388" spans="2:17" ht="18" customHeight="1" x14ac:dyDescent="0.3">
      <c r="B4388" s="26"/>
      <c r="C4388" s="17"/>
      <c r="D4388" s="27"/>
      <c r="E4388" s="18"/>
      <c r="F4388" s="18"/>
      <c r="G4388" s="18"/>
      <c r="H4388" s="30" t="str">
        <f t="shared" si="476"/>
        <v/>
      </c>
      <c r="I4388" s="31" t="str">
        <f>IF(OR(B4388="",C4388=""),"",IFERROR(E4388*IF(E4388="",0,VLOOKUP(C4388,'📦 Precios Proforma'!$B$5:$D$104,IF(D4388="DIA",2,3),FALSE)),0))</f>
        <v/>
      </c>
      <c r="J4388" s="31" t="str">
        <f t="shared" si="477"/>
        <v/>
      </c>
      <c r="K4388" s="31" t="str">
        <f t="shared" si="478"/>
        <v/>
      </c>
      <c r="L4388" s="31" t="str">
        <f>IF(OR(B4388="",C4388=""),"",IFERROR(E4388 / SUMIFS('📅 Resumen Diario'!$D$5:$D$504, '📅 Resumen Diario'!$B$5:$B$504, B4388, '📅 Resumen Diario'!$C$5:$C$504, D4388) * SUMIFS('📅 Resumen Diario'!$K$5:$K$504, '📅 Resumen Diario'!$B$5:$B$504, B4388, '📅 Resumen Diario'!$C$5:$C$504, D4388), 0))</f>
        <v/>
      </c>
      <c r="M4388" s="31" t="str">
        <f t="shared" si="479"/>
        <v/>
      </c>
      <c r="N4388" s="31" t="str">
        <f t="shared" si="480"/>
        <v/>
      </c>
      <c r="O4388" s="31" t="str">
        <f>IF(OR(B4388="",C4388=""),"",K4388-N4388 + IFERROR(E4388 / SUMIFS('📅 Resumen Diario'!$D$5:$D$504, '📅 Resumen Diario'!$B$5:$B$504, B4388, '📅 Resumen Diario'!$C$5:$C$504, D4388) * (SUMIFS('📋 Detalle Diario'!$E$5:$E$489, '📋 Detalle Diario'!$B$5:$B$489, B4388, '📋 Detalle Diario'!$C$5:$C$489, D4388) * 135 + SUMIFS('📋 Detalle Diario'!$I$5:$I$489, '📋 Detalle Diario'!$B$5:$B$489, B4388, '📋 Detalle Diario'!$C$5:$C$489, D4388) * 200), 0))</f>
        <v/>
      </c>
      <c r="P4388" s="32" t="str">
        <f t="shared" si="481"/>
        <v/>
      </c>
      <c r="Q4388" s="33" t="str">
        <f t="shared" si="482"/>
        <v/>
      </c>
    </row>
    <row r="4389" spans="2:17" ht="18" customHeight="1" x14ac:dyDescent="0.3">
      <c r="B4389" s="26"/>
      <c r="C4389" s="28"/>
      <c r="D4389" s="27"/>
      <c r="E4389" s="29"/>
      <c r="F4389" s="29"/>
      <c r="G4389" s="29"/>
      <c r="H4389" s="30" t="str">
        <f t="shared" si="476"/>
        <v/>
      </c>
      <c r="I4389" s="31" t="str">
        <f>IF(OR(B4389="",C4389=""),"",IFERROR(E4389*IF(E4389="",0,VLOOKUP(C4389,'📦 Precios Proforma'!$B$5:$D$104,IF(D4389="DIA",2,3),FALSE)),0))</f>
        <v/>
      </c>
      <c r="J4389" s="31" t="str">
        <f t="shared" si="477"/>
        <v/>
      </c>
      <c r="K4389" s="31" t="str">
        <f t="shared" si="478"/>
        <v/>
      </c>
      <c r="L4389" s="31" t="str">
        <f>IF(OR(B4389="",C4389=""),"",IFERROR(E4389 / SUMIFS('📅 Resumen Diario'!$D$5:$D$504, '📅 Resumen Diario'!$B$5:$B$504, B4389, '📅 Resumen Diario'!$C$5:$C$504, D4389) * SUMIFS('📅 Resumen Diario'!$K$5:$K$504, '📅 Resumen Diario'!$B$5:$B$504, B4389, '📅 Resumen Diario'!$C$5:$C$504, D4389), 0))</f>
        <v/>
      </c>
      <c r="M4389" s="31" t="str">
        <f t="shared" si="479"/>
        <v/>
      </c>
      <c r="N4389" s="31" t="str">
        <f t="shared" si="480"/>
        <v/>
      </c>
      <c r="O4389" s="31" t="str">
        <f>IF(OR(B4389="",C4389=""),"",K4389-N4389 + IFERROR(E4389 / SUMIFS('📅 Resumen Diario'!$D$5:$D$504, '📅 Resumen Diario'!$B$5:$B$504, B4389, '📅 Resumen Diario'!$C$5:$C$504, D4389) * (SUMIFS('📋 Detalle Diario'!$E$5:$E$489, '📋 Detalle Diario'!$B$5:$B$489, B4389, '📋 Detalle Diario'!$C$5:$C$489, D4389) * 135 + SUMIFS('📋 Detalle Diario'!$I$5:$I$489, '📋 Detalle Diario'!$B$5:$B$489, B4389, '📋 Detalle Diario'!$C$5:$C$489, D4389) * 200), 0))</f>
        <v/>
      </c>
      <c r="P4389" s="32" t="str">
        <f t="shared" si="481"/>
        <v/>
      </c>
      <c r="Q4389" s="33" t="str">
        <f t="shared" si="482"/>
        <v/>
      </c>
    </row>
    <row r="4390" spans="2:17" ht="18" customHeight="1" x14ac:dyDescent="0.3">
      <c r="B4390" s="26"/>
      <c r="C4390" s="17"/>
      <c r="D4390" s="27"/>
      <c r="E4390" s="18"/>
      <c r="F4390" s="18"/>
      <c r="G4390" s="18"/>
      <c r="H4390" s="30" t="str">
        <f t="shared" si="476"/>
        <v/>
      </c>
      <c r="I4390" s="31" t="str">
        <f>IF(OR(B4390="",C4390=""),"",IFERROR(E4390*IF(E4390="",0,VLOOKUP(C4390,'📦 Precios Proforma'!$B$5:$D$104,IF(D4390="DIA",2,3),FALSE)),0))</f>
        <v/>
      </c>
      <c r="J4390" s="31" t="str">
        <f t="shared" si="477"/>
        <v/>
      </c>
      <c r="K4390" s="31" t="str">
        <f t="shared" si="478"/>
        <v/>
      </c>
      <c r="L4390" s="31" t="str">
        <f>IF(OR(B4390="",C4390=""),"",IFERROR(E4390 / SUMIFS('📅 Resumen Diario'!$D$5:$D$504, '📅 Resumen Diario'!$B$5:$B$504, B4390, '📅 Resumen Diario'!$C$5:$C$504, D4390) * SUMIFS('📅 Resumen Diario'!$K$5:$K$504, '📅 Resumen Diario'!$B$5:$B$504, B4390, '📅 Resumen Diario'!$C$5:$C$504, D4390), 0))</f>
        <v/>
      </c>
      <c r="M4390" s="31" t="str">
        <f t="shared" si="479"/>
        <v/>
      </c>
      <c r="N4390" s="31" t="str">
        <f t="shared" si="480"/>
        <v/>
      </c>
      <c r="O4390" s="31" t="str">
        <f>IF(OR(B4390="",C4390=""),"",K4390-N4390 + IFERROR(E4390 / SUMIFS('📅 Resumen Diario'!$D$5:$D$504, '📅 Resumen Diario'!$B$5:$B$504, B4390, '📅 Resumen Diario'!$C$5:$C$504, D4390) * (SUMIFS('📋 Detalle Diario'!$E$5:$E$489, '📋 Detalle Diario'!$B$5:$B$489, B4390, '📋 Detalle Diario'!$C$5:$C$489, D4390) * 135 + SUMIFS('📋 Detalle Diario'!$I$5:$I$489, '📋 Detalle Diario'!$B$5:$B$489, B4390, '📋 Detalle Diario'!$C$5:$C$489, D4390) * 200), 0))</f>
        <v/>
      </c>
      <c r="P4390" s="32" t="str">
        <f t="shared" si="481"/>
        <v/>
      </c>
      <c r="Q4390" s="33" t="str">
        <f t="shared" si="482"/>
        <v/>
      </c>
    </row>
    <row r="4391" spans="2:17" ht="18" customHeight="1" x14ac:dyDescent="0.3">
      <c r="B4391" s="26"/>
      <c r="C4391" s="28"/>
      <c r="D4391" s="27"/>
      <c r="E4391" s="29"/>
      <c r="F4391" s="29"/>
      <c r="G4391" s="29"/>
      <c r="H4391" s="30" t="str">
        <f t="shared" si="476"/>
        <v/>
      </c>
      <c r="I4391" s="31" t="str">
        <f>IF(OR(B4391="",C4391=""),"",IFERROR(E4391*IF(E4391="",0,VLOOKUP(C4391,'📦 Precios Proforma'!$B$5:$D$104,IF(D4391="DIA",2,3),FALSE)),0))</f>
        <v/>
      </c>
      <c r="J4391" s="31" t="str">
        <f t="shared" si="477"/>
        <v/>
      </c>
      <c r="K4391" s="31" t="str">
        <f t="shared" si="478"/>
        <v/>
      </c>
      <c r="L4391" s="31" t="str">
        <f>IF(OR(B4391="",C4391=""),"",IFERROR(E4391 / SUMIFS('📅 Resumen Diario'!$D$5:$D$504, '📅 Resumen Diario'!$B$5:$B$504, B4391, '📅 Resumen Diario'!$C$5:$C$504, D4391) * SUMIFS('📅 Resumen Diario'!$K$5:$K$504, '📅 Resumen Diario'!$B$5:$B$504, B4391, '📅 Resumen Diario'!$C$5:$C$504, D4391), 0))</f>
        <v/>
      </c>
      <c r="M4391" s="31" t="str">
        <f t="shared" si="479"/>
        <v/>
      </c>
      <c r="N4391" s="31" t="str">
        <f t="shared" si="480"/>
        <v/>
      </c>
      <c r="O4391" s="31" t="str">
        <f>IF(OR(B4391="",C4391=""),"",K4391-N4391 + IFERROR(E4391 / SUMIFS('📅 Resumen Diario'!$D$5:$D$504, '📅 Resumen Diario'!$B$5:$B$504, B4391, '📅 Resumen Diario'!$C$5:$C$504, D4391) * (SUMIFS('📋 Detalle Diario'!$E$5:$E$489, '📋 Detalle Diario'!$B$5:$B$489, B4391, '📋 Detalle Diario'!$C$5:$C$489, D4391) * 135 + SUMIFS('📋 Detalle Diario'!$I$5:$I$489, '📋 Detalle Diario'!$B$5:$B$489, B4391, '📋 Detalle Diario'!$C$5:$C$489, D4391) * 200), 0))</f>
        <v/>
      </c>
      <c r="P4391" s="32" t="str">
        <f t="shared" si="481"/>
        <v/>
      </c>
      <c r="Q4391" s="33" t="str">
        <f t="shared" si="482"/>
        <v/>
      </c>
    </row>
    <row r="4392" spans="2:17" ht="18" customHeight="1" x14ac:dyDescent="0.3">
      <c r="B4392" s="26"/>
      <c r="C4392" s="17"/>
      <c r="D4392" s="27"/>
      <c r="E4392" s="18"/>
      <c r="F4392" s="18"/>
      <c r="G4392" s="18"/>
      <c r="H4392" s="30" t="str">
        <f t="shared" si="476"/>
        <v/>
      </c>
      <c r="I4392" s="31" t="str">
        <f>IF(OR(B4392="",C4392=""),"",IFERROR(E4392*IF(E4392="",0,VLOOKUP(C4392,'📦 Precios Proforma'!$B$5:$D$104,IF(D4392="DIA",2,3),FALSE)),0))</f>
        <v/>
      </c>
      <c r="J4392" s="31" t="str">
        <f t="shared" si="477"/>
        <v/>
      </c>
      <c r="K4392" s="31" t="str">
        <f t="shared" si="478"/>
        <v/>
      </c>
      <c r="L4392" s="31" t="str">
        <f>IF(OR(B4392="",C4392=""),"",IFERROR(E4392 / SUMIFS('📅 Resumen Diario'!$D$5:$D$504, '📅 Resumen Diario'!$B$5:$B$504, B4392, '📅 Resumen Diario'!$C$5:$C$504, D4392) * SUMIFS('📅 Resumen Diario'!$K$5:$K$504, '📅 Resumen Diario'!$B$5:$B$504, B4392, '📅 Resumen Diario'!$C$5:$C$504, D4392), 0))</f>
        <v/>
      </c>
      <c r="M4392" s="31" t="str">
        <f t="shared" si="479"/>
        <v/>
      </c>
      <c r="N4392" s="31" t="str">
        <f t="shared" si="480"/>
        <v/>
      </c>
      <c r="O4392" s="31" t="str">
        <f>IF(OR(B4392="",C4392=""),"",K4392-N4392 + IFERROR(E4392 / SUMIFS('📅 Resumen Diario'!$D$5:$D$504, '📅 Resumen Diario'!$B$5:$B$504, B4392, '📅 Resumen Diario'!$C$5:$C$504, D4392) * (SUMIFS('📋 Detalle Diario'!$E$5:$E$489, '📋 Detalle Diario'!$B$5:$B$489, B4392, '📋 Detalle Diario'!$C$5:$C$489, D4392) * 135 + SUMIFS('📋 Detalle Diario'!$I$5:$I$489, '📋 Detalle Diario'!$B$5:$B$489, B4392, '📋 Detalle Diario'!$C$5:$C$489, D4392) * 200), 0))</f>
        <v/>
      </c>
      <c r="P4392" s="32" t="str">
        <f t="shared" si="481"/>
        <v/>
      </c>
      <c r="Q4392" s="33" t="str">
        <f t="shared" si="482"/>
        <v/>
      </c>
    </row>
    <row r="4393" spans="2:17" ht="18" customHeight="1" x14ac:dyDescent="0.3">
      <c r="B4393" s="26"/>
      <c r="C4393" s="28"/>
      <c r="D4393" s="27"/>
      <c r="E4393" s="29"/>
      <c r="F4393" s="29"/>
      <c r="G4393" s="29"/>
      <c r="H4393" s="30" t="str">
        <f t="shared" si="476"/>
        <v/>
      </c>
      <c r="I4393" s="31" t="str">
        <f>IF(OR(B4393="",C4393=""),"",IFERROR(E4393*IF(E4393="",0,VLOOKUP(C4393,'📦 Precios Proforma'!$B$5:$D$104,IF(D4393="DIA",2,3),FALSE)),0))</f>
        <v/>
      </c>
      <c r="J4393" s="31" t="str">
        <f t="shared" si="477"/>
        <v/>
      </c>
      <c r="K4393" s="31" t="str">
        <f t="shared" si="478"/>
        <v/>
      </c>
      <c r="L4393" s="31" t="str">
        <f>IF(OR(B4393="",C4393=""),"",IFERROR(E4393 / SUMIFS('📅 Resumen Diario'!$D$5:$D$504, '📅 Resumen Diario'!$B$5:$B$504, B4393, '📅 Resumen Diario'!$C$5:$C$504, D4393) * SUMIFS('📅 Resumen Diario'!$K$5:$K$504, '📅 Resumen Diario'!$B$5:$B$504, B4393, '📅 Resumen Diario'!$C$5:$C$504, D4393), 0))</f>
        <v/>
      </c>
      <c r="M4393" s="31" t="str">
        <f t="shared" si="479"/>
        <v/>
      </c>
      <c r="N4393" s="31" t="str">
        <f t="shared" si="480"/>
        <v/>
      </c>
      <c r="O4393" s="31" t="str">
        <f>IF(OR(B4393="",C4393=""),"",K4393-N4393 + IFERROR(E4393 / SUMIFS('📅 Resumen Diario'!$D$5:$D$504, '📅 Resumen Diario'!$B$5:$B$504, B4393, '📅 Resumen Diario'!$C$5:$C$504, D4393) * (SUMIFS('📋 Detalle Diario'!$E$5:$E$489, '📋 Detalle Diario'!$B$5:$B$489, B4393, '📋 Detalle Diario'!$C$5:$C$489, D4393) * 135 + SUMIFS('📋 Detalle Diario'!$I$5:$I$489, '📋 Detalle Diario'!$B$5:$B$489, B4393, '📋 Detalle Diario'!$C$5:$C$489, D4393) * 200), 0))</f>
        <v/>
      </c>
      <c r="P4393" s="32" t="str">
        <f t="shared" si="481"/>
        <v/>
      </c>
      <c r="Q4393" s="33" t="str">
        <f t="shared" si="482"/>
        <v/>
      </c>
    </row>
    <row r="4394" spans="2:17" ht="18" customHeight="1" x14ac:dyDescent="0.3">
      <c r="B4394" s="26"/>
      <c r="C4394" s="17"/>
      <c r="D4394" s="27"/>
      <c r="E4394" s="18"/>
      <c r="F4394" s="18"/>
      <c r="G4394" s="18"/>
      <c r="H4394" s="30" t="str">
        <f t="shared" si="476"/>
        <v/>
      </c>
      <c r="I4394" s="31" t="str">
        <f>IF(OR(B4394="",C4394=""),"",IFERROR(E4394*IF(E4394="",0,VLOOKUP(C4394,'📦 Precios Proforma'!$B$5:$D$104,IF(D4394="DIA",2,3),FALSE)),0))</f>
        <v/>
      </c>
      <c r="J4394" s="31" t="str">
        <f t="shared" si="477"/>
        <v/>
      </c>
      <c r="K4394" s="31" t="str">
        <f t="shared" si="478"/>
        <v/>
      </c>
      <c r="L4394" s="31" t="str">
        <f>IF(OR(B4394="",C4394=""),"",IFERROR(E4394 / SUMIFS('📅 Resumen Diario'!$D$5:$D$504, '📅 Resumen Diario'!$B$5:$B$504, B4394, '📅 Resumen Diario'!$C$5:$C$504, D4394) * SUMIFS('📅 Resumen Diario'!$K$5:$K$504, '📅 Resumen Diario'!$B$5:$B$504, B4394, '📅 Resumen Diario'!$C$5:$C$504, D4394), 0))</f>
        <v/>
      </c>
      <c r="M4394" s="31" t="str">
        <f t="shared" si="479"/>
        <v/>
      </c>
      <c r="N4394" s="31" t="str">
        <f t="shared" si="480"/>
        <v/>
      </c>
      <c r="O4394" s="31" t="str">
        <f>IF(OR(B4394="",C4394=""),"",K4394-N4394 + IFERROR(E4394 / SUMIFS('📅 Resumen Diario'!$D$5:$D$504, '📅 Resumen Diario'!$B$5:$B$504, B4394, '📅 Resumen Diario'!$C$5:$C$504, D4394) * (SUMIFS('📋 Detalle Diario'!$E$5:$E$489, '📋 Detalle Diario'!$B$5:$B$489, B4394, '📋 Detalle Diario'!$C$5:$C$489, D4394) * 135 + SUMIFS('📋 Detalle Diario'!$I$5:$I$489, '📋 Detalle Diario'!$B$5:$B$489, B4394, '📋 Detalle Diario'!$C$5:$C$489, D4394) * 200), 0))</f>
        <v/>
      </c>
      <c r="P4394" s="32" t="str">
        <f t="shared" si="481"/>
        <v/>
      </c>
      <c r="Q4394" s="33" t="str">
        <f t="shared" si="482"/>
        <v/>
      </c>
    </row>
    <row r="4395" spans="2:17" ht="18" customHeight="1" x14ac:dyDescent="0.3">
      <c r="B4395" s="26"/>
      <c r="C4395" s="28"/>
      <c r="D4395" s="27"/>
      <c r="E4395" s="29"/>
      <c r="F4395" s="29"/>
      <c r="G4395" s="29"/>
      <c r="H4395" s="30" t="str">
        <f t="shared" si="476"/>
        <v/>
      </c>
      <c r="I4395" s="31" t="str">
        <f>IF(OR(B4395="",C4395=""),"",IFERROR(E4395*IF(E4395="",0,VLOOKUP(C4395,'📦 Precios Proforma'!$B$5:$D$104,IF(D4395="DIA",2,3),FALSE)),0))</f>
        <v/>
      </c>
      <c r="J4395" s="31" t="str">
        <f t="shared" si="477"/>
        <v/>
      </c>
      <c r="K4395" s="31" t="str">
        <f t="shared" si="478"/>
        <v/>
      </c>
      <c r="L4395" s="31" t="str">
        <f>IF(OR(B4395="",C4395=""),"",IFERROR(E4395 / SUMIFS('📅 Resumen Diario'!$D$5:$D$504, '📅 Resumen Diario'!$B$5:$B$504, B4395, '📅 Resumen Diario'!$C$5:$C$504, D4395) * SUMIFS('📅 Resumen Diario'!$K$5:$K$504, '📅 Resumen Diario'!$B$5:$B$504, B4395, '📅 Resumen Diario'!$C$5:$C$504, D4395), 0))</f>
        <v/>
      </c>
      <c r="M4395" s="31" t="str">
        <f t="shared" si="479"/>
        <v/>
      </c>
      <c r="N4395" s="31" t="str">
        <f t="shared" si="480"/>
        <v/>
      </c>
      <c r="O4395" s="31" t="str">
        <f>IF(OR(B4395="",C4395=""),"",K4395-N4395 + IFERROR(E4395 / SUMIFS('📅 Resumen Diario'!$D$5:$D$504, '📅 Resumen Diario'!$B$5:$B$504, B4395, '📅 Resumen Diario'!$C$5:$C$504, D4395) * (SUMIFS('📋 Detalle Diario'!$E$5:$E$489, '📋 Detalle Diario'!$B$5:$B$489, B4395, '📋 Detalle Diario'!$C$5:$C$489, D4395) * 135 + SUMIFS('📋 Detalle Diario'!$I$5:$I$489, '📋 Detalle Diario'!$B$5:$B$489, B4395, '📋 Detalle Diario'!$C$5:$C$489, D4395) * 200), 0))</f>
        <v/>
      </c>
      <c r="P4395" s="32" t="str">
        <f t="shared" si="481"/>
        <v/>
      </c>
      <c r="Q4395" s="33" t="str">
        <f t="shared" si="482"/>
        <v/>
      </c>
    </row>
    <row r="4396" spans="2:17" ht="18" customHeight="1" x14ac:dyDescent="0.3">
      <c r="B4396" s="26"/>
      <c r="C4396" s="17"/>
      <c r="D4396" s="27"/>
      <c r="E4396" s="18"/>
      <c r="F4396" s="18"/>
      <c r="G4396" s="18"/>
      <c r="H4396" s="30" t="str">
        <f t="shared" si="476"/>
        <v/>
      </c>
      <c r="I4396" s="31" t="str">
        <f>IF(OR(B4396="",C4396=""),"",IFERROR(E4396*IF(E4396="",0,VLOOKUP(C4396,'📦 Precios Proforma'!$B$5:$D$104,IF(D4396="DIA",2,3),FALSE)),0))</f>
        <v/>
      </c>
      <c r="J4396" s="31" t="str">
        <f t="shared" si="477"/>
        <v/>
      </c>
      <c r="K4396" s="31" t="str">
        <f t="shared" si="478"/>
        <v/>
      </c>
      <c r="L4396" s="31" t="str">
        <f>IF(OR(B4396="",C4396=""),"",IFERROR(E4396 / SUMIFS('📅 Resumen Diario'!$D$5:$D$504, '📅 Resumen Diario'!$B$5:$B$504, B4396, '📅 Resumen Diario'!$C$5:$C$504, D4396) * SUMIFS('📅 Resumen Diario'!$K$5:$K$504, '📅 Resumen Diario'!$B$5:$B$504, B4396, '📅 Resumen Diario'!$C$5:$C$504, D4396), 0))</f>
        <v/>
      </c>
      <c r="M4396" s="31" t="str">
        <f t="shared" si="479"/>
        <v/>
      </c>
      <c r="N4396" s="31" t="str">
        <f t="shared" si="480"/>
        <v/>
      </c>
      <c r="O4396" s="31" t="str">
        <f>IF(OR(B4396="",C4396=""),"",K4396-N4396 + IFERROR(E4396 / SUMIFS('📅 Resumen Diario'!$D$5:$D$504, '📅 Resumen Diario'!$B$5:$B$504, B4396, '📅 Resumen Diario'!$C$5:$C$504, D4396) * (SUMIFS('📋 Detalle Diario'!$E$5:$E$489, '📋 Detalle Diario'!$B$5:$B$489, B4396, '📋 Detalle Diario'!$C$5:$C$489, D4396) * 135 + SUMIFS('📋 Detalle Diario'!$I$5:$I$489, '📋 Detalle Diario'!$B$5:$B$489, B4396, '📋 Detalle Diario'!$C$5:$C$489, D4396) * 200), 0))</f>
        <v/>
      </c>
      <c r="P4396" s="32" t="str">
        <f t="shared" si="481"/>
        <v/>
      </c>
      <c r="Q4396" s="33" t="str">
        <f t="shared" si="482"/>
        <v/>
      </c>
    </row>
    <row r="4397" spans="2:17" ht="18" customHeight="1" x14ac:dyDescent="0.3">
      <c r="B4397" s="26"/>
      <c r="C4397" s="28"/>
      <c r="D4397" s="27"/>
      <c r="E4397" s="29"/>
      <c r="F4397" s="29"/>
      <c r="G4397" s="29"/>
      <c r="H4397" s="30" t="str">
        <f t="shared" si="476"/>
        <v/>
      </c>
      <c r="I4397" s="31" t="str">
        <f>IF(OR(B4397="",C4397=""),"",IFERROR(E4397*IF(E4397="",0,VLOOKUP(C4397,'📦 Precios Proforma'!$B$5:$D$104,IF(D4397="DIA",2,3),FALSE)),0))</f>
        <v/>
      </c>
      <c r="J4397" s="31" t="str">
        <f t="shared" si="477"/>
        <v/>
      </c>
      <c r="K4397" s="31" t="str">
        <f t="shared" si="478"/>
        <v/>
      </c>
      <c r="L4397" s="31" t="str">
        <f>IF(OR(B4397="",C4397=""),"",IFERROR(E4397 / SUMIFS('📅 Resumen Diario'!$D$5:$D$504, '📅 Resumen Diario'!$B$5:$B$504, B4397, '📅 Resumen Diario'!$C$5:$C$504, D4397) * SUMIFS('📅 Resumen Diario'!$K$5:$K$504, '📅 Resumen Diario'!$B$5:$B$504, B4397, '📅 Resumen Diario'!$C$5:$C$504, D4397), 0))</f>
        <v/>
      </c>
      <c r="M4397" s="31" t="str">
        <f t="shared" si="479"/>
        <v/>
      </c>
      <c r="N4397" s="31" t="str">
        <f t="shared" si="480"/>
        <v/>
      </c>
      <c r="O4397" s="31" t="str">
        <f>IF(OR(B4397="",C4397=""),"",K4397-N4397 + IFERROR(E4397 / SUMIFS('📅 Resumen Diario'!$D$5:$D$504, '📅 Resumen Diario'!$B$5:$B$504, B4397, '📅 Resumen Diario'!$C$5:$C$504, D4397) * (SUMIFS('📋 Detalle Diario'!$E$5:$E$489, '📋 Detalle Diario'!$B$5:$B$489, B4397, '📋 Detalle Diario'!$C$5:$C$489, D4397) * 135 + SUMIFS('📋 Detalle Diario'!$I$5:$I$489, '📋 Detalle Diario'!$B$5:$B$489, B4397, '📋 Detalle Diario'!$C$5:$C$489, D4397) * 200), 0))</f>
        <v/>
      </c>
      <c r="P4397" s="32" t="str">
        <f t="shared" si="481"/>
        <v/>
      </c>
      <c r="Q4397" s="33" t="str">
        <f t="shared" si="482"/>
        <v/>
      </c>
    </row>
    <row r="4398" spans="2:17" ht="18" customHeight="1" x14ac:dyDescent="0.3">
      <c r="B4398" s="26"/>
      <c r="C4398" s="17"/>
      <c r="D4398" s="27"/>
      <c r="E4398" s="18"/>
      <c r="F4398" s="18"/>
      <c r="G4398" s="18"/>
      <c r="H4398" s="30" t="str">
        <f t="shared" si="476"/>
        <v/>
      </c>
      <c r="I4398" s="31" t="str">
        <f>IF(OR(B4398="",C4398=""),"",IFERROR(E4398*IF(E4398="",0,VLOOKUP(C4398,'📦 Precios Proforma'!$B$5:$D$104,IF(D4398="DIA",2,3),FALSE)),0))</f>
        <v/>
      </c>
      <c r="J4398" s="31" t="str">
        <f t="shared" si="477"/>
        <v/>
      </c>
      <c r="K4398" s="31" t="str">
        <f t="shared" si="478"/>
        <v/>
      </c>
      <c r="L4398" s="31" t="str">
        <f>IF(OR(B4398="",C4398=""),"",IFERROR(E4398 / SUMIFS('📅 Resumen Diario'!$D$5:$D$504, '📅 Resumen Diario'!$B$5:$B$504, B4398, '📅 Resumen Diario'!$C$5:$C$504, D4398) * SUMIFS('📅 Resumen Diario'!$K$5:$K$504, '📅 Resumen Diario'!$B$5:$B$504, B4398, '📅 Resumen Diario'!$C$5:$C$504, D4398), 0))</f>
        <v/>
      </c>
      <c r="M4398" s="31" t="str">
        <f t="shared" si="479"/>
        <v/>
      </c>
      <c r="N4398" s="31" t="str">
        <f t="shared" si="480"/>
        <v/>
      </c>
      <c r="O4398" s="31" t="str">
        <f>IF(OR(B4398="",C4398=""),"",K4398-N4398 + IFERROR(E4398 / SUMIFS('📅 Resumen Diario'!$D$5:$D$504, '📅 Resumen Diario'!$B$5:$B$504, B4398, '📅 Resumen Diario'!$C$5:$C$504, D4398) * (SUMIFS('📋 Detalle Diario'!$E$5:$E$489, '📋 Detalle Diario'!$B$5:$B$489, B4398, '📋 Detalle Diario'!$C$5:$C$489, D4398) * 135 + SUMIFS('📋 Detalle Diario'!$I$5:$I$489, '📋 Detalle Diario'!$B$5:$B$489, B4398, '📋 Detalle Diario'!$C$5:$C$489, D4398) * 200), 0))</f>
        <v/>
      </c>
      <c r="P4398" s="32" t="str">
        <f t="shared" si="481"/>
        <v/>
      </c>
      <c r="Q4398" s="33" t="str">
        <f t="shared" si="482"/>
        <v/>
      </c>
    </row>
    <row r="4399" spans="2:17" ht="18" customHeight="1" x14ac:dyDescent="0.3">
      <c r="B4399" s="26"/>
      <c r="C4399" s="28"/>
      <c r="D4399" s="27"/>
      <c r="E4399" s="29"/>
      <c r="F4399" s="29"/>
      <c r="G4399" s="29"/>
      <c r="H4399" s="30" t="str">
        <f t="shared" si="476"/>
        <v/>
      </c>
      <c r="I4399" s="31" t="str">
        <f>IF(OR(B4399="",C4399=""),"",IFERROR(E4399*IF(E4399="",0,VLOOKUP(C4399,'📦 Precios Proforma'!$B$5:$D$104,IF(D4399="DIA",2,3),FALSE)),0))</f>
        <v/>
      </c>
      <c r="J4399" s="31" t="str">
        <f t="shared" si="477"/>
        <v/>
      </c>
      <c r="K4399" s="31" t="str">
        <f t="shared" si="478"/>
        <v/>
      </c>
      <c r="L4399" s="31" t="str">
        <f>IF(OR(B4399="",C4399=""),"",IFERROR(E4399 / SUMIFS('📅 Resumen Diario'!$D$5:$D$504, '📅 Resumen Diario'!$B$5:$B$504, B4399, '📅 Resumen Diario'!$C$5:$C$504, D4399) * SUMIFS('📅 Resumen Diario'!$K$5:$K$504, '📅 Resumen Diario'!$B$5:$B$504, B4399, '📅 Resumen Diario'!$C$5:$C$504, D4399), 0))</f>
        <v/>
      </c>
      <c r="M4399" s="31" t="str">
        <f t="shared" si="479"/>
        <v/>
      </c>
      <c r="N4399" s="31" t="str">
        <f t="shared" si="480"/>
        <v/>
      </c>
      <c r="O4399" s="31" t="str">
        <f>IF(OR(B4399="",C4399=""),"",K4399-N4399 + IFERROR(E4399 / SUMIFS('📅 Resumen Diario'!$D$5:$D$504, '📅 Resumen Diario'!$B$5:$B$504, B4399, '📅 Resumen Diario'!$C$5:$C$504, D4399) * (SUMIFS('📋 Detalle Diario'!$E$5:$E$489, '📋 Detalle Diario'!$B$5:$B$489, B4399, '📋 Detalle Diario'!$C$5:$C$489, D4399) * 135 + SUMIFS('📋 Detalle Diario'!$I$5:$I$489, '📋 Detalle Diario'!$B$5:$B$489, B4399, '📋 Detalle Diario'!$C$5:$C$489, D4399) * 200), 0))</f>
        <v/>
      </c>
      <c r="P4399" s="32" t="str">
        <f t="shared" si="481"/>
        <v/>
      </c>
      <c r="Q4399" s="33" t="str">
        <f t="shared" si="482"/>
        <v/>
      </c>
    </row>
    <row r="4400" spans="2:17" ht="18" customHeight="1" x14ac:dyDescent="0.3">
      <c r="B4400" s="26"/>
      <c r="C4400" s="17"/>
      <c r="D4400" s="27"/>
      <c r="E4400" s="18"/>
      <c r="F4400" s="18"/>
      <c r="G4400" s="18"/>
      <c r="H4400" s="30" t="str">
        <f t="shared" si="476"/>
        <v/>
      </c>
      <c r="I4400" s="31" t="str">
        <f>IF(OR(B4400="",C4400=""),"",IFERROR(E4400*IF(E4400="",0,VLOOKUP(C4400,'📦 Precios Proforma'!$B$5:$D$104,IF(D4400="DIA",2,3),FALSE)),0))</f>
        <v/>
      </c>
      <c r="J4400" s="31" t="str">
        <f t="shared" si="477"/>
        <v/>
      </c>
      <c r="K4400" s="31" t="str">
        <f t="shared" si="478"/>
        <v/>
      </c>
      <c r="L4400" s="31" t="str">
        <f>IF(OR(B4400="",C4400=""),"",IFERROR(E4400 / SUMIFS('📅 Resumen Diario'!$D$5:$D$504, '📅 Resumen Diario'!$B$5:$B$504, B4400, '📅 Resumen Diario'!$C$5:$C$504, D4400) * SUMIFS('📅 Resumen Diario'!$K$5:$K$504, '📅 Resumen Diario'!$B$5:$B$504, B4400, '📅 Resumen Diario'!$C$5:$C$504, D4400), 0))</f>
        <v/>
      </c>
      <c r="M4400" s="31" t="str">
        <f t="shared" si="479"/>
        <v/>
      </c>
      <c r="N4400" s="31" t="str">
        <f t="shared" si="480"/>
        <v/>
      </c>
      <c r="O4400" s="31" t="str">
        <f>IF(OR(B4400="",C4400=""),"",K4400-N4400 + IFERROR(E4400 / SUMIFS('📅 Resumen Diario'!$D$5:$D$504, '📅 Resumen Diario'!$B$5:$B$504, B4400, '📅 Resumen Diario'!$C$5:$C$504, D4400) * (SUMIFS('📋 Detalle Diario'!$E$5:$E$489, '📋 Detalle Diario'!$B$5:$B$489, B4400, '📋 Detalle Diario'!$C$5:$C$489, D4400) * 135 + SUMIFS('📋 Detalle Diario'!$I$5:$I$489, '📋 Detalle Diario'!$B$5:$B$489, B4400, '📋 Detalle Diario'!$C$5:$C$489, D4400) * 200), 0))</f>
        <v/>
      </c>
      <c r="P4400" s="32" t="str">
        <f t="shared" si="481"/>
        <v/>
      </c>
      <c r="Q4400" s="33" t="str">
        <f t="shared" si="482"/>
        <v/>
      </c>
    </row>
    <row r="4401" spans="2:17" ht="18" customHeight="1" x14ac:dyDescent="0.3">
      <c r="B4401" s="26"/>
      <c r="C4401" s="28"/>
      <c r="D4401" s="27"/>
      <c r="E4401" s="29"/>
      <c r="F4401" s="29"/>
      <c r="G4401" s="29"/>
      <c r="H4401" s="30" t="str">
        <f t="shared" si="476"/>
        <v/>
      </c>
      <c r="I4401" s="31" t="str">
        <f>IF(OR(B4401="",C4401=""),"",IFERROR(E4401*IF(E4401="",0,VLOOKUP(C4401,'📦 Precios Proforma'!$B$5:$D$104,IF(D4401="DIA",2,3),FALSE)),0))</f>
        <v/>
      </c>
      <c r="J4401" s="31" t="str">
        <f t="shared" si="477"/>
        <v/>
      </c>
      <c r="K4401" s="31" t="str">
        <f t="shared" si="478"/>
        <v/>
      </c>
      <c r="L4401" s="31" t="str">
        <f>IF(OR(B4401="",C4401=""),"",IFERROR(E4401 / SUMIFS('📅 Resumen Diario'!$D$5:$D$504, '📅 Resumen Diario'!$B$5:$B$504, B4401, '📅 Resumen Diario'!$C$5:$C$504, D4401) * SUMIFS('📅 Resumen Diario'!$K$5:$K$504, '📅 Resumen Diario'!$B$5:$B$504, B4401, '📅 Resumen Diario'!$C$5:$C$504, D4401), 0))</f>
        <v/>
      </c>
      <c r="M4401" s="31" t="str">
        <f t="shared" si="479"/>
        <v/>
      </c>
      <c r="N4401" s="31" t="str">
        <f t="shared" si="480"/>
        <v/>
      </c>
      <c r="O4401" s="31" t="str">
        <f>IF(OR(B4401="",C4401=""),"",K4401-N4401 + IFERROR(E4401 / SUMIFS('📅 Resumen Diario'!$D$5:$D$504, '📅 Resumen Diario'!$B$5:$B$504, B4401, '📅 Resumen Diario'!$C$5:$C$504, D4401) * (SUMIFS('📋 Detalle Diario'!$E$5:$E$489, '📋 Detalle Diario'!$B$5:$B$489, B4401, '📋 Detalle Diario'!$C$5:$C$489, D4401) * 135 + SUMIFS('📋 Detalle Diario'!$I$5:$I$489, '📋 Detalle Diario'!$B$5:$B$489, B4401, '📋 Detalle Diario'!$C$5:$C$489, D4401) * 200), 0))</f>
        <v/>
      </c>
      <c r="P4401" s="32" t="str">
        <f t="shared" si="481"/>
        <v/>
      </c>
      <c r="Q4401" s="33" t="str">
        <f t="shared" si="482"/>
        <v/>
      </c>
    </row>
    <row r="4402" spans="2:17" ht="18" customHeight="1" x14ac:dyDescent="0.3">
      <c r="B4402" s="26"/>
      <c r="C4402" s="17"/>
      <c r="D4402" s="27"/>
      <c r="E4402" s="18"/>
      <c r="F4402" s="18"/>
      <c r="G4402" s="18"/>
      <c r="H4402" s="30" t="str">
        <f t="shared" si="476"/>
        <v/>
      </c>
      <c r="I4402" s="31" t="str">
        <f>IF(OR(B4402="",C4402=""),"",IFERROR(E4402*IF(E4402="",0,VLOOKUP(C4402,'📦 Precios Proforma'!$B$5:$D$104,IF(D4402="DIA",2,3),FALSE)),0))</f>
        <v/>
      </c>
      <c r="J4402" s="31" t="str">
        <f t="shared" si="477"/>
        <v/>
      </c>
      <c r="K4402" s="31" t="str">
        <f t="shared" si="478"/>
        <v/>
      </c>
      <c r="L4402" s="31" t="str">
        <f>IF(OR(B4402="",C4402=""),"",IFERROR(E4402 / SUMIFS('📅 Resumen Diario'!$D$5:$D$504, '📅 Resumen Diario'!$B$5:$B$504, B4402, '📅 Resumen Diario'!$C$5:$C$504, D4402) * SUMIFS('📅 Resumen Diario'!$K$5:$K$504, '📅 Resumen Diario'!$B$5:$B$504, B4402, '📅 Resumen Diario'!$C$5:$C$504, D4402), 0))</f>
        <v/>
      </c>
      <c r="M4402" s="31" t="str">
        <f t="shared" si="479"/>
        <v/>
      </c>
      <c r="N4402" s="31" t="str">
        <f t="shared" si="480"/>
        <v/>
      </c>
      <c r="O4402" s="31" t="str">
        <f>IF(OR(B4402="",C4402=""),"",K4402-N4402 + IFERROR(E4402 / SUMIFS('📅 Resumen Diario'!$D$5:$D$504, '📅 Resumen Diario'!$B$5:$B$504, B4402, '📅 Resumen Diario'!$C$5:$C$504, D4402) * (SUMIFS('📋 Detalle Diario'!$E$5:$E$489, '📋 Detalle Diario'!$B$5:$B$489, B4402, '📋 Detalle Diario'!$C$5:$C$489, D4402) * 135 + SUMIFS('📋 Detalle Diario'!$I$5:$I$489, '📋 Detalle Diario'!$B$5:$B$489, B4402, '📋 Detalle Diario'!$C$5:$C$489, D4402) * 200), 0))</f>
        <v/>
      </c>
      <c r="P4402" s="32" t="str">
        <f t="shared" si="481"/>
        <v/>
      </c>
      <c r="Q4402" s="33" t="str">
        <f t="shared" si="482"/>
        <v/>
      </c>
    </row>
    <row r="4403" spans="2:17" ht="18" customHeight="1" x14ac:dyDescent="0.3">
      <c r="B4403" s="26"/>
      <c r="C4403" s="28"/>
      <c r="D4403" s="27"/>
      <c r="E4403" s="29"/>
      <c r="F4403" s="29"/>
      <c r="G4403" s="29"/>
      <c r="H4403" s="30" t="str">
        <f t="shared" si="476"/>
        <v/>
      </c>
      <c r="I4403" s="31" t="str">
        <f>IF(OR(B4403="",C4403=""),"",IFERROR(E4403*IF(E4403="",0,VLOOKUP(C4403,'📦 Precios Proforma'!$B$5:$D$104,IF(D4403="DIA",2,3),FALSE)),0))</f>
        <v/>
      </c>
      <c r="J4403" s="31" t="str">
        <f t="shared" si="477"/>
        <v/>
      </c>
      <c r="K4403" s="31" t="str">
        <f t="shared" si="478"/>
        <v/>
      </c>
      <c r="L4403" s="31" t="str">
        <f>IF(OR(B4403="",C4403=""),"",IFERROR(E4403 / SUMIFS('📅 Resumen Diario'!$D$5:$D$504, '📅 Resumen Diario'!$B$5:$B$504, B4403, '📅 Resumen Diario'!$C$5:$C$504, D4403) * SUMIFS('📅 Resumen Diario'!$K$5:$K$504, '📅 Resumen Diario'!$B$5:$B$504, B4403, '📅 Resumen Diario'!$C$5:$C$504, D4403), 0))</f>
        <v/>
      </c>
      <c r="M4403" s="31" t="str">
        <f t="shared" si="479"/>
        <v/>
      </c>
      <c r="N4403" s="31" t="str">
        <f t="shared" si="480"/>
        <v/>
      </c>
      <c r="O4403" s="31" t="str">
        <f>IF(OR(B4403="",C4403=""),"",K4403-N4403 + IFERROR(E4403 / SUMIFS('📅 Resumen Diario'!$D$5:$D$504, '📅 Resumen Diario'!$B$5:$B$504, B4403, '📅 Resumen Diario'!$C$5:$C$504, D4403) * (SUMIFS('📋 Detalle Diario'!$E$5:$E$489, '📋 Detalle Diario'!$B$5:$B$489, B4403, '📋 Detalle Diario'!$C$5:$C$489, D4403) * 135 + SUMIFS('📋 Detalle Diario'!$I$5:$I$489, '📋 Detalle Diario'!$B$5:$B$489, B4403, '📋 Detalle Diario'!$C$5:$C$489, D4403) * 200), 0))</f>
        <v/>
      </c>
      <c r="P4403" s="32" t="str">
        <f t="shared" si="481"/>
        <v/>
      </c>
      <c r="Q4403" s="33" t="str">
        <f t="shared" si="482"/>
        <v/>
      </c>
    </row>
    <row r="4404" spans="2:17" ht="18" customHeight="1" x14ac:dyDescent="0.3">
      <c r="B4404" s="26"/>
      <c r="C4404" s="17"/>
      <c r="D4404" s="27"/>
      <c r="E4404" s="18"/>
      <c r="F4404" s="18"/>
      <c r="G4404" s="18"/>
      <c r="H4404" s="30" t="str">
        <f t="shared" si="476"/>
        <v/>
      </c>
      <c r="I4404" s="31" t="str">
        <f>IF(OR(B4404="",C4404=""),"",IFERROR(E4404*IF(E4404="",0,VLOOKUP(C4404,'📦 Precios Proforma'!$B$5:$D$104,IF(D4404="DIA",2,3),FALSE)),0))</f>
        <v/>
      </c>
      <c r="J4404" s="31" t="str">
        <f t="shared" si="477"/>
        <v/>
      </c>
      <c r="K4404" s="31" t="str">
        <f t="shared" si="478"/>
        <v/>
      </c>
      <c r="L4404" s="31" t="str">
        <f>IF(OR(B4404="",C4404=""),"",IFERROR(E4404 / SUMIFS('📅 Resumen Diario'!$D$5:$D$504, '📅 Resumen Diario'!$B$5:$B$504, B4404, '📅 Resumen Diario'!$C$5:$C$504, D4404) * SUMIFS('📅 Resumen Diario'!$K$5:$K$504, '📅 Resumen Diario'!$B$5:$B$504, B4404, '📅 Resumen Diario'!$C$5:$C$504, D4404), 0))</f>
        <v/>
      </c>
      <c r="M4404" s="31" t="str">
        <f t="shared" si="479"/>
        <v/>
      </c>
      <c r="N4404" s="31" t="str">
        <f t="shared" si="480"/>
        <v/>
      </c>
      <c r="O4404" s="31" t="str">
        <f>IF(OR(B4404="",C4404=""),"",K4404-N4404 + IFERROR(E4404 / SUMIFS('📅 Resumen Diario'!$D$5:$D$504, '📅 Resumen Diario'!$B$5:$B$504, B4404, '📅 Resumen Diario'!$C$5:$C$504, D4404) * (SUMIFS('📋 Detalle Diario'!$E$5:$E$489, '📋 Detalle Diario'!$B$5:$B$489, B4404, '📋 Detalle Diario'!$C$5:$C$489, D4404) * 135 + SUMIFS('📋 Detalle Diario'!$I$5:$I$489, '📋 Detalle Diario'!$B$5:$B$489, B4404, '📋 Detalle Diario'!$C$5:$C$489, D4404) * 200), 0))</f>
        <v/>
      </c>
      <c r="P4404" s="32" t="str">
        <f t="shared" si="481"/>
        <v/>
      </c>
      <c r="Q4404" s="33" t="str">
        <f t="shared" si="482"/>
        <v/>
      </c>
    </row>
    <row r="4405" spans="2:17" ht="18" customHeight="1" x14ac:dyDescent="0.3">
      <c r="B4405" s="26"/>
      <c r="C4405" s="28"/>
      <c r="D4405" s="27"/>
      <c r="E4405" s="29"/>
      <c r="F4405" s="29"/>
      <c r="G4405" s="29"/>
      <c r="H4405" s="30" t="str">
        <f t="shared" si="476"/>
        <v/>
      </c>
      <c r="I4405" s="31" t="str">
        <f>IF(OR(B4405="",C4405=""),"",IFERROR(E4405*IF(E4405="",0,VLOOKUP(C4405,'📦 Precios Proforma'!$B$5:$D$104,IF(D4405="DIA",2,3),FALSE)),0))</f>
        <v/>
      </c>
      <c r="J4405" s="31" t="str">
        <f t="shared" si="477"/>
        <v/>
      </c>
      <c r="K4405" s="31" t="str">
        <f t="shared" si="478"/>
        <v/>
      </c>
      <c r="L4405" s="31" t="str">
        <f>IF(OR(B4405="",C4405=""),"",IFERROR(E4405 / SUMIFS('📅 Resumen Diario'!$D$5:$D$504, '📅 Resumen Diario'!$B$5:$B$504, B4405, '📅 Resumen Diario'!$C$5:$C$504, D4405) * SUMIFS('📅 Resumen Diario'!$K$5:$K$504, '📅 Resumen Diario'!$B$5:$B$504, B4405, '📅 Resumen Diario'!$C$5:$C$504, D4405), 0))</f>
        <v/>
      </c>
      <c r="M4405" s="31" t="str">
        <f t="shared" si="479"/>
        <v/>
      </c>
      <c r="N4405" s="31" t="str">
        <f t="shared" si="480"/>
        <v/>
      </c>
      <c r="O4405" s="31" t="str">
        <f>IF(OR(B4405="",C4405=""),"",K4405-N4405 + IFERROR(E4405 / SUMIFS('📅 Resumen Diario'!$D$5:$D$504, '📅 Resumen Diario'!$B$5:$B$504, B4405, '📅 Resumen Diario'!$C$5:$C$504, D4405) * (SUMIFS('📋 Detalle Diario'!$E$5:$E$489, '📋 Detalle Diario'!$B$5:$B$489, B4405, '📋 Detalle Diario'!$C$5:$C$489, D4405) * 135 + SUMIFS('📋 Detalle Diario'!$I$5:$I$489, '📋 Detalle Diario'!$B$5:$B$489, B4405, '📋 Detalle Diario'!$C$5:$C$489, D4405) * 200), 0))</f>
        <v/>
      </c>
      <c r="P4405" s="32" t="str">
        <f t="shared" si="481"/>
        <v/>
      </c>
      <c r="Q4405" s="33" t="str">
        <f t="shared" si="482"/>
        <v/>
      </c>
    </row>
    <row r="4406" spans="2:17" ht="18" customHeight="1" x14ac:dyDescent="0.3">
      <c r="B4406" s="26"/>
      <c r="C4406" s="17"/>
      <c r="D4406" s="27"/>
      <c r="E4406" s="18"/>
      <c r="F4406" s="18"/>
      <c r="G4406" s="18"/>
      <c r="H4406" s="30" t="str">
        <f t="shared" si="476"/>
        <v/>
      </c>
      <c r="I4406" s="31" t="str">
        <f>IF(OR(B4406="",C4406=""),"",IFERROR(E4406*IF(E4406="",0,VLOOKUP(C4406,'📦 Precios Proforma'!$B$5:$D$104,IF(D4406="DIA",2,3),FALSE)),0))</f>
        <v/>
      </c>
      <c r="J4406" s="31" t="str">
        <f t="shared" si="477"/>
        <v/>
      </c>
      <c r="K4406" s="31" t="str">
        <f t="shared" si="478"/>
        <v/>
      </c>
      <c r="L4406" s="31" t="str">
        <f>IF(OR(B4406="",C4406=""),"",IFERROR(E4406 / SUMIFS('📅 Resumen Diario'!$D$5:$D$504, '📅 Resumen Diario'!$B$5:$B$504, B4406, '📅 Resumen Diario'!$C$5:$C$504, D4406) * SUMIFS('📅 Resumen Diario'!$K$5:$K$504, '📅 Resumen Diario'!$B$5:$B$504, B4406, '📅 Resumen Diario'!$C$5:$C$504, D4406), 0))</f>
        <v/>
      </c>
      <c r="M4406" s="31" t="str">
        <f t="shared" si="479"/>
        <v/>
      </c>
      <c r="N4406" s="31" t="str">
        <f t="shared" si="480"/>
        <v/>
      </c>
      <c r="O4406" s="31" t="str">
        <f>IF(OR(B4406="",C4406=""),"",K4406-N4406 + IFERROR(E4406 / SUMIFS('📅 Resumen Diario'!$D$5:$D$504, '📅 Resumen Diario'!$B$5:$B$504, B4406, '📅 Resumen Diario'!$C$5:$C$504, D4406) * (SUMIFS('📋 Detalle Diario'!$E$5:$E$489, '📋 Detalle Diario'!$B$5:$B$489, B4406, '📋 Detalle Diario'!$C$5:$C$489, D4406) * 135 + SUMIFS('📋 Detalle Diario'!$I$5:$I$489, '📋 Detalle Diario'!$B$5:$B$489, B4406, '📋 Detalle Diario'!$C$5:$C$489, D4406) * 200), 0))</f>
        <v/>
      </c>
      <c r="P4406" s="32" t="str">
        <f t="shared" si="481"/>
        <v/>
      </c>
      <c r="Q4406" s="33" t="str">
        <f t="shared" si="482"/>
        <v/>
      </c>
    </row>
    <row r="4407" spans="2:17" ht="18" customHeight="1" x14ac:dyDescent="0.3">
      <c r="B4407" s="26"/>
      <c r="C4407" s="28"/>
      <c r="D4407" s="27"/>
      <c r="E4407" s="29"/>
      <c r="F4407" s="29"/>
      <c r="G4407" s="29"/>
      <c r="H4407" s="30" t="str">
        <f t="shared" si="476"/>
        <v/>
      </c>
      <c r="I4407" s="31" t="str">
        <f>IF(OR(B4407="",C4407=""),"",IFERROR(E4407*IF(E4407="",0,VLOOKUP(C4407,'📦 Precios Proforma'!$B$5:$D$104,IF(D4407="DIA",2,3),FALSE)),0))</f>
        <v/>
      </c>
      <c r="J4407" s="31" t="str">
        <f t="shared" si="477"/>
        <v/>
      </c>
      <c r="K4407" s="31" t="str">
        <f t="shared" si="478"/>
        <v/>
      </c>
      <c r="L4407" s="31" t="str">
        <f>IF(OR(B4407="",C4407=""),"",IFERROR(E4407 / SUMIFS('📅 Resumen Diario'!$D$5:$D$504, '📅 Resumen Diario'!$B$5:$B$504, B4407, '📅 Resumen Diario'!$C$5:$C$504, D4407) * SUMIFS('📅 Resumen Diario'!$K$5:$K$504, '📅 Resumen Diario'!$B$5:$B$504, B4407, '📅 Resumen Diario'!$C$5:$C$504, D4407), 0))</f>
        <v/>
      </c>
      <c r="M4407" s="31" t="str">
        <f t="shared" si="479"/>
        <v/>
      </c>
      <c r="N4407" s="31" t="str">
        <f t="shared" si="480"/>
        <v/>
      </c>
      <c r="O4407" s="31" t="str">
        <f>IF(OR(B4407="",C4407=""),"",K4407-N4407 + IFERROR(E4407 / SUMIFS('📅 Resumen Diario'!$D$5:$D$504, '📅 Resumen Diario'!$B$5:$B$504, B4407, '📅 Resumen Diario'!$C$5:$C$504, D4407) * (SUMIFS('📋 Detalle Diario'!$E$5:$E$489, '📋 Detalle Diario'!$B$5:$B$489, B4407, '📋 Detalle Diario'!$C$5:$C$489, D4407) * 135 + SUMIFS('📋 Detalle Diario'!$I$5:$I$489, '📋 Detalle Diario'!$B$5:$B$489, B4407, '📋 Detalle Diario'!$C$5:$C$489, D4407) * 200), 0))</f>
        <v/>
      </c>
      <c r="P4407" s="32" t="str">
        <f t="shared" si="481"/>
        <v/>
      </c>
      <c r="Q4407" s="33" t="str">
        <f t="shared" si="482"/>
        <v/>
      </c>
    </row>
    <row r="4408" spans="2:17" ht="18" customHeight="1" x14ac:dyDescent="0.3">
      <c r="B4408" s="26"/>
      <c r="C4408" s="17"/>
      <c r="D4408" s="27"/>
      <c r="E4408" s="18"/>
      <c r="F4408" s="18"/>
      <c r="G4408" s="18"/>
      <c r="H4408" s="30" t="str">
        <f t="shared" si="476"/>
        <v/>
      </c>
      <c r="I4408" s="31" t="str">
        <f>IF(OR(B4408="",C4408=""),"",IFERROR(E4408*IF(E4408="",0,VLOOKUP(C4408,'📦 Precios Proforma'!$B$5:$D$104,IF(D4408="DIA",2,3),FALSE)),0))</f>
        <v/>
      </c>
      <c r="J4408" s="31" t="str">
        <f t="shared" si="477"/>
        <v/>
      </c>
      <c r="K4408" s="31" t="str">
        <f t="shared" si="478"/>
        <v/>
      </c>
      <c r="L4408" s="31" t="str">
        <f>IF(OR(B4408="",C4408=""),"",IFERROR(E4408 / SUMIFS('📅 Resumen Diario'!$D$5:$D$504, '📅 Resumen Diario'!$B$5:$B$504, B4408, '📅 Resumen Diario'!$C$5:$C$504, D4408) * SUMIFS('📅 Resumen Diario'!$K$5:$K$504, '📅 Resumen Diario'!$B$5:$B$504, B4408, '📅 Resumen Diario'!$C$5:$C$504, D4408), 0))</f>
        <v/>
      </c>
      <c r="M4408" s="31" t="str">
        <f t="shared" si="479"/>
        <v/>
      </c>
      <c r="N4408" s="31" t="str">
        <f t="shared" si="480"/>
        <v/>
      </c>
      <c r="O4408" s="31" t="str">
        <f>IF(OR(B4408="",C4408=""),"",K4408-N4408 + IFERROR(E4408 / SUMIFS('📅 Resumen Diario'!$D$5:$D$504, '📅 Resumen Diario'!$B$5:$B$504, B4408, '📅 Resumen Diario'!$C$5:$C$504, D4408) * (SUMIFS('📋 Detalle Diario'!$E$5:$E$489, '📋 Detalle Diario'!$B$5:$B$489, B4408, '📋 Detalle Diario'!$C$5:$C$489, D4408) * 135 + SUMIFS('📋 Detalle Diario'!$I$5:$I$489, '📋 Detalle Diario'!$B$5:$B$489, B4408, '📋 Detalle Diario'!$C$5:$C$489, D4408) * 200), 0))</f>
        <v/>
      </c>
      <c r="P4408" s="32" t="str">
        <f t="shared" si="481"/>
        <v/>
      </c>
      <c r="Q4408" s="33" t="str">
        <f t="shared" si="482"/>
        <v/>
      </c>
    </row>
    <row r="4409" spans="2:17" ht="18" customHeight="1" x14ac:dyDescent="0.3">
      <c r="B4409" s="26"/>
      <c r="C4409" s="28"/>
      <c r="D4409" s="27"/>
      <c r="E4409" s="29"/>
      <c r="F4409" s="29"/>
      <c r="G4409" s="29"/>
      <c r="H4409" s="30" t="str">
        <f t="shared" si="476"/>
        <v/>
      </c>
      <c r="I4409" s="31" t="str">
        <f>IF(OR(B4409="",C4409=""),"",IFERROR(E4409*IF(E4409="",0,VLOOKUP(C4409,'📦 Precios Proforma'!$B$5:$D$104,IF(D4409="DIA",2,3),FALSE)),0))</f>
        <v/>
      </c>
      <c r="J4409" s="31" t="str">
        <f t="shared" si="477"/>
        <v/>
      </c>
      <c r="K4409" s="31" t="str">
        <f t="shared" si="478"/>
        <v/>
      </c>
      <c r="L4409" s="31" t="str">
        <f>IF(OR(B4409="",C4409=""),"",IFERROR(E4409 / SUMIFS('📅 Resumen Diario'!$D$5:$D$504, '📅 Resumen Diario'!$B$5:$B$504, B4409, '📅 Resumen Diario'!$C$5:$C$504, D4409) * SUMIFS('📅 Resumen Diario'!$K$5:$K$504, '📅 Resumen Diario'!$B$5:$B$504, B4409, '📅 Resumen Diario'!$C$5:$C$504, D4409), 0))</f>
        <v/>
      </c>
      <c r="M4409" s="31" t="str">
        <f t="shared" si="479"/>
        <v/>
      </c>
      <c r="N4409" s="31" t="str">
        <f t="shared" si="480"/>
        <v/>
      </c>
      <c r="O4409" s="31" t="str">
        <f>IF(OR(B4409="",C4409=""),"",K4409-N4409 + IFERROR(E4409 / SUMIFS('📅 Resumen Diario'!$D$5:$D$504, '📅 Resumen Diario'!$B$5:$B$504, B4409, '📅 Resumen Diario'!$C$5:$C$504, D4409) * (SUMIFS('📋 Detalle Diario'!$E$5:$E$489, '📋 Detalle Diario'!$B$5:$B$489, B4409, '📋 Detalle Diario'!$C$5:$C$489, D4409) * 135 + SUMIFS('📋 Detalle Diario'!$I$5:$I$489, '📋 Detalle Diario'!$B$5:$B$489, B4409, '📋 Detalle Diario'!$C$5:$C$489, D4409) * 200), 0))</f>
        <v/>
      </c>
      <c r="P4409" s="32" t="str">
        <f t="shared" si="481"/>
        <v/>
      </c>
      <c r="Q4409" s="33" t="str">
        <f t="shared" si="482"/>
        <v/>
      </c>
    </row>
    <row r="4410" spans="2:17" ht="18" customHeight="1" x14ac:dyDescent="0.3">
      <c r="B4410" s="26"/>
      <c r="C4410" s="17"/>
      <c r="D4410" s="27"/>
      <c r="E4410" s="18"/>
      <c r="F4410" s="18"/>
      <c r="G4410" s="18"/>
      <c r="H4410" s="30" t="str">
        <f t="shared" si="476"/>
        <v/>
      </c>
      <c r="I4410" s="31" t="str">
        <f>IF(OR(B4410="",C4410=""),"",IFERROR(E4410*IF(E4410="",0,VLOOKUP(C4410,'📦 Precios Proforma'!$B$5:$D$104,IF(D4410="DIA",2,3),FALSE)),0))</f>
        <v/>
      </c>
      <c r="J4410" s="31" t="str">
        <f t="shared" si="477"/>
        <v/>
      </c>
      <c r="K4410" s="31" t="str">
        <f t="shared" si="478"/>
        <v/>
      </c>
      <c r="L4410" s="31" t="str">
        <f>IF(OR(B4410="",C4410=""),"",IFERROR(E4410 / SUMIFS('📅 Resumen Diario'!$D$5:$D$504, '📅 Resumen Diario'!$B$5:$B$504, B4410, '📅 Resumen Diario'!$C$5:$C$504, D4410) * SUMIFS('📅 Resumen Diario'!$K$5:$K$504, '📅 Resumen Diario'!$B$5:$B$504, B4410, '📅 Resumen Diario'!$C$5:$C$504, D4410), 0))</f>
        <v/>
      </c>
      <c r="M4410" s="31" t="str">
        <f t="shared" si="479"/>
        <v/>
      </c>
      <c r="N4410" s="31" t="str">
        <f t="shared" si="480"/>
        <v/>
      </c>
      <c r="O4410" s="31" t="str">
        <f>IF(OR(B4410="",C4410=""),"",K4410-N4410 + IFERROR(E4410 / SUMIFS('📅 Resumen Diario'!$D$5:$D$504, '📅 Resumen Diario'!$B$5:$B$504, B4410, '📅 Resumen Diario'!$C$5:$C$504, D4410) * (SUMIFS('📋 Detalle Diario'!$E$5:$E$489, '📋 Detalle Diario'!$B$5:$B$489, B4410, '📋 Detalle Diario'!$C$5:$C$489, D4410) * 135 + SUMIFS('📋 Detalle Diario'!$I$5:$I$489, '📋 Detalle Diario'!$B$5:$B$489, B4410, '📋 Detalle Diario'!$C$5:$C$489, D4410) * 200), 0))</f>
        <v/>
      </c>
      <c r="P4410" s="32" t="str">
        <f t="shared" si="481"/>
        <v/>
      </c>
      <c r="Q4410" s="33" t="str">
        <f t="shared" si="482"/>
        <v/>
      </c>
    </row>
    <row r="4411" spans="2:17" ht="18" customHeight="1" x14ac:dyDescent="0.3">
      <c r="B4411" s="26"/>
      <c r="C4411" s="28"/>
      <c r="D4411" s="27"/>
      <c r="E4411" s="29"/>
      <c r="F4411" s="29"/>
      <c r="G4411" s="29"/>
      <c r="H4411" s="30" t="str">
        <f t="shared" si="476"/>
        <v/>
      </c>
      <c r="I4411" s="31" t="str">
        <f>IF(OR(B4411="",C4411=""),"",IFERROR(E4411*IF(E4411="",0,VLOOKUP(C4411,'📦 Precios Proforma'!$B$5:$D$104,IF(D4411="DIA",2,3),FALSE)),0))</f>
        <v/>
      </c>
      <c r="J4411" s="31" t="str">
        <f t="shared" si="477"/>
        <v/>
      </c>
      <c r="K4411" s="31" t="str">
        <f t="shared" si="478"/>
        <v/>
      </c>
      <c r="L4411" s="31" t="str">
        <f>IF(OR(B4411="",C4411=""),"",IFERROR(E4411 / SUMIFS('📅 Resumen Diario'!$D$5:$D$504, '📅 Resumen Diario'!$B$5:$B$504, B4411, '📅 Resumen Diario'!$C$5:$C$504, D4411) * SUMIFS('📅 Resumen Diario'!$K$5:$K$504, '📅 Resumen Diario'!$B$5:$B$504, B4411, '📅 Resumen Diario'!$C$5:$C$504, D4411), 0))</f>
        <v/>
      </c>
      <c r="M4411" s="31" t="str">
        <f t="shared" si="479"/>
        <v/>
      </c>
      <c r="N4411" s="31" t="str">
        <f t="shared" si="480"/>
        <v/>
      </c>
      <c r="O4411" s="31" t="str">
        <f>IF(OR(B4411="",C4411=""),"",K4411-N4411 + IFERROR(E4411 / SUMIFS('📅 Resumen Diario'!$D$5:$D$504, '📅 Resumen Diario'!$B$5:$B$504, B4411, '📅 Resumen Diario'!$C$5:$C$504, D4411) * (SUMIFS('📋 Detalle Diario'!$E$5:$E$489, '📋 Detalle Diario'!$B$5:$B$489, B4411, '📋 Detalle Diario'!$C$5:$C$489, D4411) * 135 + SUMIFS('📋 Detalle Diario'!$I$5:$I$489, '📋 Detalle Diario'!$B$5:$B$489, B4411, '📋 Detalle Diario'!$C$5:$C$489, D4411) * 200), 0))</f>
        <v/>
      </c>
      <c r="P4411" s="32" t="str">
        <f t="shared" si="481"/>
        <v/>
      </c>
      <c r="Q4411" s="33" t="str">
        <f t="shared" si="482"/>
        <v/>
      </c>
    </row>
    <row r="4412" spans="2:17" ht="18" customHeight="1" x14ac:dyDescent="0.3">
      <c r="B4412" s="26"/>
      <c r="C4412" s="17"/>
      <c r="D4412" s="27"/>
      <c r="E4412" s="18"/>
      <c r="F4412" s="18"/>
      <c r="G4412" s="18"/>
      <c r="H4412" s="30" t="str">
        <f t="shared" si="476"/>
        <v/>
      </c>
      <c r="I4412" s="31" t="str">
        <f>IF(OR(B4412="",C4412=""),"",IFERROR(E4412*IF(E4412="",0,VLOOKUP(C4412,'📦 Precios Proforma'!$B$5:$D$104,IF(D4412="DIA",2,3),FALSE)),0))</f>
        <v/>
      </c>
      <c r="J4412" s="31" t="str">
        <f t="shared" si="477"/>
        <v/>
      </c>
      <c r="K4412" s="31" t="str">
        <f t="shared" si="478"/>
        <v/>
      </c>
      <c r="L4412" s="31" t="str">
        <f>IF(OR(B4412="",C4412=""),"",IFERROR(E4412 / SUMIFS('📅 Resumen Diario'!$D$5:$D$504, '📅 Resumen Diario'!$B$5:$B$504, B4412, '📅 Resumen Diario'!$C$5:$C$504, D4412) * SUMIFS('📅 Resumen Diario'!$K$5:$K$504, '📅 Resumen Diario'!$B$5:$B$504, B4412, '📅 Resumen Diario'!$C$5:$C$504, D4412), 0))</f>
        <v/>
      </c>
      <c r="M4412" s="31" t="str">
        <f t="shared" si="479"/>
        <v/>
      </c>
      <c r="N4412" s="31" t="str">
        <f t="shared" si="480"/>
        <v/>
      </c>
      <c r="O4412" s="31" t="str">
        <f>IF(OR(B4412="",C4412=""),"",K4412-N4412 + IFERROR(E4412 / SUMIFS('📅 Resumen Diario'!$D$5:$D$504, '📅 Resumen Diario'!$B$5:$B$504, B4412, '📅 Resumen Diario'!$C$5:$C$504, D4412) * (SUMIFS('📋 Detalle Diario'!$E$5:$E$489, '📋 Detalle Diario'!$B$5:$B$489, B4412, '📋 Detalle Diario'!$C$5:$C$489, D4412) * 135 + SUMIFS('📋 Detalle Diario'!$I$5:$I$489, '📋 Detalle Diario'!$B$5:$B$489, B4412, '📋 Detalle Diario'!$C$5:$C$489, D4412) * 200), 0))</f>
        <v/>
      </c>
      <c r="P4412" s="32" t="str">
        <f t="shared" si="481"/>
        <v/>
      </c>
      <c r="Q4412" s="33" t="str">
        <f t="shared" si="482"/>
        <v/>
      </c>
    </row>
    <row r="4413" spans="2:17" ht="18" customHeight="1" x14ac:dyDescent="0.3">
      <c r="B4413" s="26"/>
      <c r="C4413" s="28"/>
      <c r="D4413" s="27"/>
      <c r="E4413" s="29"/>
      <c r="F4413" s="29"/>
      <c r="G4413" s="29"/>
      <c r="H4413" s="30" t="str">
        <f t="shared" si="476"/>
        <v/>
      </c>
      <c r="I4413" s="31" t="str">
        <f>IF(OR(B4413="",C4413=""),"",IFERROR(E4413*IF(E4413="",0,VLOOKUP(C4413,'📦 Precios Proforma'!$B$5:$D$104,IF(D4413="DIA",2,3),FALSE)),0))</f>
        <v/>
      </c>
      <c r="J4413" s="31" t="str">
        <f t="shared" si="477"/>
        <v/>
      </c>
      <c r="K4413" s="31" t="str">
        <f t="shared" si="478"/>
        <v/>
      </c>
      <c r="L4413" s="31" t="str">
        <f>IF(OR(B4413="",C4413=""),"",IFERROR(E4413 / SUMIFS('📅 Resumen Diario'!$D$5:$D$504, '📅 Resumen Diario'!$B$5:$B$504, B4413, '📅 Resumen Diario'!$C$5:$C$504, D4413) * SUMIFS('📅 Resumen Diario'!$K$5:$K$504, '📅 Resumen Diario'!$B$5:$B$504, B4413, '📅 Resumen Diario'!$C$5:$C$504, D4413), 0))</f>
        <v/>
      </c>
      <c r="M4413" s="31" t="str">
        <f t="shared" si="479"/>
        <v/>
      </c>
      <c r="N4413" s="31" t="str">
        <f t="shared" si="480"/>
        <v/>
      </c>
      <c r="O4413" s="31" t="str">
        <f>IF(OR(B4413="",C4413=""),"",K4413-N4413 + IFERROR(E4413 / SUMIFS('📅 Resumen Diario'!$D$5:$D$504, '📅 Resumen Diario'!$B$5:$B$504, B4413, '📅 Resumen Diario'!$C$5:$C$504, D4413) * (SUMIFS('📋 Detalle Diario'!$E$5:$E$489, '📋 Detalle Diario'!$B$5:$B$489, B4413, '📋 Detalle Diario'!$C$5:$C$489, D4413) * 135 + SUMIFS('📋 Detalle Diario'!$I$5:$I$489, '📋 Detalle Diario'!$B$5:$B$489, B4413, '📋 Detalle Diario'!$C$5:$C$489, D4413) * 200), 0))</f>
        <v/>
      </c>
      <c r="P4413" s="32" t="str">
        <f t="shared" si="481"/>
        <v/>
      </c>
      <c r="Q4413" s="33" t="str">
        <f t="shared" si="482"/>
        <v/>
      </c>
    </row>
    <row r="4414" spans="2:17" ht="18" customHeight="1" x14ac:dyDescent="0.3">
      <c r="B4414" s="26"/>
      <c r="C4414" s="17"/>
      <c r="D4414" s="27"/>
      <c r="E4414" s="18"/>
      <c r="F4414" s="18"/>
      <c r="G4414" s="18"/>
      <c r="H4414" s="30" t="str">
        <f t="shared" si="476"/>
        <v/>
      </c>
      <c r="I4414" s="31" t="str">
        <f>IF(OR(B4414="",C4414=""),"",IFERROR(E4414*IF(E4414="",0,VLOOKUP(C4414,'📦 Precios Proforma'!$B$5:$D$104,IF(D4414="DIA",2,3),FALSE)),0))</f>
        <v/>
      </c>
      <c r="J4414" s="31" t="str">
        <f t="shared" si="477"/>
        <v/>
      </c>
      <c r="K4414" s="31" t="str">
        <f t="shared" si="478"/>
        <v/>
      </c>
      <c r="L4414" s="31" t="str">
        <f>IF(OR(B4414="",C4414=""),"",IFERROR(E4414 / SUMIFS('📅 Resumen Diario'!$D$5:$D$504, '📅 Resumen Diario'!$B$5:$B$504, B4414, '📅 Resumen Diario'!$C$5:$C$504, D4414) * SUMIFS('📅 Resumen Diario'!$K$5:$K$504, '📅 Resumen Diario'!$B$5:$B$504, B4414, '📅 Resumen Diario'!$C$5:$C$504, D4414), 0))</f>
        <v/>
      </c>
      <c r="M4414" s="31" t="str">
        <f t="shared" si="479"/>
        <v/>
      </c>
      <c r="N4414" s="31" t="str">
        <f t="shared" si="480"/>
        <v/>
      </c>
      <c r="O4414" s="31" t="str">
        <f>IF(OR(B4414="",C4414=""),"",K4414-N4414 + IFERROR(E4414 / SUMIFS('📅 Resumen Diario'!$D$5:$D$504, '📅 Resumen Diario'!$B$5:$B$504, B4414, '📅 Resumen Diario'!$C$5:$C$504, D4414) * (SUMIFS('📋 Detalle Diario'!$E$5:$E$489, '📋 Detalle Diario'!$B$5:$B$489, B4414, '📋 Detalle Diario'!$C$5:$C$489, D4414) * 135 + SUMIFS('📋 Detalle Diario'!$I$5:$I$489, '📋 Detalle Diario'!$B$5:$B$489, B4414, '📋 Detalle Diario'!$C$5:$C$489, D4414) * 200), 0))</f>
        <v/>
      </c>
      <c r="P4414" s="32" t="str">
        <f t="shared" si="481"/>
        <v/>
      </c>
      <c r="Q4414" s="33" t="str">
        <f t="shared" si="482"/>
        <v/>
      </c>
    </row>
    <row r="4415" spans="2:17" ht="18" customHeight="1" x14ac:dyDescent="0.3">
      <c r="B4415" s="26"/>
      <c r="C4415" s="28"/>
      <c r="D4415" s="27"/>
      <c r="E4415" s="29"/>
      <c r="F4415" s="29"/>
      <c r="G4415" s="29"/>
      <c r="H4415" s="30" t="str">
        <f t="shared" si="476"/>
        <v/>
      </c>
      <c r="I4415" s="31" t="str">
        <f>IF(OR(B4415="",C4415=""),"",IFERROR(E4415*IF(E4415="",0,VLOOKUP(C4415,'📦 Precios Proforma'!$B$5:$D$104,IF(D4415="DIA",2,3),FALSE)),0))</f>
        <v/>
      </c>
      <c r="J4415" s="31" t="str">
        <f t="shared" si="477"/>
        <v/>
      </c>
      <c r="K4415" s="31" t="str">
        <f t="shared" si="478"/>
        <v/>
      </c>
      <c r="L4415" s="31" t="str">
        <f>IF(OR(B4415="",C4415=""),"",IFERROR(E4415 / SUMIFS('📅 Resumen Diario'!$D$5:$D$504, '📅 Resumen Diario'!$B$5:$B$504, B4415, '📅 Resumen Diario'!$C$5:$C$504, D4415) * SUMIFS('📅 Resumen Diario'!$K$5:$K$504, '📅 Resumen Diario'!$B$5:$B$504, B4415, '📅 Resumen Diario'!$C$5:$C$504, D4415), 0))</f>
        <v/>
      </c>
      <c r="M4415" s="31" t="str">
        <f t="shared" si="479"/>
        <v/>
      </c>
      <c r="N4415" s="31" t="str">
        <f t="shared" si="480"/>
        <v/>
      </c>
      <c r="O4415" s="31" t="str">
        <f>IF(OR(B4415="",C4415=""),"",K4415-N4415 + IFERROR(E4415 / SUMIFS('📅 Resumen Diario'!$D$5:$D$504, '📅 Resumen Diario'!$B$5:$B$504, B4415, '📅 Resumen Diario'!$C$5:$C$504, D4415) * (SUMIFS('📋 Detalle Diario'!$E$5:$E$489, '📋 Detalle Diario'!$B$5:$B$489, B4415, '📋 Detalle Diario'!$C$5:$C$489, D4415) * 135 + SUMIFS('📋 Detalle Diario'!$I$5:$I$489, '📋 Detalle Diario'!$B$5:$B$489, B4415, '📋 Detalle Diario'!$C$5:$C$489, D4415) * 200), 0))</f>
        <v/>
      </c>
      <c r="P4415" s="32" t="str">
        <f t="shared" si="481"/>
        <v/>
      </c>
      <c r="Q4415" s="33" t="str">
        <f t="shared" si="482"/>
        <v/>
      </c>
    </row>
    <row r="4416" spans="2:17" ht="18" customHeight="1" x14ac:dyDescent="0.3">
      <c r="B4416" s="26"/>
      <c r="C4416" s="17"/>
      <c r="D4416" s="27"/>
      <c r="E4416" s="18"/>
      <c r="F4416" s="18"/>
      <c r="G4416" s="18"/>
      <c r="H4416" s="30" t="str">
        <f t="shared" si="476"/>
        <v/>
      </c>
      <c r="I4416" s="31" t="str">
        <f>IF(OR(B4416="",C4416=""),"",IFERROR(E4416*IF(E4416="",0,VLOOKUP(C4416,'📦 Precios Proforma'!$B$5:$D$104,IF(D4416="DIA",2,3),FALSE)),0))</f>
        <v/>
      </c>
      <c r="J4416" s="31" t="str">
        <f t="shared" si="477"/>
        <v/>
      </c>
      <c r="K4416" s="31" t="str">
        <f t="shared" si="478"/>
        <v/>
      </c>
      <c r="L4416" s="31" t="str">
        <f>IF(OR(B4416="",C4416=""),"",IFERROR(E4416 / SUMIFS('📅 Resumen Diario'!$D$5:$D$504, '📅 Resumen Diario'!$B$5:$B$504, B4416, '📅 Resumen Diario'!$C$5:$C$504, D4416) * SUMIFS('📅 Resumen Diario'!$K$5:$K$504, '📅 Resumen Diario'!$B$5:$B$504, B4416, '📅 Resumen Diario'!$C$5:$C$504, D4416), 0))</f>
        <v/>
      </c>
      <c r="M4416" s="31" t="str">
        <f t="shared" si="479"/>
        <v/>
      </c>
      <c r="N4416" s="31" t="str">
        <f t="shared" si="480"/>
        <v/>
      </c>
      <c r="O4416" s="31" t="str">
        <f>IF(OR(B4416="",C4416=""),"",K4416-N4416 + IFERROR(E4416 / SUMIFS('📅 Resumen Diario'!$D$5:$D$504, '📅 Resumen Diario'!$B$5:$B$504, B4416, '📅 Resumen Diario'!$C$5:$C$504, D4416) * (SUMIFS('📋 Detalle Diario'!$E$5:$E$489, '📋 Detalle Diario'!$B$5:$B$489, B4416, '📋 Detalle Diario'!$C$5:$C$489, D4416) * 135 + SUMIFS('📋 Detalle Diario'!$I$5:$I$489, '📋 Detalle Diario'!$B$5:$B$489, B4416, '📋 Detalle Diario'!$C$5:$C$489, D4416) * 200), 0))</f>
        <v/>
      </c>
      <c r="P4416" s="32" t="str">
        <f t="shared" si="481"/>
        <v/>
      </c>
      <c r="Q4416" s="33" t="str">
        <f t="shared" si="482"/>
        <v/>
      </c>
    </row>
    <row r="4417" spans="2:17" ht="18" customHeight="1" x14ac:dyDescent="0.3">
      <c r="B4417" s="26"/>
      <c r="C4417" s="28"/>
      <c r="D4417" s="27"/>
      <c r="E4417" s="29"/>
      <c r="F4417" s="29"/>
      <c r="G4417" s="29"/>
      <c r="H4417" s="30" t="str">
        <f t="shared" si="476"/>
        <v/>
      </c>
      <c r="I4417" s="31" t="str">
        <f>IF(OR(B4417="",C4417=""),"",IFERROR(E4417*IF(E4417="",0,VLOOKUP(C4417,'📦 Precios Proforma'!$B$5:$D$104,IF(D4417="DIA",2,3),FALSE)),0))</f>
        <v/>
      </c>
      <c r="J4417" s="31" t="str">
        <f t="shared" si="477"/>
        <v/>
      </c>
      <c r="K4417" s="31" t="str">
        <f t="shared" si="478"/>
        <v/>
      </c>
      <c r="L4417" s="31" t="str">
        <f>IF(OR(B4417="",C4417=""),"",IFERROR(E4417 / SUMIFS('📅 Resumen Diario'!$D$5:$D$504, '📅 Resumen Diario'!$B$5:$B$504, B4417, '📅 Resumen Diario'!$C$5:$C$504, D4417) * SUMIFS('📅 Resumen Diario'!$K$5:$K$504, '📅 Resumen Diario'!$B$5:$B$504, B4417, '📅 Resumen Diario'!$C$5:$C$504, D4417), 0))</f>
        <v/>
      </c>
      <c r="M4417" s="31" t="str">
        <f t="shared" si="479"/>
        <v/>
      </c>
      <c r="N4417" s="31" t="str">
        <f t="shared" si="480"/>
        <v/>
      </c>
      <c r="O4417" s="31" t="str">
        <f>IF(OR(B4417="",C4417=""),"",K4417-N4417 + IFERROR(E4417 / SUMIFS('📅 Resumen Diario'!$D$5:$D$504, '📅 Resumen Diario'!$B$5:$B$504, B4417, '📅 Resumen Diario'!$C$5:$C$504, D4417) * (SUMIFS('📋 Detalle Diario'!$E$5:$E$489, '📋 Detalle Diario'!$B$5:$B$489, B4417, '📋 Detalle Diario'!$C$5:$C$489, D4417) * 135 + SUMIFS('📋 Detalle Diario'!$I$5:$I$489, '📋 Detalle Diario'!$B$5:$B$489, B4417, '📋 Detalle Diario'!$C$5:$C$489, D4417) * 200), 0))</f>
        <v/>
      </c>
      <c r="P4417" s="32" t="str">
        <f t="shared" si="481"/>
        <v/>
      </c>
      <c r="Q4417" s="33" t="str">
        <f t="shared" si="482"/>
        <v/>
      </c>
    </row>
    <row r="4418" spans="2:17" ht="18" customHeight="1" x14ac:dyDescent="0.3">
      <c r="B4418" s="26"/>
      <c r="C4418" s="17"/>
      <c r="D4418" s="27"/>
      <c r="E4418" s="18"/>
      <c r="F4418" s="18"/>
      <c r="G4418" s="18"/>
      <c r="H4418" s="30" t="str">
        <f t="shared" si="476"/>
        <v/>
      </c>
      <c r="I4418" s="31" t="str">
        <f>IF(OR(B4418="",C4418=""),"",IFERROR(E4418*IF(E4418="",0,VLOOKUP(C4418,'📦 Precios Proforma'!$B$5:$D$104,IF(D4418="DIA",2,3),FALSE)),0))</f>
        <v/>
      </c>
      <c r="J4418" s="31" t="str">
        <f t="shared" si="477"/>
        <v/>
      </c>
      <c r="K4418" s="31" t="str">
        <f t="shared" si="478"/>
        <v/>
      </c>
      <c r="L4418" s="31" t="str">
        <f>IF(OR(B4418="",C4418=""),"",IFERROR(E4418 / SUMIFS('📅 Resumen Diario'!$D$5:$D$504, '📅 Resumen Diario'!$B$5:$B$504, B4418, '📅 Resumen Diario'!$C$5:$C$504, D4418) * SUMIFS('📅 Resumen Diario'!$K$5:$K$504, '📅 Resumen Diario'!$B$5:$B$504, B4418, '📅 Resumen Diario'!$C$5:$C$504, D4418), 0))</f>
        <v/>
      </c>
      <c r="M4418" s="31" t="str">
        <f t="shared" si="479"/>
        <v/>
      </c>
      <c r="N4418" s="31" t="str">
        <f t="shared" si="480"/>
        <v/>
      </c>
      <c r="O4418" s="31" t="str">
        <f>IF(OR(B4418="",C4418=""),"",K4418-N4418 + IFERROR(E4418 / SUMIFS('📅 Resumen Diario'!$D$5:$D$504, '📅 Resumen Diario'!$B$5:$B$504, B4418, '📅 Resumen Diario'!$C$5:$C$504, D4418) * (SUMIFS('📋 Detalle Diario'!$E$5:$E$489, '📋 Detalle Diario'!$B$5:$B$489, B4418, '📋 Detalle Diario'!$C$5:$C$489, D4418) * 135 + SUMIFS('📋 Detalle Diario'!$I$5:$I$489, '📋 Detalle Diario'!$B$5:$B$489, B4418, '📋 Detalle Diario'!$C$5:$C$489, D4418) * 200), 0))</f>
        <v/>
      </c>
      <c r="P4418" s="32" t="str">
        <f t="shared" si="481"/>
        <v/>
      </c>
      <c r="Q4418" s="33" t="str">
        <f t="shared" si="482"/>
        <v/>
      </c>
    </row>
    <row r="4419" spans="2:17" ht="18" customHeight="1" x14ac:dyDescent="0.3">
      <c r="B4419" s="26"/>
      <c r="C4419" s="28"/>
      <c r="D4419" s="27"/>
      <c r="E4419" s="29"/>
      <c r="F4419" s="29"/>
      <c r="G4419" s="29"/>
      <c r="H4419" s="30" t="str">
        <f t="shared" si="476"/>
        <v/>
      </c>
      <c r="I4419" s="31" t="str">
        <f>IF(OR(B4419="",C4419=""),"",IFERROR(E4419*IF(E4419="",0,VLOOKUP(C4419,'📦 Precios Proforma'!$B$5:$D$104,IF(D4419="DIA",2,3),FALSE)),0))</f>
        <v/>
      </c>
      <c r="J4419" s="31" t="str">
        <f t="shared" si="477"/>
        <v/>
      </c>
      <c r="K4419" s="31" t="str">
        <f t="shared" si="478"/>
        <v/>
      </c>
      <c r="L4419" s="31" t="str">
        <f>IF(OR(B4419="",C4419=""),"",IFERROR(E4419 / SUMIFS('📅 Resumen Diario'!$D$5:$D$504, '📅 Resumen Diario'!$B$5:$B$504, B4419, '📅 Resumen Diario'!$C$5:$C$504, D4419) * SUMIFS('📅 Resumen Diario'!$K$5:$K$504, '📅 Resumen Diario'!$B$5:$B$504, B4419, '📅 Resumen Diario'!$C$5:$C$504, D4419), 0))</f>
        <v/>
      </c>
      <c r="M4419" s="31" t="str">
        <f t="shared" si="479"/>
        <v/>
      </c>
      <c r="N4419" s="31" t="str">
        <f t="shared" si="480"/>
        <v/>
      </c>
      <c r="O4419" s="31" t="str">
        <f>IF(OR(B4419="",C4419=""),"",K4419-N4419 + IFERROR(E4419 / SUMIFS('📅 Resumen Diario'!$D$5:$D$504, '📅 Resumen Diario'!$B$5:$B$504, B4419, '📅 Resumen Diario'!$C$5:$C$504, D4419) * (SUMIFS('📋 Detalle Diario'!$E$5:$E$489, '📋 Detalle Diario'!$B$5:$B$489, B4419, '📋 Detalle Diario'!$C$5:$C$489, D4419) * 135 + SUMIFS('📋 Detalle Diario'!$I$5:$I$489, '📋 Detalle Diario'!$B$5:$B$489, B4419, '📋 Detalle Diario'!$C$5:$C$489, D4419) * 200), 0))</f>
        <v/>
      </c>
      <c r="P4419" s="32" t="str">
        <f t="shared" si="481"/>
        <v/>
      </c>
      <c r="Q4419" s="33" t="str">
        <f t="shared" si="482"/>
        <v/>
      </c>
    </row>
    <row r="4420" spans="2:17" ht="18" customHeight="1" x14ac:dyDescent="0.3">
      <c r="B4420" s="26"/>
      <c r="C4420" s="17"/>
      <c r="D4420" s="27"/>
      <c r="E4420" s="18"/>
      <c r="F4420" s="18"/>
      <c r="G4420" s="18"/>
      <c r="H4420" s="30" t="str">
        <f t="shared" si="476"/>
        <v/>
      </c>
      <c r="I4420" s="31" t="str">
        <f>IF(OR(B4420="",C4420=""),"",IFERROR(E4420*IF(E4420="",0,VLOOKUP(C4420,'📦 Precios Proforma'!$B$5:$D$104,IF(D4420="DIA",2,3),FALSE)),0))</f>
        <v/>
      </c>
      <c r="J4420" s="31" t="str">
        <f t="shared" si="477"/>
        <v/>
      </c>
      <c r="K4420" s="31" t="str">
        <f t="shared" si="478"/>
        <v/>
      </c>
      <c r="L4420" s="31" t="str">
        <f>IF(OR(B4420="",C4420=""),"",IFERROR(E4420 / SUMIFS('📅 Resumen Diario'!$D$5:$D$504, '📅 Resumen Diario'!$B$5:$B$504, B4420, '📅 Resumen Diario'!$C$5:$C$504, D4420) * SUMIFS('📅 Resumen Diario'!$K$5:$K$504, '📅 Resumen Diario'!$B$5:$B$504, B4420, '📅 Resumen Diario'!$C$5:$C$504, D4420), 0))</f>
        <v/>
      </c>
      <c r="M4420" s="31" t="str">
        <f t="shared" si="479"/>
        <v/>
      </c>
      <c r="N4420" s="31" t="str">
        <f t="shared" si="480"/>
        <v/>
      </c>
      <c r="O4420" s="31" t="str">
        <f>IF(OR(B4420="",C4420=""),"",K4420-N4420 + IFERROR(E4420 / SUMIFS('📅 Resumen Diario'!$D$5:$D$504, '📅 Resumen Diario'!$B$5:$B$504, B4420, '📅 Resumen Diario'!$C$5:$C$504, D4420) * (SUMIFS('📋 Detalle Diario'!$E$5:$E$489, '📋 Detalle Diario'!$B$5:$B$489, B4420, '📋 Detalle Diario'!$C$5:$C$489, D4420) * 135 + SUMIFS('📋 Detalle Diario'!$I$5:$I$489, '📋 Detalle Diario'!$B$5:$B$489, B4420, '📋 Detalle Diario'!$C$5:$C$489, D4420) * 200), 0))</f>
        <v/>
      </c>
      <c r="P4420" s="32" t="str">
        <f t="shared" si="481"/>
        <v/>
      </c>
      <c r="Q4420" s="33" t="str">
        <f t="shared" si="482"/>
        <v/>
      </c>
    </row>
    <row r="4421" spans="2:17" ht="18" customHeight="1" x14ac:dyDescent="0.3">
      <c r="B4421" s="26"/>
      <c r="C4421" s="28"/>
      <c r="D4421" s="27"/>
      <c r="E4421" s="29"/>
      <c r="F4421" s="29"/>
      <c r="G4421" s="29"/>
      <c r="H4421" s="30" t="str">
        <f t="shared" si="476"/>
        <v/>
      </c>
      <c r="I4421" s="31" t="str">
        <f>IF(OR(B4421="",C4421=""),"",IFERROR(E4421*IF(E4421="",0,VLOOKUP(C4421,'📦 Precios Proforma'!$B$5:$D$104,IF(D4421="DIA",2,3),FALSE)),0))</f>
        <v/>
      </c>
      <c r="J4421" s="31" t="str">
        <f t="shared" si="477"/>
        <v/>
      </c>
      <c r="K4421" s="31" t="str">
        <f t="shared" si="478"/>
        <v/>
      </c>
      <c r="L4421" s="31" t="str">
        <f>IF(OR(B4421="",C4421=""),"",IFERROR(E4421 / SUMIFS('📅 Resumen Diario'!$D$5:$D$504, '📅 Resumen Diario'!$B$5:$B$504, B4421, '📅 Resumen Diario'!$C$5:$C$504, D4421) * SUMIFS('📅 Resumen Diario'!$K$5:$K$504, '📅 Resumen Diario'!$B$5:$B$504, B4421, '📅 Resumen Diario'!$C$5:$C$504, D4421), 0))</f>
        <v/>
      </c>
      <c r="M4421" s="31" t="str">
        <f t="shared" si="479"/>
        <v/>
      </c>
      <c r="N4421" s="31" t="str">
        <f t="shared" si="480"/>
        <v/>
      </c>
      <c r="O4421" s="31" t="str">
        <f>IF(OR(B4421="",C4421=""),"",K4421-N4421 + IFERROR(E4421 / SUMIFS('📅 Resumen Diario'!$D$5:$D$504, '📅 Resumen Diario'!$B$5:$B$504, B4421, '📅 Resumen Diario'!$C$5:$C$504, D4421) * (SUMIFS('📋 Detalle Diario'!$E$5:$E$489, '📋 Detalle Diario'!$B$5:$B$489, B4421, '📋 Detalle Diario'!$C$5:$C$489, D4421) * 135 + SUMIFS('📋 Detalle Diario'!$I$5:$I$489, '📋 Detalle Diario'!$B$5:$B$489, B4421, '📋 Detalle Diario'!$C$5:$C$489, D4421) * 200), 0))</f>
        <v/>
      </c>
      <c r="P4421" s="32" t="str">
        <f t="shared" si="481"/>
        <v/>
      </c>
      <c r="Q4421" s="33" t="str">
        <f t="shared" si="482"/>
        <v/>
      </c>
    </row>
    <row r="4422" spans="2:17" ht="18" customHeight="1" x14ac:dyDescent="0.3">
      <c r="B4422" s="26"/>
      <c r="C4422" s="17"/>
      <c r="D4422" s="27"/>
      <c r="E4422" s="18"/>
      <c r="F4422" s="18"/>
      <c r="G4422" s="18"/>
      <c r="H4422" s="30" t="str">
        <f t="shared" si="476"/>
        <v/>
      </c>
      <c r="I4422" s="31" t="str">
        <f>IF(OR(B4422="",C4422=""),"",IFERROR(E4422*IF(E4422="",0,VLOOKUP(C4422,'📦 Precios Proforma'!$B$5:$D$104,IF(D4422="DIA",2,3),FALSE)),0))</f>
        <v/>
      </c>
      <c r="J4422" s="31" t="str">
        <f t="shared" si="477"/>
        <v/>
      </c>
      <c r="K4422" s="31" t="str">
        <f t="shared" si="478"/>
        <v/>
      </c>
      <c r="L4422" s="31" t="str">
        <f>IF(OR(B4422="",C4422=""),"",IFERROR(E4422 / SUMIFS('📅 Resumen Diario'!$D$5:$D$504, '📅 Resumen Diario'!$B$5:$B$504, B4422, '📅 Resumen Diario'!$C$5:$C$504, D4422) * SUMIFS('📅 Resumen Diario'!$K$5:$K$504, '📅 Resumen Diario'!$B$5:$B$504, B4422, '📅 Resumen Diario'!$C$5:$C$504, D4422), 0))</f>
        <v/>
      </c>
      <c r="M4422" s="31" t="str">
        <f t="shared" si="479"/>
        <v/>
      </c>
      <c r="N4422" s="31" t="str">
        <f t="shared" si="480"/>
        <v/>
      </c>
      <c r="O4422" s="31" t="str">
        <f>IF(OR(B4422="",C4422=""),"",K4422-N4422 + IFERROR(E4422 / SUMIFS('📅 Resumen Diario'!$D$5:$D$504, '📅 Resumen Diario'!$B$5:$B$504, B4422, '📅 Resumen Diario'!$C$5:$C$504, D4422) * (SUMIFS('📋 Detalle Diario'!$E$5:$E$489, '📋 Detalle Diario'!$B$5:$B$489, B4422, '📋 Detalle Diario'!$C$5:$C$489, D4422) * 135 + SUMIFS('📋 Detalle Diario'!$I$5:$I$489, '📋 Detalle Diario'!$B$5:$B$489, B4422, '📋 Detalle Diario'!$C$5:$C$489, D4422) * 200), 0))</f>
        <v/>
      </c>
      <c r="P4422" s="32" t="str">
        <f t="shared" si="481"/>
        <v/>
      </c>
      <c r="Q4422" s="33" t="str">
        <f t="shared" si="482"/>
        <v/>
      </c>
    </row>
    <row r="4423" spans="2:17" ht="18" customHeight="1" x14ac:dyDescent="0.3">
      <c r="B4423" s="26"/>
      <c r="C4423" s="28"/>
      <c r="D4423" s="27"/>
      <c r="E4423" s="29"/>
      <c r="F4423" s="29"/>
      <c r="G4423" s="29"/>
      <c r="H4423" s="30" t="str">
        <f t="shared" ref="H4423:H4486" si="483">IF(OR(B4423="",C4423=""),"",F4423+G4423)</f>
        <v/>
      </c>
      <c r="I4423" s="31" t="str">
        <f>IF(OR(B4423="",C4423=""),"",IFERROR(E4423*IF(E4423="",0,VLOOKUP(C4423,'📦 Precios Proforma'!$B$5:$D$104,IF(D4423="DIA",2,3),FALSE)),0))</f>
        <v/>
      </c>
      <c r="J4423" s="31" t="str">
        <f t="shared" ref="J4423:J4486" si="484">IF(OR(B4423="",C4423=""),"",IF(D4423="DIA",H4423*1.01,H4423*1.35))</f>
        <v/>
      </c>
      <c r="K4423" s="31" t="str">
        <f t="shared" ref="K4423:K4486" si="485">IF(OR(B4423="",C4423=""),"",I4423+J4423)</f>
        <v/>
      </c>
      <c r="L4423" s="31" t="str">
        <f>IF(OR(B4423="",C4423=""),"",IFERROR(E4423 / SUMIFS('📅 Resumen Diario'!$D$5:$D$504, '📅 Resumen Diario'!$B$5:$B$504, B4423, '📅 Resumen Diario'!$C$5:$C$504, D4423) * SUMIFS('📅 Resumen Diario'!$K$5:$K$504, '📅 Resumen Diario'!$B$5:$B$504, B4423, '📅 Resumen Diario'!$C$5:$C$504, D4423), 0))</f>
        <v/>
      </c>
      <c r="M4423" s="31" t="str">
        <f t="shared" ref="M4423:M4486" si="486">IF(OR(B4423="",C4423=""),"",H4423*0.09)</f>
        <v/>
      </c>
      <c r="N4423" s="31" t="str">
        <f t="shared" ref="N4423:N4486" si="487">IF(OR(B4423="",C4423=""),"",L4423+M4423)</f>
        <v/>
      </c>
      <c r="O4423" s="31" t="str">
        <f>IF(OR(B4423="",C4423=""),"",K4423-N4423 + IFERROR(E4423 / SUMIFS('📅 Resumen Diario'!$D$5:$D$504, '📅 Resumen Diario'!$B$5:$B$504, B4423, '📅 Resumen Diario'!$C$5:$C$504, D4423) * (SUMIFS('📋 Detalle Diario'!$E$5:$E$489, '📋 Detalle Diario'!$B$5:$B$489, B4423, '📋 Detalle Diario'!$C$5:$C$489, D4423) * 135 + SUMIFS('📋 Detalle Diario'!$I$5:$I$489, '📋 Detalle Diario'!$B$5:$B$489, B4423, '📋 Detalle Diario'!$C$5:$C$489, D4423) * 200), 0))</f>
        <v/>
      </c>
      <c r="P4423" s="32" t="str">
        <f t="shared" ref="P4423:P4486" si="488">IF(OR(B4423="",C4423=""),"",IF(K4423=0, 0, O4423/K4423))</f>
        <v/>
      </c>
      <c r="Q4423" s="33" t="str">
        <f t="shared" ref="Q4423:Q4486" si="489">IF(B4423="","",IF(ISNUMBER(B4423),YEAR(B4423)&amp;"-"&amp;IF(MONTH(B4423)&lt;10,"0","")&amp;MONTH(B4423),LEFT(B4423,7)))</f>
        <v/>
      </c>
    </row>
    <row r="4424" spans="2:17" ht="18" customHeight="1" x14ac:dyDescent="0.3">
      <c r="B4424" s="26"/>
      <c r="C4424" s="17"/>
      <c r="D4424" s="27"/>
      <c r="E4424" s="18"/>
      <c r="F4424" s="18"/>
      <c r="G4424" s="18"/>
      <c r="H4424" s="30" t="str">
        <f t="shared" si="483"/>
        <v/>
      </c>
      <c r="I4424" s="31" t="str">
        <f>IF(OR(B4424="",C4424=""),"",IFERROR(E4424*IF(E4424="",0,VLOOKUP(C4424,'📦 Precios Proforma'!$B$5:$D$104,IF(D4424="DIA",2,3),FALSE)),0))</f>
        <v/>
      </c>
      <c r="J4424" s="31" t="str">
        <f t="shared" si="484"/>
        <v/>
      </c>
      <c r="K4424" s="31" t="str">
        <f t="shared" si="485"/>
        <v/>
      </c>
      <c r="L4424" s="31" t="str">
        <f>IF(OR(B4424="",C4424=""),"",IFERROR(E4424 / SUMIFS('📅 Resumen Diario'!$D$5:$D$504, '📅 Resumen Diario'!$B$5:$B$504, B4424, '📅 Resumen Diario'!$C$5:$C$504, D4424) * SUMIFS('📅 Resumen Diario'!$K$5:$K$504, '📅 Resumen Diario'!$B$5:$B$504, B4424, '📅 Resumen Diario'!$C$5:$C$504, D4424), 0))</f>
        <v/>
      </c>
      <c r="M4424" s="31" t="str">
        <f t="shared" si="486"/>
        <v/>
      </c>
      <c r="N4424" s="31" t="str">
        <f t="shared" si="487"/>
        <v/>
      </c>
      <c r="O4424" s="31" t="str">
        <f>IF(OR(B4424="",C4424=""),"",K4424-N4424 + IFERROR(E4424 / SUMIFS('📅 Resumen Diario'!$D$5:$D$504, '📅 Resumen Diario'!$B$5:$B$504, B4424, '📅 Resumen Diario'!$C$5:$C$504, D4424) * (SUMIFS('📋 Detalle Diario'!$E$5:$E$489, '📋 Detalle Diario'!$B$5:$B$489, B4424, '📋 Detalle Diario'!$C$5:$C$489, D4424) * 135 + SUMIFS('📋 Detalle Diario'!$I$5:$I$489, '📋 Detalle Diario'!$B$5:$B$489, B4424, '📋 Detalle Diario'!$C$5:$C$489, D4424) * 200), 0))</f>
        <v/>
      </c>
      <c r="P4424" s="32" t="str">
        <f t="shared" si="488"/>
        <v/>
      </c>
      <c r="Q4424" s="33" t="str">
        <f t="shared" si="489"/>
        <v/>
      </c>
    </row>
    <row r="4425" spans="2:17" ht="18" customHeight="1" x14ac:dyDescent="0.3">
      <c r="B4425" s="26"/>
      <c r="C4425" s="28"/>
      <c r="D4425" s="27"/>
      <c r="E4425" s="29"/>
      <c r="F4425" s="29"/>
      <c r="G4425" s="29"/>
      <c r="H4425" s="30" t="str">
        <f t="shared" si="483"/>
        <v/>
      </c>
      <c r="I4425" s="31" t="str">
        <f>IF(OR(B4425="",C4425=""),"",IFERROR(E4425*IF(E4425="",0,VLOOKUP(C4425,'📦 Precios Proforma'!$B$5:$D$104,IF(D4425="DIA",2,3),FALSE)),0))</f>
        <v/>
      </c>
      <c r="J4425" s="31" t="str">
        <f t="shared" si="484"/>
        <v/>
      </c>
      <c r="K4425" s="31" t="str">
        <f t="shared" si="485"/>
        <v/>
      </c>
      <c r="L4425" s="31" t="str">
        <f>IF(OR(B4425="",C4425=""),"",IFERROR(E4425 / SUMIFS('📅 Resumen Diario'!$D$5:$D$504, '📅 Resumen Diario'!$B$5:$B$504, B4425, '📅 Resumen Diario'!$C$5:$C$504, D4425) * SUMIFS('📅 Resumen Diario'!$K$5:$K$504, '📅 Resumen Diario'!$B$5:$B$504, B4425, '📅 Resumen Diario'!$C$5:$C$504, D4425), 0))</f>
        <v/>
      </c>
      <c r="M4425" s="31" t="str">
        <f t="shared" si="486"/>
        <v/>
      </c>
      <c r="N4425" s="31" t="str">
        <f t="shared" si="487"/>
        <v/>
      </c>
      <c r="O4425" s="31" t="str">
        <f>IF(OR(B4425="",C4425=""),"",K4425-N4425 + IFERROR(E4425 / SUMIFS('📅 Resumen Diario'!$D$5:$D$504, '📅 Resumen Diario'!$B$5:$B$504, B4425, '📅 Resumen Diario'!$C$5:$C$504, D4425) * (SUMIFS('📋 Detalle Diario'!$E$5:$E$489, '📋 Detalle Diario'!$B$5:$B$489, B4425, '📋 Detalle Diario'!$C$5:$C$489, D4425) * 135 + SUMIFS('📋 Detalle Diario'!$I$5:$I$489, '📋 Detalle Diario'!$B$5:$B$489, B4425, '📋 Detalle Diario'!$C$5:$C$489, D4425) * 200), 0))</f>
        <v/>
      </c>
      <c r="P4425" s="32" t="str">
        <f t="shared" si="488"/>
        <v/>
      </c>
      <c r="Q4425" s="33" t="str">
        <f t="shared" si="489"/>
        <v/>
      </c>
    </row>
    <row r="4426" spans="2:17" ht="18" customHeight="1" x14ac:dyDescent="0.3">
      <c r="B4426" s="26"/>
      <c r="C4426" s="17"/>
      <c r="D4426" s="27"/>
      <c r="E4426" s="18"/>
      <c r="F4426" s="18"/>
      <c r="G4426" s="18"/>
      <c r="H4426" s="30" t="str">
        <f t="shared" si="483"/>
        <v/>
      </c>
      <c r="I4426" s="31" t="str">
        <f>IF(OR(B4426="",C4426=""),"",IFERROR(E4426*IF(E4426="",0,VLOOKUP(C4426,'📦 Precios Proforma'!$B$5:$D$104,IF(D4426="DIA",2,3),FALSE)),0))</f>
        <v/>
      </c>
      <c r="J4426" s="31" t="str">
        <f t="shared" si="484"/>
        <v/>
      </c>
      <c r="K4426" s="31" t="str">
        <f t="shared" si="485"/>
        <v/>
      </c>
      <c r="L4426" s="31" t="str">
        <f>IF(OR(B4426="",C4426=""),"",IFERROR(E4426 / SUMIFS('📅 Resumen Diario'!$D$5:$D$504, '📅 Resumen Diario'!$B$5:$B$504, B4426, '📅 Resumen Diario'!$C$5:$C$504, D4426) * SUMIFS('📅 Resumen Diario'!$K$5:$K$504, '📅 Resumen Diario'!$B$5:$B$504, B4426, '📅 Resumen Diario'!$C$5:$C$504, D4426), 0))</f>
        <v/>
      </c>
      <c r="M4426" s="31" t="str">
        <f t="shared" si="486"/>
        <v/>
      </c>
      <c r="N4426" s="31" t="str">
        <f t="shared" si="487"/>
        <v/>
      </c>
      <c r="O4426" s="31" t="str">
        <f>IF(OR(B4426="",C4426=""),"",K4426-N4426 + IFERROR(E4426 / SUMIFS('📅 Resumen Diario'!$D$5:$D$504, '📅 Resumen Diario'!$B$5:$B$504, B4426, '📅 Resumen Diario'!$C$5:$C$504, D4426) * (SUMIFS('📋 Detalle Diario'!$E$5:$E$489, '📋 Detalle Diario'!$B$5:$B$489, B4426, '📋 Detalle Diario'!$C$5:$C$489, D4426) * 135 + SUMIFS('📋 Detalle Diario'!$I$5:$I$489, '📋 Detalle Diario'!$B$5:$B$489, B4426, '📋 Detalle Diario'!$C$5:$C$489, D4426) * 200), 0))</f>
        <v/>
      </c>
      <c r="P4426" s="32" t="str">
        <f t="shared" si="488"/>
        <v/>
      </c>
      <c r="Q4426" s="33" t="str">
        <f t="shared" si="489"/>
        <v/>
      </c>
    </row>
    <row r="4427" spans="2:17" ht="18" customHeight="1" x14ac:dyDescent="0.3">
      <c r="B4427" s="26"/>
      <c r="C4427" s="28"/>
      <c r="D4427" s="27"/>
      <c r="E4427" s="29"/>
      <c r="F4427" s="29"/>
      <c r="G4427" s="29"/>
      <c r="H4427" s="30" t="str">
        <f t="shared" si="483"/>
        <v/>
      </c>
      <c r="I4427" s="31" t="str">
        <f>IF(OR(B4427="",C4427=""),"",IFERROR(E4427*IF(E4427="",0,VLOOKUP(C4427,'📦 Precios Proforma'!$B$5:$D$104,IF(D4427="DIA",2,3),FALSE)),0))</f>
        <v/>
      </c>
      <c r="J4427" s="31" t="str">
        <f t="shared" si="484"/>
        <v/>
      </c>
      <c r="K4427" s="31" t="str">
        <f t="shared" si="485"/>
        <v/>
      </c>
      <c r="L4427" s="31" t="str">
        <f>IF(OR(B4427="",C4427=""),"",IFERROR(E4427 / SUMIFS('📅 Resumen Diario'!$D$5:$D$504, '📅 Resumen Diario'!$B$5:$B$504, B4427, '📅 Resumen Diario'!$C$5:$C$504, D4427) * SUMIFS('📅 Resumen Diario'!$K$5:$K$504, '📅 Resumen Diario'!$B$5:$B$504, B4427, '📅 Resumen Diario'!$C$5:$C$504, D4427), 0))</f>
        <v/>
      </c>
      <c r="M4427" s="31" t="str">
        <f t="shared" si="486"/>
        <v/>
      </c>
      <c r="N4427" s="31" t="str">
        <f t="shared" si="487"/>
        <v/>
      </c>
      <c r="O4427" s="31" t="str">
        <f>IF(OR(B4427="",C4427=""),"",K4427-N4427 + IFERROR(E4427 / SUMIFS('📅 Resumen Diario'!$D$5:$D$504, '📅 Resumen Diario'!$B$5:$B$504, B4427, '📅 Resumen Diario'!$C$5:$C$504, D4427) * (SUMIFS('📋 Detalle Diario'!$E$5:$E$489, '📋 Detalle Diario'!$B$5:$B$489, B4427, '📋 Detalle Diario'!$C$5:$C$489, D4427) * 135 + SUMIFS('📋 Detalle Diario'!$I$5:$I$489, '📋 Detalle Diario'!$B$5:$B$489, B4427, '📋 Detalle Diario'!$C$5:$C$489, D4427) * 200), 0))</f>
        <v/>
      </c>
      <c r="P4427" s="32" t="str">
        <f t="shared" si="488"/>
        <v/>
      </c>
      <c r="Q4427" s="33" t="str">
        <f t="shared" si="489"/>
        <v/>
      </c>
    </row>
    <row r="4428" spans="2:17" ht="18" customHeight="1" x14ac:dyDescent="0.3">
      <c r="B4428" s="26"/>
      <c r="C4428" s="17"/>
      <c r="D4428" s="27"/>
      <c r="E4428" s="18"/>
      <c r="F4428" s="18"/>
      <c r="G4428" s="18"/>
      <c r="H4428" s="30" t="str">
        <f t="shared" si="483"/>
        <v/>
      </c>
      <c r="I4428" s="31" t="str">
        <f>IF(OR(B4428="",C4428=""),"",IFERROR(E4428*IF(E4428="",0,VLOOKUP(C4428,'📦 Precios Proforma'!$B$5:$D$104,IF(D4428="DIA",2,3),FALSE)),0))</f>
        <v/>
      </c>
      <c r="J4428" s="31" t="str">
        <f t="shared" si="484"/>
        <v/>
      </c>
      <c r="K4428" s="31" t="str">
        <f t="shared" si="485"/>
        <v/>
      </c>
      <c r="L4428" s="31" t="str">
        <f>IF(OR(B4428="",C4428=""),"",IFERROR(E4428 / SUMIFS('📅 Resumen Diario'!$D$5:$D$504, '📅 Resumen Diario'!$B$5:$B$504, B4428, '📅 Resumen Diario'!$C$5:$C$504, D4428) * SUMIFS('📅 Resumen Diario'!$K$5:$K$504, '📅 Resumen Diario'!$B$5:$B$504, B4428, '📅 Resumen Diario'!$C$5:$C$504, D4428), 0))</f>
        <v/>
      </c>
      <c r="M4428" s="31" t="str">
        <f t="shared" si="486"/>
        <v/>
      </c>
      <c r="N4428" s="31" t="str">
        <f t="shared" si="487"/>
        <v/>
      </c>
      <c r="O4428" s="31" t="str">
        <f>IF(OR(B4428="",C4428=""),"",K4428-N4428 + IFERROR(E4428 / SUMIFS('📅 Resumen Diario'!$D$5:$D$504, '📅 Resumen Diario'!$B$5:$B$504, B4428, '📅 Resumen Diario'!$C$5:$C$504, D4428) * (SUMIFS('📋 Detalle Diario'!$E$5:$E$489, '📋 Detalle Diario'!$B$5:$B$489, B4428, '📋 Detalle Diario'!$C$5:$C$489, D4428) * 135 + SUMIFS('📋 Detalle Diario'!$I$5:$I$489, '📋 Detalle Diario'!$B$5:$B$489, B4428, '📋 Detalle Diario'!$C$5:$C$489, D4428) * 200), 0))</f>
        <v/>
      </c>
      <c r="P4428" s="32" t="str">
        <f t="shared" si="488"/>
        <v/>
      </c>
      <c r="Q4428" s="33" t="str">
        <f t="shared" si="489"/>
        <v/>
      </c>
    </row>
    <row r="4429" spans="2:17" ht="18" customHeight="1" x14ac:dyDescent="0.3">
      <c r="B4429" s="26"/>
      <c r="C4429" s="28"/>
      <c r="D4429" s="27"/>
      <c r="E4429" s="29"/>
      <c r="F4429" s="29"/>
      <c r="G4429" s="29"/>
      <c r="H4429" s="30" t="str">
        <f t="shared" si="483"/>
        <v/>
      </c>
      <c r="I4429" s="31" t="str">
        <f>IF(OR(B4429="",C4429=""),"",IFERROR(E4429*IF(E4429="",0,VLOOKUP(C4429,'📦 Precios Proforma'!$B$5:$D$104,IF(D4429="DIA",2,3),FALSE)),0))</f>
        <v/>
      </c>
      <c r="J4429" s="31" t="str">
        <f t="shared" si="484"/>
        <v/>
      </c>
      <c r="K4429" s="31" t="str">
        <f t="shared" si="485"/>
        <v/>
      </c>
      <c r="L4429" s="31" t="str">
        <f>IF(OR(B4429="",C4429=""),"",IFERROR(E4429 / SUMIFS('📅 Resumen Diario'!$D$5:$D$504, '📅 Resumen Diario'!$B$5:$B$504, B4429, '📅 Resumen Diario'!$C$5:$C$504, D4429) * SUMIFS('📅 Resumen Diario'!$K$5:$K$504, '📅 Resumen Diario'!$B$5:$B$504, B4429, '📅 Resumen Diario'!$C$5:$C$504, D4429), 0))</f>
        <v/>
      </c>
      <c r="M4429" s="31" t="str">
        <f t="shared" si="486"/>
        <v/>
      </c>
      <c r="N4429" s="31" t="str">
        <f t="shared" si="487"/>
        <v/>
      </c>
      <c r="O4429" s="31" t="str">
        <f>IF(OR(B4429="",C4429=""),"",K4429-N4429 + IFERROR(E4429 / SUMIFS('📅 Resumen Diario'!$D$5:$D$504, '📅 Resumen Diario'!$B$5:$B$504, B4429, '📅 Resumen Diario'!$C$5:$C$504, D4429) * (SUMIFS('📋 Detalle Diario'!$E$5:$E$489, '📋 Detalle Diario'!$B$5:$B$489, B4429, '📋 Detalle Diario'!$C$5:$C$489, D4429) * 135 + SUMIFS('📋 Detalle Diario'!$I$5:$I$489, '📋 Detalle Diario'!$B$5:$B$489, B4429, '📋 Detalle Diario'!$C$5:$C$489, D4429) * 200), 0))</f>
        <v/>
      </c>
      <c r="P4429" s="32" t="str">
        <f t="shared" si="488"/>
        <v/>
      </c>
      <c r="Q4429" s="33" t="str">
        <f t="shared" si="489"/>
        <v/>
      </c>
    </row>
    <row r="4430" spans="2:17" ht="18" customHeight="1" x14ac:dyDescent="0.3">
      <c r="B4430" s="26"/>
      <c r="C4430" s="17"/>
      <c r="D4430" s="27"/>
      <c r="E4430" s="18"/>
      <c r="F4430" s="18"/>
      <c r="G4430" s="18"/>
      <c r="H4430" s="30" t="str">
        <f t="shared" si="483"/>
        <v/>
      </c>
      <c r="I4430" s="31" t="str">
        <f>IF(OR(B4430="",C4430=""),"",IFERROR(E4430*IF(E4430="",0,VLOOKUP(C4430,'📦 Precios Proforma'!$B$5:$D$104,IF(D4430="DIA",2,3),FALSE)),0))</f>
        <v/>
      </c>
      <c r="J4430" s="31" t="str">
        <f t="shared" si="484"/>
        <v/>
      </c>
      <c r="K4430" s="31" t="str">
        <f t="shared" si="485"/>
        <v/>
      </c>
      <c r="L4430" s="31" t="str">
        <f>IF(OR(B4430="",C4430=""),"",IFERROR(E4430 / SUMIFS('📅 Resumen Diario'!$D$5:$D$504, '📅 Resumen Diario'!$B$5:$B$504, B4430, '📅 Resumen Diario'!$C$5:$C$504, D4430) * SUMIFS('📅 Resumen Diario'!$K$5:$K$504, '📅 Resumen Diario'!$B$5:$B$504, B4430, '📅 Resumen Diario'!$C$5:$C$504, D4430), 0))</f>
        <v/>
      </c>
      <c r="M4430" s="31" t="str">
        <f t="shared" si="486"/>
        <v/>
      </c>
      <c r="N4430" s="31" t="str">
        <f t="shared" si="487"/>
        <v/>
      </c>
      <c r="O4430" s="31" t="str">
        <f>IF(OR(B4430="",C4430=""),"",K4430-N4430 + IFERROR(E4430 / SUMIFS('📅 Resumen Diario'!$D$5:$D$504, '📅 Resumen Diario'!$B$5:$B$504, B4430, '📅 Resumen Diario'!$C$5:$C$504, D4430) * (SUMIFS('📋 Detalle Diario'!$E$5:$E$489, '📋 Detalle Diario'!$B$5:$B$489, B4430, '📋 Detalle Diario'!$C$5:$C$489, D4430) * 135 + SUMIFS('📋 Detalle Diario'!$I$5:$I$489, '📋 Detalle Diario'!$B$5:$B$489, B4430, '📋 Detalle Diario'!$C$5:$C$489, D4430) * 200), 0))</f>
        <v/>
      </c>
      <c r="P4430" s="32" t="str">
        <f t="shared" si="488"/>
        <v/>
      </c>
      <c r="Q4430" s="33" t="str">
        <f t="shared" si="489"/>
        <v/>
      </c>
    </row>
    <row r="4431" spans="2:17" ht="18" customHeight="1" x14ac:dyDescent="0.3">
      <c r="B4431" s="26"/>
      <c r="C4431" s="28"/>
      <c r="D4431" s="27"/>
      <c r="E4431" s="29"/>
      <c r="F4431" s="29"/>
      <c r="G4431" s="29"/>
      <c r="H4431" s="30" t="str">
        <f t="shared" si="483"/>
        <v/>
      </c>
      <c r="I4431" s="31" t="str">
        <f>IF(OR(B4431="",C4431=""),"",IFERROR(E4431*IF(E4431="",0,VLOOKUP(C4431,'📦 Precios Proforma'!$B$5:$D$104,IF(D4431="DIA",2,3),FALSE)),0))</f>
        <v/>
      </c>
      <c r="J4431" s="31" t="str">
        <f t="shared" si="484"/>
        <v/>
      </c>
      <c r="K4431" s="31" t="str">
        <f t="shared" si="485"/>
        <v/>
      </c>
      <c r="L4431" s="31" t="str">
        <f>IF(OR(B4431="",C4431=""),"",IFERROR(E4431 / SUMIFS('📅 Resumen Diario'!$D$5:$D$504, '📅 Resumen Diario'!$B$5:$B$504, B4431, '📅 Resumen Diario'!$C$5:$C$504, D4431) * SUMIFS('📅 Resumen Diario'!$K$5:$K$504, '📅 Resumen Diario'!$B$5:$B$504, B4431, '📅 Resumen Diario'!$C$5:$C$504, D4431), 0))</f>
        <v/>
      </c>
      <c r="M4431" s="31" t="str">
        <f t="shared" si="486"/>
        <v/>
      </c>
      <c r="N4431" s="31" t="str">
        <f t="shared" si="487"/>
        <v/>
      </c>
      <c r="O4431" s="31" t="str">
        <f>IF(OR(B4431="",C4431=""),"",K4431-N4431 + IFERROR(E4431 / SUMIFS('📅 Resumen Diario'!$D$5:$D$504, '📅 Resumen Diario'!$B$5:$B$504, B4431, '📅 Resumen Diario'!$C$5:$C$504, D4431) * (SUMIFS('📋 Detalle Diario'!$E$5:$E$489, '📋 Detalle Diario'!$B$5:$B$489, B4431, '📋 Detalle Diario'!$C$5:$C$489, D4431) * 135 + SUMIFS('📋 Detalle Diario'!$I$5:$I$489, '📋 Detalle Diario'!$B$5:$B$489, B4431, '📋 Detalle Diario'!$C$5:$C$489, D4431) * 200), 0))</f>
        <v/>
      </c>
      <c r="P4431" s="32" t="str">
        <f t="shared" si="488"/>
        <v/>
      </c>
      <c r="Q4431" s="33" t="str">
        <f t="shared" si="489"/>
        <v/>
      </c>
    </row>
    <row r="4432" spans="2:17" ht="18" customHeight="1" x14ac:dyDescent="0.3">
      <c r="B4432" s="26"/>
      <c r="C4432" s="17"/>
      <c r="D4432" s="27"/>
      <c r="E4432" s="18"/>
      <c r="F4432" s="18"/>
      <c r="G4432" s="18"/>
      <c r="H4432" s="30" t="str">
        <f t="shared" si="483"/>
        <v/>
      </c>
      <c r="I4432" s="31" t="str">
        <f>IF(OR(B4432="",C4432=""),"",IFERROR(E4432*IF(E4432="",0,VLOOKUP(C4432,'📦 Precios Proforma'!$B$5:$D$104,IF(D4432="DIA",2,3),FALSE)),0))</f>
        <v/>
      </c>
      <c r="J4432" s="31" t="str">
        <f t="shared" si="484"/>
        <v/>
      </c>
      <c r="K4432" s="31" t="str">
        <f t="shared" si="485"/>
        <v/>
      </c>
      <c r="L4432" s="31" t="str">
        <f>IF(OR(B4432="",C4432=""),"",IFERROR(E4432 / SUMIFS('📅 Resumen Diario'!$D$5:$D$504, '📅 Resumen Diario'!$B$5:$B$504, B4432, '📅 Resumen Diario'!$C$5:$C$504, D4432) * SUMIFS('📅 Resumen Diario'!$K$5:$K$504, '📅 Resumen Diario'!$B$5:$B$504, B4432, '📅 Resumen Diario'!$C$5:$C$504, D4432), 0))</f>
        <v/>
      </c>
      <c r="M4432" s="31" t="str">
        <f t="shared" si="486"/>
        <v/>
      </c>
      <c r="N4432" s="31" t="str">
        <f t="shared" si="487"/>
        <v/>
      </c>
      <c r="O4432" s="31" t="str">
        <f>IF(OR(B4432="",C4432=""),"",K4432-N4432 + IFERROR(E4432 / SUMIFS('📅 Resumen Diario'!$D$5:$D$504, '📅 Resumen Diario'!$B$5:$B$504, B4432, '📅 Resumen Diario'!$C$5:$C$504, D4432) * (SUMIFS('📋 Detalle Diario'!$E$5:$E$489, '📋 Detalle Diario'!$B$5:$B$489, B4432, '📋 Detalle Diario'!$C$5:$C$489, D4432) * 135 + SUMIFS('📋 Detalle Diario'!$I$5:$I$489, '📋 Detalle Diario'!$B$5:$B$489, B4432, '📋 Detalle Diario'!$C$5:$C$489, D4432) * 200), 0))</f>
        <v/>
      </c>
      <c r="P4432" s="32" t="str">
        <f t="shared" si="488"/>
        <v/>
      </c>
      <c r="Q4432" s="33" t="str">
        <f t="shared" si="489"/>
        <v/>
      </c>
    </row>
    <row r="4433" spans="2:17" ht="18" customHeight="1" x14ac:dyDescent="0.3">
      <c r="B4433" s="26"/>
      <c r="C4433" s="28"/>
      <c r="D4433" s="27"/>
      <c r="E4433" s="29"/>
      <c r="F4433" s="29"/>
      <c r="G4433" s="29"/>
      <c r="H4433" s="30" t="str">
        <f t="shared" si="483"/>
        <v/>
      </c>
      <c r="I4433" s="31" t="str">
        <f>IF(OR(B4433="",C4433=""),"",IFERROR(E4433*IF(E4433="",0,VLOOKUP(C4433,'📦 Precios Proforma'!$B$5:$D$104,IF(D4433="DIA",2,3),FALSE)),0))</f>
        <v/>
      </c>
      <c r="J4433" s="31" t="str">
        <f t="shared" si="484"/>
        <v/>
      </c>
      <c r="K4433" s="31" t="str">
        <f t="shared" si="485"/>
        <v/>
      </c>
      <c r="L4433" s="31" t="str">
        <f>IF(OR(B4433="",C4433=""),"",IFERROR(E4433 / SUMIFS('📅 Resumen Diario'!$D$5:$D$504, '📅 Resumen Diario'!$B$5:$B$504, B4433, '📅 Resumen Diario'!$C$5:$C$504, D4433) * SUMIFS('📅 Resumen Diario'!$K$5:$K$504, '📅 Resumen Diario'!$B$5:$B$504, B4433, '📅 Resumen Diario'!$C$5:$C$504, D4433), 0))</f>
        <v/>
      </c>
      <c r="M4433" s="31" t="str">
        <f t="shared" si="486"/>
        <v/>
      </c>
      <c r="N4433" s="31" t="str">
        <f t="shared" si="487"/>
        <v/>
      </c>
      <c r="O4433" s="31" t="str">
        <f>IF(OR(B4433="",C4433=""),"",K4433-N4433 + IFERROR(E4433 / SUMIFS('📅 Resumen Diario'!$D$5:$D$504, '📅 Resumen Diario'!$B$5:$B$504, B4433, '📅 Resumen Diario'!$C$5:$C$504, D4433) * (SUMIFS('📋 Detalle Diario'!$E$5:$E$489, '📋 Detalle Diario'!$B$5:$B$489, B4433, '📋 Detalle Diario'!$C$5:$C$489, D4433) * 135 + SUMIFS('📋 Detalle Diario'!$I$5:$I$489, '📋 Detalle Diario'!$B$5:$B$489, B4433, '📋 Detalle Diario'!$C$5:$C$489, D4433) * 200), 0))</f>
        <v/>
      </c>
      <c r="P4433" s="32" t="str">
        <f t="shared" si="488"/>
        <v/>
      </c>
      <c r="Q4433" s="33" t="str">
        <f t="shared" si="489"/>
        <v/>
      </c>
    </row>
    <row r="4434" spans="2:17" ht="18" customHeight="1" x14ac:dyDescent="0.3">
      <c r="B4434" s="26"/>
      <c r="C4434" s="17"/>
      <c r="D4434" s="27"/>
      <c r="E4434" s="18"/>
      <c r="F4434" s="18"/>
      <c r="G4434" s="18"/>
      <c r="H4434" s="30" t="str">
        <f t="shared" si="483"/>
        <v/>
      </c>
      <c r="I4434" s="31" t="str">
        <f>IF(OR(B4434="",C4434=""),"",IFERROR(E4434*IF(E4434="",0,VLOOKUP(C4434,'📦 Precios Proforma'!$B$5:$D$104,IF(D4434="DIA",2,3),FALSE)),0))</f>
        <v/>
      </c>
      <c r="J4434" s="31" t="str">
        <f t="shared" si="484"/>
        <v/>
      </c>
      <c r="K4434" s="31" t="str">
        <f t="shared" si="485"/>
        <v/>
      </c>
      <c r="L4434" s="31" t="str">
        <f>IF(OR(B4434="",C4434=""),"",IFERROR(E4434 / SUMIFS('📅 Resumen Diario'!$D$5:$D$504, '📅 Resumen Diario'!$B$5:$B$504, B4434, '📅 Resumen Diario'!$C$5:$C$504, D4434) * SUMIFS('📅 Resumen Diario'!$K$5:$K$504, '📅 Resumen Diario'!$B$5:$B$504, B4434, '📅 Resumen Diario'!$C$5:$C$504, D4434), 0))</f>
        <v/>
      </c>
      <c r="M4434" s="31" t="str">
        <f t="shared" si="486"/>
        <v/>
      </c>
      <c r="N4434" s="31" t="str">
        <f t="shared" si="487"/>
        <v/>
      </c>
      <c r="O4434" s="31" t="str">
        <f>IF(OR(B4434="",C4434=""),"",K4434-N4434 + IFERROR(E4434 / SUMIFS('📅 Resumen Diario'!$D$5:$D$504, '📅 Resumen Diario'!$B$5:$B$504, B4434, '📅 Resumen Diario'!$C$5:$C$504, D4434) * (SUMIFS('📋 Detalle Diario'!$E$5:$E$489, '📋 Detalle Diario'!$B$5:$B$489, B4434, '📋 Detalle Diario'!$C$5:$C$489, D4434) * 135 + SUMIFS('📋 Detalle Diario'!$I$5:$I$489, '📋 Detalle Diario'!$B$5:$B$489, B4434, '📋 Detalle Diario'!$C$5:$C$489, D4434) * 200), 0))</f>
        <v/>
      </c>
      <c r="P4434" s="32" t="str">
        <f t="shared" si="488"/>
        <v/>
      </c>
      <c r="Q4434" s="33" t="str">
        <f t="shared" si="489"/>
        <v/>
      </c>
    </row>
    <row r="4435" spans="2:17" ht="18" customHeight="1" x14ac:dyDescent="0.3">
      <c r="B4435" s="26"/>
      <c r="C4435" s="28"/>
      <c r="D4435" s="27"/>
      <c r="E4435" s="29"/>
      <c r="F4435" s="29"/>
      <c r="G4435" s="29"/>
      <c r="H4435" s="30" t="str">
        <f t="shared" si="483"/>
        <v/>
      </c>
      <c r="I4435" s="31" t="str">
        <f>IF(OR(B4435="",C4435=""),"",IFERROR(E4435*IF(E4435="",0,VLOOKUP(C4435,'📦 Precios Proforma'!$B$5:$D$104,IF(D4435="DIA",2,3),FALSE)),0))</f>
        <v/>
      </c>
      <c r="J4435" s="31" t="str">
        <f t="shared" si="484"/>
        <v/>
      </c>
      <c r="K4435" s="31" t="str">
        <f t="shared" si="485"/>
        <v/>
      </c>
      <c r="L4435" s="31" t="str">
        <f>IF(OR(B4435="",C4435=""),"",IFERROR(E4435 / SUMIFS('📅 Resumen Diario'!$D$5:$D$504, '📅 Resumen Diario'!$B$5:$B$504, B4435, '📅 Resumen Diario'!$C$5:$C$504, D4435) * SUMIFS('📅 Resumen Diario'!$K$5:$K$504, '📅 Resumen Diario'!$B$5:$B$504, B4435, '📅 Resumen Diario'!$C$5:$C$504, D4435), 0))</f>
        <v/>
      </c>
      <c r="M4435" s="31" t="str">
        <f t="shared" si="486"/>
        <v/>
      </c>
      <c r="N4435" s="31" t="str">
        <f t="shared" si="487"/>
        <v/>
      </c>
      <c r="O4435" s="31" t="str">
        <f>IF(OR(B4435="",C4435=""),"",K4435-N4435 + IFERROR(E4435 / SUMIFS('📅 Resumen Diario'!$D$5:$D$504, '📅 Resumen Diario'!$B$5:$B$504, B4435, '📅 Resumen Diario'!$C$5:$C$504, D4435) * (SUMIFS('📋 Detalle Diario'!$E$5:$E$489, '📋 Detalle Diario'!$B$5:$B$489, B4435, '📋 Detalle Diario'!$C$5:$C$489, D4435) * 135 + SUMIFS('📋 Detalle Diario'!$I$5:$I$489, '📋 Detalle Diario'!$B$5:$B$489, B4435, '📋 Detalle Diario'!$C$5:$C$489, D4435) * 200), 0))</f>
        <v/>
      </c>
      <c r="P4435" s="32" t="str">
        <f t="shared" si="488"/>
        <v/>
      </c>
      <c r="Q4435" s="33" t="str">
        <f t="shared" si="489"/>
        <v/>
      </c>
    </row>
    <row r="4436" spans="2:17" ht="18" customHeight="1" x14ac:dyDescent="0.3">
      <c r="B4436" s="26"/>
      <c r="C4436" s="17"/>
      <c r="D4436" s="27"/>
      <c r="E4436" s="18"/>
      <c r="F4436" s="18"/>
      <c r="G4436" s="18"/>
      <c r="H4436" s="30" t="str">
        <f t="shared" si="483"/>
        <v/>
      </c>
      <c r="I4436" s="31" t="str">
        <f>IF(OR(B4436="",C4436=""),"",IFERROR(E4436*IF(E4436="",0,VLOOKUP(C4436,'📦 Precios Proforma'!$B$5:$D$104,IF(D4436="DIA",2,3),FALSE)),0))</f>
        <v/>
      </c>
      <c r="J4436" s="31" t="str">
        <f t="shared" si="484"/>
        <v/>
      </c>
      <c r="K4436" s="31" t="str">
        <f t="shared" si="485"/>
        <v/>
      </c>
      <c r="L4436" s="31" t="str">
        <f>IF(OR(B4436="",C4436=""),"",IFERROR(E4436 / SUMIFS('📅 Resumen Diario'!$D$5:$D$504, '📅 Resumen Diario'!$B$5:$B$504, B4436, '📅 Resumen Diario'!$C$5:$C$504, D4436) * SUMIFS('📅 Resumen Diario'!$K$5:$K$504, '📅 Resumen Diario'!$B$5:$B$504, B4436, '📅 Resumen Diario'!$C$5:$C$504, D4436), 0))</f>
        <v/>
      </c>
      <c r="M4436" s="31" t="str">
        <f t="shared" si="486"/>
        <v/>
      </c>
      <c r="N4436" s="31" t="str">
        <f t="shared" si="487"/>
        <v/>
      </c>
      <c r="O4436" s="31" t="str">
        <f>IF(OR(B4436="",C4436=""),"",K4436-N4436 + IFERROR(E4436 / SUMIFS('📅 Resumen Diario'!$D$5:$D$504, '📅 Resumen Diario'!$B$5:$B$504, B4436, '📅 Resumen Diario'!$C$5:$C$504, D4436) * (SUMIFS('📋 Detalle Diario'!$E$5:$E$489, '📋 Detalle Diario'!$B$5:$B$489, B4436, '📋 Detalle Diario'!$C$5:$C$489, D4436) * 135 + SUMIFS('📋 Detalle Diario'!$I$5:$I$489, '📋 Detalle Diario'!$B$5:$B$489, B4436, '📋 Detalle Diario'!$C$5:$C$489, D4436) * 200), 0))</f>
        <v/>
      </c>
      <c r="P4436" s="32" t="str">
        <f t="shared" si="488"/>
        <v/>
      </c>
      <c r="Q4436" s="33" t="str">
        <f t="shared" si="489"/>
        <v/>
      </c>
    </row>
    <row r="4437" spans="2:17" ht="18" customHeight="1" x14ac:dyDescent="0.3">
      <c r="B4437" s="26"/>
      <c r="C4437" s="28"/>
      <c r="D4437" s="27"/>
      <c r="E4437" s="29"/>
      <c r="F4437" s="29"/>
      <c r="G4437" s="29"/>
      <c r="H4437" s="30" t="str">
        <f t="shared" si="483"/>
        <v/>
      </c>
      <c r="I4437" s="31" t="str">
        <f>IF(OR(B4437="",C4437=""),"",IFERROR(E4437*IF(E4437="",0,VLOOKUP(C4437,'📦 Precios Proforma'!$B$5:$D$104,IF(D4437="DIA",2,3),FALSE)),0))</f>
        <v/>
      </c>
      <c r="J4437" s="31" t="str">
        <f t="shared" si="484"/>
        <v/>
      </c>
      <c r="K4437" s="31" t="str">
        <f t="shared" si="485"/>
        <v/>
      </c>
      <c r="L4437" s="31" t="str">
        <f>IF(OR(B4437="",C4437=""),"",IFERROR(E4437 / SUMIFS('📅 Resumen Diario'!$D$5:$D$504, '📅 Resumen Diario'!$B$5:$B$504, B4437, '📅 Resumen Diario'!$C$5:$C$504, D4437) * SUMIFS('📅 Resumen Diario'!$K$5:$K$504, '📅 Resumen Diario'!$B$5:$B$504, B4437, '📅 Resumen Diario'!$C$5:$C$504, D4437), 0))</f>
        <v/>
      </c>
      <c r="M4437" s="31" t="str">
        <f t="shared" si="486"/>
        <v/>
      </c>
      <c r="N4437" s="31" t="str">
        <f t="shared" si="487"/>
        <v/>
      </c>
      <c r="O4437" s="31" t="str">
        <f>IF(OR(B4437="",C4437=""),"",K4437-N4437 + IFERROR(E4437 / SUMIFS('📅 Resumen Diario'!$D$5:$D$504, '📅 Resumen Diario'!$B$5:$B$504, B4437, '📅 Resumen Diario'!$C$5:$C$504, D4437) * (SUMIFS('📋 Detalle Diario'!$E$5:$E$489, '📋 Detalle Diario'!$B$5:$B$489, B4437, '📋 Detalle Diario'!$C$5:$C$489, D4437) * 135 + SUMIFS('📋 Detalle Diario'!$I$5:$I$489, '📋 Detalle Diario'!$B$5:$B$489, B4437, '📋 Detalle Diario'!$C$5:$C$489, D4437) * 200), 0))</f>
        <v/>
      </c>
      <c r="P4437" s="32" t="str">
        <f t="shared" si="488"/>
        <v/>
      </c>
      <c r="Q4437" s="33" t="str">
        <f t="shared" si="489"/>
        <v/>
      </c>
    </row>
    <row r="4438" spans="2:17" ht="18" customHeight="1" x14ac:dyDescent="0.3">
      <c r="B4438" s="26"/>
      <c r="C4438" s="17"/>
      <c r="D4438" s="27"/>
      <c r="E4438" s="18"/>
      <c r="F4438" s="18"/>
      <c r="G4438" s="18"/>
      <c r="H4438" s="30" t="str">
        <f t="shared" si="483"/>
        <v/>
      </c>
      <c r="I4438" s="31" t="str">
        <f>IF(OR(B4438="",C4438=""),"",IFERROR(E4438*IF(E4438="",0,VLOOKUP(C4438,'📦 Precios Proforma'!$B$5:$D$104,IF(D4438="DIA",2,3),FALSE)),0))</f>
        <v/>
      </c>
      <c r="J4438" s="31" t="str">
        <f t="shared" si="484"/>
        <v/>
      </c>
      <c r="K4438" s="31" t="str">
        <f t="shared" si="485"/>
        <v/>
      </c>
      <c r="L4438" s="31" t="str">
        <f>IF(OR(B4438="",C4438=""),"",IFERROR(E4438 / SUMIFS('📅 Resumen Diario'!$D$5:$D$504, '📅 Resumen Diario'!$B$5:$B$504, B4438, '📅 Resumen Diario'!$C$5:$C$504, D4438) * SUMIFS('📅 Resumen Diario'!$K$5:$K$504, '📅 Resumen Diario'!$B$5:$B$504, B4438, '📅 Resumen Diario'!$C$5:$C$504, D4438), 0))</f>
        <v/>
      </c>
      <c r="M4438" s="31" t="str">
        <f t="shared" si="486"/>
        <v/>
      </c>
      <c r="N4438" s="31" t="str">
        <f t="shared" si="487"/>
        <v/>
      </c>
      <c r="O4438" s="31" t="str">
        <f>IF(OR(B4438="",C4438=""),"",K4438-N4438 + IFERROR(E4438 / SUMIFS('📅 Resumen Diario'!$D$5:$D$504, '📅 Resumen Diario'!$B$5:$B$504, B4438, '📅 Resumen Diario'!$C$5:$C$504, D4438) * (SUMIFS('📋 Detalle Diario'!$E$5:$E$489, '📋 Detalle Diario'!$B$5:$B$489, B4438, '📋 Detalle Diario'!$C$5:$C$489, D4438) * 135 + SUMIFS('📋 Detalle Diario'!$I$5:$I$489, '📋 Detalle Diario'!$B$5:$B$489, B4438, '📋 Detalle Diario'!$C$5:$C$489, D4438) * 200), 0))</f>
        <v/>
      </c>
      <c r="P4438" s="32" t="str">
        <f t="shared" si="488"/>
        <v/>
      </c>
      <c r="Q4438" s="33" t="str">
        <f t="shared" si="489"/>
        <v/>
      </c>
    </row>
    <row r="4439" spans="2:17" ht="18" customHeight="1" x14ac:dyDescent="0.3">
      <c r="B4439" s="26"/>
      <c r="C4439" s="28"/>
      <c r="D4439" s="27"/>
      <c r="E4439" s="29"/>
      <c r="F4439" s="29"/>
      <c r="G4439" s="29"/>
      <c r="H4439" s="30" t="str">
        <f t="shared" si="483"/>
        <v/>
      </c>
      <c r="I4439" s="31" t="str">
        <f>IF(OR(B4439="",C4439=""),"",IFERROR(E4439*IF(E4439="",0,VLOOKUP(C4439,'📦 Precios Proforma'!$B$5:$D$104,IF(D4439="DIA",2,3),FALSE)),0))</f>
        <v/>
      </c>
      <c r="J4439" s="31" t="str">
        <f t="shared" si="484"/>
        <v/>
      </c>
      <c r="K4439" s="31" t="str">
        <f t="shared" si="485"/>
        <v/>
      </c>
      <c r="L4439" s="31" t="str">
        <f>IF(OR(B4439="",C4439=""),"",IFERROR(E4439 / SUMIFS('📅 Resumen Diario'!$D$5:$D$504, '📅 Resumen Diario'!$B$5:$B$504, B4439, '📅 Resumen Diario'!$C$5:$C$504, D4439) * SUMIFS('📅 Resumen Diario'!$K$5:$K$504, '📅 Resumen Diario'!$B$5:$B$504, B4439, '📅 Resumen Diario'!$C$5:$C$504, D4439), 0))</f>
        <v/>
      </c>
      <c r="M4439" s="31" t="str">
        <f t="shared" si="486"/>
        <v/>
      </c>
      <c r="N4439" s="31" t="str">
        <f t="shared" si="487"/>
        <v/>
      </c>
      <c r="O4439" s="31" t="str">
        <f>IF(OR(B4439="",C4439=""),"",K4439-N4439 + IFERROR(E4439 / SUMIFS('📅 Resumen Diario'!$D$5:$D$504, '📅 Resumen Diario'!$B$5:$B$504, B4439, '📅 Resumen Diario'!$C$5:$C$504, D4439) * (SUMIFS('📋 Detalle Diario'!$E$5:$E$489, '📋 Detalle Diario'!$B$5:$B$489, B4439, '📋 Detalle Diario'!$C$5:$C$489, D4439) * 135 + SUMIFS('📋 Detalle Diario'!$I$5:$I$489, '📋 Detalle Diario'!$B$5:$B$489, B4439, '📋 Detalle Diario'!$C$5:$C$489, D4439) * 200), 0))</f>
        <v/>
      </c>
      <c r="P4439" s="32" t="str">
        <f t="shared" si="488"/>
        <v/>
      </c>
      <c r="Q4439" s="33" t="str">
        <f t="shared" si="489"/>
        <v/>
      </c>
    </row>
    <row r="4440" spans="2:17" ht="18" customHeight="1" x14ac:dyDescent="0.3">
      <c r="B4440" s="26"/>
      <c r="C4440" s="17"/>
      <c r="D4440" s="27"/>
      <c r="E4440" s="18"/>
      <c r="F4440" s="18"/>
      <c r="G4440" s="18"/>
      <c r="H4440" s="30" t="str">
        <f t="shared" si="483"/>
        <v/>
      </c>
      <c r="I4440" s="31" t="str">
        <f>IF(OR(B4440="",C4440=""),"",IFERROR(E4440*IF(E4440="",0,VLOOKUP(C4440,'📦 Precios Proforma'!$B$5:$D$104,IF(D4440="DIA",2,3),FALSE)),0))</f>
        <v/>
      </c>
      <c r="J4440" s="31" t="str">
        <f t="shared" si="484"/>
        <v/>
      </c>
      <c r="K4440" s="31" t="str">
        <f t="shared" si="485"/>
        <v/>
      </c>
      <c r="L4440" s="31" t="str">
        <f>IF(OR(B4440="",C4440=""),"",IFERROR(E4440 / SUMIFS('📅 Resumen Diario'!$D$5:$D$504, '📅 Resumen Diario'!$B$5:$B$504, B4440, '📅 Resumen Diario'!$C$5:$C$504, D4440) * SUMIFS('📅 Resumen Diario'!$K$5:$K$504, '📅 Resumen Diario'!$B$5:$B$504, B4440, '📅 Resumen Diario'!$C$5:$C$504, D4440), 0))</f>
        <v/>
      </c>
      <c r="M4440" s="31" t="str">
        <f t="shared" si="486"/>
        <v/>
      </c>
      <c r="N4440" s="31" t="str">
        <f t="shared" si="487"/>
        <v/>
      </c>
      <c r="O4440" s="31" t="str">
        <f>IF(OR(B4440="",C4440=""),"",K4440-N4440 + IFERROR(E4440 / SUMIFS('📅 Resumen Diario'!$D$5:$D$504, '📅 Resumen Diario'!$B$5:$B$504, B4440, '📅 Resumen Diario'!$C$5:$C$504, D4440) * (SUMIFS('📋 Detalle Diario'!$E$5:$E$489, '📋 Detalle Diario'!$B$5:$B$489, B4440, '📋 Detalle Diario'!$C$5:$C$489, D4440) * 135 + SUMIFS('📋 Detalle Diario'!$I$5:$I$489, '📋 Detalle Diario'!$B$5:$B$489, B4440, '📋 Detalle Diario'!$C$5:$C$489, D4440) * 200), 0))</f>
        <v/>
      </c>
      <c r="P4440" s="32" t="str">
        <f t="shared" si="488"/>
        <v/>
      </c>
      <c r="Q4440" s="33" t="str">
        <f t="shared" si="489"/>
        <v/>
      </c>
    </row>
    <row r="4441" spans="2:17" ht="18" customHeight="1" x14ac:dyDescent="0.3">
      <c r="B4441" s="26"/>
      <c r="C4441" s="28"/>
      <c r="D4441" s="27"/>
      <c r="E4441" s="29"/>
      <c r="F4441" s="29"/>
      <c r="G4441" s="29"/>
      <c r="H4441" s="30" t="str">
        <f t="shared" si="483"/>
        <v/>
      </c>
      <c r="I4441" s="31" t="str">
        <f>IF(OR(B4441="",C4441=""),"",IFERROR(E4441*IF(E4441="",0,VLOOKUP(C4441,'📦 Precios Proforma'!$B$5:$D$104,IF(D4441="DIA",2,3),FALSE)),0))</f>
        <v/>
      </c>
      <c r="J4441" s="31" t="str">
        <f t="shared" si="484"/>
        <v/>
      </c>
      <c r="K4441" s="31" t="str">
        <f t="shared" si="485"/>
        <v/>
      </c>
      <c r="L4441" s="31" t="str">
        <f>IF(OR(B4441="",C4441=""),"",IFERROR(E4441 / SUMIFS('📅 Resumen Diario'!$D$5:$D$504, '📅 Resumen Diario'!$B$5:$B$504, B4441, '📅 Resumen Diario'!$C$5:$C$504, D4441) * SUMIFS('📅 Resumen Diario'!$K$5:$K$504, '📅 Resumen Diario'!$B$5:$B$504, B4441, '📅 Resumen Diario'!$C$5:$C$504, D4441), 0))</f>
        <v/>
      </c>
      <c r="M4441" s="31" t="str">
        <f t="shared" si="486"/>
        <v/>
      </c>
      <c r="N4441" s="31" t="str">
        <f t="shared" si="487"/>
        <v/>
      </c>
      <c r="O4441" s="31" t="str">
        <f>IF(OR(B4441="",C4441=""),"",K4441-N4441 + IFERROR(E4441 / SUMIFS('📅 Resumen Diario'!$D$5:$D$504, '📅 Resumen Diario'!$B$5:$B$504, B4441, '📅 Resumen Diario'!$C$5:$C$504, D4441) * (SUMIFS('📋 Detalle Diario'!$E$5:$E$489, '📋 Detalle Diario'!$B$5:$B$489, B4441, '📋 Detalle Diario'!$C$5:$C$489, D4441) * 135 + SUMIFS('📋 Detalle Diario'!$I$5:$I$489, '📋 Detalle Diario'!$B$5:$B$489, B4441, '📋 Detalle Diario'!$C$5:$C$489, D4441) * 200), 0))</f>
        <v/>
      </c>
      <c r="P4441" s="32" t="str">
        <f t="shared" si="488"/>
        <v/>
      </c>
      <c r="Q4441" s="33" t="str">
        <f t="shared" si="489"/>
        <v/>
      </c>
    </row>
    <row r="4442" spans="2:17" ht="18" customHeight="1" x14ac:dyDescent="0.3">
      <c r="B4442" s="26"/>
      <c r="C4442" s="17"/>
      <c r="D4442" s="27"/>
      <c r="E4442" s="18"/>
      <c r="F4442" s="18"/>
      <c r="G4442" s="18"/>
      <c r="H4442" s="30" t="str">
        <f t="shared" si="483"/>
        <v/>
      </c>
      <c r="I4442" s="31" t="str">
        <f>IF(OR(B4442="",C4442=""),"",IFERROR(E4442*IF(E4442="",0,VLOOKUP(C4442,'📦 Precios Proforma'!$B$5:$D$104,IF(D4442="DIA",2,3),FALSE)),0))</f>
        <v/>
      </c>
      <c r="J4442" s="31" t="str">
        <f t="shared" si="484"/>
        <v/>
      </c>
      <c r="K4442" s="31" t="str">
        <f t="shared" si="485"/>
        <v/>
      </c>
      <c r="L4442" s="31" t="str">
        <f>IF(OR(B4442="",C4442=""),"",IFERROR(E4442 / SUMIFS('📅 Resumen Diario'!$D$5:$D$504, '📅 Resumen Diario'!$B$5:$B$504, B4442, '📅 Resumen Diario'!$C$5:$C$504, D4442) * SUMIFS('📅 Resumen Diario'!$K$5:$K$504, '📅 Resumen Diario'!$B$5:$B$504, B4442, '📅 Resumen Diario'!$C$5:$C$504, D4442), 0))</f>
        <v/>
      </c>
      <c r="M4442" s="31" t="str">
        <f t="shared" si="486"/>
        <v/>
      </c>
      <c r="N4442" s="31" t="str">
        <f t="shared" si="487"/>
        <v/>
      </c>
      <c r="O4442" s="31" t="str">
        <f>IF(OR(B4442="",C4442=""),"",K4442-N4442 + IFERROR(E4442 / SUMIFS('📅 Resumen Diario'!$D$5:$D$504, '📅 Resumen Diario'!$B$5:$B$504, B4442, '📅 Resumen Diario'!$C$5:$C$504, D4442) * (SUMIFS('📋 Detalle Diario'!$E$5:$E$489, '📋 Detalle Diario'!$B$5:$B$489, B4442, '📋 Detalle Diario'!$C$5:$C$489, D4442) * 135 + SUMIFS('📋 Detalle Diario'!$I$5:$I$489, '📋 Detalle Diario'!$B$5:$B$489, B4442, '📋 Detalle Diario'!$C$5:$C$489, D4442) * 200), 0))</f>
        <v/>
      </c>
      <c r="P4442" s="32" t="str">
        <f t="shared" si="488"/>
        <v/>
      </c>
      <c r="Q4442" s="33" t="str">
        <f t="shared" si="489"/>
        <v/>
      </c>
    </row>
    <row r="4443" spans="2:17" ht="18" customHeight="1" x14ac:dyDescent="0.3">
      <c r="B4443" s="26"/>
      <c r="C4443" s="28"/>
      <c r="D4443" s="27"/>
      <c r="E4443" s="29"/>
      <c r="F4443" s="29"/>
      <c r="G4443" s="29"/>
      <c r="H4443" s="30" t="str">
        <f t="shared" si="483"/>
        <v/>
      </c>
      <c r="I4443" s="31" t="str">
        <f>IF(OR(B4443="",C4443=""),"",IFERROR(E4443*IF(E4443="",0,VLOOKUP(C4443,'📦 Precios Proforma'!$B$5:$D$104,IF(D4443="DIA",2,3),FALSE)),0))</f>
        <v/>
      </c>
      <c r="J4443" s="31" t="str">
        <f t="shared" si="484"/>
        <v/>
      </c>
      <c r="K4443" s="31" t="str">
        <f t="shared" si="485"/>
        <v/>
      </c>
      <c r="L4443" s="31" t="str">
        <f>IF(OR(B4443="",C4443=""),"",IFERROR(E4443 / SUMIFS('📅 Resumen Diario'!$D$5:$D$504, '📅 Resumen Diario'!$B$5:$B$504, B4443, '📅 Resumen Diario'!$C$5:$C$504, D4443) * SUMIFS('📅 Resumen Diario'!$K$5:$K$504, '📅 Resumen Diario'!$B$5:$B$504, B4443, '📅 Resumen Diario'!$C$5:$C$504, D4443), 0))</f>
        <v/>
      </c>
      <c r="M4443" s="31" t="str">
        <f t="shared" si="486"/>
        <v/>
      </c>
      <c r="N4443" s="31" t="str">
        <f t="shared" si="487"/>
        <v/>
      </c>
      <c r="O4443" s="31" t="str">
        <f>IF(OR(B4443="",C4443=""),"",K4443-N4443 + IFERROR(E4443 / SUMIFS('📅 Resumen Diario'!$D$5:$D$504, '📅 Resumen Diario'!$B$5:$B$504, B4443, '📅 Resumen Diario'!$C$5:$C$504, D4443) * (SUMIFS('📋 Detalle Diario'!$E$5:$E$489, '📋 Detalle Diario'!$B$5:$B$489, B4443, '📋 Detalle Diario'!$C$5:$C$489, D4443) * 135 + SUMIFS('📋 Detalle Diario'!$I$5:$I$489, '📋 Detalle Diario'!$B$5:$B$489, B4443, '📋 Detalle Diario'!$C$5:$C$489, D4443) * 200), 0))</f>
        <v/>
      </c>
      <c r="P4443" s="32" t="str">
        <f t="shared" si="488"/>
        <v/>
      </c>
      <c r="Q4443" s="33" t="str">
        <f t="shared" si="489"/>
        <v/>
      </c>
    </row>
    <row r="4444" spans="2:17" ht="18" customHeight="1" x14ac:dyDescent="0.3">
      <c r="B4444" s="26"/>
      <c r="C4444" s="17"/>
      <c r="D4444" s="27"/>
      <c r="E4444" s="18"/>
      <c r="F4444" s="18"/>
      <c r="G4444" s="18"/>
      <c r="H4444" s="30" t="str">
        <f t="shared" si="483"/>
        <v/>
      </c>
      <c r="I4444" s="31" t="str">
        <f>IF(OR(B4444="",C4444=""),"",IFERROR(E4444*IF(E4444="",0,VLOOKUP(C4444,'📦 Precios Proforma'!$B$5:$D$104,IF(D4444="DIA",2,3),FALSE)),0))</f>
        <v/>
      </c>
      <c r="J4444" s="31" t="str">
        <f t="shared" si="484"/>
        <v/>
      </c>
      <c r="K4444" s="31" t="str">
        <f t="shared" si="485"/>
        <v/>
      </c>
      <c r="L4444" s="31" t="str">
        <f>IF(OR(B4444="",C4444=""),"",IFERROR(E4444 / SUMIFS('📅 Resumen Diario'!$D$5:$D$504, '📅 Resumen Diario'!$B$5:$B$504, B4444, '📅 Resumen Diario'!$C$5:$C$504, D4444) * SUMIFS('📅 Resumen Diario'!$K$5:$K$504, '📅 Resumen Diario'!$B$5:$B$504, B4444, '📅 Resumen Diario'!$C$5:$C$504, D4444), 0))</f>
        <v/>
      </c>
      <c r="M4444" s="31" t="str">
        <f t="shared" si="486"/>
        <v/>
      </c>
      <c r="N4444" s="31" t="str">
        <f t="shared" si="487"/>
        <v/>
      </c>
      <c r="O4444" s="31" t="str">
        <f>IF(OR(B4444="",C4444=""),"",K4444-N4444 + IFERROR(E4444 / SUMIFS('📅 Resumen Diario'!$D$5:$D$504, '📅 Resumen Diario'!$B$5:$B$504, B4444, '📅 Resumen Diario'!$C$5:$C$504, D4444) * (SUMIFS('📋 Detalle Diario'!$E$5:$E$489, '📋 Detalle Diario'!$B$5:$B$489, B4444, '📋 Detalle Diario'!$C$5:$C$489, D4444) * 135 + SUMIFS('📋 Detalle Diario'!$I$5:$I$489, '📋 Detalle Diario'!$B$5:$B$489, B4444, '📋 Detalle Diario'!$C$5:$C$489, D4444) * 200), 0))</f>
        <v/>
      </c>
      <c r="P4444" s="32" t="str">
        <f t="shared" si="488"/>
        <v/>
      </c>
      <c r="Q4444" s="33" t="str">
        <f t="shared" si="489"/>
        <v/>
      </c>
    </row>
    <row r="4445" spans="2:17" ht="18" customHeight="1" x14ac:dyDescent="0.3">
      <c r="B4445" s="26"/>
      <c r="C4445" s="28"/>
      <c r="D4445" s="27"/>
      <c r="E4445" s="29"/>
      <c r="F4445" s="29"/>
      <c r="G4445" s="29"/>
      <c r="H4445" s="30" t="str">
        <f t="shared" si="483"/>
        <v/>
      </c>
      <c r="I4445" s="31" t="str">
        <f>IF(OR(B4445="",C4445=""),"",IFERROR(E4445*IF(E4445="",0,VLOOKUP(C4445,'📦 Precios Proforma'!$B$5:$D$104,IF(D4445="DIA",2,3),FALSE)),0))</f>
        <v/>
      </c>
      <c r="J4445" s="31" t="str">
        <f t="shared" si="484"/>
        <v/>
      </c>
      <c r="K4445" s="31" t="str">
        <f t="shared" si="485"/>
        <v/>
      </c>
      <c r="L4445" s="31" t="str">
        <f>IF(OR(B4445="",C4445=""),"",IFERROR(E4445 / SUMIFS('📅 Resumen Diario'!$D$5:$D$504, '📅 Resumen Diario'!$B$5:$B$504, B4445, '📅 Resumen Diario'!$C$5:$C$504, D4445) * SUMIFS('📅 Resumen Diario'!$K$5:$K$504, '📅 Resumen Diario'!$B$5:$B$504, B4445, '📅 Resumen Diario'!$C$5:$C$504, D4445), 0))</f>
        <v/>
      </c>
      <c r="M4445" s="31" t="str">
        <f t="shared" si="486"/>
        <v/>
      </c>
      <c r="N4445" s="31" t="str">
        <f t="shared" si="487"/>
        <v/>
      </c>
      <c r="O4445" s="31" t="str">
        <f>IF(OR(B4445="",C4445=""),"",K4445-N4445 + IFERROR(E4445 / SUMIFS('📅 Resumen Diario'!$D$5:$D$504, '📅 Resumen Diario'!$B$5:$B$504, B4445, '📅 Resumen Diario'!$C$5:$C$504, D4445) * (SUMIFS('📋 Detalle Diario'!$E$5:$E$489, '📋 Detalle Diario'!$B$5:$B$489, B4445, '📋 Detalle Diario'!$C$5:$C$489, D4445) * 135 + SUMIFS('📋 Detalle Diario'!$I$5:$I$489, '📋 Detalle Diario'!$B$5:$B$489, B4445, '📋 Detalle Diario'!$C$5:$C$489, D4445) * 200), 0))</f>
        <v/>
      </c>
      <c r="P4445" s="32" t="str">
        <f t="shared" si="488"/>
        <v/>
      </c>
      <c r="Q4445" s="33" t="str">
        <f t="shared" si="489"/>
        <v/>
      </c>
    </row>
    <row r="4446" spans="2:17" ht="18" customHeight="1" x14ac:dyDescent="0.3">
      <c r="B4446" s="26"/>
      <c r="C4446" s="17"/>
      <c r="D4446" s="27"/>
      <c r="E4446" s="18"/>
      <c r="F4446" s="18"/>
      <c r="G4446" s="18"/>
      <c r="H4446" s="30" t="str">
        <f t="shared" si="483"/>
        <v/>
      </c>
      <c r="I4446" s="31" t="str">
        <f>IF(OR(B4446="",C4446=""),"",IFERROR(E4446*IF(E4446="",0,VLOOKUP(C4446,'📦 Precios Proforma'!$B$5:$D$104,IF(D4446="DIA",2,3),FALSE)),0))</f>
        <v/>
      </c>
      <c r="J4446" s="31" t="str">
        <f t="shared" si="484"/>
        <v/>
      </c>
      <c r="K4446" s="31" t="str">
        <f t="shared" si="485"/>
        <v/>
      </c>
      <c r="L4446" s="31" t="str">
        <f>IF(OR(B4446="",C4446=""),"",IFERROR(E4446 / SUMIFS('📅 Resumen Diario'!$D$5:$D$504, '📅 Resumen Diario'!$B$5:$B$504, B4446, '📅 Resumen Diario'!$C$5:$C$504, D4446) * SUMIFS('📅 Resumen Diario'!$K$5:$K$504, '📅 Resumen Diario'!$B$5:$B$504, B4446, '📅 Resumen Diario'!$C$5:$C$504, D4446), 0))</f>
        <v/>
      </c>
      <c r="M4446" s="31" t="str">
        <f t="shared" si="486"/>
        <v/>
      </c>
      <c r="N4446" s="31" t="str">
        <f t="shared" si="487"/>
        <v/>
      </c>
      <c r="O4446" s="31" t="str">
        <f>IF(OR(B4446="",C4446=""),"",K4446-N4446 + IFERROR(E4446 / SUMIFS('📅 Resumen Diario'!$D$5:$D$504, '📅 Resumen Diario'!$B$5:$B$504, B4446, '📅 Resumen Diario'!$C$5:$C$504, D4446) * (SUMIFS('📋 Detalle Diario'!$E$5:$E$489, '📋 Detalle Diario'!$B$5:$B$489, B4446, '📋 Detalle Diario'!$C$5:$C$489, D4446) * 135 + SUMIFS('📋 Detalle Diario'!$I$5:$I$489, '📋 Detalle Diario'!$B$5:$B$489, B4446, '📋 Detalle Diario'!$C$5:$C$489, D4446) * 200), 0))</f>
        <v/>
      </c>
      <c r="P4446" s="32" t="str">
        <f t="shared" si="488"/>
        <v/>
      </c>
      <c r="Q4446" s="33" t="str">
        <f t="shared" si="489"/>
        <v/>
      </c>
    </row>
    <row r="4447" spans="2:17" ht="18" customHeight="1" x14ac:dyDescent="0.3">
      <c r="B4447" s="26"/>
      <c r="C4447" s="28"/>
      <c r="D4447" s="27"/>
      <c r="E4447" s="29"/>
      <c r="F4447" s="29"/>
      <c r="G4447" s="29"/>
      <c r="H4447" s="30" t="str">
        <f t="shared" si="483"/>
        <v/>
      </c>
      <c r="I4447" s="31" t="str">
        <f>IF(OR(B4447="",C4447=""),"",IFERROR(E4447*IF(E4447="",0,VLOOKUP(C4447,'📦 Precios Proforma'!$B$5:$D$104,IF(D4447="DIA",2,3),FALSE)),0))</f>
        <v/>
      </c>
      <c r="J4447" s="31" t="str">
        <f t="shared" si="484"/>
        <v/>
      </c>
      <c r="K4447" s="31" t="str">
        <f t="shared" si="485"/>
        <v/>
      </c>
      <c r="L4447" s="31" t="str">
        <f>IF(OR(B4447="",C4447=""),"",IFERROR(E4447 / SUMIFS('📅 Resumen Diario'!$D$5:$D$504, '📅 Resumen Diario'!$B$5:$B$504, B4447, '📅 Resumen Diario'!$C$5:$C$504, D4447) * SUMIFS('📅 Resumen Diario'!$K$5:$K$504, '📅 Resumen Diario'!$B$5:$B$504, B4447, '📅 Resumen Diario'!$C$5:$C$504, D4447), 0))</f>
        <v/>
      </c>
      <c r="M4447" s="31" t="str">
        <f t="shared" si="486"/>
        <v/>
      </c>
      <c r="N4447" s="31" t="str">
        <f t="shared" si="487"/>
        <v/>
      </c>
      <c r="O4447" s="31" t="str">
        <f>IF(OR(B4447="",C4447=""),"",K4447-N4447 + IFERROR(E4447 / SUMIFS('📅 Resumen Diario'!$D$5:$D$504, '📅 Resumen Diario'!$B$5:$B$504, B4447, '📅 Resumen Diario'!$C$5:$C$504, D4447) * (SUMIFS('📋 Detalle Diario'!$E$5:$E$489, '📋 Detalle Diario'!$B$5:$B$489, B4447, '📋 Detalle Diario'!$C$5:$C$489, D4447) * 135 + SUMIFS('📋 Detalle Diario'!$I$5:$I$489, '📋 Detalle Diario'!$B$5:$B$489, B4447, '📋 Detalle Diario'!$C$5:$C$489, D4447) * 200), 0))</f>
        <v/>
      </c>
      <c r="P4447" s="32" t="str">
        <f t="shared" si="488"/>
        <v/>
      </c>
      <c r="Q4447" s="33" t="str">
        <f t="shared" si="489"/>
        <v/>
      </c>
    </row>
    <row r="4448" spans="2:17" ht="18" customHeight="1" x14ac:dyDescent="0.3">
      <c r="B4448" s="26"/>
      <c r="C4448" s="17"/>
      <c r="D4448" s="27"/>
      <c r="E4448" s="18"/>
      <c r="F4448" s="18"/>
      <c r="G4448" s="18"/>
      <c r="H4448" s="30" t="str">
        <f t="shared" si="483"/>
        <v/>
      </c>
      <c r="I4448" s="31" t="str">
        <f>IF(OR(B4448="",C4448=""),"",IFERROR(E4448*IF(E4448="",0,VLOOKUP(C4448,'📦 Precios Proforma'!$B$5:$D$104,IF(D4448="DIA",2,3),FALSE)),0))</f>
        <v/>
      </c>
      <c r="J4448" s="31" t="str">
        <f t="shared" si="484"/>
        <v/>
      </c>
      <c r="K4448" s="31" t="str">
        <f t="shared" si="485"/>
        <v/>
      </c>
      <c r="L4448" s="31" t="str">
        <f>IF(OR(B4448="",C4448=""),"",IFERROR(E4448 / SUMIFS('📅 Resumen Diario'!$D$5:$D$504, '📅 Resumen Diario'!$B$5:$B$504, B4448, '📅 Resumen Diario'!$C$5:$C$504, D4448) * SUMIFS('📅 Resumen Diario'!$K$5:$K$504, '📅 Resumen Diario'!$B$5:$B$504, B4448, '📅 Resumen Diario'!$C$5:$C$504, D4448), 0))</f>
        <v/>
      </c>
      <c r="M4448" s="31" t="str">
        <f t="shared" si="486"/>
        <v/>
      </c>
      <c r="N4448" s="31" t="str">
        <f t="shared" si="487"/>
        <v/>
      </c>
      <c r="O4448" s="31" t="str">
        <f>IF(OR(B4448="",C4448=""),"",K4448-N4448 + IFERROR(E4448 / SUMIFS('📅 Resumen Diario'!$D$5:$D$504, '📅 Resumen Diario'!$B$5:$B$504, B4448, '📅 Resumen Diario'!$C$5:$C$504, D4448) * (SUMIFS('📋 Detalle Diario'!$E$5:$E$489, '📋 Detalle Diario'!$B$5:$B$489, B4448, '📋 Detalle Diario'!$C$5:$C$489, D4448) * 135 + SUMIFS('📋 Detalle Diario'!$I$5:$I$489, '📋 Detalle Diario'!$B$5:$B$489, B4448, '📋 Detalle Diario'!$C$5:$C$489, D4448) * 200), 0))</f>
        <v/>
      </c>
      <c r="P4448" s="32" t="str">
        <f t="shared" si="488"/>
        <v/>
      </c>
      <c r="Q4448" s="33" t="str">
        <f t="shared" si="489"/>
        <v/>
      </c>
    </row>
    <row r="4449" spans="2:17" ht="18" customHeight="1" x14ac:dyDescent="0.3">
      <c r="B4449" s="26"/>
      <c r="C4449" s="28"/>
      <c r="D4449" s="27"/>
      <c r="E4449" s="29"/>
      <c r="F4449" s="29"/>
      <c r="G4449" s="29"/>
      <c r="H4449" s="30" t="str">
        <f t="shared" si="483"/>
        <v/>
      </c>
      <c r="I4449" s="31" t="str">
        <f>IF(OR(B4449="",C4449=""),"",IFERROR(E4449*IF(E4449="",0,VLOOKUP(C4449,'📦 Precios Proforma'!$B$5:$D$104,IF(D4449="DIA",2,3),FALSE)),0))</f>
        <v/>
      </c>
      <c r="J4449" s="31" t="str">
        <f t="shared" si="484"/>
        <v/>
      </c>
      <c r="K4449" s="31" t="str">
        <f t="shared" si="485"/>
        <v/>
      </c>
      <c r="L4449" s="31" t="str">
        <f>IF(OR(B4449="",C4449=""),"",IFERROR(E4449 / SUMIFS('📅 Resumen Diario'!$D$5:$D$504, '📅 Resumen Diario'!$B$5:$B$504, B4449, '📅 Resumen Diario'!$C$5:$C$504, D4449) * SUMIFS('📅 Resumen Diario'!$K$5:$K$504, '📅 Resumen Diario'!$B$5:$B$504, B4449, '📅 Resumen Diario'!$C$5:$C$504, D4449), 0))</f>
        <v/>
      </c>
      <c r="M4449" s="31" t="str">
        <f t="shared" si="486"/>
        <v/>
      </c>
      <c r="N4449" s="31" t="str">
        <f t="shared" si="487"/>
        <v/>
      </c>
      <c r="O4449" s="31" t="str">
        <f>IF(OR(B4449="",C4449=""),"",K4449-N4449 + IFERROR(E4449 / SUMIFS('📅 Resumen Diario'!$D$5:$D$504, '📅 Resumen Diario'!$B$5:$B$504, B4449, '📅 Resumen Diario'!$C$5:$C$504, D4449) * (SUMIFS('📋 Detalle Diario'!$E$5:$E$489, '📋 Detalle Diario'!$B$5:$B$489, B4449, '📋 Detalle Diario'!$C$5:$C$489, D4449) * 135 + SUMIFS('📋 Detalle Diario'!$I$5:$I$489, '📋 Detalle Diario'!$B$5:$B$489, B4449, '📋 Detalle Diario'!$C$5:$C$489, D4449) * 200), 0))</f>
        <v/>
      </c>
      <c r="P4449" s="32" t="str">
        <f t="shared" si="488"/>
        <v/>
      </c>
      <c r="Q4449" s="33" t="str">
        <f t="shared" si="489"/>
        <v/>
      </c>
    </row>
    <row r="4450" spans="2:17" ht="18" customHeight="1" x14ac:dyDescent="0.3">
      <c r="B4450" s="26"/>
      <c r="C4450" s="17"/>
      <c r="D4450" s="27"/>
      <c r="E4450" s="18"/>
      <c r="F4450" s="18"/>
      <c r="G4450" s="18"/>
      <c r="H4450" s="30" t="str">
        <f t="shared" si="483"/>
        <v/>
      </c>
      <c r="I4450" s="31" t="str">
        <f>IF(OR(B4450="",C4450=""),"",IFERROR(E4450*IF(E4450="",0,VLOOKUP(C4450,'📦 Precios Proforma'!$B$5:$D$104,IF(D4450="DIA",2,3),FALSE)),0))</f>
        <v/>
      </c>
      <c r="J4450" s="31" t="str">
        <f t="shared" si="484"/>
        <v/>
      </c>
      <c r="K4450" s="31" t="str">
        <f t="shared" si="485"/>
        <v/>
      </c>
      <c r="L4450" s="31" t="str">
        <f>IF(OR(B4450="",C4450=""),"",IFERROR(E4450 / SUMIFS('📅 Resumen Diario'!$D$5:$D$504, '📅 Resumen Diario'!$B$5:$B$504, B4450, '📅 Resumen Diario'!$C$5:$C$504, D4450) * SUMIFS('📅 Resumen Diario'!$K$5:$K$504, '📅 Resumen Diario'!$B$5:$B$504, B4450, '📅 Resumen Diario'!$C$5:$C$504, D4450), 0))</f>
        <v/>
      </c>
      <c r="M4450" s="31" t="str">
        <f t="shared" si="486"/>
        <v/>
      </c>
      <c r="N4450" s="31" t="str">
        <f t="shared" si="487"/>
        <v/>
      </c>
      <c r="O4450" s="31" t="str">
        <f>IF(OR(B4450="",C4450=""),"",K4450-N4450 + IFERROR(E4450 / SUMIFS('📅 Resumen Diario'!$D$5:$D$504, '📅 Resumen Diario'!$B$5:$B$504, B4450, '📅 Resumen Diario'!$C$5:$C$504, D4450) * (SUMIFS('📋 Detalle Diario'!$E$5:$E$489, '📋 Detalle Diario'!$B$5:$B$489, B4450, '📋 Detalle Diario'!$C$5:$C$489, D4450) * 135 + SUMIFS('📋 Detalle Diario'!$I$5:$I$489, '📋 Detalle Diario'!$B$5:$B$489, B4450, '📋 Detalle Diario'!$C$5:$C$489, D4450) * 200), 0))</f>
        <v/>
      </c>
      <c r="P4450" s="32" t="str">
        <f t="shared" si="488"/>
        <v/>
      </c>
      <c r="Q4450" s="33" t="str">
        <f t="shared" si="489"/>
        <v/>
      </c>
    </row>
    <row r="4451" spans="2:17" ht="18" customHeight="1" x14ac:dyDescent="0.3">
      <c r="B4451" s="26"/>
      <c r="C4451" s="28"/>
      <c r="D4451" s="27"/>
      <c r="E4451" s="29"/>
      <c r="F4451" s="29"/>
      <c r="G4451" s="29"/>
      <c r="H4451" s="30" t="str">
        <f t="shared" si="483"/>
        <v/>
      </c>
      <c r="I4451" s="31" t="str">
        <f>IF(OR(B4451="",C4451=""),"",IFERROR(E4451*IF(E4451="",0,VLOOKUP(C4451,'📦 Precios Proforma'!$B$5:$D$104,IF(D4451="DIA",2,3),FALSE)),0))</f>
        <v/>
      </c>
      <c r="J4451" s="31" t="str">
        <f t="shared" si="484"/>
        <v/>
      </c>
      <c r="K4451" s="31" t="str">
        <f t="shared" si="485"/>
        <v/>
      </c>
      <c r="L4451" s="31" t="str">
        <f>IF(OR(B4451="",C4451=""),"",IFERROR(E4451 / SUMIFS('📅 Resumen Diario'!$D$5:$D$504, '📅 Resumen Diario'!$B$5:$B$504, B4451, '📅 Resumen Diario'!$C$5:$C$504, D4451) * SUMIFS('📅 Resumen Diario'!$K$5:$K$504, '📅 Resumen Diario'!$B$5:$B$504, B4451, '📅 Resumen Diario'!$C$5:$C$504, D4451), 0))</f>
        <v/>
      </c>
      <c r="M4451" s="31" t="str">
        <f t="shared" si="486"/>
        <v/>
      </c>
      <c r="N4451" s="31" t="str">
        <f t="shared" si="487"/>
        <v/>
      </c>
      <c r="O4451" s="31" t="str">
        <f>IF(OR(B4451="",C4451=""),"",K4451-N4451 + IFERROR(E4451 / SUMIFS('📅 Resumen Diario'!$D$5:$D$504, '📅 Resumen Diario'!$B$5:$B$504, B4451, '📅 Resumen Diario'!$C$5:$C$504, D4451) * (SUMIFS('📋 Detalle Diario'!$E$5:$E$489, '📋 Detalle Diario'!$B$5:$B$489, B4451, '📋 Detalle Diario'!$C$5:$C$489, D4451) * 135 + SUMIFS('📋 Detalle Diario'!$I$5:$I$489, '📋 Detalle Diario'!$B$5:$B$489, B4451, '📋 Detalle Diario'!$C$5:$C$489, D4451) * 200), 0))</f>
        <v/>
      </c>
      <c r="P4451" s="32" t="str">
        <f t="shared" si="488"/>
        <v/>
      </c>
      <c r="Q4451" s="33" t="str">
        <f t="shared" si="489"/>
        <v/>
      </c>
    </row>
    <row r="4452" spans="2:17" ht="18" customHeight="1" x14ac:dyDescent="0.3">
      <c r="B4452" s="26"/>
      <c r="C4452" s="17"/>
      <c r="D4452" s="27"/>
      <c r="E4452" s="18"/>
      <c r="F4452" s="18"/>
      <c r="G4452" s="18"/>
      <c r="H4452" s="30" t="str">
        <f t="shared" si="483"/>
        <v/>
      </c>
      <c r="I4452" s="31" t="str">
        <f>IF(OR(B4452="",C4452=""),"",IFERROR(E4452*IF(E4452="",0,VLOOKUP(C4452,'📦 Precios Proforma'!$B$5:$D$104,IF(D4452="DIA",2,3),FALSE)),0))</f>
        <v/>
      </c>
      <c r="J4452" s="31" t="str">
        <f t="shared" si="484"/>
        <v/>
      </c>
      <c r="K4452" s="31" t="str">
        <f t="shared" si="485"/>
        <v/>
      </c>
      <c r="L4452" s="31" t="str">
        <f>IF(OR(B4452="",C4452=""),"",IFERROR(E4452 / SUMIFS('📅 Resumen Diario'!$D$5:$D$504, '📅 Resumen Diario'!$B$5:$B$504, B4452, '📅 Resumen Diario'!$C$5:$C$504, D4452) * SUMIFS('📅 Resumen Diario'!$K$5:$K$504, '📅 Resumen Diario'!$B$5:$B$504, B4452, '📅 Resumen Diario'!$C$5:$C$504, D4452), 0))</f>
        <v/>
      </c>
      <c r="M4452" s="31" t="str">
        <f t="shared" si="486"/>
        <v/>
      </c>
      <c r="N4452" s="31" t="str">
        <f t="shared" si="487"/>
        <v/>
      </c>
      <c r="O4452" s="31" t="str">
        <f>IF(OR(B4452="",C4452=""),"",K4452-N4452 + IFERROR(E4452 / SUMIFS('📅 Resumen Diario'!$D$5:$D$504, '📅 Resumen Diario'!$B$5:$B$504, B4452, '📅 Resumen Diario'!$C$5:$C$504, D4452) * (SUMIFS('📋 Detalle Diario'!$E$5:$E$489, '📋 Detalle Diario'!$B$5:$B$489, B4452, '📋 Detalle Diario'!$C$5:$C$489, D4452) * 135 + SUMIFS('📋 Detalle Diario'!$I$5:$I$489, '📋 Detalle Diario'!$B$5:$B$489, B4452, '📋 Detalle Diario'!$C$5:$C$489, D4452) * 200), 0))</f>
        <v/>
      </c>
      <c r="P4452" s="32" t="str">
        <f t="shared" si="488"/>
        <v/>
      </c>
      <c r="Q4452" s="33" t="str">
        <f t="shared" si="489"/>
        <v/>
      </c>
    </row>
    <row r="4453" spans="2:17" ht="18" customHeight="1" x14ac:dyDescent="0.3">
      <c r="B4453" s="26"/>
      <c r="C4453" s="28"/>
      <c r="D4453" s="27"/>
      <c r="E4453" s="29"/>
      <c r="F4453" s="29"/>
      <c r="G4453" s="29"/>
      <c r="H4453" s="30" t="str">
        <f t="shared" si="483"/>
        <v/>
      </c>
      <c r="I4453" s="31" t="str">
        <f>IF(OR(B4453="",C4453=""),"",IFERROR(E4453*IF(E4453="",0,VLOOKUP(C4453,'📦 Precios Proforma'!$B$5:$D$104,IF(D4453="DIA",2,3),FALSE)),0))</f>
        <v/>
      </c>
      <c r="J4453" s="31" t="str">
        <f t="shared" si="484"/>
        <v/>
      </c>
      <c r="K4453" s="31" t="str">
        <f t="shared" si="485"/>
        <v/>
      </c>
      <c r="L4453" s="31" t="str">
        <f>IF(OR(B4453="",C4453=""),"",IFERROR(E4453 / SUMIFS('📅 Resumen Diario'!$D$5:$D$504, '📅 Resumen Diario'!$B$5:$B$504, B4453, '📅 Resumen Diario'!$C$5:$C$504, D4453) * SUMIFS('📅 Resumen Diario'!$K$5:$K$504, '📅 Resumen Diario'!$B$5:$B$504, B4453, '📅 Resumen Diario'!$C$5:$C$504, D4453), 0))</f>
        <v/>
      </c>
      <c r="M4453" s="31" t="str">
        <f t="shared" si="486"/>
        <v/>
      </c>
      <c r="N4453" s="31" t="str">
        <f t="shared" si="487"/>
        <v/>
      </c>
      <c r="O4453" s="31" t="str">
        <f>IF(OR(B4453="",C4453=""),"",K4453-N4453 + IFERROR(E4453 / SUMIFS('📅 Resumen Diario'!$D$5:$D$504, '📅 Resumen Diario'!$B$5:$B$504, B4453, '📅 Resumen Diario'!$C$5:$C$504, D4453) * (SUMIFS('📋 Detalle Diario'!$E$5:$E$489, '📋 Detalle Diario'!$B$5:$B$489, B4453, '📋 Detalle Diario'!$C$5:$C$489, D4453) * 135 + SUMIFS('📋 Detalle Diario'!$I$5:$I$489, '📋 Detalle Diario'!$B$5:$B$489, B4453, '📋 Detalle Diario'!$C$5:$C$489, D4453) * 200), 0))</f>
        <v/>
      </c>
      <c r="P4453" s="32" t="str">
        <f t="shared" si="488"/>
        <v/>
      </c>
      <c r="Q4453" s="33" t="str">
        <f t="shared" si="489"/>
        <v/>
      </c>
    </row>
    <row r="4454" spans="2:17" ht="18" customHeight="1" x14ac:dyDescent="0.3">
      <c r="B4454" s="26"/>
      <c r="C4454" s="17"/>
      <c r="D4454" s="27"/>
      <c r="E4454" s="18"/>
      <c r="F4454" s="18"/>
      <c r="G4454" s="18"/>
      <c r="H4454" s="30" t="str">
        <f t="shared" si="483"/>
        <v/>
      </c>
      <c r="I4454" s="31" t="str">
        <f>IF(OR(B4454="",C4454=""),"",IFERROR(E4454*IF(E4454="",0,VLOOKUP(C4454,'📦 Precios Proforma'!$B$5:$D$104,IF(D4454="DIA",2,3),FALSE)),0))</f>
        <v/>
      </c>
      <c r="J4454" s="31" t="str">
        <f t="shared" si="484"/>
        <v/>
      </c>
      <c r="K4454" s="31" t="str">
        <f t="shared" si="485"/>
        <v/>
      </c>
      <c r="L4454" s="31" t="str">
        <f>IF(OR(B4454="",C4454=""),"",IFERROR(E4454 / SUMIFS('📅 Resumen Diario'!$D$5:$D$504, '📅 Resumen Diario'!$B$5:$B$504, B4454, '📅 Resumen Diario'!$C$5:$C$504, D4454) * SUMIFS('📅 Resumen Diario'!$K$5:$K$504, '📅 Resumen Diario'!$B$5:$B$504, B4454, '📅 Resumen Diario'!$C$5:$C$504, D4454), 0))</f>
        <v/>
      </c>
      <c r="M4454" s="31" t="str">
        <f t="shared" si="486"/>
        <v/>
      </c>
      <c r="N4454" s="31" t="str">
        <f t="shared" si="487"/>
        <v/>
      </c>
      <c r="O4454" s="31" t="str">
        <f>IF(OR(B4454="",C4454=""),"",K4454-N4454 + IFERROR(E4454 / SUMIFS('📅 Resumen Diario'!$D$5:$D$504, '📅 Resumen Diario'!$B$5:$B$504, B4454, '📅 Resumen Diario'!$C$5:$C$504, D4454) * (SUMIFS('📋 Detalle Diario'!$E$5:$E$489, '📋 Detalle Diario'!$B$5:$B$489, B4454, '📋 Detalle Diario'!$C$5:$C$489, D4454) * 135 + SUMIFS('📋 Detalle Diario'!$I$5:$I$489, '📋 Detalle Diario'!$B$5:$B$489, B4454, '📋 Detalle Diario'!$C$5:$C$489, D4454) * 200), 0))</f>
        <v/>
      </c>
      <c r="P4454" s="32" t="str">
        <f t="shared" si="488"/>
        <v/>
      </c>
      <c r="Q4454" s="33" t="str">
        <f t="shared" si="489"/>
        <v/>
      </c>
    </row>
    <row r="4455" spans="2:17" ht="18" customHeight="1" x14ac:dyDescent="0.3">
      <c r="B4455" s="26"/>
      <c r="C4455" s="28"/>
      <c r="D4455" s="27"/>
      <c r="E4455" s="29"/>
      <c r="F4455" s="29"/>
      <c r="G4455" s="29"/>
      <c r="H4455" s="30" t="str">
        <f t="shared" si="483"/>
        <v/>
      </c>
      <c r="I4455" s="31" t="str">
        <f>IF(OR(B4455="",C4455=""),"",IFERROR(E4455*IF(E4455="",0,VLOOKUP(C4455,'📦 Precios Proforma'!$B$5:$D$104,IF(D4455="DIA",2,3),FALSE)),0))</f>
        <v/>
      </c>
      <c r="J4455" s="31" t="str">
        <f t="shared" si="484"/>
        <v/>
      </c>
      <c r="K4455" s="31" t="str">
        <f t="shared" si="485"/>
        <v/>
      </c>
      <c r="L4455" s="31" t="str">
        <f>IF(OR(B4455="",C4455=""),"",IFERROR(E4455 / SUMIFS('📅 Resumen Diario'!$D$5:$D$504, '📅 Resumen Diario'!$B$5:$B$504, B4455, '📅 Resumen Diario'!$C$5:$C$504, D4455) * SUMIFS('📅 Resumen Diario'!$K$5:$K$504, '📅 Resumen Diario'!$B$5:$B$504, B4455, '📅 Resumen Diario'!$C$5:$C$504, D4455), 0))</f>
        <v/>
      </c>
      <c r="M4455" s="31" t="str">
        <f t="shared" si="486"/>
        <v/>
      </c>
      <c r="N4455" s="31" t="str">
        <f t="shared" si="487"/>
        <v/>
      </c>
      <c r="O4455" s="31" t="str">
        <f>IF(OR(B4455="",C4455=""),"",K4455-N4455 + IFERROR(E4455 / SUMIFS('📅 Resumen Diario'!$D$5:$D$504, '📅 Resumen Diario'!$B$5:$B$504, B4455, '📅 Resumen Diario'!$C$5:$C$504, D4455) * (SUMIFS('📋 Detalle Diario'!$E$5:$E$489, '📋 Detalle Diario'!$B$5:$B$489, B4455, '📋 Detalle Diario'!$C$5:$C$489, D4455) * 135 + SUMIFS('📋 Detalle Diario'!$I$5:$I$489, '📋 Detalle Diario'!$B$5:$B$489, B4455, '📋 Detalle Diario'!$C$5:$C$489, D4455) * 200), 0))</f>
        <v/>
      </c>
      <c r="P4455" s="32" t="str">
        <f t="shared" si="488"/>
        <v/>
      </c>
      <c r="Q4455" s="33" t="str">
        <f t="shared" si="489"/>
        <v/>
      </c>
    </row>
    <row r="4456" spans="2:17" ht="18" customHeight="1" x14ac:dyDescent="0.3">
      <c r="B4456" s="26"/>
      <c r="C4456" s="17"/>
      <c r="D4456" s="27"/>
      <c r="E4456" s="18"/>
      <c r="F4456" s="18"/>
      <c r="G4456" s="18"/>
      <c r="H4456" s="30" t="str">
        <f t="shared" si="483"/>
        <v/>
      </c>
      <c r="I4456" s="31" t="str">
        <f>IF(OR(B4456="",C4456=""),"",IFERROR(E4456*IF(E4456="",0,VLOOKUP(C4456,'📦 Precios Proforma'!$B$5:$D$104,IF(D4456="DIA",2,3),FALSE)),0))</f>
        <v/>
      </c>
      <c r="J4456" s="31" t="str">
        <f t="shared" si="484"/>
        <v/>
      </c>
      <c r="K4456" s="31" t="str">
        <f t="shared" si="485"/>
        <v/>
      </c>
      <c r="L4456" s="31" t="str">
        <f>IF(OR(B4456="",C4456=""),"",IFERROR(E4456 / SUMIFS('📅 Resumen Diario'!$D$5:$D$504, '📅 Resumen Diario'!$B$5:$B$504, B4456, '📅 Resumen Diario'!$C$5:$C$504, D4456) * SUMIFS('📅 Resumen Diario'!$K$5:$K$504, '📅 Resumen Diario'!$B$5:$B$504, B4456, '📅 Resumen Diario'!$C$5:$C$504, D4456), 0))</f>
        <v/>
      </c>
      <c r="M4456" s="31" t="str">
        <f t="shared" si="486"/>
        <v/>
      </c>
      <c r="N4456" s="31" t="str">
        <f t="shared" si="487"/>
        <v/>
      </c>
      <c r="O4456" s="31" t="str">
        <f>IF(OR(B4456="",C4456=""),"",K4456-N4456 + IFERROR(E4456 / SUMIFS('📅 Resumen Diario'!$D$5:$D$504, '📅 Resumen Diario'!$B$5:$B$504, B4456, '📅 Resumen Diario'!$C$5:$C$504, D4456) * (SUMIFS('📋 Detalle Diario'!$E$5:$E$489, '📋 Detalle Diario'!$B$5:$B$489, B4456, '📋 Detalle Diario'!$C$5:$C$489, D4456) * 135 + SUMIFS('📋 Detalle Diario'!$I$5:$I$489, '📋 Detalle Diario'!$B$5:$B$489, B4456, '📋 Detalle Diario'!$C$5:$C$489, D4456) * 200), 0))</f>
        <v/>
      </c>
      <c r="P4456" s="32" t="str">
        <f t="shared" si="488"/>
        <v/>
      </c>
      <c r="Q4456" s="33" t="str">
        <f t="shared" si="489"/>
        <v/>
      </c>
    </row>
    <row r="4457" spans="2:17" ht="18" customHeight="1" x14ac:dyDescent="0.3">
      <c r="B4457" s="26"/>
      <c r="C4457" s="28"/>
      <c r="D4457" s="27"/>
      <c r="E4457" s="29"/>
      <c r="F4457" s="29"/>
      <c r="G4457" s="29"/>
      <c r="H4457" s="30" t="str">
        <f t="shared" si="483"/>
        <v/>
      </c>
      <c r="I4457" s="31" t="str">
        <f>IF(OR(B4457="",C4457=""),"",IFERROR(E4457*IF(E4457="",0,VLOOKUP(C4457,'📦 Precios Proforma'!$B$5:$D$104,IF(D4457="DIA",2,3),FALSE)),0))</f>
        <v/>
      </c>
      <c r="J4457" s="31" t="str">
        <f t="shared" si="484"/>
        <v/>
      </c>
      <c r="K4457" s="31" t="str">
        <f t="shared" si="485"/>
        <v/>
      </c>
      <c r="L4457" s="31" t="str">
        <f>IF(OR(B4457="",C4457=""),"",IFERROR(E4457 / SUMIFS('📅 Resumen Diario'!$D$5:$D$504, '📅 Resumen Diario'!$B$5:$B$504, B4457, '📅 Resumen Diario'!$C$5:$C$504, D4457) * SUMIFS('📅 Resumen Diario'!$K$5:$K$504, '📅 Resumen Diario'!$B$5:$B$504, B4457, '📅 Resumen Diario'!$C$5:$C$504, D4457), 0))</f>
        <v/>
      </c>
      <c r="M4457" s="31" t="str">
        <f t="shared" si="486"/>
        <v/>
      </c>
      <c r="N4457" s="31" t="str">
        <f t="shared" si="487"/>
        <v/>
      </c>
      <c r="O4457" s="31" t="str">
        <f>IF(OR(B4457="",C4457=""),"",K4457-N4457 + IFERROR(E4457 / SUMIFS('📅 Resumen Diario'!$D$5:$D$504, '📅 Resumen Diario'!$B$5:$B$504, B4457, '📅 Resumen Diario'!$C$5:$C$504, D4457) * (SUMIFS('📋 Detalle Diario'!$E$5:$E$489, '📋 Detalle Diario'!$B$5:$B$489, B4457, '📋 Detalle Diario'!$C$5:$C$489, D4457) * 135 + SUMIFS('📋 Detalle Diario'!$I$5:$I$489, '📋 Detalle Diario'!$B$5:$B$489, B4457, '📋 Detalle Diario'!$C$5:$C$489, D4457) * 200), 0))</f>
        <v/>
      </c>
      <c r="P4457" s="32" t="str">
        <f t="shared" si="488"/>
        <v/>
      </c>
      <c r="Q4457" s="33" t="str">
        <f t="shared" si="489"/>
        <v/>
      </c>
    </row>
    <row r="4458" spans="2:17" ht="18" customHeight="1" x14ac:dyDescent="0.3">
      <c r="B4458" s="26"/>
      <c r="C4458" s="17"/>
      <c r="D4458" s="27"/>
      <c r="E4458" s="18"/>
      <c r="F4458" s="18"/>
      <c r="G4458" s="18"/>
      <c r="H4458" s="30" t="str">
        <f t="shared" si="483"/>
        <v/>
      </c>
      <c r="I4458" s="31" t="str">
        <f>IF(OR(B4458="",C4458=""),"",IFERROR(E4458*IF(E4458="",0,VLOOKUP(C4458,'📦 Precios Proforma'!$B$5:$D$104,IF(D4458="DIA",2,3),FALSE)),0))</f>
        <v/>
      </c>
      <c r="J4458" s="31" t="str">
        <f t="shared" si="484"/>
        <v/>
      </c>
      <c r="K4458" s="31" t="str">
        <f t="shared" si="485"/>
        <v/>
      </c>
      <c r="L4458" s="31" t="str">
        <f>IF(OR(B4458="",C4458=""),"",IFERROR(E4458 / SUMIFS('📅 Resumen Diario'!$D$5:$D$504, '📅 Resumen Diario'!$B$5:$B$504, B4458, '📅 Resumen Diario'!$C$5:$C$504, D4458) * SUMIFS('📅 Resumen Diario'!$K$5:$K$504, '📅 Resumen Diario'!$B$5:$B$504, B4458, '📅 Resumen Diario'!$C$5:$C$504, D4458), 0))</f>
        <v/>
      </c>
      <c r="M4458" s="31" t="str">
        <f t="shared" si="486"/>
        <v/>
      </c>
      <c r="N4458" s="31" t="str">
        <f t="shared" si="487"/>
        <v/>
      </c>
      <c r="O4458" s="31" t="str">
        <f>IF(OR(B4458="",C4458=""),"",K4458-N4458 + IFERROR(E4458 / SUMIFS('📅 Resumen Diario'!$D$5:$D$504, '📅 Resumen Diario'!$B$5:$B$504, B4458, '📅 Resumen Diario'!$C$5:$C$504, D4458) * (SUMIFS('📋 Detalle Diario'!$E$5:$E$489, '📋 Detalle Diario'!$B$5:$B$489, B4458, '📋 Detalle Diario'!$C$5:$C$489, D4458) * 135 + SUMIFS('📋 Detalle Diario'!$I$5:$I$489, '📋 Detalle Diario'!$B$5:$B$489, B4458, '📋 Detalle Diario'!$C$5:$C$489, D4458) * 200), 0))</f>
        <v/>
      </c>
      <c r="P4458" s="32" t="str">
        <f t="shared" si="488"/>
        <v/>
      </c>
      <c r="Q4458" s="33" t="str">
        <f t="shared" si="489"/>
        <v/>
      </c>
    </row>
    <row r="4459" spans="2:17" ht="18" customHeight="1" x14ac:dyDescent="0.3">
      <c r="B4459" s="26"/>
      <c r="C4459" s="28"/>
      <c r="D4459" s="27"/>
      <c r="E4459" s="29"/>
      <c r="F4459" s="29"/>
      <c r="G4459" s="29"/>
      <c r="H4459" s="30" t="str">
        <f t="shared" si="483"/>
        <v/>
      </c>
      <c r="I4459" s="31" t="str">
        <f>IF(OR(B4459="",C4459=""),"",IFERROR(E4459*IF(E4459="",0,VLOOKUP(C4459,'📦 Precios Proforma'!$B$5:$D$104,IF(D4459="DIA",2,3),FALSE)),0))</f>
        <v/>
      </c>
      <c r="J4459" s="31" t="str">
        <f t="shared" si="484"/>
        <v/>
      </c>
      <c r="K4459" s="31" t="str">
        <f t="shared" si="485"/>
        <v/>
      </c>
      <c r="L4459" s="31" t="str">
        <f>IF(OR(B4459="",C4459=""),"",IFERROR(E4459 / SUMIFS('📅 Resumen Diario'!$D$5:$D$504, '📅 Resumen Diario'!$B$5:$B$504, B4459, '📅 Resumen Diario'!$C$5:$C$504, D4459) * SUMIFS('📅 Resumen Diario'!$K$5:$K$504, '📅 Resumen Diario'!$B$5:$B$504, B4459, '📅 Resumen Diario'!$C$5:$C$504, D4459), 0))</f>
        <v/>
      </c>
      <c r="M4459" s="31" t="str">
        <f t="shared" si="486"/>
        <v/>
      </c>
      <c r="N4459" s="31" t="str">
        <f t="shared" si="487"/>
        <v/>
      </c>
      <c r="O4459" s="31" t="str">
        <f>IF(OR(B4459="",C4459=""),"",K4459-N4459 + IFERROR(E4459 / SUMIFS('📅 Resumen Diario'!$D$5:$D$504, '📅 Resumen Diario'!$B$5:$B$504, B4459, '📅 Resumen Diario'!$C$5:$C$504, D4459) * (SUMIFS('📋 Detalle Diario'!$E$5:$E$489, '📋 Detalle Diario'!$B$5:$B$489, B4459, '📋 Detalle Diario'!$C$5:$C$489, D4459) * 135 + SUMIFS('📋 Detalle Diario'!$I$5:$I$489, '📋 Detalle Diario'!$B$5:$B$489, B4459, '📋 Detalle Diario'!$C$5:$C$489, D4459) * 200), 0))</f>
        <v/>
      </c>
      <c r="P4459" s="32" t="str">
        <f t="shared" si="488"/>
        <v/>
      </c>
      <c r="Q4459" s="33" t="str">
        <f t="shared" si="489"/>
        <v/>
      </c>
    </row>
    <row r="4460" spans="2:17" ht="18" customHeight="1" x14ac:dyDescent="0.3">
      <c r="B4460" s="26"/>
      <c r="C4460" s="17"/>
      <c r="D4460" s="27"/>
      <c r="E4460" s="18"/>
      <c r="F4460" s="18"/>
      <c r="G4460" s="18"/>
      <c r="H4460" s="30" t="str">
        <f t="shared" si="483"/>
        <v/>
      </c>
      <c r="I4460" s="31" t="str">
        <f>IF(OR(B4460="",C4460=""),"",IFERROR(E4460*IF(E4460="",0,VLOOKUP(C4460,'📦 Precios Proforma'!$B$5:$D$104,IF(D4460="DIA",2,3),FALSE)),0))</f>
        <v/>
      </c>
      <c r="J4460" s="31" t="str">
        <f t="shared" si="484"/>
        <v/>
      </c>
      <c r="K4460" s="31" t="str">
        <f t="shared" si="485"/>
        <v/>
      </c>
      <c r="L4460" s="31" t="str">
        <f>IF(OR(B4460="",C4460=""),"",IFERROR(E4460 / SUMIFS('📅 Resumen Diario'!$D$5:$D$504, '📅 Resumen Diario'!$B$5:$B$504, B4460, '📅 Resumen Diario'!$C$5:$C$504, D4460) * SUMIFS('📅 Resumen Diario'!$K$5:$K$504, '📅 Resumen Diario'!$B$5:$B$504, B4460, '📅 Resumen Diario'!$C$5:$C$504, D4460), 0))</f>
        <v/>
      </c>
      <c r="M4460" s="31" t="str">
        <f t="shared" si="486"/>
        <v/>
      </c>
      <c r="N4460" s="31" t="str">
        <f t="shared" si="487"/>
        <v/>
      </c>
      <c r="O4460" s="31" t="str">
        <f>IF(OR(B4460="",C4460=""),"",K4460-N4460 + IFERROR(E4460 / SUMIFS('📅 Resumen Diario'!$D$5:$D$504, '📅 Resumen Diario'!$B$5:$B$504, B4460, '📅 Resumen Diario'!$C$5:$C$504, D4460) * (SUMIFS('📋 Detalle Diario'!$E$5:$E$489, '📋 Detalle Diario'!$B$5:$B$489, B4460, '📋 Detalle Diario'!$C$5:$C$489, D4460) * 135 + SUMIFS('📋 Detalle Diario'!$I$5:$I$489, '📋 Detalle Diario'!$B$5:$B$489, B4460, '📋 Detalle Diario'!$C$5:$C$489, D4460) * 200), 0))</f>
        <v/>
      </c>
      <c r="P4460" s="32" t="str">
        <f t="shared" si="488"/>
        <v/>
      </c>
      <c r="Q4460" s="33" t="str">
        <f t="shared" si="489"/>
        <v/>
      </c>
    </row>
    <row r="4461" spans="2:17" ht="18" customHeight="1" x14ac:dyDescent="0.3">
      <c r="B4461" s="26"/>
      <c r="C4461" s="28"/>
      <c r="D4461" s="27"/>
      <c r="E4461" s="29"/>
      <c r="F4461" s="29"/>
      <c r="G4461" s="29"/>
      <c r="H4461" s="30" t="str">
        <f t="shared" si="483"/>
        <v/>
      </c>
      <c r="I4461" s="31" t="str">
        <f>IF(OR(B4461="",C4461=""),"",IFERROR(E4461*IF(E4461="",0,VLOOKUP(C4461,'📦 Precios Proforma'!$B$5:$D$104,IF(D4461="DIA",2,3),FALSE)),0))</f>
        <v/>
      </c>
      <c r="J4461" s="31" t="str">
        <f t="shared" si="484"/>
        <v/>
      </c>
      <c r="K4461" s="31" t="str">
        <f t="shared" si="485"/>
        <v/>
      </c>
      <c r="L4461" s="31" t="str">
        <f>IF(OR(B4461="",C4461=""),"",IFERROR(E4461 / SUMIFS('📅 Resumen Diario'!$D$5:$D$504, '📅 Resumen Diario'!$B$5:$B$504, B4461, '📅 Resumen Diario'!$C$5:$C$504, D4461) * SUMIFS('📅 Resumen Diario'!$K$5:$K$504, '📅 Resumen Diario'!$B$5:$B$504, B4461, '📅 Resumen Diario'!$C$5:$C$504, D4461), 0))</f>
        <v/>
      </c>
      <c r="M4461" s="31" t="str">
        <f t="shared" si="486"/>
        <v/>
      </c>
      <c r="N4461" s="31" t="str">
        <f t="shared" si="487"/>
        <v/>
      </c>
      <c r="O4461" s="31" t="str">
        <f>IF(OR(B4461="",C4461=""),"",K4461-N4461 + IFERROR(E4461 / SUMIFS('📅 Resumen Diario'!$D$5:$D$504, '📅 Resumen Diario'!$B$5:$B$504, B4461, '📅 Resumen Diario'!$C$5:$C$504, D4461) * (SUMIFS('📋 Detalle Diario'!$E$5:$E$489, '📋 Detalle Diario'!$B$5:$B$489, B4461, '📋 Detalle Diario'!$C$5:$C$489, D4461) * 135 + SUMIFS('📋 Detalle Diario'!$I$5:$I$489, '📋 Detalle Diario'!$B$5:$B$489, B4461, '📋 Detalle Diario'!$C$5:$C$489, D4461) * 200), 0))</f>
        <v/>
      </c>
      <c r="P4461" s="32" t="str">
        <f t="shared" si="488"/>
        <v/>
      </c>
      <c r="Q4461" s="33" t="str">
        <f t="shared" si="489"/>
        <v/>
      </c>
    </row>
    <row r="4462" spans="2:17" ht="18" customHeight="1" x14ac:dyDescent="0.3">
      <c r="B4462" s="26"/>
      <c r="C4462" s="17"/>
      <c r="D4462" s="27"/>
      <c r="E4462" s="18"/>
      <c r="F4462" s="18"/>
      <c r="G4462" s="18"/>
      <c r="H4462" s="30" t="str">
        <f t="shared" si="483"/>
        <v/>
      </c>
      <c r="I4462" s="31" t="str">
        <f>IF(OR(B4462="",C4462=""),"",IFERROR(E4462*IF(E4462="",0,VLOOKUP(C4462,'📦 Precios Proforma'!$B$5:$D$104,IF(D4462="DIA",2,3),FALSE)),0))</f>
        <v/>
      </c>
      <c r="J4462" s="31" t="str">
        <f t="shared" si="484"/>
        <v/>
      </c>
      <c r="K4462" s="31" t="str">
        <f t="shared" si="485"/>
        <v/>
      </c>
      <c r="L4462" s="31" t="str">
        <f>IF(OR(B4462="",C4462=""),"",IFERROR(E4462 / SUMIFS('📅 Resumen Diario'!$D$5:$D$504, '📅 Resumen Diario'!$B$5:$B$504, B4462, '📅 Resumen Diario'!$C$5:$C$504, D4462) * SUMIFS('📅 Resumen Diario'!$K$5:$K$504, '📅 Resumen Diario'!$B$5:$B$504, B4462, '📅 Resumen Diario'!$C$5:$C$504, D4462), 0))</f>
        <v/>
      </c>
      <c r="M4462" s="31" t="str">
        <f t="shared" si="486"/>
        <v/>
      </c>
      <c r="N4462" s="31" t="str">
        <f t="shared" si="487"/>
        <v/>
      </c>
      <c r="O4462" s="31" t="str">
        <f>IF(OR(B4462="",C4462=""),"",K4462-N4462 + IFERROR(E4462 / SUMIFS('📅 Resumen Diario'!$D$5:$D$504, '📅 Resumen Diario'!$B$5:$B$504, B4462, '📅 Resumen Diario'!$C$5:$C$504, D4462) * (SUMIFS('📋 Detalle Diario'!$E$5:$E$489, '📋 Detalle Diario'!$B$5:$B$489, B4462, '📋 Detalle Diario'!$C$5:$C$489, D4462) * 135 + SUMIFS('📋 Detalle Diario'!$I$5:$I$489, '📋 Detalle Diario'!$B$5:$B$489, B4462, '📋 Detalle Diario'!$C$5:$C$489, D4462) * 200), 0))</f>
        <v/>
      </c>
      <c r="P4462" s="32" t="str">
        <f t="shared" si="488"/>
        <v/>
      </c>
      <c r="Q4462" s="33" t="str">
        <f t="shared" si="489"/>
        <v/>
      </c>
    </row>
    <row r="4463" spans="2:17" ht="18" customHeight="1" x14ac:dyDescent="0.3">
      <c r="B4463" s="26"/>
      <c r="C4463" s="28"/>
      <c r="D4463" s="27"/>
      <c r="E4463" s="29"/>
      <c r="F4463" s="29"/>
      <c r="G4463" s="29"/>
      <c r="H4463" s="30" t="str">
        <f t="shared" si="483"/>
        <v/>
      </c>
      <c r="I4463" s="31" t="str">
        <f>IF(OR(B4463="",C4463=""),"",IFERROR(E4463*IF(E4463="",0,VLOOKUP(C4463,'📦 Precios Proforma'!$B$5:$D$104,IF(D4463="DIA",2,3),FALSE)),0))</f>
        <v/>
      </c>
      <c r="J4463" s="31" t="str">
        <f t="shared" si="484"/>
        <v/>
      </c>
      <c r="K4463" s="31" t="str">
        <f t="shared" si="485"/>
        <v/>
      </c>
      <c r="L4463" s="31" t="str">
        <f>IF(OR(B4463="",C4463=""),"",IFERROR(E4463 / SUMIFS('📅 Resumen Diario'!$D$5:$D$504, '📅 Resumen Diario'!$B$5:$B$504, B4463, '📅 Resumen Diario'!$C$5:$C$504, D4463) * SUMIFS('📅 Resumen Diario'!$K$5:$K$504, '📅 Resumen Diario'!$B$5:$B$504, B4463, '📅 Resumen Diario'!$C$5:$C$504, D4463), 0))</f>
        <v/>
      </c>
      <c r="M4463" s="31" t="str">
        <f t="shared" si="486"/>
        <v/>
      </c>
      <c r="N4463" s="31" t="str">
        <f t="shared" si="487"/>
        <v/>
      </c>
      <c r="O4463" s="31" t="str">
        <f>IF(OR(B4463="",C4463=""),"",K4463-N4463 + IFERROR(E4463 / SUMIFS('📅 Resumen Diario'!$D$5:$D$504, '📅 Resumen Diario'!$B$5:$B$504, B4463, '📅 Resumen Diario'!$C$5:$C$504, D4463) * (SUMIFS('📋 Detalle Diario'!$E$5:$E$489, '📋 Detalle Diario'!$B$5:$B$489, B4463, '📋 Detalle Diario'!$C$5:$C$489, D4463) * 135 + SUMIFS('📋 Detalle Diario'!$I$5:$I$489, '📋 Detalle Diario'!$B$5:$B$489, B4463, '📋 Detalle Diario'!$C$5:$C$489, D4463) * 200), 0))</f>
        <v/>
      </c>
      <c r="P4463" s="32" t="str">
        <f t="shared" si="488"/>
        <v/>
      </c>
      <c r="Q4463" s="33" t="str">
        <f t="shared" si="489"/>
        <v/>
      </c>
    </row>
    <row r="4464" spans="2:17" ht="18" customHeight="1" x14ac:dyDescent="0.3">
      <c r="B4464" s="26"/>
      <c r="C4464" s="17"/>
      <c r="D4464" s="27"/>
      <c r="E4464" s="18"/>
      <c r="F4464" s="18"/>
      <c r="G4464" s="18"/>
      <c r="H4464" s="30" t="str">
        <f t="shared" si="483"/>
        <v/>
      </c>
      <c r="I4464" s="31" t="str">
        <f>IF(OR(B4464="",C4464=""),"",IFERROR(E4464*IF(E4464="",0,VLOOKUP(C4464,'📦 Precios Proforma'!$B$5:$D$104,IF(D4464="DIA",2,3),FALSE)),0))</f>
        <v/>
      </c>
      <c r="J4464" s="31" t="str">
        <f t="shared" si="484"/>
        <v/>
      </c>
      <c r="K4464" s="31" t="str">
        <f t="shared" si="485"/>
        <v/>
      </c>
      <c r="L4464" s="31" t="str">
        <f>IF(OR(B4464="",C4464=""),"",IFERROR(E4464 / SUMIFS('📅 Resumen Diario'!$D$5:$D$504, '📅 Resumen Diario'!$B$5:$B$504, B4464, '📅 Resumen Diario'!$C$5:$C$504, D4464) * SUMIFS('📅 Resumen Diario'!$K$5:$K$504, '📅 Resumen Diario'!$B$5:$B$504, B4464, '📅 Resumen Diario'!$C$5:$C$504, D4464), 0))</f>
        <v/>
      </c>
      <c r="M4464" s="31" t="str">
        <f t="shared" si="486"/>
        <v/>
      </c>
      <c r="N4464" s="31" t="str">
        <f t="shared" si="487"/>
        <v/>
      </c>
      <c r="O4464" s="31" t="str">
        <f>IF(OR(B4464="",C4464=""),"",K4464-N4464 + IFERROR(E4464 / SUMIFS('📅 Resumen Diario'!$D$5:$D$504, '📅 Resumen Diario'!$B$5:$B$504, B4464, '📅 Resumen Diario'!$C$5:$C$504, D4464) * (SUMIFS('📋 Detalle Diario'!$E$5:$E$489, '📋 Detalle Diario'!$B$5:$B$489, B4464, '📋 Detalle Diario'!$C$5:$C$489, D4464) * 135 + SUMIFS('📋 Detalle Diario'!$I$5:$I$489, '📋 Detalle Diario'!$B$5:$B$489, B4464, '📋 Detalle Diario'!$C$5:$C$489, D4464) * 200), 0))</f>
        <v/>
      </c>
      <c r="P4464" s="32" t="str">
        <f t="shared" si="488"/>
        <v/>
      </c>
      <c r="Q4464" s="33" t="str">
        <f t="shared" si="489"/>
        <v/>
      </c>
    </row>
    <row r="4465" spans="2:17" ht="18" customHeight="1" x14ac:dyDescent="0.3">
      <c r="B4465" s="26"/>
      <c r="C4465" s="28"/>
      <c r="D4465" s="27"/>
      <c r="E4465" s="29"/>
      <c r="F4465" s="29"/>
      <c r="G4465" s="29"/>
      <c r="H4465" s="30" t="str">
        <f t="shared" si="483"/>
        <v/>
      </c>
      <c r="I4465" s="31" t="str">
        <f>IF(OR(B4465="",C4465=""),"",IFERROR(E4465*IF(E4465="",0,VLOOKUP(C4465,'📦 Precios Proforma'!$B$5:$D$104,IF(D4465="DIA",2,3),FALSE)),0))</f>
        <v/>
      </c>
      <c r="J4465" s="31" t="str">
        <f t="shared" si="484"/>
        <v/>
      </c>
      <c r="K4465" s="31" t="str">
        <f t="shared" si="485"/>
        <v/>
      </c>
      <c r="L4465" s="31" t="str">
        <f>IF(OR(B4465="",C4465=""),"",IFERROR(E4465 / SUMIFS('📅 Resumen Diario'!$D$5:$D$504, '📅 Resumen Diario'!$B$5:$B$504, B4465, '📅 Resumen Diario'!$C$5:$C$504, D4465) * SUMIFS('📅 Resumen Diario'!$K$5:$K$504, '📅 Resumen Diario'!$B$5:$B$504, B4465, '📅 Resumen Diario'!$C$5:$C$504, D4465), 0))</f>
        <v/>
      </c>
      <c r="M4465" s="31" t="str">
        <f t="shared" si="486"/>
        <v/>
      </c>
      <c r="N4465" s="31" t="str">
        <f t="shared" si="487"/>
        <v/>
      </c>
      <c r="O4465" s="31" t="str">
        <f>IF(OR(B4465="",C4465=""),"",K4465-N4465 + IFERROR(E4465 / SUMIFS('📅 Resumen Diario'!$D$5:$D$504, '📅 Resumen Diario'!$B$5:$B$504, B4465, '📅 Resumen Diario'!$C$5:$C$504, D4465) * (SUMIFS('📋 Detalle Diario'!$E$5:$E$489, '📋 Detalle Diario'!$B$5:$B$489, B4465, '📋 Detalle Diario'!$C$5:$C$489, D4465) * 135 + SUMIFS('📋 Detalle Diario'!$I$5:$I$489, '📋 Detalle Diario'!$B$5:$B$489, B4465, '📋 Detalle Diario'!$C$5:$C$489, D4465) * 200), 0))</f>
        <v/>
      </c>
      <c r="P4465" s="32" t="str">
        <f t="shared" si="488"/>
        <v/>
      </c>
      <c r="Q4465" s="33" t="str">
        <f t="shared" si="489"/>
        <v/>
      </c>
    </row>
    <row r="4466" spans="2:17" ht="18" customHeight="1" x14ac:dyDescent="0.3">
      <c r="B4466" s="26"/>
      <c r="C4466" s="17"/>
      <c r="D4466" s="27"/>
      <c r="E4466" s="18"/>
      <c r="F4466" s="18"/>
      <c r="G4466" s="18"/>
      <c r="H4466" s="30" t="str">
        <f t="shared" si="483"/>
        <v/>
      </c>
      <c r="I4466" s="31" t="str">
        <f>IF(OR(B4466="",C4466=""),"",IFERROR(E4466*IF(E4466="",0,VLOOKUP(C4466,'📦 Precios Proforma'!$B$5:$D$104,IF(D4466="DIA",2,3),FALSE)),0))</f>
        <v/>
      </c>
      <c r="J4466" s="31" t="str">
        <f t="shared" si="484"/>
        <v/>
      </c>
      <c r="K4466" s="31" t="str">
        <f t="shared" si="485"/>
        <v/>
      </c>
      <c r="L4466" s="31" t="str">
        <f>IF(OR(B4466="",C4466=""),"",IFERROR(E4466 / SUMIFS('📅 Resumen Diario'!$D$5:$D$504, '📅 Resumen Diario'!$B$5:$B$504, B4466, '📅 Resumen Diario'!$C$5:$C$504, D4466) * SUMIFS('📅 Resumen Diario'!$K$5:$K$504, '📅 Resumen Diario'!$B$5:$B$504, B4466, '📅 Resumen Diario'!$C$5:$C$504, D4466), 0))</f>
        <v/>
      </c>
      <c r="M4466" s="31" t="str">
        <f t="shared" si="486"/>
        <v/>
      </c>
      <c r="N4466" s="31" t="str">
        <f t="shared" si="487"/>
        <v/>
      </c>
      <c r="O4466" s="31" t="str">
        <f>IF(OR(B4466="",C4466=""),"",K4466-N4466 + IFERROR(E4466 / SUMIFS('📅 Resumen Diario'!$D$5:$D$504, '📅 Resumen Diario'!$B$5:$B$504, B4466, '📅 Resumen Diario'!$C$5:$C$504, D4466) * (SUMIFS('📋 Detalle Diario'!$E$5:$E$489, '📋 Detalle Diario'!$B$5:$B$489, B4466, '📋 Detalle Diario'!$C$5:$C$489, D4466) * 135 + SUMIFS('📋 Detalle Diario'!$I$5:$I$489, '📋 Detalle Diario'!$B$5:$B$489, B4466, '📋 Detalle Diario'!$C$5:$C$489, D4466) * 200), 0))</f>
        <v/>
      </c>
      <c r="P4466" s="32" t="str">
        <f t="shared" si="488"/>
        <v/>
      </c>
      <c r="Q4466" s="33" t="str">
        <f t="shared" si="489"/>
        <v/>
      </c>
    </row>
    <row r="4467" spans="2:17" ht="18" customHeight="1" x14ac:dyDescent="0.3">
      <c r="B4467" s="26"/>
      <c r="C4467" s="28"/>
      <c r="D4467" s="27"/>
      <c r="E4467" s="29"/>
      <c r="F4467" s="29"/>
      <c r="G4467" s="29"/>
      <c r="H4467" s="30" t="str">
        <f t="shared" si="483"/>
        <v/>
      </c>
      <c r="I4467" s="31" t="str">
        <f>IF(OR(B4467="",C4467=""),"",IFERROR(E4467*IF(E4467="",0,VLOOKUP(C4467,'📦 Precios Proforma'!$B$5:$D$104,IF(D4467="DIA",2,3),FALSE)),0))</f>
        <v/>
      </c>
      <c r="J4467" s="31" t="str">
        <f t="shared" si="484"/>
        <v/>
      </c>
      <c r="K4467" s="31" t="str">
        <f t="shared" si="485"/>
        <v/>
      </c>
      <c r="L4467" s="31" t="str">
        <f>IF(OR(B4467="",C4467=""),"",IFERROR(E4467 / SUMIFS('📅 Resumen Diario'!$D$5:$D$504, '📅 Resumen Diario'!$B$5:$B$504, B4467, '📅 Resumen Diario'!$C$5:$C$504, D4467) * SUMIFS('📅 Resumen Diario'!$K$5:$K$504, '📅 Resumen Diario'!$B$5:$B$504, B4467, '📅 Resumen Diario'!$C$5:$C$504, D4467), 0))</f>
        <v/>
      </c>
      <c r="M4467" s="31" t="str">
        <f t="shared" si="486"/>
        <v/>
      </c>
      <c r="N4467" s="31" t="str">
        <f t="shared" si="487"/>
        <v/>
      </c>
      <c r="O4467" s="31" t="str">
        <f>IF(OR(B4467="",C4467=""),"",K4467-N4467 + IFERROR(E4467 / SUMIFS('📅 Resumen Diario'!$D$5:$D$504, '📅 Resumen Diario'!$B$5:$B$504, B4467, '📅 Resumen Diario'!$C$5:$C$504, D4467) * (SUMIFS('📋 Detalle Diario'!$E$5:$E$489, '📋 Detalle Diario'!$B$5:$B$489, B4467, '📋 Detalle Diario'!$C$5:$C$489, D4467) * 135 + SUMIFS('📋 Detalle Diario'!$I$5:$I$489, '📋 Detalle Diario'!$B$5:$B$489, B4467, '📋 Detalle Diario'!$C$5:$C$489, D4467) * 200), 0))</f>
        <v/>
      </c>
      <c r="P4467" s="32" t="str">
        <f t="shared" si="488"/>
        <v/>
      </c>
      <c r="Q4467" s="33" t="str">
        <f t="shared" si="489"/>
        <v/>
      </c>
    </row>
    <row r="4468" spans="2:17" ht="18" customHeight="1" x14ac:dyDescent="0.3">
      <c r="B4468" s="26"/>
      <c r="C4468" s="17"/>
      <c r="D4468" s="27"/>
      <c r="E4468" s="18"/>
      <c r="F4468" s="18"/>
      <c r="G4468" s="18"/>
      <c r="H4468" s="30" t="str">
        <f t="shared" si="483"/>
        <v/>
      </c>
      <c r="I4468" s="31" t="str">
        <f>IF(OR(B4468="",C4468=""),"",IFERROR(E4468*IF(E4468="",0,VLOOKUP(C4468,'📦 Precios Proforma'!$B$5:$D$104,IF(D4468="DIA",2,3),FALSE)),0))</f>
        <v/>
      </c>
      <c r="J4468" s="31" t="str">
        <f t="shared" si="484"/>
        <v/>
      </c>
      <c r="K4468" s="31" t="str">
        <f t="shared" si="485"/>
        <v/>
      </c>
      <c r="L4468" s="31" t="str">
        <f>IF(OR(B4468="",C4468=""),"",IFERROR(E4468 / SUMIFS('📅 Resumen Diario'!$D$5:$D$504, '📅 Resumen Diario'!$B$5:$B$504, B4468, '📅 Resumen Diario'!$C$5:$C$504, D4468) * SUMIFS('📅 Resumen Diario'!$K$5:$K$504, '📅 Resumen Diario'!$B$5:$B$504, B4468, '📅 Resumen Diario'!$C$5:$C$504, D4468), 0))</f>
        <v/>
      </c>
      <c r="M4468" s="31" t="str">
        <f t="shared" si="486"/>
        <v/>
      </c>
      <c r="N4468" s="31" t="str">
        <f t="shared" si="487"/>
        <v/>
      </c>
      <c r="O4468" s="31" t="str">
        <f>IF(OR(B4468="",C4468=""),"",K4468-N4468 + IFERROR(E4468 / SUMIFS('📅 Resumen Diario'!$D$5:$D$504, '📅 Resumen Diario'!$B$5:$B$504, B4468, '📅 Resumen Diario'!$C$5:$C$504, D4468) * (SUMIFS('📋 Detalle Diario'!$E$5:$E$489, '📋 Detalle Diario'!$B$5:$B$489, B4468, '📋 Detalle Diario'!$C$5:$C$489, D4468) * 135 + SUMIFS('📋 Detalle Diario'!$I$5:$I$489, '📋 Detalle Diario'!$B$5:$B$489, B4468, '📋 Detalle Diario'!$C$5:$C$489, D4468) * 200), 0))</f>
        <v/>
      </c>
      <c r="P4468" s="32" t="str">
        <f t="shared" si="488"/>
        <v/>
      </c>
      <c r="Q4468" s="33" t="str">
        <f t="shared" si="489"/>
        <v/>
      </c>
    </row>
    <row r="4469" spans="2:17" ht="18" customHeight="1" x14ac:dyDescent="0.3">
      <c r="B4469" s="26"/>
      <c r="C4469" s="28"/>
      <c r="D4469" s="27"/>
      <c r="E4469" s="29"/>
      <c r="F4469" s="29"/>
      <c r="G4469" s="29"/>
      <c r="H4469" s="30" t="str">
        <f t="shared" si="483"/>
        <v/>
      </c>
      <c r="I4469" s="31" t="str">
        <f>IF(OR(B4469="",C4469=""),"",IFERROR(E4469*IF(E4469="",0,VLOOKUP(C4469,'📦 Precios Proforma'!$B$5:$D$104,IF(D4469="DIA",2,3),FALSE)),0))</f>
        <v/>
      </c>
      <c r="J4469" s="31" t="str">
        <f t="shared" si="484"/>
        <v/>
      </c>
      <c r="K4469" s="31" t="str">
        <f t="shared" si="485"/>
        <v/>
      </c>
      <c r="L4469" s="31" t="str">
        <f>IF(OR(B4469="",C4469=""),"",IFERROR(E4469 / SUMIFS('📅 Resumen Diario'!$D$5:$D$504, '📅 Resumen Diario'!$B$5:$B$504, B4469, '📅 Resumen Diario'!$C$5:$C$504, D4469) * SUMIFS('📅 Resumen Diario'!$K$5:$K$504, '📅 Resumen Diario'!$B$5:$B$504, B4469, '📅 Resumen Diario'!$C$5:$C$504, D4469), 0))</f>
        <v/>
      </c>
      <c r="M4469" s="31" t="str">
        <f t="shared" si="486"/>
        <v/>
      </c>
      <c r="N4469" s="31" t="str">
        <f t="shared" si="487"/>
        <v/>
      </c>
      <c r="O4469" s="31" t="str">
        <f>IF(OR(B4469="",C4469=""),"",K4469-N4469 + IFERROR(E4469 / SUMIFS('📅 Resumen Diario'!$D$5:$D$504, '📅 Resumen Diario'!$B$5:$B$504, B4469, '📅 Resumen Diario'!$C$5:$C$504, D4469) * (SUMIFS('📋 Detalle Diario'!$E$5:$E$489, '📋 Detalle Diario'!$B$5:$B$489, B4469, '📋 Detalle Diario'!$C$5:$C$489, D4469) * 135 + SUMIFS('📋 Detalle Diario'!$I$5:$I$489, '📋 Detalle Diario'!$B$5:$B$489, B4469, '📋 Detalle Diario'!$C$5:$C$489, D4469) * 200), 0))</f>
        <v/>
      </c>
      <c r="P4469" s="32" t="str">
        <f t="shared" si="488"/>
        <v/>
      </c>
      <c r="Q4469" s="33" t="str">
        <f t="shared" si="489"/>
        <v/>
      </c>
    </row>
    <row r="4470" spans="2:17" ht="18" customHeight="1" x14ac:dyDescent="0.3">
      <c r="B4470" s="26"/>
      <c r="C4470" s="17"/>
      <c r="D4470" s="27"/>
      <c r="E4470" s="18"/>
      <c r="F4470" s="18"/>
      <c r="G4470" s="18"/>
      <c r="H4470" s="30" t="str">
        <f t="shared" si="483"/>
        <v/>
      </c>
      <c r="I4470" s="31" t="str">
        <f>IF(OR(B4470="",C4470=""),"",IFERROR(E4470*IF(E4470="",0,VLOOKUP(C4470,'📦 Precios Proforma'!$B$5:$D$104,IF(D4470="DIA",2,3),FALSE)),0))</f>
        <v/>
      </c>
      <c r="J4470" s="31" t="str">
        <f t="shared" si="484"/>
        <v/>
      </c>
      <c r="K4470" s="31" t="str">
        <f t="shared" si="485"/>
        <v/>
      </c>
      <c r="L4470" s="31" t="str">
        <f>IF(OR(B4470="",C4470=""),"",IFERROR(E4470 / SUMIFS('📅 Resumen Diario'!$D$5:$D$504, '📅 Resumen Diario'!$B$5:$B$504, B4470, '📅 Resumen Diario'!$C$5:$C$504, D4470) * SUMIFS('📅 Resumen Diario'!$K$5:$K$504, '📅 Resumen Diario'!$B$5:$B$504, B4470, '📅 Resumen Diario'!$C$5:$C$504, D4470), 0))</f>
        <v/>
      </c>
      <c r="M4470" s="31" t="str">
        <f t="shared" si="486"/>
        <v/>
      </c>
      <c r="N4470" s="31" t="str">
        <f t="shared" si="487"/>
        <v/>
      </c>
      <c r="O4470" s="31" t="str">
        <f>IF(OR(B4470="",C4470=""),"",K4470-N4470 + IFERROR(E4470 / SUMIFS('📅 Resumen Diario'!$D$5:$D$504, '📅 Resumen Diario'!$B$5:$B$504, B4470, '📅 Resumen Diario'!$C$5:$C$504, D4470) * (SUMIFS('📋 Detalle Diario'!$E$5:$E$489, '📋 Detalle Diario'!$B$5:$B$489, B4470, '📋 Detalle Diario'!$C$5:$C$489, D4470) * 135 + SUMIFS('📋 Detalle Diario'!$I$5:$I$489, '📋 Detalle Diario'!$B$5:$B$489, B4470, '📋 Detalle Diario'!$C$5:$C$489, D4470) * 200), 0))</f>
        <v/>
      </c>
      <c r="P4470" s="32" t="str">
        <f t="shared" si="488"/>
        <v/>
      </c>
      <c r="Q4470" s="33" t="str">
        <f t="shared" si="489"/>
        <v/>
      </c>
    </row>
    <row r="4471" spans="2:17" ht="18" customHeight="1" x14ac:dyDescent="0.3">
      <c r="B4471" s="26"/>
      <c r="C4471" s="28"/>
      <c r="D4471" s="27"/>
      <c r="E4471" s="29"/>
      <c r="F4471" s="29"/>
      <c r="G4471" s="29"/>
      <c r="H4471" s="30" t="str">
        <f t="shared" si="483"/>
        <v/>
      </c>
      <c r="I4471" s="31" t="str">
        <f>IF(OR(B4471="",C4471=""),"",IFERROR(E4471*IF(E4471="",0,VLOOKUP(C4471,'📦 Precios Proforma'!$B$5:$D$104,IF(D4471="DIA",2,3),FALSE)),0))</f>
        <v/>
      </c>
      <c r="J4471" s="31" t="str">
        <f t="shared" si="484"/>
        <v/>
      </c>
      <c r="K4471" s="31" t="str">
        <f t="shared" si="485"/>
        <v/>
      </c>
      <c r="L4471" s="31" t="str">
        <f>IF(OR(B4471="",C4471=""),"",IFERROR(E4471 / SUMIFS('📅 Resumen Diario'!$D$5:$D$504, '📅 Resumen Diario'!$B$5:$B$504, B4471, '📅 Resumen Diario'!$C$5:$C$504, D4471) * SUMIFS('📅 Resumen Diario'!$K$5:$K$504, '📅 Resumen Diario'!$B$5:$B$504, B4471, '📅 Resumen Diario'!$C$5:$C$504, D4471), 0))</f>
        <v/>
      </c>
      <c r="M4471" s="31" t="str">
        <f t="shared" si="486"/>
        <v/>
      </c>
      <c r="N4471" s="31" t="str">
        <f t="shared" si="487"/>
        <v/>
      </c>
      <c r="O4471" s="31" t="str">
        <f>IF(OR(B4471="",C4471=""),"",K4471-N4471 + IFERROR(E4471 / SUMIFS('📅 Resumen Diario'!$D$5:$D$504, '📅 Resumen Diario'!$B$5:$B$504, B4471, '📅 Resumen Diario'!$C$5:$C$504, D4471) * (SUMIFS('📋 Detalle Diario'!$E$5:$E$489, '📋 Detalle Diario'!$B$5:$B$489, B4471, '📋 Detalle Diario'!$C$5:$C$489, D4471) * 135 + SUMIFS('📋 Detalle Diario'!$I$5:$I$489, '📋 Detalle Diario'!$B$5:$B$489, B4471, '📋 Detalle Diario'!$C$5:$C$489, D4471) * 200), 0))</f>
        <v/>
      </c>
      <c r="P4471" s="32" t="str">
        <f t="shared" si="488"/>
        <v/>
      </c>
      <c r="Q4471" s="33" t="str">
        <f t="shared" si="489"/>
        <v/>
      </c>
    </row>
    <row r="4472" spans="2:17" ht="18" customHeight="1" x14ac:dyDescent="0.3">
      <c r="B4472" s="26"/>
      <c r="C4472" s="17"/>
      <c r="D4472" s="27"/>
      <c r="E4472" s="18"/>
      <c r="F4472" s="18"/>
      <c r="G4472" s="18"/>
      <c r="H4472" s="30" t="str">
        <f t="shared" si="483"/>
        <v/>
      </c>
      <c r="I4472" s="31" t="str">
        <f>IF(OR(B4472="",C4472=""),"",IFERROR(E4472*IF(E4472="",0,VLOOKUP(C4472,'📦 Precios Proforma'!$B$5:$D$104,IF(D4472="DIA",2,3),FALSE)),0))</f>
        <v/>
      </c>
      <c r="J4472" s="31" t="str">
        <f t="shared" si="484"/>
        <v/>
      </c>
      <c r="K4472" s="31" t="str">
        <f t="shared" si="485"/>
        <v/>
      </c>
      <c r="L4472" s="31" t="str">
        <f>IF(OR(B4472="",C4472=""),"",IFERROR(E4472 / SUMIFS('📅 Resumen Diario'!$D$5:$D$504, '📅 Resumen Diario'!$B$5:$B$504, B4472, '📅 Resumen Diario'!$C$5:$C$504, D4472) * SUMIFS('📅 Resumen Diario'!$K$5:$K$504, '📅 Resumen Diario'!$B$5:$B$504, B4472, '📅 Resumen Diario'!$C$5:$C$504, D4472), 0))</f>
        <v/>
      </c>
      <c r="M4472" s="31" t="str">
        <f t="shared" si="486"/>
        <v/>
      </c>
      <c r="N4472" s="31" t="str">
        <f t="shared" si="487"/>
        <v/>
      </c>
      <c r="O4472" s="31" t="str">
        <f>IF(OR(B4472="",C4472=""),"",K4472-N4472 + IFERROR(E4472 / SUMIFS('📅 Resumen Diario'!$D$5:$D$504, '📅 Resumen Diario'!$B$5:$B$504, B4472, '📅 Resumen Diario'!$C$5:$C$504, D4472) * (SUMIFS('📋 Detalle Diario'!$E$5:$E$489, '📋 Detalle Diario'!$B$5:$B$489, B4472, '📋 Detalle Diario'!$C$5:$C$489, D4472) * 135 + SUMIFS('📋 Detalle Diario'!$I$5:$I$489, '📋 Detalle Diario'!$B$5:$B$489, B4472, '📋 Detalle Diario'!$C$5:$C$489, D4472) * 200), 0))</f>
        <v/>
      </c>
      <c r="P4472" s="32" t="str">
        <f t="shared" si="488"/>
        <v/>
      </c>
      <c r="Q4472" s="33" t="str">
        <f t="shared" si="489"/>
        <v/>
      </c>
    </row>
    <row r="4473" spans="2:17" ht="18" customHeight="1" x14ac:dyDescent="0.3">
      <c r="B4473" s="26"/>
      <c r="C4473" s="28"/>
      <c r="D4473" s="27"/>
      <c r="E4473" s="29"/>
      <c r="F4473" s="29"/>
      <c r="G4473" s="29"/>
      <c r="H4473" s="30" t="str">
        <f t="shared" si="483"/>
        <v/>
      </c>
      <c r="I4473" s="31" t="str">
        <f>IF(OR(B4473="",C4473=""),"",IFERROR(E4473*IF(E4473="",0,VLOOKUP(C4473,'📦 Precios Proforma'!$B$5:$D$104,IF(D4473="DIA",2,3),FALSE)),0))</f>
        <v/>
      </c>
      <c r="J4473" s="31" t="str">
        <f t="shared" si="484"/>
        <v/>
      </c>
      <c r="K4473" s="31" t="str">
        <f t="shared" si="485"/>
        <v/>
      </c>
      <c r="L4473" s="31" t="str">
        <f>IF(OR(B4473="",C4473=""),"",IFERROR(E4473 / SUMIFS('📅 Resumen Diario'!$D$5:$D$504, '📅 Resumen Diario'!$B$5:$B$504, B4473, '📅 Resumen Diario'!$C$5:$C$504, D4473) * SUMIFS('📅 Resumen Diario'!$K$5:$K$504, '📅 Resumen Diario'!$B$5:$B$504, B4473, '📅 Resumen Diario'!$C$5:$C$504, D4473), 0))</f>
        <v/>
      </c>
      <c r="M4473" s="31" t="str">
        <f t="shared" si="486"/>
        <v/>
      </c>
      <c r="N4473" s="31" t="str">
        <f t="shared" si="487"/>
        <v/>
      </c>
      <c r="O4473" s="31" t="str">
        <f>IF(OR(B4473="",C4473=""),"",K4473-N4473 + IFERROR(E4473 / SUMIFS('📅 Resumen Diario'!$D$5:$D$504, '📅 Resumen Diario'!$B$5:$B$504, B4473, '📅 Resumen Diario'!$C$5:$C$504, D4473) * (SUMIFS('📋 Detalle Diario'!$E$5:$E$489, '📋 Detalle Diario'!$B$5:$B$489, B4473, '📋 Detalle Diario'!$C$5:$C$489, D4473) * 135 + SUMIFS('📋 Detalle Diario'!$I$5:$I$489, '📋 Detalle Diario'!$B$5:$B$489, B4473, '📋 Detalle Diario'!$C$5:$C$489, D4473) * 200), 0))</f>
        <v/>
      </c>
      <c r="P4473" s="32" t="str">
        <f t="shared" si="488"/>
        <v/>
      </c>
      <c r="Q4473" s="33" t="str">
        <f t="shared" si="489"/>
        <v/>
      </c>
    </row>
    <row r="4474" spans="2:17" ht="18" customHeight="1" x14ac:dyDescent="0.3">
      <c r="B4474" s="26"/>
      <c r="C4474" s="17"/>
      <c r="D4474" s="27"/>
      <c r="E4474" s="18"/>
      <c r="F4474" s="18"/>
      <c r="G4474" s="18"/>
      <c r="H4474" s="30" t="str">
        <f t="shared" si="483"/>
        <v/>
      </c>
      <c r="I4474" s="31" t="str">
        <f>IF(OR(B4474="",C4474=""),"",IFERROR(E4474*IF(E4474="",0,VLOOKUP(C4474,'📦 Precios Proforma'!$B$5:$D$104,IF(D4474="DIA",2,3),FALSE)),0))</f>
        <v/>
      </c>
      <c r="J4474" s="31" t="str">
        <f t="shared" si="484"/>
        <v/>
      </c>
      <c r="K4474" s="31" t="str">
        <f t="shared" si="485"/>
        <v/>
      </c>
      <c r="L4474" s="31" t="str">
        <f>IF(OR(B4474="",C4474=""),"",IFERROR(E4474 / SUMIFS('📅 Resumen Diario'!$D$5:$D$504, '📅 Resumen Diario'!$B$5:$B$504, B4474, '📅 Resumen Diario'!$C$5:$C$504, D4474) * SUMIFS('📅 Resumen Diario'!$K$5:$K$504, '📅 Resumen Diario'!$B$5:$B$504, B4474, '📅 Resumen Diario'!$C$5:$C$504, D4474), 0))</f>
        <v/>
      </c>
      <c r="M4474" s="31" t="str">
        <f t="shared" si="486"/>
        <v/>
      </c>
      <c r="N4474" s="31" t="str">
        <f t="shared" si="487"/>
        <v/>
      </c>
      <c r="O4474" s="31" t="str">
        <f>IF(OR(B4474="",C4474=""),"",K4474-N4474 + IFERROR(E4474 / SUMIFS('📅 Resumen Diario'!$D$5:$D$504, '📅 Resumen Diario'!$B$5:$B$504, B4474, '📅 Resumen Diario'!$C$5:$C$504, D4474) * (SUMIFS('📋 Detalle Diario'!$E$5:$E$489, '📋 Detalle Diario'!$B$5:$B$489, B4474, '📋 Detalle Diario'!$C$5:$C$489, D4474) * 135 + SUMIFS('📋 Detalle Diario'!$I$5:$I$489, '📋 Detalle Diario'!$B$5:$B$489, B4474, '📋 Detalle Diario'!$C$5:$C$489, D4474) * 200), 0))</f>
        <v/>
      </c>
      <c r="P4474" s="32" t="str">
        <f t="shared" si="488"/>
        <v/>
      </c>
      <c r="Q4474" s="33" t="str">
        <f t="shared" si="489"/>
        <v/>
      </c>
    </row>
    <row r="4475" spans="2:17" ht="18" customHeight="1" x14ac:dyDescent="0.3">
      <c r="B4475" s="26"/>
      <c r="C4475" s="28"/>
      <c r="D4475" s="27"/>
      <c r="E4475" s="29"/>
      <c r="F4475" s="29"/>
      <c r="G4475" s="29"/>
      <c r="H4475" s="30" t="str">
        <f t="shared" si="483"/>
        <v/>
      </c>
      <c r="I4475" s="31" t="str">
        <f>IF(OR(B4475="",C4475=""),"",IFERROR(E4475*IF(E4475="",0,VLOOKUP(C4475,'📦 Precios Proforma'!$B$5:$D$104,IF(D4475="DIA",2,3),FALSE)),0))</f>
        <v/>
      </c>
      <c r="J4475" s="31" t="str">
        <f t="shared" si="484"/>
        <v/>
      </c>
      <c r="K4475" s="31" t="str">
        <f t="shared" si="485"/>
        <v/>
      </c>
      <c r="L4475" s="31" t="str">
        <f>IF(OR(B4475="",C4475=""),"",IFERROR(E4475 / SUMIFS('📅 Resumen Diario'!$D$5:$D$504, '📅 Resumen Diario'!$B$5:$B$504, B4475, '📅 Resumen Diario'!$C$5:$C$504, D4475) * SUMIFS('📅 Resumen Diario'!$K$5:$K$504, '📅 Resumen Diario'!$B$5:$B$504, B4475, '📅 Resumen Diario'!$C$5:$C$504, D4475), 0))</f>
        <v/>
      </c>
      <c r="M4475" s="31" t="str">
        <f t="shared" si="486"/>
        <v/>
      </c>
      <c r="N4475" s="31" t="str">
        <f t="shared" si="487"/>
        <v/>
      </c>
      <c r="O4475" s="31" t="str">
        <f>IF(OR(B4475="",C4475=""),"",K4475-N4475 + IFERROR(E4475 / SUMIFS('📅 Resumen Diario'!$D$5:$D$504, '📅 Resumen Diario'!$B$5:$B$504, B4475, '📅 Resumen Diario'!$C$5:$C$504, D4475) * (SUMIFS('📋 Detalle Diario'!$E$5:$E$489, '📋 Detalle Diario'!$B$5:$B$489, B4475, '📋 Detalle Diario'!$C$5:$C$489, D4475) * 135 + SUMIFS('📋 Detalle Diario'!$I$5:$I$489, '📋 Detalle Diario'!$B$5:$B$489, B4475, '📋 Detalle Diario'!$C$5:$C$489, D4475) * 200), 0))</f>
        <v/>
      </c>
      <c r="P4475" s="32" t="str">
        <f t="shared" si="488"/>
        <v/>
      </c>
      <c r="Q4475" s="33" t="str">
        <f t="shared" si="489"/>
        <v/>
      </c>
    </row>
    <row r="4476" spans="2:17" ht="18" customHeight="1" x14ac:dyDescent="0.3">
      <c r="B4476" s="26"/>
      <c r="C4476" s="17"/>
      <c r="D4476" s="27"/>
      <c r="E4476" s="18"/>
      <c r="F4476" s="18"/>
      <c r="G4476" s="18"/>
      <c r="H4476" s="30" t="str">
        <f t="shared" si="483"/>
        <v/>
      </c>
      <c r="I4476" s="31" t="str">
        <f>IF(OR(B4476="",C4476=""),"",IFERROR(E4476*IF(E4476="",0,VLOOKUP(C4476,'📦 Precios Proforma'!$B$5:$D$104,IF(D4476="DIA",2,3),FALSE)),0))</f>
        <v/>
      </c>
      <c r="J4476" s="31" t="str">
        <f t="shared" si="484"/>
        <v/>
      </c>
      <c r="K4476" s="31" t="str">
        <f t="shared" si="485"/>
        <v/>
      </c>
      <c r="L4476" s="31" t="str">
        <f>IF(OR(B4476="",C4476=""),"",IFERROR(E4476 / SUMIFS('📅 Resumen Diario'!$D$5:$D$504, '📅 Resumen Diario'!$B$5:$B$504, B4476, '📅 Resumen Diario'!$C$5:$C$504, D4476) * SUMIFS('📅 Resumen Diario'!$K$5:$K$504, '📅 Resumen Diario'!$B$5:$B$504, B4476, '📅 Resumen Diario'!$C$5:$C$504, D4476), 0))</f>
        <v/>
      </c>
      <c r="M4476" s="31" t="str">
        <f t="shared" si="486"/>
        <v/>
      </c>
      <c r="N4476" s="31" t="str">
        <f t="shared" si="487"/>
        <v/>
      </c>
      <c r="O4476" s="31" t="str">
        <f>IF(OR(B4476="",C4476=""),"",K4476-N4476 + IFERROR(E4476 / SUMIFS('📅 Resumen Diario'!$D$5:$D$504, '📅 Resumen Diario'!$B$5:$B$504, B4476, '📅 Resumen Diario'!$C$5:$C$504, D4476) * (SUMIFS('📋 Detalle Diario'!$E$5:$E$489, '📋 Detalle Diario'!$B$5:$B$489, B4476, '📋 Detalle Diario'!$C$5:$C$489, D4476) * 135 + SUMIFS('📋 Detalle Diario'!$I$5:$I$489, '📋 Detalle Diario'!$B$5:$B$489, B4476, '📋 Detalle Diario'!$C$5:$C$489, D4476) * 200), 0))</f>
        <v/>
      </c>
      <c r="P4476" s="32" t="str">
        <f t="shared" si="488"/>
        <v/>
      </c>
      <c r="Q4476" s="33" t="str">
        <f t="shared" si="489"/>
        <v/>
      </c>
    </row>
    <row r="4477" spans="2:17" ht="18" customHeight="1" x14ac:dyDescent="0.3">
      <c r="B4477" s="26"/>
      <c r="C4477" s="28"/>
      <c r="D4477" s="27"/>
      <c r="E4477" s="29"/>
      <c r="F4477" s="29"/>
      <c r="G4477" s="29"/>
      <c r="H4477" s="30" t="str">
        <f t="shared" si="483"/>
        <v/>
      </c>
      <c r="I4477" s="31" t="str">
        <f>IF(OR(B4477="",C4477=""),"",IFERROR(E4477*IF(E4477="",0,VLOOKUP(C4477,'📦 Precios Proforma'!$B$5:$D$104,IF(D4477="DIA",2,3),FALSE)),0))</f>
        <v/>
      </c>
      <c r="J4477" s="31" t="str">
        <f t="shared" si="484"/>
        <v/>
      </c>
      <c r="K4477" s="31" t="str">
        <f t="shared" si="485"/>
        <v/>
      </c>
      <c r="L4477" s="31" t="str">
        <f>IF(OR(B4477="",C4477=""),"",IFERROR(E4477 / SUMIFS('📅 Resumen Diario'!$D$5:$D$504, '📅 Resumen Diario'!$B$5:$B$504, B4477, '📅 Resumen Diario'!$C$5:$C$504, D4477) * SUMIFS('📅 Resumen Diario'!$K$5:$K$504, '📅 Resumen Diario'!$B$5:$B$504, B4477, '📅 Resumen Diario'!$C$5:$C$504, D4477), 0))</f>
        <v/>
      </c>
      <c r="M4477" s="31" t="str">
        <f t="shared" si="486"/>
        <v/>
      </c>
      <c r="N4477" s="31" t="str">
        <f t="shared" si="487"/>
        <v/>
      </c>
      <c r="O4477" s="31" t="str">
        <f>IF(OR(B4477="",C4477=""),"",K4477-N4477 + IFERROR(E4477 / SUMIFS('📅 Resumen Diario'!$D$5:$D$504, '📅 Resumen Diario'!$B$5:$B$504, B4477, '📅 Resumen Diario'!$C$5:$C$504, D4477) * (SUMIFS('📋 Detalle Diario'!$E$5:$E$489, '📋 Detalle Diario'!$B$5:$B$489, B4477, '📋 Detalle Diario'!$C$5:$C$489, D4477) * 135 + SUMIFS('📋 Detalle Diario'!$I$5:$I$489, '📋 Detalle Diario'!$B$5:$B$489, B4477, '📋 Detalle Diario'!$C$5:$C$489, D4477) * 200), 0))</f>
        <v/>
      </c>
      <c r="P4477" s="32" t="str">
        <f t="shared" si="488"/>
        <v/>
      </c>
      <c r="Q4477" s="33" t="str">
        <f t="shared" si="489"/>
        <v/>
      </c>
    </row>
    <row r="4478" spans="2:17" ht="18" customHeight="1" x14ac:dyDescent="0.3">
      <c r="B4478" s="26"/>
      <c r="C4478" s="17"/>
      <c r="D4478" s="27"/>
      <c r="E4478" s="18"/>
      <c r="F4478" s="18"/>
      <c r="G4478" s="18"/>
      <c r="H4478" s="30" t="str">
        <f t="shared" si="483"/>
        <v/>
      </c>
      <c r="I4478" s="31" t="str">
        <f>IF(OR(B4478="",C4478=""),"",IFERROR(E4478*IF(E4478="",0,VLOOKUP(C4478,'📦 Precios Proforma'!$B$5:$D$104,IF(D4478="DIA",2,3),FALSE)),0))</f>
        <v/>
      </c>
      <c r="J4478" s="31" t="str">
        <f t="shared" si="484"/>
        <v/>
      </c>
      <c r="K4478" s="31" t="str">
        <f t="shared" si="485"/>
        <v/>
      </c>
      <c r="L4478" s="31" t="str">
        <f>IF(OR(B4478="",C4478=""),"",IFERROR(E4478 / SUMIFS('📅 Resumen Diario'!$D$5:$D$504, '📅 Resumen Diario'!$B$5:$B$504, B4478, '📅 Resumen Diario'!$C$5:$C$504, D4478) * SUMIFS('📅 Resumen Diario'!$K$5:$K$504, '📅 Resumen Diario'!$B$5:$B$504, B4478, '📅 Resumen Diario'!$C$5:$C$504, D4478), 0))</f>
        <v/>
      </c>
      <c r="M4478" s="31" t="str">
        <f t="shared" si="486"/>
        <v/>
      </c>
      <c r="N4478" s="31" t="str">
        <f t="shared" si="487"/>
        <v/>
      </c>
      <c r="O4478" s="31" t="str">
        <f>IF(OR(B4478="",C4478=""),"",K4478-N4478 + IFERROR(E4478 / SUMIFS('📅 Resumen Diario'!$D$5:$D$504, '📅 Resumen Diario'!$B$5:$B$504, B4478, '📅 Resumen Diario'!$C$5:$C$504, D4478) * (SUMIFS('📋 Detalle Diario'!$E$5:$E$489, '📋 Detalle Diario'!$B$5:$B$489, B4478, '📋 Detalle Diario'!$C$5:$C$489, D4478) * 135 + SUMIFS('📋 Detalle Diario'!$I$5:$I$489, '📋 Detalle Diario'!$B$5:$B$489, B4478, '📋 Detalle Diario'!$C$5:$C$489, D4478) * 200), 0))</f>
        <v/>
      </c>
      <c r="P4478" s="32" t="str">
        <f t="shared" si="488"/>
        <v/>
      </c>
      <c r="Q4478" s="33" t="str">
        <f t="shared" si="489"/>
        <v/>
      </c>
    </row>
    <row r="4479" spans="2:17" ht="18" customHeight="1" x14ac:dyDescent="0.3">
      <c r="B4479" s="26"/>
      <c r="C4479" s="28"/>
      <c r="D4479" s="27"/>
      <c r="E4479" s="29"/>
      <c r="F4479" s="29"/>
      <c r="G4479" s="29"/>
      <c r="H4479" s="30" t="str">
        <f t="shared" si="483"/>
        <v/>
      </c>
      <c r="I4479" s="31" t="str">
        <f>IF(OR(B4479="",C4479=""),"",IFERROR(E4479*IF(E4479="",0,VLOOKUP(C4479,'📦 Precios Proforma'!$B$5:$D$104,IF(D4479="DIA",2,3),FALSE)),0))</f>
        <v/>
      </c>
      <c r="J4479" s="31" t="str">
        <f t="shared" si="484"/>
        <v/>
      </c>
      <c r="K4479" s="31" t="str">
        <f t="shared" si="485"/>
        <v/>
      </c>
      <c r="L4479" s="31" t="str">
        <f>IF(OR(B4479="",C4479=""),"",IFERROR(E4479 / SUMIFS('📅 Resumen Diario'!$D$5:$D$504, '📅 Resumen Diario'!$B$5:$B$504, B4479, '📅 Resumen Diario'!$C$5:$C$504, D4479) * SUMIFS('📅 Resumen Diario'!$K$5:$K$504, '📅 Resumen Diario'!$B$5:$B$504, B4479, '📅 Resumen Diario'!$C$5:$C$504, D4479), 0))</f>
        <v/>
      </c>
      <c r="M4479" s="31" t="str">
        <f t="shared" si="486"/>
        <v/>
      </c>
      <c r="N4479" s="31" t="str">
        <f t="shared" si="487"/>
        <v/>
      </c>
      <c r="O4479" s="31" t="str">
        <f>IF(OR(B4479="",C4479=""),"",K4479-N4479 + IFERROR(E4479 / SUMIFS('📅 Resumen Diario'!$D$5:$D$504, '📅 Resumen Diario'!$B$5:$B$504, B4479, '📅 Resumen Diario'!$C$5:$C$504, D4479) * (SUMIFS('📋 Detalle Diario'!$E$5:$E$489, '📋 Detalle Diario'!$B$5:$B$489, B4479, '📋 Detalle Diario'!$C$5:$C$489, D4479) * 135 + SUMIFS('📋 Detalle Diario'!$I$5:$I$489, '📋 Detalle Diario'!$B$5:$B$489, B4479, '📋 Detalle Diario'!$C$5:$C$489, D4479) * 200), 0))</f>
        <v/>
      </c>
      <c r="P4479" s="32" t="str">
        <f t="shared" si="488"/>
        <v/>
      </c>
      <c r="Q4479" s="33" t="str">
        <f t="shared" si="489"/>
        <v/>
      </c>
    </row>
    <row r="4480" spans="2:17" ht="18" customHeight="1" x14ac:dyDescent="0.3">
      <c r="B4480" s="26"/>
      <c r="C4480" s="17"/>
      <c r="D4480" s="27"/>
      <c r="E4480" s="18"/>
      <c r="F4480" s="18"/>
      <c r="G4480" s="18"/>
      <c r="H4480" s="30" t="str">
        <f t="shared" si="483"/>
        <v/>
      </c>
      <c r="I4480" s="31" t="str">
        <f>IF(OR(B4480="",C4480=""),"",IFERROR(E4480*IF(E4480="",0,VLOOKUP(C4480,'📦 Precios Proforma'!$B$5:$D$104,IF(D4480="DIA",2,3),FALSE)),0))</f>
        <v/>
      </c>
      <c r="J4480" s="31" t="str">
        <f t="shared" si="484"/>
        <v/>
      </c>
      <c r="K4480" s="31" t="str">
        <f t="shared" si="485"/>
        <v/>
      </c>
      <c r="L4480" s="31" t="str">
        <f>IF(OR(B4480="",C4480=""),"",IFERROR(E4480 / SUMIFS('📅 Resumen Diario'!$D$5:$D$504, '📅 Resumen Diario'!$B$5:$B$504, B4480, '📅 Resumen Diario'!$C$5:$C$504, D4480) * SUMIFS('📅 Resumen Diario'!$K$5:$K$504, '📅 Resumen Diario'!$B$5:$B$504, B4480, '📅 Resumen Diario'!$C$5:$C$504, D4480), 0))</f>
        <v/>
      </c>
      <c r="M4480" s="31" t="str">
        <f t="shared" si="486"/>
        <v/>
      </c>
      <c r="N4480" s="31" t="str">
        <f t="shared" si="487"/>
        <v/>
      </c>
      <c r="O4480" s="31" t="str">
        <f>IF(OR(B4480="",C4480=""),"",K4480-N4480 + IFERROR(E4480 / SUMIFS('📅 Resumen Diario'!$D$5:$D$504, '📅 Resumen Diario'!$B$5:$B$504, B4480, '📅 Resumen Diario'!$C$5:$C$504, D4480) * (SUMIFS('📋 Detalle Diario'!$E$5:$E$489, '📋 Detalle Diario'!$B$5:$B$489, B4480, '📋 Detalle Diario'!$C$5:$C$489, D4480) * 135 + SUMIFS('📋 Detalle Diario'!$I$5:$I$489, '📋 Detalle Diario'!$B$5:$B$489, B4480, '📋 Detalle Diario'!$C$5:$C$489, D4480) * 200), 0))</f>
        <v/>
      </c>
      <c r="P4480" s="32" t="str">
        <f t="shared" si="488"/>
        <v/>
      </c>
      <c r="Q4480" s="33" t="str">
        <f t="shared" si="489"/>
        <v/>
      </c>
    </row>
    <row r="4481" spans="2:17" ht="18" customHeight="1" x14ac:dyDescent="0.3">
      <c r="B4481" s="26"/>
      <c r="C4481" s="28"/>
      <c r="D4481" s="27"/>
      <c r="E4481" s="29"/>
      <c r="F4481" s="29"/>
      <c r="G4481" s="29"/>
      <c r="H4481" s="30" t="str">
        <f t="shared" si="483"/>
        <v/>
      </c>
      <c r="I4481" s="31" t="str">
        <f>IF(OR(B4481="",C4481=""),"",IFERROR(E4481*IF(E4481="",0,VLOOKUP(C4481,'📦 Precios Proforma'!$B$5:$D$104,IF(D4481="DIA",2,3),FALSE)),0))</f>
        <v/>
      </c>
      <c r="J4481" s="31" t="str">
        <f t="shared" si="484"/>
        <v/>
      </c>
      <c r="K4481" s="31" t="str">
        <f t="shared" si="485"/>
        <v/>
      </c>
      <c r="L4481" s="31" t="str">
        <f>IF(OR(B4481="",C4481=""),"",IFERROR(E4481 / SUMIFS('📅 Resumen Diario'!$D$5:$D$504, '📅 Resumen Diario'!$B$5:$B$504, B4481, '📅 Resumen Diario'!$C$5:$C$504, D4481) * SUMIFS('📅 Resumen Diario'!$K$5:$K$504, '📅 Resumen Diario'!$B$5:$B$504, B4481, '📅 Resumen Diario'!$C$5:$C$504, D4481), 0))</f>
        <v/>
      </c>
      <c r="M4481" s="31" t="str">
        <f t="shared" si="486"/>
        <v/>
      </c>
      <c r="N4481" s="31" t="str">
        <f t="shared" si="487"/>
        <v/>
      </c>
      <c r="O4481" s="31" t="str">
        <f>IF(OR(B4481="",C4481=""),"",K4481-N4481 + IFERROR(E4481 / SUMIFS('📅 Resumen Diario'!$D$5:$D$504, '📅 Resumen Diario'!$B$5:$B$504, B4481, '📅 Resumen Diario'!$C$5:$C$504, D4481) * (SUMIFS('📋 Detalle Diario'!$E$5:$E$489, '📋 Detalle Diario'!$B$5:$B$489, B4481, '📋 Detalle Diario'!$C$5:$C$489, D4481) * 135 + SUMIFS('📋 Detalle Diario'!$I$5:$I$489, '📋 Detalle Diario'!$B$5:$B$489, B4481, '📋 Detalle Diario'!$C$5:$C$489, D4481) * 200), 0))</f>
        <v/>
      </c>
      <c r="P4481" s="32" t="str">
        <f t="shared" si="488"/>
        <v/>
      </c>
      <c r="Q4481" s="33" t="str">
        <f t="shared" si="489"/>
        <v/>
      </c>
    </row>
    <row r="4482" spans="2:17" ht="18" customHeight="1" x14ac:dyDescent="0.3">
      <c r="B4482" s="26"/>
      <c r="C4482" s="17"/>
      <c r="D4482" s="27"/>
      <c r="E4482" s="18"/>
      <c r="F4482" s="18"/>
      <c r="G4482" s="18"/>
      <c r="H4482" s="30" t="str">
        <f t="shared" si="483"/>
        <v/>
      </c>
      <c r="I4482" s="31" t="str">
        <f>IF(OR(B4482="",C4482=""),"",IFERROR(E4482*IF(E4482="",0,VLOOKUP(C4482,'📦 Precios Proforma'!$B$5:$D$104,IF(D4482="DIA",2,3),FALSE)),0))</f>
        <v/>
      </c>
      <c r="J4482" s="31" t="str">
        <f t="shared" si="484"/>
        <v/>
      </c>
      <c r="K4482" s="31" t="str">
        <f t="shared" si="485"/>
        <v/>
      </c>
      <c r="L4482" s="31" t="str">
        <f>IF(OR(B4482="",C4482=""),"",IFERROR(E4482 / SUMIFS('📅 Resumen Diario'!$D$5:$D$504, '📅 Resumen Diario'!$B$5:$B$504, B4482, '📅 Resumen Diario'!$C$5:$C$504, D4482) * SUMIFS('📅 Resumen Diario'!$K$5:$K$504, '📅 Resumen Diario'!$B$5:$B$504, B4482, '📅 Resumen Diario'!$C$5:$C$504, D4482), 0))</f>
        <v/>
      </c>
      <c r="M4482" s="31" t="str">
        <f t="shared" si="486"/>
        <v/>
      </c>
      <c r="N4482" s="31" t="str">
        <f t="shared" si="487"/>
        <v/>
      </c>
      <c r="O4482" s="31" t="str">
        <f>IF(OR(B4482="",C4482=""),"",K4482-N4482 + IFERROR(E4482 / SUMIFS('📅 Resumen Diario'!$D$5:$D$504, '📅 Resumen Diario'!$B$5:$B$504, B4482, '📅 Resumen Diario'!$C$5:$C$504, D4482) * (SUMIFS('📋 Detalle Diario'!$E$5:$E$489, '📋 Detalle Diario'!$B$5:$B$489, B4482, '📋 Detalle Diario'!$C$5:$C$489, D4482) * 135 + SUMIFS('📋 Detalle Diario'!$I$5:$I$489, '📋 Detalle Diario'!$B$5:$B$489, B4482, '📋 Detalle Diario'!$C$5:$C$489, D4482) * 200), 0))</f>
        <v/>
      </c>
      <c r="P4482" s="32" t="str">
        <f t="shared" si="488"/>
        <v/>
      </c>
      <c r="Q4482" s="33" t="str">
        <f t="shared" si="489"/>
        <v/>
      </c>
    </row>
    <row r="4483" spans="2:17" ht="18" customHeight="1" x14ac:dyDescent="0.3">
      <c r="B4483" s="26"/>
      <c r="C4483" s="28"/>
      <c r="D4483" s="27"/>
      <c r="E4483" s="29"/>
      <c r="F4483" s="29"/>
      <c r="G4483" s="29"/>
      <c r="H4483" s="30" t="str">
        <f t="shared" si="483"/>
        <v/>
      </c>
      <c r="I4483" s="31" t="str">
        <f>IF(OR(B4483="",C4483=""),"",IFERROR(E4483*IF(E4483="",0,VLOOKUP(C4483,'📦 Precios Proforma'!$B$5:$D$104,IF(D4483="DIA",2,3),FALSE)),0))</f>
        <v/>
      </c>
      <c r="J4483" s="31" t="str">
        <f t="shared" si="484"/>
        <v/>
      </c>
      <c r="K4483" s="31" t="str">
        <f t="shared" si="485"/>
        <v/>
      </c>
      <c r="L4483" s="31" t="str">
        <f>IF(OR(B4483="",C4483=""),"",IFERROR(E4483 / SUMIFS('📅 Resumen Diario'!$D$5:$D$504, '📅 Resumen Diario'!$B$5:$B$504, B4483, '📅 Resumen Diario'!$C$5:$C$504, D4483) * SUMIFS('📅 Resumen Diario'!$K$5:$K$504, '📅 Resumen Diario'!$B$5:$B$504, B4483, '📅 Resumen Diario'!$C$5:$C$504, D4483), 0))</f>
        <v/>
      </c>
      <c r="M4483" s="31" t="str">
        <f t="shared" si="486"/>
        <v/>
      </c>
      <c r="N4483" s="31" t="str">
        <f t="shared" si="487"/>
        <v/>
      </c>
      <c r="O4483" s="31" t="str">
        <f>IF(OR(B4483="",C4483=""),"",K4483-N4483 + IFERROR(E4483 / SUMIFS('📅 Resumen Diario'!$D$5:$D$504, '📅 Resumen Diario'!$B$5:$B$504, B4483, '📅 Resumen Diario'!$C$5:$C$504, D4483) * (SUMIFS('📋 Detalle Diario'!$E$5:$E$489, '📋 Detalle Diario'!$B$5:$B$489, B4483, '📋 Detalle Diario'!$C$5:$C$489, D4483) * 135 + SUMIFS('📋 Detalle Diario'!$I$5:$I$489, '📋 Detalle Diario'!$B$5:$B$489, B4483, '📋 Detalle Diario'!$C$5:$C$489, D4483) * 200), 0))</f>
        <v/>
      </c>
      <c r="P4483" s="32" t="str">
        <f t="shared" si="488"/>
        <v/>
      </c>
      <c r="Q4483" s="33" t="str">
        <f t="shared" si="489"/>
        <v/>
      </c>
    </row>
    <row r="4484" spans="2:17" ht="18" customHeight="1" x14ac:dyDescent="0.3">
      <c r="B4484" s="26"/>
      <c r="C4484" s="17"/>
      <c r="D4484" s="27"/>
      <c r="E4484" s="18"/>
      <c r="F4484" s="18"/>
      <c r="G4484" s="18"/>
      <c r="H4484" s="30" t="str">
        <f t="shared" si="483"/>
        <v/>
      </c>
      <c r="I4484" s="31" t="str">
        <f>IF(OR(B4484="",C4484=""),"",IFERROR(E4484*IF(E4484="",0,VLOOKUP(C4484,'📦 Precios Proforma'!$B$5:$D$104,IF(D4484="DIA",2,3),FALSE)),0))</f>
        <v/>
      </c>
      <c r="J4484" s="31" t="str">
        <f t="shared" si="484"/>
        <v/>
      </c>
      <c r="K4484" s="31" t="str">
        <f t="shared" si="485"/>
        <v/>
      </c>
      <c r="L4484" s="31" t="str">
        <f>IF(OR(B4484="",C4484=""),"",IFERROR(E4484 / SUMIFS('📅 Resumen Diario'!$D$5:$D$504, '📅 Resumen Diario'!$B$5:$B$504, B4484, '📅 Resumen Diario'!$C$5:$C$504, D4484) * SUMIFS('📅 Resumen Diario'!$K$5:$K$504, '📅 Resumen Diario'!$B$5:$B$504, B4484, '📅 Resumen Diario'!$C$5:$C$504, D4484), 0))</f>
        <v/>
      </c>
      <c r="M4484" s="31" t="str">
        <f t="shared" si="486"/>
        <v/>
      </c>
      <c r="N4484" s="31" t="str">
        <f t="shared" si="487"/>
        <v/>
      </c>
      <c r="O4484" s="31" t="str">
        <f>IF(OR(B4484="",C4484=""),"",K4484-N4484 + IFERROR(E4484 / SUMIFS('📅 Resumen Diario'!$D$5:$D$504, '📅 Resumen Diario'!$B$5:$B$504, B4484, '📅 Resumen Diario'!$C$5:$C$504, D4484) * (SUMIFS('📋 Detalle Diario'!$E$5:$E$489, '📋 Detalle Diario'!$B$5:$B$489, B4484, '📋 Detalle Diario'!$C$5:$C$489, D4484) * 135 + SUMIFS('📋 Detalle Diario'!$I$5:$I$489, '📋 Detalle Diario'!$B$5:$B$489, B4484, '📋 Detalle Diario'!$C$5:$C$489, D4484) * 200), 0))</f>
        <v/>
      </c>
      <c r="P4484" s="32" t="str">
        <f t="shared" si="488"/>
        <v/>
      </c>
      <c r="Q4484" s="33" t="str">
        <f t="shared" si="489"/>
        <v/>
      </c>
    </row>
    <row r="4485" spans="2:17" ht="18" customHeight="1" x14ac:dyDescent="0.3">
      <c r="B4485" s="26"/>
      <c r="C4485" s="28"/>
      <c r="D4485" s="27"/>
      <c r="E4485" s="29"/>
      <c r="F4485" s="29"/>
      <c r="G4485" s="29"/>
      <c r="H4485" s="30" t="str">
        <f t="shared" si="483"/>
        <v/>
      </c>
      <c r="I4485" s="31" t="str">
        <f>IF(OR(B4485="",C4485=""),"",IFERROR(E4485*IF(E4485="",0,VLOOKUP(C4485,'📦 Precios Proforma'!$B$5:$D$104,IF(D4485="DIA",2,3),FALSE)),0))</f>
        <v/>
      </c>
      <c r="J4485" s="31" t="str">
        <f t="shared" si="484"/>
        <v/>
      </c>
      <c r="K4485" s="31" t="str">
        <f t="shared" si="485"/>
        <v/>
      </c>
      <c r="L4485" s="31" t="str">
        <f>IF(OR(B4485="",C4485=""),"",IFERROR(E4485 / SUMIFS('📅 Resumen Diario'!$D$5:$D$504, '📅 Resumen Diario'!$B$5:$B$504, B4485, '📅 Resumen Diario'!$C$5:$C$504, D4485) * SUMIFS('📅 Resumen Diario'!$K$5:$K$504, '📅 Resumen Diario'!$B$5:$B$504, B4485, '📅 Resumen Diario'!$C$5:$C$504, D4485), 0))</f>
        <v/>
      </c>
      <c r="M4485" s="31" t="str">
        <f t="shared" si="486"/>
        <v/>
      </c>
      <c r="N4485" s="31" t="str">
        <f t="shared" si="487"/>
        <v/>
      </c>
      <c r="O4485" s="31" t="str">
        <f>IF(OR(B4485="",C4485=""),"",K4485-N4485 + IFERROR(E4485 / SUMIFS('📅 Resumen Diario'!$D$5:$D$504, '📅 Resumen Diario'!$B$5:$B$504, B4485, '📅 Resumen Diario'!$C$5:$C$504, D4485) * (SUMIFS('📋 Detalle Diario'!$E$5:$E$489, '📋 Detalle Diario'!$B$5:$B$489, B4485, '📋 Detalle Diario'!$C$5:$C$489, D4485) * 135 + SUMIFS('📋 Detalle Diario'!$I$5:$I$489, '📋 Detalle Diario'!$B$5:$B$489, B4485, '📋 Detalle Diario'!$C$5:$C$489, D4485) * 200), 0))</f>
        <v/>
      </c>
      <c r="P4485" s="32" t="str">
        <f t="shared" si="488"/>
        <v/>
      </c>
      <c r="Q4485" s="33" t="str">
        <f t="shared" si="489"/>
        <v/>
      </c>
    </row>
    <row r="4486" spans="2:17" ht="18" customHeight="1" x14ac:dyDescent="0.3">
      <c r="B4486" s="26"/>
      <c r="C4486" s="17"/>
      <c r="D4486" s="27"/>
      <c r="E4486" s="18"/>
      <c r="F4486" s="18"/>
      <c r="G4486" s="18"/>
      <c r="H4486" s="30" t="str">
        <f t="shared" si="483"/>
        <v/>
      </c>
      <c r="I4486" s="31" t="str">
        <f>IF(OR(B4486="",C4486=""),"",IFERROR(E4486*IF(E4486="",0,VLOOKUP(C4486,'📦 Precios Proforma'!$B$5:$D$104,IF(D4486="DIA",2,3),FALSE)),0))</f>
        <v/>
      </c>
      <c r="J4486" s="31" t="str">
        <f t="shared" si="484"/>
        <v/>
      </c>
      <c r="K4486" s="31" t="str">
        <f t="shared" si="485"/>
        <v/>
      </c>
      <c r="L4486" s="31" t="str">
        <f>IF(OR(B4486="",C4486=""),"",IFERROR(E4486 / SUMIFS('📅 Resumen Diario'!$D$5:$D$504, '📅 Resumen Diario'!$B$5:$B$504, B4486, '📅 Resumen Diario'!$C$5:$C$504, D4486) * SUMIFS('📅 Resumen Diario'!$K$5:$K$504, '📅 Resumen Diario'!$B$5:$B$504, B4486, '📅 Resumen Diario'!$C$5:$C$504, D4486), 0))</f>
        <v/>
      </c>
      <c r="M4486" s="31" t="str">
        <f t="shared" si="486"/>
        <v/>
      </c>
      <c r="N4486" s="31" t="str">
        <f t="shared" si="487"/>
        <v/>
      </c>
      <c r="O4486" s="31" t="str">
        <f>IF(OR(B4486="",C4486=""),"",K4486-N4486 + IFERROR(E4486 / SUMIFS('📅 Resumen Diario'!$D$5:$D$504, '📅 Resumen Diario'!$B$5:$B$504, B4486, '📅 Resumen Diario'!$C$5:$C$504, D4486) * (SUMIFS('📋 Detalle Diario'!$E$5:$E$489, '📋 Detalle Diario'!$B$5:$B$489, B4486, '📋 Detalle Diario'!$C$5:$C$489, D4486) * 135 + SUMIFS('📋 Detalle Diario'!$I$5:$I$489, '📋 Detalle Diario'!$B$5:$B$489, B4486, '📋 Detalle Diario'!$C$5:$C$489, D4486) * 200), 0))</f>
        <v/>
      </c>
      <c r="P4486" s="32" t="str">
        <f t="shared" si="488"/>
        <v/>
      </c>
      <c r="Q4486" s="33" t="str">
        <f t="shared" si="489"/>
        <v/>
      </c>
    </row>
    <row r="4487" spans="2:17" ht="18" customHeight="1" x14ac:dyDescent="0.3">
      <c r="B4487" s="26"/>
      <c r="C4487" s="28"/>
      <c r="D4487" s="27"/>
      <c r="E4487" s="29"/>
      <c r="F4487" s="29"/>
      <c r="G4487" s="29"/>
      <c r="H4487" s="30" t="str">
        <f t="shared" ref="H4487:H4550" si="490">IF(OR(B4487="",C4487=""),"",F4487+G4487)</f>
        <v/>
      </c>
      <c r="I4487" s="31" t="str">
        <f>IF(OR(B4487="",C4487=""),"",IFERROR(E4487*IF(E4487="",0,VLOOKUP(C4487,'📦 Precios Proforma'!$B$5:$D$104,IF(D4487="DIA",2,3),FALSE)),0))</f>
        <v/>
      </c>
      <c r="J4487" s="31" t="str">
        <f t="shared" ref="J4487:J4550" si="491">IF(OR(B4487="",C4487=""),"",IF(D4487="DIA",H4487*1.01,H4487*1.35))</f>
        <v/>
      </c>
      <c r="K4487" s="31" t="str">
        <f t="shared" ref="K4487:K4550" si="492">IF(OR(B4487="",C4487=""),"",I4487+J4487)</f>
        <v/>
      </c>
      <c r="L4487" s="31" t="str">
        <f>IF(OR(B4487="",C4487=""),"",IFERROR(E4487 / SUMIFS('📅 Resumen Diario'!$D$5:$D$504, '📅 Resumen Diario'!$B$5:$B$504, B4487, '📅 Resumen Diario'!$C$5:$C$504, D4487) * SUMIFS('📅 Resumen Diario'!$K$5:$K$504, '📅 Resumen Diario'!$B$5:$B$504, B4487, '📅 Resumen Diario'!$C$5:$C$504, D4487), 0))</f>
        <v/>
      </c>
      <c r="M4487" s="31" t="str">
        <f t="shared" ref="M4487:M4550" si="493">IF(OR(B4487="",C4487=""),"",H4487*0.09)</f>
        <v/>
      </c>
      <c r="N4487" s="31" t="str">
        <f t="shared" ref="N4487:N4550" si="494">IF(OR(B4487="",C4487=""),"",L4487+M4487)</f>
        <v/>
      </c>
      <c r="O4487" s="31" t="str">
        <f>IF(OR(B4487="",C4487=""),"",K4487-N4487 + IFERROR(E4487 / SUMIFS('📅 Resumen Diario'!$D$5:$D$504, '📅 Resumen Diario'!$B$5:$B$504, B4487, '📅 Resumen Diario'!$C$5:$C$504, D4487) * (SUMIFS('📋 Detalle Diario'!$E$5:$E$489, '📋 Detalle Diario'!$B$5:$B$489, B4487, '📋 Detalle Diario'!$C$5:$C$489, D4487) * 135 + SUMIFS('📋 Detalle Diario'!$I$5:$I$489, '📋 Detalle Diario'!$B$5:$B$489, B4487, '📋 Detalle Diario'!$C$5:$C$489, D4487) * 200), 0))</f>
        <v/>
      </c>
      <c r="P4487" s="32" t="str">
        <f t="shared" ref="P4487:P4550" si="495">IF(OR(B4487="",C4487=""),"",IF(K4487=0, 0, O4487/K4487))</f>
        <v/>
      </c>
      <c r="Q4487" s="33" t="str">
        <f t="shared" ref="Q4487:Q4550" si="496">IF(B4487="","",IF(ISNUMBER(B4487),YEAR(B4487)&amp;"-"&amp;IF(MONTH(B4487)&lt;10,"0","")&amp;MONTH(B4487),LEFT(B4487,7)))</f>
        <v/>
      </c>
    </row>
    <row r="4488" spans="2:17" ht="18" customHeight="1" x14ac:dyDescent="0.3">
      <c r="B4488" s="26"/>
      <c r="C4488" s="17"/>
      <c r="D4488" s="27"/>
      <c r="E4488" s="18"/>
      <c r="F4488" s="18"/>
      <c r="G4488" s="18"/>
      <c r="H4488" s="30" t="str">
        <f t="shared" si="490"/>
        <v/>
      </c>
      <c r="I4488" s="31" t="str">
        <f>IF(OR(B4488="",C4488=""),"",IFERROR(E4488*IF(E4488="",0,VLOOKUP(C4488,'📦 Precios Proforma'!$B$5:$D$104,IF(D4488="DIA",2,3),FALSE)),0))</f>
        <v/>
      </c>
      <c r="J4488" s="31" t="str">
        <f t="shared" si="491"/>
        <v/>
      </c>
      <c r="K4488" s="31" t="str">
        <f t="shared" si="492"/>
        <v/>
      </c>
      <c r="L4488" s="31" t="str">
        <f>IF(OR(B4488="",C4488=""),"",IFERROR(E4488 / SUMIFS('📅 Resumen Diario'!$D$5:$D$504, '📅 Resumen Diario'!$B$5:$B$504, B4488, '📅 Resumen Diario'!$C$5:$C$504, D4488) * SUMIFS('📅 Resumen Diario'!$K$5:$K$504, '📅 Resumen Diario'!$B$5:$B$504, B4488, '📅 Resumen Diario'!$C$5:$C$504, D4488), 0))</f>
        <v/>
      </c>
      <c r="M4488" s="31" t="str">
        <f t="shared" si="493"/>
        <v/>
      </c>
      <c r="N4488" s="31" t="str">
        <f t="shared" si="494"/>
        <v/>
      </c>
      <c r="O4488" s="31" t="str">
        <f>IF(OR(B4488="",C4488=""),"",K4488-N4488 + IFERROR(E4488 / SUMIFS('📅 Resumen Diario'!$D$5:$D$504, '📅 Resumen Diario'!$B$5:$B$504, B4488, '📅 Resumen Diario'!$C$5:$C$504, D4488) * (SUMIFS('📋 Detalle Diario'!$E$5:$E$489, '📋 Detalle Diario'!$B$5:$B$489, B4488, '📋 Detalle Diario'!$C$5:$C$489, D4488) * 135 + SUMIFS('📋 Detalle Diario'!$I$5:$I$489, '📋 Detalle Diario'!$B$5:$B$489, B4488, '📋 Detalle Diario'!$C$5:$C$489, D4488) * 200), 0))</f>
        <v/>
      </c>
      <c r="P4488" s="32" t="str">
        <f t="shared" si="495"/>
        <v/>
      </c>
      <c r="Q4488" s="33" t="str">
        <f t="shared" si="496"/>
        <v/>
      </c>
    </row>
    <row r="4489" spans="2:17" ht="18" customHeight="1" x14ac:dyDescent="0.3">
      <c r="B4489" s="26"/>
      <c r="C4489" s="28"/>
      <c r="D4489" s="27"/>
      <c r="E4489" s="29"/>
      <c r="F4489" s="29"/>
      <c r="G4489" s="29"/>
      <c r="H4489" s="30" t="str">
        <f t="shared" si="490"/>
        <v/>
      </c>
      <c r="I4489" s="31" t="str">
        <f>IF(OR(B4489="",C4489=""),"",IFERROR(E4489*IF(E4489="",0,VLOOKUP(C4489,'📦 Precios Proforma'!$B$5:$D$104,IF(D4489="DIA",2,3),FALSE)),0))</f>
        <v/>
      </c>
      <c r="J4489" s="31" t="str">
        <f t="shared" si="491"/>
        <v/>
      </c>
      <c r="K4489" s="31" t="str">
        <f t="shared" si="492"/>
        <v/>
      </c>
      <c r="L4489" s="31" t="str">
        <f>IF(OR(B4489="",C4489=""),"",IFERROR(E4489 / SUMIFS('📅 Resumen Diario'!$D$5:$D$504, '📅 Resumen Diario'!$B$5:$B$504, B4489, '📅 Resumen Diario'!$C$5:$C$504, D4489) * SUMIFS('📅 Resumen Diario'!$K$5:$K$504, '📅 Resumen Diario'!$B$5:$B$504, B4489, '📅 Resumen Diario'!$C$5:$C$504, D4489), 0))</f>
        <v/>
      </c>
      <c r="M4489" s="31" t="str">
        <f t="shared" si="493"/>
        <v/>
      </c>
      <c r="N4489" s="31" t="str">
        <f t="shared" si="494"/>
        <v/>
      </c>
      <c r="O4489" s="31" t="str">
        <f>IF(OR(B4489="",C4489=""),"",K4489-N4489 + IFERROR(E4489 / SUMIFS('📅 Resumen Diario'!$D$5:$D$504, '📅 Resumen Diario'!$B$5:$B$504, B4489, '📅 Resumen Diario'!$C$5:$C$504, D4489) * (SUMIFS('📋 Detalle Diario'!$E$5:$E$489, '📋 Detalle Diario'!$B$5:$B$489, B4489, '📋 Detalle Diario'!$C$5:$C$489, D4489) * 135 + SUMIFS('📋 Detalle Diario'!$I$5:$I$489, '📋 Detalle Diario'!$B$5:$B$489, B4489, '📋 Detalle Diario'!$C$5:$C$489, D4489) * 200), 0))</f>
        <v/>
      </c>
      <c r="P4489" s="32" t="str">
        <f t="shared" si="495"/>
        <v/>
      </c>
      <c r="Q4489" s="33" t="str">
        <f t="shared" si="496"/>
        <v/>
      </c>
    </row>
    <row r="4490" spans="2:17" ht="18" customHeight="1" x14ac:dyDescent="0.3">
      <c r="B4490" s="26"/>
      <c r="C4490" s="17"/>
      <c r="D4490" s="27"/>
      <c r="E4490" s="18"/>
      <c r="F4490" s="18"/>
      <c r="G4490" s="18"/>
      <c r="H4490" s="30" t="str">
        <f t="shared" si="490"/>
        <v/>
      </c>
      <c r="I4490" s="31" t="str">
        <f>IF(OR(B4490="",C4490=""),"",IFERROR(E4490*IF(E4490="",0,VLOOKUP(C4490,'📦 Precios Proforma'!$B$5:$D$104,IF(D4490="DIA",2,3),FALSE)),0))</f>
        <v/>
      </c>
      <c r="J4490" s="31" t="str">
        <f t="shared" si="491"/>
        <v/>
      </c>
      <c r="K4490" s="31" t="str">
        <f t="shared" si="492"/>
        <v/>
      </c>
      <c r="L4490" s="31" t="str">
        <f>IF(OR(B4490="",C4490=""),"",IFERROR(E4490 / SUMIFS('📅 Resumen Diario'!$D$5:$D$504, '📅 Resumen Diario'!$B$5:$B$504, B4490, '📅 Resumen Diario'!$C$5:$C$504, D4490) * SUMIFS('📅 Resumen Diario'!$K$5:$K$504, '📅 Resumen Diario'!$B$5:$B$504, B4490, '📅 Resumen Diario'!$C$5:$C$504, D4490), 0))</f>
        <v/>
      </c>
      <c r="M4490" s="31" t="str">
        <f t="shared" si="493"/>
        <v/>
      </c>
      <c r="N4490" s="31" t="str">
        <f t="shared" si="494"/>
        <v/>
      </c>
      <c r="O4490" s="31" t="str">
        <f>IF(OR(B4490="",C4490=""),"",K4490-N4490 + IFERROR(E4490 / SUMIFS('📅 Resumen Diario'!$D$5:$D$504, '📅 Resumen Diario'!$B$5:$B$504, B4490, '📅 Resumen Diario'!$C$5:$C$504, D4490) * (SUMIFS('📋 Detalle Diario'!$E$5:$E$489, '📋 Detalle Diario'!$B$5:$B$489, B4490, '📋 Detalle Diario'!$C$5:$C$489, D4490) * 135 + SUMIFS('📋 Detalle Diario'!$I$5:$I$489, '📋 Detalle Diario'!$B$5:$B$489, B4490, '📋 Detalle Diario'!$C$5:$C$489, D4490) * 200), 0))</f>
        <v/>
      </c>
      <c r="P4490" s="32" t="str">
        <f t="shared" si="495"/>
        <v/>
      </c>
      <c r="Q4490" s="33" t="str">
        <f t="shared" si="496"/>
        <v/>
      </c>
    </row>
    <row r="4491" spans="2:17" ht="18" customHeight="1" x14ac:dyDescent="0.3">
      <c r="B4491" s="26"/>
      <c r="C4491" s="28"/>
      <c r="D4491" s="27"/>
      <c r="E4491" s="29"/>
      <c r="F4491" s="29"/>
      <c r="G4491" s="29"/>
      <c r="H4491" s="30" t="str">
        <f t="shared" si="490"/>
        <v/>
      </c>
      <c r="I4491" s="31" t="str">
        <f>IF(OR(B4491="",C4491=""),"",IFERROR(E4491*IF(E4491="",0,VLOOKUP(C4491,'📦 Precios Proforma'!$B$5:$D$104,IF(D4491="DIA",2,3),FALSE)),0))</f>
        <v/>
      </c>
      <c r="J4491" s="31" t="str">
        <f t="shared" si="491"/>
        <v/>
      </c>
      <c r="K4491" s="31" t="str">
        <f t="shared" si="492"/>
        <v/>
      </c>
      <c r="L4491" s="31" t="str">
        <f>IF(OR(B4491="",C4491=""),"",IFERROR(E4491 / SUMIFS('📅 Resumen Diario'!$D$5:$D$504, '📅 Resumen Diario'!$B$5:$B$504, B4491, '📅 Resumen Diario'!$C$5:$C$504, D4491) * SUMIFS('📅 Resumen Diario'!$K$5:$K$504, '📅 Resumen Diario'!$B$5:$B$504, B4491, '📅 Resumen Diario'!$C$5:$C$504, D4491), 0))</f>
        <v/>
      </c>
      <c r="M4491" s="31" t="str">
        <f t="shared" si="493"/>
        <v/>
      </c>
      <c r="N4491" s="31" t="str">
        <f t="shared" si="494"/>
        <v/>
      </c>
      <c r="O4491" s="31" t="str">
        <f>IF(OR(B4491="",C4491=""),"",K4491-N4491 + IFERROR(E4491 / SUMIFS('📅 Resumen Diario'!$D$5:$D$504, '📅 Resumen Diario'!$B$5:$B$504, B4491, '📅 Resumen Diario'!$C$5:$C$504, D4491) * (SUMIFS('📋 Detalle Diario'!$E$5:$E$489, '📋 Detalle Diario'!$B$5:$B$489, B4491, '📋 Detalle Diario'!$C$5:$C$489, D4491) * 135 + SUMIFS('📋 Detalle Diario'!$I$5:$I$489, '📋 Detalle Diario'!$B$5:$B$489, B4491, '📋 Detalle Diario'!$C$5:$C$489, D4491) * 200), 0))</f>
        <v/>
      </c>
      <c r="P4491" s="32" t="str">
        <f t="shared" si="495"/>
        <v/>
      </c>
      <c r="Q4491" s="33" t="str">
        <f t="shared" si="496"/>
        <v/>
      </c>
    </row>
    <row r="4492" spans="2:17" ht="18" customHeight="1" x14ac:dyDescent="0.3">
      <c r="B4492" s="26"/>
      <c r="C4492" s="17"/>
      <c r="D4492" s="27"/>
      <c r="E4492" s="18"/>
      <c r="F4492" s="18"/>
      <c r="G4492" s="18"/>
      <c r="H4492" s="30" t="str">
        <f t="shared" si="490"/>
        <v/>
      </c>
      <c r="I4492" s="31" t="str">
        <f>IF(OR(B4492="",C4492=""),"",IFERROR(E4492*IF(E4492="",0,VLOOKUP(C4492,'📦 Precios Proforma'!$B$5:$D$104,IF(D4492="DIA",2,3),FALSE)),0))</f>
        <v/>
      </c>
      <c r="J4492" s="31" t="str">
        <f t="shared" si="491"/>
        <v/>
      </c>
      <c r="K4492" s="31" t="str">
        <f t="shared" si="492"/>
        <v/>
      </c>
      <c r="L4492" s="31" t="str">
        <f>IF(OR(B4492="",C4492=""),"",IFERROR(E4492 / SUMIFS('📅 Resumen Diario'!$D$5:$D$504, '📅 Resumen Diario'!$B$5:$B$504, B4492, '📅 Resumen Diario'!$C$5:$C$504, D4492) * SUMIFS('📅 Resumen Diario'!$K$5:$K$504, '📅 Resumen Diario'!$B$5:$B$504, B4492, '📅 Resumen Diario'!$C$5:$C$504, D4492), 0))</f>
        <v/>
      </c>
      <c r="M4492" s="31" t="str">
        <f t="shared" si="493"/>
        <v/>
      </c>
      <c r="N4492" s="31" t="str">
        <f t="shared" si="494"/>
        <v/>
      </c>
      <c r="O4492" s="31" t="str">
        <f>IF(OR(B4492="",C4492=""),"",K4492-N4492 + IFERROR(E4492 / SUMIFS('📅 Resumen Diario'!$D$5:$D$504, '📅 Resumen Diario'!$B$5:$B$504, B4492, '📅 Resumen Diario'!$C$5:$C$504, D4492) * (SUMIFS('📋 Detalle Diario'!$E$5:$E$489, '📋 Detalle Diario'!$B$5:$B$489, B4492, '📋 Detalle Diario'!$C$5:$C$489, D4492) * 135 + SUMIFS('📋 Detalle Diario'!$I$5:$I$489, '📋 Detalle Diario'!$B$5:$B$489, B4492, '📋 Detalle Diario'!$C$5:$C$489, D4492) * 200), 0))</f>
        <v/>
      </c>
      <c r="P4492" s="32" t="str">
        <f t="shared" si="495"/>
        <v/>
      </c>
      <c r="Q4492" s="33" t="str">
        <f t="shared" si="496"/>
        <v/>
      </c>
    </row>
    <row r="4493" spans="2:17" ht="18" customHeight="1" x14ac:dyDescent="0.3">
      <c r="B4493" s="26"/>
      <c r="C4493" s="28"/>
      <c r="D4493" s="27"/>
      <c r="E4493" s="29"/>
      <c r="F4493" s="29"/>
      <c r="G4493" s="29"/>
      <c r="H4493" s="30" t="str">
        <f t="shared" si="490"/>
        <v/>
      </c>
      <c r="I4493" s="31" t="str">
        <f>IF(OR(B4493="",C4493=""),"",IFERROR(E4493*IF(E4493="",0,VLOOKUP(C4493,'📦 Precios Proforma'!$B$5:$D$104,IF(D4493="DIA",2,3),FALSE)),0))</f>
        <v/>
      </c>
      <c r="J4493" s="31" t="str">
        <f t="shared" si="491"/>
        <v/>
      </c>
      <c r="K4493" s="31" t="str">
        <f t="shared" si="492"/>
        <v/>
      </c>
      <c r="L4493" s="31" t="str">
        <f>IF(OR(B4493="",C4493=""),"",IFERROR(E4493 / SUMIFS('📅 Resumen Diario'!$D$5:$D$504, '📅 Resumen Diario'!$B$5:$B$504, B4493, '📅 Resumen Diario'!$C$5:$C$504, D4493) * SUMIFS('📅 Resumen Diario'!$K$5:$K$504, '📅 Resumen Diario'!$B$5:$B$504, B4493, '📅 Resumen Diario'!$C$5:$C$504, D4493), 0))</f>
        <v/>
      </c>
      <c r="M4493" s="31" t="str">
        <f t="shared" si="493"/>
        <v/>
      </c>
      <c r="N4493" s="31" t="str">
        <f t="shared" si="494"/>
        <v/>
      </c>
      <c r="O4493" s="31" t="str">
        <f>IF(OR(B4493="",C4493=""),"",K4493-N4493 + IFERROR(E4493 / SUMIFS('📅 Resumen Diario'!$D$5:$D$504, '📅 Resumen Diario'!$B$5:$B$504, B4493, '📅 Resumen Diario'!$C$5:$C$504, D4493) * (SUMIFS('📋 Detalle Diario'!$E$5:$E$489, '📋 Detalle Diario'!$B$5:$B$489, B4493, '📋 Detalle Diario'!$C$5:$C$489, D4493) * 135 + SUMIFS('📋 Detalle Diario'!$I$5:$I$489, '📋 Detalle Diario'!$B$5:$B$489, B4493, '📋 Detalle Diario'!$C$5:$C$489, D4493) * 200), 0))</f>
        <v/>
      </c>
      <c r="P4493" s="32" t="str">
        <f t="shared" si="495"/>
        <v/>
      </c>
      <c r="Q4493" s="33" t="str">
        <f t="shared" si="496"/>
        <v/>
      </c>
    </row>
    <row r="4494" spans="2:17" ht="18" customHeight="1" x14ac:dyDescent="0.3">
      <c r="B4494" s="26"/>
      <c r="C4494" s="17"/>
      <c r="D4494" s="27"/>
      <c r="E4494" s="18"/>
      <c r="F4494" s="18"/>
      <c r="G4494" s="18"/>
      <c r="H4494" s="30" t="str">
        <f t="shared" si="490"/>
        <v/>
      </c>
      <c r="I4494" s="31" t="str">
        <f>IF(OR(B4494="",C4494=""),"",IFERROR(E4494*IF(E4494="",0,VLOOKUP(C4494,'📦 Precios Proforma'!$B$5:$D$104,IF(D4494="DIA",2,3),FALSE)),0))</f>
        <v/>
      </c>
      <c r="J4494" s="31" t="str">
        <f t="shared" si="491"/>
        <v/>
      </c>
      <c r="K4494" s="31" t="str">
        <f t="shared" si="492"/>
        <v/>
      </c>
      <c r="L4494" s="31" t="str">
        <f>IF(OR(B4494="",C4494=""),"",IFERROR(E4494 / SUMIFS('📅 Resumen Diario'!$D$5:$D$504, '📅 Resumen Diario'!$B$5:$B$504, B4494, '📅 Resumen Diario'!$C$5:$C$504, D4494) * SUMIFS('📅 Resumen Diario'!$K$5:$K$504, '📅 Resumen Diario'!$B$5:$B$504, B4494, '📅 Resumen Diario'!$C$5:$C$504, D4494), 0))</f>
        <v/>
      </c>
      <c r="M4494" s="31" t="str">
        <f t="shared" si="493"/>
        <v/>
      </c>
      <c r="N4494" s="31" t="str">
        <f t="shared" si="494"/>
        <v/>
      </c>
      <c r="O4494" s="31" t="str">
        <f>IF(OR(B4494="",C4494=""),"",K4494-N4494 + IFERROR(E4494 / SUMIFS('📅 Resumen Diario'!$D$5:$D$504, '📅 Resumen Diario'!$B$5:$B$504, B4494, '📅 Resumen Diario'!$C$5:$C$504, D4494) * (SUMIFS('📋 Detalle Diario'!$E$5:$E$489, '📋 Detalle Diario'!$B$5:$B$489, B4494, '📋 Detalle Diario'!$C$5:$C$489, D4494) * 135 + SUMIFS('📋 Detalle Diario'!$I$5:$I$489, '📋 Detalle Diario'!$B$5:$B$489, B4494, '📋 Detalle Diario'!$C$5:$C$489, D4494) * 200), 0))</f>
        <v/>
      </c>
      <c r="P4494" s="32" t="str">
        <f t="shared" si="495"/>
        <v/>
      </c>
      <c r="Q4494" s="33" t="str">
        <f t="shared" si="496"/>
        <v/>
      </c>
    </row>
    <row r="4495" spans="2:17" ht="18" customHeight="1" x14ac:dyDescent="0.3">
      <c r="B4495" s="26"/>
      <c r="C4495" s="28"/>
      <c r="D4495" s="27"/>
      <c r="E4495" s="29"/>
      <c r="F4495" s="29"/>
      <c r="G4495" s="29"/>
      <c r="H4495" s="30" t="str">
        <f t="shared" si="490"/>
        <v/>
      </c>
      <c r="I4495" s="31" t="str">
        <f>IF(OR(B4495="",C4495=""),"",IFERROR(E4495*IF(E4495="",0,VLOOKUP(C4495,'📦 Precios Proforma'!$B$5:$D$104,IF(D4495="DIA",2,3),FALSE)),0))</f>
        <v/>
      </c>
      <c r="J4495" s="31" t="str">
        <f t="shared" si="491"/>
        <v/>
      </c>
      <c r="K4495" s="31" t="str">
        <f t="shared" si="492"/>
        <v/>
      </c>
      <c r="L4495" s="31" t="str">
        <f>IF(OR(B4495="",C4495=""),"",IFERROR(E4495 / SUMIFS('📅 Resumen Diario'!$D$5:$D$504, '📅 Resumen Diario'!$B$5:$B$504, B4495, '📅 Resumen Diario'!$C$5:$C$504, D4495) * SUMIFS('📅 Resumen Diario'!$K$5:$K$504, '📅 Resumen Diario'!$B$5:$B$504, B4495, '📅 Resumen Diario'!$C$5:$C$504, D4495), 0))</f>
        <v/>
      </c>
      <c r="M4495" s="31" t="str">
        <f t="shared" si="493"/>
        <v/>
      </c>
      <c r="N4495" s="31" t="str">
        <f t="shared" si="494"/>
        <v/>
      </c>
      <c r="O4495" s="31" t="str">
        <f>IF(OR(B4495="",C4495=""),"",K4495-N4495 + IFERROR(E4495 / SUMIFS('📅 Resumen Diario'!$D$5:$D$504, '📅 Resumen Diario'!$B$5:$B$504, B4495, '📅 Resumen Diario'!$C$5:$C$504, D4495) * (SUMIFS('📋 Detalle Diario'!$E$5:$E$489, '📋 Detalle Diario'!$B$5:$B$489, B4495, '📋 Detalle Diario'!$C$5:$C$489, D4495) * 135 + SUMIFS('📋 Detalle Diario'!$I$5:$I$489, '📋 Detalle Diario'!$B$5:$B$489, B4495, '📋 Detalle Diario'!$C$5:$C$489, D4495) * 200), 0))</f>
        <v/>
      </c>
      <c r="P4495" s="32" t="str">
        <f t="shared" si="495"/>
        <v/>
      </c>
      <c r="Q4495" s="33" t="str">
        <f t="shared" si="496"/>
        <v/>
      </c>
    </row>
    <row r="4496" spans="2:17" ht="18" customHeight="1" x14ac:dyDescent="0.3">
      <c r="B4496" s="26"/>
      <c r="C4496" s="17"/>
      <c r="D4496" s="27"/>
      <c r="E4496" s="18"/>
      <c r="F4496" s="18"/>
      <c r="G4496" s="18"/>
      <c r="H4496" s="30" t="str">
        <f t="shared" si="490"/>
        <v/>
      </c>
      <c r="I4496" s="31" t="str">
        <f>IF(OR(B4496="",C4496=""),"",IFERROR(E4496*IF(E4496="",0,VLOOKUP(C4496,'📦 Precios Proforma'!$B$5:$D$104,IF(D4496="DIA",2,3),FALSE)),0))</f>
        <v/>
      </c>
      <c r="J4496" s="31" t="str">
        <f t="shared" si="491"/>
        <v/>
      </c>
      <c r="K4496" s="31" t="str">
        <f t="shared" si="492"/>
        <v/>
      </c>
      <c r="L4496" s="31" t="str">
        <f>IF(OR(B4496="",C4496=""),"",IFERROR(E4496 / SUMIFS('📅 Resumen Diario'!$D$5:$D$504, '📅 Resumen Diario'!$B$5:$B$504, B4496, '📅 Resumen Diario'!$C$5:$C$504, D4496) * SUMIFS('📅 Resumen Diario'!$K$5:$K$504, '📅 Resumen Diario'!$B$5:$B$504, B4496, '📅 Resumen Diario'!$C$5:$C$504, D4496), 0))</f>
        <v/>
      </c>
      <c r="M4496" s="31" t="str">
        <f t="shared" si="493"/>
        <v/>
      </c>
      <c r="N4496" s="31" t="str">
        <f t="shared" si="494"/>
        <v/>
      </c>
      <c r="O4496" s="31" t="str">
        <f>IF(OR(B4496="",C4496=""),"",K4496-N4496 + IFERROR(E4496 / SUMIFS('📅 Resumen Diario'!$D$5:$D$504, '📅 Resumen Diario'!$B$5:$B$504, B4496, '📅 Resumen Diario'!$C$5:$C$504, D4496) * (SUMIFS('📋 Detalle Diario'!$E$5:$E$489, '📋 Detalle Diario'!$B$5:$B$489, B4496, '📋 Detalle Diario'!$C$5:$C$489, D4496) * 135 + SUMIFS('📋 Detalle Diario'!$I$5:$I$489, '📋 Detalle Diario'!$B$5:$B$489, B4496, '📋 Detalle Diario'!$C$5:$C$489, D4496) * 200), 0))</f>
        <v/>
      </c>
      <c r="P4496" s="32" t="str">
        <f t="shared" si="495"/>
        <v/>
      </c>
      <c r="Q4496" s="33" t="str">
        <f t="shared" si="496"/>
        <v/>
      </c>
    </row>
    <row r="4497" spans="2:17" ht="18" customHeight="1" x14ac:dyDescent="0.3">
      <c r="B4497" s="26"/>
      <c r="C4497" s="28"/>
      <c r="D4497" s="27"/>
      <c r="E4497" s="29"/>
      <c r="F4497" s="29"/>
      <c r="G4497" s="29"/>
      <c r="H4497" s="30" t="str">
        <f t="shared" si="490"/>
        <v/>
      </c>
      <c r="I4497" s="31" t="str">
        <f>IF(OR(B4497="",C4497=""),"",IFERROR(E4497*IF(E4497="",0,VLOOKUP(C4497,'📦 Precios Proforma'!$B$5:$D$104,IF(D4497="DIA",2,3),FALSE)),0))</f>
        <v/>
      </c>
      <c r="J4497" s="31" t="str">
        <f t="shared" si="491"/>
        <v/>
      </c>
      <c r="K4497" s="31" t="str">
        <f t="shared" si="492"/>
        <v/>
      </c>
      <c r="L4497" s="31" t="str">
        <f>IF(OR(B4497="",C4497=""),"",IFERROR(E4497 / SUMIFS('📅 Resumen Diario'!$D$5:$D$504, '📅 Resumen Diario'!$B$5:$B$504, B4497, '📅 Resumen Diario'!$C$5:$C$504, D4497) * SUMIFS('📅 Resumen Diario'!$K$5:$K$504, '📅 Resumen Diario'!$B$5:$B$504, B4497, '📅 Resumen Diario'!$C$5:$C$504, D4497), 0))</f>
        <v/>
      </c>
      <c r="M4497" s="31" t="str">
        <f t="shared" si="493"/>
        <v/>
      </c>
      <c r="N4497" s="31" t="str">
        <f t="shared" si="494"/>
        <v/>
      </c>
      <c r="O4497" s="31" t="str">
        <f>IF(OR(B4497="",C4497=""),"",K4497-N4497 + IFERROR(E4497 / SUMIFS('📅 Resumen Diario'!$D$5:$D$504, '📅 Resumen Diario'!$B$5:$B$504, B4497, '📅 Resumen Diario'!$C$5:$C$504, D4497) * (SUMIFS('📋 Detalle Diario'!$E$5:$E$489, '📋 Detalle Diario'!$B$5:$B$489, B4497, '📋 Detalle Diario'!$C$5:$C$489, D4497) * 135 + SUMIFS('📋 Detalle Diario'!$I$5:$I$489, '📋 Detalle Diario'!$B$5:$B$489, B4497, '📋 Detalle Diario'!$C$5:$C$489, D4497) * 200), 0))</f>
        <v/>
      </c>
      <c r="P4497" s="32" t="str">
        <f t="shared" si="495"/>
        <v/>
      </c>
      <c r="Q4497" s="33" t="str">
        <f t="shared" si="496"/>
        <v/>
      </c>
    </row>
    <row r="4498" spans="2:17" ht="18" customHeight="1" x14ac:dyDescent="0.3">
      <c r="B4498" s="26"/>
      <c r="C4498" s="17"/>
      <c r="D4498" s="27"/>
      <c r="E4498" s="18"/>
      <c r="F4498" s="18"/>
      <c r="G4498" s="18"/>
      <c r="H4498" s="30" t="str">
        <f t="shared" si="490"/>
        <v/>
      </c>
      <c r="I4498" s="31" t="str">
        <f>IF(OR(B4498="",C4498=""),"",IFERROR(E4498*IF(E4498="",0,VLOOKUP(C4498,'📦 Precios Proforma'!$B$5:$D$104,IF(D4498="DIA",2,3),FALSE)),0))</f>
        <v/>
      </c>
      <c r="J4498" s="31" t="str">
        <f t="shared" si="491"/>
        <v/>
      </c>
      <c r="K4498" s="31" t="str">
        <f t="shared" si="492"/>
        <v/>
      </c>
      <c r="L4498" s="31" t="str">
        <f>IF(OR(B4498="",C4498=""),"",IFERROR(E4498 / SUMIFS('📅 Resumen Diario'!$D$5:$D$504, '📅 Resumen Diario'!$B$5:$B$504, B4498, '📅 Resumen Diario'!$C$5:$C$504, D4498) * SUMIFS('📅 Resumen Diario'!$K$5:$K$504, '📅 Resumen Diario'!$B$5:$B$504, B4498, '📅 Resumen Diario'!$C$5:$C$504, D4498), 0))</f>
        <v/>
      </c>
      <c r="M4498" s="31" t="str">
        <f t="shared" si="493"/>
        <v/>
      </c>
      <c r="N4498" s="31" t="str">
        <f t="shared" si="494"/>
        <v/>
      </c>
      <c r="O4498" s="31" t="str">
        <f>IF(OR(B4498="",C4498=""),"",K4498-N4498 + IFERROR(E4498 / SUMIFS('📅 Resumen Diario'!$D$5:$D$504, '📅 Resumen Diario'!$B$5:$B$504, B4498, '📅 Resumen Diario'!$C$5:$C$504, D4498) * (SUMIFS('📋 Detalle Diario'!$E$5:$E$489, '📋 Detalle Diario'!$B$5:$B$489, B4498, '📋 Detalle Diario'!$C$5:$C$489, D4498) * 135 + SUMIFS('📋 Detalle Diario'!$I$5:$I$489, '📋 Detalle Diario'!$B$5:$B$489, B4498, '📋 Detalle Diario'!$C$5:$C$489, D4498) * 200), 0))</f>
        <v/>
      </c>
      <c r="P4498" s="32" t="str">
        <f t="shared" si="495"/>
        <v/>
      </c>
      <c r="Q4498" s="33" t="str">
        <f t="shared" si="496"/>
        <v/>
      </c>
    </row>
    <row r="4499" spans="2:17" ht="18" customHeight="1" x14ac:dyDescent="0.3">
      <c r="B4499" s="26"/>
      <c r="C4499" s="28"/>
      <c r="D4499" s="27"/>
      <c r="E4499" s="29"/>
      <c r="F4499" s="29"/>
      <c r="G4499" s="29"/>
      <c r="H4499" s="30" t="str">
        <f t="shared" si="490"/>
        <v/>
      </c>
      <c r="I4499" s="31" t="str">
        <f>IF(OR(B4499="",C4499=""),"",IFERROR(E4499*IF(E4499="",0,VLOOKUP(C4499,'📦 Precios Proforma'!$B$5:$D$104,IF(D4499="DIA",2,3),FALSE)),0))</f>
        <v/>
      </c>
      <c r="J4499" s="31" t="str">
        <f t="shared" si="491"/>
        <v/>
      </c>
      <c r="K4499" s="31" t="str">
        <f t="shared" si="492"/>
        <v/>
      </c>
      <c r="L4499" s="31" t="str">
        <f>IF(OR(B4499="",C4499=""),"",IFERROR(E4499 / SUMIFS('📅 Resumen Diario'!$D$5:$D$504, '📅 Resumen Diario'!$B$5:$B$504, B4499, '📅 Resumen Diario'!$C$5:$C$504, D4499) * SUMIFS('📅 Resumen Diario'!$K$5:$K$504, '📅 Resumen Diario'!$B$5:$B$504, B4499, '📅 Resumen Diario'!$C$5:$C$504, D4499), 0))</f>
        <v/>
      </c>
      <c r="M4499" s="31" t="str">
        <f t="shared" si="493"/>
        <v/>
      </c>
      <c r="N4499" s="31" t="str">
        <f t="shared" si="494"/>
        <v/>
      </c>
      <c r="O4499" s="31" t="str">
        <f>IF(OR(B4499="",C4499=""),"",K4499-N4499 + IFERROR(E4499 / SUMIFS('📅 Resumen Diario'!$D$5:$D$504, '📅 Resumen Diario'!$B$5:$B$504, B4499, '📅 Resumen Diario'!$C$5:$C$504, D4499) * (SUMIFS('📋 Detalle Diario'!$E$5:$E$489, '📋 Detalle Diario'!$B$5:$B$489, B4499, '📋 Detalle Diario'!$C$5:$C$489, D4499) * 135 + SUMIFS('📋 Detalle Diario'!$I$5:$I$489, '📋 Detalle Diario'!$B$5:$B$489, B4499, '📋 Detalle Diario'!$C$5:$C$489, D4499) * 200), 0))</f>
        <v/>
      </c>
      <c r="P4499" s="32" t="str">
        <f t="shared" si="495"/>
        <v/>
      </c>
      <c r="Q4499" s="33" t="str">
        <f t="shared" si="496"/>
        <v/>
      </c>
    </row>
    <row r="4500" spans="2:17" ht="18" customHeight="1" x14ac:dyDescent="0.3">
      <c r="B4500" s="26"/>
      <c r="C4500" s="17"/>
      <c r="D4500" s="27"/>
      <c r="E4500" s="18"/>
      <c r="F4500" s="18"/>
      <c r="G4500" s="18"/>
      <c r="H4500" s="30" t="str">
        <f t="shared" si="490"/>
        <v/>
      </c>
      <c r="I4500" s="31" t="str">
        <f>IF(OR(B4500="",C4500=""),"",IFERROR(E4500*IF(E4500="",0,VLOOKUP(C4500,'📦 Precios Proforma'!$B$5:$D$104,IF(D4500="DIA",2,3),FALSE)),0))</f>
        <v/>
      </c>
      <c r="J4500" s="31" t="str">
        <f t="shared" si="491"/>
        <v/>
      </c>
      <c r="K4500" s="31" t="str">
        <f t="shared" si="492"/>
        <v/>
      </c>
      <c r="L4500" s="31" t="str">
        <f>IF(OR(B4500="",C4500=""),"",IFERROR(E4500 / SUMIFS('📅 Resumen Diario'!$D$5:$D$504, '📅 Resumen Diario'!$B$5:$B$504, B4500, '📅 Resumen Diario'!$C$5:$C$504, D4500) * SUMIFS('📅 Resumen Diario'!$K$5:$K$504, '📅 Resumen Diario'!$B$5:$B$504, B4500, '📅 Resumen Diario'!$C$5:$C$504, D4500), 0))</f>
        <v/>
      </c>
      <c r="M4500" s="31" t="str">
        <f t="shared" si="493"/>
        <v/>
      </c>
      <c r="N4500" s="31" t="str">
        <f t="shared" si="494"/>
        <v/>
      </c>
      <c r="O4500" s="31" t="str">
        <f>IF(OR(B4500="",C4500=""),"",K4500-N4500 + IFERROR(E4500 / SUMIFS('📅 Resumen Diario'!$D$5:$D$504, '📅 Resumen Diario'!$B$5:$B$504, B4500, '📅 Resumen Diario'!$C$5:$C$504, D4500) * (SUMIFS('📋 Detalle Diario'!$E$5:$E$489, '📋 Detalle Diario'!$B$5:$B$489, B4500, '📋 Detalle Diario'!$C$5:$C$489, D4500) * 135 + SUMIFS('📋 Detalle Diario'!$I$5:$I$489, '📋 Detalle Diario'!$B$5:$B$489, B4500, '📋 Detalle Diario'!$C$5:$C$489, D4500) * 200), 0))</f>
        <v/>
      </c>
      <c r="P4500" s="32" t="str">
        <f t="shared" si="495"/>
        <v/>
      </c>
      <c r="Q4500" s="33" t="str">
        <f t="shared" si="496"/>
        <v/>
      </c>
    </row>
    <row r="4501" spans="2:17" ht="18" customHeight="1" x14ac:dyDescent="0.3">
      <c r="B4501" s="26"/>
      <c r="C4501" s="28"/>
      <c r="D4501" s="27"/>
      <c r="E4501" s="29"/>
      <c r="F4501" s="29"/>
      <c r="G4501" s="29"/>
      <c r="H4501" s="30" t="str">
        <f t="shared" si="490"/>
        <v/>
      </c>
      <c r="I4501" s="31" t="str">
        <f>IF(OR(B4501="",C4501=""),"",IFERROR(E4501*IF(E4501="",0,VLOOKUP(C4501,'📦 Precios Proforma'!$B$5:$D$104,IF(D4501="DIA",2,3),FALSE)),0))</f>
        <v/>
      </c>
      <c r="J4501" s="31" t="str">
        <f t="shared" si="491"/>
        <v/>
      </c>
      <c r="K4501" s="31" t="str">
        <f t="shared" si="492"/>
        <v/>
      </c>
      <c r="L4501" s="31" t="str">
        <f>IF(OR(B4501="",C4501=""),"",IFERROR(E4501 / SUMIFS('📅 Resumen Diario'!$D$5:$D$504, '📅 Resumen Diario'!$B$5:$B$504, B4501, '📅 Resumen Diario'!$C$5:$C$504, D4501) * SUMIFS('📅 Resumen Diario'!$K$5:$K$504, '📅 Resumen Diario'!$B$5:$B$504, B4501, '📅 Resumen Diario'!$C$5:$C$504, D4501), 0))</f>
        <v/>
      </c>
      <c r="M4501" s="31" t="str">
        <f t="shared" si="493"/>
        <v/>
      </c>
      <c r="N4501" s="31" t="str">
        <f t="shared" si="494"/>
        <v/>
      </c>
      <c r="O4501" s="31" t="str">
        <f>IF(OR(B4501="",C4501=""),"",K4501-N4501 + IFERROR(E4501 / SUMIFS('📅 Resumen Diario'!$D$5:$D$504, '📅 Resumen Diario'!$B$5:$B$504, B4501, '📅 Resumen Diario'!$C$5:$C$504, D4501) * (SUMIFS('📋 Detalle Diario'!$E$5:$E$489, '📋 Detalle Diario'!$B$5:$B$489, B4501, '📋 Detalle Diario'!$C$5:$C$489, D4501) * 135 + SUMIFS('📋 Detalle Diario'!$I$5:$I$489, '📋 Detalle Diario'!$B$5:$B$489, B4501, '📋 Detalle Diario'!$C$5:$C$489, D4501) * 200), 0))</f>
        <v/>
      </c>
      <c r="P4501" s="32" t="str">
        <f t="shared" si="495"/>
        <v/>
      </c>
      <c r="Q4501" s="33" t="str">
        <f t="shared" si="496"/>
        <v/>
      </c>
    </row>
    <row r="4502" spans="2:17" ht="18" customHeight="1" x14ac:dyDescent="0.3">
      <c r="B4502" s="26"/>
      <c r="C4502" s="17"/>
      <c r="D4502" s="27"/>
      <c r="E4502" s="18"/>
      <c r="F4502" s="18"/>
      <c r="G4502" s="18"/>
      <c r="H4502" s="30" t="str">
        <f t="shared" si="490"/>
        <v/>
      </c>
      <c r="I4502" s="31" t="str">
        <f>IF(OR(B4502="",C4502=""),"",IFERROR(E4502*IF(E4502="",0,VLOOKUP(C4502,'📦 Precios Proforma'!$B$5:$D$104,IF(D4502="DIA",2,3),FALSE)),0))</f>
        <v/>
      </c>
      <c r="J4502" s="31" t="str">
        <f t="shared" si="491"/>
        <v/>
      </c>
      <c r="K4502" s="31" t="str">
        <f t="shared" si="492"/>
        <v/>
      </c>
      <c r="L4502" s="31" t="str">
        <f>IF(OR(B4502="",C4502=""),"",IFERROR(E4502 / SUMIFS('📅 Resumen Diario'!$D$5:$D$504, '📅 Resumen Diario'!$B$5:$B$504, B4502, '📅 Resumen Diario'!$C$5:$C$504, D4502) * SUMIFS('📅 Resumen Diario'!$K$5:$K$504, '📅 Resumen Diario'!$B$5:$B$504, B4502, '📅 Resumen Diario'!$C$5:$C$504, D4502), 0))</f>
        <v/>
      </c>
      <c r="M4502" s="31" t="str">
        <f t="shared" si="493"/>
        <v/>
      </c>
      <c r="N4502" s="31" t="str">
        <f t="shared" si="494"/>
        <v/>
      </c>
      <c r="O4502" s="31" t="str">
        <f>IF(OR(B4502="",C4502=""),"",K4502-N4502 + IFERROR(E4502 / SUMIFS('📅 Resumen Diario'!$D$5:$D$504, '📅 Resumen Diario'!$B$5:$B$504, B4502, '📅 Resumen Diario'!$C$5:$C$504, D4502) * (SUMIFS('📋 Detalle Diario'!$E$5:$E$489, '📋 Detalle Diario'!$B$5:$B$489, B4502, '📋 Detalle Diario'!$C$5:$C$489, D4502) * 135 + SUMIFS('📋 Detalle Diario'!$I$5:$I$489, '📋 Detalle Diario'!$B$5:$B$489, B4502, '📋 Detalle Diario'!$C$5:$C$489, D4502) * 200), 0))</f>
        <v/>
      </c>
      <c r="P4502" s="32" t="str">
        <f t="shared" si="495"/>
        <v/>
      </c>
      <c r="Q4502" s="33" t="str">
        <f t="shared" si="496"/>
        <v/>
      </c>
    </row>
    <row r="4503" spans="2:17" ht="18" customHeight="1" x14ac:dyDescent="0.3">
      <c r="B4503" s="26"/>
      <c r="C4503" s="28"/>
      <c r="D4503" s="27"/>
      <c r="E4503" s="29"/>
      <c r="F4503" s="29"/>
      <c r="G4503" s="29"/>
      <c r="H4503" s="30" t="str">
        <f t="shared" si="490"/>
        <v/>
      </c>
      <c r="I4503" s="31" t="str">
        <f>IF(OR(B4503="",C4503=""),"",IFERROR(E4503*IF(E4503="",0,VLOOKUP(C4503,'📦 Precios Proforma'!$B$5:$D$104,IF(D4503="DIA",2,3),FALSE)),0))</f>
        <v/>
      </c>
      <c r="J4503" s="31" t="str">
        <f t="shared" si="491"/>
        <v/>
      </c>
      <c r="K4503" s="31" t="str">
        <f t="shared" si="492"/>
        <v/>
      </c>
      <c r="L4503" s="31" t="str">
        <f>IF(OR(B4503="",C4503=""),"",IFERROR(E4503 / SUMIFS('📅 Resumen Diario'!$D$5:$D$504, '📅 Resumen Diario'!$B$5:$B$504, B4503, '📅 Resumen Diario'!$C$5:$C$504, D4503) * SUMIFS('📅 Resumen Diario'!$K$5:$K$504, '📅 Resumen Diario'!$B$5:$B$504, B4503, '📅 Resumen Diario'!$C$5:$C$504, D4503), 0))</f>
        <v/>
      </c>
      <c r="M4503" s="31" t="str">
        <f t="shared" si="493"/>
        <v/>
      </c>
      <c r="N4503" s="31" t="str">
        <f t="shared" si="494"/>
        <v/>
      </c>
      <c r="O4503" s="31" t="str">
        <f>IF(OR(B4503="",C4503=""),"",K4503-N4503 + IFERROR(E4503 / SUMIFS('📅 Resumen Diario'!$D$5:$D$504, '📅 Resumen Diario'!$B$5:$B$504, B4503, '📅 Resumen Diario'!$C$5:$C$504, D4503) * (SUMIFS('📋 Detalle Diario'!$E$5:$E$489, '📋 Detalle Diario'!$B$5:$B$489, B4503, '📋 Detalle Diario'!$C$5:$C$489, D4503) * 135 + SUMIFS('📋 Detalle Diario'!$I$5:$I$489, '📋 Detalle Diario'!$B$5:$B$489, B4503, '📋 Detalle Diario'!$C$5:$C$489, D4503) * 200), 0))</f>
        <v/>
      </c>
      <c r="P4503" s="32" t="str">
        <f t="shared" si="495"/>
        <v/>
      </c>
      <c r="Q4503" s="33" t="str">
        <f t="shared" si="496"/>
        <v/>
      </c>
    </row>
    <row r="4504" spans="2:17" ht="18" customHeight="1" x14ac:dyDescent="0.3">
      <c r="B4504" s="26"/>
      <c r="C4504" s="17"/>
      <c r="D4504" s="27"/>
      <c r="E4504" s="18"/>
      <c r="F4504" s="18"/>
      <c r="G4504" s="18"/>
      <c r="H4504" s="30" t="str">
        <f t="shared" si="490"/>
        <v/>
      </c>
      <c r="I4504" s="31" t="str">
        <f>IF(OR(B4504="",C4504=""),"",IFERROR(E4504*IF(E4504="",0,VLOOKUP(C4504,'📦 Precios Proforma'!$B$5:$D$104,IF(D4504="DIA",2,3),FALSE)),0))</f>
        <v/>
      </c>
      <c r="J4504" s="31" t="str">
        <f t="shared" si="491"/>
        <v/>
      </c>
      <c r="K4504" s="31" t="str">
        <f t="shared" si="492"/>
        <v/>
      </c>
      <c r="L4504" s="31" t="str">
        <f>IF(OR(B4504="",C4504=""),"",IFERROR(E4504 / SUMIFS('📅 Resumen Diario'!$D$5:$D$504, '📅 Resumen Diario'!$B$5:$B$504, B4504, '📅 Resumen Diario'!$C$5:$C$504, D4504) * SUMIFS('📅 Resumen Diario'!$K$5:$K$504, '📅 Resumen Diario'!$B$5:$B$504, B4504, '📅 Resumen Diario'!$C$5:$C$504, D4504), 0))</f>
        <v/>
      </c>
      <c r="M4504" s="31" t="str">
        <f t="shared" si="493"/>
        <v/>
      </c>
      <c r="N4504" s="31" t="str">
        <f t="shared" si="494"/>
        <v/>
      </c>
      <c r="O4504" s="31" t="str">
        <f>IF(OR(B4504="",C4504=""),"",K4504-N4504 + IFERROR(E4504 / SUMIFS('📅 Resumen Diario'!$D$5:$D$504, '📅 Resumen Diario'!$B$5:$B$504, B4504, '📅 Resumen Diario'!$C$5:$C$504, D4504) * (SUMIFS('📋 Detalle Diario'!$E$5:$E$489, '📋 Detalle Diario'!$B$5:$B$489, B4504, '📋 Detalle Diario'!$C$5:$C$489, D4504) * 135 + SUMIFS('📋 Detalle Diario'!$I$5:$I$489, '📋 Detalle Diario'!$B$5:$B$489, B4504, '📋 Detalle Diario'!$C$5:$C$489, D4504) * 200), 0))</f>
        <v/>
      </c>
      <c r="P4504" s="32" t="str">
        <f t="shared" si="495"/>
        <v/>
      </c>
      <c r="Q4504" s="33" t="str">
        <f t="shared" si="496"/>
        <v/>
      </c>
    </row>
    <row r="4505" spans="2:17" ht="18" customHeight="1" x14ac:dyDescent="0.3">
      <c r="B4505" s="26"/>
      <c r="C4505" s="28"/>
      <c r="D4505" s="27"/>
      <c r="E4505" s="29"/>
      <c r="F4505" s="29"/>
      <c r="G4505" s="29"/>
      <c r="H4505" s="30" t="str">
        <f t="shared" si="490"/>
        <v/>
      </c>
      <c r="I4505" s="31" t="str">
        <f>IF(OR(B4505="",C4505=""),"",IFERROR(E4505*IF(E4505="",0,VLOOKUP(C4505,'📦 Precios Proforma'!$B$5:$D$104,IF(D4505="DIA",2,3),FALSE)),0))</f>
        <v/>
      </c>
      <c r="J4505" s="31" t="str">
        <f t="shared" si="491"/>
        <v/>
      </c>
      <c r="K4505" s="31" t="str">
        <f t="shared" si="492"/>
        <v/>
      </c>
      <c r="L4505" s="31" t="str">
        <f>IF(OR(B4505="",C4505=""),"",IFERROR(E4505 / SUMIFS('📅 Resumen Diario'!$D$5:$D$504, '📅 Resumen Diario'!$B$5:$B$504, B4505, '📅 Resumen Diario'!$C$5:$C$504, D4505) * SUMIFS('📅 Resumen Diario'!$K$5:$K$504, '📅 Resumen Diario'!$B$5:$B$504, B4505, '📅 Resumen Diario'!$C$5:$C$504, D4505), 0))</f>
        <v/>
      </c>
      <c r="M4505" s="31" t="str">
        <f t="shared" si="493"/>
        <v/>
      </c>
      <c r="N4505" s="31" t="str">
        <f t="shared" si="494"/>
        <v/>
      </c>
      <c r="O4505" s="31" t="str">
        <f>IF(OR(B4505="",C4505=""),"",K4505-N4505 + IFERROR(E4505 / SUMIFS('📅 Resumen Diario'!$D$5:$D$504, '📅 Resumen Diario'!$B$5:$B$504, B4505, '📅 Resumen Diario'!$C$5:$C$504, D4505) * (SUMIFS('📋 Detalle Diario'!$E$5:$E$489, '📋 Detalle Diario'!$B$5:$B$489, B4505, '📋 Detalle Diario'!$C$5:$C$489, D4505) * 135 + SUMIFS('📋 Detalle Diario'!$I$5:$I$489, '📋 Detalle Diario'!$B$5:$B$489, B4505, '📋 Detalle Diario'!$C$5:$C$489, D4505) * 200), 0))</f>
        <v/>
      </c>
      <c r="P4505" s="32" t="str">
        <f t="shared" si="495"/>
        <v/>
      </c>
      <c r="Q4505" s="33" t="str">
        <f t="shared" si="496"/>
        <v/>
      </c>
    </row>
    <row r="4506" spans="2:17" ht="18" customHeight="1" x14ac:dyDescent="0.3">
      <c r="B4506" s="26"/>
      <c r="C4506" s="17"/>
      <c r="D4506" s="27"/>
      <c r="E4506" s="18"/>
      <c r="F4506" s="18"/>
      <c r="G4506" s="18"/>
      <c r="H4506" s="30" t="str">
        <f t="shared" si="490"/>
        <v/>
      </c>
      <c r="I4506" s="31" t="str">
        <f>IF(OR(B4506="",C4506=""),"",IFERROR(E4506*IF(E4506="",0,VLOOKUP(C4506,'📦 Precios Proforma'!$B$5:$D$104,IF(D4506="DIA",2,3),FALSE)),0))</f>
        <v/>
      </c>
      <c r="J4506" s="31" t="str">
        <f t="shared" si="491"/>
        <v/>
      </c>
      <c r="K4506" s="31" t="str">
        <f t="shared" si="492"/>
        <v/>
      </c>
      <c r="L4506" s="31" t="str">
        <f>IF(OR(B4506="",C4506=""),"",IFERROR(E4506 / SUMIFS('📅 Resumen Diario'!$D$5:$D$504, '📅 Resumen Diario'!$B$5:$B$504, B4506, '📅 Resumen Diario'!$C$5:$C$504, D4506) * SUMIFS('📅 Resumen Diario'!$K$5:$K$504, '📅 Resumen Diario'!$B$5:$B$504, B4506, '📅 Resumen Diario'!$C$5:$C$504, D4506), 0))</f>
        <v/>
      </c>
      <c r="M4506" s="31" t="str">
        <f t="shared" si="493"/>
        <v/>
      </c>
      <c r="N4506" s="31" t="str">
        <f t="shared" si="494"/>
        <v/>
      </c>
      <c r="O4506" s="31" t="str">
        <f>IF(OR(B4506="",C4506=""),"",K4506-N4506 + IFERROR(E4506 / SUMIFS('📅 Resumen Diario'!$D$5:$D$504, '📅 Resumen Diario'!$B$5:$B$504, B4506, '📅 Resumen Diario'!$C$5:$C$504, D4506) * (SUMIFS('📋 Detalle Diario'!$E$5:$E$489, '📋 Detalle Diario'!$B$5:$B$489, B4506, '📋 Detalle Diario'!$C$5:$C$489, D4506) * 135 + SUMIFS('📋 Detalle Diario'!$I$5:$I$489, '📋 Detalle Diario'!$B$5:$B$489, B4506, '📋 Detalle Diario'!$C$5:$C$489, D4506) * 200), 0))</f>
        <v/>
      </c>
      <c r="P4506" s="32" t="str">
        <f t="shared" si="495"/>
        <v/>
      </c>
      <c r="Q4506" s="33" t="str">
        <f t="shared" si="496"/>
        <v/>
      </c>
    </row>
    <row r="4507" spans="2:17" ht="18" customHeight="1" x14ac:dyDescent="0.3">
      <c r="B4507" s="26"/>
      <c r="C4507" s="28"/>
      <c r="D4507" s="27"/>
      <c r="E4507" s="29"/>
      <c r="F4507" s="29"/>
      <c r="G4507" s="29"/>
      <c r="H4507" s="30" t="str">
        <f t="shared" si="490"/>
        <v/>
      </c>
      <c r="I4507" s="31" t="str">
        <f>IF(OR(B4507="",C4507=""),"",IFERROR(E4507*IF(E4507="",0,VLOOKUP(C4507,'📦 Precios Proforma'!$B$5:$D$104,IF(D4507="DIA",2,3),FALSE)),0))</f>
        <v/>
      </c>
      <c r="J4507" s="31" t="str">
        <f t="shared" si="491"/>
        <v/>
      </c>
      <c r="K4507" s="31" t="str">
        <f t="shared" si="492"/>
        <v/>
      </c>
      <c r="L4507" s="31" t="str">
        <f>IF(OR(B4507="",C4507=""),"",IFERROR(E4507 / SUMIFS('📅 Resumen Diario'!$D$5:$D$504, '📅 Resumen Diario'!$B$5:$B$504, B4507, '📅 Resumen Diario'!$C$5:$C$504, D4507) * SUMIFS('📅 Resumen Diario'!$K$5:$K$504, '📅 Resumen Diario'!$B$5:$B$504, B4507, '📅 Resumen Diario'!$C$5:$C$504, D4507), 0))</f>
        <v/>
      </c>
      <c r="M4507" s="31" t="str">
        <f t="shared" si="493"/>
        <v/>
      </c>
      <c r="N4507" s="31" t="str">
        <f t="shared" si="494"/>
        <v/>
      </c>
      <c r="O4507" s="31" t="str">
        <f>IF(OR(B4507="",C4507=""),"",K4507-N4507 + IFERROR(E4507 / SUMIFS('📅 Resumen Diario'!$D$5:$D$504, '📅 Resumen Diario'!$B$5:$B$504, B4507, '📅 Resumen Diario'!$C$5:$C$504, D4507) * (SUMIFS('📋 Detalle Diario'!$E$5:$E$489, '📋 Detalle Diario'!$B$5:$B$489, B4507, '📋 Detalle Diario'!$C$5:$C$489, D4507) * 135 + SUMIFS('📋 Detalle Diario'!$I$5:$I$489, '📋 Detalle Diario'!$B$5:$B$489, B4507, '📋 Detalle Diario'!$C$5:$C$489, D4507) * 200), 0))</f>
        <v/>
      </c>
      <c r="P4507" s="32" t="str">
        <f t="shared" si="495"/>
        <v/>
      </c>
      <c r="Q4507" s="33" t="str">
        <f t="shared" si="496"/>
        <v/>
      </c>
    </row>
    <row r="4508" spans="2:17" ht="18" customHeight="1" x14ac:dyDescent="0.3">
      <c r="B4508" s="26"/>
      <c r="C4508" s="17"/>
      <c r="D4508" s="27"/>
      <c r="E4508" s="18"/>
      <c r="F4508" s="18"/>
      <c r="G4508" s="18"/>
      <c r="H4508" s="30" t="str">
        <f t="shared" si="490"/>
        <v/>
      </c>
      <c r="I4508" s="31" t="str">
        <f>IF(OR(B4508="",C4508=""),"",IFERROR(E4508*IF(E4508="",0,VLOOKUP(C4508,'📦 Precios Proforma'!$B$5:$D$104,IF(D4508="DIA",2,3),FALSE)),0))</f>
        <v/>
      </c>
      <c r="J4508" s="31" t="str">
        <f t="shared" si="491"/>
        <v/>
      </c>
      <c r="K4508" s="31" t="str">
        <f t="shared" si="492"/>
        <v/>
      </c>
      <c r="L4508" s="31" t="str">
        <f>IF(OR(B4508="",C4508=""),"",IFERROR(E4508 / SUMIFS('📅 Resumen Diario'!$D$5:$D$504, '📅 Resumen Diario'!$B$5:$B$504, B4508, '📅 Resumen Diario'!$C$5:$C$504, D4508) * SUMIFS('📅 Resumen Diario'!$K$5:$K$504, '📅 Resumen Diario'!$B$5:$B$504, B4508, '📅 Resumen Diario'!$C$5:$C$504, D4508), 0))</f>
        <v/>
      </c>
      <c r="M4508" s="31" t="str">
        <f t="shared" si="493"/>
        <v/>
      </c>
      <c r="N4508" s="31" t="str">
        <f t="shared" si="494"/>
        <v/>
      </c>
      <c r="O4508" s="31" t="str">
        <f>IF(OR(B4508="",C4508=""),"",K4508-N4508 + IFERROR(E4508 / SUMIFS('📅 Resumen Diario'!$D$5:$D$504, '📅 Resumen Diario'!$B$5:$B$504, B4508, '📅 Resumen Diario'!$C$5:$C$504, D4508) * (SUMIFS('📋 Detalle Diario'!$E$5:$E$489, '📋 Detalle Diario'!$B$5:$B$489, B4508, '📋 Detalle Diario'!$C$5:$C$489, D4508) * 135 + SUMIFS('📋 Detalle Diario'!$I$5:$I$489, '📋 Detalle Diario'!$B$5:$B$489, B4508, '📋 Detalle Diario'!$C$5:$C$489, D4508) * 200), 0))</f>
        <v/>
      </c>
      <c r="P4508" s="32" t="str">
        <f t="shared" si="495"/>
        <v/>
      </c>
      <c r="Q4508" s="33" t="str">
        <f t="shared" si="496"/>
        <v/>
      </c>
    </row>
    <row r="4509" spans="2:17" ht="18" customHeight="1" x14ac:dyDescent="0.3">
      <c r="B4509" s="26"/>
      <c r="C4509" s="28"/>
      <c r="D4509" s="27"/>
      <c r="E4509" s="29"/>
      <c r="F4509" s="29"/>
      <c r="G4509" s="29"/>
      <c r="H4509" s="30" t="str">
        <f t="shared" si="490"/>
        <v/>
      </c>
      <c r="I4509" s="31" t="str">
        <f>IF(OR(B4509="",C4509=""),"",IFERROR(E4509*IF(E4509="",0,VLOOKUP(C4509,'📦 Precios Proforma'!$B$5:$D$104,IF(D4509="DIA",2,3),FALSE)),0))</f>
        <v/>
      </c>
      <c r="J4509" s="31" t="str">
        <f t="shared" si="491"/>
        <v/>
      </c>
      <c r="K4509" s="31" t="str">
        <f t="shared" si="492"/>
        <v/>
      </c>
      <c r="L4509" s="31" t="str">
        <f>IF(OR(B4509="",C4509=""),"",IFERROR(E4509 / SUMIFS('📅 Resumen Diario'!$D$5:$D$504, '📅 Resumen Diario'!$B$5:$B$504, B4509, '📅 Resumen Diario'!$C$5:$C$504, D4509) * SUMIFS('📅 Resumen Diario'!$K$5:$K$504, '📅 Resumen Diario'!$B$5:$B$504, B4509, '📅 Resumen Diario'!$C$5:$C$504, D4509), 0))</f>
        <v/>
      </c>
      <c r="M4509" s="31" t="str">
        <f t="shared" si="493"/>
        <v/>
      </c>
      <c r="N4509" s="31" t="str">
        <f t="shared" si="494"/>
        <v/>
      </c>
      <c r="O4509" s="31" t="str">
        <f>IF(OR(B4509="",C4509=""),"",K4509-N4509 + IFERROR(E4509 / SUMIFS('📅 Resumen Diario'!$D$5:$D$504, '📅 Resumen Diario'!$B$5:$B$504, B4509, '📅 Resumen Diario'!$C$5:$C$504, D4509) * (SUMIFS('📋 Detalle Diario'!$E$5:$E$489, '📋 Detalle Diario'!$B$5:$B$489, B4509, '📋 Detalle Diario'!$C$5:$C$489, D4509) * 135 + SUMIFS('📋 Detalle Diario'!$I$5:$I$489, '📋 Detalle Diario'!$B$5:$B$489, B4509, '📋 Detalle Diario'!$C$5:$C$489, D4509) * 200), 0))</f>
        <v/>
      </c>
      <c r="P4509" s="32" t="str">
        <f t="shared" si="495"/>
        <v/>
      </c>
      <c r="Q4509" s="33" t="str">
        <f t="shared" si="496"/>
        <v/>
      </c>
    </row>
    <row r="4510" spans="2:17" ht="18" customHeight="1" x14ac:dyDescent="0.3">
      <c r="B4510" s="26"/>
      <c r="C4510" s="17"/>
      <c r="D4510" s="27"/>
      <c r="E4510" s="18"/>
      <c r="F4510" s="18"/>
      <c r="G4510" s="18"/>
      <c r="H4510" s="30" t="str">
        <f t="shared" si="490"/>
        <v/>
      </c>
      <c r="I4510" s="31" t="str">
        <f>IF(OR(B4510="",C4510=""),"",IFERROR(E4510*IF(E4510="",0,VLOOKUP(C4510,'📦 Precios Proforma'!$B$5:$D$104,IF(D4510="DIA",2,3),FALSE)),0))</f>
        <v/>
      </c>
      <c r="J4510" s="31" t="str">
        <f t="shared" si="491"/>
        <v/>
      </c>
      <c r="K4510" s="31" t="str">
        <f t="shared" si="492"/>
        <v/>
      </c>
      <c r="L4510" s="31" t="str">
        <f>IF(OR(B4510="",C4510=""),"",IFERROR(E4510 / SUMIFS('📅 Resumen Diario'!$D$5:$D$504, '📅 Resumen Diario'!$B$5:$B$504, B4510, '📅 Resumen Diario'!$C$5:$C$504, D4510) * SUMIFS('📅 Resumen Diario'!$K$5:$K$504, '📅 Resumen Diario'!$B$5:$B$504, B4510, '📅 Resumen Diario'!$C$5:$C$504, D4510), 0))</f>
        <v/>
      </c>
      <c r="M4510" s="31" t="str">
        <f t="shared" si="493"/>
        <v/>
      </c>
      <c r="N4510" s="31" t="str">
        <f t="shared" si="494"/>
        <v/>
      </c>
      <c r="O4510" s="31" t="str">
        <f>IF(OR(B4510="",C4510=""),"",K4510-N4510 + IFERROR(E4510 / SUMIFS('📅 Resumen Diario'!$D$5:$D$504, '📅 Resumen Diario'!$B$5:$B$504, B4510, '📅 Resumen Diario'!$C$5:$C$504, D4510) * (SUMIFS('📋 Detalle Diario'!$E$5:$E$489, '📋 Detalle Diario'!$B$5:$B$489, B4510, '📋 Detalle Diario'!$C$5:$C$489, D4510) * 135 + SUMIFS('📋 Detalle Diario'!$I$5:$I$489, '📋 Detalle Diario'!$B$5:$B$489, B4510, '📋 Detalle Diario'!$C$5:$C$489, D4510) * 200), 0))</f>
        <v/>
      </c>
      <c r="P4510" s="32" t="str">
        <f t="shared" si="495"/>
        <v/>
      </c>
      <c r="Q4510" s="33" t="str">
        <f t="shared" si="496"/>
        <v/>
      </c>
    </row>
    <row r="4511" spans="2:17" ht="18" customHeight="1" x14ac:dyDescent="0.3">
      <c r="B4511" s="26"/>
      <c r="C4511" s="28"/>
      <c r="D4511" s="27"/>
      <c r="E4511" s="29"/>
      <c r="F4511" s="29"/>
      <c r="G4511" s="29"/>
      <c r="H4511" s="30" t="str">
        <f t="shared" si="490"/>
        <v/>
      </c>
      <c r="I4511" s="31" t="str">
        <f>IF(OR(B4511="",C4511=""),"",IFERROR(E4511*IF(E4511="",0,VLOOKUP(C4511,'📦 Precios Proforma'!$B$5:$D$104,IF(D4511="DIA",2,3),FALSE)),0))</f>
        <v/>
      </c>
      <c r="J4511" s="31" t="str">
        <f t="shared" si="491"/>
        <v/>
      </c>
      <c r="K4511" s="31" t="str">
        <f t="shared" si="492"/>
        <v/>
      </c>
      <c r="L4511" s="31" t="str">
        <f>IF(OR(B4511="",C4511=""),"",IFERROR(E4511 / SUMIFS('📅 Resumen Diario'!$D$5:$D$504, '📅 Resumen Diario'!$B$5:$B$504, B4511, '📅 Resumen Diario'!$C$5:$C$504, D4511) * SUMIFS('📅 Resumen Diario'!$K$5:$K$504, '📅 Resumen Diario'!$B$5:$B$504, B4511, '📅 Resumen Diario'!$C$5:$C$504, D4511), 0))</f>
        <v/>
      </c>
      <c r="M4511" s="31" t="str">
        <f t="shared" si="493"/>
        <v/>
      </c>
      <c r="N4511" s="31" t="str">
        <f t="shared" si="494"/>
        <v/>
      </c>
      <c r="O4511" s="31" t="str">
        <f>IF(OR(B4511="",C4511=""),"",K4511-N4511 + IFERROR(E4511 / SUMIFS('📅 Resumen Diario'!$D$5:$D$504, '📅 Resumen Diario'!$B$5:$B$504, B4511, '📅 Resumen Diario'!$C$5:$C$504, D4511) * (SUMIFS('📋 Detalle Diario'!$E$5:$E$489, '📋 Detalle Diario'!$B$5:$B$489, B4511, '📋 Detalle Diario'!$C$5:$C$489, D4511) * 135 + SUMIFS('📋 Detalle Diario'!$I$5:$I$489, '📋 Detalle Diario'!$B$5:$B$489, B4511, '📋 Detalle Diario'!$C$5:$C$489, D4511) * 200), 0))</f>
        <v/>
      </c>
      <c r="P4511" s="32" t="str">
        <f t="shared" si="495"/>
        <v/>
      </c>
      <c r="Q4511" s="33" t="str">
        <f t="shared" si="496"/>
        <v/>
      </c>
    </row>
    <row r="4512" spans="2:17" ht="18" customHeight="1" x14ac:dyDescent="0.3">
      <c r="B4512" s="26"/>
      <c r="C4512" s="17"/>
      <c r="D4512" s="27"/>
      <c r="E4512" s="18"/>
      <c r="F4512" s="18"/>
      <c r="G4512" s="18"/>
      <c r="H4512" s="30" t="str">
        <f t="shared" si="490"/>
        <v/>
      </c>
      <c r="I4512" s="31" t="str">
        <f>IF(OR(B4512="",C4512=""),"",IFERROR(E4512*IF(E4512="",0,VLOOKUP(C4512,'📦 Precios Proforma'!$B$5:$D$104,IF(D4512="DIA",2,3),FALSE)),0))</f>
        <v/>
      </c>
      <c r="J4512" s="31" t="str">
        <f t="shared" si="491"/>
        <v/>
      </c>
      <c r="K4512" s="31" t="str">
        <f t="shared" si="492"/>
        <v/>
      </c>
      <c r="L4512" s="31" t="str">
        <f>IF(OR(B4512="",C4512=""),"",IFERROR(E4512 / SUMIFS('📅 Resumen Diario'!$D$5:$D$504, '📅 Resumen Diario'!$B$5:$B$504, B4512, '📅 Resumen Diario'!$C$5:$C$504, D4512) * SUMIFS('📅 Resumen Diario'!$K$5:$K$504, '📅 Resumen Diario'!$B$5:$B$504, B4512, '📅 Resumen Diario'!$C$5:$C$504, D4512), 0))</f>
        <v/>
      </c>
      <c r="M4512" s="31" t="str">
        <f t="shared" si="493"/>
        <v/>
      </c>
      <c r="N4512" s="31" t="str">
        <f t="shared" si="494"/>
        <v/>
      </c>
      <c r="O4512" s="31" t="str">
        <f>IF(OR(B4512="",C4512=""),"",K4512-N4512 + IFERROR(E4512 / SUMIFS('📅 Resumen Diario'!$D$5:$D$504, '📅 Resumen Diario'!$B$5:$B$504, B4512, '📅 Resumen Diario'!$C$5:$C$504, D4512) * (SUMIFS('📋 Detalle Diario'!$E$5:$E$489, '📋 Detalle Diario'!$B$5:$B$489, B4512, '📋 Detalle Diario'!$C$5:$C$489, D4512) * 135 + SUMIFS('📋 Detalle Diario'!$I$5:$I$489, '📋 Detalle Diario'!$B$5:$B$489, B4512, '📋 Detalle Diario'!$C$5:$C$489, D4512) * 200), 0))</f>
        <v/>
      </c>
      <c r="P4512" s="32" t="str">
        <f t="shared" si="495"/>
        <v/>
      </c>
      <c r="Q4512" s="33" t="str">
        <f t="shared" si="496"/>
        <v/>
      </c>
    </row>
    <row r="4513" spans="2:17" ht="18" customHeight="1" x14ac:dyDescent="0.3">
      <c r="B4513" s="26"/>
      <c r="C4513" s="28"/>
      <c r="D4513" s="27"/>
      <c r="E4513" s="29"/>
      <c r="F4513" s="29"/>
      <c r="G4513" s="29"/>
      <c r="H4513" s="30" t="str">
        <f t="shared" si="490"/>
        <v/>
      </c>
      <c r="I4513" s="31" t="str">
        <f>IF(OR(B4513="",C4513=""),"",IFERROR(E4513*IF(E4513="",0,VLOOKUP(C4513,'📦 Precios Proforma'!$B$5:$D$104,IF(D4513="DIA",2,3),FALSE)),0))</f>
        <v/>
      </c>
      <c r="J4513" s="31" t="str">
        <f t="shared" si="491"/>
        <v/>
      </c>
      <c r="K4513" s="31" t="str">
        <f t="shared" si="492"/>
        <v/>
      </c>
      <c r="L4513" s="31" t="str">
        <f>IF(OR(B4513="",C4513=""),"",IFERROR(E4513 / SUMIFS('📅 Resumen Diario'!$D$5:$D$504, '📅 Resumen Diario'!$B$5:$B$504, B4513, '📅 Resumen Diario'!$C$5:$C$504, D4513) * SUMIFS('📅 Resumen Diario'!$K$5:$K$504, '📅 Resumen Diario'!$B$5:$B$504, B4513, '📅 Resumen Diario'!$C$5:$C$504, D4513), 0))</f>
        <v/>
      </c>
      <c r="M4513" s="31" t="str">
        <f t="shared" si="493"/>
        <v/>
      </c>
      <c r="N4513" s="31" t="str">
        <f t="shared" si="494"/>
        <v/>
      </c>
      <c r="O4513" s="31" t="str">
        <f>IF(OR(B4513="",C4513=""),"",K4513-N4513 + IFERROR(E4513 / SUMIFS('📅 Resumen Diario'!$D$5:$D$504, '📅 Resumen Diario'!$B$5:$B$504, B4513, '📅 Resumen Diario'!$C$5:$C$504, D4513) * (SUMIFS('📋 Detalle Diario'!$E$5:$E$489, '📋 Detalle Diario'!$B$5:$B$489, B4513, '📋 Detalle Diario'!$C$5:$C$489, D4513) * 135 + SUMIFS('📋 Detalle Diario'!$I$5:$I$489, '📋 Detalle Diario'!$B$5:$B$489, B4513, '📋 Detalle Diario'!$C$5:$C$489, D4513) * 200), 0))</f>
        <v/>
      </c>
      <c r="P4513" s="32" t="str">
        <f t="shared" si="495"/>
        <v/>
      </c>
      <c r="Q4513" s="33" t="str">
        <f t="shared" si="496"/>
        <v/>
      </c>
    </row>
    <row r="4514" spans="2:17" ht="18" customHeight="1" x14ac:dyDescent="0.3">
      <c r="B4514" s="26"/>
      <c r="C4514" s="17"/>
      <c r="D4514" s="27"/>
      <c r="E4514" s="18"/>
      <c r="F4514" s="18"/>
      <c r="G4514" s="18"/>
      <c r="H4514" s="30" t="str">
        <f t="shared" si="490"/>
        <v/>
      </c>
      <c r="I4514" s="31" t="str">
        <f>IF(OR(B4514="",C4514=""),"",IFERROR(E4514*IF(E4514="",0,VLOOKUP(C4514,'📦 Precios Proforma'!$B$5:$D$104,IF(D4514="DIA",2,3),FALSE)),0))</f>
        <v/>
      </c>
      <c r="J4514" s="31" t="str">
        <f t="shared" si="491"/>
        <v/>
      </c>
      <c r="K4514" s="31" t="str">
        <f t="shared" si="492"/>
        <v/>
      </c>
      <c r="L4514" s="31" t="str">
        <f>IF(OR(B4514="",C4514=""),"",IFERROR(E4514 / SUMIFS('📅 Resumen Diario'!$D$5:$D$504, '📅 Resumen Diario'!$B$5:$B$504, B4514, '📅 Resumen Diario'!$C$5:$C$504, D4514) * SUMIFS('📅 Resumen Diario'!$K$5:$K$504, '📅 Resumen Diario'!$B$5:$B$504, B4514, '📅 Resumen Diario'!$C$5:$C$504, D4514), 0))</f>
        <v/>
      </c>
      <c r="M4514" s="31" t="str">
        <f t="shared" si="493"/>
        <v/>
      </c>
      <c r="N4514" s="31" t="str">
        <f t="shared" si="494"/>
        <v/>
      </c>
      <c r="O4514" s="31" t="str">
        <f>IF(OR(B4514="",C4514=""),"",K4514-N4514 + IFERROR(E4514 / SUMIFS('📅 Resumen Diario'!$D$5:$D$504, '📅 Resumen Diario'!$B$5:$B$504, B4514, '📅 Resumen Diario'!$C$5:$C$504, D4514) * (SUMIFS('📋 Detalle Diario'!$E$5:$E$489, '📋 Detalle Diario'!$B$5:$B$489, B4514, '📋 Detalle Diario'!$C$5:$C$489, D4514) * 135 + SUMIFS('📋 Detalle Diario'!$I$5:$I$489, '📋 Detalle Diario'!$B$5:$B$489, B4514, '📋 Detalle Diario'!$C$5:$C$489, D4514) * 200), 0))</f>
        <v/>
      </c>
      <c r="P4514" s="32" t="str">
        <f t="shared" si="495"/>
        <v/>
      </c>
      <c r="Q4514" s="33" t="str">
        <f t="shared" si="496"/>
        <v/>
      </c>
    </row>
    <row r="4515" spans="2:17" ht="18" customHeight="1" x14ac:dyDescent="0.3">
      <c r="B4515" s="26"/>
      <c r="C4515" s="28"/>
      <c r="D4515" s="27"/>
      <c r="E4515" s="29"/>
      <c r="F4515" s="29"/>
      <c r="G4515" s="29"/>
      <c r="H4515" s="30" t="str">
        <f t="shared" si="490"/>
        <v/>
      </c>
      <c r="I4515" s="31" t="str">
        <f>IF(OR(B4515="",C4515=""),"",IFERROR(E4515*IF(E4515="",0,VLOOKUP(C4515,'📦 Precios Proforma'!$B$5:$D$104,IF(D4515="DIA",2,3),FALSE)),0))</f>
        <v/>
      </c>
      <c r="J4515" s="31" t="str">
        <f t="shared" si="491"/>
        <v/>
      </c>
      <c r="K4515" s="31" t="str">
        <f t="shared" si="492"/>
        <v/>
      </c>
      <c r="L4515" s="31" t="str">
        <f>IF(OR(B4515="",C4515=""),"",IFERROR(E4515 / SUMIFS('📅 Resumen Diario'!$D$5:$D$504, '📅 Resumen Diario'!$B$5:$B$504, B4515, '📅 Resumen Diario'!$C$5:$C$504, D4515) * SUMIFS('📅 Resumen Diario'!$K$5:$K$504, '📅 Resumen Diario'!$B$5:$B$504, B4515, '📅 Resumen Diario'!$C$5:$C$504, D4515), 0))</f>
        <v/>
      </c>
      <c r="M4515" s="31" t="str">
        <f t="shared" si="493"/>
        <v/>
      </c>
      <c r="N4515" s="31" t="str">
        <f t="shared" si="494"/>
        <v/>
      </c>
      <c r="O4515" s="31" t="str">
        <f>IF(OR(B4515="",C4515=""),"",K4515-N4515 + IFERROR(E4515 / SUMIFS('📅 Resumen Diario'!$D$5:$D$504, '📅 Resumen Diario'!$B$5:$B$504, B4515, '📅 Resumen Diario'!$C$5:$C$504, D4515) * (SUMIFS('📋 Detalle Diario'!$E$5:$E$489, '📋 Detalle Diario'!$B$5:$B$489, B4515, '📋 Detalle Diario'!$C$5:$C$489, D4515) * 135 + SUMIFS('📋 Detalle Diario'!$I$5:$I$489, '📋 Detalle Diario'!$B$5:$B$489, B4515, '📋 Detalle Diario'!$C$5:$C$489, D4515) * 200), 0))</f>
        <v/>
      </c>
      <c r="P4515" s="32" t="str">
        <f t="shared" si="495"/>
        <v/>
      </c>
      <c r="Q4515" s="33" t="str">
        <f t="shared" si="496"/>
        <v/>
      </c>
    </row>
    <row r="4516" spans="2:17" ht="18" customHeight="1" x14ac:dyDescent="0.3">
      <c r="B4516" s="26"/>
      <c r="C4516" s="17"/>
      <c r="D4516" s="27"/>
      <c r="E4516" s="18"/>
      <c r="F4516" s="18"/>
      <c r="G4516" s="18"/>
      <c r="H4516" s="30" t="str">
        <f t="shared" si="490"/>
        <v/>
      </c>
      <c r="I4516" s="31" t="str">
        <f>IF(OR(B4516="",C4516=""),"",IFERROR(E4516*IF(E4516="",0,VLOOKUP(C4516,'📦 Precios Proforma'!$B$5:$D$104,IF(D4516="DIA",2,3),FALSE)),0))</f>
        <v/>
      </c>
      <c r="J4516" s="31" t="str">
        <f t="shared" si="491"/>
        <v/>
      </c>
      <c r="K4516" s="31" t="str">
        <f t="shared" si="492"/>
        <v/>
      </c>
      <c r="L4516" s="31" t="str">
        <f>IF(OR(B4516="",C4516=""),"",IFERROR(E4516 / SUMIFS('📅 Resumen Diario'!$D$5:$D$504, '📅 Resumen Diario'!$B$5:$B$504, B4516, '📅 Resumen Diario'!$C$5:$C$504, D4516) * SUMIFS('📅 Resumen Diario'!$K$5:$K$504, '📅 Resumen Diario'!$B$5:$B$504, B4516, '📅 Resumen Diario'!$C$5:$C$504, D4516), 0))</f>
        <v/>
      </c>
      <c r="M4516" s="31" t="str">
        <f t="shared" si="493"/>
        <v/>
      </c>
      <c r="N4516" s="31" t="str">
        <f t="shared" si="494"/>
        <v/>
      </c>
      <c r="O4516" s="31" t="str">
        <f>IF(OR(B4516="",C4516=""),"",K4516-N4516 + IFERROR(E4516 / SUMIFS('📅 Resumen Diario'!$D$5:$D$504, '📅 Resumen Diario'!$B$5:$B$504, B4516, '📅 Resumen Diario'!$C$5:$C$504, D4516) * (SUMIFS('📋 Detalle Diario'!$E$5:$E$489, '📋 Detalle Diario'!$B$5:$B$489, B4516, '📋 Detalle Diario'!$C$5:$C$489, D4516) * 135 + SUMIFS('📋 Detalle Diario'!$I$5:$I$489, '📋 Detalle Diario'!$B$5:$B$489, B4516, '📋 Detalle Diario'!$C$5:$C$489, D4516) * 200), 0))</f>
        <v/>
      </c>
      <c r="P4516" s="32" t="str">
        <f t="shared" si="495"/>
        <v/>
      </c>
      <c r="Q4516" s="33" t="str">
        <f t="shared" si="496"/>
        <v/>
      </c>
    </row>
    <row r="4517" spans="2:17" ht="18" customHeight="1" x14ac:dyDescent="0.3">
      <c r="B4517" s="26"/>
      <c r="C4517" s="28"/>
      <c r="D4517" s="27"/>
      <c r="E4517" s="29"/>
      <c r="F4517" s="29"/>
      <c r="G4517" s="29"/>
      <c r="H4517" s="30" t="str">
        <f t="shared" si="490"/>
        <v/>
      </c>
      <c r="I4517" s="31" t="str">
        <f>IF(OR(B4517="",C4517=""),"",IFERROR(E4517*IF(E4517="",0,VLOOKUP(C4517,'📦 Precios Proforma'!$B$5:$D$104,IF(D4517="DIA",2,3),FALSE)),0))</f>
        <v/>
      </c>
      <c r="J4517" s="31" t="str">
        <f t="shared" si="491"/>
        <v/>
      </c>
      <c r="K4517" s="31" t="str">
        <f t="shared" si="492"/>
        <v/>
      </c>
      <c r="L4517" s="31" t="str">
        <f>IF(OR(B4517="",C4517=""),"",IFERROR(E4517 / SUMIFS('📅 Resumen Diario'!$D$5:$D$504, '📅 Resumen Diario'!$B$5:$B$504, B4517, '📅 Resumen Diario'!$C$5:$C$504, D4517) * SUMIFS('📅 Resumen Diario'!$K$5:$K$504, '📅 Resumen Diario'!$B$5:$B$504, B4517, '📅 Resumen Diario'!$C$5:$C$504, D4517), 0))</f>
        <v/>
      </c>
      <c r="M4517" s="31" t="str">
        <f t="shared" si="493"/>
        <v/>
      </c>
      <c r="N4517" s="31" t="str">
        <f t="shared" si="494"/>
        <v/>
      </c>
      <c r="O4517" s="31" t="str">
        <f>IF(OR(B4517="",C4517=""),"",K4517-N4517 + IFERROR(E4517 / SUMIFS('📅 Resumen Diario'!$D$5:$D$504, '📅 Resumen Diario'!$B$5:$B$504, B4517, '📅 Resumen Diario'!$C$5:$C$504, D4517) * (SUMIFS('📋 Detalle Diario'!$E$5:$E$489, '📋 Detalle Diario'!$B$5:$B$489, B4517, '📋 Detalle Diario'!$C$5:$C$489, D4517) * 135 + SUMIFS('📋 Detalle Diario'!$I$5:$I$489, '📋 Detalle Diario'!$B$5:$B$489, B4517, '📋 Detalle Diario'!$C$5:$C$489, D4517) * 200), 0))</f>
        <v/>
      </c>
      <c r="P4517" s="32" t="str">
        <f t="shared" si="495"/>
        <v/>
      </c>
      <c r="Q4517" s="33" t="str">
        <f t="shared" si="496"/>
        <v/>
      </c>
    </row>
    <row r="4518" spans="2:17" ht="18" customHeight="1" x14ac:dyDescent="0.3">
      <c r="B4518" s="26"/>
      <c r="C4518" s="17"/>
      <c r="D4518" s="27"/>
      <c r="E4518" s="18"/>
      <c r="F4518" s="18"/>
      <c r="G4518" s="18"/>
      <c r="H4518" s="30" t="str">
        <f t="shared" si="490"/>
        <v/>
      </c>
      <c r="I4518" s="31" t="str">
        <f>IF(OR(B4518="",C4518=""),"",IFERROR(E4518*IF(E4518="",0,VLOOKUP(C4518,'📦 Precios Proforma'!$B$5:$D$104,IF(D4518="DIA",2,3),FALSE)),0))</f>
        <v/>
      </c>
      <c r="J4518" s="31" t="str">
        <f t="shared" si="491"/>
        <v/>
      </c>
      <c r="K4518" s="31" t="str">
        <f t="shared" si="492"/>
        <v/>
      </c>
      <c r="L4518" s="31" t="str">
        <f>IF(OR(B4518="",C4518=""),"",IFERROR(E4518 / SUMIFS('📅 Resumen Diario'!$D$5:$D$504, '📅 Resumen Diario'!$B$5:$B$504, B4518, '📅 Resumen Diario'!$C$5:$C$504, D4518) * SUMIFS('📅 Resumen Diario'!$K$5:$K$504, '📅 Resumen Diario'!$B$5:$B$504, B4518, '📅 Resumen Diario'!$C$5:$C$504, D4518), 0))</f>
        <v/>
      </c>
      <c r="M4518" s="31" t="str">
        <f t="shared" si="493"/>
        <v/>
      </c>
      <c r="N4518" s="31" t="str">
        <f t="shared" si="494"/>
        <v/>
      </c>
      <c r="O4518" s="31" t="str">
        <f>IF(OR(B4518="",C4518=""),"",K4518-N4518 + IFERROR(E4518 / SUMIFS('📅 Resumen Diario'!$D$5:$D$504, '📅 Resumen Diario'!$B$5:$B$504, B4518, '📅 Resumen Diario'!$C$5:$C$504, D4518) * (SUMIFS('📋 Detalle Diario'!$E$5:$E$489, '📋 Detalle Diario'!$B$5:$B$489, B4518, '📋 Detalle Diario'!$C$5:$C$489, D4518) * 135 + SUMIFS('📋 Detalle Diario'!$I$5:$I$489, '📋 Detalle Diario'!$B$5:$B$489, B4518, '📋 Detalle Diario'!$C$5:$C$489, D4518) * 200), 0))</f>
        <v/>
      </c>
      <c r="P4518" s="32" t="str">
        <f t="shared" si="495"/>
        <v/>
      </c>
      <c r="Q4518" s="33" t="str">
        <f t="shared" si="496"/>
        <v/>
      </c>
    </row>
    <row r="4519" spans="2:17" ht="18" customHeight="1" x14ac:dyDescent="0.3">
      <c r="B4519" s="26"/>
      <c r="C4519" s="28"/>
      <c r="D4519" s="27"/>
      <c r="E4519" s="29"/>
      <c r="F4519" s="29"/>
      <c r="G4519" s="29"/>
      <c r="H4519" s="30" t="str">
        <f t="shared" si="490"/>
        <v/>
      </c>
      <c r="I4519" s="31" t="str">
        <f>IF(OR(B4519="",C4519=""),"",IFERROR(E4519*IF(E4519="",0,VLOOKUP(C4519,'📦 Precios Proforma'!$B$5:$D$104,IF(D4519="DIA",2,3),FALSE)),0))</f>
        <v/>
      </c>
      <c r="J4519" s="31" t="str">
        <f t="shared" si="491"/>
        <v/>
      </c>
      <c r="K4519" s="31" t="str">
        <f t="shared" si="492"/>
        <v/>
      </c>
      <c r="L4519" s="31" t="str">
        <f>IF(OR(B4519="",C4519=""),"",IFERROR(E4519 / SUMIFS('📅 Resumen Diario'!$D$5:$D$504, '📅 Resumen Diario'!$B$5:$B$504, B4519, '📅 Resumen Diario'!$C$5:$C$504, D4519) * SUMIFS('📅 Resumen Diario'!$K$5:$K$504, '📅 Resumen Diario'!$B$5:$B$504, B4519, '📅 Resumen Diario'!$C$5:$C$504, D4519), 0))</f>
        <v/>
      </c>
      <c r="M4519" s="31" t="str">
        <f t="shared" si="493"/>
        <v/>
      </c>
      <c r="N4519" s="31" t="str">
        <f t="shared" si="494"/>
        <v/>
      </c>
      <c r="O4519" s="31" t="str">
        <f>IF(OR(B4519="",C4519=""),"",K4519-N4519 + IFERROR(E4519 / SUMIFS('📅 Resumen Diario'!$D$5:$D$504, '📅 Resumen Diario'!$B$5:$B$504, B4519, '📅 Resumen Diario'!$C$5:$C$504, D4519) * (SUMIFS('📋 Detalle Diario'!$E$5:$E$489, '📋 Detalle Diario'!$B$5:$B$489, B4519, '📋 Detalle Diario'!$C$5:$C$489, D4519) * 135 + SUMIFS('📋 Detalle Diario'!$I$5:$I$489, '📋 Detalle Diario'!$B$5:$B$489, B4519, '📋 Detalle Diario'!$C$5:$C$489, D4519) * 200), 0))</f>
        <v/>
      </c>
      <c r="P4519" s="32" t="str">
        <f t="shared" si="495"/>
        <v/>
      </c>
      <c r="Q4519" s="33" t="str">
        <f t="shared" si="496"/>
        <v/>
      </c>
    </row>
    <row r="4520" spans="2:17" ht="18" customHeight="1" x14ac:dyDescent="0.3">
      <c r="B4520" s="26"/>
      <c r="C4520" s="17"/>
      <c r="D4520" s="27"/>
      <c r="E4520" s="18"/>
      <c r="F4520" s="18"/>
      <c r="G4520" s="18"/>
      <c r="H4520" s="30" t="str">
        <f t="shared" si="490"/>
        <v/>
      </c>
      <c r="I4520" s="31" t="str">
        <f>IF(OR(B4520="",C4520=""),"",IFERROR(E4520*IF(E4520="",0,VLOOKUP(C4520,'📦 Precios Proforma'!$B$5:$D$104,IF(D4520="DIA",2,3),FALSE)),0))</f>
        <v/>
      </c>
      <c r="J4520" s="31" t="str">
        <f t="shared" si="491"/>
        <v/>
      </c>
      <c r="K4520" s="31" t="str">
        <f t="shared" si="492"/>
        <v/>
      </c>
      <c r="L4520" s="31" t="str">
        <f>IF(OR(B4520="",C4520=""),"",IFERROR(E4520 / SUMIFS('📅 Resumen Diario'!$D$5:$D$504, '📅 Resumen Diario'!$B$5:$B$504, B4520, '📅 Resumen Diario'!$C$5:$C$504, D4520) * SUMIFS('📅 Resumen Diario'!$K$5:$K$504, '📅 Resumen Diario'!$B$5:$B$504, B4520, '📅 Resumen Diario'!$C$5:$C$504, D4520), 0))</f>
        <v/>
      </c>
      <c r="M4520" s="31" t="str">
        <f t="shared" si="493"/>
        <v/>
      </c>
      <c r="N4520" s="31" t="str">
        <f t="shared" si="494"/>
        <v/>
      </c>
      <c r="O4520" s="31" t="str">
        <f>IF(OR(B4520="",C4520=""),"",K4520-N4520 + IFERROR(E4520 / SUMIFS('📅 Resumen Diario'!$D$5:$D$504, '📅 Resumen Diario'!$B$5:$B$504, B4520, '📅 Resumen Diario'!$C$5:$C$504, D4520) * (SUMIFS('📋 Detalle Diario'!$E$5:$E$489, '📋 Detalle Diario'!$B$5:$B$489, B4520, '📋 Detalle Diario'!$C$5:$C$489, D4520) * 135 + SUMIFS('📋 Detalle Diario'!$I$5:$I$489, '📋 Detalle Diario'!$B$5:$B$489, B4520, '📋 Detalle Diario'!$C$5:$C$489, D4520) * 200), 0))</f>
        <v/>
      </c>
      <c r="P4520" s="32" t="str">
        <f t="shared" si="495"/>
        <v/>
      </c>
      <c r="Q4520" s="33" t="str">
        <f t="shared" si="496"/>
        <v/>
      </c>
    </row>
    <row r="4521" spans="2:17" ht="18" customHeight="1" x14ac:dyDescent="0.3">
      <c r="B4521" s="26"/>
      <c r="C4521" s="28"/>
      <c r="D4521" s="27"/>
      <c r="E4521" s="29"/>
      <c r="F4521" s="29"/>
      <c r="G4521" s="29"/>
      <c r="H4521" s="30" t="str">
        <f t="shared" si="490"/>
        <v/>
      </c>
      <c r="I4521" s="31" t="str">
        <f>IF(OR(B4521="",C4521=""),"",IFERROR(E4521*IF(E4521="",0,VLOOKUP(C4521,'📦 Precios Proforma'!$B$5:$D$104,IF(D4521="DIA",2,3),FALSE)),0))</f>
        <v/>
      </c>
      <c r="J4521" s="31" t="str">
        <f t="shared" si="491"/>
        <v/>
      </c>
      <c r="K4521" s="31" t="str">
        <f t="shared" si="492"/>
        <v/>
      </c>
      <c r="L4521" s="31" t="str">
        <f>IF(OR(B4521="",C4521=""),"",IFERROR(E4521 / SUMIFS('📅 Resumen Diario'!$D$5:$D$504, '📅 Resumen Diario'!$B$5:$B$504, B4521, '📅 Resumen Diario'!$C$5:$C$504, D4521) * SUMIFS('📅 Resumen Diario'!$K$5:$K$504, '📅 Resumen Diario'!$B$5:$B$504, B4521, '📅 Resumen Diario'!$C$5:$C$504, D4521), 0))</f>
        <v/>
      </c>
      <c r="M4521" s="31" t="str">
        <f t="shared" si="493"/>
        <v/>
      </c>
      <c r="N4521" s="31" t="str">
        <f t="shared" si="494"/>
        <v/>
      </c>
      <c r="O4521" s="31" t="str">
        <f>IF(OR(B4521="",C4521=""),"",K4521-N4521 + IFERROR(E4521 / SUMIFS('📅 Resumen Diario'!$D$5:$D$504, '📅 Resumen Diario'!$B$5:$B$504, B4521, '📅 Resumen Diario'!$C$5:$C$504, D4521) * (SUMIFS('📋 Detalle Diario'!$E$5:$E$489, '📋 Detalle Diario'!$B$5:$B$489, B4521, '📋 Detalle Diario'!$C$5:$C$489, D4521) * 135 + SUMIFS('📋 Detalle Diario'!$I$5:$I$489, '📋 Detalle Diario'!$B$5:$B$489, B4521, '📋 Detalle Diario'!$C$5:$C$489, D4521) * 200), 0))</f>
        <v/>
      </c>
      <c r="P4521" s="32" t="str">
        <f t="shared" si="495"/>
        <v/>
      </c>
      <c r="Q4521" s="33" t="str">
        <f t="shared" si="496"/>
        <v/>
      </c>
    </row>
    <row r="4522" spans="2:17" ht="18" customHeight="1" x14ac:dyDescent="0.3">
      <c r="B4522" s="26"/>
      <c r="C4522" s="17"/>
      <c r="D4522" s="27"/>
      <c r="E4522" s="18"/>
      <c r="F4522" s="18"/>
      <c r="G4522" s="18"/>
      <c r="H4522" s="30" t="str">
        <f t="shared" si="490"/>
        <v/>
      </c>
      <c r="I4522" s="31" t="str">
        <f>IF(OR(B4522="",C4522=""),"",IFERROR(E4522*IF(E4522="",0,VLOOKUP(C4522,'📦 Precios Proforma'!$B$5:$D$104,IF(D4522="DIA",2,3),FALSE)),0))</f>
        <v/>
      </c>
      <c r="J4522" s="31" t="str">
        <f t="shared" si="491"/>
        <v/>
      </c>
      <c r="K4522" s="31" t="str">
        <f t="shared" si="492"/>
        <v/>
      </c>
      <c r="L4522" s="31" t="str">
        <f>IF(OR(B4522="",C4522=""),"",IFERROR(E4522 / SUMIFS('📅 Resumen Diario'!$D$5:$D$504, '📅 Resumen Diario'!$B$5:$B$504, B4522, '📅 Resumen Diario'!$C$5:$C$504, D4522) * SUMIFS('📅 Resumen Diario'!$K$5:$K$504, '📅 Resumen Diario'!$B$5:$B$504, B4522, '📅 Resumen Diario'!$C$5:$C$504, D4522), 0))</f>
        <v/>
      </c>
      <c r="M4522" s="31" t="str">
        <f t="shared" si="493"/>
        <v/>
      </c>
      <c r="N4522" s="31" t="str">
        <f t="shared" si="494"/>
        <v/>
      </c>
      <c r="O4522" s="31" t="str">
        <f>IF(OR(B4522="",C4522=""),"",K4522-N4522 + IFERROR(E4522 / SUMIFS('📅 Resumen Diario'!$D$5:$D$504, '📅 Resumen Diario'!$B$5:$B$504, B4522, '📅 Resumen Diario'!$C$5:$C$504, D4522) * (SUMIFS('📋 Detalle Diario'!$E$5:$E$489, '📋 Detalle Diario'!$B$5:$B$489, B4522, '📋 Detalle Diario'!$C$5:$C$489, D4522) * 135 + SUMIFS('📋 Detalle Diario'!$I$5:$I$489, '📋 Detalle Diario'!$B$5:$B$489, B4522, '📋 Detalle Diario'!$C$5:$C$489, D4522) * 200), 0))</f>
        <v/>
      </c>
      <c r="P4522" s="32" t="str">
        <f t="shared" si="495"/>
        <v/>
      </c>
      <c r="Q4522" s="33" t="str">
        <f t="shared" si="496"/>
        <v/>
      </c>
    </row>
    <row r="4523" spans="2:17" ht="18" customHeight="1" x14ac:dyDescent="0.3">
      <c r="B4523" s="26"/>
      <c r="C4523" s="28"/>
      <c r="D4523" s="27"/>
      <c r="E4523" s="29"/>
      <c r="F4523" s="29"/>
      <c r="G4523" s="29"/>
      <c r="H4523" s="30" t="str">
        <f t="shared" si="490"/>
        <v/>
      </c>
      <c r="I4523" s="31" t="str">
        <f>IF(OR(B4523="",C4523=""),"",IFERROR(E4523*IF(E4523="",0,VLOOKUP(C4523,'📦 Precios Proforma'!$B$5:$D$104,IF(D4523="DIA",2,3),FALSE)),0))</f>
        <v/>
      </c>
      <c r="J4523" s="31" t="str">
        <f t="shared" si="491"/>
        <v/>
      </c>
      <c r="K4523" s="31" t="str">
        <f t="shared" si="492"/>
        <v/>
      </c>
      <c r="L4523" s="31" t="str">
        <f>IF(OR(B4523="",C4523=""),"",IFERROR(E4523 / SUMIFS('📅 Resumen Diario'!$D$5:$D$504, '📅 Resumen Diario'!$B$5:$B$504, B4523, '📅 Resumen Diario'!$C$5:$C$504, D4523) * SUMIFS('📅 Resumen Diario'!$K$5:$K$504, '📅 Resumen Diario'!$B$5:$B$504, B4523, '📅 Resumen Diario'!$C$5:$C$504, D4523), 0))</f>
        <v/>
      </c>
      <c r="M4523" s="31" t="str">
        <f t="shared" si="493"/>
        <v/>
      </c>
      <c r="N4523" s="31" t="str">
        <f t="shared" si="494"/>
        <v/>
      </c>
      <c r="O4523" s="31" t="str">
        <f>IF(OR(B4523="",C4523=""),"",K4523-N4523 + IFERROR(E4523 / SUMIFS('📅 Resumen Diario'!$D$5:$D$504, '📅 Resumen Diario'!$B$5:$B$504, B4523, '📅 Resumen Diario'!$C$5:$C$504, D4523) * (SUMIFS('📋 Detalle Diario'!$E$5:$E$489, '📋 Detalle Diario'!$B$5:$B$489, B4523, '📋 Detalle Diario'!$C$5:$C$489, D4523) * 135 + SUMIFS('📋 Detalle Diario'!$I$5:$I$489, '📋 Detalle Diario'!$B$5:$B$489, B4523, '📋 Detalle Diario'!$C$5:$C$489, D4523) * 200), 0))</f>
        <v/>
      </c>
      <c r="P4523" s="32" t="str">
        <f t="shared" si="495"/>
        <v/>
      </c>
      <c r="Q4523" s="33" t="str">
        <f t="shared" si="496"/>
        <v/>
      </c>
    </row>
    <row r="4524" spans="2:17" ht="18" customHeight="1" x14ac:dyDescent="0.3">
      <c r="B4524" s="26"/>
      <c r="C4524" s="17"/>
      <c r="D4524" s="27"/>
      <c r="E4524" s="18"/>
      <c r="F4524" s="18"/>
      <c r="G4524" s="18"/>
      <c r="H4524" s="30" t="str">
        <f t="shared" si="490"/>
        <v/>
      </c>
      <c r="I4524" s="31" t="str">
        <f>IF(OR(B4524="",C4524=""),"",IFERROR(E4524*IF(E4524="",0,VLOOKUP(C4524,'📦 Precios Proforma'!$B$5:$D$104,IF(D4524="DIA",2,3),FALSE)),0))</f>
        <v/>
      </c>
      <c r="J4524" s="31" t="str">
        <f t="shared" si="491"/>
        <v/>
      </c>
      <c r="K4524" s="31" t="str">
        <f t="shared" si="492"/>
        <v/>
      </c>
      <c r="L4524" s="31" t="str">
        <f>IF(OR(B4524="",C4524=""),"",IFERROR(E4524 / SUMIFS('📅 Resumen Diario'!$D$5:$D$504, '📅 Resumen Diario'!$B$5:$B$504, B4524, '📅 Resumen Diario'!$C$5:$C$504, D4524) * SUMIFS('📅 Resumen Diario'!$K$5:$K$504, '📅 Resumen Diario'!$B$5:$B$504, B4524, '📅 Resumen Diario'!$C$5:$C$504, D4524), 0))</f>
        <v/>
      </c>
      <c r="M4524" s="31" t="str">
        <f t="shared" si="493"/>
        <v/>
      </c>
      <c r="N4524" s="31" t="str">
        <f t="shared" si="494"/>
        <v/>
      </c>
      <c r="O4524" s="31" t="str">
        <f>IF(OR(B4524="",C4524=""),"",K4524-N4524 + IFERROR(E4524 / SUMIFS('📅 Resumen Diario'!$D$5:$D$504, '📅 Resumen Diario'!$B$5:$B$504, B4524, '📅 Resumen Diario'!$C$5:$C$504, D4524) * (SUMIFS('📋 Detalle Diario'!$E$5:$E$489, '📋 Detalle Diario'!$B$5:$B$489, B4524, '📋 Detalle Diario'!$C$5:$C$489, D4524) * 135 + SUMIFS('📋 Detalle Diario'!$I$5:$I$489, '📋 Detalle Diario'!$B$5:$B$489, B4524, '📋 Detalle Diario'!$C$5:$C$489, D4524) * 200), 0))</f>
        <v/>
      </c>
      <c r="P4524" s="32" t="str">
        <f t="shared" si="495"/>
        <v/>
      </c>
      <c r="Q4524" s="33" t="str">
        <f t="shared" si="496"/>
        <v/>
      </c>
    </row>
    <row r="4525" spans="2:17" ht="18" customHeight="1" x14ac:dyDescent="0.3">
      <c r="B4525" s="26"/>
      <c r="C4525" s="28"/>
      <c r="D4525" s="27"/>
      <c r="E4525" s="29"/>
      <c r="F4525" s="29"/>
      <c r="G4525" s="29"/>
      <c r="H4525" s="30" t="str">
        <f t="shared" si="490"/>
        <v/>
      </c>
      <c r="I4525" s="31" t="str">
        <f>IF(OR(B4525="",C4525=""),"",IFERROR(E4525*IF(E4525="",0,VLOOKUP(C4525,'📦 Precios Proforma'!$B$5:$D$104,IF(D4525="DIA",2,3),FALSE)),0))</f>
        <v/>
      </c>
      <c r="J4525" s="31" t="str">
        <f t="shared" si="491"/>
        <v/>
      </c>
      <c r="K4525" s="31" t="str">
        <f t="shared" si="492"/>
        <v/>
      </c>
      <c r="L4525" s="31" t="str">
        <f>IF(OR(B4525="",C4525=""),"",IFERROR(E4525 / SUMIFS('📅 Resumen Diario'!$D$5:$D$504, '📅 Resumen Diario'!$B$5:$B$504, B4525, '📅 Resumen Diario'!$C$5:$C$504, D4525) * SUMIFS('📅 Resumen Diario'!$K$5:$K$504, '📅 Resumen Diario'!$B$5:$B$504, B4525, '📅 Resumen Diario'!$C$5:$C$504, D4525), 0))</f>
        <v/>
      </c>
      <c r="M4525" s="31" t="str">
        <f t="shared" si="493"/>
        <v/>
      </c>
      <c r="N4525" s="31" t="str">
        <f t="shared" si="494"/>
        <v/>
      </c>
      <c r="O4525" s="31" t="str">
        <f>IF(OR(B4525="",C4525=""),"",K4525-N4525 + IFERROR(E4525 / SUMIFS('📅 Resumen Diario'!$D$5:$D$504, '📅 Resumen Diario'!$B$5:$B$504, B4525, '📅 Resumen Diario'!$C$5:$C$504, D4525) * (SUMIFS('📋 Detalle Diario'!$E$5:$E$489, '📋 Detalle Diario'!$B$5:$B$489, B4525, '📋 Detalle Diario'!$C$5:$C$489, D4525) * 135 + SUMIFS('📋 Detalle Diario'!$I$5:$I$489, '📋 Detalle Diario'!$B$5:$B$489, B4525, '📋 Detalle Diario'!$C$5:$C$489, D4525) * 200), 0))</f>
        <v/>
      </c>
      <c r="P4525" s="32" t="str">
        <f t="shared" si="495"/>
        <v/>
      </c>
      <c r="Q4525" s="33" t="str">
        <f t="shared" si="496"/>
        <v/>
      </c>
    </row>
    <row r="4526" spans="2:17" ht="18" customHeight="1" x14ac:dyDescent="0.3">
      <c r="B4526" s="26"/>
      <c r="C4526" s="17"/>
      <c r="D4526" s="27"/>
      <c r="E4526" s="18"/>
      <c r="F4526" s="18"/>
      <c r="G4526" s="18"/>
      <c r="H4526" s="30" t="str">
        <f t="shared" si="490"/>
        <v/>
      </c>
      <c r="I4526" s="31" t="str">
        <f>IF(OR(B4526="",C4526=""),"",IFERROR(E4526*IF(E4526="",0,VLOOKUP(C4526,'📦 Precios Proforma'!$B$5:$D$104,IF(D4526="DIA",2,3),FALSE)),0))</f>
        <v/>
      </c>
      <c r="J4526" s="31" t="str">
        <f t="shared" si="491"/>
        <v/>
      </c>
      <c r="K4526" s="31" t="str">
        <f t="shared" si="492"/>
        <v/>
      </c>
      <c r="L4526" s="31" t="str">
        <f>IF(OR(B4526="",C4526=""),"",IFERROR(E4526 / SUMIFS('📅 Resumen Diario'!$D$5:$D$504, '📅 Resumen Diario'!$B$5:$B$504, B4526, '📅 Resumen Diario'!$C$5:$C$504, D4526) * SUMIFS('📅 Resumen Diario'!$K$5:$K$504, '📅 Resumen Diario'!$B$5:$B$504, B4526, '📅 Resumen Diario'!$C$5:$C$504, D4526), 0))</f>
        <v/>
      </c>
      <c r="M4526" s="31" t="str">
        <f t="shared" si="493"/>
        <v/>
      </c>
      <c r="N4526" s="31" t="str">
        <f t="shared" si="494"/>
        <v/>
      </c>
      <c r="O4526" s="31" t="str">
        <f>IF(OR(B4526="",C4526=""),"",K4526-N4526 + IFERROR(E4526 / SUMIFS('📅 Resumen Diario'!$D$5:$D$504, '📅 Resumen Diario'!$B$5:$B$504, B4526, '📅 Resumen Diario'!$C$5:$C$504, D4526) * (SUMIFS('📋 Detalle Diario'!$E$5:$E$489, '📋 Detalle Diario'!$B$5:$B$489, B4526, '📋 Detalle Diario'!$C$5:$C$489, D4526) * 135 + SUMIFS('📋 Detalle Diario'!$I$5:$I$489, '📋 Detalle Diario'!$B$5:$B$489, B4526, '📋 Detalle Diario'!$C$5:$C$489, D4526) * 200), 0))</f>
        <v/>
      </c>
      <c r="P4526" s="32" t="str">
        <f t="shared" si="495"/>
        <v/>
      </c>
      <c r="Q4526" s="33" t="str">
        <f t="shared" si="496"/>
        <v/>
      </c>
    </row>
    <row r="4527" spans="2:17" ht="18" customHeight="1" x14ac:dyDescent="0.3">
      <c r="B4527" s="26"/>
      <c r="C4527" s="28"/>
      <c r="D4527" s="27"/>
      <c r="E4527" s="29"/>
      <c r="F4527" s="29"/>
      <c r="G4527" s="29"/>
      <c r="H4527" s="30" t="str">
        <f t="shared" si="490"/>
        <v/>
      </c>
      <c r="I4527" s="31" t="str">
        <f>IF(OR(B4527="",C4527=""),"",IFERROR(E4527*IF(E4527="",0,VLOOKUP(C4527,'📦 Precios Proforma'!$B$5:$D$104,IF(D4527="DIA",2,3),FALSE)),0))</f>
        <v/>
      </c>
      <c r="J4527" s="31" t="str">
        <f t="shared" si="491"/>
        <v/>
      </c>
      <c r="K4527" s="31" t="str">
        <f t="shared" si="492"/>
        <v/>
      </c>
      <c r="L4527" s="31" t="str">
        <f>IF(OR(B4527="",C4527=""),"",IFERROR(E4527 / SUMIFS('📅 Resumen Diario'!$D$5:$D$504, '📅 Resumen Diario'!$B$5:$B$504, B4527, '📅 Resumen Diario'!$C$5:$C$504, D4527) * SUMIFS('📅 Resumen Diario'!$K$5:$K$504, '📅 Resumen Diario'!$B$5:$B$504, B4527, '📅 Resumen Diario'!$C$5:$C$504, D4527), 0))</f>
        <v/>
      </c>
      <c r="M4527" s="31" t="str">
        <f t="shared" si="493"/>
        <v/>
      </c>
      <c r="N4527" s="31" t="str">
        <f t="shared" si="494"/>
        <v/>
      </c>
      <c r="O4527" s="31" t="str">
        <f>IF(OR(B4527="",C4527=""),"",K4527-N4527 + IFERROR(E4527 / SUMIFS('📅 Resumen Diario'!$D$5:$D$504, '📅 Resumen Diario'!$B$5:$B$504, B4527, '📅 Resumen Diario'!$C$5:$C$504, D4527) * (SUMIFS('📋 Detalle Diario'!$E$5:$E$489, '📋 Detalle Diario'!$B$5:$B$489, B4527, '📋 Detalle Diario'!$C$5:$C$489, D4527) * 135 + SUMIFS('📋 Detalle Diario'!$I$5:$I$489, '📋 Detalle Diario'!$B$5:$B$489, B4527, '📋 Detalle Diario'!$C$5:$C$489, D4527) * 200), 0))</f>
        <v/>
      </c>
      <c r="P4527" s="32" t="str">
        <f t="shared" si="495"/>
        <v/>
      </c>
      <c r="Q4527" s="33" t="str">
        <f t="shared" si="496"/>
        <v/>
      </c>
    </row>
    <row r="4528" spans="2:17" ht="18" customHeight="1" x14ac:dyDescent="0.3">
      <c r="B4528" s="26"/>
      <c r="C4528" s="17"/>
      <c r="D4528" s="27"/>
      <c r="E4528" s="18"/>
      <c r="F4528" s="18"/>
      <c r="G4528" s="18"/>
      <c r="H4528" s="30" t="str">
        <f t="shared" si="490"/>
        <v/>
      </c>
      <c r="I4528" s="31" t="str">
        <f>IF(OR(B4528="",C4528=""),"",IFERROR(E4528*IF(E4528="",0,VLOOKUP(C4528,'📦 Precios Proforma'!$B$5:$D$104,IF(D4528="DIA",2,3),FALSE)),0))</f>
        <v/>
      </c>
      <c r="J4528" s="31" t="str">
        <f t="shared" si="491"/>
        <v/>
      </c>
      <c r="K4528" s="31" t="str">
        <f t="shared" si="492"/>
        <v/>
      </c>
      <c r="L4528" s="31" t="str">
        <f>IF(OR(B4528="",C4528=""),"",IFERROR(E4528 / SUMIFS('📅 Resumen Diario'!$D$5:$D$504, '📅 Resumen Diario'!$B$5:$B$504, B4528, '📅 Resumen Diario'!$C$5:$C$504, D4528) * SUMIFS('📅 Resumen Diario'!$K$5:$K$504, '📅 Resumen Diario'!$B$5:$B$504, B4528, '📅 Resumen Diario'!$C$5:$C$504, D4528), 0))</f>
        <v/>
      </c>
      <c r="M4528" s="31" t="str">
        <f t="shared" si="493"/>
        <v/>
      </c>
      <c r="N4528" s="31" t="str">
        <f t="shared" si="494"/>
        <v/>
      </c>
      <c r="O4528" s="31" t="str">
        <f>IF(OR(B4528="",C4528=""),"",K4528-N4528 + IFERROR(E4528 / SUMIFS('📅 Resumen Diario'!$D$5:$D$504, '📅 Resumen Diario'!$B$5:$B$504, B4528, '📅 Resumen Diario'!$C$5:$C$504, D4528) * (SUMIFS('📋 Detalle Diario'!$E$5:$E$489, '📋 Detalle Diario'!$B$5:$B$489, B4528, '📋 Detalle Diario'!$C$5:$C$489, D4528) * 135 + SUMIFS('📋 Detalle Diario'!$I$5:$I$489, '📋 Detalle Diario'!$B$5:$B$489, B4528, '📋 Detalle Diario'!$C$5:$C$489, D4528) * 200), 0))</f>
        <v/>
      </c>
      <c r="P4528" s="32" t="str">
        <f t="shared" si="495"/>
        <v/>
      </c>
      <c r="Q4528" s="33" t="str">
        <f t="shared" si="496"/>
        <v/>
      </c>
    </row>
    <row r="4529" spans="2:17" ht="18" customHeight="1" x14ac:dyDescent="0.3">
      <c r="B4529" s="26"/>
      <c r="C4529" s="28"/>
      <c r="D4529" s="27"/>
      <c r="E4529" s="29"/>
      <c r="F4529" s="29"/>
      <c r="G4529" s="29"/>
      <c r="H4529" s="30" t="str">
        <f t="shared" si="490"/>
        <v/>
      </c>
      <c r="I4529" s="31" t="str">
        <f>IF(OR(B4529="",C4529=""),"",IFERROR(E4529*IF(E4529="",0,VLOOKUP(C4529,'📦 Precios Proforma'!$B$5:$D$104,IF(D4529="DIA",2,3),FALSE)),0))</f>
        <v/>
      </c>
      <c r="J4529" s="31" t="str">
        <f t="shared" si="491"/>
        <v/>
      </c>
      <c r="K4529" s="31" t="str">
        <f t="shared" si="492"/>
        <v/>
      </c>
      <c r="L4529" s="31" t="str">
        <f>IF(OR(B4529="",C4529=""),"",IFERROR(E4529 / SUMIFS('📅 Resumen Diario'!$D$5:$D$504, '📅 Resumen Diario'!$B$5:$B$504, B4529, '📅 Resumen Diario'!$C$5:$C$504, D4529) * SUMIFS('📅 Resumen Diario'!$K$5:$K$504, '📅 Resumen Diario'!$B$5:$B$504, B4529, '📅 Resumen Diario'!$C$5:$C$504, D4529), 0))</f>
        <v/>
      </c>
      <c r="M4529" s="31" t="str">
        <f t="shared" si="493"/>
        <v/>
      </c>
      <c r="N4529" s="31" t="str">
        <f t="shared" si="494"/>
        <v/>
      </c>
      <c r="O4529" s="31" t="str">
        <f>IF(OR(B4529="",C4529=""),"",K4529-N4529 + IFERROR(E4529 / SUMIFS('📅 Resumen Diario'!$D$5:$D$504, '📅 Resumen Diario'!$B$5:$B$504, B4529, '📅 Resumen Diario'!$C$5:$C$504, D4529) * (SUMIFS('📋 Detalle Diario'!$E$5:$E$489, '📋 Detalle Diario'!$B$5:$B$489, B4529, '📋 Detalle Diario'!$C$5:$C$489, D4529) * 135 + SUMIFS('📋 Detalle Diario'!$I$5:$I$489, '📋 Detalle Diario'!$B$5:$B$489, B4529, '📋 Detalle Diario'!$C$5:$C$489, D4529) * 200), 0))</f>
        <v/>
      </c>
      <c r="P4529" s="32" t="str">
        <f t="shared" si="495"/>
        <v/>
      </c>
      <c r="Q4529" s="33" t="str">
        <f t="shared" si="496"/>
        <v/>
      </c>
    </row>
    <row r="4530" spans="2:17" ht="18" customHeight="1" x14ac:dyDescent="0.3">
      <c r="B4530" s="26"/>
      <c r="C4530" s="17"/>
      <c r="D4530" s="27"/>
      <c r="E4530" s="18"/>
      <c r="F4530" s="18"/>
      <c r="G4530" s="18"/>
      <c r="H4530" s="30" t="str">
        <f t="shared" si="490"/>
        <v/>
      </c>
      <c r="I4530" s="31" t="str">
        <f>IF(OR(B4530="",C4530=""),"",IFERROR(E4530*IF(E4530="",0,VLOOKUP(C4530,'📦 Precios Proforma'!$B$5:$D$104,IF(D4530="DIA",2,3),FALSE)),0))</f>
        <v/>
      </c>
      <c r="J4530" s="31" t="str">
        <f t="shared" si="491"/>
        <v/>
      </c>
      <c r="K4530" s="31" t="str">
        <f t="shared" si="492"/>
        <v/>
      </c>
      <c r="L4530" s="31" t="str">
        <f>IF(OR(B4530="",C4530=""),"",IFERROR(E4530 / SUMIFS('📅 Resumen Diario'!$D$5:$D$504, '📅 Resumen Diario'!$B$5:$B$504, B4530, '📅 Resumen Diario'!$C$5:$C$504, D4530) * SUMIFS('📅 Resumen Diario'!$K$5:$K$504, '📅 Resumen Diario'!$B$5:$B$504, B4530, '📅 Resumen Diario'!$C$5:$C$504, D4530), 0))</f>
        <v/>
      </c>
      <c r="M4530" s="31" t="str">
        <f t="shared" si="493"/>
        <v/>
      </c>
      <c r="N4530" s="31" t="str">
        <f t="shared" si="494"/>
        <v/>
      </c>
      <c r="O4530" s="31" t="str">
        <f>IF(OR(B4530="",C4530=""),"",K4530-N4530 + IFERROR(E4530 / SUMIFS('📅 Resumen Diario'!$D$5:$D$504, '📅 Resumen Diario'!$B$5:$B$504, B4530, '📅 Resumen Diario'!$C$5:$C$504, D4530) * (SUMIFS('📋 Detalle Diario'!$E$5:$E$489, '📋 Detalle Diario'!$B$5:$B$489, B4530, '📋 Detalle Diario'!$C$5:$C$489, D4530) * 135 + SUMIFS('📋 Detalle Diario'!$I$5:$I$489, '📋 Detalle Diario'!$B$5:$B$489, B4530, '📋 Detalle Diario'!$C$5:$C$489, D4530) * 200), 0))</f>
        <v/>
      </c>
      <c r="P4530" s="32" t="str">
        <f t="shared" si="495"/>
        <v/>
      </c>
      <c r="Q4530" s="33" t="str">
        <f t="shared" si="496"/>
        <v/>
      </c>
    </row>
    <row r="4531" spans="2:17" ht="18" customHeight="1" x14ac:dyDescent="0.3">
      <c r="B4531" s="26"/>
      <c r="C4531" s="28"/>
      <c r="D4531" s="27"/>
      <c r="E4531" s="29"/>
      <c r="F4531" s="29"/>
      <c r="G4531" s="29"/>
      <c r="H4531" s="30" t="str">
        <f t="shared" si="490"/>
        <v/>
      </c>
      <c r="I4531" s="31" t="str">
        <f>IF(OR(B4531="",C4531=""),"",IFERROR(E4531*IF(E4531="",0,VLOOKUP(C4531,'📦 Precios Proforma'!$B$5:$D$104,IF(D4531="DIA",2,3),FALSE)),0))</f>
        <v/>
      </c>
      <c r="J4531" s="31" t="str">
        <f t="shared" si="491"/>
        <v/>
      </c>
      <c r="K4531" s="31" t="str">
        <f t="shared" si="492"/>
        <v/>
      </c>
      <c r="L4531" s="31" t="str">
        <f>IF(OR(B4531="",C4531=""),"",IFERROR(E4531 / SUMIFS('📅 Resumen Diario'!$D$5:$D$504, '📅 Resumen Diario'!$B$5:$B$504, B4531, '📅 Resumen Diario'!$C$5:$C$504, D4531) * SUMIFS('📅 Resumen Diario'!$K$5:$K$504, '📅 Resumen Diario'!$B$5:$B$504, B4531, '📅 Resumen Diario'!$C$5:$C$504, D4531), 0))</f>
        <v/>
      </c>
      <c r="M4531" s="31" t="str">
        <f t="shared" si="493"/>
        <v/>
      </c>
      <c r="N4531" s="31" t="str">
        <f t="shared" si="494"/>
        <v/>
      </c>
      <c r="O4531" s="31" t="str">
        <f>IF(OR(B4531="",C4531=""),"",K4531-N4531 + IFERROR(E4531 / SUMIFS('📅 Resumen Diario'!$D$5:$D$504, '📅 Resumen Diario'!$B$5:$B$504, B4531, '📅 Resumen Diario'!$C$5:$C$504, D4531) * (SUMIFS('📋 Detalle Diario'!$E$5:$E$489, '📋 Detalle Diario'!$B$5:$B$489, B4531, '📋 Detalle Diario'!$C$5:$C$489, D4531) * 135 + SUMIFS('📋 Detalle Diario'!$I$5:$I$489, '📋 Detalle Diario'!$B$5:$B$489, B4531, '📋 Detalle Diario'!$C$5:$C$489, D4531) * 200), 0))</f>
        <v/>
      </c>
      <c r="P4531" s="32" t="str">
        <f t="shared" si="495"/>
        <v/>
      </c>
      <c r="Q4531" s="33" t="str">
        <f t="shared" si="496"/>
        <v/>
      </c>
    </row>
    <row r="4532" spans="2:17" ht="18" customHeight="1" x14ac:dyDescent="0.3">
      <c r="B4532" s="26"/>
      <c r="C4532" s="17"/>
      <c r="D4532" s="27"/>
      <c r="E4532" s="18"/>
      <c r="F4532" s="18"/>
      <c r="G4532" s="18"/>
      <c r="H4532" s="30" t="str">
        <f t="shared" si="490"/>
        <v/>
      </c>
      <c r="I4532" s="31" t="str">
        <f>IF(OR(B4532="",C4532=""),"",IFERROR(E4532*IF(E4532="",0,VLOOKUP(C4532,'📦 Precios Proforma'!$B$5:$D$104,IF(D4532="DIA",2,3),FALSE)),0))</f>
        <v/>
      </c>
      <c r="J4532" s="31" t="str">
        <f t="shared" si="491"/>
        <v/>
      </c>
      <c r="K4532" s="31" t="str">
        <f t="shared" si="492"/>
        <v/>
      </c>
      <c r="L4532" s="31" t="str">
        <f>IF(OR(B4532="",C4532=""),"",IFERROR(E4532 / SUMIFS('📅 Resumen Diario'!$D$5:$D$504, '📅 Resumen Diario'!$B$5:$B$504, B4532, '📅 Resumen Diario'!$C$5:$C$504, D4532) * SUMIFS('📅 Resumen Diario'!$K$5:$K$504, '📅 Resumen Diario'!$B$5:$B$504, B4532, '📅 Resumen Diario'!$C$5:$C$504, D4532), 0))</f>
        <v/>
      </c>
      <c r="M4532" s="31" t="str">
        <f t="shared" si="493"/>
        <v/>
      </c>
      <c r="N4532" s="31" t="str">
        <f t="shared" si="494"/>
        <v/>
      </c>
      <c r="O4532" s="31" t="str">
        <f>IF(OR(B4532="",C4532=""),"",K4532-N4532 + IFERROR(E4532 / SUMIFS('📅 Resumen Diario'!$D$5:$D$504, '📅 Resumen Diario'!$B$5:$B$504, B4532, '📅 Resumen Diario'!$C$5:$C$504, D4532) * (SUMIFS('📋 Detalle Diario'!$E$5:$E$489, '📋 Detalle Diario'!$B$5:$B$489, B4532, '📋 Detalle Diario'!$C$5:$C$489, D4532) * 135 + SUMIFS('📋 Detalle Diario'!$I$5:$I$489, '📋 Detalle Diario'!$B$5:$B$489, B4532, '📋 Detalle Diario'!$C$5:$C$489, D4532) * 200), 0))</f>
        <v/>
      </c>
      <c r="P4532" s="32" t="str">
        <f t="shared" si="495"/>
        <v/>
      </c>
      <c r="Q4532" s="33" t="str">
        <f t="shared" si="496"/>
        <v/>
      </c>
    </row>
    <row r="4533" spans="2:17" ht="18" customHeight="1" x14ac:dyDescent="0.3">
      <c r="B4533" s="26"/>
      <c r="C4533" s="28"/>
      <c r="D4533" s="27"/>
      <c r="E4533" s="29"/>
      <c r="F4533" s="29"/>
      <c r="G4533" s="29"/>
      <c r="H4533" s="30" t="str">
        <f t="shared" si="490"/>
        <v/>
      </c>
      <c r="I4533" s="31" t="str">
        <f>IF(OR(B4533="",C4533=""),"",IFERROR(E4533*IF(E4533="",0,VLOOKUP(C4533,'📦 Precios Proforma'!$B$5:$D$104,IF(D4533="DIA",2,3),FALSE)),0))</f>
        <v/>
      </c>
      <c r="J4533" s="31" t="str">
        <f t="shared" si="491"/>
        <v/>
      </c>
      <c r="K4533" s="31" t="str">
        <f t="shared" si="492"/>
        <v/>
      </c>
      <c r="L4533" s="31" t="str">
        <f>IF(OR(B4533="",C4533=""),"",IFERROR(E4533 / SUMIFS('📅 Resumen Diario'!$D$5:$D$504, '📅 Resumen Diario'!$B$5:$B$504, B4533, '📅 Resumen Diario'!$C$5:$C$504, D4533) * SUMIFS('📅 Resumen Diario'!$K$5:$K$504, '📅 Resumen Diario'!$B$5:$B$504, B4533, '📅 Resumen Diario'!$C$5:$C$504, D4533), 0))</f>
        <v/>
      </c>
      <c r="M4533" s="31" t="str">
        <f t="shared" si="493"/>
        <v/>
      </c>
      <c r="N4533" s="31" t="str">
        <f t="shared" si="494"/>
        <v/>
      </c>
      <c r="O4533" s="31" t="str">
        <f>IF(OR(B4533="",C4533=""),"",K4533-N4533 + IFERROR(E4533 / SUMIFS('📅 Resumen Diario'!$D$5:$D$504, '📅 Resumen Diario'!$B$5:$B$504, B4533, '📅 Resumen Diario'!$C$5:$C$504, D4533) * (SUMIFS('📋 Detalle Diario'!$E$5:$E$489, '📋 Detalle Diario'!$B$5:$B$489, B4533, '📋 Detalle Diario'!$C$5:$C$489, D4533) * 135 + SUMIFS('📋 Detalle Diario'!$I$5:$I$489, '📋 Detalle Diario'!$B$5:$B$489, B4533, '📋 Detalle Diario'!$C$5:$C$489, D4533) * 200), 0))</f>
        <v/>
      </c>
      <c r="P4533" s="32" t="str">
        <f t="shared" si="495"/>
        <v/>
      </c>
      <c r="Q4533" s="33" t="str">
        <f t="shared" si="496"/>
        <v/>
      </c>
    </row>
    <row r="4534" spans="2:17" ht="18" customHeight="1" x14ac:dyDescent="0.3">
      <c r="B4534" s="26"/>
      <c r="C4534" s="17"/>
      <c r="D4534" s="27"/>
      <c r="E4534" s="18"/>
      <c r="F4534" s="18"/>
      <c r="G4534" s="18"/>
      <c r="H4534" s="30" t="str">
        <f t="shared" si="490"/>
        <v/>
      </c>
      <c r="I4534" s="31" t="str">
        <f>IF(OR(B4534="",C4534=""),"",IFERROR(E4534*IF(E4534="",0,VLOOKUP(C4534,'📦 Precios Proforma'!$B$5:$D$104,IF(D4534="DIA",2,3),FALSE)),0))</f>
        <v/>
      </c>
      <c r="J4534" s="31" t="str">
        <f t="shared" si="491"/>
        <v/>
      </c>
      <c r="K4534" s="31" t="str">
        <f t="shared" si="492"/>
        <v/>
      </c>
      <c r="L4534" s="31" t="str">
        <f>IF(OR(B4534="",C4534=""),"",IFERROR(E4534 / SUMIFS('📅 Resumen Diario'!$D$5:$D$504, '📅 Resumen Diario'!$B$5:$B$504, B4534, '📅 Resumen Diario'!$C$5:$C$504, D4534) * SUMIFS('📅 Resumen Diario'!$K$5:$K$504, '📅 Resumen Diario'!$B$5:$B$504, B4534, '📅 Resumen Diario'!$C$5:$C$504, D4534), 0))</f>
        <v/>
      </c>
      <c r="M4534" s="31" t="str">
        <f t="shared" si="493"/>
        <v/>
      </c>
      <c r="N4534" s="31" t="str">
        <f t="shared" si="494"/>
        <v/>
      </c>
      <c r="O4534" s="31" t="str">
        <f>IF(OR(B4534="",C4534=""),"",K4534-N4534 + IFERROR(E4534 / SUMIFS('📅 Resumen Diario'!$D$5:$D$504, '📅 Resumen Diario'!$B$5:$B$504, B4534, '📅 Resumen Diario'!$C$5:$C$504, D4534) * (SUMIFS('📋 Detalle Diario'!$E$5:$E$489, '📋 Detalle Diario'!$B$5:$B$489, B4534, '📋 Detalle Diario'!$C$5:$C$489, D4534) * 135 + SUMIFS('📋 Detalle Diario'!$I$5:$I$489, '📋 Detalle Diario'!$B$5:$B$489, B4534, '📋 Detalle Diario'!$C$5:$C$489, D4534) * 200), 0))</f>
        <v/>
      </c>
      <c r="P4534" s="32" t="str">
        <f t="shared" si="495"/>
        <v/>
      </c>
      <c r="Q4534" s="33" t="str">
        <f t="shared" si="496"/>
        <v/>
      </c>
    </row>
    <row r="4535" spans="2:17" ht="18" customHeight="1" x14ac:dyDescent="0.3">
      <c r="B4535" s="26"/>
      <c r="C4535" s="28"/>
      <c r="D4535" s="27"/>
      <c r="E4535" s="29"/>
      <c r="F4535" s="29"/>
      <c r="G4535" s="29"/>
      <c r="H4535" s="30" t="str">
        <f t="shared" si="490"/>
        <v/>
      </c>
      <c r="I4535" s="31" t="str">
        <f>IF(OR(B4535="",C4535=""),"",IFERROR(E4535*IF(E4535="",0,VLOOKUP(C4535,'📦 Precios Proforma'!$B$5:$D$104,IF(D4535="DIA",2,3),FALSE)),0))</f>
        <v/>
      </c>
      <c r="J4535" s="31" t="str">
        <f t="shared" si="491"/>
        <v/>
      </c>
      <c r="K4535" s="31" t="str">
        <f t="shared" si="492"/>
        <v/>
      </c>
      <c r="L4535" s="31" t="str">
        <f>IF(OR(B4535="",C4535=""),"",IFERROR(E4535 / SUMIFS('📅 Resumen Diario'!$D$5:$D$504, '📅 Resumen Diario'!$B$5:$B$504, B4535, '📅 Resumen Diario'!$C$5:$C$504, D4535) * SUMIFS('📅 Resumen Diario'!$K$5:$K$504, '📅 Resumen Diario'!$B$5:$B$504, B4535, '📅 Resumen Diario'!$C$5:$C$504, D4535), 0))</f>
        <v/>
      </c>
      <c r="M4535" s="31" t="str">
        <f t="shared" si="493"/>
        <v/>
      </c>
      <c r="N4535" s="31" t="str">
        <f t="shared" si="494"/>
        <v/>
      </c>
      <c r="O4535" s="31" t="str">
        <f>IF(OR(B4535="",C4535=""),"",K4535-N4535 + IFERROR(E4535 / SUMIFS('📅 Resumen Diario'!$D$5:$D$504, '📅 Resumen Diario'!$B$5:$B$504, B4535, '📅 Resumen Diario'!$C$5:$C$504, D4535) * (SUMIFS('📋 Detalle Diario'!$E$5:$E$489, '📋 Detalle Diario'!$B$5:$B$489, B4535, '📋 Detalle Diario'!$C$5:$C$489, D4535) * 135 + SUMIFS('📋 Detalle Diario'!$I$5:$I$489, '📋 Detalle Diario'!$B$5:$B$489, B4535, '📋 Detalle Diario'!$C$5:$C$489, D4535) * 200), 0))</f>
        <v/>
      </c>
      <c r="P4535" s="32" t="str">
        <f t="shared" si="495"/>
        <v/>
      </c>
      <c r="Q4535" s="33" t="str">
        <f t="shared" si="496"/>
        <v/>
      </c>
    </row>
    <row r="4536" spans="2:17" ht="18" customHeight="1" x14ac:dyDescent="0.3">
      <c r="B4536" s="26"/>
      <c r="C4536" s="17"/>
      <c r="D4536" s="27"/>
      <c r="E4536" s="18"/>
      <c r="F4536" s="18"/>
      <c r="G4536" s="18"/>
      <c r="H4536" s="30" t="str">
        <f t="shared" si="490"/>
        <v/>
      </c>
      <c r="I4536" s="31" t="str">
        <f>IF(OR(B4536="",C4536=""),"",IFERROR(E4536*IF(E4536="",0,VLOOKUP(C4536,'📦 Precios Proforma'!$B$5:$D$104,IF(D4536="DIA",2,3),FALSE)),0))</f>
        <v/>
      </c>
      <c r="J4536" s="31" t="str">
        <f t="shared" si="491"/>
        <v/>
      </c>
      <c r="K4536" s="31" t="str">
        <f t="shared" si="492"/>
        <v/>
      </c>
      <c r="L4536" s="31" t="str">
        <f>IF(OR(B4536="",C4536=""),"",IFERROR(E4536 / SUMIFS('📅 Resumen Diario'!$D$5:$D$504, '📅 Resumen Diario'!$B$5:$B$504, B4536, '📅 Resumen Diario'!$C$5:$C$504, D4536) * SUMIFS('📅 Resumen Diario'!$K$5:$K$504, '📅 Resumen Diario'!$B$5:$B$504, B4536, '📅 Resumen Diario'!$C$5:$C$504, D4536), 0))</f>
        <v/>
      </c>
      <c r="M4536" s="31" t="str">
        <f t="shared" si="493"/>
        <v/>
      </c>
      <c r="N4536" s="31" t="str">
        <f t="shared" si="494"/>
        <v/>
      </c>
      <c r="O4536" s="31" t="str">
        <f>IF(OR(B4536="",C4536=""),"",K4536-N4536 + IFERROR(E4536 / SUMIFS('📅 Resumen Diario'!$D$5:$D$504, '📅 Resumen Diario'!$B$5:$B$504, B4536, '📅 Resumen Diario'!$C$5:$C$504, D4536) * (SUMIFS('📋 Detalle Diario'!$E$5:$E$489, '📋 Detalle Diario'!$B$5:$B$489, B4536, '📋 Detalle Diario'!$C$5:$C$489, D4536) * 135 + SUMIFS('📋 Detalle Diario'!$I$5:$I$489, '📋 Detalle Diario'!$B$5:$B$489, B4536, '📋 Detalle Diario'!$C$5:$C$489, D4536) * 200), 0))</f>
        <v/>
      </c>
      <c r="P4536" s="32" t="str">
        <f t="shared" si="495"/>
        <v/>
      </c>
      <c r="Q4536" s="33" t="str">
        <f t="shared" si="496"/>
        <v/>
      </c>
    </row>
    <row r="4537" spans="2:17" ht="18" customHeight="1" x14ac:dyDescent="0.3">
      <c r="B4537" s="26"/>
      <c r="C4537" s="28"/>
      <c r="D4537" s="27"/>
      <c r="E4537" s="29"/>
      <c r="F4537" s="29"/>
      <c r="G4537" s="29"/>
      <c r="H4537" s="30" t="str">
        <f t="shared" si="490"/>
        <v/>
      </c>
      <c r="I4537" s="31" t="str">
        <f>IF(OR(B4537="",C4537=""),"",IFERROR(E4537*IF(E4537="",0,VLOOKUP(C4537,'📦 Precios Proforma'!$B$5:$D$104,IF(D4537="DIA",2,3),FALSE)),0))</f>
        <v/>
      </c>
      <c r="J4537" s="31" t="str">
        <f t="shared" si="491"/>
        <v/>
      </c>
      <c r="K4537" s="31" t="str">
        <f t="shared" si="492"/>
        <v/>
      </c>
      <c r="L4537" s="31" t="str">
        <f>IF(OR(B4537="",C4537=""),"",IFERROR(E4537 / SUMIFS('📅 Resumen Diario'!$D$5:$D$504, '📅 Resumen Diario'!$B$5:$B$504, B4537, '📅 Resumen Diario'!$C$5:$C$504, D4537) * SUMIFS('📅 Resumen Diario'!$K$5:$K$504, '📅 Resumen Diario'!$B$5:$B$504, B4537, '📅 Resumen Diario'!$C$5:$C$504, D4537), 0))</f>
        <v/>
      </c>
      <c r="M4537" s="31" t="str">
        <f t="shared" si="493"/>
        <v/>
      </c>
      <c r="N4537" s="31" t="str">
        <f t="shared" si="494"/>
        <v/>
      </c>
      <c r="O4537" s="31" t="str">
        <f>IF(OR(B4537="",C4537=""),"",K4537-N4537 + IFERROR(E4537 / SUMIFS('📅 Resumen Diario'!$D$5:$D$504, '📅 Resumen Diario'!$B$5:$B$504, B4537, '📅 Resumen Diario'!$C$5:$C$504, D4537) * (SUMIFS('📋 Detalle Diario'!$E$5:$E$489, '📋 Detalle Diario'!$B$5:$B$489, B4537, '📋 Detalle Diario'!$C$5:$C$489, D4537) * 135 + SUMIFS('📋 Detalle Diario'!$I$5:$I$489, '📋 Detalle Diario'!$B$5:$B$489, B4537, '📋 Detalle Diario'!$C$5:$C$489, D4537) * 200), 0))</f>
        <v/>
      </c>
      <c r="P4537" s="32" t="str">
        <f t="shared" si="495"/>
        <v/>
      </c>
      <c r="Q4537" s="33" t="str">
        <f t="shared" si="496"/>
        <v/>
      </c>
    </row>
    <row r="4538" spans="2:17" ht="18" customHeight="1" x14ac:dyDescent="0.3">
      <c r="B4538" s="26"/>
      <c r="C4538" s="17"/>
      <c r="D4538" s="27"/>
      <c r="E4538" s="18"/>
      <c r="F4538" s="18"/>
      <c r="G4538" s="18"/>
      <c r="H4538" s="30" t="str">
        <f t="shared" si="490"/>
        <v/>
      </c>
      <c r="I4538" s="31" t="str">
        <f>IF(OR(B4538="",C4538=""),"",IFERROR(E4538*IF(E4538="",0,VLOOKUP(C4538,'📦 Precios Proforma'!$B$5:$D$104,IF(D4538="DIA",2,3),FALSE)),0))</f>
        <v/>
      </c>
      <c r="J4538" s="31" t="str">
        <f t="shared" si="491"/>
        <v/>
      </c>
      <c r="K4538" s="31" t="str">
        <f t="shared" si="492"/>
        <v/>
      </c>
      <c r="L4538" s="31" t="str">
        <f>IF(OR(B4538="",C4538=""),"",IFERROR(E4538 / SUMIFS('📅 Resumen Diario'!$D$5:$D$504, '📅 Resumen Diario'!$B$5:$B$504, B4538, '📅 Resumen Diario'!$C$5:$C$504, D4538) * SUMIFS('📅 Resumen Diario'!$K$5:$K$504, '📅 Resumen Diario'!$B$5:$B$504, B4538, '📅 Resumen Diario'!$C$5:$C$504, D4538), 0))</f>
        <v/>
      </c>
      <c r="M4538" s="31" t="str">
        <f t="shared" si="493"/>
        <v/>
      </c>
      <c r="N4538" s="31" t="str">
        <f t="shared" si="494"/>
        <v/>
      </c>
      <c r="O4538" s="31" t="str">
        <f>IF(OR(B4538="",C4538=""),"",K4538-N4538 + IFERROR(E4538 / SUMIFS('📅 Resumen Diario'!$D$5:$D$504, '📅 Resumen Diario'!$B$5:$B$504, B4538, '📅 Resumen Diario'!$C$5:$C$504, D4538) * (SUMIFS('📋 Detalle Diario'!$E$5:$E$489, '📋 Detalle Diario'!$B$5:$B$489, B4538, '📋 Detalle Diario'!$C$5:$C$489, D4538) * 135 + SUMIFS('📋 Detalle Diario'!$I$5:$I$489, '📋 Detalle Diario'!$B$5:$B$489, B4538, '📋 Detalle Diario'!$C$5:$C$489, D4538) * 200), 0))</f>
        <v/>
      </c>
      <c r="P4538" s="32" t="str">
        <f t="shared" si="495"/>
        <v/>
      </c>
      <c r="Q4538" s="33" t="str">
        <f t="shared" si="496"/>
        <v/>
      </c>
    </row>
    <row r="4539" spans="2:17" ht="18" customHeight="1" x14ac:dyDescent="0.3">
      <c r="B4539" s="26"/>
      <c r="C4539" s="28"/>
      <c r="D4539" s="27"/>
      <c r="E4539" s="29"/>
      <c r="F4539" s="29"/>
      <c r="G4539" s="29"/>
      <c r="H4539" s="30" t="str">
        <f t="shared" si="490"/>
        <v/>
      </c>
      <c r="I4539" s="31" t="str">
        <f>IF(OR(B4539="",C4539=""),"",IFERROR(E4539*IF(E4539="",0,VLOOKUP(C4539,'📦 Precios Proforma'!$B$5:$D$104,IF(D4539="DIA",2,3),FALSE)),0))</f>
        <v/>
      </c>
      <c r="J4539" s="31" t="str">
        <f t="shared" si="491"/>
        <v/>
      </c>
      <c r="K4539" s="31" t="str">
        <f t="shared" si="492"/>
        <v/>
      </c>
      <c r="L4539" s="31" t="str">
        <f>IF(OR(B4539="",C4539=""),"",IFERROR(E4539 / SUMIFS('📅 Resumen Diario'!$D$5:$D$504, '📅 Resumen Diario'!$B$5:$B$504, B4539, '📅 Resumen Diario'!$C$5:$C$504, D4539) * SUMIFS('📅 Resumen Diario'!$K$5:$K$504, '📅 Resumen Diario'!$B$5:$B$504, B4539, '📅 Resumen Diario'!$C$5:$C$504, D4539), 0))</f>
        <v/>
      </c>
      <c r="M4539" s="31" t="str">
        <f t="shared" si="493"/>
        <v/>
      </c>
      <c r="N4539" s="31" t="str">
        <f t="shared" si="494"/>
        <v/>
      </c>
      <c r="O4539" s="31" t="str">
        <f>IF(OR(B4539="",C4539=""),"",K4539-N4539 + IFERROR(E4539 / SUMIFS('📅 Resumen Diario'!$D$5:$D$504, '📅 Resumen Diario'!$B$5:$B$504, B4539, '📅 Resumen Diario'!$C$5:$C$504, D4539) * (SUMIFS('📋 Detalle Diario'!$E$5:$E$489, '📋 Detalle Diario'!$B$5:$B$489, B4539, '📋 Detalle Diario'!$C$5:$C$489, D4539) * 135 + SUMIFS('📋 Detalle Diario'!$I$5:$I$489, '📋 Detalle Diario'!$B$5:$B$489, B4539, '📋 Detalle Diario'!$C$5:$C$489, D4539) * 200), 0))</f>
        <v/>
      </c>
      <c r="P4539" s="32" t="str">
        <f t="shared" si="495"/>
        <v/>
      </c>
      <c r="Q4539" s="33" t="str">
        <f t="shared" si="496"/>
        <v/>
      </c>
    </row>
    <row r="4540" spans="2:17" ht="18" customHeight="1" x14ac:dyDescent="0.3">
      <c r="B4540" s="26"/>
      <c r="C4540" s="17"/>
      <c r="D4540" s="27"/>
      <c r="E4540" s="18"/>
      <c r="F4540" s="18"/>
      <c r="G4540" s="18"/>
      <c r="H4540" s="30" t="str">
        <f t="shared" si="490"/>
        <v/>
      </c>
      <c r="I4540" s="31" t="str">
        <f>IF(OR(B4540="",C4540=""),"",IFERROR(E4540*IF(E4540="",0,VLOOKUP(C4540,'📦 Precios Proforma'!$B$5:$D$104,IF(D4540="DIA",2,3),FALSE)),0))</f>
        <v/>
      </c>
      <c r="J4540" s="31" t="str">
        <f t="shared" si="491"/>
        <v/>
      </c>
      <c r="K4540" s="31" t="str">
        <f t="shared" si="492"/>
        <v/>
      </c>
      <c r="L4540" s="31" t="str">
        <f>IF(OR(B4540="",C4540=""),"",IFERROR(E4540 / SUMIFS('📅 Resumen Diario'!$D$5:$D$504, '📅 Resumen Diario'!$B$5:$B$504, B4540, '📅 Resumen Diario'!$C$5:$C$504, D4540) * SUMIFS('📅 Resumen Diario'!$K$5:$K$504, '📅 Resumen Diario'!$B$5:$B$504, B4540, '📅 Resumen Diario'!$C$5:$C$504, D4540), 0))</f>
        <v/>
      </c>
      <c r="M4540" s="31" t="str">
        <f t="shared" si="493"/>
        <v/>
      </c>
      <c r="N4540" s="31" t="str">
        <f t="shared" si="494"/>
        <v/>
      </c>
      <c r="O4540" s="31" t="str">
        <f>IF(OR(B4540="",C4540=""),"",K4540-N4540 + IFERROR(E4540 / SUMIFS('📅 Resumen Diario'!$D$5:$D$504, '📅 Resumen Diario'!$B$5:$B$504, B4540, '📅 Resumen Diario'!$C$5:$C$504, D4540) * (SUMIFS('📋 Detalle Diario'!$E$5:$E$489, '📋 Detalle Diario'!$B$5:$B$489, B4540, '📋 Detalle Diario'!$C$5:$C$489, D4540) * 135 + SUMIFS('📋 Detalle Diario'!$I$5:$I$489, '📋 Detalle Diario'!$B$5:$B$489, B4540, '📋 Detalle Diario'!$C$5:$C$489, D4540) * 200), 0))</f>
        <v/>
      </c>
      <c r="P4540" s="32" t="str">
        <f t="shared" si="495"/>
        <v/>
      </c>
      <c r="Q4540" s="33" t="str">
        <f t="shared" si="496"/>
        <v/>
      </c>
    </row>
    <row r="4541" spans="2:17" ht="18" customHeight="1" x14ac:dyDescent="0.3">
      <c r="B4541" s="26"/>
      <c r="C4541" s="28"/>
      <c r="D4541" s="27"/>
      <c r="E4541" s="29"/>
      <c r="F4541" s="29"/>
      <c r="G4541" s="29"/>
      <c r="H4541" s="30" t="str">
        <f t="shared" si="490"/>
        <v/>
      </c>
      <c r="I4541" s="31" t="str">
        <f>IF(OR(B4541="",C4541=""),"",IFERROR(E4541*IF(E4541="",0,VLOOKUP(C4541,'📦 Precios Proforma'!$B$5:$D$104,IF(D4541="DIA",2,3),FALSE)),0))</f>
        <v/>
      </c>
      <c r="J4541" s="31" t="str">
        <f t="shared" si="491"/>
        <v/>
      </c>
      <c r="K4541" s="31" t="str">
        <f t="shared" si="492"/>
        <v/>
      </c>
      <c r="L4541" s="31" t="str">
        <f>IF(OR(B4541="",C4541=""),"",IFERROR(E4541 / SUMIFS('📅 Resumen Diario'!$D$5:$D$504, '📅 Resumen Diario'!$B$5:$B$504, B4541, '📅 Resumen Diario'!$C$5:$C$504, D4541) * SUMIFS('📅 Resumen Diario'!$K$5:$K$504, '📅 Resumen Diario'!$B$5:$B$504, B4541, '📅 Resumen Diario'!$C$5:$C$504, D4541), 0))</f>
        <v/>
      </c>
      <c r="M4541" s="31" t="str">
        <f t="shared" si="493"/>
        <v/>
      </c>
      <c r="N4541" s="31" t="str">
        <f t="shared" si="494"/>
        <v/>
      </c>
      <c r="O4541" s="31" t="str">
        <f>IF(OR(B4541="",C4541=""),"",K4541-N4541 + IFERROR(E4541 / SUMIFS('📅 Resumen Diario'!$D$5:$D$504, '📅 Resumen Diario'!$B$5:$B$504, B4541, '📅 Resumen Diario'!$C$5:$C$504, D4541) * (SUMIFS('📋 Detalle Diario'!$E$5:$E$489, '📋 Detalle Diario'!$B$5:$B$489, B4541, '📋 Detalle Diario'!$C$5:$C$489, D4541) * 135 + SUMIFS('📋 Detalle Diario'!$I$5:$I$489, '📋 Detalle Diario'!$B$5:$B$489, B4541, '📋 Detalle Diario'!$C$5:$C$489, D4541) * 200), 0))</f>
        <v/>
      </c>
      <c r="P4541" s="32" t="str">
        <f t="shared" si="495"/>
        <v/>
      </c>
      <c r="Q4541" s="33" t="str">
        <f t="shared" si="496"/>
        <v/>
      </c>
    </row>
    <row r="4542" spans="2:17" ht="18" customHeight="1" x14ac:dyDescent="0.3">
      <c r="B4542" s="26"/>
      <c r="C4542" s="17"/>
      <c r="D4542" s="27"/>
      <c r="E4542" s="18"/>
      <c r="F4542" s="18"/>
      <c r="G4542" s="18"/>
      <c r="H4542" s="30" t="str">
        <f t="shared" si="490"/>
        <v/>
      </c>
      <c r="I4542" s="31" t="str">
        <f>IF(OR(B4542="",C4542=""),"",IFERROR(E4542*IF(E4542="",0,VLOOKUP(C4542,'📦 Precios Proforma'!$B$5:$D$104,IF(D4542="DIA",2,3),FALSE)),0))</f>
        <v/>
      </c>
      <c r="J4542" s="31" t="str">
        <f t="shared" si="491"/>
        <v/>
      </c>
      <c r="K4542" s="31" t="str">
        <f t="shared" si="492"/>
        <v/>
      </c>
      <c r="L4542" s="31" t="str">
        <f>IF(OR(B4542="",C4542=""),"",IFERROR(E4542 / SUMIFS('📅 Resumen Diario'!$D$5:$D$504, '📅 Resumen Diario'!$B$5:$B$504, B4542, '📅 Resumen Diario'!$C$5:$C$504, D4542) * SUMIFS('📅 Resumen Diario'!$K$5:$K$504, '📅 Resumen Diario'!$B$5:$B$504, B4542, '📅 Resumen Diario'!$C$5:$C$504, D4542), 0))</f>
        <v/>
      </c>
      <c r="M4542" s="31" t="str">
        <f t="shared" si="493"/>
        <v/>
      </c>
      <c r="N4542" s="31" t="str">
        <f t="shared" si="494"/>
        <v/>
      </c>
      <c r="O4542" s="31" t="str">
        <f>IF(OR(B4542="",C4542=""),"",K4542-N4542 + IFERROR(E4542 / SUMIFS('📅 Resumen Diario'!$D$5:$D$504, '📅 Resumen Diario'!$B$5:$B$504, B4542, '📅 Resumen Diario'!$C$5:$C$504, D4542) * (SUMIFS('📋 Detalle Diario'!$E$5:$E$489, '📋 Detalle Diario'!$B$5:$B$489, B4542, '📋 Detalle Diario'!$C$5:$C$489, D4542) * 135 + SUMIFS('📋 Detalle Diario'!$I$5:$I$489, '📋 Detalle Diario'!$B$5:$B$489, B4542, '📋 Detalle Diario'!$C$5:$C$489, D4542) * 200), 0))</f>
        <v/>
      </c>
      <c r="P4542" s="32" t="str">
        <f t="shared" si="495"/>
        <v/>
      </c>
      <c r="Q4542" s="33" t="str">
        <f t="shared" si="496"/>
        <v/>
      </c>
    </row>
    <row r="4543" spans="2:17" ht="18" customHeight="1" x14ac:dyDescent="0.3">
      <c r="B4543" s="26"/>
      <c r="C4543" s="28"/>
      <c r="D4543" s="27"/>
      <c r="E4543" s="29"/>
      <c r="F4543" s="29"/>
      <c r="G4543" s="29"/>
      <c r="H4543" s="30" t="str">
        <f t="shared" si="490"/>
        <v/>
      </c>
      <c r="I4543" s="31" t="str">
        <f>IF(OR(B4543="",C4543=""),"",IFERROR(E4543*IF(E4543="",0,VLOOKUP(C4543,'📦 Precios Proforma'!$B$5:$D$104,IF(D4543="DIA",2,3),FALSE)),0))</f>
        <v/>
      </c>
      <c r="J4543" s="31" t="str">
        <f t="shared" si="491"/>
        <v/>
      </c>
      <c r="K4543" s="31" t="str">
        <f t="shared" si="492"/>
        <v/>
      </c>
      <c r="L4543" s="31" t="str">
        <f>IF(OR(B4543="",C4543=""),"",IFERROR(E4543 / SUMIFS('📅 Resumen Diario'!$D$5:$D$504, '📅 Resumen Diario'!$B$5:$B$504, B4543, '📅 Resumen Diario'!$C$5:$C$504, D4543) * SUMIFS('📅 Resumen Diario'!$K$5:$K$504, '📅 Resumen Diario'!$B$5:$B$504, B4543, '📅 Resumen Diario'!$C$5:$C$504, D4543), 0))</f>
        <v/>
      </c>
      <c r="M4543" s="31" t="str">
        <f t="shared" si="493"/>
        <v/>
      </c>
      <c r="N4543" s="31" t="str">
        <f t="shared" si="494"/>
        <v/>
      </c>
      <c r="O4543" s="31" t="str">
        <f>IF(OR(B4543="",C4543=""),"",K4543-N4543 + IFERROR(E4543 / SUMIFS('📅 Resumen Diario'!$D$5:$D$504, '📅 Resumen Diario'!$B$5:$B$504, B4543, '📅 Resumen Diario'!$C$5:$C$504, D4543) * (SUMIFS('📋 Detalle Diario'!$E$5:$E$489, '📋 Detalle Diario'!$B$5:$B$489, B4543, '📋 Detalle Diario'!$C$5:$C$489, D4543) * 135 + SUMIFS('📋 Detalle Diario'!$I$5:$I$489, '📋 Detalle Diario'!$B$5:$B$489, B4543, '📋 Detalle Diario'!$C$5:$C$489, D4543) * 200), 0))</f>
        <v/>
      </c>
      <c r="P4543" s="32" t="str">
        <f t="shared" si="495"/>
        <v/>
      </c>
      <c r="Q4543" s="33" t="str">
        <f t="shared" si="496"/>
        <v/>
      </c>
    </row>
    <row r="4544" spans="2:17" ht="18" customHeight="1" x14ac:dyDescent="0.3">
      <c r="B4544" s="26"/>
      <c r="C4544" s="17"/>
      <c r="D4544" s="27"/>
      <c r="E4544" s="18"/>
      <c r="F4544" s="18"/>
      <c r="G4544" s="18"/>
      <c r="H4544" s="30" t="str">
        <f t="shared" si="490"/>
        <v/>
      </c>
      <c r="I4544" s="31" t="str">
        <f>IF(OR(B4544="",C4544=""),"",IFERROR(E4544*IF(E4544="",0,VLOOKUP(C4544,'📦 Precios Proforma'!$B$5:$D$104,IF(D4544="DIA",2,3),FALSE)),0))</f>
        <v/>
      </c>
      <c r="J4544" s="31" t="str">
        <f t="shared" si="491"/>
        <v/>
      </c>
      <c r="K4544" s="31" t="str">
        <f t="shared" si="492"/>
        <v/>
      </c>
      <c r="L4544" s="31" t="str">
        <f>IF(OR(B4544="",C4544=""),"",IFERROR(E4544 / SUMIFS('📅 Resumen Diario'!$D$5:$D$504, '📅 Resumen Diario'!$B$5:$B$504, B4544, '📅 Resumen Diario'!$C$5:$C$504, D4544) * SUMIFS('📅 Resumen Diario'!$K$5:$K$504, '📅 Resumen Diario'!$B$5:$B$504, B4544, '📅 Resumen Diario'!$C$5:$C$504, D4544), 0))</f>
        <v/>
      </c>
      <c r="M4544" s="31" t="str">
        <f t="shared" si="493"/>
        <v/>
      </c>
      <c r="N4544" s="31" t="str">
        <f t="shared" si="494"/>
        <v/>
      </c>
      <c r="O4544" s="31" t="str">
        <f>IF(OR(B4544="",C4544=""),"",K4544-N4544 + IFERROR(E4544 / SUMIFS('📅 Resumen Diario'!$D$5:$D$504, '📅 Resumen Diario'!$B$5:$B$504, B4544, '📅 Resumen Diario'!$C$5:$C$504, D4544) * (SUMIFS('📋 Detalle Diario'!$E$5:$E$489, '📋 Detalle Diario'!$B$5:$B$489, B4544, '📋 Detalle Diario'!$C$5:$C$489, D4544) * 135 + SUMIFS('📋 Detalle Diario'!$I$5:$I$489, '📋 Detalle Diario'!$B$5:$B$489, B4544, '📋 Detalle Diario'!$C$5:$C$489, D4544) * 200), 0))</f>
        <v/>
      </c>
      <c r="P4544" s="32" t="str">
        <f t="shared" si="495"/>
        <v/>
      </c>
      <c r="Q4544" s="33" t="str">
        <f t="shared" si="496"/>
        <v/>
      </c>
    </row>
    <row r="4545" spans="2:17" ht="18" customHeight="1" x14ac:dyDescent="0.3">
      <c r="B4545" s="26"/>
      <c r="C4545" s="28"/>
      <c r="D4545" s="27"/>
      <c r="E4545" s="29"/>
      <c r="F4545" s="29"/>
      <c r="G4545" s="29"/>
      <c r="H4545" s="30" t="str">
        <f t="shared" si="490"/>
        <v/>
      </c>
      <c r="I4545" s="31" t="str">
        <f>IF(OR(B4545="",C4545=""),"",IFERROR(E4545*IF(E4545="",0,VLOOKUP(C4545,'📦 Precios Proforma'!$B$5:$D$104,IF(D4545="DIA",2,3),FALSE)),0))</f>
        <v/>
      </c>
      <c r="J4545" s="31" t="str">
        <f t="shared" si="491"/>
        <v/>
      </c>
      <c r="K4545" s="31" t="str">
        <f t="shared" si="492"/>
        <v/>
      </c>
      <c r="L4545" s="31" t="str">
        <f>IF(OR(B4545="",C4545=""),"",IFERROR(E4545 / SUMIFS('📅 Resumen Diario'!$D$5:$D$504, '📅 Resumen Diario'!$B$5:$B$504, B4545, '📅 Resumen Diario'!$C$5:$C$504, D4545) * SUMIFS('📅 Resumen Diario'!$K$5:$K$504, '📅 Resumen Diario'!$B$5:$B$504, B4545, '📅 Resumen Diario'!$C$5:$C$504, D4545), 0))</f>
        <v/>
      </c>
      <c r="M4545" s="31" t="str">
        <f t="shared" si="493"/>
        <v/>
      </c>
      <c r="N4545" s="31" t="str">
        <f t="shared" si="494"/>
        <v/>
      </c>
      <c r="O4545" s="31" t="str">
        <f>IF(OR(B4545="",C4545=""),"",K4545-N4545 + IFERROR(E4545 / SUMIFS('📅 Resumen Diario'!$D$5:$D$504, '📅 Resumen Diario'!$B$5:$B$504, B4545, '📅 Resumen Diario'!$C$5:$C$504, D4545) * (SUMIFS('📋 Detalle Diario'!$E$5:$E$489, '📋 Detalle Diario'!$B$5:$B$489, B4545, '📋 Detalle Diario'!$C$5:$C$489, D4545) * 135 + SUMIFS('📋 Detalle Diario'!$I$5:$I$489, '📋 Detalle Diario'!$B$5:$B$489, B4545, '📋 Detalle Diario'!$C$5:$C$489, D4545) * 200), 0))</f>
        <v/>
      </c>
      <c r="P4545" s="32" t="str">
        <f t="shared" si="495"/>
        <v/>
      </c>
      <c r="Q4545" s="33" t="str">
        <f t="shared" si="496"/>
        <v/>
      </c>
    </row>
    <row r="4546" spans="2:17" ht="18" customHeight="1" x14ac:dyDescent="0.3">
      <c r="B4546" s="26"/>
      <c r="C4546" s="17"/>
      <c r="D4546" s="27"/>
      <c r="E4546" s="18"/>
      <c r="F4546" s="18"/>
      <c r="G4546" s="18"/>
      <c r="H4546" s="30" t="str">
        <f t="shared" si="490"/>
        <v/>
      </c>
      <c r="I4546" s="31" t="str">
        <f>IF(OR(B4546="",C4546=""),"",IFERROR(E4546*IF(E4546="",0,VLOOKUP(C4546,'📦 Precios Proforma'!$B$5:$D$104,IF(D4546="DIA",2,3),FALSE)),0))</f>
        <v/>
      </c>
      <c r="J4546" s="31" t="str">
        <f t="shared" si="491"/>
        <v/>
      </c>
      <c r="K4546" s="31" t="str">
        <f t="shared" si="492"/>
        <v/>
      </c>
      <c r="L4546" s="31" t="str">
        <f>IF(OR(B4546="",C4546=""),"",IFERROR(E4546 / SUMIFS('📅 Resumen Diario'!$D$5:$D$504, '📅 Resumen Diario'!$B$5:$B$504, B4546, '📅 Resumen Diario'!$C$5:$C$504, D4546) * SUMIFS('📅 Resumen Diario'!$K$5:$K$504, '📅 Resumen Diario'!$B$5:$B$504, B4546, '📅 Resumen Diario'!$C$5:$C$504, D4546), 0))</f>
        <v/>
      </c>
      <c r="M4546" s="31" t="str">
        <f t="shared" si="493"/>
        <v/>
      </c>
      <c r="N4546" s="31" t="str">
        <f t="shared" si="494"/>
        <v/>
      </c>
      <c r="O4546" s="31" t="str">
        <f>IF(OR(B4546="",C4546=""),"",K4546-N4546 + IFERROR(E4546 / SUMIFS('📅 Resumen Diario'!$D$5:$D$504, '📅 Resumen Diario'!$B$5:$B$504, B4546, '📅 Resumen Diario'!$C$5:$C$504, D4546) * (SUMIFS('📋 Detalle Diario'!$E$5:$E$489, '📋 Detalle Diario'!$B$5:$B$489, B4546, '📋 Detalle Diario'!$C$5:$C$489, D4546) * 135 + SUMIFS('📋 Detalle Diario'!$I$5:$I$489, '📋 Detalle Diario'!$B$5:$B$489, B4546, '📋 Detalle Diario'!$C$5:$C$489, D4546) * 200), 0))</f>
        <v/>
      </c>
      <c r="P4546" s="32" t="str">
        <f t="shared" si="495"/>
        <v/>
      </c>
      <c r="Q4546" s="33" t="str">
        <f t="shared" si="496"/>
        <v/>
      </c>
    </row>
    <row r="4547" spans="2:17" ht="18" customHeight="1" x14ac:dyDescent="0.3">
      <c r="B4547" s="26"/>
      <c r="C4547" s="28"/>
      <c r="D4547" s="27"/>
      <c r="E4547" s="29"/>
      <c r="F4547" s="29"/>
      <c r="G4547" s="29"/>
      <c r="H4547" s="30" t="str">
        <f t="shared" si="490"/>
        <v/>
      </c>
      <c r="I4547" s="31" t="str">
        <f>IF(OR(B4547="",C4547=""),"",IFERROR(E4547*IF(E4547="",0,VLOOKUP(C4547,'📦 Precios Proforma'!$B$5:$D$104,IF(D4547="DIA",2,3),FALSE)),0))</f>
        <v/>
      </c>
      <c r="J4547" s="31" t="str">
        <f t="shared" si="491"/>
        <v/>
      </c>
      <c r="K4547" s="31" t="str">
        <f t="shared" si="492"/>
        <v/>
      </c>
      <c r="L4547" s="31" t="str">
        <f>IF(OR(B4547="",C4547=""),"",IFERROR(E4547 / SUMIFS('📅 Resumen Diario'!$D$5:$D$504, '📅 Resumen Diario'!$B$5:$B$504, B4547, '📅 Resumen Diario'!$C$5:$C$504, D4547) * SUMIFS('📅 Resumen Diario'!$K$5:$K$504, '📅 Resumen Diario'!$B$5:$B$504, B4547, '📅 Resumen Diario'!$C$5:$C$504, D4547), 0))</f>
        <v/>
      </c>
      <c r="M4547" s="31" t="str">
        <f t="shared" si="493"/>
        <v/>
      </c>
      <c r="N4547" s="31" t="str">
        <f t="shared" si="494"/>
        <v/>
      </c>
      <c r="O4547" s="31" t="str">
        <f>IF(OR(B4547="",C4547=""),"",K4547-N4547 + IFERROR(E4547 / SUMIFS('📅 Resumen Diario'!$D$5:$D$504, '📅 Resumen Diario'!$B$5:$B$504, B4547, '📅 Resumen Diario'!$C$5:$C$504, D4547) * (SUMIFS('📋 Detalle Diario'!$E$5:$E$489, '📋 Detalle Diario'!$B$5:$B$489, B4547, '📋 Detalle Diario'!$C$5:$C$489, D4547) * 135 + SUMIFS('📋 Detalle Diario'!$I$5:$I$489, '📋 Detalle Diario'!$B$5:$B$489, B4547, '📋 Detalle Diario'!$C$5:$C$489, D4547) * 200), 0))</f>
        <v/>
      </c>
      <c r="P4547" s="32" t="str">
        <f t="shared" si="495"/>
        <v/>
      </c>
      <c r="Q4547" s="33" t="str">
        <f t="shared" si="496"/>
        <v/>
      </c>
    </row>
    <row r="4548" spans="2:17" ht="18" customHeight="1" x14ac:dyDescent="0.3">
      <c r="B4548" s="26"/>
      <c r="C4548" s="17"/>
      <c r="D4548" s="27"/>
      <c r="E4548" s="18"/>
      <c r="F4548" s="18"/>
      <c r="G4548" s="18"/>
      <c r="H4548" s="30" t="str">
        <f t="shared" si="490"/>
        <v/>
      </c>
      <c r="I4548" s="31" t="str">
        <f>IF(OR(B4548="",C4548=""),"",IFERROR(E4548*IF(E4548="",0,VLOOKUP(C4548,'📦 Precios Proforma'!$B$5:$D$104,IF(D4548="DIA",2,3),FALSE)),0))</f>
        <v/>
      </c>
      <c r="J4548" s="31" t="str">
        <f t="shared" si="491"/>
        <v/>
      </c>
      <c r="K4548" s="31" t="str">
        <f t="shared" si="492"/>
        <v/>
      </c>
      <c r="L4548" s="31" t="str">
        <f>IF(OR(B4548="",C4548=""),"",IFERROR(E4548 / SUMIFS('📅 Resumen Diario'!$D$5:$D$504, '📅 Resumen Diario'!$B$5:$B$504, B4548, '📅 Resumen Diario'!$C$5:$C$504, D4548) * SUMIFS('📅 Resumen Diario'!$K$5:$K$504, '📅 Resumen Diario'!$B$5:$B$504, B4548, '📅 Resumen Diario'!$C$5:$C$504, D4548), 0))</f>
        <v/>
      </c>
      <c r="M4548" s="31" t="str">
        <f t="shared" si="493"/>
        <v/>
      </c>
      <c r="N4548" s="31" t="str">
        <f t="shared" si="494"/>
        <v/>
      </c>
      <c r="O4548" s="31" t="str">
        <f>IF(OR(B4548="",C4548=""),"",K4548-N4548 + IFERROR(E4548 / SUMIFS('📅 Resumen Diario'!$D$5:$D$504, '📅 Resumen Diario'!$B$5:$B$504, B4548, '📅 Resumen Diario'!$C$5:$C$504, D4548) * (SUMIFS('📋 Detalle Diario'!$E$5:$E$489, '📋 Detalle Diario'!$B$5:$B$489, B4548, '📋 Detalle Diario'!$C$5:$C$489, D4548) * 135 + SUMIFS('📋 Detalle Diario'!$I$5:$I$489, '📋 Detalle Diario'!$B$5:$B$489, B4548, '📋 Detalle Diario'!$C$5:$C$489, D4548) * 200), 0))</f>
        <v/>
      </c>
      <c r="P4548" s="32" t="str">
        <f t="shared" si="495"/>
        <v/>
      </c>
      <c r="Q4548" s="33" t="str">
        <f t="shared" si="496"/>
        <v/>
      </c>
    </row>
    <row r="4549" spans="2:17" ht="18" customHeight="1" x14ac:dyDescent="0.3">
      <c r="B4549" s="26"/>
      <c r="C4549" s="28"/>
      <c r="D4549" s="27"/>
      <c r="E4549" s="29"/>
      <c r="F4549" s="29"/>
      <c r="G4549" s="29"/>
      <c r="H4549" s="30" t="str">
        <f t="shared" si="490"/>
        <v/>
      </c>
      <c r="I4549" s="31" t="str">
        <f>IF(OR(B4549="",C4549=""),"",IFERROR(E4549*IF(E4549="",0,VLOOKUP(C4549,'📦 Precios Proforma'!$B$5:$D$104,IF(D4549="DIA",2,3),FALSE)),0))</f>
        <v/>
      </c>
      <c r="J4549" s="31" t="str">
        <f t="shared" si="491"/>
        <v/>
      </c>
      <c r="K4549" s="31" t="str">
        <f t="shared" si="492"/>
        <v/>
      </c>
      <c r="L4549" s="31" t="str">
        <f>IF(OR(B4549="",C4549=""),"",IFERROR(E4549 / SUMIFS('📅 Resumen Diario'!$D$5:$D$504, '📅 Resumen Diario'!$B$5:$B$504, B4549, '📅 Resumen Diario'!$C$5:$C$504, D4549) * SUMIFS('📅 Resumen Diario'!$K$5:$K$504, '📅 Resumen Diario'!$B$5:$B$504, B4549, '📅 Resumen Diario'!$C$5:$C$504, D4549), 0))</f>
        <v/>
      </c>
      <c r="M4549" s="31" t="str">
        <f t="shared" si="493"/>
        <v/>
      </c>
      <c r="N4549" s="31" t="str">
        <f t="shared" si="494"/>
        <v/>
      </c>
      <c r="O4549" s="31" t="str">
        <f>IF(OR(B4549="",C4549=""),"",K4549-N4549 + IFERROR(E4549 / SUMIFS('📅 Resumen Diario'!$D$5:$D$504, '📅 Resumen Diario'!$B$5:$B$504, B4549, '📅 Resumen Diario'!$C$5:$C$504, D4549) * (SUMIFS('📋 Detalle Diario'!$E$5:$E$489, '📋 Detalle Diario'!$B$5:$B$489, B4549, '📋 Detalle Diario'!$C$5:$C$489, D4549) * 135 + SUMIFS('📋 Detalle Diario'!$I$5:$I$489, '📋 Detalle Diario'!$B$5:$B$489, B4549, '📋 Detalle Diario'!$C$5:$C$489, D4549) * 200), 0))</f>
        <v/>
      </c>
      <c r="P4549" s="32" t="str">
        <f t="shared" si="495"/>
        <v/>
      </c>
      <c r="Q4549" s="33" t="str">
        <f t="shared" si="496"/>
        <v/>
      </c>
    </row>
    <row r="4550" spans="2:17" ht="18" customHeight="1" x14ac:dyDescent="0.3">
      <c r="B4550" s="26"/>
      <c r="C4550" s="17"/>
      <c r="D4550" s="27"/>
      <c r="E4550" s="18"/>
      <c r="F4550" s="18"/>
      <c r="G4550" s="18"/>
      <c r="H4550" s="30" t="str">
        <f t="shared" si="490"/>
        <v/>
      </c>
      <c r="I4550" s="31" t="str">
        <f>IF(OR(B4550="",C4550=""),"",IFERROR(E4550*IF(E4550="",0,VLOOKUP(C4550,'📦 Precios Proforma'!$B$5:$D$104,IF(D4550="DIA",2,3),FALSE)),0))</f>
        <v/>
      </c>
      <c r="J4550" s="31" t="str">
        <f t="shared" si="491"/>
        <v/>
      </c>
      <c r="K4550" s="31" t="str">
        <f t="shared" si="492"/>
        <v/>
      </c>
      <c r="L4550" s="31" t="str">
        <f>IF(OR(B4550="",C4550=""),"",IFERROR(E4550 / SUMIFS('📅 Resumen Diario'!$D$5:$D$504, '📅 Resumen Diario'!$B$5:$B$504, B4550, '📅 Resumen Diario'!$C$5:$C$504, D4550) * SUMIFS('📅 Resumen Diario'!$K$5:$K$504, '📅 Resumen Diario'!$B$5:$B$504, B4550, '📅 Resumen Diario'!$C$5:$C$504, D4550), 0))</f>
        <v/>
      </c>
      <c r="M4550" s="31" t="str">
        <f t="shared" si="493"/>
        <v/>
      </c>
      <c r="N4550" s="31" t="str">
        <f t="shared" si="494"/>
        <v/>
      </c>
      <c r="O4550" s="31" t="str">
        <f>IF(OR(B4550="",C4550=""),"",K4550-N4550 + IFERROR(E4550 / SUMIFS('📅 Resumen Diario'!$D$5:$D$504, '📅 Resumen Diario'!$B$5:$B$504, B4550, '📅 Resumen Diario'!$C$5:$C$504, D4550) * (SUMIFS('📋 Detalle Diario'!$E$5:$E$489, '📋 Detalle Diario'!$B$5:$B$489, B4550, '📋 Detalle Diario'!$C$5:$C$489, D4550) * 135 + SUMIFS('📋 Detalle Diario'!$I$5:$I$489, '📋 Detalle Diario'!$B$5:$B$489, B4550, '📋 Detalle Diario'!$C$5:$C$489, D4550) * 200), 0))</f>
        <v/>
      </c>
      <c r="P4550" s="32" t="str">
        <f t="shared" si="495"/>
        <v/>
      </c>
      <c r="Q4550" s="33" t="str">
        <f t="shared" si="496"/>
        <v/>
      </c>
    </row>
    <row r="4551" spans="2:17" ht="18" customHeight="1" x14ac:dyDescent="0.3">
      <c r="B4551" s="26"/>
      <c r="C4551" s="28"/>
      <c r="D4551" s="27"/>
      <c r="E4551" s="29"/>
      <c r="F4551" s="29"/>
      <c r="G4551" s="29"/>
      <c r="H4551" s="30" t="str">
        <f t="shared" ref="H4551:H4614" si="497">IF(OR(B4551="",C4551=""),"",F4551+G4551)</f>
        <v/>
      </c>
      <c r="I4551" s="31" t="str">
        <f>IF(OR(B4551="",C4551=""),"",IFERROR(E4551*IF(E4551="",0,VLOOKUP(C4551,'📦 Precios Proforma'!$B$5:$D$104,IF(D4551="DIA",2,3),FALSE)),0))</f>
        <v/>
      </c>
      <c r="J4551" s="31" t="str">
        <f t="shared" ref="J4551:J4614" si="498">IF(OR(B4551="",C4551=""),"",IF(D4551="DIA",H4551*1.01,H4551*1.35))</f>
        <v/>
      </c>
      <c r="K4551" s="31" t="str">
        <f t="shared" ref="K4551:K4614" si="499">IF(OR(B4551="",C4551=""),"",I4551+J4551)</f>
        <v/>
      </c>
      <c r="L4551" s="31" t="str">
        <f>IF(OR(B4551="",C4551=""),"",IFERROR(E4551 / SUMIFS('📅 Resumen Diario'!$D$5:$D$504, '📅 Resumen Diario'!$B$5:$B$504, B4551, '📅 Resumen Diario'!$C$5:$C$504, D4551) * SUMIFS('📅 Resumen Diario'!$K$5:$K$504, '📅 Resumen Diario'!$B$5:$B$504, B4551, '📅 Resumen Diario'!$C$5:$C$504, D4551), 0))</f>
        <v/>
      </c>
      <c r="M4551" s="31" t="str">
        <f t="shared" ref="M4551:M4614" si="500">IF(OR(B4551="",C4551=""),"",H4551*0.09)</f>
        <v/>
      </c>
      <c r="N4551" s="31" t="str">
        <f t="shared" ref="N4551:N4614" si="501">IF(OR(B4551="",C4551=""),"",L4551+M4551)</f>
        <v/>
      </c>
      <c r="O4551" s="31" t="str">
        <f>IF(OR(B4551="",C4551=""),"",K4551-N4551 + IFERROR(E4551 / SUMIFS('📅 Resumen Diario'!$D$5:$D$504, '📅 Resumen Diario'!$B$5:$B$504, B4551, '📅 Resumen Diario'!$C$5:$C$504, D4551) * (SUMIFS('📋 Detalle Diario'!$E$5:$E$489, '📋 Detalle Diario'!$B$5:$B$489, B4551, '📋 Detalle Diario'!$C$5:$C$489, D4551) * 135 + SUMIFS('📋 Detalle Diario'!$I$5:$I$489, '📋 Detalle Diario'!$B$5:$B$489, B4551, '📋 Detalle Diario'!$C$5:$C$489, D4551) * 200), 0))</f>
        <v/>
      </c>
      <c r="P4551" s="32" t="str">
        <f t="shared" ref="P4551:P4614" si="502">IF(OR(B4551="",C4551=""),"",IF(K4551=0, 0, O4551/K4551))</f>
        <v/>
      </c>
      <c r="Q4551" s="33" t="str">
        <f t="shared" ref="Q4551:Q4614" si="503">IF(B4551="","",IF(ISNUMBER(B4551),YEAR(B4551)&amp;"-"&amp;IF(MONTH(B4551)&lt;10,"0","")&amp;MONTH(B4551),LEFT(B4551,7)))</f>
        <v/>
      </c>
    </row>
    <row r="4552" spans="2:17" ht="18" customHeight="1" x14ac:dyDescent="0.3">
      <c r="B4552" s="26"/>
      <c r="C4552" s="17"/>
      <c r="D4552" s="27"/>
      <c r="E4552" s="18"/>
      <c r="F4552" s="18"/>
      <c r="G4552" s="18"/>
      <c r="H4552" s="30" t="str">
        <f t="shared" si="497"/>
        <v/>
      </c>
      <c r="I4552" s="31" t="str">
        <f>IF(OR(B4552="",C4552=""),"",IFERROR(E4552*IF(E4552="",0,VLOOKUP(C4552,'📦 Precios Proforma'!$B$5:$D$104,IF(D4552="DIA",2,3),FALSE)),0))</f>
        <v/>
      </c>
      <c r="J4552" s="31" t="str">
        <f t="shared" si="498"/>
        <v/>
      </c>
      <c r="K4552" s="31" t="str">
        <f t="shared" si="499"/>
        <v/>
      </c>
      <c r="L4552" s="31" t="str">
        <f>IF(OR(B4552="",C4552=""),"",IFERROR(E4552 / SUMIFS('📅 Resumen Diario'!$D$5:$D$504, '📅 Resumen Diario'!$B$5:$B$504, B4552, '📅 Resumen Diario'!$C$5:$C$504, D4552) * SUMIFS('📅 Resumen Diario'!$K$5:$K$504, '📅 Resumen Diario'!$B$5:$B$504, B4552, '📅 Resumen Diario'!$C$5:$C$504, D4552), 0))</f>
        <v/>
      </c>
      <c r="M4552" s="31" t="str">
        <f t="shared" si="500"/>
        <v/>
      </c>
      <c r="N4552" s="31" t="str">
        <f t="shared" si="501"/>
        <v/>
      </c>
      <c r="O4552" s="31" t="str">
        <f>IF(OR(B4552="",C4552=""),"",K4552-N4552 + IFERROR(E4552 / SUMIFS('📅 Resumen Diario'!$D$5:$D$504, '📅 Resumen Diario'!$B$5:$B$504, B4552, '📅 Resumen Diario'!$C$5:$C$504, D4552) * (SUMIFS('📋 Detalle Diario'!$E$5:$E$489, '📋 Detalle Diario'!$B$5:$B$489, B4552, '📋 Detalle Diario'!$C$5:$C$489, D4552) * 135 + SUMIFS('📋 Detalle Diario'!$I$5:$I$489, '📋 Detalle Diario'!$B$5:$B$489, B4552, '📋 Detalle Diario'!$C$5:$C$489, D4552) * 200), 0))</f>
        <v/>
      </c>
      <c r="P4552" s="32" t="str">
        <f t="shared" si="502"/>
        <v/>
      </c>
      <c r="Q4552" s="33" t="str">
        <f t="shared" si="503"/>
        <v/>
      </c>
    </row>
    <row r="4553" spans="2:17" ht="18" customHeight="1" x14ac:dyDescent="0.3">
      <c r="B4553" s="26"/>
      <c r="C4553" s="28"/>
      <c r="D4553" s="27"/>
      <c r="E4553" s="29"/>
      <c r="F4553" s="29"/>
      <c r="G4553" s="29"/>
      <c r="H4553" s="30" t="str">
        <f t="shared" si="497"/>
        <v/>
      </c>
      <c r="I4553" s="31" t="str">
        <f>IF(OR(B4553="",C4553=""),"",IFERROR(E4553*IF(E4553="",0,VLOOKUP(C4553,'📦 Precios Proforma'!$B$5:$D$104,IF(D4553="DIA",2,3),FALSE)),0))</f>
        <v/>
      </c>
      <c r="J4553" s="31" t="str">
        <f t="shared" si="498"/>
        <v/>
      </c>
      <c r="K4553" s="31" t="str">
        <f t="shared" si="499"/>
        <v/>
      </c>
      <c r="L4553" s="31" t="str">
        <f>IF(OR(B4553="",C4553=""),"",IFERROR(E4553 / SUMIFS('📅 Resumen Diario'!$D$5:$D$504, '📅 Resumen Diario'!$B$5:$B$504, B4553, '📅 Resumen Diario'!$C$5:$C$504, D4553) * SUMIFS('📅 Resumen Diario'!$K$5:$K$504, '📅 Resumen Diario'!$B$5:$B$504, B4553, '📅 Resumen Diario'!$C$5:$C$504, D4553), 0))</f>
        <v/>
      </c>
      <c r="M4553" s="31" t="str">
        <f t="shared" si="500"/>
        <v/>
      </c>
      <c r="N4553" s="31" t="str">
        <f t="shared" si="501"/>
        <v/>
      </c>
      <c r="O4553" s="31" t="str">
        <f>IF(OR(B4553="",C4553=""),"",K4553-N4553 + IFERROR(E4553 / SUMIFS('📅 Resumen Diario'!$D$5:$D$504, '📅 Resumen Diario'!$B$5:$B$504, B4553, '📅 Resumen Diario'!$C$5:$C$504, D4553) * (SUMIFS('📋 Detalle Diario'!$E$5:$E$489, '📋 Detalle Diario'!$B$5:$B$489, B4553, '📋 Detalle Diario'!$C$5:$C$489, D4553) * 135 + SUMIFS('📋 Detalle Diario'!$I$5:$I$489, '📋 Detalle Diario'!$B$5:$B$489, B4553, '📋 Detalle Diario'!$C$5:$C$489, D4553) * 200), 0))</f>
        <v/>
      </c>
      <c r="P4553" s="32" t="str">
        <f t="shared" si="502"/>
        <v/>
      </c>
      <c r="Q4553" s="33" t="str">
        <f t="shared" si="503"/>
        <v/>
      </c>
    </row>
    <row r="4554" spans="2:17" ht="18" customHeight="1" x14ac:dyDescent="0.3">
      <c r="B4554" s="26"/>
      <c r="C4554" s="17"/>
      <c r="D4554" s="27"/>
      <c r="E4554" s="18"/>
      <c r="F4554" s="18"/>
      <c r="G4554" s="18"/>
      <c r="H4554" s="30" t="str">
        <f t="shared" si="497"/>
        <v/>
      </c>
      <c r="I4554" s="31" t="str">
        <f>IF(OR(B4554="",C4554=""),"",IFERROR(E4554*IF(E4554="",0,VLOOKUP(C4554,'📦 Precios Proforma'!$B$5:$D$104,IF(D4554="DIA",2,3),FALSE)),0))</f>
        <v/>
      </c>
      <c r="J4554" s="31" t="str">
        <f t="shared" si="498"/>
        <v/>
      </c>
      <c r="K4554" s="31" t="str">
        <f t="shared" si="499"/>
        <v/>
      </c>
      <c r="L4554" s="31" t="str">
        <f>IF(OR(B4554="",C4554=""),"",IFERROR(E4554 / SUMIFS('📅 Resumen Diario'!$D$5:$D$504, '📅 Resumen Diario'!$B$5:$B$504, B4554, '📅 Resumen Diario'!$C$5:$C$504, D4554) * SUMIFS('📅 Resumen Diario'!$K$5:$K$504, '📅 Resumen Diario'!$B$5:$B$504, B4554, '📅 Resumen Diario'!$C$5:$C$504, D4554), 0))</f>
        <v/>
      </c>
      <c r="M4554" s="31" t="str">
        <f t="shared" si="500"/>
        <v/>
      </c>
      <c r="N4554" s="31" t="str">
        <f t="shared" si="501"/>
        <v/>
      </c>
      <c r="O4554" s="31" t="str">
        <f>IF(OR(B4554="",C4554=""),"",K4554-N4554 + IFERROR(E4554 / SUMIFS('📅 Resumen Diario'!$D$5:$D$504, '📅 Resumen Diario'!$B$5:$B$504, B4554, '📅 Resumen Diario'!$C$5:$C$504, D4554) * (SUMIFS('📋 Detalle Diario'!$E$5:$E$489, '📋 Detalle Diario'!$B$5:$B$489, B4554, '📋 Detalle Diario'!$C$5:$C$489, D4554) * 135 + SUMIFS('📋 Detalle Diario'!$I$5:$I$489, '📋 Detalle Diario'!$B$5:$B$489, B4554, '📋 Detalle Diario'!$C$5:$C$489, D4554) * 200), 0))</f>
        <v/>
      </c>
      <c r="P4554" s="32" t="str">
        <f t="shared" si="502"/>
        <v/>
      </c>
      <c r="Q4554" s="33" t="str">
        <f t="shared" si="503"/>
        <v/>
      </c>
    </row>
    <row r="4555" spans="2:17" ht="18" customHeight="1" x14ac:dyDescent="0.3">
      <c r="B4555" s="26"/>
      <c r="C4555" s="28"/>
      <c r="D4555" s="27"/>
      <c r="E4555" s="29"/>
      <c r="F4555" s="29"/>
      <c r="G4555" s="29"/>
      <c r="H4555" s="30" t="str">
        <f t="shared" si="497"/>
        <v/>
      </c>
      <c r="I4555" s="31" t="str">
        <f>IF(OR(B4555="",C4555=""),"",IFERROR(E4555*IF(E4555="",0,VLOOKUP(C4555,'📦 Precios Proforma'!$B$5:$D$104,IF(D4555="DIA",2,3),FALSE)),0))</f>
        <v/>
      </c>
      <c r="J4555" s="31" t="str">
        <f t="shared" si="498"/>
        <v/>
      </c>
      <c r="K4555" s="31" t="str">
        <f t="shared" si="499"/>
        <v/>
      </c>
      <c r="L4555" s="31" t="str">
        <f>IF(OR(B4555="",C4555=""),"",IFERROR(E4555 / SUMIFS('📅 Resumen Diario'!$D$5:$D$504, '📅 Resumen Diario'!$B$5:$B$504, B4555, '📅 Resumen Diario'!$C$5:$C$504, D4555) * SUMIFS('📅 Resumen Diario'!$K$5:$K$504, '📅 Resumen Diario'!$B$5:$B$504, B4555, '📅 Resumen Diario'!$C$5:$C$504, D4555), 0))</f>
        <v/>
      </c>
      <c r="M4555" s="31" t="str">
        <f t="shared" si="500"/>
        <v/>
      </c>
      <c r="N4555" s="31" t="str">
        <f t="shared" si="501"/>
        <v/>
      </c>
      <c r="O4555" s="31" t="str">
        <f>IF(OR(B4555="",C4555=""),"",K4555-N4555 + IFERROR(E4555 / SUMIFS('📅 Resumen Diario'!$D$5:$D$504, '📅 Resumen Diario'!$B$5:$B$504, B4555, '📅 Resumen Diario'!$C$5:$C$504, D4555) * (SUMIFS('📋 Detalle Diario'!$E$5:$E$489, '📋 Detalle Diario'!$B$5:$B$489, B4555, '📋 Detalle Diario'!$C$5:$C$489, D4555) * 135 + SUMIFS('📋 Detalle Diario'!$I$5:$I$489, '📋 Detalle Diario'!$B$5:$B$489, B4555, '📋 Detalle Diario'!$C$5:$C$489, D4555) * 200), 0))</f>
        <v/>
      </c>
      <c r="P4555" s="32" t="str">
        <f t="shared" si="502"/>
        <v/>
      </c>
      <c r="Q4555" s="33" t="str">
        <f t="shared" si="503"/>
        <v/>
      </c>
    </row>
    <row r="4556" spans="2:17" ht="18" customHeight="1" x14ac:dyDescent="0.3">
      <c r="B4556" s="26"/>
      <c r="C4556" s="17"/>
      <c r="D4556" s="27"/>
      <c r="E4556" s="18"/>
      <c r="F4556" s="18"/>
      <c r="G4556" s="18"/>
      <c r="H4556" s="30" t="str">
        <f t="shared" si="497"/>
        <v/>
      </c>
      <c r="I4556" s="31" t="str">
        <f>IF(OR(B4556="",C4556=""),"",IFERROR(E4556*IF(E4556="",0,VLOOKUP(C4556,'📦 Precios Proforma'!$B$5:$D$104,IF(D4556="DIA",2,3),FALSE)),0))</f>
        <v/>
      </c>
      <c r="J4556" s="31" t="str">
        <f t="shared" si="498"/>
        <v/>
      </c>
      <c r="K4556" s="31" t="str">
        <f t="shared" si="499"/>
        <v/>
      </c>
      <c r="L4556" s="31" t="str">
        <f>IF(OR(B4556="",C4556=""),"",IFERROR(E4556 / SUMIFS('📅 Resumen Diario'!$D$5:$D$504, '📅 Resumen Diario'!$B$5:$B$504, B4556, '📅 Resumen Diario'!$C$5:$C$504, D4556) * SUMIFS('📅 Resumen Diario'!$K$5:$K$504, '📅 Resumen Diario'!$B$5:$B$504, B4556, '📅 Resumen Diario'!$C$5:$C$504, D4556), 0))</f>
        <v/>
      </c>
      <c r="M4556" s="31" t="str">
        <f t="shared" si="500"/>
        <v/>
      </c>
      <c r="N4556" s="31" t="str">
        <f t="shared" si="501"/>
        <v/>
      </c>
      <c r="O4556" s="31" t="str">
        <f>IF(OR(B4556="",C4556=""),"",K4556-N4556 + IFERROR(E4556 / SUMIFS('📅 Resumen Diario'!$D$5:$D$504, '📅 Resumen Diario'!$B$5:$B$504, B4556, '📅 Resumen Diario'!$C$5:$C$504, D4556) * (SUMIFS('📋 Detalle Diario'!$E$5:$E$489, '📋 Detalle Diario'!$B$5:$B$489, B4556, '📋 Detalle Diario'!$C$5:$C$489, D4556) * 135 + SUMIFS('📋 Detalle Diario'!$I$5:$I$489, '📋 Detalle Diario'!$B$5:$B$489, B4556, '📋 Detalle Diario'!$C$5:$C$489, D4556) * 200), 0))</f>
        <v/>
      </c>
      <c r="P4556" s="32" t="str">
        <f t="shared" si="502"/>
        <v/>
      </c>
      <c r="Q4556" s="33" t="str">
        <f t="shared" si="503"/>
        <v/>
      </c>
    </row>
    <row r="4557" spans="2:17" ht="18" customHeight="1" x14ac:dyDescent="0.3">
      <c r="B4557" s="26"/>
      <c r="C4557" s="28"/>
      <c r="D4557" s="27"/>
      <c r="E4557" s="29"/>
      <c r="F4557" s="29"/>
      <c r="G4557" s="29"/>
      <c r="H4557" s="30" t="str">
        <f t="shared" si="497"/>
        <v/>
      </c>
      <c r="I4557" s="31" t="str">
        <f>IF(OR(B4557="",C4557=""),"",IFERROR(E4557*IF(E4557="",0,VLOOKUP(C4557,'📦 Precios Proforma'!$B$5:$D$104,IF(D4557="DIA",2,3),FALSE)),0))</f>
        <v/>
      </c>
      <c r="J4557" s="31" t="str">
        <f t="shared" si="498"/>
        <v/>
      </c>
      <c r="K4557" s="31" t="str">
        <f t="shared" si="499"/>
        <v/>
      </c>
      <c r="L4557" s="31" t="str">
        <f>IF(OR(B4557="",C4557=""),"",IFERROR(E4557 / SUMIFS('📅 Resumen Diario'!$D$5:$D$504, '📅 Resumen Diario'!$B$5:$B$504, B4557, '📅 Resumen Diario'!$C$5:$C$504, D4557) * SUMIFS('📅 Resumen Diario'!$K$5:$K$504, '📅 Resumen Diario'!$B$5:$B$504, B4557, '📅 Resumen Diario'!$C$5:$C$504, D4557), 0))</f>
        <v/>
      </c>
      <c r="M4557" s="31" t="str">
        <f t="shared" si="500"/>
        <v/>
      </c>
      <c r="N4557" s="31" t="str">
        <f t="shared" si="501"/>
        <v/>
      </c>
      <c r="O4557" s="31" t="str">
        <f>IF(OR(B4557="",C4557=""),"",K4557-N4557 + IFERROR(E4557 / SUMIFS('📅 Resumen Diario'!$D$5:$D$504, '📅 Resumen Diario'!$B$5:$B$504, B4557, '📅 Resumen Diario'!$C$5:$C$504, D4557) * (SUMIFS('📋 Detalle Diario'!$E$5:$E$489, '📋 Detalle Diario'!$B$5:$B$489, B4557, '📋 Detalle Diario'!$C$5:$C$489, D4557) * 135 + SUMIFS('📋 Detalle Diario'!$I$5:$I$489, '📋 Detalle Diario'!$B$5:$B$489, B4557, '📋 Detalle Diario'!$C$5:$C$489, D4557) * 200), 0))</f>
        <v/>
      </c>
      <c r="P4557" s="32" t="str">
        <f t="shared" si="502"/>
        <v/>
      </c>
      <c r="Q4557" s="33" t="str">
        <f t="shared" si="503"/>
        <v/>
      </c>
    </row>
    <row r="4558" spans="2:17" ht="18" customHeight="1" x14ac:dyDescent="0.3">
      <c r="B4558" s="26"/>
      <c r="C4558" s="17"/>
      <c r="D4558" s="27"/>
      <c r="E4558" s="18"/>
      <c r="F4558" s="18"/>
      <c r="G4558" s="18"/>
      <c r="H4558" s="30" t="str">
        <f t="shared" si="497"/>
        <v/>
      </c>
      <c r="I4558" s="31" t="str">
        <f>IF(OR(B4558="",C4558=""),"",IFERROR(E4558*IF(E4558="",0,VLOOKUP(C4558,'📦 Precios Proforma'!$B$5:$D$104,IF(D4558="DIA",2,3),FALSE)),0))</f>
        <v/>
      </c>
      <c r="J4558" s="31" t="str">
        <f t="shared" si="498"/>
        <v/>
      </c>
      <c r="K4558" s="31" t="str">
        <f t="shared" si="499"/>
        <v/>
      </c>
      <c r="L4558" s="31" t="str">
        <f>IF(OR(B4558="",C4558=""),"",IFERROR(E4558 / SUMIFS('📅 Resumen Diario'!$D$5:$D$504, '📅 Resumen Diario'!$B$5:$B$504, B4558, '📅 Resumen Diario'!$C$5:$C$504, D4558) * SUMIFS('📅 Resumen Diario'!$K$5:$K$504, '📅 Resumen Diario'!$B$5:$B$504, B4558, '📅 Resumen Diario'!$C$5:$C$504, D4558), 0))</f>
        <v/>
      </c>
      <c r="M4558" s="31" t="str">
        <f t="shared" si="500"/>
        <v/>
      </c>
      <c r="N4558" s="31" t="str">
        <f t="shared" si="501"/>
        <v/>
      </c>
      <c r="O4558" s="31" t="str">
        <f>IF(OR(B4558="",C4558=""),"",K4558-N4558 + IFERROR(E4558 / SUMIFS('📅 Resumen Diario'!$D$5:$D$504, '📅 Resumen Diario'!$B$5:$B$504, B4558, '📅 Resumen Diario'!$C$5:$C$504, D4558) * (SUMIFS('📋 Detalle Diario'!$E$5:$E$489, '📋 Detalle Diario'!$B$5:$B$489, B4558, '📋 Detalle Diario'!$C$5:$C$489, D4558) * 135 + SUMIFS('📋 Detalle Diario'!$I$5:$I$489, '📋 Detalle Diario'!$B$5:$B$489, B4558, '📋 Detalle Diario'!$C$5:$C$489, D4558) * 200), 0))</f>
        <v/>
      </c>
      <c r="P4558" s="32" t="str">
        <f t="shared" si="502"/>
        <v/>
      </c>
      <c r="Q4558" s="33" t="str">
        <f t="shared" si="503"/>
        <v/>
      </c>
    </row>
    <row r="4559" spans="2:17" ht="18" customHeight="1" x14ac:dyDescent="0.3">
      <c r="B4559" s="26"/>
      <c r="C4559" s="28"/>
      <c r="D4559" s="27"/>
      <c r="E4559" s="29"/>
      <c r="F4559" s="29"/>
      <c r="G4559" s="29"/>
      <c r="H4559" s="30" t="str">
        <f t="shared" si="497"/>
        <v/>
      </c>
      <c r="I4559" s="31" t="str">
        <f>IF(OR(B4559="",C4559=""),"",IFERROR(E4559*IF(E4559="",0,VLOOKUP(C4559,'📦 Precios Proforma'!$B$5:$D$104,IF(D4559="DIA",2,3),FALSE)),0))</f>
        <v/>
      </c>
      <c r="J4559" s="31" t="str">
        <f t="shared" si="498"/>
        <v/>
      </c>
      <c r="K4559" s="31" t="str">
        <f t="shared" si="499"/>
        <v/>
      </c>
      <c r="L4559" s="31" t="str">
        <f>IF(OR(B4559="",C4559=""),"",IFERROR(E4559 / SUMIFS('📅 Resumen Diario'!$D$5:$D$504, '📅 Resumen Diario'!$B$5:$B$504, B4559, '📅 Resumen Diario'!$C$5:$C$504, D4559) * SUMIFS('📅 Resumen Diario'!$K$5:$K$504, '📅 Resumen Diario'!$B$5:$B$504, B4559, '📅 Resumen Diario'!$C$5:$C$504, D4559), 0))</f>
        <v/>
      </c>
      <c r="M4559" s="31" t="str">
        <f t="shared" si="500"/>
        <v/>
      </c>
      <c r="N4559" s="31" t="str">
        <f t="shared" si="501"/>
        <v/>
      </c>
      <c r="O4559" s="31" t="str">
        <f>IF(OR(B4559="",C4559=""),"",K4559-N4559 + IFERROR(E4559 / SUMIFS('📅 Resumen Diario'!$D$5:$D$504, '📅 Resumen Diario'!$B$5:$B$504, B4559, '📅 Resumen Diario'!$C$5:$C$504, D4559) * (SUMIFS('📋 Detalle Diario'!$E$5:$E$489, '📋 Detalle Diario'!$B$5:$B$489, B4559, '📋 Detalle Diario'!$C$5:$C$489, D4559) * 135 + SUMIFS('📋 Detalle Diario'!$I$5:$I$489, '📋 Detalle Diario'!$B$5:$B$489, B4559, '📋 Detalle Diario'!$C$5:$C$489, D4559) * 200), 0))</f>
        <v/>
      </c>
      <c r="P4559" s="32" t="str">
        <f t="shared" si="502"/>
        <v/>
      </c>
      <c r="Q4559" s="33" t="str">
        <f t="shared" si="503"/>
        <v/>
      </c>
    </row>
    <row r="4560" spans="2:17" ht="18" customHeight="1" x14ac:dyDescent="0.3">
      <c r="B4560" s="26"/>
      <c r="C4560" s="17"/>
      <c r="D4560" s="27"/>
      <c r="E4560" s="18"/>
      <c r="F4560" s="18"/>
      <c r="G4560" s="18"/>
      <c r="H4560" s="30" t="str">
        <f t="shared" si="497"/>
        <v/>
      </c>
      <c r="I4560" s="31" t="str">
        <f>IF(OR(B4560="",C4560=""),"",IFERROR(E4560*IF(E4560="",0,VLOOKUP(C4560,'📦 Precios Proforma'!$B$5:$D$104,IF(D4560="DIA",2,3),FALSE)),0))</f>
        <v/>
      </c>
      <c r="J4560" s="31" t="str">
        <f t="shared" si="498"/>
        <v/>
      </c>
      <c r="K4560" s="31" t="str">
        <f t="shared" si="499"/>
        <v/>
      </c>
      <c r="L4560" s="31" t="str">
        <f>IF(OR(B4560="",C4560=""),"",IFERROR(E4560 / SUMIFS('📅 Resumen Diario'!$D$5:$D$504, '📅 Resumen Diario'!$B$5:$B$504, B4560, '📅 Resumen Diario'!$C$5:$C$504, D4560) * SUMIFS('📅 Resumen Diario'!$K$5:$K$504, '📅 Resumen Diario'!$B$5:$B$504, B4560, '📅 Resumen Diario'!$C$5:$C$504, D4560), 0))</f>
        <v/>
      </c>
      <c r="M4560" s="31" t="str">
        <f t="shared" si="500"/>
        <v/>
      </c>
      <c r="N4560" s="31" t="str">
        <f t="shared" si="501"/>
        <v/>
      </c>
      <c r="O4560" s="31" t="str">
        <f>IF(OR(B4560="",C4560=""),"",K4560-N4560 + IFERROR(E4560 / SUMIFS('📅 Resumen Diario'!$D$5:$D$504, '📅 Resumen Diario'!$B$5:$B$504, B4560, '📅 Resumen Diario'!$C$5:$C$504, D4560) * (SUMIFS('📋 Detalle Diario'!$E$5:$E$489, '📋 Detalle Diario'!$B$5:$B$489, B4560, '📋 Detalle Diario'!$C$5:$C$489, D4560) * 135 + SUMIFS('📋 Detalle Diario'!$I$5:$I$489, '📋 Detalle Diario'!$B$5:$B$489, B4560, '📋 Detalle Diario'!$C$5:$C$489, D4560) * 200), 0))</f>
        <v/>
      </c>
      <c r="P4560" s="32" t="str">
        <f t="shared" si="502"/>
        <v/>
      </c>
      <c r="Q4560" s="33" t="str">
        <f t="shared" si="503"/>
        <v/>
      </c>
    </row>
    <row r="4561" spans="2:17" ht="18" customHeight="1" x14ac:dyDescent="0.3">
      <c r="B4561" s="26"/>
      <c r="C4561" s="28"/>
      <c r="D4561" s="27"/>
      <c r="E4561" s="29"/>
      <c r="F4561" s="29"/>
      <c r="G4561" s="29"/>
      <c r="H4561" s="30" t="str">
        <f t="shared" si="497"/>
        <v/>
      </c>
      <c r="I4561" s="31" t="str">
        <f>IF(OR(B4561="",C4561=""),"",IFERROR(E4561*IF(E4561="",0,VLOOKUP(C4561,'📦 Precios Proforma'!$B$5:$D$104,IF(D4561="DIA",2,3),FALSE)),0))</f>
        <v/>
      </c>
      <c r="J4561" s="31" t="str">
        <f t="shared" si="498"/>
        <v/>
      </c>
      <c r="K4561" s="31" t="str">
        <f t="shared" si="499"/>
        <v/>
      </c>
      <c r="L4561" s="31" t="str">
        <f>IF(OR(B4561="",C4561=""),"",IFERROR(E4561 / SUMIFS('📅 Resumen Diario'!$D$5:$D$504, '📅 Resumen Diario'!$B$5:$B$504, B4561, '📅 Resumen Diario'!$C$5:$C$504, D4561) * SUMIFS('📅 Resumen Diario'!$K$5:$K$504, '📅 Resumen Diario'!$B$5:$B$504, B4561, '📅 Resumen Diario'!$C$5:$C$504, D4561), 0))</f>
        <v/>
      </c>
      <c r="M4561" s="31" t="str">
        <f t="shared" si="500"/>
        <v/>
      </c>
      <c r="N4561" s="31" t="str">
        <f t="shared" si="501"/>
        <v/>
      </c>
      <c r="O4561" s="31" t="str">
        <f>IF(OR(B4561="",C4561=""),"",K4561-N4561 + IFERROR(E4561 / SUMIFS('📅 Resumen Diario'!$D$5:$D$504, '📅 Resumen Diario'!$B$5:$B$504, B4561, '📅 Resumen Diario'!$C$5:$C$504, D4561) * (SUMIFS('📋 Detalle Diario'!$E$5:$E$489, '📋 Detalle Diario'!$B$5:$B$489, B4561, '📋 Detalle Diario'!$C$5:$C$489, D4561) * 135 + SUMIFS('📋 Detalle Diario'!$I$5:$I$489, '📋 Detalle Diario'!$B$5:$B$489, B4561, '📋 Detalle Diario'!$C$5:$C$489, D4561) * 200), 0))</f>
        <v/>
      </c>
      <c r="P4561" s="32" t="str">
        <f t="shared" si="502"/>
        <v/>
      </c>
      <c r="Q4561" s="33" t="str">
        <f t="shared" si="503"/>
        <v/>
      </c>
    </row>
    <row r="4562" spans="2:17" ht="18" customHeight="1" x14ac:dyDescent="0.3">
      <c r="B4562" s="26"/>
      <c r="C4562" s="17"/>
      <c r="D4562" s="27"/>
      <c r="E4562" s="18"/>
      <c r="F4562" s="18"/>
      <c r="G4562" s="18"/>
      <c r="H4562" s="30" t="str">
        <f t="shared" si="497"/>
        <v/>
      </c>
      <c r="I4562" s="31" t="str">
        <f>IF(OR(B4562="",C4562=""),"",IFERROR(E4562*IF(E4562="",0,VLOOKUP(C4562,'📦 Precios Proforma'!$B$5:$D$104,IF(D4562="DIA",2,3),FALSE)),0))</f>
        <v/>
      </c>
      <c r="J4562" s="31" t="str">
        <f t="shared" si="498"/>
        <v/>
      </c>
      <c r="K4562" s="31" t="str">
        <f t="shared" si="499"/>
        <v/>
      </c>
      <c r="L4562" s="31" t="str">
        <f>IF(OR(B4562="",C4562=""),"",IFERROR(E4562 / SUMIFS('📅 Resumen Diario'!$D$5:$D$504, '📅 Resumen Diario'!$B$5:$B$504, B4562, '📅 Resumen Diario'!$C$5:$C$504, D4562) * SUMIFS('📅 Resumen Diario'!$K$5:$K$504, '📅 Resumen Diario'!$B$5:$B$504, B4562, '📅 Resumen Diario'!$C$5:$C$504, D4562), 0))</f>
        <v/>
      </c>
      <c r="M4562" s="31" t="str">
        <f t="shared" si="500"/>
        <v/>
      </c>
      <c r="N4562" s="31" t="str">
        <f t="shared" si="501"/>
        <v/>
      </c>
      <c r="O4562" s="31" t="str">
        <f>IF(OR(B4562="",C4562=""),"",K4562-N4562 + IFERROR(E4562 / SUMIFS('📅 Resumen Diario'!$D$5:$D$504, '📅 Resumen Diario'!$B$5:$B$504, B4562, '📅 Resumen Diario'!$C$5:$C$504, D4562) * (SUMIFS('📋 Detalle Diario'!$E$5:$E$489, '📋 Detalle Diario'!$B$5:$B$489, B4562, '📋 Detalle Diario'!$C$5:$C$489, D4562) * 135 + SUMIFS('📋 Detalle Diario'!$I$5:$I$489, '📋 Detalle Diario'!$B$5:$B$489, B4562, '📋 Detalle Diario'!$C$5:$C$489, D4562) * 200), 0))</f>
        <v/>
      </c>
      <c r="P4562" s="32" t="str">
        <f t="shared" si="502"/>
        <v/>
      </c>
      <c r="Q4562" s="33" t="str">
        <f t="shared" si="503"/>
        <v/>
      </c>
    </row>
    <row r="4563" spans="2:17" ht="18" customHeight="1" x14ac:dyDescent="0.3">
      <c r="B4563" s="26"/>
      <c r="C4563" s="28"/>
      <c r="D4563" s="27"/>
      <c r="E4563" s="29"/>
      <c r="F4563" s="29"/>
      <c r="G4563" s="29"/>
      <c r="H4563" s="30" t="str">
        <f t="shared" si="497"/>
        <v/>
      </c>
      <c r="I4563" s="31" t="str">
        <f>IF(OR(B4563="",C4563=""),"",IFERROR(E4563*IF(E4563="",0,VLOOKUP(C4563,'📦 Precios Proforma'!$B$5:$D$104,IF(D4563="DIA",2,3),FALSE)),0))</f>
        <v/>
      </c>
      <c r="J4563" s="31" t="str">
        <f t="shared" si="498"/>
        <v/>
      </c>
      <c r="K4563" s="31" t="str">
        <f t="shared" si="499"/>
        <v/>
      </c>
      <c r="L4563" s="31" t="str">
        <f>IF(OR(B4563="",C4563=""),"",IFERROR(E4563 / SUMIFS('📅 Resumen Diario'!$D$5:$D$504, '📅 Resumen Diario'!$B$5:$B$504, B4563, '📅 Resumen Diario'!$C$5:$C$504, D4563) * SUMIFS('📅 Resumen Diario'!$K$5:$K$504, '📅 Resumen Diario'!$B$5:$B$504, B4563, '📅 Resumen Diario'!$C$5:$C$504, D4563), 0))</f>
        <v/>
      </c>
      <c r="M4563" s="31" t="str">
        <f t="shared" si="500"/>
        <v/>
      </c>
      <c r="N4563" s="31" t="str">
        <f t="shared" si="501"/>
        <v/>
      </c>
      <c r="O4563" s="31" t="str">
        <f>IF(OR(B4563="",C4563=""),"",K4563-N4563 + IFERROR(E4563 / SUMIFS('📅 Resumen Diario'!$D$5:$D$504, '📅 Resumen Diario'!$B$5:$B$504, B4563, '📅 Resumen Diario'!$C$5:$C$504, D4563) * (SUMIFS('📋 Detalle Diario'!$E$5:$E$489, '📋 Detalle Diario'!$B$5:$B$489, B4563, '📋 Detalle Diario'!$C$5:$C$489, D4563) * 135 + SUMIFS('📋 Detalle Diario'!$I$5:$I$489, '📋 Detalle Diario'!$B$5:$B$489, B4563, '📋 Detalle Diario'!$C$5:$C$489, D4563) * 200), 0))</f>
        <v/>
      </c>
      <c r="P4563" s="32" t="str">
        <f t="shared" si="502"/>
        <v/>
      </c>
      <c r="Q4563" s="33" t="str">
        <f t="shared" si="503"/>
        <v/>
      </c>
    </row>
    <row r="4564" spans="2:17" ht="18" customHeight="1" x14ac:dyDescent="0.3">
      <c r="B4564" s="26"/>
      <c r="C4564" s="17"/>
      <c r="D4564" s="27"/>
      <c r="E4564" s="18"/>
      <c r="F4564" s="18"/>
      <c r="G4564" s="18"/>
      <c r="H4564" s="30" t="str">
        <f t="shared" si="497"/>
        <v/>
      </c>
      <c r="I4564" s="31" t="str">
        <f>IF(OR(B4564="",C4564=""),"",IFERROR(E4564*IF(E4564="",0,VLOOKUP(C4564,'📦 Precios Proforma'!$B$5:$D$104,IF(D4564="DIA",2,3),FALSE)),0))</f>
        <v/>
      </c>
      <c r="J4564" s="31" t="str">
        <f t="shared" si="498"/>
        <v/>
      </c>
      <c r="K4564" s="31" t="str">
        <f t="shared" si="499"/>
        <v/>
      </c>
      <c r="L4564" s="31" t="str">
        <f>IF(OR(B4564="",C4564=""),"",IFERROR(E4564 / SUMIFS('📅 Resumen Diario'!$D$5:$D$504, '📅 Resumen Diario'!$B$5:$B$504, B4564, '📅 Resumen Diario'!$C$5:$C$504, D4564) * SUMIFS('📅 Resumen Diario'!$K$5:$K$504, '📅 Resumen Diario'!$B$5:$B$504, B4564, '📅 Resumen Diario'!$C$5:$C$504, D4564), 0))</f>
        <v/>
      </c>
      <c r="M4564" s="31" t="str">
        <f t="shared" si="500"/>
        <v/>
      </c>
      <c r="N4564" s="31" t="str">
        <f t="shared" si="501"/>
        <v/>
      </c>
      <c r="O4564" s="31" t="str">
        <f>IF(OR(B4564="",C4564=""),"",K4564-N4564 + IFERROR(E4564 / SUMIFS('📅 Resumen Diario'!$D$5:$D$504, '📅 Resumen Diario'!$B$5:$B$504, B4564, '📅 Resumen Diario'!$C$5:$C$504, D4564) * (SUMIFS('📋 Detalle Diario'!$E$5:$E$489, '📋 Detalle Diario'!$B$5:$B$489, B4564, '📋 Detalle Diario'!$C$5:$C$489, D4564) * 135 + SUMIFS('📋 Detalle Diario'!$I$5:$I$489, '📋 Detalle Diario'!$B$5:$B$489, B4564, '📋 Detalle Diario'!$C$5:$C$489, D4564) * 200), 0))</f>
        <v/>
      </c>
      <c r="P4564" s="32" t="str">
        <f t="shared" si="502"/>
        <v/>
      </c>
      <c r="Q4564" s="33" t="str">
        <f t="shared" si="503"/>
        <v/>
      </c>
    </row>
    <row r="4565" spans="2:17" ht="18" customHeight="1" x14ac:dyDescent="0.3">
      <c r="B4565" s="26"/>
      <c r="C4565" s="28"/>
      <c r="D4565" s="27"/>
      <c r="E4565" s="29"/>
      <c r="F4565" s="29"/>
      <c r="G4565" s="29"/>
      <c r="H4565" s="30" t="str">
        <f t="shared" si="497"/>
        <v/>
      </c>
      <c r="I4565" s="31" t="str">
        <f>IF(OR(B4565="",C4565=""),"",IFERROR(E4565*IF(E4565="",0,VLOOKUP(C4565,'📦 Precios Proforma'!$B$5:$D$104,IF(D4565="DIA",2,3),FALSE)),0))</f>
        <v/>
      </c>
      <c r="J4565" s="31" t="str">
        <f t="shared" si="498"/>
        <v/>
      </c>
      <c r="K4565" s="31" t="str">
        <f t="shared" si="499"/>
        <v/>
      </c>
      <c r="L4565" s="31" t="str">
        <f>IF(OR(B4565="",C4565=""),"",IFERROR(E4565 / SUMIFS('📅 Resumen Diario'!$D$5:$D$504, '📅 Resumen Diario'!$B$5:$B$504, B4565, '📅 Resumen Diario'!$C$5:$C$504, D4565) * SUMIFS('📅 Resumen Diario'!$K$5:$K$504, '📅 Resumen Diario'!$B$5:$B$504, B4565, '📅 Resumen Diario'!$C$5:$C$504, D4565), 0))</f>
        <v/>
      </c>
      <c r="M4565" s="31" t="str">
        <f t="shared" si="500"/>
        <v/>
      </c>
      <c r="N4565" s="31" t="str">
        <f t="shared" si="501"/>
        <v/>
      </c>
      <c r="O4565" s="31" t="str">
        <f>IF(OR(B4565="",C4565=""),"",K4565-N4565 + IFERROR(E4565 / SUMIFS('📅 Resumen Diario'!$D$5:$D$504, '📅 Resumen Diario'!$B$5:$B$504, B4565, '📅 Resumen Diario'!$C$5:$C$504, D4565) * (SUMIFS('📋 Detalle Diario'!$E$5:$E$489, '📋 Detalle Diario'!$B$5:$B$489, B4565, '📋 Detalle Diario'!$C$5:$C$489, D4565) * 135 + SUMIFS('📋 Detalle Diario'!$I$5:$I$489, '📋 Detalle Diario'!$B$5:$B$489, B4565, '📋 Detalle Diario'!$C$5:$C$489, D4565) * 200), 0))</f>
        <v/>
      </c>
      <c r="P4565" s="32" t="str">
        <f t="shared" si="502"/>
        <v/>
      </c>
      <c r="Q4565" s="33" t="str">
        <f t="shared" si="503"/>
        <v/>
      </c>
    </row>
    <row r="4566" spans="2:17" ht="18" customHeight="1" x14ac:dyDescent="0.3">
      <c r="B4566" s="26"/>
      <c r="C4566" s="17"/>
      <c r="D4566" s="27"/>
      <c r="E4566" s="18"/>
      <c r="F4566" s="18"/>
      <c r="G4566" s="18"/>
      <c r="H4566" s="30" t="str">
        <f t="shared" si="497"/>
        <v/>
      </c>
      <c r="I4566" s="31" t="str">
        <f>IF(OR(B4566="",C4566=""),"",IFERROR(E4566*IF(E4566="",0,VLOOKUP(C4566,'📦 Precios Proforma'!$B$5:$D$104,IF(D4566="DIA",2,3),FALSE)),0))</f>
        <v/>
      </c>
      <c r="J4566" s="31" t="str">
        <f t="shared" si="498"/>
        <v/>
      </c>
      <c r="K4566" s="31" t="str">
        <f t="shared" si="499"/>
        <v/>
      </c>
      <c r="L4566" s="31" t="str">
        <f>IF(OR(B4566="",C4566=""),"",IFERROR(E4566 / SUMIFS('📅 Resumen Diario'!$D$5:$D$504, '📅 Resumen Diario'!$B$5:$B$504, B4566, '📅 Resumen Diario'!$C$5:$C$504, D4566) * SUMIFS('📅 Resumen Diario'!$K$5:$K$504, '📅 Resumen Diario'!$B$5:$B$504, B4566, '📅 Resumen Diario'!$C$5:$C$504, D4566), 0))</f>
        <v/>
      </c>
      <c r="M4566" s="31" t="str">
        <f t="shared" si="500"/>
        <v/>
      </c>
      <c r="N4566" s="31" t="str">
        <f t="shared" si="501"/>
        <v/>
      </c>
      <c r="O4566" s="31" t="str">
        <f>IF(OR(B4566="",C4566=""),"",K4566-N4566 + IFERROR(E4566 / SUMIFS('📅 Resumen Diario'!$D$5:$D$504, '📅 Resumen Diario'!$B$5:$B$504, B4566, '📅 Resumen Diario'!$C$5:$C$504, D4566) * (SUMIFS('📋 Detalle Diario'!$E$5:$E$489, '📋 Detalle Diario'!$B$5:$B$489, B4566, '📋 Detalle Diario'!$C$5:$C$489, D4566) * 135 + SUMIFS('📋 Detalle Diario'!$I$5:$I$489, '📋 Detalle Diario'!$B$5:$B$489, B4566, '📋 Detalle Diario'!$C$5:$C$489, D4566) * 200), 0))</f>
        <v/>
      </c>
      <c r="P4566" s="32" t="str">
        <f t="shared" si="502"/>
        <v/>
      </c>
      <c r="Q4566" s="33" t="str">
        <f t="shared" si="503"/>
        <v/>
      </c>
    </row>
    <row r="4567" spans="2:17" ht="18" customHeight="1" x14ac:dyDescent="0.3">
      <c r="B4567" s="26"/>
      <c r="C4567" s="28"/>
      <c r="D4567" s="27"/>
      <c r="E4567" s="29"/>
      <c r="F4567" s="29"/>
      <c r="G4567" s="29"/>
      <c r="H4567" s="30" t="str">
        <f t="shared" si="497"/>
        <v/>
      </c>
      <c r="I4567" s="31" t="str">
        <f>IF(OR(B4567="",C4567=""),"",IFERROR(E4567*IF(E4567="",0,VLOOKUP(C4567,'📦 Precios Proforma'!$B$5:$D$104,IF(D4567="DIA",2,3),FALSE)),0))</f>
        <v/>
      </c>
      <c r="J4567" s="31" t="str">
        <f t="shared" si="498"/>
        <v/>
      </c>
      <c r="K4567" s="31" t="str">
        <f t="shared" si="499"/>
        <v/>
      </c>
      <c r="L4567" s="31" t="str">
        <f>IF(OR(B4567="",C4567=""),"",IFERROR(E4567 / SUMIFS('📅 Resumen Diario'!$D$5:$D$504, '📅 Resumen Diario'!$B$5:$B$504, B4567, '📅 Resumen Diario'!$C$5:$C$504, D4567) * SUMIFS('📅 Resumen Diario'!$K$5:$K$504, '📅 Resumen Diario'!$B$5:$B$504, B4567, '📅 Resumen Diario'!$C$5:$C$504, D4567), 0))</f>
        <v/>
      </c>
      <c r="M4567" s="31" t="str">
        <f t="shared" si="500"/>
        <v/>
      </c>
      <c r="N4567" s="31" t="str">
        <f t="shared" si="501"/>
        <v/>
      </c>
      <c r="O4567" s="31" t="str">
        <f>IF(OR(B4567="",C4567=""),"",K4567-N4567 + IFERROR(E4567 / SUMIFS('📅 Resumen Diario'!$D$5:$D$504, '📅 Resumen Diario'!$B$5:$B$504, B4567, '📅 Resumen Diario'!$C$5:$C$504, D4567) * (SUMIFS('📋 Detalle Diario'!$E$5:$E$489, '📋 Detalle Diario'!$B$5:$B$489, B4567, '📋 Detalle Diario'!$C$5:$C$489, D4567) * 135 + SUMIFS('📋 Detalle Diario'!$I$5:$I$489, '📋 Detalle Diario'!$B$5:$B$489, B4567, '📋 Detalle Diario'!$C$5:$C$489, D4567) * 200), 0))</f>
        <v/>
      </c>
      <c r="P4567" s="32" t="str">
        <f t="shared" si="502"/>
        <v/>
      </c>
      <c r="Q4567" s="33" t="str">
        <f t="shared" si="503"/>
        <v/>
      </c>
    </row>
    <row r="4568" spans="2:17" ht="18" customHeight="1" x14ac:dyDescent="0.3">
      <c r="B4568" s="26"/>
      <c r="C4568" s="17"/>
      <c r="D4568" s="27"/>
      <c r="E4568" s="18"/>
      <c r="F4568" s="18"/>
      <c r="G4568" s="18"/>
      <c r="H4568" s="30" t="str">
        <f t="shared" si="497"/>
        <v/>
      </c>
      <c r="I4568" s="31" t="str">
        <f>IF(OR(B4568="",C4568=""),"",IFERROR(E4568*IF(E4568="",0,VLOOKUP(C4568,'📦 Precios Proforma'!$B$5:$D$104,IF(D4568="DIA",2,3),FALSE)),0))</f>
        <v/>
      </c>
      <c r="J4568" s="31" t="str">
        <f t="shared" si="498"/>
        <v/>
      </c>
      <c r="K4568" s="31" t="str">
        <f t="shared" si="499"/>
        <v/>
      </c>
      <c r="L4568" s="31" t="str">
        <f>IF(OR(B4568="",C4568=""),"",IFERROR(E4568 / SUMIFS('📅 Resumen Diario'!$D$5:$D$504, '📅 Resumen Diario'!$B$5:$B$504, B4568, '📅 Resumen Diario'!$C$5:$C$504, D4568) * SUMIFS('📅 Resumen Diario'!$K$5:$K$504, '📅 Resumen Diario'!$B$5:$B$504, B4568, '📅 Resumen Diario'!$C$5:$C$504, D4568), 0))</f>
        <v/>
      </c>
      <c r="M4568" s="31" t="str">
        <f t="shared" si="500"/>
        <v/>
      </c>
      <c r="N4568" s="31" t="str">
        <f t="shared" si="501"/>
        <v/>
      </c>
      <c r="O4568" s="31" t="str">
        <f>IF(OR(B4568="",C4568=""),"",K4568-N4568 + IFERROR(E4568 / SUMIFS('📅 Resumen Diario'!$D$5:$D$504, '📅 Resumen Diario'!$B$5:$B$504, B4568, '📅 Resumen Diario'!$C$5:$C$504, D4568) * (SUMIFS('📋 Detalle Diario'!$E$5:$E$489, '📋 Detalle Diario'!$B$5:$B$489, B4568, '📋 Detalle Diario'!$C$5:$C$489, D4568) * 135 + SUMIFS('📋 Detalle Diario'!$I$5:$I$489, '📋 Detalle Diario'!$B$5:$B$489, B4568, '📋 Detalle Diario'!$C$5:$C$489, D4568) * 200), 0))</f>
        <v/>
      </c>
      <c r="P4568" s="32" t="str">
        <f t="shared" si="502"/>
        <v/>
      </c>
      <c r="Q4568" s="33" t="str">
        <f t="shared" si="503"/>
        <v/>
      </c>
    </row>
    <row r="4569" spans="2:17" ht="18" customHeight="1" x14ac:dyDescent="0.3">
      <c r="B4569" s="26"/>
      <c r="C4569" s="28"/>
      <c r="D4569" s="27"/>
      <c r="E4569" s="29"/>
      <c r="F4569" s="29"/>
      <c r="G4569" s="29"/>
      <c r="H4569" s="30" t="str">
        <f t="shared" si="497"/>
        <v/>
      </c>
      <c r="I4569" s="31" t="str">
        <f>IF(OR(B4569="",C4569=""),"",IFERROR(E4569*IF(E4569="",0,VLOOKUP(C4569,'📦 Precios Proforma'!$B$5:$D$104,IF(D4569="DIA",2,3),FALSE)),0))</f>
        <v/>
      </c>
      <c r="J4569" s="31" t="str">
        <f t="shared" si="498"/>
        <v/>
      </c>
      <c r="K4569" s="31" t="str">
        <f t="shared" si="499"/>
        <v/>
      </c>
      <c r="L4569" s="31" t="str">
        <f>IF(OR(B4569="",C4569=""),"",IFERROR(E4569 / SUMIFS('📅 Resumen Diario'!$D$5:$D$504, '📅 Resumen Diario'!$B$5:$B$504, B4569, '📅 Resumen Diario'!$C$5:$C$504, D4569) * SUMIFS('📅 Resumen Diario'!$K$5:$K$504, '📅 Resumen Diario'!$B$5:$B$504, B4569, '📅 Resumen Diario'!$C$5:$C$504, D4569), 0))</f>
        <v/>
      </c>
      <c r="M4569" s="31" t="str">
        <f t="shared" si="500"/>
        <v/>
      </c>
      <c r="N4569" s="31" t="str">
        <f t="shared" si="501"/>
        <v/>
      </c>
      <c r="O4569" s="31" t="str">
        <f>IF(OR(B4569="",C4569=""),"",K4569-N4569 + IFERROR(E4569 / SUMIFS('📅 Resumen Diario'!$D$5:$D$504, '📅 Resumen Diario'!$B$5:$B$504, B4569, '📅 Resumen Diario'!$C$5:$C$504, D4569) * (SUMIFS('📋 Detalle Diario'!$E$5:$E$489, '📋 Detalle Diario'!$B$5:$B$489, B4569, '📋 Detalle Diario'!$C$5:$C$489, D4569) * 135 + SUMIFS('📋 Detalle Diario'!$I$5:$I$489, '📋 Detalle Diario'!$B$5:$B$489, B4569, '📋 Detalle Diario'!$C$5:$C$489, D4569) * 200), 0))</f>
        <v/>
      </c>
      <c r="P4569" s="32" t="str">
        <f t="shared" si="502"/>
        <v/>
      </c>
      <c r="Q4569" s="33" t="str">
        <f t="shared" si="503"/>
        <v/>
      </c>
    </row>
    <row r="4570" spans="2:17" ht="18" customHeight="1" x14ac:dyDescent="0.3">
      <c r="B4570" s="26"/>
      <c r="C4570" s="17"/>
      <c r="D4570" s="27"/>
      <c r="E4570" s="18"/>
      <c r="F4570" s="18"/>
      <c r="G4570" s="18"/>
      <c r="H4570" s="30" t="str">
        <f t="shared" si="497"/>
        <v/>
      </c>
      <c r="I4570" s="31" t="str">
        <f>IF(OR(B4570="",C4570=""),"",IFERROR(E4570*IF(E4570="",0,VLOOKUP(C4570,'📦 Precios Proforma'!$B$5:$D$104,IF(D4570="DIA",2,3),FALSE)),0))</f>
        <v/>
      </c>
      <c r="J4570" s="31" t="str">
        <f t="shared" si="498"/>
        <v/>
      </c>
      <c r="K4570" s="31" t="str">
        <f t="shared" si="499"/>
        <v/>
      </c>
      <c r="L4570" s="31" t="str">
        <f>IF(OR(B4570="",C4570=""),"",IFERROR(E4570 / SUMIFS('📅 Resumen Diario'!$D$5:$D$504, '📅 Resumen Diario'!$B$5:$B$504, B4570, '📅 Resumen Diario'!$C$5:$C$504, D4570) * SUMIFS('📅 Resumen Diario'!$K$5:$K$504, '📅 Resumen Diario'!$B$5:$B$504, B4570, '📅 Resumen Diario'!$C$5:$C$504, D4570), 0))</f>
        <v/>
      </c>
      <c r="M4570" s="31" t="str">
        <f t="shared" si="500"/>
        <v/>
      </c>
      <c r="N4570" s="31" t="str">
        <f t="shared" si="501"/>
        <v/>
      </c>
      <c r="O4570" s="31" t="str">
        <f>IF(OR(B4570="",C4570=""),"",K4570-N4570 + IFERROR(E4570 / SUMIFS('📅 Resumen Diario'!$D$5:$D$504, '📅 Resumen Diario'!$B$5:$B$504, B4570, '📅 Resumen Diario'!$C$5:$C$504, D4570) * (SUMIFS('📋 Detalle Diario'!$E$5:$E$489, '📋 Detalle Diario'!$B$5:$B$489, B4570, '📋 Detalle Diario'!$C$5:$C$489, D4570) * 135 + SUMIFS('📋 Detalle Diario'!$I$5:$I$489, '📋 Detalle Diario'!$B$5:$B$489, B4570, '📋 Detalle Diario'!$C$5:$C$489, D4570) * 200), 0))</f>
        <v/>
      </c>
      <c r="P4570" s="32" t="str">
        <f t="shared" si="502"/>
        <v/>
      </c>
      <c r="Q4570" s="33" t="str">
        <f t="shared" si="503"/>
        <v/>
      </c>
    </row>
    <row r="4571" spans="2:17" ht="18" customHeight="1" x14ac:dyDescent="0.3">
      <c r="B4571" s="26"/>
      <c r="C4571" s="28"/>
      <c r="D4571" s="27"/>
      <c r="E4571" s="29"/>
      <c r="F4571" s="29"/>
      <c r="G4571" s="29"/>
      <c r="H4571" s="30" t="str">
        <f t="shared" si="497"/>
        <v/>
      </c>
      <c r="I4571" s="31" t="str">
        <f>IF(OR(B4571="",C4571=""),"",IFERROR(E4571*IF(E4571="",0,VLOOKUP(C4571,'📦 Precios Proforma'!$B$5:$D$104,IF(D4571="DIA",2,3),FALSE)),0))</f>
        <v/>
      </c>
      <c r="J4571" s="31" t="str">
        <f t="shared" si="498"/>
        <v/>
      </c>
      <c r="K4571" s="31" t="str">
        <f t="shared" si="499"/>
        <v/>
      </c>
      <c r="L4571" s="31" t="str">
        <f>IF(OR(B4571="",C4571=""),"",IFERROR(E4571 / SUMIFS('📅 Resumen Diario'!$D$5:$D$504, '📅 Resumen Diario'!$B$5:$B$504, B4571, '📅 Resumen Diario'!$C$5:$C$504, D4571) * SUMIFS('📅 Resumen Diario'!$K$5:$K$504, '📅 Resumen Diario'!$B$5:$B$504, B4571, '📅 Resumen Diario'!$C$5:$C$504, D4571), 0))</f>
        <v/>
      </c>
      <c r="M4571" s="31" t="str">
        <f t="shared" si="500"/>
        <v/>
      </c>
      <c r="N4571" s="31" t="str">
        <f t="shared" si="501"/>
        <v/>
      </c>
      <c r="O4571" s="31" t="str">
        <f>IF(OR(B4571="",C4571=""),"",K4571-N4571 + IFERROR(E4571 / SUMIFS('📅 Resumen Diario'!$D$5:$D$504, '📅 Resumen Diario'!$B$5:$B$504, B4571, '📅 Resumen Diario'!$C$5:$C$504, D4571) * (SUMIFS('📋 Detalle Diario'!$E$5:$E$489, '📋 Detalle Diario'!$B$5:$B$489, B4571, '📋 Detalle Diario'!$C$5:$C$489, D4571) * 135 + SUMIFS('📋 Detalle Diario'!$I$5:$I$489, '📋 Detalle Diario'!$B$5:$B$489, B4571, '📋 Detalle Diario'!$C$5:$C$489, D4571) * 200), 0))</f>
        <v/>
      </c>
      <c r="P4571" s="32" t="str">
        <f t="shared" si="502"/>
        <v/>
      </c>
      <c r="Q4571" s="33" t="str">
        <f t="shared" si="503"/>
        <v/>
      </c>
    </row>
    <row r="4572" spans="2:17" ht="18" customHeight="1" x14ac:dyDescent="0.3">
      <c r="B4572" s="26"/>
      <c r="C4572" s="17"/>
      <c r="D4572" s="27"/>
      <c r="E4572" s="18"/>
      <c r="F4572" s="18"/>
      <c r="G4572" s="18"/>
      <c r="H4572" s="30" t="str">
        <f t="shared" si="497"/>
        <v/>
      </c>
      <c r="I4572" s="31" t="str">
        <f>IF(OR(B4572="",C4572=""),"",IFERROR(E4572*IF(E4572="",0,VLOOKUP(C4572,'📦 Precios Proforma'!$B$5:$D$104,IF(D4572="DIA",2,3),FALSE)),0))</f>
        <v/>
      </c>
      <c r="J4572" s="31" t="str">
        <f t="shared" si="498"/>
        <v/>
      </c>
      <c r="K4572" s="31" t="str">
        <f t="shared" si="499"/>
        <v/>
      </c>
      <c r="L4572" s="31" t="str">
        <f>IF(OR(B4572="",C4572=""),"",IFERROR(E4572 / SUMIFS('📅 Resumen Diario'!$D$5:$D$504, '📅 Resumen Diario'!$B$5:$B$504, B4572, '📅 Resumen Diario'!$C$5:$C$504, D4572) * SUMIFS('📅 Resumen Diario'!$K$5:$K$504, '📅 Resumen Diario'!$B$5:$B$504, B4572, '📅 Resumen Diario'!$C$5:$C$504, D4572), 0))</f>
        <v/>
      </c>
      <c r="M4572" s="31" t="str">
        <f t="shared" si="500"/>
        <v/>
      </c>
      <c r="N4572" s="31" t="str">
        <f t="shared" si="501"/>
        <v/>
      </c>
      <c r="O4572" s="31" t="str">
        <f>IF(OR(B4572="",C4572=""),"",K4572-N4572 + IFERROR(E4572 / SUMIFS('📅 Resumen Diario'!$D$5:$D$504, '📅 Resumen Diario'!$B$5:$B$504, B4572, '📅 Resumen Diario'!$C$5:$C$504, D4572) * (SUMIFS('📋 Detalle Diario'!$E$5:$E$489, '📋 Detalle Diario'!$B$5:$B$489, B4572, '📋 Detalle Diario'!$C$5:$C$489, D4572) * 135 + SUMIFS('📋 Detalle Diario'!$I$5:$I$489, '📋 Detalle Diario'!$B$5:$B$489, B4572, '📋 Detalle Diario'!$C$5:$C$489, D4572) * 200), 0))</f>
        <v/>
      </c>
      <c r="P4572" s="32" t="str">
        <f t="shared" si="502"/>
        <v/>
      </c>
      <c r="Q4572" s="33" t="str">
        <f t="shared" si="503"/>
        <v/>
      </c>
    </row>
    <row r="4573" spans="2:17" ht="18" customHeight="1" x14ac:dyDescent="0.3">
      <c r="B4573" s="26"/>
      <c r="C4573" s="28"/>
      <c r="D4573" s="27"/>
      <c r="E4573" s="29"/>
      <c r="F4573" s="29"/>
      <c r="G4573" s="29"/>
      <c r="H4573" s="30" t="str">
        <f t="shared" si="497"/>
        <v/>
      </c>
      <c r="I4573" s="31" t="str">
        <f>IF(OR(B4573="",C4573=""),"",IFERROR(E4573*IF(E4573="",0,VLOOKUP(C4573,'📦 Precios Proforma'!$B$5:$D$104,IF(D4573="DIA",2,3),FALSE)),0))</f>
        <v/>
      </c>
      <c r="J4573" s="31" t="str">
        <f t="shared" si="498"/>
        <v/>
      </c>
      <c r="K4573" s="31" t="str">
        <f t="shared" si="499"/>
        <v/>
      </c>
      <c r="L4573" s="31" t="str">
        <f>IF(OR(B4573="",C4573=""),"",IFERROR(E4573 / SUMIFS('📅 Resumen Diario'!$D$5:$D$504, '📅 Resumen Diario'!$B$5:$B$504, B4573, '📅 Resumen Diario'!$C$5:$C$504, D4573) * SUMIFS('📅 Resumen Diario'!$K$5:$K$504, '📅 Resumen Diario'!$B$5:$B$504, B4573, '📅 Resumen Diario'!$C$5:$C$504, D4573), 0))</f>
        <v/>
      </c>
      <c r="M4573" s="31" t="str">
        <f t="shared" si="500"/>
        <v/>
      </c>
      <c r="N4573" s="31" t="str">
        <f t="shared" si="501"/>
        <v/>
      </c>
      <c r="O4573" s="31" t="str">
        <f>IF(OR(B4573="",C4573=""),"",K4573-N4573 + IFERROR(E4573 / SUMIFS('📅 Resumen Diario'!$D$5:$D$504, '📅 Resumen Diario'!$B$5:$B$504, B4573, '📅 Resumen Diario'!$C$5:$C$504, D4573) * (SUMIFS('📋 Detalle Diario'!$E$5:$E$489, '📋 Detalle Diario'!$B$5:$B$489, B4573, '📋 Detalle Diario'!$C$5:$C$489, D4573) * 135 + SUMIFS('📋 Detalle Diario'!$I$5:$I$489, '📋 Detalle Diario'!$B$5:$B$489, B4573, '📋 Detalle Diario'!$C$5:$C$489, D4573) * 200), 0))</f>
        <v/>
      </c>
      <c r="P4573" s="32" t="str">
        <f t="shared" si="502"/>
        <v/>
      </c>
      <c r="Q4573" s="33" t="str">
        <f t="shared" si="503"/>
        <v/>
      </c>
    </row>
    <row r="4574" spans="2:17" ht="18" customHeight="1" x14ac:dyDescent="0.3">
      <c r="B4574" s="26"/>
      <c r="C4574" s="17"/>
      <c r="D4574" s="27"/>
      <c r="E4574" s="18"/>
      <c r="F4574" s="18"/>
      <c r="G4574" s="18"/>
      <c r="H4574" s="30" t="str">
        <f t="shared" si="497"/>
        <v/>
      </c>
      <c r="I4574" s="31" t="str">
        <f>IF(OR(B4574="",C4574=""),"",IFERROR(E4574*IF(E4574="",0,VLOOKUP(C4574,'📦 Precios Proforma'!$B$5:$D$104,IF(D4574="DIA",2,3),FALSE)),0))</f>
        <v/>
      </c>
      <c r="J4574" s="31" t="str">
        <f t="shared" si="498"/>
        <v/>
      </c>
      <c r="K4574" s="31" t="str">
        <f t="shared" si="499"/>
        <v/>
      </c>
      <c r="L4574" s="31" t="str">
        <f>IF(OR(B4574="",C4574=""),"",IFERROR(E4574 / SUMIFS('📅 Resumen Diario'!$D$5:$D$504, '📅 Resumen Diario'!$B$5:$B$504, B4574, '📅 Resumen Diario'!$C$5:$C$504, D4574) * SUMIFS('📅 Resumen Diario'!$K$5:$K$504, '📅 Resumen Diario'!$B$5:$B$504, B4574, '📅 Resumen Diario'!$C$5:$C$504, D4574), 0))</f>
        <v/>
      </c>
      <c r="M4574" s="31" t="str">
        <f t="shared" si="500"/>
        <v/>
      </c>
      <c r="N4574" s="31" t="str">
        <f t="shared" si="501"/>
        <v/>
      </c>
      <c r="O4574" s="31" t="str">
        <f>IF(OR(B4574="",C4574=""),"",K4574-N4574 + IFERROR(E4574 / SUMIFS('📅 Resumen Diario'!$D$5:$D$504, '📅 Resumen Diario'!$B$5:$B$504, B4574, '📅 Resumen Diario'!$C$5:$C$504, D4574) * (SUMIFS('📋 Detalle Diario'!$E$5:$E$489, '📋 Detalle Diario'!$B$5:$B$489, B4574, '📋 Detalle Diario'!$C$5:$C$489, D4574) * 135 + SUMIFS('📋 Detalle Diario'!$I$5:$I$489, '📋 Detalle Diario'!$B$5:$B$489, B4574, '📋 Detalle Diario'!$C$5:$C$489, D4574) * 200), 0))</f>
        <v/>
      </c>
      <c r="P4574" s="32" t="str">
        <f t="shared" si="502"/>
        <v/>
      </c>
      <c r="Q4574" s="33" t="str">
        <f t="shared" si="503"/>
        <v/>
      </c>
    </row>
    <row r="4575" spans="2:17" ht="18" customHeight="1" x14ac:dyDescent="0.3">
      <c r="B4575" s="26"/>
      <c r="C4575" s="28"/>
      <c r="D4575" s="27"/>
      <c r="E4575" s="29"/>
      <c r="F4575" s="29"/>
      <c r="G4575" s="29"/>
      <c r="H4575" s="30" t="str">
        <f t="shared" si="497"/>
        <v/>
      </c>
      <c r="I4575" s="31" t="str">
        <f>IF(OR(B4575="",C4575=""),"",IFERROR(E4575*IF(E4575="",0,VLOOKUP(C4575,'📦 Precios Proforma'!$B$5:$D$104,IF(D4575="DIA",2,3),FALSE)),0))</f>
        <v/>
      </c>
      <c r="J4575" s="31" t="str">
        <f t="shared" si="498"/>
        <v/>
      </c>
      <c r="K4575" s="31" t="str">
        <f t="shared" si="499"/>
        <v/>
      </c>
      <c r="L4575" s="31" t="str">
        <f>IF(OR(B4575="",C4575=""),"",IFERROR(E4575 / SUMIFS('📅 Resumen Diario'!$D$5:$D$504, '📅 Resumen Diario'!$B$5:$B$504, B4575, '📅 Resumen Diario'!$C$5:$C$504, D4575) * SUMIFS('📅 Resumen Diario'!$K$5:$K$504, '📅 Resumen Diario'!$B$5:$B$504, B4575, '📅 Resumen Diario'!$C$5:$C$504, D4575), 0))</f>
        <v/>
      </c>
      <c r="M4575" s="31" t="str">
        <f t="shared" si="500"/>
        <v/>
      </c>
      <c r="N4575" s="31" t="str">
        <f t="shared" si="501"/>
        <v/>
      </c>
      <c r="O4575" s="31" t="str">
        <f>IF(OR(B4575="",C4575=""),"",K4575-N4575 + IFERROR(E4575 / SUMIFS('📅 Resumen Diario'!$D$5:$D$504, '📅 Resumen Diario'!$B$5:$B$504, B4575, '📅 Resumen Diario'!$C$5:$C$504, D4575) * (SUMIFS('📋 Detalle Diario'!$E$5:$E$489, '📋 Detalle Diario'!$B$5:$B$489, B4575, '📋 Detalle Diario'!$C$5:$C$489, D4575) * 135 + SUMIFS('📋 Detalle Diario'!$I$5:$I$489, '📋 Detalle Diario'!$B$5:$B$489, B4575, '📋 Detalle Diario'!$C$5:$C$489, D4575) * 200), 0))</f>
        <v/>
      </c>
      <c r="P4575" s="32" t="str">
        <f t="shared" si="502"/>
        <v/>
      </c>
      <c r="Q4575" s="33" t="str">
        <f t="shared" si="503"/>
        <v/>
      </c>
    </row>
    <row r="4576" spans="2:17" ht="18" customHeight="1" x14ac:dyDescent="0.3">
      <c r="B4576" s="26"/>
      <c r="C4576" s="17"/>
      <c r="D4576" s="27"/>
      <c r="E4576" s="18"/>
      <c r="F4576" s="18"/>
      <c r="G4576" s="18"/>
      <c r="H4576" s="30" t="str">
        <f t="shared" si="497"/>
        <v/>
      </c>
      <c r="I4576" s="31" t="str">
        <f>IF(OR(B4576="",C4576=""),"",IFERROR(E4576*IF(E4576="",0,VLOOKUP(C4576,'📦 Precios Proforma'!$B$5:$D$104,IF(D4576="DIA",2,3),FALSE)),0))</f>
        <v/>
      </c>
      <c r="J4576" s="31" t="str">
        <f t="shared" si="498"/>
        <v/>
      </c>
      <c r="K4576" s="31" t="str">
        <f t="shared" si="499"/>
        <v/>
      </c>
      <c r="L4576" s="31" t="str">
        <f>IF(OR(B4576="",C4576=""),"",IFERROR(E4576 / SUMIFS('📅 Resumen Diario'!$D$5:$D$504, '📅 Resumen Diario'!$B$5:$B$504, B4576, '📅 Resumen Diario'!$C$5:$C$504, D4576) * SUMIFS('📅 Resumen Diario'!$K$5:$K$504, '📅 Resumen Diario'!$B$5:$B$504, B4576, '📅 Resumen Diario'!$C$5:$C$504, D4576), 0))</f>
        <v/>
      </c>
      <c r="M4576" s="31" t="str">
        <f t="shared" si="500"/>
        <v/>
      </c>
      <c r="N4576" s="31" t="str">
        <f t="shared" si="501"/>
        <v/>
      </c>
      <c r="O4576" s="31" t="str">
        <f>IF(OR(B4576="",C4576=""),"",K4576-N4576 + IFERROR(E4576 / SUMIFS('📅 Resumen Diario'!$D$5:$D$504, '📅 Resumen Diario'!$B$5:$B$504, B4576, '📅 Resumen Diario'!$C$5:$C$504, D4576) * (SUMIFS('📋 Detalle Diario'!$E$5:$E$489, '📋 Detalle Diario'!$B$5:$B$489, B4576, '📋 Detalle Diario'!$C$5:$C$489, D4576) * 135 + SUMIFS('📋 Detalle Diario'!$I$5:$I$489, '📋 Detalle Diario'!$B$5:$B$489, B4576, '📋 Detalle Diario'!$C$5:$C$489, D4576) * 200), 0))</f>
        <v/>
      </c>
      <c r="P4576" s="32" t="str">
        <f t="shared" si="502"/>
        <v/>
      </c>
      <c r="Q4576" s="33" t="str">
        <f t="shared" si="503"/>
        <v/>
      </c>
    </row>
    <row r="4577" spans="2:17" ht="18" customHeight="1" x14ac:dyDescent="0.3">
      <c r="B4577" s="26"/>
      <c r="C4577" s="28"/>
      <c r="D4577" s="27"/>
      <c r="E4577" s="29"/>
      <c r="F4577" s="29"/>
      <c r="G4577" s="29"/>
      <c r="H4577" s="30" t="str">
        <f t="shared" si="497"/>
        <v/>
      </c>
      <c r="I4577" s="31" t="str">
        <f>IF(OR(B4577="",C4577=""),"",IFERROR(E4577*IF(E4577="",0,VLOOKUP(C4577,'📦 Precios Proforma'!$B$5:$D$104,IF(D4577="DIA",2,3),FALSE)),0))</f>
        <v/>
      </c>
      <c r="J4577" s="31" t="str">
        <f t="shared" si="498"/>
        <v/>
      </c>
      <c r="K4577" s="31" t="str">
        <f t="shared" si="499"/>
        <v/>
      </c>
      <c r="L4577" s="31" t="str">
        <f>IF(OR(B4577="",C4577=""),"",IFERROR(E4577 / SUMIFS('📅 Resumen Diario'!$D$5:$D$504, '📅 Resumen Diario'!$B$5:$B$504, B4577, '📅 Resumen Diario'!$C$5:$C$504, D4577) * SUMIFS('📅 Resumen Diario'!$K$5:$K$504, '📅 Resumen Diario'!$B$5:$B$504, B4577, '📅 Resumen Diario'!$C$5:$C$504, D4577), 0))</f>
        <v/>
      </c>
      <c r="M4577" s="31" t="str">
        <f t="shared" si="500"/>
        <v/>
      </c>
      <c r="N4577" s="31" t="str">
        <f t="shared" si="501"/>
        <v/>
      </c>
      <c r="O4577" s="31" t="str">
        <f>IF(OR(B4577="",C4577=""),"",K4577-N4577 + IFERROR(E4577 / SUMIFS('📅 Resumen Diario'!$D$5:$D$504, '📅 Resumen Diario'!$B$5:$B$504, B4577, '📅 Resumen Diario'!$C$5:$C$504, D4577) * (SUMIFS('📋 Detalle Diario'!$E$5:$E$489, '📋 Detalle Diario'!$B$5:$B$489, B4577, '📋 Detalle Diario'!$C$5:$C$489, D4577) * 135 + SUMIFS('📋 Detalle Diario'!$I$5:$I$489, '📋 Detalle Diario'!$B$5:$B$489, B4577, '📋 Detalle Diario'!$C$5:$C$489, D4577) * 200), 0))</f>
        <v/>
      </c>
      <c r="P4577" s="32" t="str">
        <f t="shared" si="502"/>
        <v/>
      </c>
      <c r="Q4577" s="33" t="str">
        <f t="shared" si="503"/>
        <v/>
      </c>
    </row>
    <row r="4578" spans="2:17" ht="18" customHeight="1" x14ac:dyDescent="0.3">
      <c r="B4578" s="26"/>
      <c r="C4578" s="17"/>
      <c r="D4578" s="27"/>
      <c r="E4578" s="18"/>
      <c r="F4578" s="18"/>
      <c r="G4578" s="18"/>
      <c r="H4578" s="30" t="str">
        <f t="shared" si="497"/>
        <v/>
      </c>
      <c r="I4578" s="31" t="str">
        <f>IF(OR(B4578="",C4578=""),"",IFERROR(E4578*IF(E4578="",0,VLOOKUP(C4578,'📦 Precios Proforma'!$B$5:$D$104,IF(D4578="DIA",2,3),FALSE)),0))</f>
        <v/>
      </c>
      <c r="J4578" s="31" t="str">
        <f t="shared" si="498"/>
        <v/>
      </c>
      <c r="K4578" s="31" t="str">
        <f t="shared" si="499"/>
        <v/>
      </c>
      <c r="L4578" s="31" t="str">
        <f>IF(OR(B4578="",C4578=""),"",IFERROR(E4578 / SUMIFS('📅 Resumen Diario'!$D$5:$D$504, '📅 Resumen Diario'!$B$5:$B$504, B4578, '📅 Resumen Diario'!$C$5:$C$504, D4578) * SUMIFS('📅 Resumen Diario'!$K$5:$K$504, '📅 Resumen Diario'!$B$5:$B$504, B4578, '📅 Resumen Diario'!$C$5:$C$504, D4578), 0))</f>
        <v/>
      </c>
      <c r="M4578" s="31" t="str">
        <f t="shared" si="500"/>
        <v/>
      </c>
      <c r="N4578" s="31" t="str">
        <f t="shared" si="501"/>
        <v/>
      </c>
      <c r="O4578" s="31" t="str">
        <f>IF(OR(B4578="",C4578=""),"",K4578-N4578 + IFERROR(E4578 / SUMIFS('📅 Resumen Diario'!$D$5:$D$504, '📅 Resumen Diario'!$B$5:$B$504, B4578, '📅 Resumen Diario'!$C$5:$C$504, D4578) * (SUMIFS('📋 Detalle Diario'!$E$5:$E$489, '📋 Detalle Diario'!$B$5:$B$489, B4578, '📋 Detalle Diario'!$C$5:$C$489, D4578) * 135 + SUMIFS('📋 Detalle Diario'!$I$5:$I$489, '📋 Detalle Diario'!$B$5:$B$489, B4578, '📋 Detalle Diario'!$C$5:$C$489, D4578) * 200), 0))</f>
        <v/>
      </c>
      <c r="P4578" s="32" t="str">
        <f t="shared" si="502"/>
        <v/>
      </c>
      <c r="Q4578" s="33" t="str">
        <f t="shared" si="503"/>
        <v/>
      </c>
    </row>
    <row r="4579" spans="2:17" ht="18" customHeight="1" x14ac:dyDescent="0.3">
      <c r="B4579" s="26"/>
      <c r="C4579" s="28"/>
      <c r="D4579" s="27"/>
      <c r="E4579" s="29"/>
      <c r="F4579" s="29"/>
      <c r="G4579" s="29"/>
      <c r="H4579" s="30" t="str">
        <f t="shared" si="497"/>
        <v/>
      </c>
      <c r="I4579" s="31" t="str">
        <f>IF(OR(B4579="",C4579=""),"",IFERROR(E4579*IF(E4579="",0,VLOOKUP(C4579,'📦 Precios Proforma'!$B$5:$D$104,IF(D4579="DIA",2,3),FALSE)),0))</f>
        <v/>
      </c>
      <c r="J4579" s="31" t="str">
        <f t="shared" si="498"/>
        <v/>
      </c>
      <c r="K4579" s="31" t="str">
        <f t="shared" si="499"/>
        <v/>
      </c>
      <c r="L4579" s="31" t="str">
        <f>IF(OR(B4579="",C4579=""),"",IFERROR(E4579 / SUMIFS('📅 Resumen Diario'!$D$5:$D$504, '📅 Resumen Diario'!$B$5:$B$504, B4579, '📅 Resumen Diario'!$C$5:$C$504, D4579) * SUMIFS('📅 Resumen Diario'!$K$5:$K$504, '📅 Resumen Diario'!$B$5:$B$504, B4579, '📅 Resumen Diario'!$C$5:$C$504, D4579), 0))</f>
        <v/>
      </c>
      <c r="M4579" s="31" t="str">
        <f t="shared" si="500"/>
        <v/>
      </c>
      <c r="N4579" s="31" t="str">
        <f t="shared" si="501"/>
        <v/>
      </c>
      <c r="O4579" s="31" t="str">
        <f>IF(OR(B4579="",C4579=""),"",K4579-N4579 + IFERROR(E4579 / SUMIFS('📅 Resumen Diario'!$D$5:$D$504, '📅 Resumen Diario'!$B$5:$B$504, B4579, '📅 Resumen Diario'!$C$5:$C$504, D4579) * (SUMIFS('📋 Detalle Diario'!$E$5:$E$489, '📋 Detalle Diario'!$B$5:$B$489, B4579, '📋 Detalle Diario'!$C$5:$C$489, D4579) * 135 + SUMIFS('📋 Detalle Diario'!$I$5:$I$489, '📋 Detalle Diario'!$B$5:$B$489, B4579, '📋 Detalle Diario'!$C$5:$C$489, D4579) * 200), 0))</f>
        <v/>
      </c>
      <c r="P4579" s="32" t="str">
        <f t="shared" si="502"/>
        <v/>
      </c>
      <c r="Q4579" s="33" t="str">
        <f t="shared" si="503"/>
        <v/>
      </c>
    </row>
    <row r="4580" spans="2:17" ht="18" customHeight="1" x14ac:dyDescent="0.3">
      <c r="B4580" s="26"/>
      <c r="C4580" s="17"/>
      <c r="D4580" s="27"/>
      <c r="E4580" s="18"/>
      <c r="F4580" s="18"/>
      <c r="G4580" s="18"/>
      <c r="H4580" s="30" t="str">
        <f t="shared" si="497"/>
        <v/>
      </c>
      <c r="I4580" s="31" t="str">
        <f>IF(OR(B4580="",C4580=""),"",IFERROR(E4580*IF(E4580="",0,VLOOKUP(C4580,'📦 Precios Proforma'!$B$5:$D$104,IF(D4580="DIA",2,3),FALSE)),0))</f>
        <v/>
      </c>
      <c r="J4580" s="31" t="str">
        <f t="shared" si="498"/>
        <v/>
      </c>
      <c r="K4580" s="31" t="str">
        <f t="shared" si="499"/>
        <v/>
      </c>
      <c r="L4580" s="31" t="str">
        <f>IF(OR(B4580="",C4580=""),"",IFERROR(E4580 / SUMIFS('📅 Resumen Diario'!$D$5:$D$504, '📅 Resumen Diario'!$B$5:$B$504, B4580, '📅 Resumen Diario'!$C$5:$C$504, D4580) * SUMIFS('📅 Resumen Diario'!$K$5:$K$504, '📅 Resumen Diario'!$B$5:$B$504, B4580, '📅 Resumen Diario'!$C$5:$C$504, D4580), 0))</f>
        <v/>
      </c>
      <c r="M4580" s="31" t="str">
        <f t="shared" si="500"/>
        <v/>
      </c>
      <c r="N4580" s="31" t="str">
        <f t="shared" si="501"/>
        <v/>
      </c>
      <c r="O4580" s="31" t="str">
        <f>IF(OR(B4580="",C4580=""),"",K4580-N4580 + IFERROR(E4580 / SUMIFS('📅 Resumen Diario'!$D$5:$D$504, '📅 Resumen Diario'!$B$5:$B$504, B4580, '📅 Resumen Diario'!$C$5:$C$504, D4580) * (SUMIFS('📋 Detalle Diario'!$E$5:$E$489, '📋 Detalle Diario'!$B$5:$B$489, B4580, '📋 Detalle Diario'!$C$5:$C$489, D4580) * 135 + SUMIFS('📋 Detalle Diario'!$I$5:$I$489, '📋 Detalle Diario'!$B$5:$B$489, B4580, '📋 Detalle Diario'!$C$5:$C$489, D4580) * 200), 0))</f>
        <v/>
      </c>
      <c r="P4580" s="32" t="str">
        <f t="shared" si="502"/>
        <v/>
      </c>
      <c r="Q4580" s="33" t="str">
        <f t="shared" si="503"/>
        <v/>
      </c>
    </row>
    <row r="4581" spans="2:17" ht="18" customHeight="1" x14ac:dyDescent="0.3">
      <c r="B4581" s="26"/>
      <c r="C4581" s="28"/>
      <c r="D4581" s="27"/>
      <c r="E4581" s="29"/>
      <c r="F4581" s="29"/>
      <c r="G4581" s="29"/>
      <c r="H4581" s="30" t="str">
        <f t="shared" si="497"/>
        <v/>
      </c>
      <c r="I4581" s="31" t="str">
        <f>IF(OR(B4581="",C4581=""),"",IFERROR(E4581*IF(E4581="",0,VLOOKUP(C4581,'📦 Precios Proforma'!$B$5:$D$104,IF(D4581="DIA",2,3),FALSE)),0))</f>
        <v/>
      </c>
      <c r="J4581" s="31" t="str">
        <f t="shared" si="498"/>
        <v/>
      </c>
      <c r="K4581" s="31" t="str">
        <f t="shared" si="499"/>
        <v/>
      </c>
      <c r="L4581" s="31" t="str">
        <f>IF(OR(B4581="",C4581=""),"",IFERROR(E4581 / SUMIFS('📅 Resumen Diario'!$D$5:$D$504, '📅 Resumen Diario'!$B$5:$B$504, B4581, '📅 Resumen Diario'!$C$5:$C$504, D4581) * SUMIFS('📅 Resumen Diario'!$K$5:$K$504, '📅 Resumen Diario'!$B$5:$B$504, B4581, '📅 Resumen Diario'!$C$5:$C$504, D4581), 0))</f>
        <v/>
      </c>
      <c r="M4581" s="31" t="str">
        <f t="shared" si="500"/>
        <v/>
      </c>
      <c r="N4581" s="31" t="str">
        <f t="shared" si="501"/>
        <v/>
      </c>
      <c r="O4581" s="31" t="str">
        <f>IF(OR(B4581="",C4581=""),"",K4581-N4581 + IFERROR(E4581 / SUMIFS('📅 Resumen Diario'!$D$5:$D$504, '📅 Resumen Diario'!$B$5:$B$504, B4581, '📅 Resumen Diario'!$C$5:$C$504, D4581) * (SUMIFS('📋 Detalle Diario'!$E$5:$E$489, '📋 Detalle Diario'!$B$5:$B$489, B4581, '📋 Detalle Diario'!$C$5:$C$489, D4581) * 135 + SUMIFS('📋 Detalle Diario'!$I$5:$I$489, '📋 Detalle Diario'!$B$5:$B$489, B4581, '📋 Detalle Diario'!$C$5:$C$489, D4581) * 200), 0))</f>
        <v/>
      </c>
      <c r="P4581" s="32" t="str">
        <f t="shared" si="502"/>
        <v/>
      </c>
      <c r="Q4581" s="33" t="str">
        <f t="shared" si="503"/>
        <v/>
      </c>
    </row>
    <row r="4582" spans="2:17" ht="18" customHeight="1" x14ac:dyDescent="0.3">
      <c r="B4582" s="26"/>
      <c r="C4582" s="17"/>
      <c r="D4582" s="27"/>
      <c r="E4582" s="18"/>
      <c r="F4582" s="18"/>
      <c r="G4582" s="18"/>
      <c r="H4582" s="30" t="str">
        <f t="shared" si="497"/>
        <v/>
      </c>
      <c r="I4582" s="31" t="str">
        <f>IF(OR(B4582="",C4582=""),"",IFERROR(E4582*IF(E4582="",0,VLOOKUP(C4582,'📦 Precios Proforma'!$B$5:$D$104,IF(D4582="DIA",2,3),FALSE)),0))</f>
        <v/>
      </c>
      <c r="J4582" s="31" t="str">
        <f t="shared" si="498"/>
        <v/>
      </c>
      <c r="K4582" s="31" t="str">
        <f t="shared" si="499"/>
        <v/>
      </c>
      <c r="L4582" s="31" t="str">
        <f>IF(OR(B4582="",C4582=""),"",IFERROR(E4582 / SUMIFS('📅 Resumen Diario'!$D$5:$D$504, '📅 Resumen Diario'!$B$5:$B$504, B4582, '📅 Resumen Diario'!$C$5:$C$504, D4582) * SUMIFS('📅 Resumen Diario'!$K$5:$K$504, '📅 Resumen Diario'!$B$5:$B$504, B4582, '📅 Resumen Diario'!$C$5:$C$504, D4582), 0))</f>
        <v/>
      </c>
      <c r="M4582" s="31" t="str">
        <f t="shared" si="500"/>
        <v/>
      </c>
      <c r="N4582" s="31" t="str">
        <f t="shared" si="501"/>
        <v/>
      </c>
      <c r="O4582" s="31" t="str">
        <f>IF(OR(B4582="",C4582=""),"",K4582-N4582 + IFERROR(E4582 / SUMIFS('📅 Resumen Diario'!$D$5:$D$504, '📅 Resumen Diario'!$B$5:$B$504, B4582, '📅 Resumen Diario'!$C$5:$C$504, D4582) * (SUMIFS('📋 Detalle Diario'!$E$5:$E$489, '📋 Detalle Diario'!$B$5:$B$489, B4582, '📋 Detalle Diario'!$C$5:$C$489, D4582) * 135 + SUMIFS('📋 Detalle Diario'!$I$5:$I$489, '📋 Detalle Diario'!$B$5:$B$489, B4582, '📋 Detalle Diario'!$C$5:$C$489, D4582) * 200), 0))</f>
        <v/>
      </c>
      <c r="P4582" s="32" t="str">
        <f t="shared" si="502"/>
        <v/>
      </c>
      <c r="Q4582" s="33" t="str">
        <f t="shared" si="503"/>
        <v/>
      </c>
    </row>
    <row r="4583" spans="2:17" ht="18" customHeight="1" x14ac:dyDescent="0.3">
      <c r="B4583" s="26"/>
      <c r="C4583" s="28"/>
      <c r="D4583" s="27"/>
      <c r="E4583" s="29"/>
      <c r="F4583" s="29"/>
      <c r="G4583" s="29"/>
      <c r="H4583" s="30" t="str">
        <f t="shared" si="497"/>
        <v/>
      </c>
      <c r="I4583" s="31" t="str">
        <f>IF(OR(B4583="",C4583=""),"",IFERROR(E4583*IF(E4583="",0,VLOOKUP(C4583,'📦 Precios Proforma'!$B$5:$D$104,IF(D4583="DIA",2,3),FALSE)),0))</f>
        <v/>
      </c>
      <c r="J4583" s="31" t="str">
        <f t="shared" si="498"/>
        <v/>
      </c>
      <c r="K4583" s="31" t="str">
        <f t="shared" si="499"/>
        <v/>
      </c>
      <c r="L4583" s="31" t="str">
        <f>IF(OR(B4583="",C4583=""),"",IFERROR(E4583 / SUMIFS('📅 Resumen Diario'!$D$5:$D$504, '📅 Resumen Diario'!$B$5:$B$504, B4583, '📅 Resumen Diario'!$C$5:$C$504, D4583) * SUMIFS('📅 Resumen Diario'!$K$5:$K$504, '📅 Resumen Diario'!$B$5:$B$504, B4583, '📅 Resumen Diario'!$C$5:$C$504, D4583), 0))</f>
        <v/>
      </c>
      <c r="M4583" s="31" t="str">
        <f t="shared" si="500"/>
        <v/>
      </c>
      <c r="N4583" s="31" t="str">
        <f t="shared" si="501"/>
        <v/>
      </c>
      <c r="O4583" s="31" t="str">
        <f>IF(OR(B4583="",C4583=""),"",K4583-N4583 + IFERROR(E4583 / SUMIFS('📅 Resumen Diario'!$D$5:$D$504, '📅 Resumen Diario'!$B$5:$B$504, B4583, '📅 Resumen Diario'!$C$5:$C$504, D4583) * (SUMIFS('📋 Detalle Diario'!$E$5:$E$489, '📋 Detalle Diario'!$B$5:$B$489, B4583, '📋 Detalle Diario'!$C$5:$C$489, D4583) * 135 + SUMIFS('📋 Detalle Diario'!$I$5:$I$489, '📋 Detalle Diario'!$B$5:$B$489, B4583, '📋 Detalle Diario'!$C$5:$C$489, D4583) * 200), 0))</f>
        <v/>
      </c>
      <c r="P4583" s="32" t="str">
        <f t="shared" si="502"/>
        <v/>
      </c>
      <c r="Q4583" s="33" t="str">
        <f t="shared" si="503"/>
        <v/>
      </c>
    </row>
    <row r="4584" spans="2:17" ht="18" customHeight="1" x14ac:dyDescent="0.3">
      <c r="B4584" s="26"/>
      <c r="C4584" s="17"/>
      <c r="D4584" s="27"/>
      <c r="E4584" s="18"/>
      <c r="F4584" s="18"/>
      <c r="G4584" s="18"/>
      <c r="H4584" s="30" t="str">
        <f t="shared" si="497"/>
        <v/>
      </c>
      <c r="I4584" s="31" t="str">
        <f>IF(OR(B4584="",C4584=""),"",IFERROR(E4584*IF(E4584="",0,VLOOKUP(C4584,'📦 Precios Proforma'!$B$5:$D$104,IF(D4584="DIA",2,3),FALSE)),0))</f>
        <v/>
      </c>
      <c r="J4584" s="31" t="str">
        <f t="shared" si="498"/>
        <v/>
      </c>
      <c r="K4584" s="31" t="str">
        <f t="shared" si="499"/>
        <v/>
      </c>
      <c r="L4584" s="31" t="str">
        <f>IF(OR(B4584="",C4584=""),"",IFERROR(E4584 / SUMIFS('📅 Resumen Diario'!$D$5:$D$504, '📅 Resumen Diario'!$B$5:$B$504, B4584, '📅 Resumen Diario'!$C$5:$C$504, D4584) * SUMIFS('📅 Resumen Diario'!$K$5:$K$504, '📅 Resumen Diario'!$B$5:$B$504, B4584, '📅 Resumen Diario'!$C$5:$C$504, D4584), 0))</f>
        <v/>
      </c>
      <c r="M4584" s="31" t="str">
        <f t="shared" si="500"/>
        <v/>
      </c>
      <c r="N4584" s="31" t="str">
        <f t="shared" si="501"/>
        <v/>
      </c>
      <c r="O4584" s="31" t="str">
        <f>IF(OR(B4584="",C4584=""),"",K4584-N4584 + IFERROR(E4584 / SUMIFS('📅 Resumen Diario'!$D$5:$D$504, '📅 Resumen Diario'!$B$5:$B$504, B4584, '📅 Resumen Diario'!$C$5:$C$504, D4584) * (SUMIFS('📋 Detalle Diario'!$E$5:$E$489, '📋 Detalle Diario'!$B$5:$B$489, B4584, '📋 Detalle Diario'!$C$5:$C$489, D4584) * 135 + SUMIFS('📋 Detalle Diario'!$I$5:$I$489, '📋 Detalle Diario'!$B$5:$B$489, B4584, '📋 Detalle Diario'!$C$5:$C$489, D4584) * 200), 0))</f>
        <v/>
      </c>
      <c r="P4584" s="32" t="str">
        <f t="shared" si="502"/>
        <v/>
      </c>
      <c r="Q4584" s="33" t="str">
        <f t="shared" si="503"/>
        <v/>
      </c>
    </row>
    <row r="4585" spans="2:17" ht="18" customHeight="1" x14ac:dyDescent="0.3">
      <c r="B4585" s="26"/>
      <c r="C4585" s="28"/>
      <c r="D4585" s="27"/>
      <c r="E4585" s="29"/>
      <c r="F4585" s="29"/>
      <c r="G4585" s="29"/>
      <c r="H4585" s="30" t="str">
        <f t="shared" si="497"/>
        <v/>
      </c>
      <c r="I4585" s="31" t="str">
        <f>IF(OR(B4585="",C4585=""),"",IFERROR(E4585*IF(E4585="",0,VLOOKUP(C4585,'📦 Precios Proforma'!$B$5:$D$104,IF(D4585="DIA",2,3),FALSE)),0))</f>
        <v/>
      </c>
      <c r="J4585" s="31" t="str">
        <f t="shared" si="498"/>
        <v/>
      </c>
      <c r="K4585" s="31" t="str">
        <f t="shared" si="499"/>
        <v/>
      </c>
      <c r="L4585" s="31" t="str">
        <f>IF(OR(B4585="",C4585=""),"",IFERROR(E4585 / SUMIFS('📅 Resumen Diario'!$D$5:$D$504, '📅 Resumen Diario'!$B$5:$B$504, B4585, '📅 Resumen Diario'!$C$5:$C$504, D4585) * SUMIFS('📅 Resumen Diario'!$K$5:$K$504, '📅 Resumen Diario'!$B$5:$B$504, B4585, '📅 Resumen Diario'!$C$5:$C$504, D4585), 0))</f>
        <v/>
      </c>
      <c r="M4585" s="31" t="str">
        <f t="shared" si="500"/>
        <v/>
      </c>
      <c r="N4585" s="31" t="str">
        <f t="shared" si="501"/>
        <v/>
      </c>
      <c r="O4585" s="31" t="str">
        <f>IF(OR(B4585="",C4585=""),"",K4585-N4585 + IFERROR(E4585 / SUMIFS('📅 Resumen Diario'!$D$5:$D$504, '📅 Resumen Diario'!$B$5:$B$504, B4585, '📅 Resumen Diario'!$C$5:$C$504, D4585) * (SUMIFS('📋 Detalle Diario'!$E$5:$E$489, '📋 Detalle Diario'!$B$5:$B$489, B4585, '📋 Detalle Diario'!$C$5:$C$489, D4585) * 135 + SUMIFS('📋 Detalle Diario'!$I$5:$I$489, '📋 Detalle Diario'!$B$5:$B$489, B4585, '📋 Detalle Diario'!$C$5:$C$489, D4585) * 200), 0))</f>
        <v/>
      </c>
      <c r="P4585" s="32" t="str">
        <f t="shared" si="502"/>
        <v/>
      </c>
      <c r="Q4585" s="33" t="str">
        <f t="shared" si="503"/>
        <v/>
      </c>
    </row>
    <row r="4586" spans="2:17" ht="18" customHeight="1" x14ac:dyDescent="0.3">
      <c r="B4586" s="26"/>
      <c r="C4586" s="17"/>
      <c r="D4586" s="27"/>
      <c r="E4586" s="18"/>
      <c r="F4586" s="18"/>
      <c r="G4586" s="18"/>
      <c r="H4586" s="30" t="str">
        <f t="shared" si="497"/>
        <v/>
      </c>
      <c r="I4586" s="31" t="str">
        <f>IF(OR(B4586="",C4586=""),"",IFERROR(E4586*IF(E4586="",0,VLOOKUP(C4586,'📦 Precios Proforma'!$B$5:$D$104,IF(D4586="DIA",2,3),FALSE)),0))</f>
        <v/>
      </c>
      <c r="J4586" s="31" t="str">
        <f t="shared" si="498"/>
        <v/>
      </c>
      <c r="K4586" s="31" t="str">
        <f t="shared" si="499"/>
        <v/>
      </c>
      <c r="L4586" s="31" t="str">
        <f>IF(OR(B4586="",C4586=""),"",IFERROR(E4586 / SUMIFS('📅 Resumen Diario'!$D$5:$D$504, '📅 Resumen Diario'!$B$5:$B$504, B4586, '📅 Resumen Diario'!$C$5:$C$504, D4586) * SUMIFS('📅 Resumen Diario'!$K$5:$K$504, '📅 Resumen Diario'!$B$5:$B$504, B4586, '📅 Resumen Diario'!$C$5:$C$504, D4586), 0))</f>
        <v/>
      </c>
      <c r="M4586" s="31" t="str">
        <f t="shared" si="500"/>
        <v/>
      </c>
      <c r="N4586" s="31" t="str">
        <f t="shared" si="501"/>
        <v/>
      </c>
      <c r="O4586" s="31" t="str">
        <f>IF(OR(B4586="",C4586=""),"",K4586-N4586 + IFERROR(E4586 / SUMIFS('📅 Resumen Diario'!$D$5:$D$504, '📅 Resumen Diario'!$B$5:$B$504, B4586, '📅 Resumen Diario'!$C$5:$C$504, D4586) * (SUMIFS('📋 Detalle Diario'!$E$5:$E$489, '📋 Detalle Diario'!$B$5:$B$489, B4586, '📋 Detalle Diario'!$C$5:$C$489, D4586) * 135 + SUMIFS('📋 Detalle Diario'!$I$5:$I$489, '📋 Detalle Diario'!$B$5:$B$489, B4586, '📋 Detalle Diario'!$C$5:$C$489, D4586) * 200), 0))</f>
        <v/>
      </c>
      <c r="P4586" s="32" t="str">
        <f t="shared" si="502"/>
        <v/>
      </c>
      <c r="Q4586" s="33" t="str">
        <f t="shared" si="503"/>
        <v/>
      </c>
    </row>
    <row r="4587" spans="2:17" ht="18" customHeight="1" x14ac:dyDescent="0.3">
      <c r="B4587" s="26"/>
      <c r="C4587" s="28"/>
      <c r="D4587" s="27"/>
      <c r="E4587" s="29"/>
      <c r="F4587" s="29"/>
      <c r="G4587" s="29"/>
      <c r="H4587" s="30" t="str">
        <f t="shared" si="497"/>
        <v/>
      </c>
      <c r="I4587" s="31" t="str">
        <f>IF(OR(B4587="",C4587=""),"",IFERROR(E4587*IF(E4587="",0,VLOOKUP(C4587,'📦 Precios Proforma'!$B$5:$D$104,IF(D4587="DIA",2,3),FALSE)),0))</f>
        <v/>
      </c>
      <c r="J4587" s="31" t="str">
        <f t="shared" si="498"/>
        <v/>
      </c>
      <c r="K4587" s="31" t="str">
        <f t="shared" si="499"/>
        <v/>
      </c>
      <c r="L4587" s="31" t="str">
        <f>IF(OR(B4587="",C4587=""),"",IFERROR(E4587 / SUMIFS('📅 Resumen Diario'!$D$5:$D$504, '📅 Resumen Diario'!$B$5:$B$504, B4587, '📅 Resumen Diario'!$C$5:$C$504, D4587) * SUMIFS('📅 Resumen Diario'!$K$5:$K$504, '📅 Resumen Diario'!$B$5:$B$504, B4587, '📅 Resumen Diario'!$C$5:$C$504, D4587), 0))</f>
        <v/>
      </c>
      <c r="M4587" s="31" t="str">
        <f t="shared" si="500"/>
        <v/>
      </c>
      <c r="N4587" s="31" t="str">
        <f t="shared" si="501"/>
        <v/>
      </c>
      <c r="O4587" s="31" t="str">
        <f>IF(OR(B4587="",C4587=""),"",K4587-N4587 + IFERROR(E4587 / SUMIFS('📅 Resumen Diario'!$D$5:$D$504, '📅 Resumen Diario'!$B$5:$B$504, B4587, '📅 Resumen Diario'!$C$5:$C$504, D4587) * (SUMIFS('📋 Detalle Diario'!$E$5:$E$489, '📋 Detalle Diario'!$B$5:$B$489, B4587, '📋 Detalle Diario'!$C$5:$C$489, D4587) * 135 + SUMIFS('📋 Detalle Diario'!$I$5:$I$489, '📋 Detalle Diario'!$B$5:$B$489, B4587, '📋 Detalle Diario'!$C$5:$C$489, D4587) * 200), 0))</f>
        <v/>
      </c>
      <c r="P4587" s="32" t="str">
        <f t="shared" si="502"/>
        <v/>
      </c>
      <c r="Q4587" s="33" t="str">
        <f t="shared" si="503"/>
        <v/>
      </c>
    </row>
    <row r="4588" spans="2:17" ht="18" customHeight="1" x14ac:dyDescent="0.3">
      <c r="B4588" s="26"/>
      <c r="C4588" s="17"/>
      <c r="D4588" s="27"/>
      <c r="E4588" s="18"/>
      <c r="F4588" s="18"/>
      <c r="G4588" s="18"/>
      <c r="H4588" s="30" t="str">
        <f t="shared" si="497"/>
        <v/>
      </c>
      <c r="I4588" s="31" t="str">
        <f>IF(OR(B4588="",C4588=""),"",IFERROR(E4588*IF(E4588="",0,VLOOKUP(C4588,'📦 Precios Proforma'!$B$5:$D$104,IF(D4588="DIA",2,3),FALSE)),0))</f>
        <v/>
      </c>
      <c r="J4588" s="31" t="str">
        <f t="shared" si="498"/>
        <v/>
      </c>
      <c r="K4588" s="31" t="str">
        <f t="shared" si="499"/>
        <v/>
      </c>
      <c r="L4588" s="31" t="str">
        <f>IF(OR(B4588="",C4588=""),"",IFERROR(E4588 / SUMIFS('📅 Resumen Diario'!$D$5:$D$504, '📅 Resumen Diario'!$B$5:$B$504, B4588, '📅 Resumen Diario'!$C$5:$C$504, D4588) * SUMIFS('📅 Resumen Diario'!$K$5:$K$504, '📅 Resumen Diario'!$B$5:$B$504, B4588, '📅 Resumen Diario'!$C$5:$C$504, D4588), 0))</f>
        <v/>
      </c>
      <c r="M4588" s="31" t="str">
        <f t="shared" si="500"/>
        <v/>
      </c>
      <c r="N4588" s="31" t="str">
        <f t="shared" si="501"/>
        <v/>
      </c>
      <c r="O4588" s="31" t="str">
        <f>IF(OR(B4588="",C4588=""),"",K4588-N4588 + IFERROR(E4588 / SUMIFS('📅 Resumen Diario'!$D$5:$D$504, '📅 Resumen Diario'!$B$5:$B$504, B4588, '📅 Resumen Diario'!$C$5:$C$504, D4588) * (SUMIFS('📋 Detalle Diario'!$E$5:$E$489, '📋 Detalle Diario'!$B$5:$B$489, B4588, '📋 Detalle Diario'!$C$5:$C$489, D4588) * 135 + SUMIFS('📋 Detalle Diario'!$I$5:$I$489, '📋 Detalle Diario'!$B$5:$B$489, B4588, '📋 Detalle Diario'!$C$5:$C$489, D4588) * 200), 0))</f>
        <v/>
      </c>
      <c r="P4588" s="32" t="str">
        <f t="shared" si="502"/>
        <v/>
      </c>
      <c r="Q4588" s="33" t="str">
        <f t="shared" si="503"/>
        <v/>
      </c>
    </row>
    <row r="4589" spans="2:17" ht="18" customHeight="1" x14ac:dyDescent="0.3">
      <c r="B4589" s="26"/>
      <c r="C4589" s="28"/>
      <c r="D4589" s="27"/>
      <c r="E4589" s="29"/>
      <c r="F4589" s="29"/>
      <c r="G4589" s="29"/>
      <c r="H4589" s="30" t="str">
        <f t="shared" si="497"/>
        <v/>
      </c>
      <c r="I4589" s="31" t="str">
        <f>IF(OR(B4589="",C4589=""),"",IFERROR(E4589*IF(E4589="",0,VLOOKUP(C4589,'📦 Precios Proforma'!$B$5:$D$104,IF(D4589="DIA",2,3),FALSE)),0))</f>
        <v/>
      </c>
      <c r="J4589" s="31" t="str">
        <f t="shared" si="498"/>
        <v/>
      </c>
      <c r="K4589" s="31" t="str">
        <f t="shared" si="499"/>
        <v/>
      </c>
      <c r="L4589" s="31" t="str">
        <f>IF(OR(B4589="",C4589=""),"",IFERROR(E4589 / SUMIFS('📅 Resumen Diario'!$D$5:$D$504, '📅 Resumen Diario'!$B$5:$B$504, B4589, '📅 Resumen Diario'!$C$5:$C$504, D4589) * SUMIFS('📅 Resumen Diario'!$K$5:$K$504, '📅 Resumen Diario'!$B$5:$B$504, B4589, '📅 Resumen Diario'!$C$5:$C$504, D4589), 0))</f>
        <v/>
      </c>
      <c r="M4589" s="31" t="str">
        <f t="shared" si="500"/>
        <v/>
      </c>
      <c r="N4589" s="31" t="str">
        <f t="shared" si="501"/>
        <v/>
      </c>
      <c r="O4589" s="31" t="str">
        <f>IF(OR(B4589="",C4589=""),"",K4589-N4589 + IFERROR(E4589 / SUMIFS('📅 Resumen Diario'!$D$5:$D$504, '📅 Resumen Diario'!$B$5:$B$504, B4589, '📅 Resumen Diario'!$C$5:$C$504, D4589) * (SUMIFS('📋 Detalle Diario'!$E$5:$E$489, '📋 Detalle Diario'!$B$5:$B$489, B4589, '📋 Detalle Diario'!$C$5:$C$489, D4589) * 135 + SUMIFS('📋 Detalle Diario'!$I$5:$I$489, '📋 Detalle Diario'!$B$5:$B$489, B4589, '📋 Detalle Diario'!$C$5:$C$489, D4589) * 200), 0))</f>
        <v/>
      </c>
      <c r="P4589" s="32" t="str">
        <f t="shared" si="502"/>
        <v/>
      </c>
      <c r="Q4589" s="33" t="str">
        <f t="shared" si="503"/>
        <v/>
      </c>
    </row>
    <row r="4590" spans="2:17" ht="18" customHeight="1" x14ac:dyDescent="0.3">
      <c r="B4590" s="26"/>
      <c r="C4590" s="17"/>
      <c r="D4590" s="27"/>
      <c r="E4590" s="18"/>
      <c r="F4590" s="18"/>
      <c r="G4590" s="18"/>
      <c r="H4590" s="30" t="str">
        <f t="shared" si="497"/>
        <v/>
      </c>
      <c r="I4590" s="31" t="str">
        <f>IF(OR(B4590="",C4590=""),"",IFERROR(E4590*IF(E4590="",0,VLOOKUP(C4590,'📦 Precios Proforma'!$B$5:$D$104,IF(D4590="DIA",2,3),FALSE)),0))</f>
        <v/>
      </c>
      <c r="J4590" s="31" t="str">
        <f t="shared" si="498"/>
        <v/>
      </c>
      <c r="K4590" s="31" t="str">
        <f t="shared" si="499"/>
        <v/>
      </c>
      <c r="L4590" s="31" t="str">
        <f>IF(OR(B4590="",C4590=""),"",IFERROR(E4590 / SUMIFS('📅 Resumen Diario'!$D$5:$D$504, '📅 Resumen Diario'!$B$5:$B$504, B4590, '📅 Resumen Diario'!$C$5:$C$504, D4590) * SUMIFS('📅 Resumen Diario'!$K$5:$K$504, '📅 Resumen Diario'!$B$5:$B$504, B4590, '📅 Resumen Diario'!$C$5:$C$504, D4590), 0))</f>
        <v/>
      </c>
      <c r="M4590" s="31" t="str">
        <f t="shared" si="500"/>
        <v/>
      </c>
      <c r="N4590" s="31" t="str">
        <f t="shared" si="501"/>
        <v/>
      </c>
      <c r="O4590" s="31" t="str">
        <f>IF(OR(B4590="",C4590=""),"",K4590-N4590 + IFERROR(E4590 / SUMIFS('📅 Resumen Diario'!$D$5:$D$504, '📅 Resumen Diario'!$B$5:$B$504, B4590, '📅 Resumen Diario'!$C$5:$C$504, D4590) * (SUMIFS('📋 Detalle Diario'!$E$5:$E$489, '📋 Detalle Diario'!$B$5:$B$489, B4590, '📋 Detalle Diario'!$C$5:$C$489, D4590) * 135 + SUMIFS('📋 Detalle Diario'!$I$5:$I$489, '📋 Detalle Diario'!$B$5:$B$489, B4590, '📋 Detalle Diario'!$C$5:$C$489, D4590) * 200), 0))</f>
        <v/>
      </c>
      <c r="P4590" s="32" t="str">
        <f t="shared" si="502"/>
        <v/>
      </c>
      <c r="Q4590" s="33" t="str">
        <f t="shared" si="503"/>
        <v/>
      </c>
    </row>
    <row r="4591" spans="2:17" ht="18" customHeight="1" x14ac:dyDescent="0.3">
      <c r="B4591" s="26"/>
      <c r="C4591" s="28"/>
      <c r="D4591" s="27"/>
      <c r="E4591" s="29"/>
      <c r="F4591" s="29"/>
      <c r="G4591" s="29"/>
      <c r="H4591" s="30" t="str">
        <f t="shared" si="497"/>
        <v/>
      </c>
      <c r="I4591" s="31" t="str">
        <f>IF(OR(B4591="",C4591=""),"",IFERROR(E4591*IF(E4591="",0,VLOOKUP(C4591,'📦 Precios Proforma'!$B$5:$D$104,IF(D4591="DIA",2,3),FALSE)),0))</f>
        <v/>
      </c>
      <c r="J4591" s="31" t="str">
        <f t="shared" si="498"/>
        <v/>
      </c>
      <c r="K4591" s="31" t="str">
        <f t="shared" si="499"/>
        <v/>
      </c>
      <c r="L4591" s="31" t="str">
        <f>IF(OR(B4591="",C4591=""),"",IFERROR(E4591 / SUMIFS('📅 Resumen Diario'!$D$5:$D$504, '📅 Resumen Diario'!$B$5:$B$504, B4591, '📅 Resumen Diario'!$C$5:$C$504, D4591) * SUMIFS('📅 Resumen Diario'!$K$5:$K$504, '📅 Resumen Diario'!$B$5:$B$504, B4591, '📅 Resumen Diario'!$C$5:$C$504, D4591), 0))</f>
        <v/>
      </c>
      <c r="M4591" s="31" t="str">
        <f t="shared" si="500"/>
        <v/>
      </c>
      <c r="N4591" s="31" t="str">
        <f t="shared" si="501"/>
        <v/>
      </c>
      <c r="O4591" s="31" t="str">
        <f>IF(OR(B4591="",C4591=""),"",K4591-N4591 + IFERROR(E4591 / SUMIFS('📅 Resumen Diario'!$D$5:$D$504, '📅 Resumen Diario'!$B$5:$B$504, B4591, '📅 Resumen Diario'!$C$5:$C$504, D4591) * (SUMIFS('📋 Detalle Diario'!$E$5:$E$489, '📋 Detalle Diario'!$B$5:$B$489, B4591, '📋 Detalle Diario'!$C$5:$C$489, D4591) * 135 + SUMIFS('📋 Detalle Diario'!$I$5:$I$489, '📋 Detalle Diario'!$B$5:$B$489, B4591, '📋 Detalle Diario'!$C$5:$C$489, D4591) * 200), 0))</f>
        <v/>
      </c>
      <c r="P4591" s="32" t="str">
        <f t="shared" si="502"/>
        <v/>
      </c>
      <c r="Q4591" s="33" t="str">
        <f t="shared" si="503"/>
        <v/>
      </c>
    </row>
    <row r="4592" spans="2:17" ht="18" customHeight="1" x14ac:dyDescent="0.3">
      <c r="B4592" s="26"/>
      <c r="C4592" s="17"/>
      <c r="D4592" s="27"/>
      <c r="E4592" s="18"/>
      <c r="F4592" s="18"/>
      <c r="G4592" s="18"/>
      <c r="H4592" s="30" t="str">
        <f t="shared" si="497"/>
        <v/>
      </c>
      <c r="I4592" s="31" t="str">
        <f>IF(OR(B4592="",C4592=""),"",IFERROR(E4592*IF(E4592="",0,VLOOKUP(C4592,'📦 Precios Proforma'!$B$5:$D$104,IF(D4592="DIA",2,3),FALSE)),0))</f>
        <v/>
      </c>
      <c r="J4592" s="31" t="str">
        <f t="shared" si="498"/>
        <v/>
      </c>
      <c r="K4592" s="31" t="str">
        <f t="shared" si="499"/>
        <v/>
      </c>
      <c r="L4592" s="31" t="str">
        <f>IF(OR(B4592="",C4592=""),"",IFERROR(E4592 / SUMIFS('📅 Resumen Diario'!$D$5:$D$504, '📅 Resumen Diario'!$B$5:$B$504, B4592, '📅 Resumen Diario'!$C$5:$C$504, D4592) * SUMIFS('📅 Resumen Diario'!$K$5:$K$504, '📅 Resumen Diario'!$B$5:$B$504, B4592, '📅 Resumen Diario'!$C$5:$C$504, D4592), 0))</f>
        <v/>
      </c>
      <c r="M4592" s="31" t="str">
        <f t="shared" si="500"/>
        <v/>
      </c>
      <c r="N4592" s="31" t="str">
        <f t="shared" si="501"/>
        <v/>
      </c>
      <c r="O4592" s="31" t="str">
        <f>IF(OR(B4592="",C4592=""),"",K4592-N4592 + IFERROR(E4592 / SUMIFS('📅 Resumen Diario'!$D$5:$D$504, '📅 Resumen Diario'!$B$5:$B$504, B4592, '📅 Resumen Diario'!$C$5:$C$504, D4592) * (SUMIFS('📋 Detalle Diario'!$E$5:$E$489, '📋 Detalle Diario'!$B$5:$B$489, B4592, '📋 Detalle Diario'!$C$5:$C$489, D4592) * 135 + SUMIFS('📋 Detalle Diario'!$I$5:$I$489, '📋 Detalle Diario'!$B$5:$B$489, B4592, '📋 Detalle Diario'!$C$5:$C$489, D4592) * 200), 0))</f>
        <v/>
      </c>
      <c r="P4592" s="32" t="str">
        <f t="shared" si="502"/>
        <v/>
      </c>
      <c r="Q4592" s="33" t="str">
        <f t="shared" si="503"/>
        <v/>
      </c>
    </row>
    <row r="4593" spans="2:17" ht="18" customHeight="1" x14ac:dyDescent="0.3">
      <c r="B4593" s="26"/>
      <c r="C4593" s="28"/>
      <c r="D4593" s="27"/>
      <c r="E4593" s="29"/>
      <c r="F4593" s="29"/>
      <c r="G4593" s="29"/>
      <c r="H4593" s="30" t="str">
        <f t="shared" si="497"/>
        <v/>
      </c>
      <c r="I4593" s="31" t="str">
        <f>IF(OR(B4593="",C4593=""),"",IFERROR(E4593*IF(E4593="",0,VLOOKUP(C4593,'📦 Precios Proforma'!$B$5:$D$104,IF(D4593="DIA",2,3),FALSE)),0))</f>
        <v/>
      </c>
      <c r="J4593" s="31" t="str">
        <f t="shared" si="498"/>
        <v/>
      </c>
      <c r="K4593" s="31" t="str">
        <f t="shared" si="499"/>
        <v/>
      </c>
      <c r="L4593" s="31" t="str">
        <f>IF(OR(B4593="",C4593=""),"",IFERROR(E4593 / SUMIFS('📅 Resumen Diario'!$D$5:$D$504, '📅 Resumen Diario'!$B$5:$B$504, B4593, '📅 Resumen Diario'!$C$5:$C$504, D4593) * SUMIFS('📅 Resumen Diario'!$K$5:$K$504, '📅 Resumen Diario'!$B$5:$B$504, B4593, '📅 Resumen Diario'!$C$5:$C$504, D4593), 0))</f>
        <v/>
      </c>
      <c r="M4593" s="31" t="str">
        <f t="shared" si="500"/>
        <v/>
      </c>
      <c r="N4593" s="31" t="str">
        <f t="shared" si="501"/>
        <v/>
      </c>
      <c r="O4593" s="31" t="str">
        <f>IF(OR(B4593="",C4593=""),"",K4593-N4593 + IFERROR(E4593 / SUMIFS('📅 Resumen Diario'!$D$5:$D$504, '📅 Resumen Diario'!$B$5:$B$504, B4593, '📅 Resumen Diario'!$C$5:$C$504, D4593) * (SUMIFS('📋 Detalle Diario'!$E$5:$E$489, '📋 Detalle Diario'!$B$5:$B$489, B4593, '📋 Detalle Diario'!$C$5:$C$489, D4593) * 135 + SUMIFS('📋 Detalle Diario'!$I$5:$I$489, '📋 Detalle Diario'!$B$5:$B$489, B4593, '📋 Detalle Diario'!$C$5:$C$489, D4593) * 200), 0))</f>
        <v/>
      </c>
      <c r="P4593" s="32" t="str">
        <f t="shared" si="502"/>
        <v/>
      </c>
      <c r="Q4593" s="33" t="str">
        <f t="shared" si="503"/>
        <v/>
      </c>
    </row>
    <row r="4594" spans="2:17" ht="18" customHeight="1" x14ac:dyDescent="0.3">
      <c r="B4594" s="26"/>
      <c r="C4594" s="17"/>
      <c r="D4594" s="27"/>
      <c r="E4594" s="18"/>
      <c r="F4594" s="18"/>
      <c r="G4594" s="18"/>
      <c r="H4594" s="30" t="str">
        <f t="shared" si="497"/>
        <v/>
      </c>
      <c r="I4594" s="31" t="str">
        <f>IF(OR(B4594="",C4594=""),"",IFERROR(E4594*IF(E4594="",0,VLOOKUP(C4594,'📦 Precios Proforma'!$B$5:$D$104,IF(D4594="DIA",2,3),FALSE)),0))</f>
        <v/>
      </c>
      <c r="J4594" s="31" t="str">
        <f t="shared" si="498"/>
        <v/>
      </c>
      <c r="K4594" s="31" t="str">
        <f t="shared" si="499"/>
        <v/>
      </c>
      <c r="L4594" s="31" t="str">
        <f>IF(OR(B4594="",C4594=""),"",IFERROR(E4594 / SUMIFS('📅 Resumen Diario'!$D$5:$D$504, '📅 Resumen Diario'!$B$5:$B$504, B4594, '📅 Resumen Diario'!$C$5:$C$504, D4594) * SUMIFS('📅 Resumen Diario'!$K$5:$K$504, '📅 Resumen Diario'!$B$5:$B$504, B4594, '📅 Resumen Diario'!$C$5:$C$504, D4594), 0))</f>
        <v/>
      </c>
      <c r="M4594" s="31" t="str">
        <f t="shared" si="500"/>
        <v/>
      </c>
      <c r="N4594" s="31" t="str">
        <f t="shared" si="501"/>
        <v/>
      </c>
      <c r="O4594" s="31" t="str">
        <f>IF(OR(B4594="",C4594=""),"",K4594-N4594 + IFERROR(E4594 / SUMIFS('📅 Resumen Diario'!$D$5:$D$504, '📅 Resumen Diario'!$B$5:$B$504, B4594, '📅 Resumen Diario'!$C$5:$C$504, D4594) * (SUMIFS('📋 Detalle Diario'!$E$5:$E$489, '📋 Detalle Diario'!$B$5:$B$489, B4594, '📋 Detalle Diario'!$C$5:$C$489, D4594) * 135 + SUMIFS('📋 Detalle Diario'!$I$5:$I$489, '📋 Detalle Diario'!$B$5:$B$489, B4594, '📋 Detalle Diario'!$C$5:$C$489, D4594) * 200), 0))</f>
        <v/>
      </c>
      <c r="P4594" s="32" t="str">
        <f t="shared" si="502"/>
        <v/>
      </c>
      <c r="Q4594" s="33" t="str">
        <f t="shared" si="503"/>
        <v/>
      </c>
    </row>
    <row r="4595" spans="2:17" ht="18" customHeight="1" x14ac:dyDescent="0.3">
      <c r="B4595" s="26"/>
      <c r="C4595" s="28"/>
      <c r="D4595" s="27"/>
      <c r="E4595" s="29"/>
      <c r="F4595" s="29"/>
      <c r="G4595" s="29"/>
      <c r="H4595" s="30" t="str">
        <f t="shared" si="497"/>
        <v/>
      </c>
      <c r="I4595" s="31" t="str">
        <f>IF(OR(B4595="",C4595=""),"",IFERROR(E4595*IF(E4595="",0,VLOOKUP(C4595,'📦 Precios Proforma'!$B$5:$D$104,IF(D4595="DIA",2,3),FALSE)),0))</f>
        <v/>
      </c>
      <c r="J4595" s="31" t="str">
        <f t="shared" si="498"/>
        <v/>
      </c>
      <c r="K4595" s="31" t="str">
        <f t="shared" si="499"/>
        <v/>
      </c>
      <c r="L4595" s="31" t="str">
        <f>IF(OR(B4595="",C4595=""),"",IFERROR(E4595 / SUMIFS('📅 Resumen Diario'!$D$5:$D$504, '📅 Resumen Diario'!$B$5:$B$504, B4595, '📅 Resumen Diario'!$C$5:$C$504, D4595) * SUMIFS('📅 Resumen Diario'!$K$5:$K$504, '📅 Resumen Diario'!$B$5:$B$504, B4595, '📅 Resumen Diario'!$C$5:$C$504, D4595), 0))</f>
        <v/>
      </c>
      <c r="M4595" s="31" t="str">
        <f t="shared" si="500"/>
        <v/>
      </c>
      <c r="N4595" s="31" t="str">
        <f t="shared" si="501"/>
        <v/>
      </c>
      <c r="O4595" s="31" t="str">
        <f>IF(OR(B4595="",C4595=""),"",K4595-N4595 + IFERROR(E4595 / SUMIFS('📅 Resumen Diario'!$D$5:$D$504, '📅 Resumen Diario'!$B$5:$B$504, B4595, '📅 Resumen Diario'!$C$5:$C$504, D4595) * (SUMIFS('📋 Detalle Diario'!$E$5:$E$489, '📋 Detalle Diario'!$B$5:$B$489, B4595, '📋 Detalle Diario'!$C$5:$C$489, D4595) * 135 + SUMIFS('📋 Detalle Diario'!$I$5:$I$489, '📋 Detalle Diario'!$B$5:$B$489, B4595, '📋 Detalle Diario'!$C$5:$C$489, D4595) * 200), 0))</f>
        <v/>
      </c>
      <c r="P4595" s="32" t="str">
        <f t="shared" si="502"/>
        <v/>
      </c>
      <c r="Q4595" s="33" t="str">
        <f t="shared" si="503"/>
        <v/>
      </c>
    </row>
    <row r="4596" spans="2:17" ht="18" customHeight="1" x14ac:dyDescent="0.3">
      <c r="B4596" s="26"/>
      <c r="C4596" s="17"/>
      <c r="D4596" s="27"/>
      <c r="E4596" s="18"/>
      <c r="F4596" s="18"/>
      <c r="G4596" s="18"/>
      <c r="H4596" s="30" t="str">
        <f t="shared" si="497"/>
        <v/>
      </c>
      <c r="I4596" s="31" t="str">
        <f>IF(OR(B4596="",C4596=""),"",IFERROR(E4596*IF(E4596="",0,VLOOKUP(C4596,'📦 Precios Proforma'!$B$5:$D$104,IF(D4596="DIA",2,3),FALSE)),0))</f>
        <v/>
      </c>
      <c r="J4596" s="31" t="str">
        <f t="shared" si="498"/>
        <v/>
      </c>
      <c r="K4596" s="31" t="str">
        <f t="shared" si="499"/>
        <v/>
      </c>
      <c r="L4596" s="31" t="str">
        <f>IF(OR(B4596="",C4596=""),"",IFERROR(E4596 / SUMIFS('📅 Resumen Diario'!$D$5:$D$504, '📅 Resumen Diario'!$B$5:$B$504, B4596, '📅 Resumen Diario'!$C$5:$C$504, D4596) * SUMIFS('📅 Resumen Diario'!$K$5:$K$504, '📅 Resumen Diario'!$B$5:$B$504, B4596, '📅 Resumen Diario'!$C$5:$C$504, D4596), 0))</f>
        <v/>
      </c>
      <c r="M4596" s="31" t="str">
        <f t="shared" si="500"/>
        <v/>
      </c>
      <c r="N4596" s="31" t="str">
        <f t="shared" si="501"/>
        <v/>
      </c>
      <c r="O4596" s="31" t="str">
        <f>IF(OR(B4596="",C4596=""),"",K4596-N4596 + IFERROR(E4596 / SUMIFS('📅 Resumen Diario'!$D$5:$D$504, '📅 Resumen Diario'!$B$5:$B$504, B4596, '📅 Resumen Diario'!$C$5:$C$504, D4596) * (SUMIFS('📋 Detalle Diario'!$E$5:$E$489, '📋 Detalle Diario'!$B$5:$B$489, B4596, '📋 Detalle Diario'!$C$5:$C$489, D4596) * 135 + SUMIFS('📋 Detalle Diario'!$I$5:$I$489, '📋 Detalle Diario'!$B$5:$B$489, B4596, '📋 Detalle Diario'!$C$5:$C$489, D4596) * 200), 0))</f>
        <v/>
      </c>
      <c r="P4596" s="32" t="str">
        <f t="shared" si="502"/>
        <v/>
      </c>
      <c r="Q4596" s="33" t="str">
        <f t="shared" si="503"/>
        <v/>
      </c>
    </row>
    <row r="4597" spans="2:17" ht="18" customHeight="1" x14ac:dyDescent="0.3">
      <c r="B4597" s="26"/>
      <c r="C4597" s="28"/>
      <c r="D4597" s="27"/>
      <c r="E4597" s="29"/>
      <c r="F4597" s="29"/>
      <c r="G4597" s="29"/>
      <c r="H4597" s="30" t="str">
        <f t="shared" si="497"/>
        <v/>
      </c>
      <c r="I4597" s="31" t="str">
        <f>IF(OR(B4597="",C4597=""),"",IFERROR(E4597*IF(E4597="",0,VLOOKUP(C4597,'📦 Precios Proforma'!$B$5:$D$104,IF(D4597="DIA",2,3),FALSE)),0))</f>
        <v/>
      </c>
      <c r="J4597" s="31" t="str">
        <f t="shared" si="498"/>
        <v/>
      </c>
      <c r="K4597" s="31" t="str">
        <f t="shared" si="499"/>
        <v/>
      </c>
      <c r="L4597" s="31" t="str">
        <f>IF(OR(B4597="",C4597=""),"",IFERROR(E4597 / SUMIFS('📅 Resumen Diario'!$D$5:$D$504, '📅 Resumen Diario'!$B$5:$B$504, B4597, '📅 Resumen Diario'!$C$5:$C$504, D4597) * SUMIFS('📅 Resumen Diario'!$K$5:$K$504, '📅 Resumen Diario'!$B$5:$B$504, B4597, '📅 Resumen Diario'!$C$5:$C$504, D4597), 0))</f>
        <v/>
      </c>
      <c r="M4597" s="31" t="str">
        <f t="shared" si="500"/>
        <v/>
      </c>
      <c r="N4597" s="31" t="str">
        <f t="shared" si="501"/>
        <v/>
      </c>
      <c r="O4597" s="31" t="str">
        <f>IF(OR(B4597="",C4597=""),"",K4597-N4597 + IFERROR(E4597 / SUMIFS('📅 Resumen Diario'!$D$5:$D$504, '📅 Resumen Diario'!$B$5:$B$504, B4597, '📅 Resumen Diario'!$C$5:$C$504, D4597) * (SUMIFS('📋 Detalle Diario'!$E$5:$E$489, '📋 Detalle Diario'!$B$5:$B$489, B4597, '📋 Detalle Diario'!$C$5:$C$489, D4597) * 135 + SUMIFS('📋 Detalle Diario'!$I$5:$I$489, '📋 Detalle Diario'!$B$5:$B$489, B4597, '📋 Detalle Diario'!$C$5:$C$489, D4597) * 200), 0))</f>
        <v/>
      </c>
      <c r="P4597" s="32" t="str">
        <f t="shared" si="502"/>
        <v/>
      </c>
      <c r="Q4597" s="33" t="str">
        <f t="shared" si="503"/>
        <v/>
      </c>
    </row>
    <row r="4598" spans="2:17" ht="18" customHeight="1" x14ac:dyDescent="0.3">
      <c r="B4598" s="26"/>
      <c r="C4598" s="17"/>
      <c r="D4598" s="27"/>
      <c r="E4598" s="18"/>
      <c r="F4598" s="18"/>
      <c r="G4598" s="18"/>
      <c r="H4598" s="30" t="str">
        <f t="shared" si="497"/>
        <v/>
      </c>
      <c r="I4598" s="31" t="str">
        <f>IF(OR(B4598="",C4598=""),"",IFERROR(E4598*IF(E4598="",0,VLOOKUP(C4598,'📦 Precios Proforma'!$B$5:$D$104,IF(D4598="DIA",2,3),FALSE)),0))</f>
        <v/>
      </c>
      <c r="J4598" s="31" t="str">
        <f t="shared" si="498"/>
        <v/>
      </c>
      <c r="K4598" s="31" t="str">
        <f t="shared" si="499"/>
        <v/>
      </c>
      <c r="L4598" s="31" t="str">
        <f>IF(OR(B4598="",C4598=""),"",IFERROR(E4598 / SUMIFS('📅 Resumen Diario'!$D$5:$D$504, '📅 Resumen Diario'!$B$5:$B$504, B4598, '📅 Resumen Diario'!$C$5:$C$504, D4598) * SUMIFS('📅 Resumen Diario'!$K$5:$K$504, '📅 Resumen Diario'!$B$5:$B$504, B4598, '📅 Resumen Diario'!$C$5:$C$504, D4598), 0))</f>
        <v/>
      </c>
      <c r="M4598" s="31" t="str">
        <f t="shared" si="500"/>
        <v/>
      </c>
      <c r="N4598" s="31" t="str">
        <f t="shared" si="501"/>
        <v/>
      </c>
      <c r="O4598" s="31" t="str">
        <f>IF(OR(B4598="",C4598=""),"",K4598-N4598 + IFERROR(E4598 / SUMIFS('📅 Resumen Diario'!$D$5:$D$504, '📅 Resumen Diario'!$B$5:$B$504, B4598, '📅 Resumen Diario'!$C$5:$C$504, D4598) * (SUMIFS('📋 Detalle Diario'!$E$5:$E$489, '📋 Detalle Diario'!$B$5:$B$489, B4598, '📋 Detalle Diario'!$C$5:$C$489, D4598) * 135 + SUMIFS('📋 Detalle Diario'!$I$5:$I$489, '📋 Detalle Diario'!$B$5:$B$489, B4598, '📋 Detalle Diario'!$C$5:$C$489, D4598) * 200), 0))</f>
        <v/>
      </c>
      <c r="P4598" s="32" t="str">
        <f t="shared" si="502"/>
        <v/>
      </c>
      <c r="Q4598" s="33" t="str">
        <f t="shared" si="503"/>
        <v/>
      </c>
    </row>
    <row r="4599" spans="2:17" ht="18" customHeight="1" x14ac:dyDescent="0.3">
      <c r="B4599" s="26"/>
      <c r="C4599" s="28"/>
      <c r="D4599" s="27"/>
      <c r="E4599" s="29"/>
      <c r="F4599" s="29"/>
      <c r="G4599" s="29"/>
      <c r="H4599" s="30" t="str">
        <f t="shared" si="497"/>
        <v/>
      </c>
      <c r="I4599" s="31" t="str">
        <f>IF(OR(B4599="",C4599=""),"",IFERROR(E4599*IF(E4599="",0,VLOOKUP(C4599,'📦 Precios Proforma'!$B$5:$D$104,IF(D4599="DIA",2,3),FALSE)),0))</f>
        <v/>
      </c>
      <c r="J4599" s="31" t="str">
        <f t="shared" si="498"/>
        <v/>
      </c>
      <c r="K4599" s="31" t="str">
        <f t="shared" si="499"/>
        <v/>
      </c>
      <c r="L4599" s="31" t="str">
        <f>IF(OR(B4599="",C4599=""),"",IFERROR(E4599 / SUMIFS('📅 Resumen Diario'!$D$5:$D$504, '📅 Resumen Diario'!$B$5:$B$504, B4599, '📅 Resumen Diario'!$C$5:$C$504, D4599) * SUMIFS('📅 Resumen Diario'!$K$5:$K$504, '📅 Resumen Diario'!$B$5:$B$504, B4599, '📅 Resumen Diario'!$C$5:$C$504, D4599), 0))</f>
        <v/>
      </c>
      <c r="M4599" s="31" t="str">
        <f t="shared" si="500"/>
        <v/>
      </c>
      <c r="N4599" s="31" t="str">
        <f t="shared" si="501"/>
        <v/>
      </c>
      <c r="O4599" s="31" t="str">
        <f>IF(OR(B4599="",C4599=""),"",K4599-N4599 + IFERROR(E4599 / SUMIFS('📅 Resumen Diario'!$D$5:$D$504, '📅 Resumen Diario'!$B$5:$B$504, B4599, '📅 Resumen Diario'!$C$5:$C$504, D4599) * (SUMIFS('📋 Detalle Diario'!$E$5:$E$489, '📋 Detalle Diario'!$B$5:$B$489, B4599, '📋 Detalle Diario'!$C$5:$C$489, D4599) * 135 + SUMIFS('📋 Detalle Diario'!$I$5:$I$489, '📋 Detalle Diario'!$B$5:$B$489, B4599, '📋 Detalle Diario'!$C$5:$C$489, D4599) * 200), 0))</f>
        <v/>
      </c>
      <c r="P4599" s="32" t="str">
        <f t="shared" si="502"/>
        <v/>
      </c>
      <c r="Q4599" s="33" t="str">
        <f t="shared" si="503"/>
        <v/>
      </c>
    </row>
    <row r="4600" spans="2:17" ht="18" customHeight="1" x14ac:dyDescent="0.3">
      <c r="B4600" s="26"/>
      <c r="C4600" s="17"/>
      <c r="D4600" s="27"/>
      <c r="E4600" s="18"/>
      <c r="F4600" s="18"/>
      <c r="G4600" s="18"/>
      <c r="H4600" s="30" t="str">
        <f t="shared" si="497"/>
        <v/>
      </c>
      <c r="I4600" s="31" t="str">
        <f>IF(OR(B4600="",C4600=""),"",IFERROR(E4600*IF(E4600="",0,VLOOKUP(C4600,'📦 Precios Proforma'!$B$5:$D$104,IF(D4600="DIA",2,3),FALSE)),0))</f>
        <v/>
      </c>
      <c r="J4600" s="31" t="str">
        <f t="shared" si="498"/>
        <v/>
      </c>
      <c r="K4600" s="31" t="str">
        <f t="shared" si="499"/>
        <v/>
      </c>
      <c r="L4600" s="31" t="str">
        <f>IF(OR(B4600="",C4600=""),"",IFERROR(E4600 / SUMIFS('📅 Resumen Diario'!$D$5:$D$504, '📅 Resumen Diario'!$B$5:$B$504, B4600, '📅 Resumen Diario'!$C$5:$C$504, D4600) * SUMIFS('📅 Resumen Diario'!$K$5:$K$504, '📅 Resumen Diario'!$B$5:$B$504, B4600, '📅 Resumen Diario'!$C$5:$C$504, D4600), 0))</f>
        <v/>
      </c>
      <c r="M4600" s="31" t="str">
        <f t="shared" si="500"/>
        <v/>
      </c>
      <c r="N4600" s="31" t="str">
        <f t="shared" si="501"/>
        <v/>
      </c>
      <c r="O4600" s="31" t="str">
        <f>IF(OR(B4600="",C4600=""),"",K4600-N4600 + IFERROR(E4600 / SUMIFS('📅 Resumen Diario'!$D$5:$D$504, '📅 Resumen Diario'!$B$5:$B$504, B4600, '📅 Resumen Diario'!$C$5:$C$504, D4600) * (SUMIFS('📋 Detalle Diario'!$E$5:$E$489, '📋 Detalle Diario'!$B$5:$B$489, B4600, '📋 Detalle Diario'!$C$5:$C$489, D4600) * 135 + SUMIFS('📋 Detalle Diario'!$I$5:$I$489, '📋 Detalle Diario'!$B$5:$B$489, B4600, '📋 Detalle Diario'!$C$5:$C$489, D4600) * 200), 0))</f>
        <v/>
      </c>
      <c r="P4600" s="32" t="str">
        <f t="shared" si="502"/>
        <v/>
      </c>
      <c r="Q4600" s="33" t="str">
        <f t="shared" si="503"/>
        <v/>
      </c>
    </row>
    <row r="4601" spans="2:17" ht="18" customHeight="1" x14ac:dyDescent="0.3">
      <c r="B4601" s="26"/>
      <c r="C4601" s="28"/>
      <c r="D4601" s="27"/>
      <c r="E4601" s="29"/>
      <c r="F4601" s="29"/>
      <c r="G4601" s="29"/>
      <c r="H4601" s="30" t="str">
        <f t="shared" si="497"/>
        <v/>
      </c>
      <c r="I4601" s="31" t="str">
        <f>IF(OR(B4601="",C4601=""),"",IFERROR(E4601*IF(E4601="",0,VLOOKUP(C4601,'📦 Precios Proforma'!$B$5:$D$104,IF(D4601="DIA",2,3),FALSE)),0))</f>
        <v/>
      </c>
      <c r="J4601" s="31" t="str">
        <f t="shared" si="498"/>
        <v/>
      </c>
      <c r="K4601" s="31" t="str">
        <f t="shared" si="499"/>
        <v/>
      </c>
      <c r="L4601" s="31" t="str">
        <f>IF(OR(B4601="",C4601=""),"",IFERROR(E4601 / SUMIFS('📅 Resumen Diario'!$D$5:$D$504, '📅 Resumen Diario'!$B$5:$B$504, B4601, '📅 Resumen Diario'!$C$5:$C$504, D4601) * SUMIFS('📅 Resumen Diario'!$K$5:$K$504, '📅 Resumen Diario'!$B$5:$B$504, B4601, '📅 Resumen Diario'!$C$5:$C$504, D4601), 0))</f>
        <v/>
      </c>
      <c r="M4601" s="31" t="str">
        <f t="shared" si="500"/>
        <v/>
      </c>
      <c r="N4601" s="31" t="str">
        <f t="shared" si="501"/>
        <v/>
      </c>
      <c r="O4601" s="31" t="str">
        <f>IF(OR(B4601="",C4601=""),"",K4601-N4601 + IFERROR(E4601 / SUMIFS('📅 Resumen Diario'!$D$5:$D$504, '📅 Resumen Diario'!$B$5:$B$504, B4601, '📅 Resumen Diario'!$C$5:$C$504, D4601) * (SUMIFS('📋 Detalle Diario'!$E$5:$E$489, '📋 Detalle Diario'!$B$5:$B$489, B4601, '📋 Detalle Diario'!$C$5:$C$489, D4601) * 135 + SUMIFS('📋 Detalle Diario'!$I$5:$I$489, '📋 Detalle Diario'!$B$5:$B$489, B4601, '📋 Detalle Diario'!$C$5:$C$489, D4601) * 200), 0))</f>
        <v/>
      </c>
      <c r="P4601" s="32" t="str">
        <f t="shared" si="502"/>
        <v/>
      </c>
      <c r="Q4601" s="33" t="str">
        <f t="shared" si="503"/>
        <v/>
      </c>
    </row>
    <row r="4602" spans="2:17" ht="18" customHeight="1" x14ac:dyDescent="0.3">
      <c r="B4602" s="26"/>
      <c r="C4602" s="17"/>
      <c r="D4602" s="27"/>
      <c r="E4602" s="18"/>
      <c r="F4602" s="18"/>
      <c r="G4602" s="18"/>
      <c r="H4602" s="30" t="str">
        <f t="shared" si="497"/>
        <v/>
      </c>
      <c r="I4602" s="31" t="str">
        <f>IF(OR(B4602="",C4602=""),"",IFERROR(E4602*IF(E4602="",0,VLOOKUP(C4602,'📦 Precios Proforma'!$B$5:$D$104,IF(D4602="DIA",2,3),FALSE)),0))</f>
        <v/>
      </c>
      <c r="J4602" s="31" t="str">
        <f t="shared" si="498"/>
        <v/>
      </c>
      <c r="K4602" s="31" t="str">
        <f t="shared" si="499"/>
        <v/>
      </c>
      <c r="L4602" s="31" t="str">
        <f>IF(OR(B4602="",C4602=""),"",IFERROR(E4602 / SUMIFS('📅 Resumen Diario'!$D$5:$D$504, '📅 Resumen Diario'!$B$5:$B$504, B4602, '📅 Resumen Diario'!$C$5:$C$504, D4602) * SUMIFS('📅 Resumen Diario'!$K$5:$K$504, '📅 Resumen Diario'!$B$5:$B$504, B4602, '📅 Resumen Diario'!$C$5:$C$504, D4602), 0))</f>
        <v/>
      </c>
      <c r="M4602" s="31" t="str">
        <f t="shared" si="500"/>
        <v/>
      </c>
      <c r="N4602" s="31" t="str">
        <f t="shared" si="501"/>
        <v/>
      </c>
      <c r="O4602" s="31" t="str">
        <f>IF(OR(B4602="",C4602=""),"",K4602-N4602 + IFERROR(E4602 / SUMIFS('📅 Resumen Diario'!$D$5:$D$504, '📅 Resumen Diario'!$B$5:$B$504, B4602, '📅 Resumen Diario'!$C$5:$C$504, D4602) * (SUMIFS('📋 Detalle Diario'!$E$5:$E$489, '📋 Detalle Diario'!$B$5:$B$489, B4602, '📋 Detalle Diario'!$C$5:$C$489, D4602) * 135 + SUMIFS('📋 Detalle Diario'!$I$5:$I$489, '📋 Detalle Diario'!$B$5:$B$489, B4602, '📋 Detalle Diario'!$C$5:$C$489, D4602) * 200), 0))</f>
        <v/>
      </c>
      <c r="P4602" s="32" t="str">
        <f t="shared" si="502"/>
        <v/>
      </c>
      <c r="Q4602" s="33" t="str">
        <f t="shared" si="503"/>
        <v/>
      </c>
    </row>
    <row r="4603" spans="2:17" ht="18" customHeight="1" x14ac:dyDescent="0.3">
      <c r="B4603" s="26"/>
      <c r="C4603" s="28"/>
      <c r="D4603" s="27"/>
      <c r="E4603" s="29"/>
      <c r="F4603" s="29"/>
      <c r="G4603" s="29"/>
      <c r="H4603" s="30" t="str">
        <f t="shared" si="497"/>
        <v/>
      </c>
      <c r="I4603" s="31" t="str">
        <f>IF(OR(B4603="",C4603=""),"",IFERROR(E4603*IF(E4603="",0,VLOOKUP(C4603,'📦 Precios Proforma'!$B$5:$D$104,IF(D4603="DIA",2,3),FALSE)),0))</f>
        <v/>
      </c>
      <c r="J4603" s="31" t="str">
        <f t="shared" si="498"/>
        <v/>
      </c>
      <c r="K4603" s="31" t="str">
        <f t="shared" si="499"/>
        <v/>
      </c>
      <c r="L4603" s="31" t="str">
        <f>IF(OR(B4603="",C4603=""),"",IFERROR(E4603 / SUMIFS('📅 Resumen Diario'!$D$5:$D$504, '📅 Resumen Diario'!$B$5:$B$504, B4603, '📅 Resumen Diario'!$C$5:$C$504, D4603) * SUMIFS('📅 Resumen Diario'!$K$5:$K$504, '📅 Resumen Diario'!$B$5:$B$504, B4603, '📅 Resumen Diario'!$C$5:$C$504, D4603), 0))</f>
        <v/>
      </c>
      <c r="M4603" s="31" t="str">
        <f t="shared" si="500"/>
        <v/>
      </c>
      <c r="N4603" s="31" t="str">
        <f t="shared" si="501"/>
        <v/>
      </c>
      <c r="O4603" s="31" t="str">
        <f>IF(OR(B4603="",C4603=""),"",K4603-N4603 + IFERROR(E4603 / SUMIFS('📅 Resumen Diario'!$D$5:$D$504, '📅 Resumen Diario'!$B$5:$B$504, B4603, '📅 Resumen Diario'!$C$5:$C$504, D4603) * (SUMIFS('📋 Detalle Diario'!$E$5:$E$489, '📋 Detalle Diario'!$B$5:$B$489, B4603, '📋 Detalle Diario'!$C$5:$C$489, D4603) * 135 + SUMIFS('📋 Detalle Diario'!$I$5:$I$489, '📋 Detalle Diario'!$B$5:$B$489, B4603, '📋 Detalle Diario'!$C$5:$C$489, D4603) * 200), 0))</f>
        <v/>
      </c>
      <c r="P4603" s="32" t="str">
        <f t="shared" si="502"/>
        <v/>
      </c>
      <c r="Q4603" s="33" t="str">
        <f t="shared" si="503"/>
        <v/>
      </c>
    </row>
    <row r="4604" spans="2:17" ht="18" customHeight="1" x14ac:dyDescent="0.3">
      <c r="B4604" s="26"/>
      <c r="C4604" s="17"/>
      <c r="D4604" s="27"/>
      <c r="E4604" s="18"/>
      <c r="F4604" s="18"/>
      <c r="G4604" s="18"/>
      <c r="H4604" s="30" t="str">
        <f t="shared" si="497"/>
        <v/>
      </c>
      <c r="I4604" s="31" t="str">
        <f>IF(OR(B4604="",C4604=""),"",IFERROR(E4604*IF(E4604="",0,VLOOKUP(C4604,'📦 Precios Proforma'!$B$5:$D$104,IF(D4604="DIA",2,3),FALSE)),0))</f>
        <v/>
      </c>
      <c r="J4604" s="31" t="str">
        <f t="shared" si="498"/>
        <v/>
      </c>
      <c r="K4604" s="31" t="str">
        <f t="shared" si="499"/>
        <v/>
      </c>
      <c r="L4604" s="31" t="str">
        <f>IF(OR(B4604="",C4604=""),"",IFERROR(E4604 / SUMIFS('📅 Resumen Diario'!$D$5:$D$504, '📅 Resumen Diario'!$B$5:$B$504, B4604, '📅 Resumen Diario'!$C$5:$C$504, D4604) * SUMIFS('📅 Resumen Diario'!$K$5:$K$504, '📅 Resumen Diario'!$B$5:$B$504, B4604, '📅 Resumen Diario'!$C$5:$C$504, D4604), 0))</f>
        <v/>
      </c>
      <c r="M4604" s="31" t="str">
        <f t="shared" si="500"/>
        <v/>
      </c>
      <c r="N4604" s="31" t="str">
        <f t="shared" si="501"/>
        <v/>
      </c>
      <c r="O4604" s="31" t="str">
        <f>IF(OR(B4604="",C4604=""),"",K4604-N4604 + IFERROR(E4604 / SUMIFS('📅 Resumen Diario'!$D$5:$D$504, '📅 Resumen Diario'!$B$5:$B$504, B4604, '📅 Resumen Diario'!$C$5:$C$504, D4604) * (SUMIFS('📋 Detalle Diario'!$E$5:$E$489, '📋 Detalle Diario'!$B$5:$B$489, B4604, '📋 Detalle Diario'!$C$5:$C$489, D4604) * 135 + SUMIFS('📋 Detalle Diario'!$I$5:$I$489, '📋 Detalle Diario'!$B$5:$B$489, B4604, '📋 Detalle Diario'!$C$5:$C$489, D4604) * 200), 0))</f>
        <v/>
      </c>
      <c r="P4604" s="32" t="str">
        <f t="shared" si="502"/>
        <v/>
      </c>
      <c r="Q4604" s="33" t="str">
        <f t="shared" si="503"/>
        <v/>
      </c>
    </row>
    <row r="4605" spans="2:17" ht="18" customHeight="1" x14ac:dyDescent="0.3">
      <c r="B4605" s="26"/>
      <c r="C4605" s="28"/>
      <c r="D4605" s="27"/>
      <c r="E4605" s="29"/>
      <c r="F4605" s="29"/>
      <c r="G4605" s="29"/>
      <c r="H4605" s="30" t="str">
        <f t="shared" si="497"/>
        <v/>
      </c>
      <c r="I4605" s="31" t="str">
        <f>IF(OR(B4605="",C4605=""),"",IFERROR(E4605*IF(E4605="",0,VLOOKUP(C4605,'📦 Precios Proforma'!$B$5:$D$104,IF(D4605="DIA",2,3),FALSE)),0))</f>
        <v/>
      </c>
      <c r="J4605" s="31" t="str">
        <f t="shared" si="498"/>
        <v/>
      </c>
      <c r="K4605" s="31" t="str">
        <f t="shared" si="499"/>
        <v/>
      </c>
      <c r="L4605" s="31" t="str">
        <f>IF(OR(B4605="",C4605=""),"",IFERROR(E4605 / SUMIFS('📅 Resumen Diario'!$D$5:$D$504, '📅 Resumen Diario'!$B$5:$B$504, B4605, '📅 Resumen Diario'!$C$5:$C$504, D4605) * SUMIFS('📅 Resumen Diario'!$K$5:$K$504, '📅 Resumen Diario'!$B$5:$B$504, B4605, '📅 Resumen Diario'!$C$5:$C$504, D4605), 0))</f>
        <v/>
      </c>
      <c r="M4605" s="31" t="str">
        <f t="shared" si="500"/>
        <v/>
      </c>
      <c r="N4605" s="31" t="str">
        <f t="shared" si="501"/>
        <v/>
      </c>
      <c r="O4605" s="31" t="str">
        <f>IF(OR(B4605="",C4605=""),"",K4605-N4605 + IFERROR(E4605 / SUMIFS('📅 Resumen Diario'!$D$5:$D$504, '📅 Resumen Diario'!$B$5:$B$504, B4605, '📅 Resumen Diario'!$C$5:$C$504, D4605) * (SUMIFS('📋 Detalle Diario'!$E$5:$E$489, '📋 Detalle Diario'!$B$5:$B$489, B4605, '📋 Detalle Diario'!$C$5:$C$489, D4605) * 135 + SUMIFS('📋 Detalle Diario'!$I$5:$I$489, '📋 Detalle Diario'!$B$5:$B$489, B4605, '📋 Detalle Diario'!$C$5:$C$489, D4605) * 200), 0))</f>
        <v/>
      </c>
      <c r="P4605" s="32" t="str">
        <f t="shared" si="502"/>
        <v/>
      </c>
      <c r="Q4605" s="33" t="str">
        <f t="shared" si="503"/>
        <v/>
      </c>
    </row>
    <row r="4606" spans="2:17" ht="18" customHeight="1" x14ac:dyDescent="0.3">
      <c r="B4606" s="26"/>
      <c r="C4606" s="17"/>
      <c r="D4606" s="27"/>
      <c r="E4606" s="18"/>
      <c r="F4606" s="18"/>
      <c r="G4606" s="18"/>
      <c r="H4606" s="30" t="str">
        <f t="shared" si="497"/>
        <v/>
      </c>
      <c r="I4606" s="31" t="str">
        <f>IF(OR(B4606="",C4606=""),"",IFERROR(E4606*IF(E4606="",0,VLOOKUP(C4606,'📦 Precios Proforma'!$B$5:$D$104,IF(D4606="DIA",2,3),FALSE)),0))</f>
        <v/>
      </c>
      <c r="J4606" s="31" t="str">
        <f t="shared" si="498"/>
        <v/>
      </c>
      <c r="K4606" s="31" t="str">
        <f t="shared" si="499"/>
        <v/>
      </c>
      <c r="L4606" s="31" t="str">
        <f>IF(OR(B4606="",C4606=""),"",IFERROR(E4606 / SUMIFS('📅 Resumen Diario'!$D$5:$D$504, '📅 Resumen Diario'!$B$5:$B$504, B4606, '📅 Resumen Diario'!$C$5:$C$504, D4606) * SUMIFS('📅 Resumen Diario'!$K$5:$K$504, '📅 Resumen Diario'!$B$5:$B$504, B4606, '📅 Resumen Diario'!$C$5:$C$504, D4606), 0))</f>
        <v/>
      </c>
      <c r="M4606" s="31" t="str">
        <f t="shared" si="500"/>
        <v/>
      </c>
      <c r="N4606" s="31" t="str">
        <f t="shared" si="501"/>
        <v/>
      </c>
      <c r="O4606" s="31" t="str">
        <f>IF(OR(B4606="",C4606=""),"",K4606-N4606 + IFERROR(E4606 / SUMIFS('📅 Resumen Diario'!$D$5:$D$504, '📅 Resumen Diario'!$B$5:$B$504, B4606, '📅 Resumen Diario'!$C$5:$C$504, D4606) * (SUMIFS('📋 Detalle Diario'!$E$5:$E$489, '📋 Detalle Diario'!$B$5:$B$489, B4606, '📋 Detalle Diario'!$C$5:$C$489, D4606) * 135 + SUMIFS('📋 Detalle Diario'!$I$5:$I$489, '📋 Detalle Diario'!$B$5:$B$489, B4606, '📋 Detalle Diario'!$C$5:$C$489, D4606) * 200), 0))</f>
        <v/>
      </c>
      <c r="P4606" s="32" t="str">
        <f t="shared" si="502"/>
        <v/>
      </c>
      <c r="Q4606" s="33" t="str">
        <f t="shared" si="503"/>
        <v/>
      </c>
    </row>
    <row r="4607" spans="2:17" ht="18" customHeight="1" x14ac:dyDescent="0.3">
      <c r="B4607" s="26"/>
      <c r="C4607" s="28"/>
      <c r="D4607" s="27"/>
      <c r="E4607" s="29"/>
      <c r="F4607" s="29"/>
      <c r="G4607" s="29"/>
      <c r="H4607" s="30" t="str">
        <f t="shared" si="497"/>
        <v/>
      </c>
      <c r="I4607" s="31" t="str">
        <f>IF(OR(B4607="",C4607=""),"",IFERROR(E4607*IF(E4607="",0,VLOOKUP(C4607,'📦 Precios Proforma'!$B$5:$D$104,IF(D4607="DIA",2,3),FALSE)),0))</f>
        <v/>
      </c>
      <c r="J4607" s="31" t="str">
        <f t="shared" si="498"/>
        <v/>
      </c>
      <c r="K4607" s="31" t="str">
        <f t="shared" si="499"/>
        <v/>
      </c>
      <c r="L4607" s="31" t="str">
        <f>IF(OR(B4607="",C4607=""),"",IFERROR(E4607 / SUMIFS('📅 Resumen Diario'!$D$5:$D$504, '📅 Resumen Diario'!$B$5:$B$504, B4607, '📅 Resumen Diario'!$C$5:$C$504, D4607) * SUMIFS('📅 Resumen Diario'!$K$5:$K$504, '📅 Resumen Diario'!$B$5:$B$504, B4607, '📅 Resumen Diario'!$C$5:$C$504, D4607), 0))</f>
        <v/>
      </c>
      <c r="M4607" s="31" t="str">
        <f t="shared" si="500"/>
        <v/>
      </c>
      <c r="N4607" s="31" t="str">
        <f t="shared" si="501"/>
        <v/>
      </c>
      <c r="O4607" s="31" t="str">
        <f>IF(OR(B4607="",C4607=""),"",K4607-N4607 + IFERROR(E4607 / SUMIFS('📅 Resumen Diario'!$D$5:$D$504, '📅 Resumen Diario'!$B$5:$B$504, B4607, '📅 Resumen Diario'!$C$5:$C$504, D4607) * (SUMIFS('📋 Detalle Diario'!$E$5:$E$489, '📋 Detalle Diario'!$B$5:$B$489, B4607, '📋 Detalle Diario'!$C$5:$C$489, D4607) * 135 + SUMIFS('📋 Detalle Diario'!$I$5:$I$489, '📋 Detalle Diario'!$B$5:$B$489, B4607, '📋 Detalle Diario'!$C$5:$C$489, D4607) * 200), 0))</f>
        <v/>
      </c>
      <c r="P4607" s="32" t="str">
        <f t="shared" si="502"/>
        <v/>
      </c>
      <c r="Q4607" s="33" t="str">
        <f t="shared" si="503"/>
        <v/>
      </c>
    </row>
    <row r="4608" spans="2:17" ht="18" customHeight="1" x14ac:dyDescent="0.3">
      <c r="B4608" s="26"/>
      <c r="C4608" s="17"/>
      <c r="D4608" s="27"/>
      <c r="E4608" s="18"/>
      <c r="F4608" s="18"/>
      <c r="G4608" s="18"/>
      <c r="H4608" s="30" t="str">
        <f t="shared" si="497"/>
        <v/>
      </c>
      <c r="I4608" s="31" t="str">
        <f>IF(OR(B4608="",C4608=""),"",IFERROR(E4608*IF(E4608="",0,VLOOKUP(C4608,'📦 Precios Proforma'!$B$5:$D$104,IF(D4608="DIA",2,3),FALSE)),0))</f>
        <v/>
      </c>
      <c r="J4608" s="31" t="str">
        <f t="shared" si="498"/>
        <v/>
      </c>
      <c r="K4608" s="31" t="str">
        <f t="shared" si="499"/>
        <v/>
      </c>
      <c r="L4608" s="31" t="str">
        <f>IF(OR(B4608="",C4608=""),"",IFERROR(E4608 / SUMIFS('📅 Resumen Diario'!$D$5:$D$504, '📅 Resumen Diario'!$B$5:$B$504, B4608, '📅 Resumen Diario'!$C$5:$C$504, D4608) * SUMIFS('📅 Resumen Diario'!$K$5:$K$504, '📅 Resumen Diario'!$B$5:$B$504, B4608, '📅 Resumen Diario'!$C$5:$C$504, D4608), 0))</f>
        <v/>
      </c>
      <c r="M4608" s="31" t="str">
        <f t="shared" si="500"/>
        <v/>
      </c>
      <c r="N4608" s="31" t="str">
        <f t="shared" si="501"/>
        <v/>
      </c>
      <c r="O4608" s="31" t="str">
        <f>IF(OR(B4608="",C4608=""),"",K4608-N4608 + IFERROR(E4608 / SUMIFS('📅 Resumen Diario'!$D$5:$D$504, '📅 Resumen Diario'!$B$5:$B$504, B4608, '📅 Resumen Diario'!$C$5:$C$504, D4608) * (SUMIFS('📋 Detalle Diario'!$E$5:$E$489, '📋 Detalle Diario'!$B$5:$B$489, B4608, '📋 Detalle Diario'!$C$5:$C$489, D4608) * 135 + SUMIFS('📋 Detalle Diario'!$I$5:$I$489, '📋 Detalle Diario'!$B$5:$B$489, B4608, '📋 Detalle Diario'!$C$5:$C$489, D4608) * 200), 0))</f>
        <v/>
      </c>
      <c r="P4608" s="32" t="str">
        <f t="shared" si="502"/>
        <v/>
      </c>
      <c r="Q4608" s="33" t="str">
        <f t="shared" si="503"/>
        <v/>
      </c>
    </row>
    <row r="4609" spans="2:17" ht="18" customHeight="1" x14ac:dyDescent="0.3">
      <c r="B4609" s="26"/>
      <c r="C4609" s="28"/>
      <c r="D4609" s="27"/>
      <c r="E4609" s="29"/>
      <c r="F4609" s="29"/>
      <c r="G4609" s="29"/>
      <c r="H4609" s="30" t="str">
        <f t="shared" si="497"/>
        <v/>
      </c>
      <c r="I4609" s="31" t="str">
        <f>IF(OR(B4609="",C4609=""),"",IFERROR(E4609*IF(E4609="",0,VLOOKUP(C4609,'📦 Precios Proforma'!$B$5:$D$104,IF(D4609="DIA",2,3),FALSE)),0))</f>
        <v/>
      </c>
      <c r="J4609" s="31" t="str">
        <f t="shared" si="498"/>
        <v/>
      </c>
      <c r="K4609" s="31" t="str">
        <f t="shared" si="499"/>
        <v/>
      </c>
      <c r="L4609" s="31" t="str">
        <f>IF(OR(B4609="",C4609=""),"",IFERROR(E4609 / SUMIFS('📅 Resumen Diario'!$D$5:$D$504, '📅 Resumen Diario'!$B$5:$B$504, B4609, '📅 Resumen Diario'!$C$5:$C$504, D4609) * SUMIFS('📅 Resumen Diario'!$K$5:$K$504, '📅 Resumen Diario'!$B$5:$B$504, B4609, '📅 Resumen Diario'!$C$5:$C$504, D4609), 0))</f>
        <v/>
      </c>
      <c r="M4609" s="31" t="str">
        <f t="shared" si="500"/>
        <v/>
      </c>
      <c r="N4609" s="31" t="str">
        <f t="shared" si="501"/>
        <v/>
      </c>
      <c r="O4609" s="31" t="str">
        <f>IF(OR(B4609="",C4609=""),"",K4609-N4609 + IFERROR(E4609 / SUMIFS('📅 Resumen Diario'!$D$5:$D$504, '📅 Resumen Diario'!$B$5:$B$504, B4609, '📅 Resumen Diario'!$C$5:$C$504, D4609) * (SUMIFS('📋 Detalle Diario'!$E$5:$E$489, '📋 Detalle Diario'!$B$5:$B$489, B4609, '📋 Detalle Diario'!$C$5:$C$489, D4609) * 135 + SUMIFS('📋 Detalle Diario'!$I$5:$I$489, '📋 Detalle Diario'!$B$5:$B$489, B4609, '📋 Detalle Diario'!$C$5:$C$489, D4609) * 200), 0))</f>
        <v/>
      </c>
      <c r="P4609" s="32" t="str">
        <f t="shared" si="502"/>
        <v/>
      </c>
      <c r="Q4609" s="33" t="str">
        <f t="shared" si="503"/>
        <v/>
      </c>
    </row>
    <row r="4610" spans="2:17" ht="18" customHeight="1" x14ac:dyDescent="0.3">
      <c r="B4610" s="26"/>
      <c r="C4610" s="17"/>
      <c r="D4610" s="27"/>
      <c r="E4610" s="18"/>
      <c r="F4610" s="18"/>
      <c r="G4610" s="18"/>
      <c r="H4610" s="30" t="str">
        <f t="shared" si="497"/>
        <v/>
      </c>
      <c r="I4610" s="31" t="str">
        <f>IF(OR(B4610="",C4610=""),"",IFERROR(E4610*IF(E4610="",0,VLOOKUP(C4610,'📦 Precios Proforma'!$B$5:$D$104,IF(D4610="DIA",2,3),FALSE)),0))</f>
        <v/>
      </c>
      <c r="J4610" s="31" t="str">
        <f t="shared" si="498"/>
        <v/>
      </c>
      <c r="K4610" s="31" t="str">
        <f t="shared" si="499"/>
        <v/>
      </c>
      <c r="L4610" s="31" t="str">
        <f>IF(OR(B4610="",C4610=""),"",IFERROR(E4610 / SUMIFS('📅 Resumen Diario'!$D$5:$D$504, '📅 Resumen Diario'!$B$5:$B$504, B4610, '📅 Resumen Diario'!$C$5:$C$504, D4610) * SUMIFS('📅 Resumen Diario'!$K$5:$K$504, '📅 Resumen Diario'!$B$5:$B$504, B4610, '📅 Resumen Diario'!$C$5:$C$504, D4610), 0))</f>
        <v/>
      </c>
      <c r="M4610" s="31" t="str">
        <f t="shared" si="500"/>
        <v/>
      </c>
      <c r="N4610" s="31" t="str">
        <f t="shared" si="501"/>
        <v/>
      </c>
      <c r="O4610" s="31" t="str">
        <f>IF(OR(B4610="",C4610=""),"",K4610-N4610 + IFERROR(E4610 / SUMIFS('📅 Resumen Diario'!$D$5:$D$504, '📅 Resumen Diario'!$B$5:$B$504, B4610, '📅 Resumen Diario'!$C$5:$C$504, D4610) * (SUMIFS('📋 Detalle Diario'!$E$5:$E$489, '📋 Detalle Diario'!$B$5:$B$489, B4610, '📋 Detalle Diario'!$C$5:$C$489, D4610) * 135 + SUMIFS('📋 Detalle Diario'!$I$5:$I$489, '📋 Detalle Diario'!$B$5:$B$489, B4610, '📋 Detalle Diario'!$C$5:$C$489, D4610) * 200), 0))</f>
        <v/>
      </c>
      <c r="P4610" s="32" t="str">
        <f t="shared" si="502"/>
        <v/>
      </c>
      <c r="Q4610" s="33" t="str">
        <f t="shared" si="503"/>
        <v/>
      </c>
    </row>
    <row r="4611" spans="2:17" ht="18" customHeight="1" x14ac:dyDescent="0.3">
      <c r="B4611" s="26"/>
      <c r="C4611" s="28"/>
      <c r="D4611" s="27"/>
      <c r="E4611" s="29"/>
      <c r="F4611" s="29"/>
      <c r="G4611" s="29"/>
      <c r="H4611" s="30" t="str">
        <f t="shared" si="497"/>
        <v/>
      </c>
      <c r="I4611" s="31" t="str">
        <f>IF(OR(B4611="",C4611=""),"",IFERROR(E4611*IF(E4611="",0,VLOOKUP(C4611,'📦 Precios Proforma'!$B$5:$D$104,IF(D4611="DIA",2,3),FALSE)),0))</f>
        <v/>
      </c>
      <c r="J4611" s="31" t="str">
        <f t="shared" si="498"/>
        <v/>
      </c>
      <c r="K4611" s="31" t="str">
        <f t="shared" si="499"/>
        <v/>
      </c>
      <c r="L4611" s="31" t="str">
        <f>IF(OR(B4611="",C4611=""),"",IFERROR(E4611 / SUMIFS('📅 Resumen Diario'!$D$5:$D$504, '📅 Resumen Diario'!$B$5:$B$504, B4611, '📅 Resumen Diario'!$C$5:$C$504, D4611) * SUMIFS('📅 Resumen Diario'!$K$5:$K$504, '📅 Resumen Diario'!$B$5:$B$504, B4611, '📅 Resumen Diario'!$C$5:$C$504, D4611), 0))</f>
        <v/>
      </c>
      <c r="M4611" s="31" t="str">
        <f t="shared" si="500"/>
        <v/>
      </c>
      <c r="N4611" s="31" t="str">
        <f t="shared" si="501"/>
        <v/>
      </c>
      <c r="O4611" s="31" t="str">
        <f>IF(OR(B4611="",C4611=""),"",K4611-N4611 + IFERROR(E4611 / SUMIFS('📅 Resumen Diario'!$D$5:$D$504, '📅 Resumen Diario'!$B$5:$B$504, B4611, '📅 Resumen Diario'!$C$5:$C$504, D4611) * (SUMIFS('📋 Detalle Diario'!$E$5:$E$489, '📋 Detalle Diario'!$B$5:$B$489, B4611, '📋 Detalle Diario'!$C$5:$C$489, D4611) * 135 + SUMIFS('📋 Detalle Diario'!$I$5:$I$489, '📋 Detalle Diario'!$B$5:$B$489, B4611, '📋 Detalle Diario'!$C$5:$C$489, D4611) * 200), 0))</f>
        <v/>
      </c>
      <c r="P4611" s="32" t="str">
        <f t="shared" si="502"/>
        <v/>
      </c>
      <c r="Q4611" s="33" t="str">
        <f t="shared" si="503"/>
        <v/>
      </c>
    </row>
    <row r="4612" spans="2:17" ht="18" customHeight="1" x14ac:dyDescent="0.3">
      <c r="B4612" s="26"/>
      <c r="C4612" s="17"/>
      <c r="D4612" s="27"/>
      <c r="E4612" s="18"/>
      <c r="F4612" s="18"/>
      <c r="G4612" s="18"/>
      <c r="H4612" s="30" t="str">
        <f t="shared" si="497"/>
        <v/>
      </c>
      <c r="I4612" s="31" t="str">
        <f>IF(OR(B4612="",C4612=""),"",IFERROR(E4612*IF(E4612="",0,VLOOKUP(C4612,'📦 Precios Proforma'!$B$5:$D$104,IF(D4612="DIA",2,3),FALSE)),0))</f>
        <v/>
      </c>
      <c r="J4612" s="31" t="str">
        <f t="shared" si="498"/>
        <v/>
      </c>
      <c r="K4612" s="31" t="str">
        <f t="shared" si="499"/>
        <v/>
      </c>
      <c r="L4612" s="31" t="str">
        <f>IF(OR(B4612="",C4612=""),"",IFERROR(E4612 / SUMIFS('📅 Resumen Diario'!$D$5:$D$504, '📅 Resumen Diario'!$B$5:$B$504, B4612, '📅 Resumen Diario'!$C$5:$C$504, D4612) * SUMIFS('📅 Resumen Diario'!$K$5:$K$504, '📅 Resumen Diario'!$B$5:$B$504, B4612, '📅 Resumen Diario'!$C$5:$C$504, D4612), 0))</f>
        <v/>
      </c>
      <c r="M4612" s="31" t="str">
        <f t="shared" si="500"/>
        <v/>
      </c>
      <c r="N4612" s="31" t="str">
        <f t="shared" si="501"/>
        <v/>
      </c>
      <c r="O4612" s="31" t="str">
        <f>IF(OR(B4612="",C4612=""),"",K4612-N4612 + IFERROR(E4612 / SUMIFS('📅 Resumen Diario'!$D$5:$D$504, '📅 Resumen Diario'!$B$5:$B$504, B4612, '📅 Resumen Diario'!$C$5:$C$504, D4612) * (SUMIFS('📋 Detalle Diario'!$E$5:$E$489, '📋 Detalle Diario'!$B$5:$B$489, B4612, '📋 Detalle Diario'!$C$5:$C$489, D4612) * 135 + SUMIFS('📋 Detalle Diario'!$I$5:$I$489, '📋 Detalle Diario'!$B$5:$B$489, B4612, '📋 Detalle Diario'!$C$5:$C$489, D4612) * 200), 0))</f>
        <v/>
      </c>
      <c r="P4612" s="32" t="str">
        <f t="shared" si="502"/>
        <v/>
      </c>
      <c r="Q4612" s="33" t="str">
        <f t="shared" si="503"/>
        <v/>
      </c>
    </row>
    <row r="4613" spans="2:17" ht="18" customHeight="1" x14ac:dyDescent="0.3">
      <c r="B4613" s="26"/>
      <c r="C4613" s="28"/>
      <c r="D4613" s="27"/>
      <c r="E4613" s="29"/>
      <c r="F4613" s="29"/>
      <c r="G4613" s="29"/>
      <c r="H4613" s="30" t="str">
        <f t="shared" si="497"/>
        <v/>
      </c>
      <c r="I4613" s="31" t="str">
        <f>IF(OR(B4613="",C4613=""),"",IFERROR(E4613*IF(E4613="",0,VLOOKUP(C4613,'📦 Precios Proforma'!$B$5:$D$104,IF(D4613="DIA",2,3),FALSE)),0))</f>
        <v/>
      </c>
      <c r="J4613" s="31" t="str">
        <f t="shared" si="498"/>
        <v/>
      </c>
      <c r="K4613" s="31" t="str">
        <f t="shared" si="499"/>
        <v/>
      </c>
      <c r="L4613" s="31" t="str">
        <f>IF(OR(B4613="",C4613=""),"",IFERROR(E4613 / SUMIFS('📅 Resumen Diario'!$D$5:$D$504, '📅 Resumen Diario'!$B$5:$B$504, B4613, '📅 Resumen Diario'!$C$5:$C$504, D4613) * SUMIFS('📅 Resumen Diario'!$K$5:$K$504, '📅 Resumen Diario'!$B$5:$B$504, B4613, '📅 Resumen Diario'!$C$5:$C$504, D4613), 0))</f>
        <v/>
      </c>
      <c r="M4613" s="31" t="str">
        <f t="shared" si="500"/>
        <v/>
      </c>
      <c r="N4613" s="31" t="str">
        <f t="shared" si="501"/>
        <v/>
      </c>
      <c r="O4613" s="31" t="str">
        <f>IF(OR(B4613="",C4613=""),"",K4613-N4613 + IFERROR(E4613 / SUMIFS('📅 Resumen Diario'!$D$5:$D$504, '📅 Resumen Diario'!$B$5:$B$504, B4613, '📅 Resumen Diario'!$C$5:$C$504, D4613) * (SUMIFS('📋 Detalle Diario'!$E$5:$E$489, '📋 Detalle Diario'!$B$5:$B$489, B4613, '📋 Detalle Diario'!$C$5:$C$489, D4613) * 135 + SUMIFS('📋 Detalle Diario'!$I$5:$I$489, '📋 Detalle Diario'!$B$5:$B$489, B4613, '📋 Detalle Diario'!$C$5:$C$489, D4613) * 200), 0))</f>
        <v/>
      </c>
      <c r="P4613" s="32" t="str">
        <f t="shared" si="502"/>
        <v/>
      </c>
      <c r="Q4613" s="33" t="str">
        <f t="shared" si="503"/>
        <v/>
      </c>
    </row>
    <row r="4614" spans="2:17" ht="18" customHeight="1" x14ac:dyDescent="0.3">
      <c r="B4614" s="26"/>
      <c r="C4614" s="17"/>
      <c r="D4614" s="27"/>
      <c r="E4614" s="18"/>
      <c r="F4614" s="18"/>
      <c r="G4614" s="18"/>
      <c r="H4614" s="30" t="str">
        <f t="shared" si="497"/>
        <v/>
      </c>
      <c r="I4614" s="31" t="str">
        <f>IF(OR(B4614="",C4614=""),"",IFERROR(E4614*IF(E4614="",0,VLOOKUP(C4614,'📦 Precios Proforma'!$B$5:$D$104,IF(D4614="DIA",2,3),FALSE)),0))</f>
        <v/>
      </c>
      <c r="J4614" s="31" t="str">
        <f t="shared" si="498"/>
        <v/>
      </c>
      <c r="K4614" s="31" t="str">
        <f t="shared" si="499"/>
        <v/>
      </c>
      <c r="L4614" s="31" t="str">
        <f>IF(OR(B4614="",C4614=""),"",IFERROR(E4614 / SUMIFS('📅 Resumen Diario'!$D$5:$D$504, '📅 Resumen Diario'!$B$5:$B$504, B4614, '📅 Resumen Diario'!$C$5:$C$504, D4614) * SUMIFS('📅 Resumen Diario'!$K$5:$K$504, '📅 Resumen Diario'!$B$5:$B$504, B4614, '📅 Resumen Diario'!$C$5:$C$504, D4614), 0))</f>
        <v/>
      </c>
      <c r="M4614" s="31" t="str">
        <f t="shared" si="500"/>
        <v/>
      </c>
      <c r="N4614" s="31" t="str">
        <f t="shared" si="501"/>
        <v/>
      </c>
      <c r="O4614" s="31" t="str">
        <f>IF(OR(B4614="",C4614=""),"",K4614-N4614 + IFERROR(E4614 / SUMIFS('📅 Resumen Diario'!$D$5:$D$504, '📅 Resumen Diario'!$B$5:$B$504, B4614, '📅 Resumen Diario'!$C$5:$C$504, D4614) * (SUMIFS('📋 Detalle Diario'!$E$5:$E$489, '📋 Detalle Diario'!$B$5:$B$489, B4614, '📋 Detalle Diario'!$C$5:$C$489, D4614) * 135 + SUMIFS('📋 Detalle Diario'!$I$5:$I$489, '📋 Detalle Diario'!$B$5:$B$489, B4614, '📋 Detalle Diario'!$C$5:$C$489, D4614) * 200), 0))</f>
        <v/>
      </c>
      <c r="P4614" s="32" t="str">
        <f t="shared" si="502"/>
        <v/>
      </c>
      <c r="Q4614" s="33" t="str">
        <f t="shared" si="503"/>
        <v/>
      </c>
    </row>
    <row r="4615" spans="2:17" ht="18" customHeight="1" x14ac:dyDescent="0.3">
      <c r="B4615" s="26"/>
      <c r="C4615" s="28"/>
      <c r="D4615" s="27"/>
      <c r="E4615" s="29"/>
      <c r="F4615" s="29"/>
      <c r="G4615" s="29"/>
      <c r="H4615" s="30" t="str">
        <f t="shared" ref="H4615:H4678" si="504">IF(OR(B4615="",C4615=""),"",F4615+G4615)</f>
        <v/>
      </c>
      <c r="I4615" s="31" t="str">
        <f>IF(OR(B4615="",C4615=""),"",IFERROR(E4615*IF(E4615="",0,VLOOKUP(C4615,'📦 Precios Proforma'!$B$5:$D$104,IF(D4615="DIA",2,3),FALSE)),0))</f>
        <v/>
      </c>
      <c r="J4615" s="31" t="str">
        <f t="shared" ref="J4615:J4678" si="505">IF(OR(B4615="",C4615=""),"",IF(D4615="DIA",H4615*1.01,H4615*1.35))</f>
        <v/>
      </c>
      <c r="K4615" s="31" t="str">
        <f t="shared" ref="K4615:K4678" si="506">IF(OR(B4615="",C4615=""),"",I4615+J4615)</f>
        <v/>
      </c>
      <c r="L4615" s="31" t="str">
        <f>IF(OR(B4615="",C4615=""),"",IFERROR(E4615 / SUMIFS('📅 Resumen Diario'!$D$5:$D$504, '📅 Resumen Diario'!$B$5:$B$504, B4615, '📅 Resumen Diario'!$C$5:$C$504, D4615) * SUMIFS('📅 Resumen Diario'!$K$5:$K$504, '📅 Resumen Diario'!$B$5:$B$504, B4615, '📅 Resumen Diario'!$C$5:$C$504, D4615), 0))</f>
        <v/>
      </c>
      <c r="M4615" s="31" t="str">
        <f t="shared" ref="M4615:M4678" si="507">IF(OR(B4615="",C4615=""),"",H4615*0.09)</f>
        <v/>
      </c>
      <c r="N4615" s="31" t="str">
        <f t="shared" ref="N4615:N4678" si="508">IF(OR(B4615="",C4615=""),"",L4615+M4615)</f>
        <v/>
      </c>
      <c r="O4615" s="31" t="str">
        <f>IF(OR(B4615="",C4615=""),"",K4615-N4615 + IFERROR(E4615 / SUMIFS('📅 Resumen Diario'!$D$5:$D$504, '📅 Resumen Diario'!$B$5:$B$504, B4615, '📅 Resumen Diario'!$C$5:$C$504, D4615) * (SUMIFS('📋 Detalle Diario'!$E$5:$E$489, '📋 Detalle Diario'!$B$5:$B$489, B4615, '📋 Detalle Diario'!$C$5:$C$489, D4615) * 135 + SUMIFS('📋 Detalle Diario'!$I$5:$I$489, '📋 Detalle Diario'!$B$5:$B$489, B4615, '📋 Detalle Diario'!$C$5:$C$489, D4615) * 200), 0))</f>
        <v/>
      </c>
      <c r="P4615" s="32" t="str">
        <f t="shared" ref="P4615:P4678" si="509">IF(OR(B4615="",C4615=""),"",IF(K4615=0, 0, O4615/K4615))</f>
        <v/>
      </c>
      <c r="Q4615" s="33" t="str">
        <f t="shared" ref="Q4615:Q4678" si="510">IF(B4615="","",IF(ISNUMBER(B4615),YEAR(B4615)&amp;"-"&amp;IF(MONTH(B4615)&lt;10,"0","")&amp;MONTH(B4615),LEFT(B4615,7)))</f>
        <v/>
      </c>
    </row>
    <row r="4616" spans="2:17" ht="18" customHeight="1" x14ac:dyDescent="0.3">
      <c r="B4616" s="26"/>
      <c r="C4616" s="17"/>
      <c r="D4616" s="27"/>
      <c r="E4616" s="18"/>
      <c r="F4616" s="18"/>
      <c r="G4616" s="18"/>
      <c r="H4616" s="30" t="str">
        <f t="shared" si="504"/>
        <v/>
      </c>
      <c r="I4616" s="31" t="str">
        <f>IF(OR(B4616="",C4616=""),"",IFERROR(E4616*IF(E4616="",0,VLOOKUP(C4616,'📦 Precios Proforma'!$B$5:$D$104,IF(D4616="DIA",2,3),FALSE)),0))</f>
        <v/>
      </c>
      <c r="J4616" s="31" t="str">
        <f t="shared" si="505"/>
        <v/>
      </c>
      <c r="K4616" s="31" t="str">
        <f t="shared" si="506"/>
        <v/>
      </c>
      <c r="L4616" s="31" t="str">
        <f>IF(OR(B4616="",C4616=""),"",IFERROR(E4616 / SUMIFS('📅 Resumen Diario'!$D$5:$D$504, '📅 Resumen Diario'!$B$5:$B$504, B4616, '📅 Resumen Diario'!$C$5:$C$504, D4616) * SUMIFS('📅 Resumen Diario'!$K$5:$K$504, '📅 Resumen Diario'!$B$5:$B$504, B4616, '📅 Resumen Diario'!$C$5:$C$504, D4616), 0))</f>
        <v/>
      </c>
      <c r="M4616" s="31" t="str">
        <f t="shared" si="507"/>
        <v/>
      </c>
      <c r="N4616" s="31" t="str">
        <f t="shared" si="508"/>
        <v/>
      </c>
      <c r="O4616" s="31" t="str">
        <f>IF(OR(B4616="",C4616=""),"",K4616-N4616 + IFERROR(E4616 / SUMIFS('📅 Resumen Diario'!$D$5:$D$504, '📅 Resumen Diario'!$B$5:$B$504, B4616, '📅 Resumen Diario'!$C$5:$C$504, D4616) * (SUMIFS('📋 Detalle Diario'!$E$5:$E$489, '📋 Detalle Diario'!$B$5:$B$489, B4616, '📋 Detalle Diario'!$C$5:$C$489, D4616) * 135 + SUMIFS('📋 Detalle Diario'!$I$5:$I$489, '📋 Detalle Diario'!$B$5:$B$489, B4616, '📋 Detalle Diario'!$C$5:$C$489, D4616) * 200), 0))</f>
        <v/>
      </c>
      <c r="P4616" s="32" t="str">
        <f t="shared" si="509"/>
        <v/>
      </c>
      <c r="Q4616" s="33" t="str">
        <f t="shared" si="510"/>
        <v/>
      </c>
    </row>
    <row r="4617" spans="2:17" ht="18" customHeight="1" x14ac:dyDescent="0.3">
      <c r="B4617" s="26"/>
      <c r="C4617" s="28"/>
      <c r="D4617" s="27"/>
      <c r="E4617" s="29"/>
      <c r="F4617" s="29"/>
      <c r="G4617" s="29"/>
      <c r="H4617" s="30" t="str">
        <f t="shared" si="504"/>
        <v/>
      </c>
      <c r="I4617" s="31" t="str">
        <f>IF(OR(B4617="",C4617=""),"",IFERROR(E4617*IF(E4617="",0,VLOOKUP(C4617,'📦 Precios Proforma'!$B$5:$D$104,IF(D4617="DIA",2,3),FALSE)),0))</f>
        <v/>
      </c>
      <c r="J4617" s="31" t="str">
        <f t="shared" si="505"/>
        <v/>
      </c>
      <c r="K4617" s="31" t="str">
        <f t="shared" si="506"/>
        <v/>
      </c>
      <c r="L4617" s="31" t="str">
        <f>IF(OR(B4617="",C4617=""),"",IFERROR(E4617 / SUMIFS('📅 Resumen Diario'!$D$5:$D$504, '📅 Resumen Diario'!$B$5:$B$504, B4617, '📅 Resumen Diario'!$C$5:$C$504, D4617) * SUMIFS('📅 Resumen Diario'!$K$5:$K$504, '📅 Resumen Diario'!$B$5:$B$504, B4617, '📅 Resumen Diario'!$C$5:$C$504, D4617), 0))</f>
        <v/>
      </c>
      <c r="M4617" s="31" t="str">
        <f t="shared" si="507"/>
        <v/>
      </c>
      <c r="N4617" s="31" t="str">
        <f t="shared" si="508"/>
        <v/>
      </c>
      <c r="O4617" s="31" t="str">
        <f>IF(OR(B4617="",C4617=""),"",K4617-N4617 + IFERROR(E4617 / SUMIFS('📅 Resumen Diario'!$D$5:$D$504, '📅 Resumen Diario'!$B$5:$B$504, B4617, '📅 Resumen Diario'!$C$5:$C$504, D4617) * (SUMIFS('📋 Detalle Diario'!$E$5:$E$489, '📋 Detalle Diario'!$B$5:$B$489, B4617, '📋 Detalle Diario'!$C$5:$C$489, D4617) * 135 + SUMIFS('📋 Detalle Diario'!$I$5:$I$489, '📋 Detalle Diario'!$B$5:$B$489, B4617, '📋 Detalle Diario'!$C$5:$C$489, D4617) * 200), 0))</f>
        <v/>
      </c>
      <c r="P4617" s="32" t="str">
        <f t="shared" si="509"/>
        <v/>
      </c>
      <c r="Q4617" s="33" t="str">
        <f t="shared" si="510"/>
        <v/>
      </c>
    </row>
    <row r="4618" spans="2:17" ht="18" customHeight="1" x14ac:dyDescent="0.3">
      <c r="B4618" s="26"/>
      <c r="C4618" s="17"/>
      <c r="D4618" s="27"/>
      <c r="E4618" s="18"/>
      <c r="F4618" s="18"/>
      <c r="G4618" s="18"/>
      <c r="H4618" s="30" t="str">
        <f t="shared" si="504"/>
        <v/>
      </c>
      <c r="I4618" s="31" t="str">
        <f>IF(OR(B4618="",C4618=""),"",IFERROR(E4618*IF(E4618="",0,VLOOKUP(C4618,'📦 Precios Proforma'!$B$5:$D$104,IF(D4618="DIA",2,3),FALSE)),0))</f>
        <v/>
      </c>
      <c r="J4618" s="31" t="str">
        <f t="shared" si="505"/>
        <v/>
      </c>
      <c r="K4618" s="31" t="str">
        <f t="shared" si="506"/>
        <v/>
      </c>
      <c r="L4618" s="31" t="str">
        <f>IF(OR(B4618="",C4618=""),"",IFERROR(E4618 / SUMIFS('📅 Resumen Diario'!$D$5:$D$504, '📅 Resumen Diario'!$B$5:$B$504, B4618, '📅 Resumen Diario'!$C$5:$C$504, D4618) * SUMIFS('📅 Resumen Diario'!$K$5:$K$504, '📅 Resumen Diario'!$B$5:$B$504, B4618, '📅 Resumen Diario'!$C$5:$C$504, D4618), 0))</f>
        <v/>
      </c>
      <c r="M4618" s="31" t="str">
        <f t="shared" si="507"/>
        <v/>
      </c>
      <c r="N4618" s="31" t="str">
        <f t="shared" si="508"/>
        <v/>
      </c>
      <c r="O4618" s="31" t="str">
        <f>IF(OR(B4618="",C4618=""),"",K4618-N4618 + IFERROR(E4618 / SUMIFS('📅 Resumen Diario'!$D$5:$D$504, '📅 Resumen Diario'!$B$5:$B$504, B4618, '📅 Resumen Diario'!$C$5:$C$504, D4618) * (SUMIFS('📋 Detalle Diario'!$E$5:$E$489, '📋 Detalle Diario'!$B$5:$B$489, B4618, '📋 Detalle Diario'!$C$5:$C$489, D4618) * 135 + SUMIFS('📋 Detalle Diario'!$I$5:$I$489, '📋 Detalle Diario'!$B$5:$B$489, B4618, '📋 Detalle Diario'!$C$5:$C$489, D4618) * 200), 0))</f>
        <v/>
      </c>
      <c r="P4618" s="32" t="str">
        <f t="shared" si="509"/>
        <v/>
      </c>
      <c r="Q4618" s="33" t="str">
        <f t="shared" si="510"/>
        <v/>
      </c>
    </row>
    <row r="4619" spans="2:17" ht="18" customHeight="1" x14ac:dyDescent="0.3">
      <c r="B4619" s="26"/>
      <c r="C4619" s="28"/>
      <c r="D4619" s="27"/>
      <c r="E4619" s="29"/>
      <c r="F4619" s="29"/>
      <c r="G4619" s="29"/>
      <c r="H4619" s="30" t="str">
        <f t="shared" si="504"/>
        <v/>
      </c>
      <c r="I4619" s="31" t="str">
        <f>IF(OR(B4619="",C4619=""),"",IFERROR(E4619*IF(E4619="",0,VLOOKUP(C4619,'📦 Precios Proforma'!$B$5:$D$104,IF(D4619="DIA",2,3),FALSE)),0))</f>
        <v/>
      </c>
      <c r="J4619" s="31" t="str">
        <f t="shared" si="505"/>
        <v/>
      </c>
      <c r="K4619" s="31" t="str">
        <f t="shared" si="506"/>
        <v/>
      </c>
      <c r="L4619" s="31" t="str">
        <f>IF(OR(B4619="",C4619=""),"",IFERROR(E4619 / SUMIFS('📅 Resumen Diario'!$D$5:$D$504, '📅 Resumen Diario'!$B$5:$B$504, B4619, '📅 Resumen Diario'!$C$5:$C$504, D4619) * SUMIFS('📅 Resumen Diario'!$K$5:$K$504, '📅 Resumen Diario'!$B$5:$B$504, B4619, '📅 Resumen Diario'!$C$5:$C$504, D4619), 0))</f>
        <v/>
      </c>
      <c r="M4619" s="31" t="str">
        <f t="shared" si="507"/>
        <v/>
      </c>
      <c r="N4619" s="31" t="str">
        <f t="shared" si="508"/>
        <v/>
      </c>
      <c r="O4619" s="31" t="str">
        <f>IF(OR(B4619="",C4619=""),"",K4619-N4619 + IFERROR(E4619 / SUMIFS('📅 Resumen Diario'!$D$5:$D$504, '📅 Resumen Diario'!$B$5:$B$504, B4619, '📅 Resumen Diario'!$C$5:$C$504, D4619) * (SUMIFS('📋 Detalle Diario'!$E$5:$E$489, '📋 Detalle Diario'!$B$5:$B$489, B4619, '📋 Detalle Diario'!$C$5:$C$489, D4619) * 135 + SUMIFS('📋 Detalle Diario'!$I$5:$I$489, '📋 Detalle Diario'!$B$5:$B$489, B4619, '📋 Detalle Diario'!$C$5:$C$489, D4619) * 200), 0))</f>
        <v/>
      </c>
      <c r="P4619" s="32" t="str">
        <f t="shared" si="509"/>
        <v/>
      </c>
      <c r="Q4619" s="33" t="str">
        <f t="shared" si="510"/>
        <v/>
      </c>
    </row>
    <row r="4620" spans="2:17" ht="18" customHeight="1" x14ac:dyDescent="0.3">
      <c r="B4620" s="26"/>
      <c r="C4620" s="17"/>
      <c r="D4620" s="27"/>
      <c r="E4620" s="18"/>
      <c r="F4620" s="18"/>
      <c r="G4620" s="18"/>
      <c r="H4620" s="30" t="str">
        <f t="shared" si="504"/>
        <v/>
      </c>
      <c r="I4620" s="31" t="str">
        <f>IF(OR(B4620="",C4620=""),"",IFERROR(E4620*IF(E4620="",0,VLOOKUP(C4620,'📦 Precios Proforma'!$B$5:$D$104,IF(D4620="DIA",2,3),FALSE)),0))</f>
        <v/>
      </c>
      <c r="J4620" s="31" t="str">
        <f t="shared" si="505"/>
        <v/>
      </c>
      <c r="K4620" s="31" t="str">
        <f t="shared" si="506"/>
        <v/>
      </c>
      <c r="L4620" s="31" t="str">
        <f>IF(OR(B4620="",C4620=""),"",IFERROR(E4620 / SUMIFS('📅 Resumen Diario'!$D$5:$D$504, '📅 Resumen Diario'!$B$5:$B$504, B4620, '📅 Resumen Diario'!$C$5:$C$504, D4620) * SUMIFS('📅 Resumen Diario'!$K$5:$K$504, '📅 Resumen Diario'!$B$5:$B$504, B4620, '📅 Resumen Diario'!$C$5:$C$504, D4620), 0))</f>
        <v/>
      </c>
      <c r="M4620" s="31" t="str">
        <f t="shared" si="507"/>
        <v/>
      </c>
      <c r="N4620" s="31" t="str">
        <f t="shared" si="508"/>
        <v/>
      </c>
      <c r="O4620" s="31" t="str">
        <f>IF(OR(B4620="",C4620=""),"",K4620-N4620 + IFERROR(E4620 / SUMIFS('📅 Resumen Diario'!$D$5:$D$504, '📅 Resumen Diario'!$B$5:$B$504, B4620, '📅 Resumen Diario'!$C$5:$C$504, D4620) * (SUMIFS('📋 Detalle Diario'!$E$5:$E$489, '📋 Detalle Diario'!$B$5:$B$489, B4620, '📋 Detalle Diario'!$C$5:$C$489, D4620) * 135 + SUMIFS('📋 Detalle Diario'!$I$5:$I$489, '📋 Detalle Diario'!$B$5:$B$489, B4620, '📋 Detalle Diario'!$C$5:$C$489, D4620) * 200), 0))</f>
        <v/>
      </c>
      <c r="P4620" s="32" t="str">
        <f t="shared" si="509"/>
        <v/>
      </c>
      <c r="Q4620" s="33" t="str">
        <f t="shared" si="510"/>
        <v/>
      </c>
    </row>
    <row r="4621" spans="2:17" ht="18" customHeight="1" x14ac:dyDescent="0.3">
      <c r="B4621" s="26"/>
      <c r="C4621" s="28"/>
      <c r="D4621" s="27"/>
      <c r="E4621" s="29"/>
      <c r="F4621" s="29"/>
      <c r="G4621" s="29"/>
      <c r="H4621" s="30" t="str">
        <f t="shared" si="504"/>
        <v/>
      </c>
      <c r="I4621" s="31" t="str">
        <f>IF(OR(B4621="",C4621=""),"",IFERROR(E4621*IF(E4621="",0,VLOOKUP(C4621,'📦 Precios Proforma'!$B$5:$D$104,IF(D4621="DIA",2,3),FALSE)),0))</f>
        <v/>
      </c>
      <c r="J4621" s="31" t="str">
        <f t="shared" si="505"/>
        <v/>
      </c>
      <c r="K4621" s="31" t="str">
        <f t="shared" si="506"/>
        <v/>
      </c>
      <c r="L4621" s="31" t="str">
        <f>IF(OR(B4621="",C4621=""),"",IFERROR(E4621 / SUMIFS('📅 Resumen Diario'!$D$5:$D$504, '📅 Resumen Diario'!$B$5:$B$504, B4621, '📅 Resumen Diario'!$C$5:$C$504, D4621) * SUMIFS('📅 Resumen Diario'!$K$5:$K$504, '📅 Resumen Diario'!$B$5:$B$504, B4621, '📅 Resumen Diario'!$C$5:$C$504, D4621), 0))</f>
        <v/>
      </c>
      <c r="M4621" s="31" t="str">
        <f t="shared" si="507"/>
        <v/>
      </c>
      <c r="N4621" s="31" t="str">
        <f t="shared" si="508"/>
        <v/>
      </c>
      <c r="O4621" s="31" t="str">
        <f>IF(OR(B4621="",C4621=""),"",K4621-N4621 + IFERROR(E4621 / SUMIFS('📅 Resumen Diario'!$D$5:$D$504, '📅 Resumen Diario'!$B$5:$B$504, B4621, '📅 Resumen Diario'!$C$5:$C$504, D4621) * (SUMIFS('📋 Detalle Diario'!$E$5:$E$489, '📋 Detalle Diario'!$B$5:$B$489, B4621, '📋 Detalle Diario'!$C$5:$C$489, D4621) * 135 + SUMIFS('📋 Detalle Diario'!$I$5:$I$489, '📋 Detalle Diario'!$B$5:$B$489, B4621, '📋 Detalle Diario'!$C$5:$C$489, D4621) * 200), 0))</f>
        <v/>
      </c>
      <c r="P4621" s="32" t="str">
        <f t="shared" si="509"/>
        <v/>
      </c>
      <c r="Q4621" s="33" t="str">
        <f t="shared" si="510"/>
        <v/>
      </c>
    </row>
    <row r="4622" spans="2:17" ht="18" customHeight="1" x14ac:dyDescent="0.3">
      <c r="B4622" s="26"/>
      <c r="C4622" s="17"/>
      <c r="D4622" s="27"/>
      <c r="E4622" s="18"/>
      <c r="F4622" s="18"/>
      <c r="G4622" s="18"/>
      <c r="H4622" s="30" t="str">
        <f t="shared" si="504"/>
        <v/>
      </c>
      <c r="I4622" s="31" t="str">
        <f>IF(OR(B4622="",C4622=""),"",IFERROR(E4622*IF(E4622="",0,VLOOKUP(C4622,'📦 Precios Proforma'!$B$5:$D$104,IF(D4622="DIA",2,3),FALSE)),0))</f>
        <v/>
      </c>
      <c r="J4622" s="31" t="str">
        <f t="shared" si="505"/>
        <v/>
      </c>
      <c r="K4622" s="31" t="str">
        <f t="shared" si="506"/>
        <v/>
      </c>
      <c r="L4622" s="31" t="str">
        <f>IF(OR(B4622="",C4622=""),"",IFERROR(E4622 / SUMIFS('📅 Resumen Diario'!$D$5:$D$504, '📅 Resumen Diario'!$B$5:$B$504, B4622, '📅 Resumen Diario'!$C$5:$C$504, D4622) * SUMIFS('📅 Resumen Diario'!$K$5:$K$504, '📅 Resumen Diario'!$B$5:$B$504, B4622, '📅 Resumen Diario'!$C$5:$C$504, D4622), 0))</f>
        <v/>
      </c>
      <c r="M4622" s="31" t="str">
        <f t="shared" si="507"/>
        <v/>
      </c>
      <c r="N4622" s="31" t="str">
        <f t="shared" si="508"/>
        <v/>
      </c>
      <c r="O4622" s="31" t="str">
        <f>IF(OR(B4622="",C4622=""),"",K4622-N4622 + IFERROR(E4622 / SUMIFS('📅 Resumen Diario'!$D$5:$D$504, '📅 Resumen Diario'!$B$5:$B$504, B4622, '📅 Resumen Diario'!$C$5:$C$504, D4622) * (SUMIFS('📋 Detalle Diario'!$E$5:$E$489, '📋 Detalle Diario'!$B$5:$B$489, B4622, '📋 Detalle Diario'!$C$5:$C$489, D4622) * 135 + SUMIFS('📋 Detalle Diario'!$I$5:$I$489, '📋 Detalle Diario'!$B$5:$B$489, B4622, '📋 Detalle Diario'!$C$5:$C$489, D4622) * 200), 0))</f>
        <v/>
      </c>
      <c r="P4622" s="32" t="str">
        <f t="shared" si="509"/>
        <v/>
      </c>
      <c r="Q4622" s="33" t="str">
        <f t="shared" si="510"/>
        <v/>
      </c>
    </row>
    <row r="4623" spans="2:17" ht="18" customHeight="1" x14ac:dyDescent="0.3">
      <c r="B4623" s="26"/>
      <c r="C4623" s="28"/>
      <c r="D4623" s="27"/>
      <c r="E4623" s="29"/>
      <c r="F4623" s="29"/>
      <c r="G4623" s="29"/>
      <c r="H4623" s="30" t="str">
        <f t="shared" si="504"/>
        <v/>
      </c>
      <c r="I4623" s="31" t="str">
        <f>IF(OR(B4623="",C4623=""),"",IFERROR(E4623*IF(E4623="",0,VLOOKUP(C4623,'📦 Precios Proforma'!$B$5:$D$104,IF(D4623="DIA",2,3),FALSE)),0))</f>
        <v/>
      </c>
      <c r="J4623" s="31" t="str">
        <f t="shared" si="505"/>
        <v/>
      </c>
      <c r="K4623" s="31" t="str">
        <f t="shared" si="506"/>
        <v/>
      </c>
      <c r="L4623" s="31" t="str">
        <f>IF(OR(B4623="",C4623=""),"",IFERROR(E4623 / SUMIFS('📅 Resumen Diario'!$D$5:$D$504, '📅 Resumen Diario'!$B$5:$B$504, B4623, '📅 Resumen Diario'!$C$5:$C$504, D4623) * SUMIFS('📅 Resumen Diario'!$K$5:$K$504, '📅 Resumen Diario'!$B$5:$B$504, B4623, '📅 Resumen Diario'!$C$5:$C$504, D4623), 0))</f>
        <v/>
      </c>
      <c r="M4623" s="31" t="str">
        <f t="shared" si="507"/>
        <v/>
      </c>
      <c r="N4623" s="31" t="str">
        <f t="shared" si="508"/>
        <v/>
      </c>
      <c r="O4623" s="31" t="str">
        <f>IF(OR(B4623="",C4623=""),"",K4623-N4623 + IFERROR(E4623 / SUMIFS('📅 Resumen Diario'!$D$5:$D$504, '📅 Resumen Diario'!$B$5:$B$504, B4623, '📅 Resumen Diario'!$C$5:$C$504, D4623) * (SUMIFS('📋 Detalle Diario'!$E$5:$E$489, '📋 Detalle Diario'!$B$5:$B$489, B4623, '📋 Detalle Diario'!$C$5:$C$489, D4623) * 135 + SUMIFS('📋 Detalle Diario'!$I$5:$I$489, '📋 Detalle Diario'!$B$5:$B$489, B4623, '📋 Detalle Diario'!$C$5:$C$489, D4623) * 200), 0))</f>
        <v/>
      </c>
      <c r="P4623" s="32" t="str">
        <f t="shared" si="509"/>
        <v/>
      </c>
      <c r="Q4623" s="33" t="str">
        <f t="shared" si="510"/>
        <v/>
      </c>
    </row>
    <row r="4624" spans="2:17" ht="18" customHeight="1" x14ac:dyDescent="0.3">
      <c r="B4624" s="26"/>
      <c r="C4624" s="17"/>
      <c r="D4624" s="27"/>
      <c r="E4624" s="18"/>
      <c r="F4624" s="18"/>
      <c r="G4624" s="18"/>
      <c r="H4624" s="30" t="str">
        <f t="shared" si="504"/>
        <v/>
      </c>
      <c r="I4624" s="31" t="str">
        <f>IF(OR(B4624="",C4624=""),"",IFERROR(E4624*IF(E4624="",0,VLOOKUP(C4624,'📦 Precios Proforma'!$B$5:$D$104,IF(D4624="DIA",2,3),FALSE)),0))</f>
        <v/>
      </c>
      <c r="J4624" s="31" t="str">
        <f t="shared" si="505"/>
        <v/>
      </c>
      <c r="K4624" s="31" t="str">
        <f t="shared" si="506"/>
        <v/>
      </c>
      <c r="L4624" s="31" t="str">
        <f>IF(OR(B4624="",C4624=""),"",IFERROR(E4624 / SUMIFS('📅 Resumen Diario'!$D$5:$D$504, '📅 Resumen Diario'!$B$5:$B$504, B4624, '📅 Resumen Diario'!$C$5:$C$504, D4624) * SUMIFS('📅 Resumen Diario'!$K$5:$K$504, '📅 Resumen Diario'!$B$5:$B$504, B4624, '📅 Resumen Diario'!$C$5:$C$504, D4624), 0))</f>
        <v/>
      </c>
      <c r="M4624" s="31" t="str">
        <f t="shared" si="507"/>
        <v/>
      </c>
      <c r="N4624" s="31" t="str">
        <f t="shared" si="508"/>
        <v/>
      </c>
      <c r="O4624" s="31" t="str">
        <f>IF(OR(B4624="",C4624=""),"",K4624-N4624 + IFERROR(E4624 / SUMIFS('📅 Resumen Diario'!$D$5:$D$504, '📅 Resumen Diario'!$B$5:$B$504, B4624, '📅 Resumen Diario'!$C$5:$C$504, D4624) * (SUMIFS('📋 Detalle Diario'!$E$5:$E$489, '📋 Detalle Diario'!$B$5:$B$489, B4624, '📋 Detalle Diario'!$C$5:$C$489, D4624) * 135 + SUMIFS('📋 Detalle Diario'!$I$5:$I$489, '📋 Detalle Diario'!$B$5:$B$489, B4624, '📋 Detalle Diario'!$C$5:$C$489, D4624) * 200), 0))</f>
        <v/>
      </c>
      <c r="P4624" s="32" t="str">
        <f t="shared" si="509"/>
        <v/>
      </c>
      <c r="Q4624" s="33" t="str">
        <f t="shared" si="510"/>
        <v/>
      </c>
    </row>
    <row r="4625" spans="2:17" ht="18" customHeight="1" x14ac:dyDescent="0.3">
      <c r="B4625" s="26"/>
      <c r="C4625" s="28"/>
      <c r="D4625" s="27"/>
      <c r="E4625" s="29"/>
      <c r="F4625" s="29"/>
      <c r="G4625" s="29"/>
      <c r="H4625" s="30" t="str">
        <f t="shared" si="504"/>
        <v/>
      </c>
      <c r="I4625" s="31" t="str">
        <f>IF(OR(B4625="",C4625=""),"",IFERROR(E4625*IF(E4625="",0,VLOOKUP(C4625,'📦 Precios Proforma'!$B$5:$D$104,IF(D4625="DIA",2,3),FALSE)),0))</f>
        <v/>
      </c>
      <c r="J4625" s="31" t="str">
        <f t="shared" si="505"/>
        <v/>
      </c>
      <c r="K4625" s="31" t="str">
        <f t="shared" si="506"/>
        <v/>
      </c>
      <c r="L4625" s="31" t="str">
        <f>IF(OR(B4625="",C4625=""),"",IFERROR(E4625 / SUMIFS('📅 Resumen Diario'!$D$5:$D$504, '📅 Resumen Diario'!$B$5:$B$504, B4625, '📅 Resumen Diario'!$C$5:$C$504, D4625) * SUMIFS('📅 Resumen Diario'!$K$5:$K$504, '📅 Resumen Diario'!$B$5:$B$504, B4625, '📅 Resumen Diario'!$C$5:$C$504, D4625), 0))</f>
        <v/>
      </c>
      <c r="M4625" s="31" t="str">
        <f t="shared" si="507"/>
        <v/>
      </c>
      <c r="N4625" s="31" t="str">
        <f t="shared" si="508"/>
        <v/>
      </c>
      <c r="O4625" s="31" t="str">
        <f>IF(OR(B4625="",C4625=""),"",K4625-N4625 + IFERROR(E4625 / SUMIFS('📅 Resumen Diario'!$D$5:$D$504, '📅 Resumen Diario'!$B$5:$B$504, B4625, '📅 Resumen Diario'!$C$5:$C$504, D4625) * (SUMIFS('📋 Detalle Diario'!$E$5:$E$489, '📋 Detalle Diario'!$B$5:$B$489, B4625, '📋 Detalle Diario'!$C$5:$C$489, D4625) * 135 + SUMIFS('📋 Detalle Diario'!$I$5:$I$489, '📋 Detalle Diario'!$B$5:$B$489, B4625, '📋 Detalle Diario'!$C$5:$C$489, D4625) * 200), 0))</f>
        <v/>
      </c>
      <c r="P4625" s="32" t="str">
        <f t="shared" si="509"/>
        <v/>
      </c>
      <c r="Q4625" s="33" t="str">
        <f t="shared" si="510"/>
        <v/>
      </c>
    </row>
    <row r="4626" spans="2:17" ht="18" customHeight="1" x14ac:dyDescent="0.3">
      <c r="B4626" s="26"/>
      <c r="C4626" s="17"/>
      <c r="D4626" s="27"/>
      <c r="E4626" s="18"/>
      <c r="F4626" s="18"/>
      <c r="G4626" s="18"/>
      <c r="H4626" s="30" t="str">
        <f t="shared" si="504"/>
        <v/>
      </c>
      <c r="I4626" s="31" t="str">
        <f>IF(OR(B4626="",C4626=""),"",IFERROR(E4626*IF(E4626="",0,VLOOKUP(C4626,'📦 Precios Proforma'!$B$5:$D$104,IF(D4626="DIA",2,3),FALSE)),0))</f>
        <v/>
      </c>
      <c r="J4626" s="31" t="str">
        <f t="shared" si="505"/>
        <v/>
      </c>
      <c r="K4626" s="31" t="str">
        <f t="shared" si="506"/>
        <v/>
      </c>
      <c r="L4626" s="31" t="str">
        <f>IF(OR(B4626="",C4626=""),"",IFERROR(E4626 / SUMIFS('📅 Resumen Diario'!$D$5:$D$504, '📅 Resumen Diario'!$B$5:$B$504, B4626, '📅 Resumen Diario'!$C$5:$C$504, D4626) * SUMIFS('📅 Resumen Diario'!$K$5:$K$504, '📅 Resumen Diario'!$B$5:$B$504, B4626, '📅 Resumen Diario'!$C$5:$C$504, D4626), 0))</f>
        <v/>
      </c>
      <c r="M4626" s="31" t="str">
        <f t="shared" si="507"/>
        <v/>
      </c>
      <c r="N4626" s="31" t="str">
        <f t="shared" si="508"/>
        <v/>
      </c>
      <c r="O4626" s="31" t="str">
        <f>IF(OR(B4626="",C4626=""),"",K4626-N4626 + IFERROR(E4626 / SUMIFS('📅 Resumen Diario'!$D$5:$D$504, '📅 Resumen Diario'!$B$5:$B$504, B4626, '📅 Resumen Diario'!$C$5:$C$504, D4626) * (SUMIFS('📋 Detalle Diario'!$E$5:$E$489, '📋 Detalle Diario'!$B$5:$B$489, B4626, '📋 Detalle Diario'!$C$5:$C$489, D4626) * 135 + SUMIFS('📋 Detalle Diario'!$I$5:$I$489, '📋 Detalle Diario'!$B$5:$B$489, B4626, '📋 Detalle Diario'!$C$5:$C$489, D4626) * 200), 0))</f>
        <v/>
      </c>
      <c r="P4626" s="32" t="str">
        <f t="shared" si="509"/>
        <v/>
      </c>
      <c r="Q4626" s="33" t="str">
        <f t="shared" si="510"/>
        <v/>
      </c>
    </row>
    <row r="4627" spans="2:17" ht="18" customHeight="1" x14ac:dyDescent="0.3">
      <c r="B4627" s="26"/>
      <c r="C4627" s="28"/>
      <c r="D4627" s="27"/>
      <c r="E4627" s="29"/>
      <c r="F4627" s="29"/>
      <c r="G4627" s="29"/>
      <c r="H4627" s="30" t="str">
        <f t="shared" si="504"/>
        <v/>
      </c>
      <c r="I4627" s="31" t="str">
        <f>IF(OR(B4627="",C4627=""),"",IFERROR(E4627*IF(E4627="",0,VLOOKUP(C4627,'📦 Precios Proforma'!$B$5:$D$104,IF(D4627="DIA",2,3),FALSE)),0))</f>
        <v/>
      </c>
      <c r="J4627" s="31" t="str">
        <f t="shared" si="505"/>
        <v/>
      </c>
      <c r="K4627" s="31" t="str">
        <f t="shared" si="506"/>
        <v/>
      </c>
      <c r="L4627" s="31" t="str">
        <f>IF(OR(B4627="",C4627=""),"",IFERROR(E4627 / SUMIFS('📅 Resumen Diario'!$D$5:$D$504, '📅 Resumen Diario'!$B$5:$B$504, B4627, '📅 Resumen Diario'!$C$5:$C$504, D4627) * SUMIFS('📅 Resumen Diario'!$K$5:$K$504, '📅 Resumen Diario'!$B$5:$B$504, B4627, '📅 Resumen Diario'!$C$5:$C$504, D4627), 0))</f>
        <v/>
      </c>
      <c r="M4627" s="31" t="str">
        <f t="shared" si="507"/>
        <v/>
      </c>
      <c r="N4627" s="31" t="str">
        <f t="shared" si="508"/>
        <v/>
      </c>
      <c r="O4627" s="31" t="str">
        <f>IF(OR(B4627="",C4627=""),"",K4627-N4627 + IFERROR(E4627 / SUMIFS('📅 Resumen Diario'!$D$5:$D$504, '📅 Resumen Diario'!$B$5:$B$504, B4627, '📅 Resumen Diario'!$C$5:$C$504, D4627) * (SUMIFS('📋 Detalle Diario'!$E$5:$E$489, '📋 Detalle Diario'!$B$5:$B$489, B4627, '📋 Detalle Diario'!$C$5:$C$489, D4627) * 135 + SUMIFS('📋 Detalle Diario'!$I$5:$I$489, '📋 Detalle Diario'!$B$5:$B$489, B4627, '📋 Detalle Diario'!$C$5:$C$489, D4627) * 200), 0))</f>
        <v/>
      </c>
      <c r="P4627" s="32" t="str">
        <f t="shared" si="509"/>
        <v/>
      </c>
      <c r="Q4627" s="33" t="str">
        <f t="shared" si="510"/>
        <v/>
      </c>
    </row>
    <row r="4628" spans="2:17" ht="18" customHeight="1" x14ac:dyDescent="0.3">
      <c r="B4628" s="26"/>
      <c r="C4628" s="17"/>
      <c r="D4628" s="27"/>
      <c r="E4628" s="18"/>
      <c r="F4628" s="18"/>
      <c r="G4628" s="18"/>
      <c r="H4628" s="30" t="str">
        <f t="shared" si="504"/>
        <v/>
      </c>
      <c r="I4628" s="31" t="str">
        <f>IF(OR(B4628="",C4628=""),"",IFERROR(E4628*IF(E4628="",0,VLOOKUP(C4628,'📦 Precios Proforma'!$B$5:$D$104,IF(D4628="DIA",2,3),FALSE)),0))</f>
        <v/>
      </c>
      <c r="J4628" s="31" t="str">
        <f t="shared" si="505"/>
        <v/>
      </c>
      <c r="K4628" s="31" t="str">
        <f t="shared" si="506"/>
        <v/>
      </c>
      <c r="L4628" s="31" t="str">
        <f>IF(OR(B4628="",C4628=""),"",IFERROR(E4628 / SUMIFS('📅 Resumen Diario'!$D$5:$D$504, '📅 Resumen Diario'!$B$5:$B$504, B4628, '📅 Resumen Diario'!$C$5:$C$504, D4628) * SUMIFS('📅 Resumen Diario'!$K$5:$K$504, '📅 Resumen Diario'!$B$5:$B$504, B4628, '📅 Resumen Diario'!$C$5:$C$504, D4628), 0))</f>
        <v/>
      </c>
      <c r="M4628" s="31" t="str">
        <f t="shared" si="507"/>
        <v/>
      </c>
      <c r="N4628" s="31" t="str">
        <f t="shared" si="508"/>
        <v/>
      </c>
      <c r="O4628" s="31" t="str">
        <f>IF(OR(B4628="",C4628=""),"",K4628-N4628 + IFERROR(E4628 / SUMIFS('📅 Resumen Diario'!$D$5:$D$504, '📅 Resumen Diario'!$B$5:$B$504, B4628, '📅 Resumen Diario'!$C$5:$C$504, D4628) * (SUMIFS('📋 Detalle Diario'!$E$5:$E$489, '📋 Detalle Diario'!$B$5:$B$489, B4628, '📋 Detalle Diario'!$C$5:$C$489, D4628) * 135 + SUMIFS('📋 Detalle Diario'!$I$5:$I$489, '📋 Detalle Diario'!$B$5:$B$489, B4628, '📋 Detalle Diario'!$C$5:$C$489, D4628) * 200), 0))</f>
        <v/>
      </c>
      <c r="P4628" s="32" t="str">
        <f t="shared" si="509"/>
        <v/>
      </c>
      <c r="Q4628" s="33" t="str">
        <f t="shared" si="510"/>
        <v/>
      </c>
    </row>
    <row r="4629" spans="2:17" ht="18" customHeight="1" x14ac:dyDescent="0.3">
      <c r="B4629" s="26"/>
      <c r="C4629" s="28"/>
      <c r="D4629" s="27"/>
      <c r="E4629" s="29"/>
      <c r="F4629" s="29"/>
      <c r="G4629" s="29"/>
      <c r="H4629" s="30" t="str">
        <f t="shared" si="504"/>
        <v/>
      </c>
      <c r="I4629" s="31" t="str">
        <f>IF(OR(B4629="",C4629=""),"",IFERROR(E4629*IF(E4629="",0,VLOOKUP(C4629,'📦 Precios Proforma'!$B$5:$D$104,IF(D4629="DIA",2,3),FALSE)),0))</f>
        <v/>
      </c>
      <c r="J4629" s="31" t="str">
        <f t="shared" si="505"/>
        <v/>
      </c>
      <c r="K4629" s="31" t="str">
        <f t="shared" si="506"/>
        <v/>
      </c>
      <c r="L4629" s="31" t="str">
        <f>IF(OR(B4629="",C4629=""),"",IFERROR(E4629 / SUMIFS('📅 Resumen Diario'!$D$5:$D$504, '📅 Resumen Diario'!$B$5:$B$504, B4629, '📅 Resumen Diario'!$C$5:$C$504, D4629) * SUMIFS('📅 Resumen Diario'!$K$5:$K$504, '📅 Resumen Diario'!$B$5:$B$504, B4629, '📅 Resumen Diario'!$C$5:$C$504, D4629), 0))</f>
        <v/>
      </c>
      <c r="M4629" s="31" t="str">
        <f t="shared" si="507"/>
        <v/>
      </c>
      <c r="N4629" s="31" t="str">
        <f t="shared" si="508"/>
        <v/>
      </c>
      <c r="O4629" s="31" t="str">
        <f>IF(OR(B4629="",C4629=""),"",K4629-N4629 + IFERROR(E4629 / SUMIFS('📅 Resumen Diario'!$D$5:$D$504, '📅 Resumen Diario'!$B$5:$B$504, B4629, '📅 Resumen Diario'!$C$5:$C$504, D4629) * (SUMIFS('📋 Detalle Diario'!$E$5:$E$489, '📋 Detalle Diario'!$B$5:$B$489, B4629, '📋 Detalle Diario'!$C$5:$C$489, D4629) * 135 + SUMIFS('📋 Detalle Diario'!$I$5:$I$489, '📋 Detalle Diario'!$B$5:$B$489, B4629, '📋 Detalle Diario'!$C$5:$C$489, D4629) * 200), 0))</f>
        <v/>
      </c>
      <c r="P4629" s="32" t="str">
        <f t="shared" si="509"/>
        <v/>
      </c>
      <c r="Q4629" s="33" t="str">
        <f t="shared" si="510"/>
        <v/>
      </c>
    </row>
    <row r="4630" spans="2:17" ht="18" customHeight="1" x14ac:dyDescent="0.3">
      <c r="B4630" s="26"/>
      <c r="C4630" s="17"/>
      <c r="D4630" s="27"/>
      <c r="E4630" s="18"/>
      <c r="F4630" s="18"/>
      <c r="G4630" s="18"/>
      <c r="H4630" s="30" t="str">
        <f t="shared" si="504"/>
        <v/>
      </c>
      <c r="I4630" s="31" t="str">
        <f>IF(OR(B4630="",C4630=""),"",IFERROR(E4630*IF(E4630="",0,VLOOKUP(C4630,'📦 Precios Proforma'!$B$5:$D$104,IF(D4630="DIA",2,3),FALSE)),0))</f>
        <v/>
      </c>
      <c r="J4630" s="31" t="str">
        <f t="shared" si="505"/>
        <v/>
      </c>
      <c r="K4630" s="31" t="str">
        <f t="shared" si="506"/>
        <v/>
      </c>
      <c r="L4630" s="31" t="str">
        <f>IF(OR(B4630="",C4630=""),"",IFERROR(E4630 / SUMIFS('📅 Resumen Diario'!$D$5:$D$504, '📅 Resumen Diario'!$B$5:$B$504, B4630, '📅 Resumen Diario'!$C$5:$C$504, D4630) * SUMIFS('📅 Resumen Diario'!$K$5:$K$504, '📅 Resumen Diario'!$B$5:$B$504, B4630, '📅 Resumen Diario'!$C$5:$C$504, D4630), 0))</f>
        <v/>
      </c>
      <c r="M4630" s="31" t="str">
        <f t="shared" si="507"/>
        <v/>
      </c>
      <c r="N4630" s="31" t="str">
        <f t="shared" si="508"/>
        <v/>
      </c>
      <c r="O4630" s="31" t="str">
        <f>IF(OR(B4630="",C4630=""),"",K4630-N4630 + IFERROR(E4630 / SUMIFS('📅 Resumen Diario'!$D$5:$D$504, '📅 Resumen Diario'!$B$5:$B$504, B4630, '📅 Resumen Diario'!$C$5:$C$504, D4630) * (SUMIFS('📋 Detalle Diario'!$E$5:$E$489, '📋 Detalle Diario'!$B$5:$B$489, B4630, '📋 Detalle Diario'!$C$5:$C$489, D4630) * 135 + SUMIFS('📋 Detalle Diario'!$I$5:$I$489, '📋 Detalle Diario'!$B$5:$B$489, B4630, '📋 Detalle Diario'!$C$5:$C$489, D4630) * 200), 0))</f>
        <v/>
      </c>
      <c r="P4630" s="32" t="str">
        <f t="shared" si="509"/>
        <v/>
      </c>
      <c r="Q4630" s="33" t="str">
        <f t="shared" si="510"/>
        <v/>
      </c>
    </row>
    <row r="4631" spans="2:17" ht="18" customHeight="1" x14ac:dyDescent="0.3">
      <c r="B4631" s="26"/>
      <c r="C4631" s="28"/>
      <c r="D4631" s="27"/>
      <c r="E4631" s="29"/>
      <c r="F4631" s="29"/>
      <c r="G4631" s="29"/>
      <c r="H4631" s="30" t="str">
        <f t="shared" si="504"/>
        <v/>
      </c>
      <c r="I4631" s="31" t="str">
        <f>IF(OR(B4631="",C4631=""),"",IFERROR(E4631*IF(E4631="",0,VLOOKUP(C4631,'📦 Precios Proforma'!$B$5:$D$104,IF(D4631="DIA",2,3),FALSE)),0))</f>
        <v/>
      </c>
      <c r="J4631" s="31" t="str">
        <f t="shared" si="505"/>
        <v/>
      </c>
      <c r="K4631" s="31" t="str">
        <f t="shared" si="506"/>
        <v/>
      </c>
      <c r="L4631" s="31" t="str">
        <f>IF(OR(B4631="",C4631=""),"",IFERROR(E4631 / SUMIFS('📅 Resumen Diario'!$D$5:$D$504, '📅 Resumen Diario'!$B$5:$B$504, B4631, '📅 Resumen Diario'!$C$5:$C$504, D4631) * SUMIFS('📅 Resumen Diario'!$K$5:$K$504, '📅 Resumen Diario'!$B$5:$B$504, B4631, '📅 Resumen Diario'!$C$5:$C$504, D4631), 0))</f>
        <v/>
      </c>
      <c r="M4631" s="31" t="str">
        <f t="shared" si="507"/>
        <v/>
      </c>
      <c r="N4631" s="31" t="str">
        <f t="shared" si="508"/>
        <v/>
      </c>
      <c r="O4631" s="31" t="str">
        <f>IF(OR(B4631="",C4631=""),"",K4631-N4631 + IFERROR(E4631 / SUMIFS('📅 Resumen Diario'!$D$5:$D$504, '📅 Resumen Diario'!$B$5:$B$504, B4631, '📅 Resumen Diario'!$C$5:$C$504, D4631) * (SUMIFS('📋 Detalle Diario'!$E$5:$E$489, '📋 Detalle Diario'!$B$5:$B$489, B4631, '📋 Detalle Diario'!$C$5:$C$489, D4631) * 135 + SUMIFS('📋 Detalle Diario'!$I$5:$I$489, '📋 Detalle Diario'!$B$5:$B$489, B4631, '📋 Detalle Diario'!$C$5:$C$489, D4631) * 200), 0))</f>
        <v/>
      </c>
      <c r="P4631" s="32" t="str">
        <f t="shared" si="509"/>
        <v/>
      </c>
      <c r="Q4631" s="33" t="str">
        <f t="shared" si="510"/>
        <v/>
      </c>
    </row>
    <row r="4632" spans="2:17" ht="18" customHeight="1" x14ac:dyDescent="0.3">
      <c r="B4632" s="26"/>
      <c r="C4632" s="17"/>
      <c r="D4632" s="27"/>
      <c r="E4632" s="18"/>
      <c r="F4632" s="18"/>
      <c r="G4632" s="18"/>
      <c r="H4632" s="30" t="str">
        <f t="shared" si="504"/>
        <v/>
      </c>
      <c r="I4632" s="31" t="str">
        <f>IF(OR(B4632="",C4632=""),"",IFERROR(E4632*IF(E4632="",0,VLOOKUP(C4632,'📦 Precios Proforma'!$B$5:$D$104,IF(D4632="DIA",2,3),FALSE)),0))</f>
        <v/>
      </c>
      <c r="J4632" s="31" t="str">
        <f t="shared" si="505"/>
        <v/>
      </c>
      <c r="K4632" s="31" t="str">
        <f t="shared" si="506"/>
        <v/>
      </c>
      <c r="L4632" s="31" t="str">
        <f>IF(OR(B4632="",C4632=""),"",IFERROR(E4632 / SUMIFS('📅 Resumen Diario'!$D$5:$D$504, '📅 Resumen Diario'!$B$5:$B$504, B4632, '📅 Resumen Diario'!$C$5:$C$504, D4632) * SUMIFS('📅 Resumen Diario'!$K$5:$K$504, '📅 Resumen Diario'!$B$5:$B$504, B4632, '📅 Resumen Diario'!$C$5:$C$504, D4632), 0))</f>
        <v/>
      </c>
      <c r="M4632" s="31" t="str">
        <f t="shared" si="507"/>
        <v/>
      </c>
      <c r="N4632" s="31" t="str">
        <f t="shared" si="508"/>
        <v/>
      </c>
      <c r="O4632" s="31" t="str">
        <f>IF(OR(B4632="",C4632=""),"",K4632-N4632 + IFERROR(E4632 / SUMIFS('📅 Resumen Diario'!$D$5:$D$504, '📅 Resumen Diario'!$B$5:$B$504, B4632, '📅 Resumen Diario'!$C$5:$C$504, D4632) * (SUMIFS('📋 Detalle Diario'!$E$5:$E$489, '📋 Detalle Diario'!$B$5:$B$489, B4632, '📋 Detalle Diario'!$C$5:$C$489, D4632) * 135 + SUMIFS('📋 Detalle Diario'!$I$5:$I$489, '📋 Detalle Diario'!$B$5:$B$489, B4632, '📋 Detalle Diario'!$C$5:$C$489, D4632) * 200), 0))</f>
        <v/>
      </c>
      <c r="P4632" s="32" t="str">
        <f t="shared" si="509"/>
        <v/>
      </c>
      <c r="Q4632" s="33" t="str">
        <f t="shared" si="510"/>
        <v/>
      </c>
    </row>
    <row r="4633" spans="2:17" ht="18" customHeight="1" x14ac:dyDescent="0.3">
      <c r="B4633" s="26"/>
      <c r="C4633" s="28"/>
      <c r="D4633" s="27"/>
      <c r="E4633" s="29"/>
      <c r="F4633" s="29"/>
      <c r="G4633" s="29"/>
      <c r="H4633" s="30" t="str">
        <f t="shared" si="504"/>
        <v/>
      </c>
      <c r="I4633" s="31" t="str">
        <f>IF(OR(B4633="",C4633=""),"",IFERROR(E4633*IF(E4633="",0,VLOOKUP(C4633,'📦 Precios Proforma'!$B$5:$D$104,IF(D4633="DIA",2,3),FALSE)),0))</f>
        <v/>
      </c>
      <c r="J4633" s="31" t="str">
        <f t="shared" si="505"/>
        <v/>
      </c>
      <c r="K4633" s="31" t="str">
        <f t="shared" si="506"/>
        <v/>
      </c>
      <c r="L4633" s="31" t="str">
        <f>IF(OR(B4633="",C4633=""),"",IFERROR(E4633 / SUMIFS('📅 Resumen Diario'!$D$5:$D$504, '📅 Resumen Diario'!$B$5:$B$504, B4633, '📅 Resumen Diario'!$C$5:$C$504, D4633) * SUMIFS('📅 Resumen Diario'!$K$5:$K$504, '📅 Resumen Diario'!$B$5:$B$504, B4633, '📅 Resumen Diario'!$C$5:$C$504, D4633), 0))</f>
        <v/>
      </c>
      <c r="M4633" s="31" t="str">
        <f t="shared" si="507"/>
        <v/>
      </c>
      <c r="N4633" s="31" t="str">
        <f t="shared" si="508"/>
        <v/>
      </c>
      <c r="O4633" s="31" t="str">
        <f>IF(OR(B4633="",C4633=""),"",K4633-N4633 + IFERROR(E4633 / SUMIFS('📅 Resumen Diario'!$D$5:$D$504, '📅 Resumen Diario'!$B$5:$B$504, B4633, '📅 Resumen Diario'!$C$5:$C$504, D4633) * (SUMIFS('📋 Detalle Diario'!$E$5:$E$489, '📋 Detalle Diario'!$B$5:$B$489, B4633, '📋 Detalle Diario'!$C$5:$C$489, D4633) * 135 + SUMIFS('📋 Detalle Diario'!$I$5:$I$489, '📋 Detalle Diario'!$B$5:$B$489, B4633, '📋 Detalle Diario'!$C$5:$C$489, D4633) * 200), 0))</f>
        <v/>
      </c>
      <c r="P4633" s="32" t="str">
        <f t="shared" si="509"/>
        <v/>
      </c>
      <c r="Q4633" s="33" t="str">
        <f t="shared" si="510"/>
        <v/>
      </c>
    </row>
    <row r="4634" spans="2:17" ht="18" customHeight="1" x14ac:dyDescent="0.3">
      <c r="B4634" s="26"/>
      <c r="C4634" s="17"/>
      <c r="D4634" s="27"/>
      <c r="E4634" s="18"/>
      <c r="F4634" s="18"/>
      <c r="G4634" s="18"/>
      <c r="H4634" s="30" t="str">
        <f t="shared" si="504"/>
        <v/>
      </c>
      <c r="I4634" s="31" t="str">
        <f>IF(OR(B4634="",C4634=""),"",IFERROR(E4634*IF(E4634="",0,VLOOKUP(C4634,'📦 Precios Proforma'!$B$5:$D$104,IF(D4634="DIA",2,3),FALSE)),0))</f>
        <v/>
      </c>
      <c r="J4634" s="31" t="str">
        <f t="shared" si="505"/>
        <v/>
      </c>
      <c r="K4634" s="31" t="str">
        <f t="shared" si="506"/>
        <v/>
      </c>
      <c r="L4634" s="31" t="str">
        <f>IF(OR(B4634="",C4634=""),"",IFERROR(E4634 / SUMIFS('📅 Resumen Diario'!$D$5:$D$504, '📅 Resumen Diario'!$B$5:$B$504, B4634, '📅 Resumen Diario'!$C$5:$C$504, D4634) * SUMIFS('📅 Resumen Diario'!$K$5:$K$504, '📅 Resumen Diario'!$B$5:$B$504, B4634, '📅 Resumen Diario'!$C$5:$C$504, D4634), 0))</f>
        <v/>
      </c>
      <c r="M4634" s="31" t="str">
        <f t="shared" si="507"/>
        <v/>
      </c>
      <c r="N4634" s="31" t="str">
        <f t="shared" si="508"/>
        <v/>
      </c>
      <c r="O4634" s="31" t="str">
        <f>IF(OR(B4634="",C4634=""),"",K4634-N4634 + IFERROR(E4634 / SUMIFS('📅 Resumen Diario'!$D$5:$D$504, '📅 Resumen Diario'!$B$5:$B$504, B4634, '📅 Resumen Diario'!$C$5:$C$504, D4634) * (SUMIFS('📋 Detalle Diario'!$E$5:$E$489, '📋 Detalle Diario'!$B$5:$B$489, B4634, '📋 Detalle Diario'!$C$5:$C$489, D4634) * 135 + SUMIFS('📋 Detalle Diario'!$I$5:$I$489, '📋 Detalle Diario'!$B$5:$B$489, B4634, '📋 Detalle Diario'!$C$5:$C$489, D4634) * 200), 0))</f>
        <v/>
      </c>
      <c r="P4634" s="32" t="str">
        <f t="shared" si="509"/>
        <v/>
      </c>
      <c r="Q4634" s="33" t="str">
        <f t="shared" si="510"/>
        <v/>
      </c>
    </row>
    <row r="4635" spans="2:17" ht="18" customHeight="1" x14ac:dyDescent="0.3">
      <c r="B4635" s="26"/>
      <c r="C4635" s="28"/>
      <c r="D4635" s="27"/>
      <c r="E4635" s="29"/>
      <c r="F4635" s="29"/>
      <c r="G4635" s="29"/>
      <c r="H4635" s="30" t="str">
        <f t="shared" si="504"/>
        <v/>
      </c>
      <c r="I4635" s="31" t="str">
        <f>IF(OR(B4635="",C4635=""),"",IFERROR(E4635*IF(E4635="",0,VLOOKUP(C4635,'📦 Precios Proforma'!$B$5:$D$104,IF(D4635="DIA",2,3),FALSE)),0))</f>
        <v/>
      </c>
      <c r="J4635" s="31" t="str">
        <f t="shared" si="505"/>
        <v/>
      </c>
      <c r="K4635" s="31" t="str">
        <f t="shared" si="506"/>
        <v/>
      </c>
      <c r="L4635" s="31" t="str">
        <f>IF(OR(B4635="",C4635=""),"",IFERROR(E4635 / SUMIFS('📅 Resumen Diario'!$D$5:$D$504, '📅 Resumen Diario'!$B$5:$B$504, B4635, '📅 Resumen Diario'!$C$5:$C$504, D4635) * SUMIFS('📅 Resumen Diario'!$K$5:$K$504, '📅 Resumen Diario'!$B$5:$B$504, B4635, '📅 Resumen Diario'!$C$5:$C$504, D4635), 0))</f>
        <v/>
      </c>
      <c r="M4635" s="31" t="str">
        <f t="shared" si="507"/>
        <v/>
      </c>
      <c r="N4635" s="31" t="str">
        <f t="shared" si="508"/>
        <v/>
      </c>
      <c r="O4635" s="31" t="str">
        <f>IF(OR(B4635="",C4635=""),"",K4635-N4635 + IFERROR(E4635 / SUMIFS('📅 Resumen Diario'!$D$5:$D$504, '📅 Resumen Diario'!$B$5:$B$504, B4635, '📅 Resumen Diario'!$C$5:$C$504, D4635) * (SUMIFS('📋 Detalle Diario'!$E$5:$E$489, '📋 Detalle Diario'!$B$5:$B$489, B4635, '📋 Detalle Diario'!$C$5:$C$489, D4635) * 135 + SUMIFS('📋 Detalle Diario'!$I$5:$I$489, '📋 Detalle Diario'!$B$5:$B$489, B4635, '📋 Detalle Diario'!$C$5:$C$489, D4635) * 200), 0))</f>
        <v/>
      </c>
      <c r="P4635" s="32" t="str">
        <f t="shared" si="509"/>
        <v/>
      </c>
      <c r="Q4635" s="33" t="str">
        <f t="shared" si="510"/>
        <v/>
      </c>
    </row>
    <row r="4636" spans="2:17" ht="18" customHeight="1" x14ac:dyDescent="0.3">
      <c r="B4636" s="26"/>
      <c r="C4636" s="17"/>
      <c r="D4636" s="27"/>
      <c r="E4636" s="18"/>
      <c r="F4636" s="18"/>
      <c r="G4636" s="18"/>
      <c r="H4636" s="30" t="str">
        <f t="shared" si="504"/>
        <v/>
      </c>
      <c r="I4636" s="31" t="str">
        <f>IF(OR(B4636="",C4636=""),"",IFERROR(E4636*IF(E4636="",0,VLOOKUP(C4636,'📦 Precios Proforma'!$B$5:$D$104,IF(D4636="DIA",2,3),FALSE)),0))</f>
        <v/>
      </c>
      <c r="J4636" s="31" t="str">
        <f t="shared" si="505"/>
        <v/>
      </c>
      <c r="K4636" s="31" t="str">
        <f t="shared" si="506"/>
        <v/>
      </c>
      <c r="L4636" s="31" t="str">
        <f>IF(OR(B4636="",C4636=""),"",IFERROR(E4636 / SUMIFS('📅 Resumen Diario'!$D$5:$D$504, '📅 Resumen Diario'!$B$5:$B$504, B4636, '📅 Resumen Diario'!$C$5:$C$504, D4636) * SUMIFS('📅 Resumen Diario'!$K$5:$K$504, '📅 Resumen Diario'!$B$5:$B$504, B4636, '📅 Resumen Diario'!$C$5:$C$504, D4636), 0))</f>
        <v/>
      </c>
      <c r="M4636" s="31" t="str">
        <f t="shared" si="507"/>
        <v/>
      </c>
      <c r="N4636" s="31" t="str">
        <f t="shared" si="508"/>
        <v/>
      </c>
      <c r="O4636" s="31" t="str">
        <f>IF(OR(B4636="",C4636=""),"",K4636-N4636 + IFERROR(E4636 / SUMIFS('📅 Resumen Diario'!$D$5:$D$504, '📅 Resumen Diario'!$B$5:$B$504, B4636, '📅 Resumen Diario'!$C$5:$C$504, D4636) * (SUMIFS('📋 Detalle Diario'!$E$5:$E$489, '📋 Detalle Diario'!$B$5:$B$489, B4636, '📋 Detalle Diario'!$C$5:$C$489, D4636) * 135 + SUMIFS('📋 Detalle Diario'!$I$5:$I$489, '📋 Detalle Diario'!$B$5:$B$489, B4636, '📋 Detalle Diario'!$C$5:$C$489, D4636) * 200), 0))</f>
        <v/>
      </c>
      <c r="P4636" s="32" t="str">
        <f t="shared" si="509"/>
        <v/>
      </c>
      <c r="Q4636" s="33" t="str">
        <f t="shared" si="510"/>
        <v/>
      </c>
    </row>
    <row r="4637" spans="2:17" ht="18" customHeight="1" x14ac:dyDescent="0.3">
      <c r="B4637" s="26"/>
      <c r="C4637" s="28"/>
      <c r="D4637" s="27"/>
      <c r="E4637" s="29"/>
      <c r="F4637" s="29"/>
      <c r="G4637" s="29"/>
      <c r="H4637" s="30" t="str">
        <f t="shared" si="504"/>
        <v/>
      </c>
      <c r="I4637" s="31" t="str">
        <f>IF(OR(B4637="",C4637=""),"",IFERROR(E4637*IF(E4637="",0,VLOOKUP(C4637,'📦 Precios Proforma'!$B$5:$D$104,IF(D4637="DIA",2,3),FALSE)),0))</f>
        <v/>
      </c>
      <c r="J4637" s="31" t="str">
        <f t="shared" si="505"/>
        <v/>
      </c>
      <c r="K4637" s="31" t="str">
        <f t="shared" si="506"/>
        <v/>
      </c>
      <c r="L4637" s="31" t="str">
        <f>IF(OR(B4637="",C4637=""),"",IFERROR(E4637 / SUMIFS('📅 Resumen Diario'!$D$5:$D$504, '📅 Resumen Diario'!$B$5:$B$504, B4637, '📅 Resumen Diario'!$C$5:$C$504, D4637) * SUMIFS('📅 Resumen Diario'!$K$5:$K$504, '📅 Resumen Diario'!$B$5:$B$504, B4637, '📅 Resumen Diario'!$C$5:$C$504, D4637), 0))</f>
        <v/>
      </c>
      <c r="M4637" s="31" t="str">
        <f t="shared" si="507"/>
        <v/>
      </c>
      <c r="N4637" s="31" t="str">
        <f t="shared" si="508"/>
        <v/>
      </c>
      <c r="O4637" s="31" t="str">
        <f>IF(OR(B4637="",C4637=""),"",K4637-N4637 + IFERROR(E4637 / SUMIFS('📅 Resumen Diario'!$D$5:$D$504, '📅 Resumen Diario'!$B$5:$B$504, B4637, '📅 Resumen Diario'!$C$5:$C$504, D4637) * (SUMIFS('📋 Detalle Diario'!$E$5:$E$489, '📋 Detalle Diario'!$B$5:$B$489, B4637, '📋 Detalle Diario'!$C$5:$C$489, D4637) * 135 + SUMIFS('📋 Detalle Diario'!$I$5:$I$489, '📋 Detalle Diario'!$B$5:$B$489, B4637, '📋 Detalle Diario'!$C$5:$C$489, D4637) * 200), 0))</f>
        <v/>
      </c>
      <c r="P4637" s="32" t="str">
        <f t="shared" si="509"/>
        <v/>
      </c>
      <c r="Q4637" s="33" t="str">
        <f t="shared" si="510"/>
        <v/>
      </c>
    </row>
    <row r="4638" spans="2:17" ht="18" customHeight="1" x14ac:dyDescent="0.3">
      <c r="B4638" s="26"/>
      <c r="C4638" s="17"/>
      <c r="D4638" s="27"/>
      <c r="E4638" s="18"/>
      <c r="F4638" s="18"/>
      <c r="G4638" s="18"/>
      <c r="H4638" s="30" t="str">
        <f t="shared" si="504"/>
        <v/>
      </c>
      <c r="I4638" s="31" t="str">
        <f>IF(OR(B4638="",C4638=""),"",IFERROR(E4638*IF(E4638="",0,VLOOKUP(C4638,'📦 Precios Proforma'!$B$5:$D$104,IF(D4638="DIA",2,3),FALSE)),0))</f>
        <v/>
      </c>
      <c r="J4638" s="31" t="str">
        <f t="shared" si="505"/>
        <v/>
      </c>
      <c r="K4638" s="31" t="str">
        <f t="shared" si="506"/>
        <v/>
      </c>
      <c r="L4638" s="31" t="str">
        <f>IF(OR(B4638="",C4638=""),"",IFERROR(E4638 / SUMIFS('📅 Resumen Diario'!$D$5:$D$504, '📅 Resumen Diario'!$B$5:$B$504, B4638, '📅 Resumen Diario'!$C$5:$C$504, D4638) * SUMIFS('📅 Resumen Diario'!$K$5:$K$504, '📅 Resumen Diario'!$B$5:$B$504, B4638, '📅 Resumen Diario'!$C$5:$C$504, D4638), 0))</f>
        <v/>
      </c>
      <c r="M4638" s="31" t="str">
        <f t="shared" si="507"/>
        <v/>
      </c>
      <c r="N4638" s="31" t="str">
        <f t="shared" si="508"/>
        <v/>
      </c>
      <c r="O4638" s="31" t="str">
        <f>IF(OR(B4638="",C4638=""),"",K4638-N4638 + IFERROR(E4638 / SUMIFS('📅 Resumen Diario'!$D$5:$D$504, '📅 Resumen Diario'!$B$5:$B$504, B4638, '📅 Resumen Diario'!$C$5:$C$504, D4638) * (SUMIFS('📋 Detalle Diario'!$E$5:$E$489, '📋 Detalle Diario'!$B$5:$B$489, B4638, '📋 Detalle Diario'!$C$5:$C$489, D4638) * 135 + SUMIFS('📋 Detalle Diario'!$I$5:$I$489, '📋 Detalle Diario'!$B$5:$B$489, B4638, '📋 Detalle Diario'!$C$5:$C$489, D4638) * 200), 0))</f>
        <v/>
      </c>
      <c r="P4638" s="32" t="str">
        <f t="shared" si="509"/>
        <v/>
      </c>
      <c r="Q4638" s="33" t="str">
        <f t="shared" si="510"/>
        <v/>
      </c>
    </row>
    <row r="4639" spans="2:17" ht="18" customHeight="1" x14ac:dyDescent="0.3">
      <c r="B4639" s="26"/>
      <c r="C4639" s="28"/>
      <c r="D4639" s="27"/>
      <c r="E4639" s="29"/>
      <c r="F4639" s="29"/>
      <c r="G4639" s="29"/>
      <c r="H4639" s="30" t="str">
        <f t="shared" si="504"/>
        <v/>
      </c>
      <c r="I4639" s="31" t="str">
        <f>IF(OR(B4639="",C4639=""),"",IFERROR(E4639*IF(E4639="",0,VLOOKUP(C4639,'📦 Precios Proforma'!$B$5:$D$104,IF(D4639="DIA",2,3),FALSE)),0))</f>
        <v/>
      </c>
      <c r="J4639" s="31" t="str">
        <f t="shared" si="505"/>
        <v/>
      </c>
      <c r="K4639" s="31" t="str">
        <f t="shared" si="506"/>
        <v/>
      </c>
      <c r="L4639" s="31" t="str">
        <f>IF(OR(B4639="",C4639=""),"",IFERROR(E4639 / SUMIFS('📅 Resumen Diario'!$D$5:$D$504, '📅 Resumen Diario'!$B$5:$B$504, B4639, '📅 Resumen Diario'!$C$5:$C$504, D4639) * SUMIFS('📅 Resumen Diario'!$K$5:$K$504, '📅 Resumen Diario'!$B$5:$B$504, B4639, '📅 Resumen Diario'!$C$5:$C$504, D4639), 0))</f>
        <v/>
      </c>
      <c r="M4639" s="31" t="str">
        <f t="shared" si="507"/>
        <v/>
      </c>
      <c r="N4639" s="31" t="str">
        <f t="shared" si="508"/>
        <v/>
      </c>
      <c r="O4639" s="31" t="str">
        <f>IF(OR(B4639="",C4639=""),"",K4639-N4639 + IFERROR(E4639 / SUMIFS('📅 Resumen Diario'!$D$5:$D$504, '📅 Resumen Diario'!$B$5:$B$504, B4639, '📅 Resumen Diario'!$C$5:$C$504, D4639) * (SUMIFS('📋 Detalle Diario'!$E$5:$E$489, '📋 Detalle Diario'!$B$5:$B$489, B4639, '📋 Detalle Diario'!$C$5:$C$489, D4639) * 135 + SUMIFS('📋 Detalle Diario'!$I$5:$I$489, '📋 Detalle Diario'!$B$5:$B$489, B4639, '📋 Detalle Diario'!$C$5:$C$489, D4639) * 200), 0))</f>
        <v/>
      </c>
      <c r="P4639" s="32" t="str">
        <f t="shared" si="509"/>
        <v/>
      </c>
      <c r="Q4639" s="33" t="str">
        <f t="shared" si="510"/>
        <v/>
      </c>
    </row>
    <row r="4640" spans="2:17" ht="18" customHeight="1" x14ac:dyDescent="0.3">
      <c r="B4640" s="26"/>
      <c r="C4640" s="17"/>
      <c r="D4640" s="27"/>
      <c r="E4640" s="18"/>
      <c r="F4640" s="18"/>
      <c r="G4640" s="18"/>
      <c r="H4640" s="30" t="str">
        <f t="shared" si="504"/>
        <v/>
      </c>
      <c r="I4640" s="31" t="str">
        <f>IF(OR(B4640="",C4640=""),"",IFERROR(E4640*IF(E4640="",0,VLOOKUP(C4640,'📦 Precios Proforma'!$B$5:$D$104,IF(D4640="DIA",2,3),FALSE)),0))</f>
        <v/>
      </c>
      <c r="J4640" s="31" t="str">
        <f t="shared" si="505"/>
        <v/>
      </c>
      <c r="K4640" s="31" t="str">
        <f t="shared" si="506"/>
        <v/>
      </c>
      <c r="L4640" s="31" t="str">
        <f>IF(OR(B4640="",C4640=""),"",IFERROR(E4640 / SUMIFS('📅 Resumen Diario'!$D$5:$D$504, '📅 Resumen Diario'!$B$5:$B$504, B4640, '📅 Resumen Diario'!$C$5:$C$504, D4640) * SUMIFS('📅 Resumen Diario'!$K$5:$K$504, '📅 Resumen Diario'!$B$5:$B$504, B4640, '📅 Resumen Diario'!$C$5:$C$504, D4640), 0))</f>
        <v/>
      </c>
      <c r="M4640" s="31" t="str">
        <f t="shared" si="507"/>
        <v/>
      </c>
      <c r="N4640" s="31" t="str">
        <f t="shared" si="508"/>
        <v/>
      </c>
      <c r="O4640" s="31" t="str">
        <f>IF(OR(B4640="",C4640=""),"",K4640-N4640 + IFERROR(E4640 / SUMIFS('📅 Resumen Diario'!$D$5:$D$504, '📅 Resumen Diario'!$B$5:$B$504, B4640, '📅 Resumen Diario'!$C$5:$C$504, D4640) * (SUMIFS('📋 Detalle Diario'!$E$5:$E$489, '📋 Detalle Diario'!$B$5:$B$489, B4640, '📋 Detalle Diario'!$C$5:$C$489, D4640) * 135 + SUMIFS('📋 Detalle Diario'!$I$5:$I$489, '📋 Detalle Diario'!$B$5:$B$489, B4640, '📋 Detalle Diario'!$C$5:$C$489, D4640) * 200), 0))</f>
        <v/>
      </c>
      <c r="P4640" s="32" t="str">
        <f t="shared" si="509"/>
        <v/>
      </c>
      <c r="Q4640" s="33" t="str">
        <f t="shared" si="510"/>
        <v/>
      </c>
    </row>
    <row r="4641" spans="2:17" ht="18" customHeight="1" x14ac:dyDescent="0.3">
      <c r="B4641" s="26"/>
      <c r="C4641" s="28"/>
      <c r="D4641" s="27"/>
      <c r="E4641" s="29"/>
      <c r="F4641" s="29"/>
      <c r="G4641" s="29"/>
      <c r="H4641" s="30" t="str">
        <f t="shared" si="504"/>
        <v/>
      </c>
      <c r="I4641" s="31" t="str">
        <f>IF(OR(B4641="",C4641=""),"",IFERROR(E4641*IF(E4641="",0,VLOOKUP(C4641,'📦 Precios Proforma'!$B$5:$D$104,IF(D4641="DIA",2,3),FALSE)),0))</f>
        <v/>
      </c>
      <c r="J4641" s="31" t="str">
        <f t="shared" si="505"/>
        <v/>
      </c>
      <c r="K4641" s="31" t="str">
        <f t="shared" si="506"/>
        <v/>
      </c>
      <c r="L4641" s="31" t="str">
        <f>IF(OR(B4641="",C4641=""),"",IFERROR(E4641 / SUMIFS('📅 Resumen Diario'!$D$5:$D$504, '📅 Resumen Diario'!$B$5:$B$504, B4641, '📅 Resumen Diario'!$C$5:$C$504, D4641) * SUMIFS('📅 Resumen Diario'!$K$5:$K$504, '📅 Resumen Diario'!$B$5:$B$504, B4641, '📅 Resumen Diario'!$C$5:$C$504, D4641), 0))</f>
        <v/>
      </c>
      <c r="M4641" s="31" t="str">
        <f t="shared" si="507"/>
        <v/>
      </c>
      <c r="N4641" s="31" t="str">
        <f t="shared" si="508"/>
        <v/>
      </c>
      <c r="O4641" s="31" t="str">
        <f>IF(OR(B4641="",C4641=""),"",K4641-N4641 + IFERROR(E4641 / SUMIFS('📅 Resumen Diario'!$D$5:$D$504, '📅 Resumen Diario'!$B$5:$B$504, B4641, '📅 Resumen Diario'!$C$5:$C$504, D4641) * (SUMIFS('📋 Detalle Diario'!$E$5:$E$489, '📋 Detalle Diario'!$B$5:$B$489, B4641, '📋 Detalle Diario'!$C$5:$C$489, D4641) * 135 + SUMIFS('📋 Detalle Diario'!$I$5:$I$489, '📋 Detalle Diario'!$B$5:$B$489, B4641, '📋 Detalle Diario'!$C$5:$C$489, D4641) * 200), 0))</f>
        <v/>
      </c>
      <c r="P4641" s="32" t="str">
        <f t="shared" si="509"/>
        <v/>
      </c>
      <c r="Q4641" s="33" t="str">
        <f t="shared" si="510"/>
        <v/>
      </c>
    </row>
    <row r="4642" spans="2:17" ht="18" customHeight="1" x14ac:dyDescent="0.3">
      <c r="B4642" s="26"/>
      <c r="C4642" s="17"/>
      <c r="D4642" s="27"/>
      <c r="E4642" s="18"/>
      <c r="F4642" s="18"/>
      <c r="G4642" s="18"/>
      <c r="H4642" s="30" t="str">
        <f t="shared" si="504"/>
        <v/>
      </c>
      <c r="I4642" s="31" t="str">
        <f>IF(OR(B4642="",C4642=""),"",IFERROR(E4642*IF(E4642="",0,VLOOKUP(C4642,'📦 Precios Proforma'!$B$5:$D$104,IF(D4642="DIA",2,3),FALSE)),0))</f>
        <v/>
      </c>
      <c r="J4642" s="31" t="str">
        <f t="shared" si="505"/>
        <v/>
      </c>
      <c r="K4642" s="31" t="str">
        <f t="shared" si="506"/>
        <v/>
      </c>
      <c r="L4642" s="31" t="str">
        <f>IF(OR(B4642="",C4642=""),"",IFERROR(E4642 / SUMIFS('📅 Resumen Diario'!$D$5:$D$504, '📅 Resumen Diario'!$B$5:$B$504, B4642, '📅 Resumen Diario'!$C$5:$C$504, D4642) * SUMIFS('📅 Resumen Diario'!$K$5:$K$504, '📅 Resumen Diario'!$B$5:$B$504, B4642, '📅 Resumen Diario'!$C$5:$C$504, D4642), 0))</f>
        <v/>
      </c>
      <c r="M4642" s="31" t="str">
        <f t="shared" si="507"/>
        <v/>
      </c>
      <c r="N4642" s="31" t="str">
        <f t="shared" si="508"/>
        <v/>
      </c>
      <c r="O4642" s="31" t="str">
        <f>IF(OR(B4642="",C4642=""),"",K4642-N4642 + IFERROR(E4642 / SUMIFS('📅 Resumen Diario'!$D$5:$D$504, '📅 Resumen Diario'!$B$5:$B$504, B4642, '📅 Resumen Diario'!$C$5:$C$504, D4642) * (SUMIFS('📋 Detalle Diario'!$E$5:$E$489, '📋 Detalle Diario'!$B$5:$B$489, B4642, '📋 Detalle Diario'!$C$5:$C$489, D4642) * 135 + SUMIFS('📋 Detalle Diario'!$I$5:$I$489, '📋 Detalle Diario'!$B$5:$B$489, B4642, '📋 Detalle Diario'!$C$5:$C$489, D4642) * 200), 0))</f>
        <v/>
      </c>
      <c r="P4642" s="32" t="str">
        <f t="shared" si="509"/>
        <v/>
      </c>
      <c r="Q4642" s="33" t="str">
        <f t="shared" si="510"/>
        <v/>
      </c>
    </row>
    <row r="4643" spans="2:17" ht="18" customHeight="1" x14ac:dyDescent="0.3">
      <c r="B4643" s="26"/>
      <c r="C4643" s="28"/>
      <c r="D4643" s="27"/>
      <c r="E4643" s="29"/>
      <c r="F4643" s="29"/>
      <c r="G4643" s="29"/>
      <c r="H4643" s="30" t="str">
        <f t="shared" si="504"/>
        <v/>
      </c>
      <c r="I4643" s="31" t="str">
        <f>IF(OR(B4643="",C4643=""),"",IFERROR(E4643*IF(E4643="",0,VLOOKUP(C4643,'📦 Precios Proforma'!$B$5:$D$104,IF(D4643="DIA",2,3),FALSE)),0))</f>
        <v/>
      </c>
      <c r="J4643" s="31" t="str">
        <f t="shared" si="505"/>
        <v/>
      </c>
      <c r="K4643" s="31" t="str">
        <f t="shared" si="506"/>
        <v/>
      </c>
      <c r="L4643" s="31" t="str">
        <f>IF(OR(B4643="",C4643=""),"",IFERROR(E4643 / SUMIFS('📅 Resumen Diario'!$D$5:$D$504, '📅 Resumen Diario'!$B$5:$B$504, B4643, '📅 Resumen Diario'!$C$5:$C$504, D4643) * SUMIFS('📅 Resumen Diario'!$K$5:$K$504, '📅 Resumen Diario'!$B$5:$B$504, B4643, '📅 Resumen Diario'!$C$5:$C$504, D4643), 0))</f>
        <v/>
      </c>
      <c r="M4643" s="31" t="str">
        <f t="shared" si="507"/>
        <v/>
      </c>
      <c r="N4643" s="31" t="str">
        <f t="shared" si="508"/>
        <v/>
      </c>
      <c r="O4643" s="31" t="str">
        <f>IF(OR(B4643="",C4643=""),"",K4643-N4643 + IFERROR(E4643 / SUMIFS('📅 Resumen Diario'!$D$5:$D$504, '📅 Resumen Diario'!$B$5:$B$504, B4643, '📅 Resumen Diario'!$C$5:$C$504, D4643) * (SUMIFS('📋 Detalle Diario'!$E$5:$E$489, '📋 Detalle Diario'!$B$5:$B$489, B4643, '📋 Detalle Diario'!$C$5:$C$489, D4643) * 135 + SUMIFS('📋 Detalle Diario'!$I$5:$I$489, '📋 Detalle Diario'!$B$5:$B$489, B4643, '📋 Detalle Diario'!$C$5:$C$489, D4643) * 200), 0))</f>
        <v/>
      </c>
      <c r="P4643" s="32" t="str">
        <f t="shared" si="509"/>
        <v/>
      </c>
      <c r="Q4643" s="33" t="str">
        <f t="shared" si="510"/>
        <v/>
      </c>
    </row>
    <row r="4644" spans="2:17" ht="18" customHeight="1" x14ac:dyDescent="0.3">
      <c r="B4644" s="26"/>
      <c r="C4644" s="17"/>
      <c r="D4644" s="27"/>
      <c r="E4644" s="18"/>
      <c r="F4644" s="18"/>
      <c r="G4644" s="18"/>
      <c r="H4644" s="30" t="str">
        <f t="shared" si="504"/>
        <v/>
      </c>
      <c r="I4644" s="31" t="str">
        <f>IF(OR(B4644="",C4644=""),"",IFERROR(E4644*IF(E4644="",0,VLOOKUP(C4644,'📦 Precios Proforma'!$B$5:$D$104,IF(D4644="DIA",2,3),FALSE)),0))</f>
        <v/>
      </c>
      <c r="J4644" s="31" t="str">
        <f t="shared" si="505"/>
        <v/>
      </c>
      <c r="K4644" s="31" t="str">
        <f t="shared" si="506"/>
        <v/>
      </c>
      <c r="L4644" s="31" t="str">
        <f>IF(OR(B4644="",C4644=""),"",IFERROR(E4644 / SUMIFS('📅 Resumen Diario'!$D$5:$D$504, '📅 Resumen Diario'!$B$5:$B$504, B4644, '📅 Resumen Diario'!$C$5:$C$504, D4644) * SUMIFS('📅 Resumen Diario'!$K$5:$K$504, '📅 Resumen Diario'!$B$5:$B$504, B4644, '📅 Resumen Diario'!$C$5:$C$504, D4644), 0))</f>
        <v/>
      </c>
      <c r="M4644" s="31" t="str">
        <f t="shared" si="507"/>
        <v/>
      </c>
      <c r="N4644" s="31" t="str">
        <f t="shared" si="508"/>
        <v/>
      </c>
      <c r="O4644" s="31" t="str">
        <f>IF(OR(B4644="",C4644=""),"",K4644-N4644 + IFERROR(E4644 / SUMIFS('📅 Resumen Diario'!$D$5:$D$504, '📅 Resumen Diario'!$B$5:$B$504, B4644, '📅 Resumen Diario'!$C$5:$C$504, D4644) * (SUMIFS('📋 Detalle Diario'!$E$5:$E$489, '📋 Detalle Diario'!$B$5:$B$489, B4644, '📋 Detalle Diario'!$C$5:$C$489, D4644) * 135 + SUMIFS('📋 Detalle Diario'!$I$5:$I$489, '📋 Detalle Diario'!$B$5:$B$489, B4644, '📋 Detalle Diario'!$C$5:$C$489, D4644) * 200), 0))</f>
        <v/>
      </c>
      <c r="P4644" s="32" t="str">
        <f t="shared" si="509"/>
        <v/>
      </c>
      <c r="Q4644" s="33" t="str">
        <f t="shared" si="510"/>
        <v/>
      </c>
    </row>
    <row r="4645" spans="2:17" ht="18" customHeight="1" x14ac:dyDescent="0.3">
      <c r="B4645" s="26"/>
      <c r="C4645" s="28"/>
      <c r="D4645" s="27"/>
      <c r="E4645" s="29"/>
      <c r="F4645" s="29"/>
      <c r="G4645" s="29"/>
      <c r="H4645" s="30" t="str">
        <f t="shared" si="504"/>
        <v/>
      </c>
      <c r="I4645" s="31" t="str">
        <f>IF(OR(B4645="",C4645=""),"",IFERROR(E4645*IF(E4645="",0,VLOOKUP(C4645,'📦 Precios Proforma'!$B$5:$D$104,IF(D4645="DIA",2,3),FALSE)),0))</f>
        <v/>
      </c>
      <c r="J4645" s="31" t="str">
        <f t="shared" si="505"/>
        <v/>
      </c>
      <c r="K4645" s="31" t="str">
        <f t="shared" si="506"/>
        <v/>
      </c>
      <c r="L4645" s="31" t="str">
        <f>IF(OR(B4645="",C4645=""),"",IFERROR(E4645 / SUMIFS('📅 Resumen Diario'!$D$5:$D$504, '📅 Resumen Diario'!$B$5:$B$504, B4645, '📅 Resumen Diario'!$C$5:$C$504, D4645) * SUMIFS('📅 Resumen Diario'!$K$5:$K$504, '📅 Resumen Diario'!$B$5:$B$504, B4645, '📅 Resumen Diario'!$C$5:$C$504, D4645), 0))</f>
        <v/>
      </c>
      <c r="M4645" s="31" t="str">
        <f t="shared" si="507"/>
        <v/>
      </c>
      <c r="N4645" s="31" t="str">
        <f t="shared" si="508"/>
        <v/>
      </c>
      <c r="O4645" s="31" t="str">
        <f>IF(OR(B4645="",C4645=""),"",K4645-N4645 + IFERROR(E4645 / SUMIFS('📅 Resumen Diario'!$D$5:$D$504, '📅 Resumen Diario'!$B$5:$B$504, B4645, '📅 Resumen Diario'!$C$5:$C$504, D4645) * (SUMIFS('📋 Detalle Diario'!$E$5:$E$489, '📋 Detalle Diario'!$B$5:$B$489, B4645, '📋 Detalle Diario'!$C$5:$C$489, D4645) * 135 + SUMIFS('📋 Detalle Diario'!$I$5:$I$489, '📋 Detalle Diario'!$B$5:$B$489, B4645, '📋 Detalle Diario'!$C$5:$C$489, D4645) * 200), 0))</f>
        <v/>
      </c>
      <c r="P4645" s="32" t="str">
        <f t="shared" si="509"/>
        <v/>
      </c>
      <c r="Q4645" s="33" t="str">
        <f t="shared" si="510"/>
        <v/>
      </c>
    </row>
    <row r="4646" spans="2:17" ht="18" customHeight="1" x14ac:dyDescent="0.3">
      <c r="B4646" s="26"/>
      <c r="C4646" s="17"/>
      <c r="D4646" s="27"/>
      <c r="E4646" s="18"/>
      <c r="F4646" s="18"/>
      <c r="G4646" s="18"/>
      <c r="H4646" s="30" t="str">
        <f t="shared" si="504"/>
        <v/>
      </c>
      <c r="I4646" s="31" t="str">
        <f>IF(OR(B4646="",C4646=""),"",IFERROR(E4646*IF(E4646="",0,VLOOKUP(C4646,'📦 Precios Proforma'!$B$5:$D$104,IF(D4646="DIA",2,3),FALSE)),0))</f>
        <v/>
      </c>
      <c r="J4646" s="31" t="str">
        <f t="shared" si="505"/>
        <v/>
      </c>
      <c r="K4646" s="31" t="str">
        <f t="shared" si="506"/>
        <v/>
      </c>
      <c r="L4646" s="31" t="str">
        <f>IF(OR(B4646="",C4646=""),"",IFERROR(E4646 / SUMIFS('📅 Resumen Diario'!$D$5:$D$504, '📅 Resumen Diario'!$B$5:$B$504, B4646, '📅 Resumen Diario'!$C$5:$C$504, D4646) * SUMIFS('📅 Resumen Diario'!$K$5:$K$504, '📅 Resumen Diario'!$B$5:$B$504, B4646, '📅 Resumen Diario'!$C$5:$C$504, D4646), 0))</f>
        <v/>
      </c>
      <c r="M4646" s="31" t="str">
        <f t="shared" si="507"/>
        <v/>
      </c>
      <c r="N4646" s="31" t="str">
        <f t="shared" si="508"/>
        <v/>
      </c>
      <c r="O4646" s="31" t="str">
        <f>IF(OR(B4646="",C4646=""),"",K4646-N4646 + IFERROR(E4646 / SUMIFS('📅 Resumen Diario'!$D$5:$D$504, '📅 Resumen Diario'!$B$5:$B$504, B4646, '📅 Resumen Diario'!$C$5:$C$504, D4646) * (SUMIFS('📋 Detalle Diario'!$E$5:$E$489, '📋 Detalle Diario'!$B$5:$B$489, B4646, '📋 Detalle Diario'!$C$5:$C$489, D4646) * 135 + SUMIFS('📋 Detalle Diario'!$I$5:$I$489, '📋 Detalle Diario'!$B$5:$B$489, B4646, '📋 Detalle Diario'!$C$5:$C$489, D4646) * 200), 0))</f>
        <v/>
      </c>
      <c r="P4646" s="32" t="str">
        <f t="shared" si="509"/>
        <v/>
      </c>
      <c r="Q4646" s="33" t="str">
        <f t="shared" si="510"/>
        <v/>
      </c>
    </row>
    <row r="4647" spans="2:17" ht="18" customHeight="1" x14ac:dyDescent="0.3">
      <c r="B4647" s="26"/>
      <c r="C4647" s="28"/>
      <c r="D4647" s="27"/>
      <c r="E4647" s="29"/>
      <c r="F4647" s="29"/>
      <c r="G4647" s="29"/>
      <c r="H4647" s="30" t="str">
        <f t="shared" si="504"/>
        <v/>
      </c>
      <c r="I4647" s="31" t="str">
        <f>IF(OR(B4647="",C4647=""),"",IFERROR(E4647*IF(E4647="",0,VLOOKUP(C4647,'📦 Precios Proforma'!$B$5:$D$104,IF(D4647="DIA",2,3),FALSE)),0))</f>
        <v/>
      </c>
      <c r="J4647" s="31" t="str">
        <f t="shared" si="505"/>
        <v/>
      </c>
      <c r="K4647" s="31" t="str">
        <f t="shared" si="506"/>
        <v/>
      </c>
      <c r="L4647" s="31" t="str">
        <f>IF(OR(B4647="",C4647=""),"",IFERROR(E4647 / SUMIFS('📅 Resumen Diario'!$D$5:$D$504, '📅 Resumen Diario'!$B$5:$B$504, B4647, '📅 Resumen Diario'!$C$5:$C$504, D4647) * SUMIFS('📅 Resumen Diario'!$K$5:$K$504, '📅 Resumen Diario'!$B$5:$B$504, B4647, '📅 Resumen Diario'!$C$5:$C$504, D4647), 0))</f>
        <v/>
      </c>
      <c r="M4647" s="31" t="str">
        <f t="shared" si="507"/>
        <v/>
      </c>
      <c r="N4647" s="31" t="str">
        <f t="shared" si="508"/>
        <v/>
      </c>
      <c r="O4647" s="31" t="str">
        <f>IF(OR(B4647="",C4647=""),"",K4647-N4647 + IFERROR(E4647 / SUMIFS('📅 Resumen Diario'!$D$5:$D$504, '📅 Resumen Diario'!$B$5:$B$504, B4647, '📅 Resumen Diario'!$C$5:$C$504, D4647) * (SUMIFS('📋 Detalle Diario'!$E$5:$E$489, '📋 Detalle Diario'!$B$5:$B$489, B4647, '📋 Detalle Diario'!$C$5:$C$489, D4647) * 135 + SUMIFS('📋 Detalle Diario'!$I$5:$I$489, '📋 Detalle Diario'!$B$5:$B$489, B4647, '📋 Detalle Diario'!$C$5:$C$489, D4647) * 200), 0))</f>
        <v/>
      </c>
      <c r="P4647" s="32" t="str">
        <f t="shared" si="509"/>
        <v/>
      </c>
      <c r="Q4647" s="33" t="str">
        <f t="shared" si="510"/>
        <v/>
      </c>
    </row>
    <row r="4648" spans="2:17" ht="18" customHeight="1" x14ac:dyDescent="0.3">
      <c r="B4648" s="26"/>
      <c r="C4648" s="17"/>
      <c r="D4648" s="27"/>
      <c r="E4648" s="18"/>
      <c r="F4648" s="18"/>
      <c r="G4648" s="18"/>
      <c r="H4648" s="30" t="str">
        <f t="shared" si="504"/>
        <v/>
      </c>
      <c r="I4648" s="31" t="str">
        <f>IF(OR(B4648="",C4648=""),"",IFERROR(E4648*IF(E4648="",0,VLOOKUP(C4648,'📦 Precios Proforma'!$B$5:$D$104,IF(D4648="DIA",2,3),FALSE)),0))</f>
        <v/>
      </c>
      <c r="J4648" s="31" t="str">
        <f t="shared" si="505"/>
        <v/>
      </c>
      <c r="K4648" s="31" t="str">
        <f t="shared" si="506"/>
        <v/>
      </c>
      <c r="L4648" s="31" t="str">
        <f>IF(OR(B4648="",C4648=""),"",IFERROR(E4648 / SUMIFS('📅 Resumen Diario'!$D$5:$D$504, '📅 Resumen Diario'!$B$5:$B$504, B4648, '📅 Resumen Diario'!$C$5:$C$504, D4648) * SUMIFS('📅 Resumen Diario'!$K$5:$K$504, '📅 Resumen Diario'!$B$5:$B$504, B4648, '📅 Resumen Diario'!$C$5:$C$504, D4648), 0))</f>
        <v/>
      </c>
      <c r="M4648" s="31" t="str">
        <f t="shared" si="507"/>
        <v/>
      </c>
      <c r="N4648" s="31" t="str">
        <f t="shared" si="508"/>
        <v/>
      </c>
      <c r="O4648" s="31" t="str">
        <f>IF(OR(B4648="",C4648=""),"",K4648-N4648 + IFERROR(E4648 / SUMIFS('📅 Resumen Diario'!$D$5:$D$504, '📅 Resumen Diario'!$B$5:$B$504, B4648, '📅 Resumen Diario'!$C$5:$C$504, D4648) * (SUMIFS('📋 Detalle Diario'!$E$5:$E$489, '📋 Detalle Diario'!$B$5:$B$489, B4648, '📋 Detalle Diario'!$C$5:$C$489, D4648) * 135 + SUMIFS('📋 Detalle Diario'!$I$5:$I$489, '📋 Detalle Diario'!$B$5:$B$489, B4648, '📋 Detalle Diario'!$C$5:$C$489, D4648) * 200), 0))</f>
        <v/>
      </c>
      <c r="P4648" s="32" t="str">
        <f t="shared" si="509"/>
        <v/>
      </c>
      <c r="Q4648" s="33" t="str">
        <f t="shared" si="510"/>
        <v/>
      </c>
    </row>
    <row r="4649" spans="2:17" ht="18" customHeight="1" x14ac:dyDescent="0.3">
      <c r="B4649" s="26"/>
      <c r="C4649" s="28"/>
      <c r="D4649" s="27"/>
      <c r="E4649" s="29"/>
      <c r="F4649" s="29"/>
      <c r="G4649" s="29"/>
      <c r="H4649" s="30" t="str">
        <f t="shared" si="504"/>
        <v/>
      </c>
      <c r="I4649" s="31" t="str">
        <f>IF(OR(B4649="",C4649=""),"",IFERROR(E4649*IF(E4649="",0,VLOOKUP(C4649,'📦 Precios Proforma'!$B$5:$D$104,IF(D4649="DIA",2,3),FALSE)),0))</f>
        <v/>
      </c>
      <c r="J4649" s="31" t="str">
        <f t="shared" si="505"/>
        <v/>
      </c>
      <c r="K4649" s="31" t="str">
        <f t="shared" si="506"/>
        <v/>
      </c>
      <c r="L4649" s="31" t="str">
        <f>IF(OR(B4649="",C4649=""),"",IFERROR(E4649 / SUMIFS('📅 Resumen Diario'!$D$5:$D$504, '📅 Resumen Diario'!$B$5:$B$504, B4649, '📅 Resumen Diario'!$C$5:$C$504, D4649) * SUMIFS('📅 Resumen Diario'!$K$5:$K$504, '📅 Resumen Diario'!$B$5:$B$504, B4649, '📅 Resumen Diario'!$C$5:$C$504, D4649), 0))</f>
        <v/>
      </c>
      <c r="M4649" s="31" t="str">
        <f t="shared" si="507"/>
        <v/>
      </c>
      <c r="N4649" s="31" t="str">
        <f t="shared" si="508"/>
        <v/>
      </c>
      <c r="O4649" s="31" t="str">
        <f>IF(OR(B4649="",C4649=""),"",K4649-N4649 + IFERROR(E4649 / SUMIFS('📅 Resumen Diario'!$D$5:$D$504, '📅 Resumen Diario'!$B$5:$B$504, B4649, '📅 Resumen Diario'!$C$5:$C$504, D4649) * (SUMIFS('📋 Detalle Diario'!$E$5:$E$489, '📋 Detalle Diario'!$B$5:$B$489, B4649, '📋 Detalle Diario'!$C$5:$C$489, D4649) * 135 + SUMIFS('📋 Detalle Diario'!$I$5:$I$489, '📋 Detalle Diario'!$B$5:$B$489, B4649, '📋 Detalle Diario'!$C$5:$C$489, D4649) * 200), 0))</f>
        <v/>
      </c>
      <c r="P4649" s="32" t="str">
        <f t="shared" si="509"/>
        <v/>
      </c>
      <c r="Q4649" s="33" t="str">
        <f t="shared" si="510"/>
        <v/>
      </c>
    </row>
    <row r="4650" spans="2:17" ht="18" customHeight="1" x14ac:dyDescent="0.3">
      <c r="B4650" s="26"/>
      <c r="C4650" s="17"/>
      <c r="D4650" s="27"/>
      <c r="E4650" s="18"/>
      <c r="F4650" s="18"/>
      <c r="G4650" s="18"/>
      <c r="H4650" s="30" t="str">
        <f t="shared" si="504"/>
        <v/>
      </c>
      <c r="I4650" s="31" t="str">
        <f>IF(OR(B4650="",C4650=""),"",IFERROR(E4650*IF(E4650="",0,VLOOKUP(C4650,'📦 Precios Proforma'!$B$5:$D$104,IF(D4650="DIA",2,3),FALSE)),0))</f>
        <v/>
      </c>
      <c r="J4650" s="31" t="str">
        <f t="shared" si="505"/>
        <v/>
      </c>
      <c r="K4650" s="31" t="str">
        <f t="shared" si="506"/>
        <v/>
      </c>
      <c r="L4650" s="31" t="str">
        <f>IF(OR(B4650="",C4650=""),"",IFERROR(E4650 / SUMIFS('📅 Resumen Diario'!$D$5:$D$504, '📅 Resumen Diario'!$B$5:$B$504, B4650, '📅 Resumen Diario'!$C$5:$C$504, D4650) * SUMIFS('📅 Resumen Diario'!$K$5:$K$504, '📅 Resumen Diario'!$B$5:$B$504, B4650, '📅 Resumen Diario'!$C$5:$C$504, D4650), 0))</f>
        <v/>
      </c>
      <c r="M4650" s="31" t="str">
        <f t="shared" si="507"/>
        <v/>
      </c>
      <c r="N4650" s="31" t="str">
        <f t="shared" si="508"/>
        <v/>
      </c>
      <c r="O4650" s="31" t="str">
        <f>IF(OR(B4650="",C4650=""),"",K4650-N4650 + IFERROR(E4650 / SUMIFS('📅 Resumen Diario'!$D$5:$D$504, '📅 Resumen Diario'!$B$5:$B$504, B4650, '📅 Resumen Diario'!$C$5:$C$504, D4650) * (SUMIFS('📋 Detalle Diario'!$E$5:$E$489, '📋 Detalle Diario'!$B$5:$B$489, B4650, '📋 Detalle Diario'!$C$5:$C$489, D4650) * 135 + SUMIFS('📋 Detalle Diario'!$I$5:$I$489, '📋 Detalle Diario'!$B$5:$B$489, B4650, '📋 Detalle Diario'!$C$5:$C$489, D4650) * 200), 0))</f>
        <v/>
      </c>
      <c r="P4650" s="32" t="str">
        <f t="shared" si="509"/>
        <v/>
      </c>
      <c r="Q4650" s="33" t="str">
        <f t="shared" si="510"/>
        <v/>
      </c>
    </row>
    <row r="4651" spans="2:17" ht="18" customHeight="1" x14ac:dyDescent="0.3">
      <c r="B4651" s="26"/>
      <c r="C4651" s="28"/>
      <c r="D4651" s="27"/>
      <c r="E4651" s="29"/>
      <c r="F4651" s="29"/>
      <c r="G4651" s="29"/>
      <c r="H4651" s="30" t="str">
        <f t="shared" si="504"/>
        <v/>
      </c>
      <c r="I4651" s="31" t="str">
        <f>IF(OR(B4651="",C4651=""),"",IFERROR(E4651*IF(E4651="",0,VLOOKUP(C4651,'📦 Precios Proforma'!$B$5:$D$104,IF(D4651="DIA",2,3),FALSE)),0))</f>
        <v/>
      </c>
      <c r="J4651" s="31" t="str">
        <f t="shared" si="505"/>
        <v/>
      </c>
      <c r="K4651" s="31" t="str">
        <f t="shared" si="506"/>
        <v/>
      </c>
      <c r="L4651" s="31" t="str">
        <f>IF(OR(B4651="",C4651=""),"",IFERROR(E4651 / SUMIFS('📅 Resumen Diario'!$D$5:$D$504, '📅 Resumen Diario'!$B$5:$B$504, B4651, '📅 Resumen Diario'!$C$5:$C$504, D4651) * SUMIFS('📅 Resumen Diario'!$K$5:$K$504, '📅 Resumen Diario'!$B$5:$B$504, B4651, '📅 Resumen Diario'!$C$5:$C$504, D4651), 0))</f>
        <v/>
      </c>
      <c r="M4651" s="31" t="str">
        <f t="shared" si="507"/>
        <v/>
      </c>
      <c r="N4651" s="31" t="str">
        <f t="shared" si="508"/>
        <v/>
      </c>
      <c r="O4651" s="31" t="str">
        <f>IF(OR(B4651="",C4651=""),"",K4651-N4651 + IFERROR(E4651 / SUMIFS('📅 Resumen Diario'!$D$5:$D$504, '📅 Resumen Diario'!$B$5:$B$504, B4651, '📅 Resumen Diario'!$C$5:$C$504, D4651) * (SUMIFS('📋 Detalle Diario'!$E$5:$E$489, '📋 Detalle Diario'!$B$5:$B$489, B4651, '📋 Detalle Diario'!$C$5:$C$489, D4651) * 135 + SUMIFS('📋 Detalle Diario'!$I$5:$I$489, '📋 Detalle Diario'!$B$5:$B$489, B4651, '📋 Detalle Diario'!$C$5:$C$489, D4651) * 200), 0))</f>
        <v/>
      </c>
      <c r="P4651" s="32" t="str">
        <f t="shared" si="509"/>
        <v/>
      </c>
      <c r="Q4651" s="33" t="str">
        <f t="shared" si="510"/>
        <v/>
      </c>
    </row>
    <row r="4652" spans="2:17" ht="18" customHeight="1" x14ac:dyDescent="0.3">
      <c r="B4652" s="26"/>
      <c r="C4652" s="17"/>
      <c r="D4652" s="27"/>
      <c r="E4652" s="18"/>
      <c r="F4652" s="18"/>
      <c r="G4652" s="18"/>
      <c r="H4652" s="30" t="str">
        <f t="shared" si="504"/>
        <v/>
      </c>
      <c r="I4652" s="31" t="str">
        <f>IF(OR(B4652="",C4652=""),"",IFERROR(E4652*IF(E4652="",0,VLOOKUP(C4652,'📦 Precios Proforma'!$B$5:$D$104,IF(D4652="DIA",2,3),FALSE)),0))</f>
        <v/>
      </c>
      <c r="J4652" s="31" t="str">
        <f t="shared" si="505"/>
        <v/>
      </c>
      <c r="K4652" s="31" t="str">
        <f t="shared" si="506"/>
        <v/>
      </c>
      <c r="L4652" s="31" t="str">
        <f>IF(OR(B4652="",C4652=""),"",IFERROR(E4652 / SUMIFS('📅 Resumen Diario'!$D$5:$D$504, '📅 Resumen Diario'!$B$5:$B$504, B4652, '📅 Resumen Diario'!$C$5:$C$504, D4652) * SUMIFS('📅 Resumen Diario'!$K$5:$K$504, '📅 Resumen Diario'!$B$5:$B$504, B4652, '📅 Resumen Diario'!$C$5:$C$504, D4652), 0))</f>
        <v/>
      </c>
      <c r="M4652" s="31" t="str">
        <f t="shared" si="507"/>
        <v/>
      </c>
      <c r="N4652" s="31" t="str">
        <f t="shared" si="508"/>
        <v/>
      </c>
      <c r="O4652" s="31" t="str">
        <f>IF(OR(B4652="",C4652=""),"",K4652-N4652 + IFERROR(E4652 / SUMIFS('📅 Resumen Diario'!$D$5:$D$504, '📅 Resumen Diario'!$B$5:$B$504, B4652, '📅 Resumen Diario'!$C$5:$C$504, D4652) * (SUMIFS('📋 Detalle Diario'!$E$5:$E$489, '📋 Detalle Diario'!$B$5:$B$489, B4652, '📋 Detalle Diario'!$C$5:$C$489, D4652) * 135 + SUMIFS('📋 Detalle Diario'!$I$5:$I$489, '📋 Detalle Diario'!$B$5:$B$489, B4652, '📋 Detalle Diario'!$C$5:$C$489, D4652) * 200), 0))</f>
        <v/>
      </c>
      <c r="P4652" s="32" t="str">
        <f t="shared" si="509"/>
        <v/>
      </c>
      <c r="Q4652" s="33" t="str">
        <f t="shared" si="510"/>
        <v/>
      </c>
    </row>
    <row r="4653" spans="2:17" ht="18" customHeight="1" x14ac:dyDescent="0.3">
      <c r="B4653" s="26"/>
      <c r="C4653" s="28"/>
      <c r="D4653" s="27"/>
      <c r="E4653" s="29"/>
      <c r="F4653" s="29"/>
      <c r="G4653" s="29"/>
      <c r="H4653" s="30" t="str">
        <f t="shared" si="504"/>
        <v/>
      </c>
      <c r="I4653" s="31" t="str">
        <f>IF(OR(B4653="",C4653=""),"",IFERROR(E4653*IF(E4653="",0,VLOOKUP(C4653,'📦 Precios Proforma'!$B$5:$D$104,IF(D4653="DIA",2,3),FALSE)),0))</f>
        <v/>
      </c>
      <c r="J4653" s="31" t="str">
        <f t="shared" si="505"/>
        <v/>
      </c>
      <c r="K4653" s="31" t="str">
        <f t="shared" si="506"/>
        <v/>
      </c>
      <c r="L4653" s="31" t="str">
        <f>IF(OR(B4653="",C4653=""),"",IFERROR(E4653 / SUMIFS('📅 Resumen Diario'!$D$5:$D$504, '📅 Resumen Diario'!$B$5:$B$504, B4653, '📅 Resumen Diario'!$C$5:$C$504, D4653) * SUMIFS('📅 Resumen Diario'!$K$5:$K$504, '📅 Resumen Diario'!$B$5:$B$504, B4653, '📅 Resumen Diario'!$C$5:$C$504, D4653), 0))</f>
        <v/>
      </c>
      <c r="M4653" s="31" t="str">
        <f t="shared" si="507"/>
        <v/>
      </c>
      <c r="N4653" s="31" t="str">
        <f t="shared" si="508"/>
        <v/>
      </c>
      <c r="O4653" s="31" t="str">
        <f>IF(OR(B4653="",C4653=""),"",K4653-N4653 + IFERROR(E4653 / SUMIFS('📅 Resumen Diario'!$D$5:$D$504, '📅 Resumen Diario'!$B$5:$B$504, B4653, '📅 Resumen Diario'!$C$5:$C$504, D4653) * (SUMIFS('📋 Detalle Diario'!$E$5:$E$489, '📋 Detalle Diario'!$B$5:$B$489, B4653, '📋 Detalle Diario'!$C$5:$C$489, D4653) * 135 + SUMIFS('📋 Detalle Diario'!$I$5:$I$489, '📋 Detalle Diario'!$B$5:$B$489, B4653, '📋 Detalle Diario'!$C$5:$C$489, D4653) * 200), 0))</f>
        <v/>
      </c>
      <c r="P4653" s="32" t="str">
        <f t="shared" si="509"/>
        <v/>
      </c>
      <c r="Q4653" s="33" t="str">
        <f t="shared" si="510"/>
        <v/>
      </c>
    </row>
    <row r="4654" spans="2:17" ht="18" customHeight="1" x14ac:dyDescent="0.3">
      <c r="B4654" s="26"/>
      <c r="C4654" s="17"/>
      <c r="D4654" s="27"/>
      <c r="E4654" s="18"/>
      <c r="F4654" s="18"/>
      <c r="G4654" s="18"/>
      <c r="H4654" s="30" t="str">
        <f t="shared" si="504"/>
        <v/>
      </c>
      <c r="I4654" s="31" t="str">
        <f>IF(OR(B4654="",C4654=""),"",IFERROR(E4654*IF(E4654="",0,VLOOKUP(C4654,'📦 Precios Proforma'!$B$5:$D$104,IF(D4654="DIA",2,3),FALSE)),0))</f>
        <v/>
      </c>
      <c r="J4654" s="31" t="str">
        <f t="shared" si="505"/>
        <v/>
      </c>
      <c r="K4654" s="31" t="str">
        <f t="shared" si="506"/>
        <v/>
      </c>
      <c r="L4654" s="31" t="str">
        <f>IF(OR(B4654="",C4654=""),"",IFERROR(E4654 / SUMIFS('📅 Resumen Diario'!$D$5:$D$504, '📅 Resumen Diario'!$B$5:$B$504, B4654, '📅 Resumen Diario'!$C$5:$C$504, D4654) * SUMIFS('📅 Resumen Diario'!$K$5:$K$504, '📅 Resumen Diario'!$B$5:$B$504, B4654, '📅 Resumen Diario'!$C$5:$C$504, D4654), 0))</f>
        <v/>
      </c>
      <c r="M4654" s="31" t="str">
        <f t="shared" si="507"/>
        <v/>
      </c>
      <c r="N4654" s="31" t="str">
        <f t="shared" si="508"/>
        <v/>
      </c>
      <c r="O4654" s="31" t="str">
        <f>IF(OR(B4654="",C4654=""),"",K4654-N4654 + IFERROR(E4654 / SUMIFS('📅 Resumen Diario'!$D$5:$D$504, '📅 Resumen Diario'!$B$5:$B$504, B4654, '📅 Resumen Diario'!$C$5:$C$504, D4654) * (SUMIFS('📋 Detalle Diario'!$E$5:$E$489, '📋 Detalle Diario'!$B$5:$B$489, B4654, '📋 Detalle Diario'!$C$5:$C$489, D4654) * 135 + SUMIFS('📋 Detalle Diario'!$I$5:$I$489, '📋 Detalle Diario'!$B$5:$B$489, B4654, '📋 Detalle Diario'!$C$5:$C$489, D4654) * 200), 0))</f>
        <v/>
      </c>
      <c r="P4654" s="32" t="str">
        <f t="shared" si="509"/>
        <v/>
      </c>
      <c r="Q4654" s="33" t="str">
        <f t="shared" si="510"/>
        <v/>
      </c>
    </row>
    <row r="4655" spans="2:17" ht="18" customHeight="1" x14ac:dyDescent="0.3">
      <c r="B4655" s="26"/>
      <c r="C4655" s="28"/>
      <c r="D4655" s="27"/>
      <c r="E4655" s="29"/>
      <c r="F4655" s="29"/>
      <c r="G4655" s="29"/>
      <c r="H4655" s="30" t="str">
        <f t="shared" si="504"/>
        <v/>
      </c>
      <c r="I4655" s="31" t="str">
        <f>IF(OR(B4655="",C4655=""),"",IFERROR(E4655*IF(E4655="",0,VLOOKUP(C4655,'📦 Precios Proforma'!$B$5:$D$104,IF(D4655="DIA",2,3),FALSE)),0))</f>
        <v/>
      </c>
      <c r="J4655" s="31" t="str">
        <f t="shared" si="505"/>
        <v/>
      </c>
      <c r="K4655" s="31" t="str">
        <f t="shared" si="506"/>
        <v/>
      </c>
      <c r="L4655" s="31" t="str">
        <f>IF(OR(B4655="",C4655=""),"",IFERROR(E4655 / SUMIFS('📅 Resumen Diario'!$D$5:$D$504, '📅 Resumen Diario'!$B$5:$B$504, B4655, '📅 Resumen Diario'!$C$5:$C$504, D4655) * SUMIFS('📅 Resumen Diario'!$K$5:$K$504, '📅 Resumen Diario'!$B$5:$B$504, B4655, '📅 Resumen Diario'!$C$5:$C$504, D4655), 0))</f>
        <v/>
      </c>
      <c r="M4655" s="31" t="str">
        <f t="shared" si="507"/>
        <v/>
      </c>
      <c r="N4655" s="31" t="str">
        <f t="shared" si="508"/>
        <v/>
      </c>
      <c r="O4655" s="31" t="str">
        <f>IF(OR(B4655="",C4655=""),"",K4655-N4655 + IFERROR(E4655 / SUMIFS('📅 Resumen Diario'!$D$5:$D$504, '📅 Resumen Diario'!$B$5:$B$504, B4655, '📅 Resumen Diario'!$C$5:$C$504, D4655) * (SUMIFS('📋 Detalle Diario'!$E$5:$E$489, '📋 Detalle Diario'!$B$5:$B$489, B4655, '📋 Detalle Diario'!$C$5:$C$489, D4655) * 135 + SUMIFS('📋 Detalle Diario'!$I$5:$I$489, '📋 Detalle Diario'!$B$5:$B$489, B4655, '📋 Detalle Diario'!$C$5:$C$489, D4655) * 200), 0))</f>
        <v/>
      </c>
      <c r="P4655" s="32" t="str">
        <f t="shared" si="509"/>
        <v/>
      </c>
      <c r="Q4655" s="33" t="str">
        <f t="shared" si="510"/>
        <v/>
      </c>
    </row>
    <row r="4656" spans="2:17" ht="18" customHeight="1" x14ac:dyDescent="0.3">
      <c r="B4656" s="26"/>
      <c r="C4656" s="17"/>
      <c r="D4656" s="27"/>
      <c r="E4656" s="18"/>
      <c r="F4656" s="18"/>
      <c r="G4656" s="18"/>
      <c r="H4656" s="30" t="str">
        <f t="shared" si="504"/>
        <v/>
      </c>
      <c r="I4656" s="31" t="str">
        <f>IF(OR(B4656="",C4656=""),"",IFERROR(E4656*IF(E4656="",0,VLOOKUP(C4656,'📦 Precios Proforma'!$B$5:$D$104,IF(D4656="DIA",2,3),FALSE)),0))</f>
        <v/>
      </c>
      <c r="J4656" s="31" t="str">
        <f t="shared" si="505"/>
        <v/>
      </c>
      <c r="K4656" s="31" t="str">
        <f t="shared" si="506"/>
        <v/>
      </c>
      <c r="L4656" s="31" t="str">
        <f>IF(OR(B4656="",C4656=""),"",IFERROR(E4656 / SUMIFS('📅 Resumen Diario'!$D$5:$D$504, '📅 Resumen Diario'!$B$5:$B$504, B4656, '📅 Resumen Diario'!$C$5:$C$504, D4656) * SUMIFS('📅 Resumen Diario'!$K$5:$K$504, '📅 Resumen Diario'!$B$5:$B$504, B4656, '📅 Resumen Diario'!$C$5:$C$504, D4656), 0))</f>
        <v/>
      </c>
      <c r="M4656" s="31" t="str">
        <f t="shared" si="507"/>
        <v/>
      </c>
      <c r="N4656" s="31" t="str">
        <f t="shared" si="508"/>
        <v/>
      </c>
      <c r="O4656" s="31" t="str">
        <f>IF(OR(B4656="",C4656=""),"",K4656-N4656 + IFERROR(E4656 / SUMIFS('📅 Resumen Diario'!$D$5:$D$504, '📅 Resumen Diario'!$B$5:$B$504, B4656, '📅 Resumen Diario'!$C$5:$C$504, D4656) * (SUMIFS('📋 Detalle Diario'!$E$5:$E$489, '📋 Detalle Diario'!$B$5:$B$489, B4656, '📋 Detalle Diario'!$C$5:$C$489, D4656) * 135 + SUMIFS('📋 Detalle Diario'!$I$5:$I$489, '📋 Detalle Diario'!$B$5:$B$489, B4656, '📋 Detalle Diario'!$C$5:$C$489, D4656) * 200), 0))</f>
        <v/>
      </c>
      <c r="P4656" s="32" t="str">
        <f t="shared" si="509"/>
        <v/>
      </c>
      <c r="Q4656" s="33" t="str">
        <f t="shared" si="510"/>
        <v/>
      </c>
    </row>
    <row r="4657" spans="2:17" ht="18" customHeight="1" x14ac:dyDescent="0.3">
      <c r="B4657" s="26"/>
      <c r="C4657" s="28"/>
      <c r="D4657" s="27"/>
      <c r="E4657" s="29"/>
      <c r="F4657" s="29"/>
      <c r="G4657" s="29"/>
      <c r="H4657" s="30" t="str">
        <f t="shared" si="504"/>
        <v/>
      </c>
      <c r="I4657" s="31" t="str">
        <f>IF(OR(B4657="",C4657=""),"",IFERROR(E4657*IF(E4657="",0,VLOOKUP(C4657,'📦 Precios Proforma'!$B$5:$D$104,IF(D4657="DIA",2,3),FALSE)),0))</f>
        <v/>
      </c>
      <c r="J4657" s="31" t="str">
        <f t="shared" si="505"/>
        <v/>
      </c>
      <c r="K4657" s="31" t="str">
        <f t="shared" si="506"/>
        <v/>
      </c>
      <c r="L4657" s="31" t="str">
        <f>IF(OR(B4657="",C4657=""),"",IFERROR(E4657 / SUMIFS('📅 Resumen Diario'!$D$5:$D$504, '📅 Resumen Diario'!$B$5:$B$504, B4657, '📅 Resumen Diario'!$C$5:$C$504, D4657) * SUMIFS('📅 Resumen Diario'!$K$5:$K$504, '📅 Resumen Diario'!$B$5:$B$504, B4657, '📅 Resumen Diario'!$C$5:$C$504, D4657), 0))</f>
        <v/>
      </c>
      <c r="M4657" s="31" t="str">
        <f t="shared" si="507"/>
        <v/>
      </c>
      <c r="N4657" s="31" t="str">
        <f t="shared" si="508"/>
        <v/>
      </c>
      <c r="O4657" s="31" t="str">
        <f>IF(OR(B4657="",C4657=""),"",K4657-N4657 + IFERROR(E4657 / SUMIFS('📅 Resumen Diario'!$D$5:$D$504, '📅 Resumen Diario'!$B$5:$B$504, B4657, '📅 Resumen Diario'!$C$5:$C$504, D4657) * (SUMIFS('📋 Detalle Diario'!$E$5:$E$489, '📋 Detalle Diario'!$B$5:$B$489, B4657, '📋 Detalle Diario'!$C$5:$C$489, D4657) * 135 + SUMIFS('📋 Detalle Diario'!$I$5:$I$489, '📋 Detalle Diario'!$B$5:$B$489, B4657, '📋 Detalle Diario'!$C$5:$C$489, D4657) * 200), 0))</f>
        <v/>
      </c>
      <c r="P4657" s="32" t="str">
        <f t="shared" si="509"/>
        <v/>
      </c>
      <c r="Q4657" s="33" t="str">
        <f t="shared" si="510"/>
        <v/>
      </c>
    </row>
    <row r="4658" spans="2:17" ht="18" customHeight="1" x14ac:dyDescent="0.3">
      <c r="B4658" s="26"/>
      <c r="C4658" s="17"/>
      <c r="D4658" s="27"/>
      <c r="E4658" s="18"/>
      <c r="F4658" s="18"/>
      <c r="G4658" s="18"/>
      <c r="H4658" s="30" t="str">
        <f t="shared" si="504"/>
        <v/>
      </c>
      <c r="I4658" s="31" t="str">
        <f>IF(OR(B4658="",C4658=""),"",IFERROR(E4658*IF(E4658="",0,VLOOKUP(C4658,'📦 Precios Proforma'!$B$5:$D$104,IF(D4658="DIA",2,3),FALSE)),0))</f>
        <v/>
      </c>
      <c r="J4658" s="31" t="str">
        <f t="shared" si="505"/>
        <v/>
      </c>
      <c r="K4658" s="31" t="str">
        <f t="shared" si="506"/>
        <v/>
      </c>
      <c r="L4658" s="31" t="str">
        <f>IF(OR(B4658="",C4658=""),"",IFERROR(E4658 / SUMIFS('📅 Resumen Diario'!$D$5:$D$504, '📅 Resumen Diario'!$B$5:$B$504, B4658, '📅 Resumen Diario'!$C$5:$C$504, D4658) * SUMIFS('📅 Resumen Diario'!$K$5:$K$504, '📅 Resumen Diario'!$B$5:$B$504, B4658, '📅 Resumen Diario'!$C$5:$C$504, D4658), 0))</f>
        <v/>
      </c>
      <c r="M4658" s="31" t="str">
        <f t="shared" si="507"/>
        <v/>
      </c>
      <c r="N4658" s="31" t="str">
        <f t="shared" si="508"/>
        <v/>
      </c>
      <c r="O4658" s="31" t="str">
        <f>IF(OR(B4658="",C4658=""),"",K4658-N4658 + IFERROR(E4658 / SUMIFS('📅 Resumen Diario'!$D$5:$D$504, '📅 Resumen Diario'!$B$5:$B$504, B4658, '📅 Resumen Diario'!$C$5:$C$504, D4658) * (SUMIFS('📋 Detalle Diario'!$E$5:$E$489, '📋 Detalle Diario'!$B$5:$B$489, B4658, '📋 Detalle Diario'!$C$5:$C$489, D4658) * 135 + SUMIFS('📋 Detalle Diario'!$I$5:$I$489, '📋 Detalle Diario'!$B$5:$B$489, B4658, '📋 Detalle Diario'!$C$5:$C$489, D4658) * 200), 0))</f>
        <v/>
      </c>
      <c r="P4658" s="32" t="str">
        <f t="shared" si="509"/>
        <v/>
      </c>
      <c r="Q4658" s="33" t="str">
        <f t="shared" si="510"/>
        <v/>
      </c>
    </row>
    <row r="4659" spans="2:17" ht="18" customHeight="1" x14ac:dyDescent="0.3">
      <c r="B4659" s="26"/>
      <c r="C4659" s="28"/>
      <c r="D4659" s="27"/>
      <c r="E4659" s="29"/>
      <c r="F4659" s="29"/>
      <c r="G4659" s="29"/>
      <c r="H4659" s="30" t="str">
        <f t="shared" si="504"/>
        <v/>
      </c>
      <c r="I4659" s="31" t="str">
        <f>IF(OR(B4659="",C4659=""),"",IFERROR(E4659*IF(E4659="",0,VLOOKUP(C4659,'📦 Precios Proforma'!$B$5:$D$104,IF(D4659="DIA",2,3),FALSE)),0))</f>
        <v/>
      </c>
      <c r="J4659" s="31" t="str">
        <f t="shared" si="505"/>
        <v/>
      </c>
      <c r="K4659" s="31" t="str">
        <f t="shared" si="506"/>
        <v/>
      </c>
      <c r="L4659" s="31" t="str">
        <f>IF(OR(B4659="",C4659=""),"",IFERROR(E4659 / SUMIFS('📅 Resumen Diario'!$D$5:$D$504, '📅 Resumen Diario'!$B$5:$B$504, B4659, '📅 Resumen Diario'!$C$5:$C$504, D4659) * SUMIFS('📅 Resumen Diario'!$K$5:$K$504, '📅 Resumen Diario'!$B$5:$B$504, B4659, '📅 Resumen Diario'!$C$5:$C$504, D4659), 0))</f>
        <v/>
      </c>
      <c r="M4659" s="31" t="str">
        <f t="shared" si="507"/>
        <v/>
      </c>
      <c r="N4659" s="31" t="str">
        <f t="shared" si="508"/>
        <v/>
      </c>
      <c r="O4659" s="31" t="str">
        <f>IF(OR(B4659="",C4659=""),"",K4659-N4659 + IFERROR(E4659 / SUMIFS('📅 Resumen Diario'!$D$5:$D$504, '📅 Resumen Diario'!$B$5:$B$504, B4659, '📅 Resumen Diario'!$C$5:$C$504, D4659) * (SUMIFS('📋 Detalle Diario'!$E$5:$E$489, '📋 Detalle Diario'!$B$5:$B$489, B4659, '📋 Detalle Diario'!$C$5:$C$489, D4659) * 135 + SUMIFS('📋 Detalle Diario'!$I$5:$I$489, '📋 Detalle Diario'!$B$5:$B$489, B4659, '📋 Detalle Diario'!$C$5:$C$489, D4659) * 200), 0))</f>
        <v/>
      </c>
      <c r="P4659" s="32" t="str">
        <f t="shared" si="509"/>
        <v/>
      </c>
      <c r="Q4659" s="33" t="str">
        <f t="shared" si="510"/>
        <v/>
      </c>
    </row>
    <row r="4660" spans="2:17" ht="18" customHeight="1" x14ac:dyDescent="0.3">
      <c r="B4660" s="26"/>
      <c r="C4660" s="17"/>
      <c r="D4660" s="27"/>
      <c r="E4660" s="18"/>
      <c r="F4660" s="18"/>
      <c r="G4660" s="18"/>
      <c r="H4660" s="30" t="str">
        <f t="shared" si="504"/>
        <v/>
      </c>
      <c r="I4660" s="31" t="str">
        <f>IF(OR(B4660="",C4660=""),"",IFERROR(E4660*IF(E4660="",0,VLOOKUP(C4660,'📦 Precios Proforma'!$B$5:$D$104,IF(D4660="DIA",2,3),FALSE)),0))</f>
        <v/>
      </c>
      <c r="J4660" s="31" t="str">
        <f t="shared" si="505"/>
        <v/>
      </c>
      <c r="K4660" s="31" t="str">
        <f t="shared" si="506"/>
        <v/>
      </c>
      <c r="L4660" s="31" t="str">
        <f>IF(OR(B4660="",C4660=""),"",IFERROR(E4660 / SUMIFS('📅 Resumen Diario'!$D$5:$D$504, '📅 Resumen Diario'!$B$5:$B$504, B4660, '📅 Resumen Diario'!$C$5:$C$504, D4660) * SUMIFS('📅 Resumen Diario'!$K$5:$K$504, '📅 Resumen Diario'!$B$5:$B$504, B4660, '📅 Resumen Diario'!$C$5:$C$504, D4660), 0))</f>
        <v/>
      </c>
      <c r="M4660" s="31" t="str">
        <f t="shared" si="507"/>
        <v/>
      </c>
      <c r="N4660" s="31" t="str">
        <f t="shared" si="508"/>
        <v/>
      </c>
      <c r="O4660" s="31" t="str">
        <f>IF(OR(B4660="",C4660=""),"",K4660-N4660 + IFERROR(E4660 / SUMIFS('📅 Resumen Diario'!$D$5:$D$504, '📅 Resumen Diario'!$B$5:$B$504, B4660, '📅 Resumen Diario'!$C$5:$C$504, D4660) * (SUMIFS('📋 Detalle Diario'!$E$5:$E$489, '📋 Detalle Diario'!$B$5:$B$489, B4660, '📋 Detalle Diario'!$C$5:$C$489, D4660) * 135 + SUMIFS('📋 Detalle Diario'!$I$5:$I$489, '📋 Detalle Diario'!$B$5:$B$489, B4660, '📋 Detalle Diario'!$C$5:$C$489, D4660) * 200), 0))</f>
        <v/>
      </c>
      <c r="P4660" s="32" t="str">
        <f t="shared" si="509"/>
        <v/>
      </c>
      <c r="Q4660" s="33" t="str">
        <f t="shared" si="510"/>
        <v/>
      </c>
    </row>
    <row r="4661" spans="2:17" ht="18" customHeight="1" x14ac:dyDescent="0.3">
      <c r="B4661" s="26"/>
      <c r="C4661" s="28"/>
      <c r="D4661" s="27"/>
      <c r="E4661" s="29"/>
      <c r="F4661" s="29"/>
      <c r="G4661" s="29"/>
      <c r="H4661" s="30" t="str">
        <f t="shared" si="504"/>
        <v/>
      </c>
      <c r="I4661" s="31" t="str">
        <f>IF(OR(B4661="",C4661=""),"",IFERROR(E4661*IF(E4661="",0,VLOOKUP(C4661,'📦 Precios Proforma'!$B$5:$D$104,IF(D4661="DIA",2,3),FALSE)),0))</f>
        <v/>
      </c>
      <c r="J4661" s="31" t="str">
        <f t="shared" si="505"/>
        <v/>
      </c>
      <c r="K4661" s="31" t="str">
        <f t="shared" si="506"/>
        <v/>
      </c>
      <c r="L4661" s="31" t="str">
        <f>IF(OR(B4661="",C4661=""),"",IFERROR(E4661 / SUMIFS('📅 Resumen Diario'!$D$5:$D$504, '📅 Resumen Diario'!$B$5:$B$504, B4661, '📅 Resumen Diario'!$C$5:$C$504, D4661) * SUMIFS('📅 Resumen Diario'!$K$5:$K$504, '📅 Resumen Diario'!$B$5:$B$504, B4661, '📅 Resumen Diario'!$C$5:$C$504, D4661), 0))</f>
        <v/>
      </c>
      <c r="M4661" s="31" t="str">
        <f t="shared" si="507"/>
        <v/>
      </c>
      <c r="N4661" s="31" t="str">
        <f t="shared" si="508"/>
        <v/>
      </c>
      <c r="O4661" s="31" t="str">
        <f>IF(OR(B4661="",C4661=""),"",K4661-N4661 + IFERROR(E4661 / SUMIFS('📅 Resumen Diario'!$D$5:$D$504, '📅 Resumen Diario'!$B$5:$B$504, B4661, '📅 Resumen Diario'!$C$5:$C$504, D4661) * (SUMIFS('📋 Detalle Diario'!$E$5:$E$489, '📋 Detalle Diario'!$B$5:$B$489, B4661, '📋 Detalle Diario'!$C$5:$C$489, D4661) * 135 + SUMIFS('📋 Detalle Diario'!$I$5:$I$489, '📋 Detalle Diario'!$B$5:$B$489, B4661, '📋 Detalle Diario'!$C$5:$C$489, D4661) * 200), 0))</f>
        <v/>
      </c>
      <c r="P4661" s="32" t="str">
        <f t="shared" si="509"/>
        <v/>
      </c>
      <c r="Q4661" s="33" t="str">
        <f t="shared" si="510"/>
        <v/>
      </c>
    </row>
    <row r="4662" spans="2:17" ht="18" customHeight="1" x14ac:dyDescent="0.3">
      <c r="B4662" s="26"/>
      <c r="C4662" s="17"/>
      <c r="D4662" s="27"/>
      <c r="E4662" s="18"/>
      <c r="F4662" s="18"/>
      <c r="G4662" s="18"/>
      <c r="H4662" s="30" t="str">
        <f t="shared" si="504"/>
        <v/>
      </c>
      <c r="I4662" s="31" t="str">
        <f>IF(OR(B4662="",C4662=""),"",IFERROR(E4662*IF(E4662="",0,VLOOKUP(C4662,'📦 Precios Proforma'!$B$5:$D$104,IF(D4662="DIA",2,3),FALSE)),0))</f>
        <v/>
      </c>
      <c r="J4662" s="31" t="str">
        <f t="shared" si="505"/>
        <v/>
      </c>
      <c r="K4662" s="31" t="str">
        <f t="shared" si="506"/>
        <v/>
      </c>
      <c r="L4662" s="31" t="str">
        <f>IF(OR(B4662="",C4662=""),"",IFERROR(E4662 / SUMIFS('📅 Resumen Diario'!$D$5:$D$504, '📅 Resumen Diario'!$B$5:$B$504, B4662, '📅 Resumen Diario'!$C$5:$C$504, D4662) * SUMIFS('📅 Resumen Diario'!$K$5:$K$504, '📅 Resumen Diario'!$B$5:$B$504, B4662, '📅 Resumen Diario'!$C$5:$C$504, D4662), 0))</f>
        <v/>
      </c>
      <c r="M4662" s="31" t="str">
        <f t="shared" si="507"/>
        <v/>
      </c>
      <c r="N4662" s="31" t="str">
        <f t="shared" si="508"/>
        <v/>
      </c>
      <c r="O4662" s="31" t="str">
        <f>IF(OR(B4662="",C4662=""),"",K4662-N4662 + IFERROR(E4662 / SUMIFS('📅 Resumen Diario'!$D$5:$D$504, '📅 Resumen Diario'!$B$5:$B$504, B4662, '📅 Resumen Diario'!$C$5:$C$504, D4662) * (SUMIFS('📋 Detalle Diario'!$E$5:$E$489, '📋 Detalle Diario'!$B$5:$B$489, B4662, '📋 Detalle Diario'!$C$5:$C$489, D4662) * 135 + SUMIFS('📋 Detalle Diario'!$I$5:$I$489, '📋 Detalle Diario'!$B$5:$B$489, B4662, '📋 Detalle Diario'!$C$5:$C$489, D4662) * 200), 0))</f>
        <v/>
      </c>
      <c r="P4662" s="32" t="str">
        <f t="shared" si="509"/>
        <v/>
      </c>
      <c r="Q4662" s="33" t="str">
        <f t="shared" si="510"/>
        <v/>
      </c>
    </row>
    <row r="4663" spans="2:17" ht="18" customHeight="1" x14ac:dyDescent="0.3">
      <c r="B4663" s="26"/>
      <c r="C4663" s="28"/>
      <c r="D4663" s="27"/>
      <c r="E4663" s="29"/>
      <c r="F4663" s="29"/>
      <c r="G4663" s="29"/>
      <c r="H4663" s="30" t="str">
        <f t="shared" si="504"/>
        <v/>
      </c>
      <c r="I4663" s="31" t="str">
        <f>IF(OR(B4663="",C4663=""),"",IFERROR(E4663*IF(E4663="",0,VLOOKUP(C4663,'📦 Precios Proforma'!$B$5:$D$104,IF(D4663="DIA",2,3),FALSE)),0))</f>
        <v/>
      </c>
      <c r="J4663" s="31" t="str">
        <f t="shared" si="505"/>
        <v/>
      </c>
      <c r="K4663" s="31" t="str">
        <f t="shared" si="506"/>
        <v/>
      </c>
      <c r="L4663" s="31" t="str">
        <f>IF(OR(B4663="",C4663=""),"",IFERROR(E4663 / SUMIFS('📅 Resumen Diario'!$D$5:$D$504, '📅 Resumen Diario'!$B$5:$B$504, B4663, '📅 Resumen Diario'!$C$5:$C$504, D4663) * SUMIFS('📅 Resumen Diario'!$K$5:$K$504, '📅 Resumen Diario'!$B$5:$B$504, B4663, '📅 Resumen Diario'!$C$5:$C$504, D4663), 0))</f>
        <v/>
      </c>
      <c r="M4663" s="31" t="str">
        <f t="shared" si="507"/>
        <v/>
      </c>
      <c r="N4663" s="31" t="str">
        <f t="shared" si="508"/>
        <v/>
      </c>
      <c r="O4663" s="31" t="str">
        <f>IF(OR(B4663="",C4663=""),"",K4663-N4663 + IFERROR(E4663 / SUMIFS('📅 Resumen Diario'!$D$5:$D$504, '📅 Resumen Diario'!$B$5:$B$504, B4663, '📅 Resumen Diario'!$C$5:$C$504, D4663) * (SUMIFS('📋 Detalle Diario'!$E$5:$E$489, '📋 Detalle Diario'!$B$5:$B$489, B4663, '📋 Detalle Diario'!$C$5:$C$489, D4663) * 135 + SUMIFS('📋 Detalle Diario'!$I$5:$I$489, '📋 Detalle Diario'!$B$5:$B$489, B4663, '📋 Detalle Diario'!$C$5:$C$489, D4663) * 200), 0))</f>
        <v/>
      </c>
      <c r="P4663" s="32" t="str">
        <f t="shared" si="509"/>
        <v/>
      </c>
      <c r="Q4663" s="33" t="str">
        <f t="shared" si="510"/>
        <v/>
      </c>
    </row>
    <row r="4664" spans="2:17" ht="18" customHeight="1" x14ac:dyDescent="0.3">
      <c r="B4664" s="26"/>
      <c r="C4664" s="17"/>
      <c r="D4664" s="27"/>
      <c r="E4664" s="18"/>
      <c r="F4664" s="18"/>
      <c r="G4664" s="18"/>
      <c r="H4664" s="30" t="str">
        <f t="shared" si="504"/>
        <v/>
      </c>
      <c r="I4664" s="31" t="str">
        <f>IF(OR(B4664="",C4664=""),"",IFERROR(E4664*IF(E4664="",0,VLOOKUP(C4664,'📦 Precios Proforma'!$B$5:$D$104,IF(D4664="DIA",2,3),FALSE)),0))</f>
        <v/>
      </c>
      <c r="J4664" s="31" t="str">
        <f t="shared" si="505"/>
        <v/>
      </c>
      <c r="K4664" s="31" t="str">
        <f t="shared" si="506"/>
        <v/>
      </c>
      <c r="L4664" s="31" t="str">
        <f>IF(OR(B4664="",C4664=""),"",IFERROR(E4664 / SUMIFS('📅 Resumen Diario'!$D$5:$D$504, '📅 Resumen Diario'!$B$5:$B$504, B4664, '📅 Resumen Diario'!$C$5:$C$504, D4664) * SUMIFS('📅 Resumen Diario'!$K$5:$K$504, '📅 Resumen Diario'!$B$5:$B$504, B4664, '📅 Resumen Diario'!$C$5:$C$504, D4664), 0))</f>
        <v/>
      </c>
      <c r="M4664" s="31" t="str">
        <f t="shared" si="507"/>
        <v/>
      </c>
      <c r="N4664" s="31" t="str">
        <f t="shared" si="508"/>
        <v/>
      </c>
      <c r="O4664" s="31" t="str">
        <f>IF(OR(B4664="",C4664=""),"",K4664-N4664 + IFERROR(E4664 / SUMIFS('📅 Resumen Diario'!$D$5:$D$504, '📅 Resumen Diario'!$B$5:$B$504, B4664, '📅 Resumen Diario'!$C$5:$C$504, D4664) * (SUMIFS('📋 Detalle Diario'!$E$5:$E$489, '📋 Detalle Diario'!$B$5:$B$489, B4664, '📋 Detalle Diario'!$C$5:$C$489, D4664) * 135 + SUMIFS('📋 Detalle Diario'!$I$5:$I$489, '📋 Detalle Diario'!$B$5:$B$489, B4664, '📋 Detalle Diario'!$C$5:$C$489, D4664) * 200), 0))</f>
        <v/>
      </c>
      <c r="P4664" s="32" t="str">
        <f t="shared" si="509"/>
        <v/>
      </c>
      <c r="Q4664" s="33" t="str">
        <f t="shared" si="510"/>
        <v/>
      </c>
    </row>
    <row r="4665" spans="2:17" ht="18" customHeight="1" x14ac:dyDescent="0.3">
      <c r="B4665" s="26"/>
      <c r="C4665" s="28"/>
      <c r="D4665" s="27"/>
      <c r="E4665" s="29"/>
      <c r="F4665" s="29"/>
      <c r="G4665" s="29"/>
      <c r="H4665" s="30" t="str">
        <f t="shared" si="504"/>
        <v/>
      </c>
      <c r="I4665" s="31" t="str">
        <f>IF(OR(B4665="",C4665=""),"",IFERROR(E4665*IF(E4665="",0,VLOOKUP(C4665,'📦 Precios Proforma'!$B$5:$D$104,IF(D4665="DIA",2,3),FALSE)),0))</f>
        <v/>
      </c>
      <c r="J4665" s="31" t="str">
        <f t="shared" si="505"/>
        <v/>
      </c>
      <c r="K4665" s="31" t="str">
        <f t="shared" si="506"/>
        <v/>
      </c>
      <c r="L4665" s="31" t="str">
        <f>IF(OR(B4665="",C4665=""),"",IFERROR(E4665 / SUMIFS('📅 Resumen Diario'!$D$5:$D$504, '📅 Resumen Diario'!$B$5:$B$504, B4665, '📅 Resumen Diario'!$C$5:$C$504, D4665) * SUMIFS('📅 Resumen Diario'!$K$5:$K$504, '📅 Resumen Diario'!$B$5:$B$504, B4665, '📅 Resumen Diario'!$C$5:$C$504, D4665), 0))</f>
        <v/>
      </c>
      <c r="M4665" s="31" t="str">
        <f t="shared" si="507"/>
        <v/>
      </c>
      <c r="N4665" s="31" t="str">
        <f t="shared" si="508"/>
        <v/>
      </c>
      <c r="O4665" s="31" t="str">
        <f>IF(OR(B4665="",C4665=""),"",K4665-N4665 + IFERROR(E4665 / SUMIFS('📅 Resumen Diario'!$D$5:$D$504, '📅 Resumen Diario'!$B$5:$B$504, B4665, '📅 Resumen Diario'!$C$5:$C$504, D4665) * (SUMIFS('📋 Detalle Diario'!$E$5:$E$489, '📋 Detalle Diario'!$B$5:$B$489, B4665, '📋 Detalle Diario'!$C$5:$C$489, D4665) * 135 + SUMIFS('📋 Detalle Diario'!$I$5:$I$489, '📋 Detalle Diario'!$B$5:$B$489, B4665, '📋 Detalle Diario'!$C$5:$C$489, D4665) * 200), 0))</f>
        <v/>
      </c>
      <c r="P4665" s="32" t="str">
        <f t="shared" si="509"/>
        <v/>
      </c>
      <c r="Q4665" s="33" t="str">
        <f t="shared" si="510"/>
        <v/>
      </c>
    </row>
    <row r="4666" spans="2:17" ht="18" customHeight="1" x14ac:dyDescent="0.3">
      <c r="B4666" s="26"/>
      <c r="C4666" s="17"/>
      <c r="D4666" s="27"/>
      <c r="E4666" s="18"/>
      <c r="F4666" s="18"/>
      <c r="G4666" s="18"/>
      <c r="H4666" s="30" t="str">
        <f t="shared" si="504"/>
        <v/>
      </c>
      <c r="I4666" s="31" t="str">
        <f>IF(OR(B4666="",C4666=""),"",IFERROR(E4666*IF(E4666="",0,VLOOKUP(C4666,'📦 Precios Proforma'!$B$5:$D$104,IF(D4666="DIA",2,3),FALSE)),0))</f>
        <v/>
      </c>
      <c r="J4666" s="31" t="str">
        <f t="shared" si="505"/>
        <v/>
      </c>
      <c r="K4666" s="31" t="str">
        <f t="shared" si="506"/>
        <v/>
      </c>
      <c r="L4666" s="31" t="str">
        <f>IF(OR(B4666="",C4666=""),"",IFERROR(E4666 / SUMIFS('📅 Resumen Diario'!$D$5:$D$504, '📅 Resumen Diario'!$B$5:$B$504, B4666, '📅 Resumen Diario'!$C$5:$C$504, D4666) * SUMIFS('📅 Resumen Diario'!$K$5:$K$504, '📅 Resumen Diario'!$B$5:$B$504, B4666, '📅 Resumen Diario'!$C$5:$C$504, D4666), 0))</f>
        <v/>
      </c>
      <c r="M4666" s="31" t="str">
        <f t="shared" si="507"/>
        <v/>
      </c>
      <c r="N4666" s="31" t="str">
        <f t="shared" si="508"/>
        <v/>
      </c>
      <c r="O4666" s="31" t="str">
        <f>IF(OR(B4666="",C4666=""),"",K4666-N4666 + IFERROR(E4666 / SUMIFS('📅 Resumen Diario'!$D$5:$D$504, '📅 Resumen Diario'!$B$5:$B$504, B4666, '📅 Resumen Diario'!$C$5:$C$504, D4666) * (SUMIFS('📋 Detalle Diario'!$E$5:$E$489, '📋 Detalle Diario'!$B$5:$B$489, B4666, '📋 Detalle Diario'!$C$5:$C$489, D4666) * 135 + SUMIFS('📋 Detalle Diario'!$I$5:$I$489, '📋 Detalle Diario'!$B$5:$B$489, B4666, '📋 Detalle Diario'!$C$5:$C$489, D4666) * 200), 0))</f>
        <v/>
      </c>
      <c r="P4666" s="32" t="str">
        <f t="shared" si="509"/>
        <v/>
      </c>
      <c r="Q4666" s="33" t="str">
        <f t="shared" si="510"/>
        <v/>
      </c>
    </row>
    <row r="4667" spans="2:17" ht="18" customHeight="1" x14ac:dyDescent="0.3">
      <c r="B4667" s="26"/>
      <c r="C4667" s="28"/>
      <c r="D4667" s="27"/>
      <c r="E4667" s="29"/>
      <c r="F4667" s="29"/>
      <c r="G4667" s="29"/>
      <c r="H4667" s="30" t="str">
        <f t="shared" si="504"/>
        <v/>
      </c>
      <c r="I4667" s="31" t="str">
        <f>IF(OR(B4667="",C4667=""),"",IFERROR(E4667*IF(E4667="",0,VLOOKUP(C4667,'📦 Precios Proforma'!$B$5:$D$104,IF(D4667="DIA",2,3),FALSE)),0))</f>
        <v/>
      </c>
      <c r="J4667" s="31" t="str">
        <f t="shared" si="505"/>
        <v/>
      </c>
      <c r="K4667" s="31" t="str">
        <f t="shared" si="506"/>
        <v/>
      </c>
      <c r="L4667" s="31" t="str">
        <f>IF(OR(B4667="",C4667=""),"",IFERROR(E4667 / SUMIFS('📅 Resumen Diario'!$D$5:$D$504, '📅 Resumen Diario'!$B$5:$B$504, B4667, '📅 Resumen Diario'!$C$5:$C$504, D4667) * SUMIFS('📅 Resumen Diario'!$K$5:$K$504, '📅 Resumen Diario'!$B$5:$B$504, B4667, '📅 Resumen Diario'!$C$5:$C$504, D4667), 0))</f>
        <v/>
      </c>
      <c r="M4667" s="31" t="str">
        <f t="shared" si="507"/>
        <v/>
      </c>
      <c r="N4667" s="31" t="str">
        <f t="shared" si="508"/>
        <v/>
      </c>
      <c r="O4667" s="31" t="str">
        <f>IF(OR(B4667="",C4667=""),"",K4667-N4667 + IFERROR(E4667 / SUMIFS('📅 Resumen Diario'!$D$5:$D$504, '📅 Resumen Diario'!$B$5:$B$504, B4667, '📅 Resumen Diario'!$C$5:$C$504, D4667) * (SUMIFS('📋 Detalle Diario'!$E$5:$E$489, '📋 Detalle Diario'!$B$5:$B$489, B4667, '📋 Detalle Diario'!$C$5:$C$489, D4667) * 135 + SUMIFS('📋 Detalle Diario'!$I$5:$I$489, '📋 Detalle Diario'!$B$5:$B$489, B4667, '📋 Detalle Diario'!$C$5:$C$489, D4667) * 200), 0))</f>
        <v/>
      </c>
      <c r="P4667" s="32" t="str">
        <f t="shared" si="509"/>
        <v/>
      </c>
      <c r="Q4667" s="33" t="str">
        <f t="shared" si="510"/>
        <v/>
      </c>
    </row>
    <row r="4668" spans="2:17" ht="18" customHeight="1" x14ac:dyDescent="0.3">
      <c r="B4668" s="26"/>
      <c r="C4668" s="17"/>
      <c r="D4668" s="27"/>
      <c r="E4668" s="18"/>
      <c r="F4668" s="18"/>
      <c r="G4668" s="18"/>
      <c r="H4668" s="30" t="str">
        <f t="shared" si="504"/>
        <v/>
      </c>
      <c r="I4668" s="31" t="str">
        <f>IF(OR(B4668="",C4668=""),"",IFERROR(E4668*IF(E4668="",0,VLOOKUP(C4668,'📦 Precios Proforma'!$B$5:$D$104,IF(D4668="DIA",2,3),FALSE)),0))</f>
        <v/>
      </c>
      <c r="J4668" s="31" t="str">
        <f t="shared" si="505"/>
        <v/>
      </c>
      <c r="K4668" s="31" t="str">
        <f t="shared" si="506"/>
        <v/>
      </c>
      <c r="L4668" s="31" t="str">
        <f>IF(OR(B4668="",C4668=""),"",IFERROR(E4668 / SUMIFS('📅 Resumen Diario'!$D$5:$D$504, '📅 Resumen Diario'!$B$5:$B$504, B4668, '📅 Resumen Diario'!$C$5:$C$504, D4668) * SUMIFS('📅 Resumen Diario'!$K$5:$K$504, '📅 Resumen Diario'!$B$5:$B$504, B4668, '📅 Resumen Diario'!$C$5:$C$504, D4668), 0))</f>
        <v/>
      </c>
      <c r="M4668" s="31" t="str">
        <f t="shared" si="507"/>
        <v/>
      </c>
      <c r="N4668" s="31" t="str">
        <f t="shared" si="508"/>
        <v/>
      </c>
      <c r="O4668" s="31" t="str">
        <f>IF(OR(B4668="",C4668=""),"",K4668-N4668 + IFERROR(E4668 / SUMIFS('📅 Resumen Diario'!$D$5:$D$504, '📅 Resumen Diario'!$B$5:$B$504, B4668, '📅 Resumen Diario'!$C$5:$C$504, D4668) * (SUMIFS('📋 Detalle Diario'!$E$5:$E$489, '📋 Detalle Diario'!$B$5:$B$489, B4668, '📋 Detalle Diario'!$C$5:$C$489, D4668) * 135 + SUMIFS('📋 Detalle Diario'!$I$5:$I$489, '📋 Detalle Diario'!$B$5:$B$489, B4668, '📋 Detalle Diario'!$C$5:$C$489, D4668) * 200), 0))</f>
        <v/>
      </c>
      <c r="P4668" s="32" t="str">
        <f t="shared" si="509"/>
        <v/>
      </c>
      <c r="Q4668" s="33" t="str">
        <f t="shared" si="510"/>
        <v/>
      </c>
    </row>
    <row r="4669" spans="2:17" ht="18" customHeight="1" x14ac:dyDescent="0.3">
      <c r="B4669" s="26"/>
      <c r="C4669" s="28"/>
      <c r="D4669" s="27"/>
      <c r="E4669" s="29"/>
      <c r="F4669" s="29"/>
      <c r="G4669" s="29"/>
      <c r="H4669" s="30" t="str">
        <f t="shared" si="504"/>
        <v/>
      </c>
      <c r="I4669" s="31" t="str">
        <f>IF(OR(B4669="",C4669=""),"",IFERROR(E4669*IF(E4669="",0,VLOOKUP(C4669,'📦 Precios Proforma'!$B$5:$D$104,IF(D4669="DIA",2,3),FALSE)),0))</f>
        <v/>
      </c>
      <c r="J4669" s="31" t="str">
        <f t="shared" si="505"/>
        <v/>
      </c>
      <c r="K4669" s="31" t="str">
        <f t="shared" si="506"/>
        <v/>
      </c>
      <c r="L4669" s="31" t="str">
        <f>IF(OR(B4669="",C4669=""),"",IFERROR(E4669 / SUMIFS('📅 Resumen Diario'!$D$5:$D$504, '📅 Resumen Diario'!$B$5:$B$504, B4669, '📅 Resumen Diario'!$C$5:$C$504, D4669) * SUMIFS('📅 Resumen Diario'!$K$5:$K$504, '📅 Resumen Diario'!$B$5:$B$504, B4669, '📅 Resumen Diario'!$C$5:$C$504, D4669), 0))</f>
        <v/>
      </c>
      <c r="M4669" s="31" t="str">
        <f t="shared" si="507"/>
        <v/>
      </c>
      <c r="N4669" s="31" t="str">
        <f t="shared" si="508"/>
        <v/>
      </c>
      <c r="O4669" s="31" t="str">
        <f>IF(OR(B4669="",C4669=""),"",K4669-N4669 + IFERROR(E4669 / SUMIFS('📅 Resumen Diario'!$D$5:$D$504, '📅 Resumen Diario'!$B$5:$B$504, B4669, '📅 Resumen Diario'!$C$5:$C$504, D4669) * (SUMIFS('📋 Detalle Diario'!$E$5:$E$489, '📋 Detalle Diario'!$B$5:$B$489, B4669, '📋 Detalle Diario'!$C$5:$C$489, D4669) * 135 + SUMIFS('📋 Detalle Diario'!$I$5:$I$489, '📋 Detalle Diario'!$B$5:$B$489, B4669, '📋 Detalle Diario'!$C$5:$C$489, D4669) * 200), 0))</f>
        <v/>
      </c>
      <c r="P4669" s="32" t="str">
        <f t="shared" si="509"/>
        <v/>
      </c>
      <c r="Q4669" s="33" t="str">
        <f t="shared" si="510"/>
        <v/>
      </c>
    </row>
    <row r="4670" spans="2:17" ht="18" customHeight="1" x14ac:dyDescent="0.3">
      <c r="B4670" s="26"/>
      <c r="C4670" s="17"/>
      <c r="D4670" s="27"/>
      <c r="E4670" s="18"/>
      <c r="F4670" s="18"/>
      <c r="G4670" s="18"/>
      <c r="H4670" s="30" t="str">
        <f t="shared" si="504"/>
        <v/>
      </c>
      <c r="I4670" s="31" t="str">
        <f>IF(OR(B4670="",C4670=""),"",IFERROR(E4670*IF(E4670="",0,VLOOKUP(C4670,'📦 Precios Proforma'!$B$5:$D$104,IF(D4670="DIA",2,3),FALSE)),0))</f>
        <v/>
      </c>
      <c r="J4670" s="31" t="str">
        <f t="shared" si="505"/>
        <v/>
      </c>
      <c r="K4670" s="31" t="str">
        <f t="shared" si="506"/>
        <v/>
      </c>
      <c r="L4670" s="31" t="str">
        <f>IF(OR(B4670="",C4670=""),"",IFERROR(E4670 / SUMIFS('📅 Resumen Diario'!$D$5:$D$504, '📅 Resumen Diario'!$B$5:$B$504, B4670, '📅 Resumen Diario'!$C$5:$C$504, D4670) * SUMIFS('📅 Resumen Diario'!$K$5:$K$504, '📅 Resumen Diario'!$B$5:$B$504, B4670, '📅 Resumen Diario'!$C$5:$C$504, D4670), 0))</f>
        <v/>
      </c>
      <c r="M4670" s="31" t="str">
        <f t="shared" si="507"/>
        <v/>
      </c>
      <c r="N4670" s="31" t="str">
        <f t="shared" si="508"/>
        <v/>
      </c>
      <c r="O4670" s="31" t="str">
        <f>IF(OR(B4670="",C4670=""),"",K4670-N4670 + IFERROR(E4670 / SUMIFS('📅 Resumen Diario'!$D$5:$D$504, '📅 Resumen Diario'!$B$5:$B$504, B4670, '📅 Resumen Diario'!$C$5:$C$504, D4670) * (SUMIFS('📋 Detalle Diario'!$E$5:$E$489, '📋 Detalle Diario'!$B$5:$B$489, B4670, '📋 Detalle Diario'!$C$5:$C$489, D4670) * 135 + SUMIFS('📋 Detalle Diario'!$I$5:$I$489, '📋 Detalle Diario'!$B$5:$B$489, B4670, '📋 Detalle Diario'!$C$5:$C$489, D4670) * 200), 0))</f>
        <v/>
      </c>
      <c r="P4670" s="32" t="str">
        <f t="shared" si="509"/>
        <v/>
      </c>
      <c r="Q4670" s="33" t="str">
        <f t="shared" si="510"/>
        <v/>
      </c>
    </row>
    <row r="4671" spans="2:17" ht="18" customHeight="1" x14ac:dyDescent="0.3">
      <c r="B4671" s="26"/>
      <c r="C4671" s="28"/>
      <c r="D4671" s="27"/>
      <c r="E4671" s="29"/>
      <c r="F4671" s="29"/>
      <c r="G4671" s="29"/>
      <c r="H4671" s="30" t="str">
        <f t="shared" si="504"/>
        <v/>
      </c>
      <c r="I4671" s="31" t="str">
        <f>IF(OR(B4671="",C4671=""),"",IFERROR(E4671*IF(E4671="",0,VLOOKUP(C4671,'📦 Precios Proforma'!$B$5:$D$104,IF(D4671="DIA",2,3),FALSE)),0))</f>
        <v/>
      </c>
      <c r="J4671" s="31" t="str">
        <f t="shared" si="505"/>
        <v/>
      </c>
      <c r="K4671" s="31" t="str">
        <f t="shared" si="506"/>
        <v/>
      </c>
      <c r="L4671" s="31" t="str">
        <f>IF(OR(B4671="",C4671=""),"",IFERROR(E4671 / SUMIFS('📅 Resumen Diario'!$D$5:$D$504, '📅 Resumen Diario'!$B$5:$B$504, B4671, '📅 Resumen Diario'!$C$5:$C$504, D4671) * SUMIFS('📅 Resumen Diario'!$K$5:$K$504, '📅 Resumen Diario'!$B$5:$B$504, B4671, '📅 Resumen Diario'!$C$5:$C$504, D4671), 0))</f>
        <v/>
      </c>
      <c r="M4671" s="31" t="str">
        <f t="shared" si="507"/>
        <v/>
      </c>
      <c r="N4671" s="31" t="str">
        <f t="shared" si="508"/>
        <v/>
      </c>
      <c r="O4671" s="31" t="str">
        <f>IF(OR(B4671="",C4671=""),"",K4671-N4671 + IFERROR(E4671 / SUMIFS('📅 Resumen Diario'!$D$5:$D$504, '📅 Resumen Diario'!$B$5:$B$504, B4671, '📅 Resumen Diario'!$C$5:$C$504, D4671) * (SUMIFS('📋 Detalle Diario'!$E$5:$E$489, '📋 Detalle Diario'!$B$5:$B$489, B4671, '📋 Detalle Diario'!$C$5:$C$489, D4671) * 135 + SUMIFS('📋 Detalle Diario'!$I$5:$I$489, '📋 Detalle Diario'!$B$5:$B$489, B4671, '📋 Detalle Diario'!$C$5:$C$489, D4671) * 200), 0))</f>
        <v/>
      </c>
      <c r="P4671" s="32" t="str">
        <f t="shared" si="509"/>
        <v/>
      </c>
      <c r="Q4671" s="33" t="str">
        <f t="shared" si="510"/>
        <v/>
      </c>
    </row>
    <row r="4672" spans="2:17" ht="18" customHeight="1" x14ac:dyDescent="0.3">
      <c r="B4672" s="26"/>
      <c r="C4672" s="17"/>
      <c r="D4672" s="27"/>
      <c r="E4672" s="18"/>
      <c r="F4672" s="18"/>
      <c r="G4672" s="18"/>
      <c r="H4672" s="30" t="str">
        <f t="shared" si="504"/>
        <v/>
      </c>
      <c r="I4672" s="31" t="str">
        <f>IF(OR(B4672="",C4672=""),"",IFERROR(E4672*IF(E4672="",0,VLOOKUP(C4672,'📦 Precios Proforma'!$B$5:$D$104,IF(D4672="DIA",2,3),FALSE)),0))</f>
        <v/>
      </c>
      <c r="J4672" s="31" t="str">
        <f t="shared" si="505"/>
        <v/>
      </c>
      <c r="K4672" s="31" t="str">
        <f t="shared" si="506"/>
        <v/>
      </c>
      <c r="L4672" s="31" t="str">
        <f>IF(OR(B4672="",C4672=""),"",IFERROR(E4672 / SUMIFS('📅 Resumen Diario'!$D$5:$D$504, '📅 Resumen Diario'!$B$5:$B$504, B4672, '📅 Resumen Diario'!$C$5:$C$504, D4672) * SUMIFS('📅 Resumen Diario'!$K$5:$K$504, '📅 Resumen Diario'!$B$5:$B$504, B4672, '📅 Resumen Diario'!$C$5:$C$504, D4672), 0))</f>
        <v/>
      </c>
      <c r="M4672" s="31" t="str">
        <f t="shared" si="507"/>
        <v/>
      </c>
      <c r="N4672" s="31" t="str">
        <f t="shared" si="508"/>
        <v/>
      </c>
      <c r="O4672" s="31" t="str">
        <f>IF(OR(B4672="",C4672=""),"",K4672-N4672 + IFERROR(E4672 / SUMIFS('📅 Resumen Diario'!$D$5:$D$504, '📅 Resumen Diario'!$B$5:$B$504, B4672, '📅 Resumen Diario'!$C$5:$C$504, D4672) * (SUMIFS('📋 Detalle Diario'!$E$5:$E$489, '📋 Detalle Diario'!$B$5:$B$489, B4672, '📋 Detalle Diario'!$C$5:$C$489, D4672) * 135 + SUMIFS('📋 Detalle Diario'!$I$5:$I$489, '📋 Detalle Diario'!$B$5:$B$489, B4672, '📋 Detalle Diario'!$C$5:$C$489, D4672) * 200), 0))</f>
        <v/>
      </c>
      <c r="P4672" s="32" t="str">
        <f t="shared" si="509"/>
        <v/>
      </c>
      <c r="Q4672" s="33" t="str">
        <f t="shared" si="510"/>
        <v/>
      </c>
    </row>
    <row r="4673" spans="2:17" ht="18" customHeight="1" x14ac:dyDescent="0.3">
      <c r="B4673" s="26"/>
      <c r="C4673" s="28"/>
      <c r="D4673" s="27"/>
      <c r="E4673" s="29"/>
      <c r="F4673" s="29"/>
      <c r="G4673" s="29"/>
      <c r="H4673" s="30" t="str">
        <f t="shared" si="504"/>
        <v/>
      </c>
      <c r="I4673" s="31" t="str">
        <f>IF(OR(B4673="",C4673=""),"",IFERROR(E4673*IF(E4673="",0,VLOOKUP(C4673,'📦 Precios Proforma'!$B$5:$D$104,IF(D4673="DIA",2,3),FALSE)),0))</f>
        <v/>
      </c>
      <c r="J4673" s="31" t="str">
        <f t="shared" si="505"/>
        <v/>
      </c>
      <c r="K4673" s="31" t="str">
        <f t="shared" si="506"/>
        <v/>
      </c>
      <c r="L4673" s="31" t="str">
        <f>IF(OR(B4673="",C4673=""),"",IFERROR(E4673 / SUMIFS('📅 Resumen Diario'!$D$5:$D$504, '📅 Resumen Diario'!$B$5:$B$504, B4673, '📅 Resumen Diario'!$C$5:$C$504, D4673) * SUMIFS('📅 Resumen Diario'!$K$5:$K$504, '📅 Resumen Diario'!$B$5:$B$504, B4673, '📅 Resumen Diario'!$C$5:$C$504, D4673), 0))</f>
        <v/>
      </c>
      <c r="M4673" s="31" t="str">
        <f t="shared" si="507"/>
        <v/>
      </c>
      <c r="N4673" s="31" t="str">
        <f t="shared" si="508"/>
        <v/>
      </c>
      <c r="O4673" s="31" t="str">
        <f>IF(OR(B4673="",C4673=""),"",K4673-N4673 + IFERROR(E4673 / SUMIFS('📅 Resumen Diario'!$D$5:$D$504, '📅 Resumen Diario'!$B$5:$B$504, B4673, '📅 Resumen Diario'!$C$5:$C$504, D4673) * (SUMIFS('📋 Detalle Diario'!$E$5:$E$489, '📋 Detalle Diario'!$B$5:$B$489, B4673, '📋 Detalle Diario'!$C$5:$C$489, D4673) * 135 + SUMIFS('📋 Detalle Diario'!$I$5:$I$489, '📋 Detalle Diario'!$B$5:$B$489, B4673, '📋 Detalle Diario'!$C$5:$C$489, D4673) * 200), 0))</f>
        <v/>
      </c>
      <c r="P4673" s="32" t="str">
        <f t="shared" si="509"/>
        <v/>
      </c>
      <c r="Q4673" s="33" t="str">
        <f t="shared" si="510"/>
        <v/>
      </c>
    </row>
    <row r="4674" spans="2:17" ht="18" customHeight="1" x14ac:dyDescent="0.3">
      <c r="B4674" s="26"/>
      <c r="C4674" s="17"/>
      <c r="D4674" s="27"/>
      <c r="E4674" s="18"/>
      <c r="F4674" s="18"/>
      <c r="G4674" s="18"/>
      <c r="H4674" s="30" t="str">
        <f t="shared" si="504"/>
        <v/>
      </c>
      <c r="I4674" s="31" t="str">
        <f>IF(OR(B4674="",C4674=""),"",IFERROR(E4674*IF(E4674="",0,VLOOKUP(C4674,'📦 Precios Proforma'!$B$5:$D$104,IF(D4674="DIA",2,3),FALSE)),0))</f>
        <v/>
      </c>
      <c r="J4674" s="31" t="str">
        <f t="shared" si="505"/>
        <v/>
      </c>
      <c r="K4674" s="31" t="str">
        <f t="shared" si="506"/>
        <v/>
      </c>
      <c r="L4674" s="31" t="str">
        <f>IF(OR(B4674="",C4674=""),"",IFERROR(E4674 / SUMIFS('📅 Resumen Diario'!$D$5:$D$504, '📅 Resumen Diario'!$B$5:$B$504, B4674, '📅 Resumen Diario'!$C$5:$C$504, D4674) * SUMIFS('📅 Resumen Diario'!$K$5:$K$504, '📅 Resumen Diario'!$B$5:$B$504, B4674, '📅 Resumen Diario'!$C$5:$C$504, D4674), 0))</f>
        <v/>
      </c>
      <c r="M4674" s="31" t="str">
        <f t="shared" si="507"/>
        <v/>
      </c>
      <c r="N4674" s="31" t="str">
        <f t="shared" si="508"/>
        <v/>
      </c>
      <c r="O4674" s="31" t="str">
        <f>IF(OR(B4674="",C4674=""),"",K4674-N4674 + IFERROR(E4674 / SUMIFS('📅 Resumen Diario'!$D$5:$D$504, '📅 Resumen Diario'!$B$5:$B$504, B4674, '📅 Resumen Diario'!$C$5:$C$504, D4674) * (SUMIFS('📋 Detalle Diario'!$E$5:$E$489, '📋 Detalle Diario'!$B$5:$B$489, B4674, '📋 Detalle Diario'!$C$5:$C$489, D4674) * 135 + SUMIFS('📋 Detalle Diario'!$I$5:$I$489, '📋 Detalle Diario'!$B$5:$B$489, B4674, '📋 Detalle Diario'!$C$5:$C$489, D4674) * 200), 0))</f>
        <v/>
      </c>
      <c r="P4674" s="32" t="str">
        <f t="shared" si="509"/>
        <v/>
      </c>
      <c r="Q4674" s="33" t="str">
        <f t="shared" si="510"/>
        <v/>
      </c>
    </row>
    <row r="4675" spans="2:17" ht="18" customHeight="1" x14ac:dyDescent="0.3">
      <c r="B4675" s="26"/>
      <c r="C4675" s="28"/>
      <c r="D4675" s="27"/>
      <c r="E4675" s="29"/>
      <c r="F4675" s="29"/>
      <c r="G4675" s="29"/>
      <c r="H4675" s="30" t="str">
        <f t="shared" si="504"/>
        <v/>
      </c>
      <c r="I4675" s="31" t="str">
        <f>IF(OR(B4675="",C4675=""),"",IFERROR(E4675*IF(E4675="",0,VLOOKUP(C4675,'📦 Precios Proforma'!$B$5:$D$104,IF(D4675="DIA",2,3),FALSE)),0))</f>
        <v/>
      </c>
      <c r="J4675" s="31" t="str">
        <f t="shared" si="505"/>
        <v/>
      </c>
      <c r="K4675" s="31" t="str">
        <f t="shared" si="506"/>
        <v/>
      </c>
      <c r="L4675" s="31" t="str">
        <f>IF(OR(B4675="",C4675=""),"",IFERROR(E4675 / SUMIFS('📅 Resumen Diario'!$D$5:$D$504, '📅 Resumen Diario'!$B$5:$B$504, B4675, '📅 Resumen Diario'!$C$5:$C$504, D4675) * SUMIFS('📅 Resumen Diario'!$K$5:$K$504, '📅 Resumen Diario'!$B$5:$B$504, B4675, '📅 Resumen Diario'!$C$5:$C$504, D4675), 0))</f>
        <v/>
      </c>
      <c r="M4675" s="31" t="str">
        <f t="shared" si="507"/>
        <v/>
      </c>
      <c r="N4675" s="31" t="str">
        <f t="shared" si="508"/>
        <v/>
      </c>
      <c r="O4675" s="31" t="str">
        <f>IF(OR(B4675="",C4675=""),"",K4675-N4675 + IFERROR(E4675 / SUMIFS('📅 Resumen Diario'!$D$5:$D$504, '📅 Resumen Diario'!$B$5:$B$504, B4675, '📅 Resumen Diario'!$C$5:$C$504, D4675) * (SUMIFS('📋 Detalle Diario'!$E$5:$E$489, '📋 Detalle Diario'!$B$5:$B$489, B4675, '📋 Detalle Diario'!$C$5:$C$489, D4675) * 135 + SUMIFS('📋 Detalle Diario'!$I$5:$I$489, '📋 Detalle Diario'!$B$5:$B$489, B4675, '📋 Detalle Diario'!$C$5:$C$489, D4675) * 200), 0))</f>
        <v/>
      </c>
      <c r="P4675" s="32" t="str">
        <f t="shared" si="509"/>
        <v/>
      </c>
      <c r="Q4675" s="33" t="str">
        <f t="shared" si="510"/>
        <v/>
      </c>
    </row>
    <row r="4676" spans="2:17" ht="18" customHeight="1" x14ac:dyDescent="0.3">
      <c r="B4676" s="26"/>
      <c r="C4676" s="17"/>
      <c r="D4676" s="27"/>
      <c r="E4676" s="18"/>
      <c r="F4676" s="18"/>
      <c r="G4676" s="18"/>
      <c r="H4676" s="30" t="str">
        <f t="shared" si="504"/>
        <v/>
      </c>
      <c r="I4676" s="31" t="str">
        <f>IF(OR(B4676="",C4676=""),"",IFERROR(E4676*IF(E4676="",0,VLOOKUP(C4676,'📦 Precios Proforma'!$B$5:$D$104,IF(D4676="DIA",2,3),FALSE)),0))</f>
        <v/>
      </c>
      <c r="J4676" s="31" t="str">
        <f t="shared" si="505"/>
        <v/>
      </c>
      <c r="K4676" s="31" t="str">
        <f t="shared" si="506"/>
        <v/>
      </c>
      <c r="L4676" s="31" t="str">
        <f>IF(OR(B4676="",C4676=""),"",IFERROR(E4676 / SUMIFS('📅 Resumen Diario'!$D$5:$D$504, '📅 Resumen Diario'!$B$5:$B$504, B4676, '📅 Resumen Diario'!$C$5:$C$504, D4676) * SUMIFS('📅 Resumen Diario'!$K$5:$K$504, '📅 Resumen Diario'!$B$5:$B$504, B4676, '📅 Resumen Diario'!$C$5:$C$504, D4676), 0))</f>
        <v/>
      </c>
      <c r="M4676" s="31" t="str">
        <f t="shared" si="507"/>
        <v/>
      </c>
      <c r="N4676" s="31" t="str">
        <f t="shared" si="508"/>
        <v/>
      </c>
      <c r="O4676" s="31" t="str">
        <f>IF(OR(B4676="",C4676=""),"",K4676-N4676 + IFERROR(E4676 / SUMIFS('📅 Resumen Diario'!$D$5:$D$504, '📅 Resumen Diario'!$B$5:$B$504, B4676, '📅 Resumen Diario'!$C$5:$C$504, D4676) * (SUMIFS('📋 Detalle Diario'!$E$5:$E$489, '📋 Detalle Diario'!$B$5:$B$489, B4676, '📋 Detalle Diario'!$C$5:$C$489, D4676) * 135 + SUMIFS('📋 Detalle Diario'!$I$5:$I$489, '📋 Detalle Diario'!$B$5:$B$489, B4676, '📋 Detalle Diario'!$C$5:$C$489, D4676) * 200), 0))</f>
        <v/>
      </c>
      <c r="P4676" s="32" t="str">
        <f t="shared" si="509"/>
        <v/>
      </c>
      <c r="Q4676" s="33" t="str">
        <f t="shared" si="510"/>
        <v/>
      </c>
    </row>
    <row r="4677" spans="2:17" ht="18" customHeight="1" x14ac:dyDescent="0.3">
      <c r="B4677" s="26"/>
      <c r="C4677" s="28"/>
      <c r="D4677" s="27"/>
      <c r="E4677" s="29"/>
      <c r="F4677" s="29"/>
      <c r="G4677" s="29"/>
      <c r="H4677" s="30" t="str">
        <f t="shared" si="504"/>
        <v/>
      </c>
      <c r="I4677" s="31" t="str">
        <f>IF(OR(B4677="",C4677=""),"",IFERROR(E4677*IF(E4677="",0,VLOOKUP(C4677,'📦 Precios Proforma'!$B$5:$D$104,IF(D4677="DIA",2,3),FALSE)),0))</f>
        <v/>
      </c>
      <c r="J4677" s="31" t="str">
        <f t="shared" si="505"/>
        <v/>
      </c>
      <c r="K4677" s="31" t="str">
        <f t="shared" si="506"/>
        <v/>
      </c>
      <c r="L4677" s="31" t="str">
        <f>IF(OR(B4677="",C4677=""),"",IFERROR(E4677 / SUMIFS('📅 Resumen Diario'!$D$5:$D$504, '📅 Resumen Diario'!$B$5:$B$504, B4677, '📅 Resumen Diario'!$C$5:$C$504, D4677) * SUMIFS('📅 Resumen Diario'!$K$5:$K$504, '📅 Resumen Diario'!$B$5:$B$504, B4677, '📅 Resumen Diario'!$C$5:$C$504, D4677), 0))</f>
        <v/>
      </c>
      <c r="M4677" s="31" t="str">
        <f t="shared" si="507"/>
        <v/>
      </c>
      <c r="N4677" s="31" t="str">
        <f t="shared" si="508"/>
        <v/>
      </c>
      <c r="O4677" s="31" t="str">
        <f>IF(OR(B4677="",C4677=""),"",K4677-N4677 + IFERROR(E4677 / SUMIFS('📅 Resumen Diario'!$D$5:$D$504, '📅 Resumen Diario'!$B$5:$B$504, B4677, '📅 Resumen Diario'!$C$5:$C$504, D4677) * (SUMIFS('📋 Detalle Diario'!$E$5:$E$489, '📋 Detalle Diario'!$B$5:$B$489, B4677, '📋 Detalle Diario'!$C$5:$C$489, D4677) * 135 + SUMIFS('📋 Detalle Diario'!$I$5:$I$489, '📋 Detalle Diario'!$B$5:$B$489, B4677, '📋 Detalle Diario'!$C$5:$C$489, D4677) * 200), 0))</f>
        <v/>
      </c>
      <c r="P4677" s="32" t="str">
        <f t="shared" si="509"/>
        <v/>
      </c>
      <c r="Q4677" s="33" t="str">
        <f t="shared" si="510"/>
        <v/>
      </c>
    </row>
    <row r="4678" spans="2:17" ht="18" customHeight="1" x14ac:dyDescent="0.3">
      <c r="B4678" s="26"/>
      <c r="C4678" s="17"/>
      <c r="D4678" s="27"/>
      <c r="E4678" s="18"/>
      <c r="F4678" s="18"/>
      <c r="G4678" s="18"/>
      <c r="H4678" s="30" t="str">
        <f t="shared" si="504"/>
        <v/>
      </c>
      <c r="I4678" s="31" t="str">
        <f>IF(OR(B4678="",C4678=""),"",IFERROR(E4678*IF(E4678="",0,VLOOKUP(C4678,'📦 Precios Proforma'!$B$5:$D$104,IF(D4678="DIA",2,3),FALSE)),0))</f>
        <v/>
      </c>
      <c r="J4678" s="31" t="str">
        <f t="shared" si="505"/>
        <v/>
      </c>
      <c r="K4678" s="31" t="str">
        <f t="shared" si="506"/>
        <v/>
      </c>
      <c r="L4678" s="31" t="str">
        <f>IF(OR(B4678="",C4678=""),"",IFERROR(E4678 / SUMIFS('📅 Resumen Diario'!$D$5:$D$504, '📅 Resumen Diario'!$B$5:$B$504, B4678, '📅 Resumen Diario'!$C$5:$C$504, D4678) * SUMIFS('📅 Resumen Diario'!$K$5:$K$504, '📅 Resumen Diario'!$B$5:$B$504, B4678, '📅 Resumen Diario'!$C$5:$C$504, D4678), 0))</f>
        <v/>
      </c>
      <c r="M4678" s="31" t="str">
        <f t="shared" si="507"/>
        <v/>
      </c>
      <c r="N4678" s="31" t="str">
        <f t="shared" si="508"/>
        <v/>
      </c>
      <c r="O4678" s="31" t="str">
        <f>IF(OR(B4678="",C4678=""),"",K4678-N4678 + IFERROR(E4678 / SUMIFS('📅 Resumen Diario'!$D$5:$D$504, '📅 Resumen Diario'!$B$5:$B$504, B4678, '📅 Resumen Diario'!$C$5:$C$504, D4678) * (SUMIFS('📋 Detalle Diario'!$E$5:$E$489, '📋 Detalle Diario'!$B$5:$B$489, B4678, '📋 Detalle Diario'!$C$5:$C$489, D4678) * 135 + SUMIFS('📋 Detalle Diario'!$I$5:$I$489, '📋 Detalle Diario'!$B$5:$B$489, B4678, '📋 Detalle Diario'!$C$5:$C$489, D4678) * 200), 0))</f>
        <v/>
      </c>
      <c r="P4678" s="32" t="str">
        <f t="shared" si="509"/>
        <v/>
      </c>
      <c r="Q4678" s="33" t="str">
        <f t="shared" si="510"/>
        <v/>
      </c>
    </row>
    <row r="4679" spans="2:17" ht="18" customHeight="1" x14ac:dyDescent="0.3">
      <c r="B4679" s="26"/>
      <c r="C4679" s="28"/>
      <c r="D4679" s="27"/>
      <c r="E4679" s="29"/>
      <c r="F4679" s="29"/>
      <c r="G4679" s="29"/>
      <c r="H4679" s="30" t="str">
        <f t="shared" ref="H4679:H4742" si="511">IF(OR(B4679="",C4679=""),"",F4679+G4679)</f>
        <v/>
      </c>
      <c r="I4679" s="31" t="str">
        <f>IF(OR(B4679="",C4679=""),"",IFERROR(E4679*IF(E4679="",0,VLOOKUP(C4679,'📦 Precios Proforma'!$B$5:$D$104,IF(D4679="DIA",2,3),FALSE)),0))</f>
        <v/>
      </c>
      <c r="J4679" s="31" t="str">
        <f t="shared" ref="J4679:J4742" si="512">IF(OR(B4679="",C4679=""),"",IF(D4679="DIA",H4679*1.01,H4679*1.35))</f>
        <v/>
      </c>
      <c r="K4679" s="31" t="str">
        <f t="shared" ref="K4679:K4742" si="513">IF(OR(B4679="",C4679=""),"",I4679+J4679)</f>
        <v/>
      </c>
      <c r="L4679" s="31" t="str">
        <f>IF(OR(B4679="",C4679=""),"",IFERROR(E4679 / SUMIFS('📅 Resumen Diario'!$D$5:$D$504, '📅 Resumen Diario'!$B$5:$B$504, B4679, '📅 Resumen Diario'!$C$5:$C$504, D4679) * SUMIFS('📅 Resumen Diario'!$K$5:$K$504, '📅 Resumen Diario'!$B$5:$B$504, B4679, '📅 Resumen Diario'!$C$5:$C$504, D4679), 0))</f>
        <v/>
      </c>
      <c r="M4679" s="31" t="str">
        <f t="shared" ref="M4679:M4742" si="514">IF(OR(B4679="",C4679=""),"",H4679*0.09)</f>
        <v/>
      </c>
      <c r="N4679" s="31" t="str">
        <f t="shared" ref="N4679:N4742" si="515">IF(OR(B4679="",C4679=""),"",L4679+M4679)</f>
        <v/>
      </c>
      <c r="O4679" s="31" t="str">
        <f>IF(OR(B4679="",C4679=""),"",K4679-N4679 + IFERROR(E4679 / SUMIFS('📅 Resumen Diario'!$D$5:$D$504, '📅 Resumen Diario'!$B$5:$B$504, B4679, '📅 Resumen Diario'!$C$5:$C$504, D4679) * (SUMIFS('📋 Detalle Diario'!$E$5:$E$489, '📋 Detalle Diario'!$B$5:$B$489, B4679, '📋 Detalle Diario'!$C$5:$C$489, D4679) * 135 + SUMIFS('📋 Detalle Diario'!$I$5:$I$489, '📋 Detalle Diario'!$B$5:$B$489, B4679, '📋 Detalle Diario'!$C$5:$C$489, D4679) * 200), 0))</f>
        <v/>
      </c>
      <c r="P4679" s="32" t="str">
        <f t="shared" ref="P4679:P4742" si="516">IF(OR(B4679="",C4679=""),"",IF(K4679=0, 0, O4679/K4679))</f>
        <v/>
      </c>
      <c r="Q4679" s="33" t="str">
        <f t="shared" ref="Q4679:Q4742" si="517">IF(B4679="","",IF(ISNUMBER(B4679),YEAR(B4679)&amp;"-"&amp;IF(MONTH(B4679)&lt;10,"0","")&amp;MONTH(B4679),LEFT(B4679,7)))</f>
        <v/>
      </c>
    </row>
    <row r="4680" spans="2:17" ht="18" customHeight="1" x14ac:dyDescent="0.3">
      <c r="B4680" s="26"/>
      <c r="C4680" s="17"/>
      <c r="D4680" s="27"/>
      <c r="E4680" s="18"/>
      <c r="F4680" s="18"/>
      <c r="G4680" s="18"/>
      <c r="H4680" s="30" t="str">
        <f t="shared" si="511"/>
        <v/>
      </c>
      <c r="I4680" s="31" t="str">
        <f>IF(OR(B4680="",C4680=""),"",IFERROR(E4680*IF(E4680="",0,VLOOKUP(C4680,'📦 Precios Proforma'!$B$5:$D$104,IF(D4680="DIA",2,3),FALSE)),0))</f>
        <v/>
      </c>
      <c r="J4680" s="31" t="str">
        <f t="shared" si="512"/>
        <v/>
      </c>
      <c r="K4680" s="31" t="str">
        <f t="shared" si="513"/>
        <v/>
      </c>
      <c r="L4680" s="31" t="str">
        <f>IF(OR(B4680="",C4680=""),"",IFERROR(E4680 / SUMIFS('📅 Resumen Diario'!$D$5:$D$504, '📅 Resumen Diario'!$B$5:$B$504, B4680, '📅 Resumen Diario'!$C$5:$C$504, D4680) * SUMIFS('📅 Resumen Diario'!$K$5:$K$504, '📅 Resumen Diario'!$B$5:$B$504, B4680, '📅 Resumen Diario'!$C$5:$C$504, D4680), 0))</f>
        <v/>
      </c>
      <c r="M4680" s="31" t="str">
        <f t="shared" si="514"/>
        <v/>
      </c>
      <c r="N4680" s="31" t="str">
        <f t="shared" si="515"/>
        <v/>
      </c>
      <c r="O4680" s="31" t="str">
        <f>IF(OR(B4680="",C4680=""),"",K4680-N4680 + IFERROR(E4680 / SUMIFS('📅 Resumen Diario'!$D$5:$D$504, '📅 Resumen Diario'!$B$5:$B$504, B4680, '📅 Resumen Diario'!$C$5:$C$504, D4680) * (SUMIFS('📋 Detalle Diario'!$E$5:$E$489, '📋 Detalle Diario'!$B$5:$B$489, B4680, '📋 Detalle Diario'!$C$5:$C$489, D4680) * 135 + SUMIFS('📋 Detalle Diario'!$I$5:$I$489, '📋 Detalle Diario'!$B$5:$B$489, B4680, '📋 Detalle Diario'!$C$5:$C$489, D4680) * 200), 0))</f>
        <v/>
      </c>
      <c r="P4680" s="32" t="str">
        <f t="shared" si="516"/>
        <v/>
      </c>
      <c r="Q4680" s="33" t="str">
        <f t="shared" si="517"/>
        <v/>
      </c>
    </row>
    <row r="4681" spans="2:17" ht="18" customHeight="1" x14ac:dyDescent="0.3">
      <c r="B4681" s="26"/>
      <c r="C4681" s="28"/>
      <c r="D4681" s="27"/>
      <c r="E4681" s="29"/>
      <c r="F4681" s="29"/>
      <c r="G4681" s="29"/>
      <c r="H4681" s="30" t="str">
        <f t="shared" si="511"/>
        <v/>
      </c>
      <c r="I4681" s="31" t="str">
        <f>IF(OR(B4681="",C4681=""),"",IFERROR(E4681*IF(E4681="",0,VLOOKUP(C4681,'📦 Precios Proforma'!$B$5:$D$104,IF(D4681="DIA",2,3),FALSE)),0))</f>
        <v/>
      </c>
      <c r="J4681" s="31" t="str">
        <f t="shared" si="512"/>
        <v/>
      </c>
      <c r="K4681" s="31" t="str">
        <f t="shared" si="513"/>
        <v/>
      </c>
      <c r="L4681" s="31" t="str">
        <f>IF(OR(B4681="",C4681=""),"",IFERROR(E4681 / SUMIFS('📅 Resumen Diario'!$D$5:$D$504, '📅 Resumen Diario'!$B$5:$B$504, B4681, '📅 Resumen Diario'!$C$5:$C$504, D4681) * SUMIFS('📅 Resumen Diario'!$K$5:$K$504, '📅 Resumen Diario'!$B$5:$B$504, B4681, '📅 Resumen Diario'!$C$5:$C$504, D4681), 0))</f>
        <v/>
      </c>
      <c r="M4681" s="31" t="str">
        <f t="shared" si="514"/>
        <v/>
      </c>
      <c r="N4681" s="31" t="str">
        <f t="shared" si="515"/>
        <v/>
      </c>
      <c r="O4681" s="31" t="str">
        <f>IF(OR(B4681="",C4681=""),"",K4681-N4681 + IFERROR(E4681 / SUMIFS('📅 Resumen Diario'!$D$5:$D$504, '📅 Resumen Diario'!$B$5:$B$504, B4681, '📅 Resumen Diario'!$C$5:$C$504, D4681) * (SUMIFS('📋 Detalle Diario'!$E$5:$E$489, '📋 Detalle Diario'!$B$5:$B$489, B4681, '📋 Detalle Diario'!$C$5:$C$489, D4681) * 135 + SUMIFS('📋 Detalle Diario'!$I$5:$I$489, '📋 Detalle Diario'!$B$5:$B$489, B4681, '📋 Detalle Diario'!$C$5:$C$489, D4681) * 200), 0))</f>
        <v/>
      </c>
      <c r="P4681" s="32" t="str">
        <f t="shared" si="516"/>
        <v/>
      </c>
      <c r="Q4681" s="33" t="str">
        <f t="shared" si="517"/>
        <v/>
      </c>
    </row>
    <row r="4682" spans="2:17" ht="18" customHeight="1" x14ac:dyDescent="0.3">
      <c r="B4682" s="26"/>
      <c r="C4682" s="17"/>
      <c r="D4682" s="27"/>
      <c r="E4682" s="18"/>
      <c r="F4682" s="18"/>
      <c r="G4682" s="18"/>
      <c r="H4682" s="30" t="str">
        <f t="shared" si="511"/>
        <v/>
      </c>
      <c r="I4682" s="31" t="str">
        <f>IF(OR(B4682="",C4682=""),"",IFERROR(E4682*IF(E4682="",0,VLOOKUP(C4682,'📦 Precios Proforma'!$B$5:$D$104,IF(D4682="DIA",2,3),FALSE)),0))</f>
        <v/>
      </c>
      <c r="J4682" s="31" t="str">
        <f t="shared" si="512"/>
        <v/>
      </c>
      <c r="K4682" s="31" t="str">
        <f t="shared" si="513"/>
        <v/>
      </c>
      <c r="L4682" s="31" t="str">
        <f>IF(OR(B4682="",C4682=""),"",IFERROR(E4682 / SUMIFS('📅 Resumen Diario'!$D$5:$D$504, '📅 Resumen Diario'!$B$5:$B$504, B4682, '📅 Resumen Diario'!$C$5:$C$504, D4682) * SUMIFS('📅 Resumen Diario'!$K$5:$K$504, '📅 Resumen Diario'!$B$5:$B$504, B4682, '📅 Resumen Diario'!$C$5:$C$504, D4682), 0))</f>
        <v/>
      </c>
      <c r="M4682" s="31" t="str">
        <f t="shared" si="514"/>
        <v/>
      </c>
      <c r="N4682" s="31" t="str">
        <f t="shared" si="515"/>
        <v/>
      </c>
      <c r="O4682" s="31" t="str">
        <f>IF(OR(B4682="",C4682=""),"",K4682-N4682 + IFERROR(E4682 / SUMIFS('📅 Resumen Diario'!$D$5:$D$504, '📅 Resumen Diario'!$B$5:$B$504, B4682, '📅 Resumen Diario'!$C$5:$C$504, D4682) * (SUMIFS('📋 Detalle Diario'!$E$5:$E$489, '📋 Detalle Diario'!$B$5:$B$489, B4682, '📋 Detalle Diario'!$C$5:$C$489, D4682) * 135 + SUMIFS('📋 Detalle Diario'!$I$5:$I$489, '📋 Detalle Diario'!$B$5:$B$489, B4682, '📋 Detalle Diario'!$C$5:$C$489, D4682) * 200), 0))</f>
        <v/>
      </c>
      <c r="P4682" s="32" t="str">
        <f t="shared" si="516"/>
        <v/>
      </c>
      <c r="Q4682" s="33" t="str">
        <f t="shared" si="517"/>
        <v/>
      </c>
    </row>
    <row r="4683" spans="2:17" ht="18" customHeight="1" x14ac:dyDescent="0.3">
      <c r="B4683" s="26"/>
      <c r="C4683" s="28"/>
      <c r="D4683" s="27"/>
      <c r="E4683" s="29"/>
      <c r="F4683" s="29"/>
      <c r="G4683" s="29"/>
      <c r="H4683" s="30" t="str">
        <f t="shared" si="511"/>
        <v/>
      </c>
      <c r="I4683" s="31" t="str">
        <f>IF(OR(B4683="",C4683=""),"",IFERROR(E4683*IF(E4683="",0,VLOOKUP(C4683,'📦 Precios Proforma'!$B$5:$D$104,IF(D4683="DIA",2,3),FALSE)),0))</f>
        <v/>
      </c>
      <c r="J4683" s="31" t="str">
        <f t="shared" si="512"/>
        <v/>
      </c>
      <c r="K4683" s="31" t="str">
        <f t="shared" si="513"/>
        <v/>
      </c>
      <c r="L4683" s="31" t="str">
        <f>IF(OR(B4683="",C4683=""),"",IFERROR(E4683 / SUMIFS('📅 Resumen Diario'!$D$5:$D$504, '📅 Resumen Diario'!$B$5:$B$504, B4683, '📅 Resumen Diario'!$C$5:$C$504, D4683) * SUMIFS('📅 Resumen Diario'!$K$5:$K$504, '📅 Resumen Diario'!$B$5:$B$504, B4683, '📅 Resumen Diario'!$C$5:$C$504, D4683), 0))</f>
        <v/>
      </c>
      <c r="M4683" s="31" t="str">
        <f t="shared" si="514"/>
        <v/>
      </c>
      <c r="N4683" s="31" t="str">
        <f t="shared" si="515"/>
        <v/>
      </c>
      <c r="O4683" s="31" t="str">
        <f>IF(OR(B4683="",C4683=""),"",K4683-N4683 + IFERROR(E4683 / SUMIFS('📅 Resumen Diario'!$D$5:$D$504, '📅 Resumen Diario'!$B$5:$B$504, B4683, '📅 Resumen Diario'!$C$5:$C$504, D4683) * (SUMIFS('📋 Detalle Diario'!$E$5:$E$489, '📋 Detalle Diario'!$B$5:$B$489, B4683, '📋 Detalle Diario'!$C$5:$C$489, D4683) * 135 + SUMIFS('📋 Detalle Diario'!$I$5:$I$489, '📋 Detalle Diario'!$B$5:$B$489, B4683, '📋 Detalle Diario'!$C$5:$C$489, D4683) * 200), 0))</f>
        <v/>
      </c>
      <c r="P4683" s="32" t="str">
        <f t="shared" si="516"/>
        <v/>
      </c>
      <c r="Q4683" s="33" t="str">
        <f t="shared" si="517"/>
        <v/>
      </c>
    </row>
    <row r="4684" spans="2:17" ht="18" customHeight="1" x14ac:dyDescent="0.3">
      <c r="B4684" s="26"/>
      <c r="C4684" s="17"/>
      <c r="D4684" s="27"/>
      <c r="E4684" s="18"/>
      <c r="F4684" s="18"/>
      <c r="G4684" s="18"/>
      <c r="H4684" s="30" t="str">
        <f t="shared" si="511"/>
        <v/>
      </c>
      <c r="I4684" s="31" t="str">
        <f>IF(OR(B4684="",C4684=""),"",IFERROR(E4684*IF(E4684="",0,VLOOKUP(C4684,'📦 Precios Proforma'!$B$5:$D$104,IF(D4684="DIA",2,3),FALSE)),0))</f>
        <v/>
      </c>
      <c r="J4684" s="31" t="str">
        <f t="shared" si="512"/>
        <v/>
      </c>
      <c r="K4684" s="31" t="str">
        <f t="shared" si="513"/>
        <v/>
      </c>
      <c r="L4684" s="31" t="str">
        <f>IF(OR(B4684="",C4684=""),"",IFERROR(E4684 / SUMIFS('📅 Resumen Diario'!$D$5:$D$504, '📅 Resumen Diario'!$B$5:$B$504, B4684, '📅 Resumen Diario'!$C$5:$C$504, D4684) * SUMIFS('📅 Resumen Diario'!$K$5:$K$504, '📅 Resumen Diario'!$B$5:$B$504, B4684, '📅 Resumen Diario'!$C$5:$C$504, D4684), 0))</f>
        <v/>
      </c>
      <c r="M4684" s="31" t="str">
        <f t="shared" si="514"/>
        <v/>
      </c>
      <c r="N4684" s="31" t="str">
        <f t="shared" si="515"/>
        <v/>
      </c>
      <c r="O4684" s="31" t="str">
        <f>IF(OR(B4684="",C4684=""),"",K4684-N4684 + IFERROR(E4684 / SUMIFS('📅 Resumen Diario'!$D$5:$D$504, '📅 Resumen Diario'!$B$5:$B$504, B4684, '📅 Resumen Diario'!$C$5:$C$504, D4684) * (SUMIFS('📋 Detalle Diario'!$E$5:$E$489, '📋 Detalle Diario'!$B$5:$B$489, B4684, '📋 Detalle Diario'!$C$5:$C$489, D4684) * 135 + SUMIFS('📋 Detalle Diario'!$I$5:$I$489, '📋 Detalle Diario'!$B$5:$B$489, B4684, '📋 Detalle Diario'!$C$5:$C$489, D4684) * 200), 0))</f>
        <v/>
      </c>
      <c r="P4684" s="32" t="str">
        <f t="shared" si="516"/>
        <v/>
      </c>
      <c r="Q4684" s="33" t="str">
        <f t="shared" si="517"/>
        <v/>
      </c>
    </row>
    <row r="4685" spans="2:17" ht="18" customHeight="1" x14ac:dyDescent="0.3">
      <c r="B4685" s="26"/>
      <c r="C4685" s="28"/>
      <c r="D4685" s="27"/>
      <c r="E4685" s="29"/>
      <c r="F4685" s="29"/>
      <c r="G4685" s="29"/>
      <c r="H4685" s="30" t="str">
        <f t="shared" si="511"/>
        <v/>
      </c>
      <c r="I4685" s="31" t="str">
        <f>IF(OR(B4685="",C4685=""),"",IFERROR(E4685*IF(E4685="",0,VLOOKUP(C4685,'📦 Precios Proforma'!$B$5:$D$104,IF(D4685="DIA",2,3),FALSE)),0))</f>
        <v/>
      </c>
      <c r="J4685" s="31" t="str">
        <f t="shared" si="512"/>
        <v/>
      </c>
      <c r="K4685" s="31" t="str">
        <f t="shared" si="513"/>
        <v/>
      </c>
      <c r="L4685" s="31" t="str">
        <f>IF(OR(B4685="",C4685=""),"",IFERROR(E4685 / SUMIFS('📅 Resumen Diario'!$D$5:$D$504, '📅 Resumen Diario'!$B$5:$B$504, B4685, '📅 Resumen Diario'!$C$5:$C$504, D4685) * SUMIFS('📅 Resumen Diario'!$K$5:$K$504, '📅 Resumen Diario'!$B$5:$B$504, B4685, '📅 Resumen Diario'!$C$5:$C$504, D4685), 0))</f>
        <v/>
      </c>
      <c r="M4685" s="31" t="str">
        <f t="shared" si="514"/>
        <v/>
      </c>
      <c r="N4685" s="31" t="str">
        <f t="shared" si="515"/>
        <v/>
      </c>
      <c r="O4685" s="31" t="str">
        <f>IF(OR(B4685="",C4685=""),"",K4685-N4685 + IFERROR(E4685 / SUMIFS('📅 Resumen Diario'!$D$5:$D$504, '📅 Resumen Diario'!$B$5:$B$504, B4685, '📅 Resumen Diario'!$C$5:$C$504, D4685) * (SUMIFS('📋 Detalle Diario'!$E$5:$E$489, '📋 Detalle Diario'!$B$5:$B$489, B4685, '📋 Detalle Diario'!$C$5:$C$489, D4685) * 135 + SUMIFS('📋 Detalle Diario'!$I$5:$I$489, '📋 Detalle Diario'!$B$5:$B$489, B4685, '📋 Detalle Diario'!$C$5:$C$489, D4685) * 200), 0))</f>
        <v/>
      </c>
      <c r="P4685" s="32" t="str">
        <f t="shared" si="516"/>
        <v/>
      </c>
      <c r="Q4685" s="33" t="str">
        <f t="shared" si="517"/>
        <v/>
      </c>
    </row>
    <row r="4686" spans="2:17" ht="18" customHeight="1" x14ac:dyDescent="0.3">
      <c r="B4686" s="26"/>
      <c r="C4686" s="17"/>
      <c r="D4686" s="27"/>
      <c r="E4686" s="18"/>
      <c r="F4686" s="18"/>
      <c r="G4686" s="18"/>
      <c r="H4686" s="30" t="str">
        <f t="shared" si="511"/>
        <v/>
      </c>
      <c r="I4686" s="31" t="str">
        <f>IF(OR(B4686="",C4686=""),"",IFERROR(E4686*IF(E4686="",0,VLOOKUP(C4686,'📦 Precios Proforma'!$B$5:$D$104,IF(D4686="DIA",2,3),FALSE)),0))</f>
        <v/>
      </c>
      <c r="J4686" s="31" t="str">
        <f t="shared" si="512"/>
        <v/>
      </c>
      <c r="K4686" s="31" t="str">
        <f t="shared" si="513"/>
        <v/>
      </c>
      <c r="L4686" s="31" t="str">
        <f>IF(OR(B4686="",C4686=""),"",IFERROR(E4686 / SUMIFS('📅 Resumen Diario'!$D$5:$D$504, '📅 Resumen Diario'!$B$5:$B$504, B4686, '📅 Resumen Diario'!$C$5:$C$504, D4686) * SUMIFS('📅 Resumen Diario'!$K$5:$K$504, '📅 Resumen Diario'!$B$5:$B$504, B4686, '📅 Resumen Diario'!$C$5:$C$504, D4686), 0))</f>
        <v/>
      </c>
      <c r="M4686" s="31" t="str">
        <f t="shared" si="514"/>
        <v/>
      </c>
      <c r="N4686" s="31" t="str">
        <f t="shared" si="515"/>
        <v/>
      </c>
      <c r="O4686" s="31" t="str">
        <f>IF(OR(B4686="",C4686=""),"",K4686-N4686 + IFERROR(E4686 / SUMIFS('📅 Resumen Diario'!$D$5:$D$504, '📅 Resumen Diario'!$B$5:$B$504, B4686, '📅 Resumen Diario'!$C$5:$C$504, D4686) * (SUMIFS('📋 Detalle Diario'!$E$5:$E$489, '📋 Detalle Diario'!$B$5:$B$489, B4686, '📋 Detalle Diario'!$C$5:$C$489, D4686) * 135 + SUMIFS('📋 Detalle Diario'!$I$5:$I$489, '📋 Detalle Diario'!$B$5:$B$489, B4686, '📋 Detalle Diario'!$C$5:$C$489, D4686) * 200), 0))</f>
        <v/>
      </c>
      <c r="P4686" s="32" t="str">
        <f t="shared" si="516"/>
        <v/>
      </c>
      <c r="Q4686" s="33" t="str">
        <f t="shared" si="517"/>
        <v/>
      </c>
    </row>
    <row r="4687" spans="2:17" ht="18" customHeight="1" x14ac:dyDescent="0.3">
      <c r="B4687" s="26"/>
      <c r="C4687" s="28"/>
      <c r="D4687" s="27"/>
      <c r="E4687" s="29"/>
      <c r="F4687" s="29"/>
      <c r="G4687" s="29"/>
      <c r="H4687" s="30" t="str">
        <f t="shared" si="511"/>
        <v/>
      </c>
      <c r="I4687" s="31" t="str">
        <f>IF(OR(B4687="",C4687=""),"",IFERROR(E4687*IF(E4687="",0,VLOOKUP(C4687,'📦 Precios Proforma'!$B$5:$D$104,IF(D4687="DIA",2,3),FALSE)),0))</f>
        <v/>
      </c>
      <c r="J4687" s="31" t="str">
        <f t="shared" si="512"/>
        <v/>
      </c>
      <c r="K4687" s="31" t="str">
        <f t="shared" si="513"/>
        <v/>
      </c>
      <c r="L4687" s="31" t="str">
        <f>IF(OR(B4687="",C4687=""),"",IFERROR(E4687 / SUMIFS('📅 Resumen Diario'!$D$5:$D$504, '📅 Resumen Diario'!$B$5:$B$504, B4687, '📅 Resumen Diario'!$C$5:$C$504, D4687) * SUMIFS('📅 Resumen Diario'!$K$5:$K$504, '📅 Resumen Diario'!$B$5:$B$504, B4687, '📅 Resumen Diario'!$C$5:$C$504, D4687), 0))</f>
        <v/>
      </c>
      <c r="M4687" s="31" t="str">
        <f t="shared" si="514"/>
        <v/>
      </c>
      <c r="N4687" s="31" t="str">
        <f t="shared" si="515"/>
        <v/>
      </c>
      <c r="O4687" s="31" t="str">
        <f>IF(OR(B4687="",C4687=""),"",K4687-N4687 + IFERROR(E4687 / SUMIFS('📅 Resumen Diario'!$D$5:$D$504, '📅 Resumen Diario'!$B$5:$B$504, B4687, '📅 Resumen Diario'!$C$5:$C$504, D4687) * (SUMIFS('📋 Detalle Diario'!$E$5:$E$489, '📋 Detalle Diario'!$B$5:$B$489, B4687, '📋 Detalle Diario'!$C$5:$C$489, D4687) * 135 + SUMIFS('📋 Detalle Diario'!$I$5:$I$489, '📋 Detalle Diario'!$B$5:$B$489, B4687, '📋 Detalle Diario'!$C$5:$C$489, D4687) * 200), 0))</f>
        <v/>
      </c>
      <c r="P4687" s="32" t="str">
        <f t="shared" si="516"/>
        <v/>
      </c>
      <c r="Q4687" s="33" t="str">
        <f t="shared" si="517"/>
        <v/>
      </c>
    </row>
    <row r="4688" spans="2:17" ht="18" customHeight="1" x14ac:dyDescent="0.3">
      <c r="B4688" s="26"/>
      <c r="C4688" s="17"/>
      <c r="D4688" s="27"/>
      <c r="E4688" s="18"/>
      <c r="F4688" s="18"/>
      <c r="G4688" s="18"/>
      <c r="H4688" s="30" t="str">
        <f t="shared" si="511"/>
        <v/>
      </c>
      <c r="I4688" s="31" t="str">
        <f>IF(OR(B4688="",C4688=""),"",IFERROR(E4688*IF(E4688="",0,VLOOKUP(C4688,'📦 Precios Proforma'!$B$5:$D$104,IF(D4688="DIA",2,3),FALSE)),0))</f>
        <v/>
      </c>
      <c r="J4688" s="31" t="str">
        <f t="shared" si="512"/>
        <v/>
      </c>
      <c r="K4688" s="31" t="str">
        <f t="shared" si="513"/>
        <v/>
      </c>
      <c r="L4688" s="31" t="str">
        <f>IF(OR(B4688="",C4688=""),"",IFERROR(E4688 / SUMIFS('📅 Resumen Diario'!$D$5:$D$504, '📅 Resumen Diario'!$B$5:$B$504, B4688, '📅 Resumen Diario'!$C$5:$C$504, D4688) * SUMIFS('📅 Resumen Diario'!$K$5:$K$504, '📅 Resumen Diario'!$B$5:$B$504, B4688, '📅 Resumen Diario'!$C$5:$C$504, D4688), 0))</f>
        <v/>
      </c>
      <c r="M4688" s="31" t="str">
        <f t="shared" si="514"/>
        <v/>
      </c>
      <c r="N4688" s="31" t="str">
        <f t="shared" si="515"/>
        <v/>
      </c>
      <c r="O4688" s="31" t="str">
        <f>IF(OR(B4688="",C4688=""),"",K4688-N4688 + IFERROR(E4688 / SUMIFS('📅 Resumen Diario'!$D$5:$D$504, '📅 Resumen Diario'!$B$5:$B$504, B4688, '📅 Resumen Diario'!$C$5:$C$504, D4688) * (SUMIFS('📋 Detalle Diario'!$E$5:$E$489, '📋 Detalle Diario'!$B$5:$B$489, B4688, '📋 Detalle Diario'!$C$5:$C$489, D4688) * 135 + SUMIFS('📋 Detalle Diario'!$I$5:$I$489, '📋 Detalle Diario'!$B$5:$B$489, B4688, '📋 Detalle Diario'!$C$5:$C$489, D4688) * 200), 0))</f>
        <v/>
      </c>
      <c r="P4688" s="32" t="str">
        <f t="shared" si="516"/>
        <v/>
      </c>
      <c r="Q4688" s="33" t="str">
        <f t="shared" si="517"/>
        <v/>
      </c>
    </row>
    <row r="4689" spans="2:17" ht="18" customHeight="1" x14ac:dyDescent="0.3">
      <c r="B4689" s="26"/>
      <c r="C4689" s="28"/>
      <c r="D4689" s="27"/>
      <c r="E4689" s="29"/>
      <c r="F4689" s="29"/>
      <c r="G4689" s="29"/>
      <c r="H4689" s="30" t="str">
        <f t="shared" si="511"/>
        <v/>
      </c>
      <c r="I4689" s="31" t="str">
        <f>IF(OR(B4689="",C4689=""),"",IFERROR(E4689*IF(E4689="",0,VLOOKUP(C4689,'📦 Precios Proforma'!$B$5:$D$104,IF(D4689="DIA",2,3),FALSE)),0))</f>
        <v/>
      </c>
      <c r="J4689" s="31" t="str">
        <f t="shared" si="512"/>
        <v/>
      </c>
      <c r="K4689" s="31" t="str">
        <f t="shared" si="513"/>
        <v/>
      </c>
      <c r="L4689" s="31" t="str">
        <f>IF(OR(B4689="",C4689=""),"",IFERROR(E4689 / SUMIFS('📅 Resumen Diario'!$D$5:$D$504, '📅 Resumen Diario'!$B$5:$B$504, B4689, '📅 Resumen Diario'!$C$5:$C$504, D4689) * SUMIFS('📅 Resumen Diario'!$K$5:$K$504, '📅 Resumen Diario'!$B$5:$B$504, B4689, '📅 Resumen Diario'!$C$5:$C$504, D4689), 0))</f>
        <v/>
      </c>
      <c r="M4689" s="31" t="str">
        <f t="shared" si="514"/>
        <v/>
      </c>
      <c r="N4689" s="31" t="str">
        <f t="shared" si="515"/>
        <v/>
      </c>
      <c r="O4689" s="31" t="str">
        <f>IF(OR(B4689="",C4689=""),"",K4689-N4689 + IFERROR(E4689 / SUMIFS('📅 Resumen Diario'!$D$5:$D$504, '📅 Resumen Diario'!$B$5:$B$504, B4689, '📅 Resumen Diario'!$C$5:$C$504, D4689) * (SUMIFS('📋 Detalle Diario'!$E$5:$E$489, '📋 Detalle Diario'!$B$5:$B$489, B4689, '📋 Detalle Diario'!$C$5:$C$489, D4689) * 135 + SUMIFS('📋 Detalle Diario'!$I$5:$I$489, '📋 Detalle Diario'!$B$5:$B$489, B4689, '📋 Detalle Diario'!$C$5:$C$489, D4689) * 200), 0))</f>
        <v/>
      </c>
      <c r="P4689" s="32" t="str">
        <f t="shared" si="516"/>
        <v/>
      </c>
      <c r="Q4689" s="33" t="str">
        <f t="shared" si="517"/>
        <v/>
      </c>
    </row>
    <row r="4690" spans="2:17" ht="18" customHeight="1" x14ac:dyDescent="0.3">
      <c r="B4690" s="26"/>
      <c r="C4690" s="17"/>
      <c r="D4690" s="27"/>
      <c r="E4690" s="18"/>
      <c r="F4690" s="18"/>
      <c r="G4690" s="18"/>
      <c r="H4690" s="30" t="str">
        <f t="shared" si="511"/>
        <v/>
      </c>
      <c r="I4690" s="31" t="str">
        <f>IF(OR(B4690="",C4690=""),"",IFERROR(E4690*IF(E4690="",0,VLOOKUP(C4690,'📦 Precios Proforma'!$B$5:$D$104,IF(D4690="DIA",2,3),FALSE)),0))</f>
        <v/>
      </c>
      <c r="J4690" s="31" t="str">
        <f t="shared" si="512"/>
        <v/>
      </c>
      <c r="K4690" s="31" t="str">
        <f t="shared" si="513"/>
        <v/>
      </c>
      <c r="L4690" s="31" t="str">
        <f>IF(OR(B4690="",C4690=""),"",IFERROR(E4690 / SUMIFS('📅 Resumen Diario'!$D$5:$D$504, '📅 Resumen Diario'!$B$5:$B$504, B4690, '📅 Resumen Diario'!$C$5:$C$504, D4690) * SUMIFS('📅 Resumen Diario'!$K$5:$K$504, '📅 Resumen Diario'!$B$5:$B$504, B4690, '📅 Resumen Diario'!$C$5:$C$504, D4690), 0))</f>
        <v/>
      </c>
      <c r="M4690" s="31" t="str">
        <f t="shared" si="514"/>
        <v/>
      </c>
      <c r="N4690" s="31" t="str">
        <f t="shared" si="515"/>
        <v/>
      </c>
      <c r="O4690" s="31" t="str">
        <f>IF(OR(B4690="",C4690=""),"",K4690-N4690 + IFERROR(E4690 / SUMIFS('📅 Resumen Diario'!$D$5:$D$504, '📅 Resumen Diario'!$B$5:$B$504, B4690, '📅 Resumen Diario'!$C$5:$C$504, D4690) * (SUMIFS('📋 Detalle Diario'!$E$5:$E$489, '📋 Detalle Diario'!$B$5:$B$489, B4690, '📋 Detalle Diario'!$C$5:$C$489, D4690) * 135 + SUMIFS('📋 Detalle Diario'!$I$5:$I$489, '📋 Detalle Diario'!$B$5:$B$489, B4690, '📋 Detalle Diario'!$C$5:$C$489, D4690) * 200), 0))</f>
        <v/>
      </c>
      <c r="P4690" s="32" t="str">
        <f t="shared" si="516"/>
        <v/>
      </c>
      <c r="Q4690" s="33" t="str">
        <f t="shared" si="517"/>
        <v/>
      </c>
    </row>
    <row r="4691" spans="2:17" ht="18" customHeight="1" x14ac:dyDescent="0.3">
      <c r="B4691" s="26"/>
      <c r="C4691" s="28"/>
      <c r="D4691" s="27"/>
      <c r="E4691" s="29"/>
      <c r="F4691" s="29"/>
      <c r="G4691" s="29"/>
      <c r="H4691" s="30" t="str">
        <f t="shared" si="511"/>
        <v/>
      </c>
      <c r="I4691" s="31" t="str">
        <f>IF(OR(B4691="",C4691=""),"",IFERROR(E4691*IF(E4691="",0,VLOOKUP(C4691,'📦 Precios Proforma'!$B$5:$D$104,IF(D4691="DIA",2,3),FALSE)),0))</f>
        <v/>
      </c>
      <c r="J4691" s="31" t="str">
        <f t="shared" si="512"/>
        <v/>
      </c>
      <c r="K4691" s="31" t="str">
        <f t="shared" si="513"/>
        <v/>
      </c>
      <c r="L4691" s="31" t="str">
        <f>IF(OR(B4691="",C4691=""),"",IFERROR(E4691 / SUMIFS('📅 Resumen Diario'!$D$5:$D$504, '📅 Resumen Diario'!$B$5:$B$504, B4691, '📅 Resumen Diario'!$C$5:$C$504, D4691) * SUMIFS('📅 Resumen Diario'!$K$5:$K$504, '📅 Resumen Diario'!$B$5:$B$504, B4691, '📅 Resumen Diario'!$C$5:$C$504, D4691), 0))</f>
        <v/>
      </c>
      <c r="M4691" s="31" t="str">
        <f t="shared" si="514"/>
        <v/>
      </c>
      <c r="N4691" s="31" t="str">
        <f t="shared" si="515"/>
        <v/>
      </c>
      <c r="O4691" s="31" t="str">
        <f>IF(OR(B4691="",C4691=""),"",K4691-N4691 + IFERROR(E4691 / SUMIFS('📅 Resumen Diario'!$D$5:$D$504, '📅 Resumen Diario'!$B$5:$B$504, B4691, '📅 Resumen Diario'!$C$5:$C$504, D4691) * (SUMIFS('📋 Detalle Diario'!$E$5:$E$489, '📋 Detalle Diario'!$B$5:$B$489, B4691, '📋 Detalle Diario'!$C$5:$C$489, D4691) * 135 + SUMIFS('📋 Detalle Diario'!$I$5:$I$489, '📋 Detalle Diario'!$B$5:$B$489, B4691, '📋 Detalle Diario'!$C$5:$C$489, D4691) * 200), 0))</f>
        <v/>
      </c>
      <c r="P4691" s="32" t="str">
        <f t="shared" si="516"/>
        <v/>
      </c>
      <c r="Q4691" s="33" t="str">
        <f t="shared" si="517"/>
        <v/>
      </c>
    </row>
    <row r="4692" spans="2:17" ht="18" customHeight="1" x14ac:dyDescent="0.3">
      <c r="B4692" s="26"/>
      <c r="C4692" s="17"/>
      <c r="D4692" s="27"/>
      <c r="E4692" s="18"/>
      <c r="F4692" s="18"/>
      <c r="G4692" s="18"/>
      <c r="H4692" s="30" t="str">
        <f t="shared" si="511"/>
        <v/>
      </c>
      <c r="I4692" s="31" t="str">
        <f>IF(OR(B4692="",C4692=""),"",IFERROR(E4692*IF(E4692="",0,VLOOKUP(C4692,'📦 Precios Proforma'!$B$5:$D$104,IF(D4692="DIA",2,3),FALSE)),0))</f>
        <v/>
      </c>
      <c r="J4692" s="31" t="str">
        <f t="shared" si="512"/>
        <v/>
      </c>
      <c r="K4692" s="31" t="str">
        <f t="shared" si="513"/>
        <v/>
      </c>
      <c r="L4692" s="31" t="str">
        <f>IF(OR(B4692="",C4692=""),"",IFERROR(E4692 / SUMIFS('📅 Resumen Diario'!$D$5:$D$504, '📅 Resumen Diario'!$B$5:$B$504, B4692, '📅 Resumen Diario'!$C$5:$C$504, D4692) * SUMIFS('📅 Resumen Diario'!$K$5:$K$504, '📅 Resumen Diario'!$B$5:$B$504, B4692, '📅 Resumen Diario'!$C$5:$C$504, D4692), 0))</f>
        <v/>
      </c>
      <c r="M4692" s="31" t="str">
        <f t="shared" si="514"/>
        <v/>
      </c>
      <c r="N4692" s="31" t="str">
        <f t="shared" si="515"/>
        <v/>
      </c>
      <c r="O4692" s="31" t="str">
        <f>IF(OR(B4692="",C4692=""),"",K4692-N4692 + IFERROR(E4692 / SUMIFS('📅 Resumen Diario'!$D$5:$D$504, '📅 Resumen Diario'!$B$5:$B$504, B4692, '📅 Resumen Diario'!$C$5:$C$504, D4692) * (SUMIFS('📋 Detalle Diario'!$E$5:$E$489, '📋 Detalle Diario'!$B$5:$B$489, B4692, '📋 Detalle Diario'!$C$5:$C$489, D4692) * 135 + SUMIFS('📋 Detalle Diario'!$I$5:$I$489, '📋 Detalle Diario'!$B$5:$B$489, B4692, '📋 Detalle Diario'!$C$5:$C$489, D4692) * 200), 0))</f>
        <v/>
      </c>
      <c r="P4692" s="32" t="str">
        <f t="shared" si="516"/>
        <v/>
      </c>
      <c r="Q4692" s="33" t="str">
        <f t="shared" si="517"/>
        <v/>
      </c>
    </row>
    <row r="4693" spans="2:17" ht="18" customHeight="1" x14ac:dyDescent="0.3">
      <c r="B4693" s="26"/>
      <c r="C4693" s="28"/>
      <c r="D4693" s="27"/>
      <c r="E4693" s="29"/>
      <c r="F4693" s="29"/>
      <c r="G4693" s="29"/>
      <c r="H4693" s="30" t="str">
        <f t="shared" si="511"/>
        <v/>
      </c>
      <c r="I4693" s="31" t="str">
        <f>IF(OR(B4693="",C4693=""),"",IFERROR(E4693*IF(E4693="",0,VLOOKUP(C4693,'📦 Precios Proforma'!$B$5:$D$104,IF(D4693="DIA",2,3),FALSE)),0))</f>
        <v/>
      </c>
      <c r="J4693" s="31" t="str">
        <f t="shared" si="512"/>
        <v/>
      </c>
      <c r="K4693" s="31" t="str">
        <f t="shared" si="513"/>
        <v/>
      </c>
      <c r="L4693" s="31" t="str">
        <f>IF(OR(B4693="",C4693=""),"",IFERROR(E4693 / SUMIFS('📅 Resumen Diario'!$D$5:$D$504, '📅 Resumen Diario'!$B$5:$B$504, B4693, '📅 Resumen Diario'!$C$5:$C$504, D4693) * SUMIFS('📅 Resumen Diario'!$K$5:$K$504, '📅 Resumen Diario'!$B$5:$B$504, B4693, '📅 Resumen Diario'!$C$5:$C$504, D4693), 0))</f>
        <v/>
      </c>
      <c r="M4693" s="31" t="str">
        <f t="shared" si="514"/>
        <v/>
      </c>
      <c r="N4693" s="31" t="str">
        <f t="shared" si="515"/>
        <v/>
      </c>
      <c r="O4693" s="31" t="str">
        <f>IF(OR(B4693="",C4693=""),"",K4693-N4693 + IFERROR(E4693 / SUMIFS('📅 Resumen Diario'!$D$5:$D$504, '📅 Resumen Diario'!$B$5:$B$504, B4693, '📅 Resumen Diario'!$C$5:$C$504, D4693) * (SUMIFS('📋 Detalle Diario'!$E$5:$E$489, '📋 Detalle Diario'!$B$5:$B$489, B4693, '📋 Detalle Diario'!$C$5:$C$489, D4693) * 135 + SUMIFS('📋 Detalle Diario'!$I$5:$I$489, '📋 Detalle Diario'!$B$5:$B$489, B4693, '📋 Detalle Diario'!$C$5:$C$489, D4693) * 200), 0))</f>
        <v/>
      </c>
      <c r="P4693" s="32" t="str">
        <f t="shared" si="516"/>
        <v/>
      </c>
      <c r="Q4693" s="33" t="str">
        <f t="shared" si="517"/>
        <v/>
      </c>
    </row>
    <row r="4694" spans="2:17" ht="18" customHeight="1" x14ac:dyDescent="0.3">
      <c r="B4694" s="26"/>
      <c r="C4694" s="17"/>
      <c r="D4694" s="27"/>
      <c r="E4694" s="18"/>
      <c r="F4694" s="18"/>
      <c r="G4694" s="18"/>
      <c r="H4694" s="30" t="str">
        <f t="shared" si="511"/>
        <v/>
      </c>
      <c r="I4694" s="31" t="str">
        <f>IF(OR(B4694="",C4694=""),"",IFERROR(E4694*IF(E4694="",0,VLOOKUP(C4694,'📦 Precios Proforma'!$B$5:$D$104,IF(D4694="DIA",2,3),FALSE)),0))</f>
        <v/>
      </c>
      <c r="J4694" s="31" t="str">
        <f t="shared" si="512"/>
        <v/>
      </c>
      <c r="K4694" s="31" t="str">
        <f t="shared" si="513"/>
        <v/>
      </c>
      <c r="L4694" s="31" t="str">
        <f>IF(OR(B4694="",C4694=""),"",IFERROR(E4694 / SUMIFS('📅 Resumen Diario'!$D$5:$D$504, '📅 Resumen Diario'!$B$5:$B$504, B4694, '📅 Resumen Diario'!$C$5:$C$504, D4694) * SUMIFS('📅 Resumen Diario'!$K$5:$K$504, '📅 Resumen Diario'!$B$5:$B$504, B4694, '📅 Resumen Diario'!$C$5:$C$504, D4694), 0))</f>
        <v/>
      </c>
      <c r="M4694" s="31" t="str">
        <f t="shared" si="514"/>
        <v/>
      </c>
      <c r="N4694" s="31" t="str">
        <f t="shared" si="515"/>
        <v/>
      </c>
      <c r="O4694" s="31" t="str">
        <f>IF(OR(B4694="",C4694=""),"",K4694-N4694 + IFERROR(E4694 / SUMIFS('📅 Resumen Diario'!$D$5:$D$504, '📅 Resumen Diario'!$B$5:$B$504, B4694, '📅 Resumen Diario'!$C$5:$C$504, D4694) * (SUMIFS('📋 Detalle Diario'!$E$5:$E$489, '📋 Detalle Diario'!$B$5:$B$489, B4694, '📋 Detalle Diario'!$C$5:$C$489, D4694) * 135 + SUMIFS('📋 Detalle Diario'!$I$5:$I$489, '📋 Detalle Diario'!$B$5:$B$489, B4694, '📋 Detalle Diario'!$C$5:$C$489, D4694) * 200), 0))</f>
        <v/>
      </c>
      <c r="P4694" s="32" t="str">
        <f t="shared" si="516"/>
        <v/>
      </c>
      <c r="Q4694" s="33" t="str">
        <f t="shared" si="517"/>
        <v/>
      </c>
    </row>
    <row r="4695" spans="2:17" ht="18" customHeight="1" x14ac:dyDescent="0.3">
      <c r="B4695" s="26"/>
      <c r="C4695" s="28"/>
      <c r="D4695" s="27"/>
      <c r="E4695" s="29"/>
      <c r="F4695" s="29"/>
      <c r="G4695" s="29"/>
      <c r="H4695" s="30" t="str">
        <f t="shared" si="511"/>
        <v/>
      </c>
      <c r="I4695" s="31" t="str">
        <f>IF(OR(B4695="",C4695=""),"",IFERROR(E4695*IF(E4695="",0,VLOOKUP(C4695,'📦 Precios Proforma'!$B$5:$D$104,IF(D4695="DIA",2,3),FALSE)),0))</f>
        <v/>
      </c>
      <c r="J4695" s="31" t="str">
        <f t="shared" si="512"/>
        <v/>
      </c>
      <c r="K4695" s="31" t="str">
        <f t="shared" si="513"/>
        <v/>
      </c>
      <c r="L4695" s="31" t="str">
        <f>IF(OR(B4695="",C4695=""),"",IFERROR(E4695 / SUMIFS('📅 Resumen Diario'!$D$5:$D$504, '📅 Resumen Diario'!$B$5:$B$504, B4695, '📅 Resumen Diario'!$C$5:$C$504, D4695) * SUMIFS('📅 Resumen Diario'!$K$5:$K$504, '📅 Resumen Diario'!$B$5:$B$504, B4695, '📅 Resumen Diario'!$C$5:$C$504, D4695), 0))</f>
        <v/>
      </c>
      <c r="M4695" s="31" t="str">
        <f t="shared" si="514"/>
        <v/>
      </c>
      <c r="N4695" s="31" t="str">
        <f t="shared" si="515"/>
        <v/>
      </c>
      <c r="O4695" s="31" t="str">
        <f>IF(OR(B4695="",C4695=""),"",K4695-N4695 + IFERROR(E4695 / SUMIFS('📅 Resumen Diario'!$D$5:$D$504, '📅 Resumen Diario'!$B$5:$B$504, B4695, '📅 Resumen Diario'!$C$5:$C$504, D4695) * (SUMIFS('📋 Detalle Diario'!$E$5:$E$489, '📋 Detalle Diario'!$B$5:$B$489, B4695, '📋 Detalle Diario'!$C$5:$C$489, D4695) * 135 + SUMIFS('📋 Detalle Diario'!$I$5:$I$489, '📋 Detalle Diario'!$B$5:$B$489, B4695, '📋 Detalle Diario'!$C$5:$C$489, D4695) * 200), 0))</f>
        <v/>
      </c>
      <c r="P4695" s="32" t="str">
        <f t="shared" si="516"/>
        <v/>
      </c>
      <c r="Q4695" s="33" t="str">
        <f t="shared" si="517"/>
        <v/>
      </c>
    </row>
    <row r="4696" spans="2:17" ht="18" customHeight="1" x14ac:dyDescent="0.3">
      <c r="B4696" s="26"/>
      <c r="C4696" s="17"/>
      <c r="D4696" s="27"/>
      <c r="E4696" s="18"/>
      <c r="F4696" s="18"/>
      <c r="G4696" s="18"/>
      <c r="H4696" s="30" t="str">
        <f t="shared" si="511"/>
        <v/>
      </c>
      <c r="I4696" s="31" t="str">
        <f>IF(OR(B4696="",C4696=""),"",IFERROR(E4696*IF(E4696="",0,VLOOKUP(C4696,'📦 Precios Proforma'!$B$5:$D$104,IF(D4696="DIA",2,3),FALSE)),0))</f>
        <v/>
      </c>
      <c r="J4696" s="31" t="str">
        <f t="shared" si="512"/>
        <v/>
      </c>
      <c r="K4696" s="31" t="str">
        <f t="shared" si="513"/>
        <v/>
      </c>
      <c r="L4696" s="31" t="str">
        <f>IF(OR(B4696="",C4696=""),"",IFERROR(E4696 / SUMIFS('📅 Resumen Diario'!$D$5:$D$504, '📅 Resumen Diario'!$B$5:$B$504, B4696, '📅 Resumen Diario'!$C$5:$C$504, D4696) * SUMIFS('📅 Resumen Diario'!$K$5:$K$504, '📅 Resumen Diario'!$B$5:$B$504, B4696, '📅 Resumen Diario'!$C$5:$C$504, D4696), 0))</f>
        <v/>
      </c>
      <c r="M4696" s="31" t="str">
        <f t="shared" si="514"/>
        <v/>
      </c>
      <c r="N4696" s="31" t="str">
        <f t="shared" si="515"/>
        <v/>
      </c>
      <c r="O4696" s="31" t="str">
        <f>IF(OR(B4696="",C4696=""),"",K4696-N4696 + IFERROR(E4696 / SUMIFS('📅 Resumen Diario'!$D$5:$D$504, '📅 Resumen Diario'!$B$5:$B$504, B4696, '📅 Resumen Diario'!$C$5:$C$504, D4696) * (SUMIFS('📋 Detalle Diario'!$E$5:$E$489, '📋 Detalle Diario'!$B$5:$B$489, B4696, '📋 Detalle Diario'!$C$5:$C$489, D4696) * 135 + SUMIFS('📋 Detalle Diario'!$I$5:$I$489, '📋 Detalle Diario'!$B$5:$B$489, B4696, '📋 Detalle Diario'!$C$5:$C$489, D4696) * 200), 0))</f>
        <v/>
      </c>
      <c r="P4696" s="32" t="str">
        <f t="shared" si="516"/>
        <v/>
      </c>
      <c r="Q4696" s="33" t="str">
        <f t="shared" si="517"/>
        <v/>
      </c>
    </row>
    <row r="4697" spans="2:17" ht="18" customHeight="1" x14ac:dyDescent="0.3">
      <c r="B4697" s="26"/>
      <c r="C4697" s="28"/>
      <c r="D4697" s="27"/>
      <c r="E4697" s="29"/>
      <c r="F4697" s="29"/>
      <c r="G4697" s="29"/>
      <c r="H4697" s="30" t="str">
        <f t="shared" si="511"/>
        <v/>
      </c>
      <c r="I4697" s="31" t="str">
        <f>IF(OR(B4697="",C4697=""),"",IFERROR(E4697*IF(E4697="",0,VLOOKUP(C4697,'📦 Precios Proforma'!$B$5:$D$104,IF(D4697="DIA",2,3),FALSE)),0))</f>
        <v/>
      </c>
      <c r="J4697" s="31" t="str">
        <f t="shared" si="512"/>
        <v/>
      </c>
      <c r="K4697" s="31" t="str">
        <f t="shared" si="513"/>
        <v/>
      </c>
      <c r="L4697" s="31" t="str">
        <f>IF(OR(B4697="",C4697=""),"",IFERROR(E4697 / SUMIFS('📅 Resumen Diario'!$D$5:$D$504, '📅 Resumen Diario'!$B$5:$B$504, B4697, '📅 Resumen Diario'!$C$5:$C$504, D4697) * SUMIFS('📅 Resumen Diario'!$K$5:$K$504, '📅 Resumen Diario'!$B$5:$B$504, B4697, '📅 Resumen Diario'!$C$5:$C$504, D4697), 0))</f>
        <v/>
      </c>
      <c r="M4697" s="31" t="str">
        <f t="shared" si="514"/>
        <v/>
      </c>
      <c r="N4697" s="31" t="str">
        <f t="shared" si="515"/>
        <v/>
      </c>
      <c r="O4697" s="31" t="str">
        <f>IF(OR(B4697="",C4697=""),"",K4697-N4697 + IFERROR(E4697 / SUMIFS('📅 Resumen Diario'!$D$5:$D$504, '📅 Resumen Diario'!$B$5:$B$504, B4697, '📅 Resumen Diario'!$C$5:$C$504, D4697) * (SUMIFS('📋 Detalle Diario'!$E$5:$E$489, '📋 Detalle Diario'!$B$5:$B$489, B4697, '📋 Detalle Diario'!$C$5:$C$489, D4697) * 135 + SUMIFS('📋 Detalle Diario'!$I$5:$I$489, '📋 Detalle Diario'!$B$5:$B$489, B4697, '📋 Detalle Diario'!$C$5:$C$489, D4697) * 200), 0))</f>
        <v/>
      </c>
      <c r="P4697" s="32" t="str">
        <f t="shared" si="516"/>
        <v/>
      </c>
      <c r="Q4697" s="33" t="str">
        <f t="shared" si="517"/>
        <v/>
      </c>
    </row>
    <row r="4698" spans="2:17" ht="18" customHeight="1" x14ac:dyDescent="0.3">
      <c r="B4698" s="26"/>
      <c r="C4698" s="17"/>
      <c r="D4698" s="27"/>
      <c r="E4698" s="18"/>
      <c r="F4698" s="18"/>
      <c r="G4698" s="18"/>
      <c r="H4698" s="30" t="str">
        <f t="shared" si="511"/>
        <v/>
      </c>
      <c r="I4698" s="31" t="str">
        <f>IF(OR(B4698="",C4698=""),"",IFERROR(E4698*IF(E4698="",0,VLOOKUP(C4698,'📦 Precios Proforma'!$B$5:$D$104,IF(D4698="DIA",2,3),FALSE)),0))</f>
        <v/>
      </c>
      <c r="J4698" s="31" t="str">
        <f t="shared" si="512"/>
        <v/>
      </c>
      <c r="K4698" s="31" t="str">
        <f t="shared" si="513"/>
        <v/>
      </c>
      <c r="L4698" s="31" t="str">
        <f>IF(OR(B4698="",C4698=""),"",IFERROR(E4698 / SUMIFS('📅 Resumen Diario'!$D$5:$D$504, '📅 Resumen Diario'!$B$5:$B$504, B4698, '📅 Resumen Diario'!$C$5:$C$504, D4698) * SUMIFS('📅 Resumen Diario'!$K$5:$K$504, '📅 Resumen Diario'!$B$5:$B$504, B4698, '📅 Resumen Diario'!$C$5:$C$504, D4698), 0))</f>
        <v/>
      </c>
      <c r="M4698" s="31" t="str">
        <f t="shared" si="514"/>
        <v/>
      </c>
      <c r="N4698" s="31" t="str">
        <f t="shared" si="515"/>
        <v/>
      </c>
      <c r="O4698" s="31" t="str">
        <f>IF(OR(B4698="",C4698=""),"",K4698-N4698 + IFERROR(E4698 / SUMIFS('📅 Resumen Diario'!$D$5:$D$504, '📅 Resumen Diario'!$B$5:$B$504, B4698, '📅 Resumen Diario'!$C$5:$C$504, D4698) * (SUMIFS('📋 Detalle Diario'!$E$5:$E$489, '📋 Detalle Diario'!$B$5:$B$489, B4698, '📋 Detalle Diario'!$C$5:$C$489, D4698) * 135 + SUMIFS('📋 Detalle Diario'!$I$5:$I$489, '📋 Detalle Diario'!$B$5:$B$489, B4698, '📋 Detalle Diario'!$C$5:$C$489, D4698) * 200), 0))</f>
        <v/>
      </c>
      <c r="P4698" s="32" t="str">
        <f t="shared" si="516"/>
        <v/>
      </c>
      <c r="Q4698" s="33" t="str">
        <f t="shared" si="517"/>
        <v/>
      </c>
    </row>
    <row r="4699" spans="2:17" ht="18" customHeight="1" x14ac:dyDescent="0.3">
      <c r="B4699" s="26"/>
      <c r="C4699" s="28"/>
      <c r="D4699" s="27"/>
      <c r="E4699" s="29"/>
      <c r="F4699" s="29"/>
      <c r="G4699" s="29"/>
      <c r="H4699" s="30" t="str">
        <f t="shared" si="511"/>
        <v/>
      </c>
      <c r="I4699" s="31" t="str">
        <f>IF(OR(B4699="",C4699=""),"",IFERROR(E4699*IF(E4699="",0,VLOOKUP(C4699,'📦 Precios Proforma'!$B$5:$D$104,IF(D4699="DIA",2,3),FALSE)),0))</f>
        <v/>
      </c>
      <c r="J4699" s="31" t="str">
        <f t="shared" si="512"/>
        <v/>
      </c>
      <c r="K4699" s="31" t="str">
        <f t="shared" si="513"/>
        <v/>
      </c>
      <c r="L4699" s="31" t="str">
        <f>IF(OR(B4699="",C4699=""),"",IFERROR(E4699 / SUMIFS('📅 Resumen Diario'!$D$5:$D$504, '📅 Resumen Diario'!$B$5:$B$504, B4699, '📅 Resumen Diario'!$C$5:$C$504, D4699) * SUMIFS('📅 Resumen Diario'!$K$5:$K$504, '📅 Resumen Diario'!$B$5:$B$504, B4699, '📅 Resumen Diario'!$C$5:$C$504, D4699), 0))</f>
        <v/>
      </c>
      <c r="M4699" s="31" t="str">
        <f t="shared" si="514"/>
        <v/>
      </c>
      <c r="N4699" s="31" t="str">
        <f t="shared" si="515"/>
        <v/>
      </c>
      <c r="O4699" s="31" t="str">
        <f>IF(OR(B4699="",C4699=""),"",K4699-N4699 + IFERROR(E4699 / SUMIFS('📅 Resumen Diario'!$D$5:$D$504, '📅 Resumen Diario'!$B$5:$B$504, B4699, '📅 Resumen Diario'!$C$5:$C$504, D4699) * (SUMIFS('📋 Detalle Diario'!$E$5:$E$489, '📋 Detalle Diario'!$B$5:$B$489, B4699, '📋 Detalle Diario'!$C$5:$C$489, D4699) * 135 + SUMIFS('📋 Detalle Diario'!$I$5:$I$489, '📋 Detalle Diario'!$B$5:$B$489, B4699, '📋 Detalle Diario'!$C$5:$C$489, D4699) * 200), 0))</f>
        <v/>
      </c>
      <c r="P4699" s="32" t="str">
        <f t="shared" si="516"/>
        <v/>
      </c>
      <c r="Q4699" s="33" t="str">
        <f t="shared" si="517"/>
        <v/>
      </c>
    </row>
    <row r="4700" spans="2:17" ht="18" customHeight="1" x14ac:dyDescent="0.3">
      <c r="B4700" s="26"/>
      <c r="C4700" s="17"/>
      <c r="D4700" s="27"/>
      <c r="E4700" s="18"/>
      <c r="F4700" s="18"/>
      <c r="G4700" s="18"/>
      <c r="H4700" s="30" t="str">
        <f t="shared" si="511"/>
        <v/>
      </c>
      <c r="I4700" s="31" t="str">
        <f>IF(OR(B4700="",C4700=""),"",IFERROR(E4700*IF(E4700="",0,VLOOKUP(C4700,'📦 Precios Proforma'!$B$5:$D$104,IF(D4700="DIA",2,3),FALSE)),0))</f>
        <v/>
      </c>
      <c r="J4700" s="31" t="str">
        <f t="shared" si="512"/>
        <v/>
      </c>
      <c r="K4700" s="31" t="str">
        <f t="shared" si="513"/>
        <v/>
      </c>
      <c r="L4700" s="31" t="str">
        <f>IF(OR(B4700="",C4700=""),"",IFERROR(E4700 / SUMIFS('📅 Resumen Diario'!$D$5:$D$504, '📅 Resumen Diario'!$B$5:$B$504, B4700, '📅 Resumen Diario'!$C$5:$C$504, D4700) * SUMIFS('📅 Resumen Diario'!$K$5:$K$504, '📅 Resumen Diario'!$B$5:$B$504, B4700, '📅 Resumen Diario'!$C$5:$C$504, D4700), 0))</f>
        <v/>
      </c>
      <c r="M4700" s="31" t="str">
        <f t="shared" si="514"/>
        <v/>
      </c>
      <c r="N4700" s="31" t="str">
        <f t="shared" si="515"/>
        <v/>
      </c>
      <c r="O4700" s="31" t="str">
        <f>IF(OR(B4700="",C4700=""),"",K4700-N4700 + IFERROR(E4700 / SUMIFS('📅 Resumen Diario'!$D$5:$D$504, '📅 Resumen Diario'!$B$5:$B$504, B4700, '📅 Resumen Diario'!$C$5:$C$504, D4700) * (SUMIFS('📋 Detalle Diario'!$E$5:$E$489, '📋 Detalle Diario'!$B$5:$B$489, B4700, '📋 Detalle Diario'!$C$5:$C$489, D4700) * 135 + SUMIFS('📋 Detalle Diario'!$I$5:$I$489, '📋 Detalle Diario'!$B$5:$B$489, B4700, '📋 Detalle Diario'!$C$5:$C$489, D4700) * 200), 0))</f>
        <v/>
      </c>
      <c r="P4700" s="32" t="str">
        <f t="shared" si="516"/>
        <v/>
      </c>
      <c r="Q4700" s="33" t="str">
        <f t="shared" si="517"/>
        <v/>
      </c>
    </row>
    <row r="4701" spans="2:17" ht="18" customHeight="1" x14ac:dyDescent="0.3">
      <c r="B4701" s="26"/>
      <c r="C4701" s="28"/>
      <c r="D4701" s="27"/>
      <c r="E4701" s="29"/>
      <c r="F4701" s="29"/>
      <c r="G4701" s="29"/>
      <c r="H4701" s="30" t="str">
        <f t="shared" si="511"/>
        <v/>
      </c>
      <c r="I4701" s="31" t="str">
        <f>IF(OR(B4701="",C4701=""),"",IFERROR(E4701*IF(E4701="",0,VLOOKUP(C4701,'📦 Precios Proforma'!$B$5:$D$104,IF(D4701="DIA",2,3),FALSE)),0))</f>
        <v/>
      </c>
      <c r="J4701" s="31" t="str">
        <f t="shared" si="512"/>
        <v/>
      </c>
      <c r="K4701" s="31" t="str">
        <f t="shared" si="513"/>
        <v/>
      </c>
      <c r="L4701" s="31" t="str">
        <f>IF(OR(B4701="",C4701=""),"",IFERROR(E4701 / SUMIFS('📅 Resumen Diario'!$D$5:$D$504, '📅 Resumen Diario'!$B$5:$B$504, B4701, '📅 Resumen Diario'!$C$5:$C$504, D4701) * SUMIFS('📅 Resumen Diario'!$K$5:$K$504, '📅 Resumen Diario'!$B$5:$B$504, B4701, '📅 Resumen Diario'!$C$5:$C$504, D4701), 0))</f>
        <v/>
      </c>
      <c r="M4701" s="31" t="str">
        <f t="shared" si="514"/>
        <v/>
      </c>
      <c r="N4701" s="31" t="str">
        <f t="shared" si="515"/>
        <v/>
      </c>
      <c r="O4701" s="31" t="str">
        <f>IF(OR(B4701="",C4701=""),"",K4701-N4701 + IFERROR(E4701 / SUMIFS('📅 Resumen Diario'!$D$5:$D$504, '📅 Resumen Diario'!$B$5:$B$504, B4701, '📅 Resumen Diario'!$C$5:$C$504, D4701) * (SUMIFS('📋 Detalle Diario'!$E$5:$E$489, '📋 Detalle Diario'!$B$5:$B$489, B4701, '📋 Detalle Diario'!$C$5:$C$489, D4701) * 135 + SUMIFS('📋 Detalle Diario'!$I$5:$I$489, '📋 Detalle Diario'!$B$5:$B$489, B4701, '📋 Detalle Diario'!$C$5:$C$489, D4701) * 200), 0))</f>
        <v/>
      </c>
      <c r="P4701" s="32" t="str">
        <f t="shared" si="516"/>
        <v/>
      </c>
      <c r="Q4701" s="33" t="str">
        <f t="shared" si="517"/>
        <v/>
      </c>
    </row>
    <row r="4702" spans="2:17" ht="18" customHeight="1" x14ac:dyDescent="0.3">
      <c r="B4702" s="26"/>
      <c r="C4702" s="17"/>
      <c r="D4702" s="27"/>
      <c r="E4702" s="18"/>
      <c r="F4702" s="18"/>
      <c r="G4702" s="18"/>
      <c r="H4702" s="30" t="str">
        <f t="shared" si="511"/>
        <v/>
      </c>
      <c r="I4702" s="31" t="str">
        <f>IF(OR(B4702="",C4702=""),"",IFERROR(E4702*IF(E4702="",0,VLOOKUP(C4702,'📦 Precios Proforma'!$B$5:$D$104,IF(D4702="DIA",2,3),FALSE)),0))</f>
        <v/>
      </c>
      <c r="J4702" s="31" t="str">
        <f t="shared" si="512"/>
        <v/>
      </c>
      <c r="K4702" s="31" t="str">
        <f t="shared" si="513"/>
        <v/>
      </c>
      <c r="L4702" s="31" t="str">
        <f>IF(OR(B4702="",C4702=""),"",IFERROR(E4702 / SUMIFS('📅 Resumen Diario'!$D$5:$D$504, '📅 Resumen Diario'!$B$5:$B$504, B4702, '📅 Resumen Diario'!$C$5:$C$504, D4702) * SUMIFS('📅 Resumen Diario'!$K$5:$K$504, '📅 Resumen Diario'!$B$5:$B$504, B4702, '📅 Resumen Diario'!$C$5:$C$504, D4702), 0))</f>
        <v/>
      </c>
      <c r="M4702" s="31" t="str">
        <f t="shared" si="514"/>
        <v/>
      </c>
      <c r="N4702" s="31" t="str">
        <f t="shared" si="515"/>
        <v/>
      </c>
      <c r="O4702" s="31" t="str">
        <f>IF(OR(B4702="",C4702=""),"",K4702-N4702 + IFERROR(E4702 / SUMIFS('📅 Resumen Diario'!$D$5:$D$504, '📅 Resumen Diario'!$B$5:$B$504, B4702, '📅 Resumen Diario'!$C$5:$C$504, D4702) * (SUMIFS('📋 Detalle Diario'!$E$5:$E$489, '📋 Detalle Diario'!$B$5:$B$489, B4702, '📋 Detalle Diario'!$C$5:$C$489, D4702) * 135 + SUMIFS('📋 Detalle Diario'!$I$5:$I$489, '📋 Detalle Diario'!$B$5:$B$489, B4702, '📋 Detalle Diario'!$C$5:$C$489, D4702) * 200), 0))</f>
        <v/>
      </c>
      <c r="P4702" s="32" t="str">
        <f t="shared" si="516"/>
        <v/>
      </c>
      <c r="Q4702" s="33" t="str">
        <f t="shared" si="517"/>
        <v/>
      </c>
    </row>
    <row r="4703" spans="2:17" ht="18" customHeight="1" x14ac:dyDescent="0.3">
      <c r="B4703" s="26"/>
      <c r="C4703" s="28"/>
      <c r="D4703" s="27"/>
      <c r="E4703" s="29"/>
      <c r="F4703" s="29"/>
      <c r="G4703" s="29"/>
      <c r="H4703" s="30" t="str">
        <f t="shared" si="511"/>
        <v/>
      </c>
      <c r="I4703" s="31" t="str">
        <f>IF(OR(B4703="",C4703=""),"",IFERROR(E4703*IF(E4703="",0,VLOOKUP(C4703,'📦 Precios Proforma'!$B$5:$D$104,IF(D4703="DIA",2,3),FALSE)),0))</f>
        <v/>
      </c>
      <c r="J4703" s="31" t="str">
        <f t="shared" si="512"/>
        <v/>
      </c>
      <c r="K4703" s="31" t="str">
        <f t="shared" si="513"/>
        <v/>
      </c>
      <c r="L4703" s="31" t="str">
        <f>IF(OR(B4703="",C4703=""),"",IFERROR(E4703 / SUMIFS('📅 Resumen Diario'!$D$5:$D$504, '📅 Resumen Diario'!$B$5:$B$504, B4703, '📅 Resumen Diario'!$C$5:$C$504, D4703) * SUMIFS('📅 Resumen Diario'!$K$5:$K$504, '📅 Resumen Diario'!$B$5:$B$504, B4703, '📅 Resumen Diario'!$C$5:$C$504, D4703), 0))</f>
        <v/>
      </c>
      <c r="M4703" s="31" t="str">
        <f t="shared" si="514"/>
        <v/>
      </c>
      <c r="N4703" s="31" t="str">
        <f t="shared" si="515"/>
        <v/>
      </c>
      <c r="O4703" s="31" t="str">
        <f>IF(OR(B4703="",C4703=""),"",K4703-N4703 + IFERROR(E4703 / SUMIFS('📅 Resumen Diario'!$D$5:$D$504, '📅 Resumen Diario'!$B$5:$B$504, B4703, '📅 Resumen Diario'!$C$5:$C$504, D4703) * (SUMIFS('📋 Detalle Diario'!$E$5:$E$489, '📋 Detalle Diario'!$B$5:$B$489, B4703, '📋 Detalle Diario'!$C$5:$C$489, D4703) * 135 + SUMIFS('📋 Detalle Diario'!$I$5:$I$489, '📋 Detalle Diario'!$B$5:$B$489, B4703, '📋 Detalle Diario'!$C$5:$C$489, D4703) * 200), 0))</f>
        <v/>
      </c>
      <c r="P4703" s="32" t="str">
        <f t="shared" si="516"/>
        <v/>
      </c>
      <c r="Q4703" s="33" t="str">
        <f t="shared" si="517"/>
        <v/>
      </c>
    </row>
    <row r="4704" spans="2:17" ht="18" customHeight="1" x14ac:dyDescent="0.3">
      <c r="B4704" s="26"/>
      <c r="C4704" s="17"/>
      <c r="D4704" s="27"/>
      <c r="E4704" s="18"/>
      <c r="F4704" s="18"/>
      <c r="G4704" s="18"/>
      <c r="H4704" s="30" t="str">
        <f t="shared" si="511"/>
        <v/>
      </c>
      <c r="I4704" s="31" t="str">
        <f>IF(OR(B4704="",C4704=""),"",IFERROR(E4704*IF(E4704="",0,VLOOKUP(C4704,'📦 Precios Proforma'!$B$5:$D$104,IF(D4704="DIA",2,3),FALSE)),0))</f>
        <v/>
      </c>
      <c r="J4704" s="31" t="str">
        <f t="shared" si="512"/>
        <v/>
      </c>
      <c r="K4704" s="31" t="str">
        <f t="shared" si="513"/>
        <v/>
      </c>
      <c r="L4704" s="31" t="str">
        <f>IF(OR(B4704="",C4704=""),"",IFERROR(E4704 / SUMIFS('📅 Resumen Diario'!$D$5:$D$504, '📅 Resumen Diario'!$B$5:$B$504, B4704, '📅 Resumen Diario'!$C$5:$C$504, D4704) * SUMIFS('📅 Resumen Diario'!$K$5:$K$504, '📅 Resumen Diario'!$B$5:$B$504, B4704, '📅 Resumen Diario'!$C$5:$C$504, D4704), 0))</f>
        <v/>
      </c>
      <c r="M4704" s="31" t="str">
        <f t="shared" si="514"/>
        <v/>
      </c>
      <c r="N4704" s="31" t="str">
        <f t="shared" si="515"/>
        <v/>
      </c>
      <c r="O4704" s="31" t="str">
        <f>IF(OR(B4704="",C4704=""),"",K4704-N4704 + IFERROR(E4704 / SUMIFS('📅 Resumen Diario'!$D$5:$D$504, '📅 Resumen Diario'!$B$5:$B$504, B4704, '📅 Resumen Diario'!$C$5:$C$504, D4704) * (SUMIFS('📋 Detalle Diario'!$E$5:$E$489, '📋 Detalle Diario'!$B$5:$B$489, B4704, '📋 Detalle Diario'!$C$5:$C$489, D4704) * 135 + SUMIFS('📋 Detalle Diario'!$I$5:$I$489, '📋 Detalle Diario'!$B$5:$B$489, B4704, '📋 Detalle Diario'!$C$5:$C$489, D4704) * 200), 0))</f>
        <v/>
      </c>
      <c r="P4704" s="32" t="str">
        <f t="shared" si="516"/>
        <v/>
      </c>
      <c r="Q4704" s="33" t="str">
        <f t="shared" si="517"/>
        <v/>
      </c>
    </row>
    <row r="4705" spans="2:17" ht="18" customHeight="1" x14ac:dyDescent="0.3">
      <c r="B4705" s="26"/>
      <c r="C4705" s="28"/>
      <c r="D4705" s="27"/>
      <c r="E4705" s="29"/>
      <c r="F4705" s="29"/>
      <c r="G4705" s="29"/>
      <c r="H4705" s="30" t="str">
        <f t="shared" si="511"/>
        <v/>
      </c>
      <c r="I4705" s="31" t="str">
        <f>IF(OR(B4705="",C4705=""),"",IFERROR(E4705*IF(E4705="",0,VLOOKUP(C4705,'📦 Precios Proforma'!$B$5:$D$104,IF(D4705="DIA",2,3),FALSE)),0))</f>
        <v/>
      </c>
      <c r="J4705" s="31" t="str">
        <f t="shared" si="512"/>
        <v/>
      </c>
      <c r="K4705" s="31" t="str">
        <f t="shared" si="513"/>
        <v/>
      </c>
      <c r="L4705" s="31" t="str">
        <f>IF(OR(B4705="",C4705=""),"",IFERROR(E4705 / SUMIFS('📅 Resumen Diario'!$D$5:$D$504, '📅 Resumen Diario'!$B$5:$B$504, B4705, '📅 Resumen Diario'!$C$5:$C$504, D4705) * SUMIFS('📅 Resumen Diario'!$K$5:$K$504, '📅 Resumen Diario'!$B$5:$B$504, B4705, '📅 Resumen Diario'!$C$5:$C$504, D4705), 0))</f>
        <v/>
      </c>
      <c r="M4705" s="31" t="str">
        <f t="shared" si="514"/>
        <v/>
      </c>
      <c r="N4705" s="31" t="str">
        <f t="shared" si="515"/>
        <v/>
      </c>
      <c r="O4705" s="31" t="str">
        <f>IF(OR(B4705="",C4705=""),"",K4705-N4705 + IFERROR(E4705 / SUMIFS('📅 Resumen Diario'!$D$5:$D$504, '📅 Resumen Diario'!$B$5:$B$504, B4705, '📅 Resumen Diario'!$C$5:$C$504, D4705) * (SUMIFS('📋 Detalle Diario'!$E$5:$E$489, '📋 Detalle Diario'!$B$5:$B$489, B4705, '📋 Detalle Diario'!$C$5:$C$489, D4705) * 135 + SUMIFS('📋 Detalle Diario'!$I$5:$I$489, '📋 Detalle Diario'!$B$5:$B$489, B4705, '📋 Detalle Diario'!$C$5:$C$489, D4705) * 200), 0))</f>
        <v/>
      </c>
      <c r="P4705" s="32" t="str">
        <f t="shared" si="516"/>
        <v/>
      </c>
      <c r="Q4705" s="33" t="str">
        <f t="shared" si="517"/>
        <v/>
      </c>
    </row>
    <row r="4706" spans="2:17" ht="18" customHeight="1" x14ac:dyDescent="0.3">
      <c r="B4706" s="26"/>
      <c r="C4706" s="17"/>
      <c r="D4706" s="27"/>
      <c r="E4706" s="18"/>
      <c r="F4706" s="18"/>
      <c r="G4706" s="18"/>
      <c r="H4706" s="30" t="str">
        <f t="shared" si="511"/>
        <v/>
      </c>
      <c r="I4706" s="31" t="str">
        <f>IF(OR(B4706="",C4706=""),"",IFERROR(E4706*IF(E4706="",0,VLOOKUP(C4706,'📦 Precios Proforma'!$B$5:$D$104,IF(D4706="DIA",2,3),FALSE)),0))</f>
        <v/>
      </c>
      <c r="J4706" s="31" t="str">
        <f t="shared" si="512"/>
        <v/>
      </c>
      <c r="K4706" s="31" t="str">
        <f t="shared" si="513"/>
        <v/>
      </c>
      <c r="L4706" s="31" t="str">
        <f>IF(OR(B4706="",C4706=""),"",IFERROR(E4706 / SUMIFS('📅 Resumen Diario'!$D$5:$D$504, '📅 Resumen Diario'!$B$5:$B$504, B4706, '📅 Resumen Diario'!$C$5:$C$504, D4706) * SUMIFS('📅 Resumen Diario'!$K$5:$K$504, '📅 Resumen Diario'!$B$5:$B$504, B4706, '📅 Resumen Diario'!$C$5:$C$504, D4706), 0))</f>
        <v/>
      </c>
      <c r="M4706" s="31" t="str">
        <f t="shared" si="514"/>
        <v/>
      </c>
      <c r="N4706" s="31" t="str">
        <f t="shared" si="515"/>
        <v/>
      </c>
      <c r="O4706" s="31" t="str">
        <f>IF(OR(B4706="",C4706=""),"",K4706-N4706 + IFERROR(E4706 / SUMIFS('📅 Resumen Diario'!$D$5:$D$504, '📅 Resumen Diario'!$B$5:$B$504, B4706, '📅 Resumen Diario'!$C$5:$C$504, D4706) * (SUMIFS('📋 Detalle Diario'!$E$5:$E$489, '📋 Detalle Diario'!$B$5:$B$489, B4706, '📋 Detalle Diario'!$C$5:$C$489, D4706) * 135 + SUMIFS('📋 Detalle Diario'!$I$5:$I$489, '📋 Detalle Diario'!$B$5:$B$489, B4706, '📋 Detalle Diario'!$C$5:$C$489, D4706) * 200), 0))</f>
        <v/>
      </c>
      <c r="P4706" s="32" t="str">
        <f t="shared" si="516"/>
        <v/>
      </c>
      <c r="Q4706" s="33" t="str">
        <f t="shared" si="517"/>
        <v/>
      </c>
    </row>
    <row r="4707" spans="2:17" ht="18" customHeight="1" x14ac:dyDescent="0.3">
      <c r="B4707" s="26"/>
      <c r="C4707" s="28"/>
      <c r="D4707" s="27"/>
      <c r="E4707" s="29"/>
      <c r="F4707" s="29"/>
      <c r="G4707" s="29"/>
      <c r="H4707" s="30" t="str">
        <f t="shared" si="511"/>
        <v/>
      </c>
      <c r="I4707" s="31" t="str">
        <f>IF(OR(B4707="",C4707=""),"",IFERROR(E4707*IF(E4707="",0,VLOOKUP(C4707,'📦 Precios Proforma'!$B$5:$D$104,IF(D4707="DIA",2,3),FALSE)),0))</f>
        <v/>
      </c>
      <c r="J4707" s="31" t="str">
        <f t="shared" si="512"/>
        <v/>
      </c>
      <c r="K4707" s="31" t="str">
        <f t="shared" si="513"/>
        <v/>
      </c>
      <c r="L4707" s="31" t="str">
        <f>IF(OR(B4707="",C4707=""),"",IFERROR(E4707 / SUMIFS('📅 Resumen Diario'!$D$5:$D$504, '📅 Resumen Diario'!$B$5:$B$504, B4707, '📅 Resumen Diario'!$C$5:$C$504, D4707) * SUMIFS('📅 Resumen Diario'!$K$5:$K$504, '📅 Resumen Diario'!$B$5:$B$504, B4707, '📅 Resumen Diario'!$C$5:$C$504, D4707), 0))</f>
        <v/>
      </c>
      <c r="M4707" s="31" t="str">
        <f t="shared" si="514"/>
        <v/>
      </c>
      <c r="N4707" s="31" t="str">
        <f t="shared" si="515"/>
        <v/>
      </c>
      <c r="O4707" s="31" t="str">
        <f>IF(OR(B4707="",C4707=""),"",K4707-N4707 + IFERROR(E4707 / SUMIFS('📅 Resumen Diario'!$D$5:$D$504, '📅 Resumen Diario'!$B$5:$B$504, B4707, '📅 Resumen Diario'!$C$5:$C$504, D4707) * (SUMIFS('📋 Detalle Diario'!$E$5:$E$489, '📋 Detalle Diario'!$B$5:$B$489, B4707, '📋 Detalle Diario'!$C$5:$C$489, D4707) * 135 + SUMIFS('📋 Detalle Diario'!$I$5:$I$489, '📋 Detalle Diario'!$B$5:$B$489, B4707, '📋 Detalle Diario'!$C$5:$C$489, D4707) * 200), 0))</f>
        <v/>
      </c>
      <c r="P4707" s="32" t="str">
        <f t="shared" si="516"/>
        <v/>
      </c>
      <c r="Q4707" s="33" t="str">
        <f t="shared" si="517"/>
        <v/>
      </c>
    </row>
    <row r="4708" spans="2:17" ht="18" customHeight="1" x14ac:dyDescent="0.3">
      <c r="B4708" s="26"/>
      <c r="C4708" s="17"/>
      <c r="D4708" s="27"/>
      <c r="E4708" s="18"/>
      <c r="F4708" s="18"/>
      <c r="G4708" s="18"/>
      <c r="H4708" s="30" t="str">
        <f t="shared" si="511"/>
        <v/>
      </c>
      <c r="I4708" s="31" t="str">
        <f>IF(OR(B4708="",C4708=""),"",IFERROR(E4708*IF(E4708="",0,VLOOKUP(C4708,'📦 Precios Proforma'!$B$5:$D$104,IF(D4708="DIA",2,3),FALSE)),0))</f>
        <v/>
      </c>
      <c r="J4708" s="31" t="str">
        <f t="shared" si="512"/>
        <v/>
      </c>
      <c r="K4708" s="31" t="str">
        <f t="shared" si="513"/>
        <v/>
      </c>
      <c r="L4708" s="31" t="str">
        <f>IF(OR(B4708="",C4708=""),"",IFERROR(E4708 / SUMIFS('📅 Resumen Diario'!$D$5:$D$504, '📅 Resumen Diario'!$B$5:$B$504, B4708, '📅 Resumen Diario'!$C$5:$C$504, D4708) * SUMIFS('📅 Resumen Diario'!$K$5:$K$504, '📅 Resumen Diario'!$B$5:$B$504, B4708, '📅 Resumen Diario'!$C$5:$C$504, D4708), 0))</f>
        <v/>
      </c>
      <c r="M4708" s="31" t="str">
        <f t="shared" si="514"/>
        <v/>
      </c>
      <c r="N4708" s="31" t="str">
        <f t="shared" si="515"/>
        <v/>
      </c>
      <c r="O4708" s="31" t="str">
        <f>IF(OR(B4708="",C4708=""),"",K4708-N4708 + IFERROR(E4708 / SUMIFS('📅 Resumen Diario'!$D$5:$D$504, '📅 Resumen Diario'!$B$5:$B$504, B4708, '📅 Resumen Diario'!$C$5:$C$504, D4708) * (SUMIFS('📋 Detalle Diario'!$E$5:$E$489, '📋 Detalle Diario'!$B$5:$B$489, B4708, '📋 Detalle Diario'!$C$5:$C$489, D4708) * 135 + SUMIFS('📋 Detalle Diario'!$I$5:$I$489, '📋 Detalle Diario'!$B$5:$B$489, B4708, '📋 Detalle Diario'!$C$5:$C$489, D4708) * 200), 0))</f>
        <v/>
      </c>
      <c r="P4708" s="32" t="str">
        <f t="shared" si="516"/>
        <v/>
      </c>
      <c r="Q4708" s="33" t="str">
        <f t="shared" si="517"/>
        <v/>
      </c>
    </row>
    <row r="4709" spans="2:17" ht="18" customHeight="1" x14ac:dyDescent="0.3">
      <c r="B4709" s="26"/>
      <c r="C4709" s="28"/>
      <c r="D4709" s="27"/>
      <c r="E4709" s="29"/>
      <c r="F4709" s="29"/>
      <c r="G4709" s="29"/>
      <c r="H4709" s="30" t="str">
        <f t="shared" si="511"/>
        <v/>
      </c>
      <c r="I4709" s="31" t="str">
        <f>IF(OR(B4709="",C4709=""),"",IFERROR(E4709*IF(E4709="",0,VLOOKUP(C4709,'📦 Precios Proforma'!$B$5:$D$104,IF(D4709="DIA",2,3),FALSE)),0))</f>
        <v/>
      </c>
      <c r="J4709" s="31" t="str">
        <f t="shared" si="512"/>
        <v/>
      </c>
      <c r="K4709" s="31" t="str">
        <f t="shared" si="513"/>
        <v/>
      </c>
      <c r="L4709" s="31" t="str">
        <f>IF(OR(B4709="",C4709=""),"",IFERROR(E4709 / SUMIFS('📅 Resumen Diario'!$D$5:$D$504, '📅 Resumen Diario'!$B$5:$B$504, B4709, '📅 Resumen Diario'!$C$5:$C$504, D4709) * SUMIFS('📅 Resumen Diario'!$K$5:$K$504, '📅 Resumen Diario'!$B$5:$B$504, B4709, '📅 Resumen Diario'!$C$5:$C$504, D4709), 0))</f>
        <v/>
      </c>
      <c r="M4709" s="31" t="str">
        <f t="shared" si="514"/>
        <v/>
      </c>
      <c r="N4709" s="31" t="str">
        <f t="shared" si="515"/>
        <v/>
      </c>
      <c r="O4709" s="31" t="str">
        <f>IF(OR(B4709="",C4709=""),"",K4709-N4709 + IFERROR(E4709 / SUMIFS('📅 Resumen Diario'!$D$5:$D$504, '📅 Resumen Diario'!$B$5:$B$504, B4709, '📅 Resumen Diario'!$C$5:$C$504, D4709) * (SUMIFS('📋 Detalle Diario'!$E$5:$E$489, '📋 Detalle Diario'!$B$5:$B$489, B4709, '📋 Detalle Diario'!$C$5:$C$489, D4709) * 135 + SUMIFS('📋 Detalle Diario'!$I$5:$I$489, '📋 Detalle Diario'!$B$5:$B$489, B4709, '📋 Detalle Diario'!$C$5:$C$489, D4709) * 200), 0))</f>
        <v/>
      </c>
      <c r="P4709" s="32" t="str">
        <f t="shared" si="516"/>
        <v/>
      </c>
      <c r="Q4709" s="33" t="str">
        <f t="shared" si="517"/>
        <v/>
      </c>
    </row>
    <row r="4710" spans="2:17" ht="18" customHeight="1" x14ac:dyDescent="0.3">
      <c r="B4710" s="26"/>
      <c r="C4710" s="17"/>
      <c r="D4710" s="27"/>
      <c r="E4710" s="18"/>
      <c r="F4710" s="18"/>
      <c r="G4710" s="18"/>
      <c r="H4710" s="30" t="str">
        <f t="shared" si="511"/>
        <v/>
      </c>
      <c r="I4710" s="31" t="str">
        <f>IF(OR(B4710="",C4710=""),"",IFERROR(E4710*IF(E4710="",0,VLOOKUP(C4710,'📦 Precios Proforma'!$B$5:$D$104,IF(D4710="DIA",2,3),FALSE)),0))</f>
        <v/>
      </c>
      <c r="J4710" s="31" t="str">
        <f t="shared" si="512"/>
        <v/>
      </c>
      <c r="K4710" s="31" t="str">
        <f t="shared" si="513"/>
        <v/>
      </c>
      <c r="L4710" s="31" t="str">
        <f>IF(OR(B4710="",C4710=""),"",IFERROR(E4710 / SUMIFS('📅 Resumen Diario'!$D$5:$D$504, '📅 Resumen Diario'!$B$5:$B$504, B4710, '📅 Resumen Diario'!$C$5:$C$504, D4710) * SUMIFS('📅 Resumen Diario'!$K$5:$K$504, '📅 Resumen Diario'!$B$5:$B$504, B4710, '📅 Resumen Diario'!$C$5:$C$504, D4710), 0))</f>
        <v/>
      </c>
      <c r="M4710" s="31" t="str">
        <f t="shared" si="514"/>
        <v/>
      </c>
      <c r="N4710" s="31" t="str">
        <f t="shared" si="515"/>
        <v/>
      </c>
      <c r="O4710" s="31" t="str">
        <f>IF(OR(B4710="",C4710=""),"",K4710-N4710 + IFERROR(E4710 / SUMIFS('📅 Resumen Diario'!$D$5:$D$504, '📅 Resumen Diario'!$B$5:$B$504, B4710, '📅 Resumen Diario'!$C$5:$C$504, D4710) * (SUMIFS('📋 Detalle Diario'!$E$5:$E$489, '📋 Detalle Diario'!$B$5:$B$489, B4710, '📋 Detalle Diario'!$C$5:$C$489, D4710) * 135 + SUMIFS('📋 Detalle Diario'!$I$5:$I$489, '📋 Detalle Diario'!$B$5:$B$489, B4710, '📋 Detalle Diario'!$C$5:$C$489, D4710) * 200), 0))</f>
        <v/>
      </c>
      <c r="P4710" s="32" t="str">
        <f t="shared" si="516"/>
        <v/>
      </c>
      <c r="Q4710" s="33" t="str">
        <f t="shared" si="517"/>
        <v/>
      </c>
    </row>
    <row r="4711" spans="2:17" ht="18" customHeight="1" x14ac:dyDescent="0.3">
      <c r="B4711" s="26"/>
      <c r="C4711" s="28"/>
      <c r="D4711" s="27"/>
      <c r="E4711" s="29"/>
      <c r="F4711" s="29"/>
      <c r="G4711" s="29"/>
      <c r="H4711" s="30" t="str">
        <f t="shared" si="511"/>
        <v/>
      </c>
      <c r="I4711" s="31" t="str">
        <f>IF(OR(B4711="",C4711=""),"",IFERROR(E4711*IF(E4711="",0,VLOOKUP(C4711,'📦 Precios Proforma'!$B$5:$D$104,IF(D4711="DIA",2,3),FALSE)),0))</f>
        <v/>
      </c>
      <c r="J4711" s="31" t="str">
        <f t="shared" si="512"/>
        <v/>
      </c>
      <c r="K4711" s="31" t="str">
        <f t="shared" si="513"/>
        <v/>
      </c>
      <c r="L4711" s="31" t="str">
        <f>IF(OR(B4711="",C4711=""),"",IFERROR(E4711 / SUMIFS('📅 Resumen Diario'!$D$5:$D$504, '📅 Resumen Diario'!$B$5:$B$504, B4711, '📅 Resumen Diario'!$C$5:$C$504, D4711) * SUMIFS('📅 Resumen Diario'!$K$5:$K$504, '📅 Resumen Diario'!$B$5:$B$504, B4711, '📅 Resumen Diario'!$C$5:$C$504, D4711), 0))</f>
        <v/>
      </c>
      <c r="M4711" s="31" t="str">
        <f t="shared" si="514"/>
        <v/>
      </c>
      <c r="N4711" s="31" t="str">
        <f t="shared" si="515"/>
        <v/>
      </c>
      <c r="O4711" s="31" t="str">
        <f>IF(OR(B4711="",C4711=""),"",K4711-N4711 + IFERROR(E4711 / SUMIFS('📅 Resumen Diario'!$D$5:$D$504, '📅 Resumen Diario'!$B$5:$B$504, B4711, '📅 Resumen Diario'!$C$5:$C$504, D4711) * (SUMIFS('📋 Detalle Diario'!$E$5:$E$489, '📋 Detalle Diario'!$B$5:$B$489, B4711, '📋 Detalle Diario'!$C$5:$C$489, D4711) * 135 + SUMIFS('📋 Detalle Diario'!$I$5:$I$489, '📋 Detalle Diario'!$B$5:$B$489, B4711, '📋 Detalle Diario'!$C$5:$C$489, D4711) * 200), 0))</f>
        <v/>
      </c>
      <c r="P4711" s="32" t="str">
        <f t="shared" si="516"/>
        <v/>
      </c>
      <c r="Q4711" s="33" t="str">
        <f t="shared" si="517"/>
        <v/>
      </c>
    </row>
    <row r="4712" spans="2:17" ht="18" customHeight="1" x14ac:dyDescent="0.3">
      <c r="B4712" s="26"/>
      <c r="C4712" s="17"/>
      <c r="D4712" s="27"/>
      <c r="E4712" s="18"/>
      <c r="F4712" s="18"/>
      <c r="G4712" s="18"/>
      <c r="H4712" s="30" t="str">
        <f t="shared" si="511"/>
        <v/>
      </c>
      <c r="I4712" s="31" t="str">
        <f>IF(OR(B4712="",C4712=""),"",IFERROR(E4712*IF(E4712="",0,VLOOKUP(C4712,'📦 Precios Proforma'!$B$5:$D$104,IF(D4712="DIA",2,3),FALSE)),0))</f>
        <v/>
      </c>
      <c r="J4712" s="31" t="str">
        <f t="shared" si="512"/>
        <v/>
      </c>
      <c r="K4712" s="31" t="str">
        <f t="shared" si="513"/>
        <v/>
      </c>
      <c r="L4712" s="31" t="str">
        <f>IF(OR(B4712="",C4712=""),"",IFERROR(E4712 / SUMIFS('📅 Resumen Diario'!$D$5:$D$504, '📅 Resumen Diario'!$B$5:$B$504, B4712, '📅 Resumen Diario'!$C$5:$C$504, D4712) * SUMIFS('📅 Resumen Diario'!$K$5:$K$504, '📅 Resumen Diario'!$B$5:$B$504, B4712, '📅 Resumen Diario'!$C$5:$C$504, D4712), 0))</f>
        <v/>
      </c>
      <c r="M4712" s="31" t="str">
        <f t="shared" si="514"/>
        <v/>
      </c>
      <c r="N4712" s="31" t="str">
        <f t="shared" si="515"/>
        <v/>
      </c>
      <c r="O4712" s="31" t="str">
        <f>IF(OR(B4712="",C4712=""),"",K4712-N4712 + IFERROR(E4712 / SUMIFS('📅 Resumen Diario'!$D$5:$D$504, '📅 Resumen Diario'!$B$5:$B$504, B4712, '📅 Resumen Diario'!$C$5:$C$504, D4712) * (SUMIFS('📋 Detalle Diario'!$E$5:$E$489, '📋 Detalle Diario'!$B$5:$B$489, B4712, '📋 Detalle Diario'!$C$5:$C$489, D4712) * 135 + SUMIFS('📋 Detalle Diario'!$I$5:$I$489, '📋 Detalle Diario'!$B$5:$B$489, B4712, '📋 Detalle Diario'!$C$5:$C$489, D4712) * 200), 0))</f>
        <v/>
      </c>
      <c r="P4712" s="32" t="str">
        <f t="shared" si="516"/>
        <v/>
      </c>
      <c r="Q4712" s="33" t="str">
        <f t="shared" si="517"/>
        <v/>
      </c>
    </row>
    <row r="4713" spans="2:17" ht="18" customHeight="1" x14ac:dyDescent="0.3">
      <c r="B4713" s="26"/>
      <c r="C4713" s="28"/>
      <c r="D4713" s="27"/>
      <c r="E4713" s="29"/>
      <c r="F4713" s="29"/>
      <c r="G4713" s="29"/>
      <c r="H4713" s="30" t="str">
        <f t="shared" si="511"/>
        <v/>
      </c>
      <c r="I4713" s="31" t="str">
        <f>IF(OR(B4713="",C4713=""),"",IFERROR(E4713*IF(E4713="",0,VLOOKUP(C4713,'📦 Precios Proforma'!$B$5:$D$104,IF(D4713="DIA",2,3),FALSE)),0))</f>
        <v/>
      </c>
      <c r="J4713" s="31" t="str">
        <f t="shared" si="512"/>
        <v/>
      </c>
      <c r="K4713" s="31" t="str">
        <f t="shared" si="513"/>
        <v/>
      </c>
      <c r="L4713" s="31" t="str">
        <f>IF(OR(B4713="",C4713=""),"",IFERROR(E4713 / SUMIFS('📅 Resumen Diario'!$D$5:$D$504, '📅 Resumen Diario'!$B$5:$B$504, B4713, '📅 Resumen Diario'!$C$5:$C$504, D4713) * SUMIFS('📅 Resumen Diario'!$K$5:$K$504, '📅 Resumen Diario'!$B$5:$B$504, B4713, '📅 Resumen Diario'!$C$5:$C$504, D4713), 0))</f>
        <v/>
      </c>
      <c r="M4713" s="31" t="str">
        <f t="shared" si="514"/>
        <v/>
      </c>
      <c r="N4713" s="31" t="str">
        <f t="shared" si="515"/>
        <v/>
      </c>
      <c r="O4713" s="31" t="str">
        <f>IF(OR(B4713="",C4713=""),"",K4713-N4713 + IFERROR(E4713 / SUMIFS('📅 Resumen Diario'!$D$5:$D$504, '📅 Resumen Diario'!$B$5:$B$504, B4713, '📅 Resumen Diario'!$C$5:$C$504, D4713) * (SUMIFS('📋 Detalle Diario'!$E$5:$E$489, '📋 Detalle Diario'!$B$5:$B$489, B4713, '📋 Detalle Diario'!$C$5:$C$489, D4713) * 135 + SUMIFS('📋 Detalle Diario'!$I$5:$I$489, '📋 Detalle Diario'!$B$5:$B$489, B4713, '📋 Detalle Diario'!$C$5:$C$489, D4713) * 200), 0))</f>
        <v/>
      </c>
      <c r="P4713" s="32" t="str">
        <f t="shared" si="516"/>
        <v/>
      </c>
      <c r="Q4713" s="33" t="str">
        <f t="shared" si="517"/>
        <v/>
      </c>
    </row>
    <row r="4714" spans="2:17" ht="18" customHeight="1" x14ac:dyDescent="0.3">
      <c r="B4714" s="26"/>
      <c r="C4714" s="17"/>
      <c r="D4714" s="27"/>
      <c r="E4714" s="18"/>
      <c r="F4714" s="18"/>
      <c r="G4714" s="18"/>
      <c r="H4714" s="30" t="str">
        <f t="shared" si="511"/>
        <v/>
      </c>
      <c r="I4714" s="31" t="str">
        <f>IF(OR(B4714="",C4714=""),"",IFERROR(E4714*IF(E4714="",0,VLOOKUP(C4714,'📦 Precios Proforma'!$B$5:$D$104,IF(D4714="DIA",2,3),FALSE)),0))</f>
        <v/>
      </c>
      <c r="J4714" s="31" t="str">
        <f t="shared" si="512"/>
        <v/>
      </c>
      <c r="K4714" s="31" t="str">
        <f t="shared" si="513"/>
        <v/>
      </c>
      <c r="L4714" s="31" t="str">
        <f>IF(OR(B4714="",C4714=""),"",IFERROR(E4714 / SUMIFS('📅 Resumen Diario'!$D$5:$D$504, '📅 Resumen Diario'!$B$5:$B$504, B4714, '📅 Resumen Diario'!$C$5:$C$504, D4714) * SUMIFS('📅 Resumen Diario'!$K$5:$K$504, '📅 Resumen Diario'!$B$5:$B$504, B4714, '📅 Resumen Diario'!$C$5:$C$504, D4714), 0))</f>
        <v/>
      </c>
      <c r="M4714" s="31" t="str">
        <f t="shared" si="514"/>
        <v/>
      </c>
      <c r="N4714" s="31" t="str">
        <f t="shared" si="515"/>
        <v/>
      </c>
      <c r="O4714" s="31" t="str">
        <f>IF(OR(B4714="",C4714=""),"",K4714-N4714 + IFERROR(E4714 / SUMIFS('📅 Resumen Diario'!$D$5:$D$504, '📅 Resumen Diario'!$B$5:$B$504, B4714, '📅 Resumen Diario'!$C$5:$C$504, D4714) * (SUMIFS('📋 Detalle Diario'!$E$5:$E$489, '📋 Detalle Diario'!$B$5:$B$489, B4714, '📋 Detalle Diario'!$C$5:$C$489, D4714) * 135 + SUMIFS('📋 Detalle Diario'!$I$5:$I$489, '📋 Detalle Diario'!$B$5:$B$489, B4714, '📋 Detalle Diario'!$C$5:$C$489, D4714) * 200), 0))</f>
        <v/>
      </c>
      <c r="P4714" s="32" t="str">
        <f t="shared" si="516"/>
        <v/>
      </c>
      <c r="Q4714" s="33" t="str">
        <f t="shared" si="517"/>
        <v/>
      </c>
    </row>
    <row r="4715" spans="2:17" ht="18" customHeight="1" x14ac:dyDescent="0.3">
      <c r="B4715" s="26"/>
      <c r="C4715" s="28"/>
      <c r="D4715" s="27"/>
      <c r="E4715" s="29"/>
      <c r="F4715" s="29"/>
      <c r="G4715" s="29"/>
      <c r="H4715" s="30" t="str">
        <f t="shared" si="511"/>
        <v/>
      </c>
      <c r="I4715" s="31" t="str">
        <f>IF(OR(B4715="",C4715=""),"",IFERROR(E4715*IF(E4715="",0,VLOOKUP(C4715,'📦 Precios Proforma'!$B$5:$D$104,IF(D4715="DIA",2,3),FALSE)),0))</f>
        <v/>
      </c>
      <c r="J4715" s="31" t="str">
        <f t="shared" si="512"/>
        <v/>
      </c>
      <c r="K4715" s="31" t="str">
        <f t="shared" si="513"/>
        <v/>
      </c>
      <c r="L4715" s="31" t="str">
        <f>IF(OR(B4715="",C4715=""),"",IFERROR(E4715 / SUMIFS('📅 Resumen Diario'!$D$5:$D$504, '📅 Resumen Diario'!$B$5:$B$504, B4715, '📅 Resumen Diario'!$C$5:$C$504, D4715) * SUMIFS('📅 Resumen Diario'!$K$5:$K$504, '📅 Resumen Diario'!$B$5:$B$504, B4715, '📅 Resumen Diario'!$C$5:$C$504, D4715), 0))</f>
        <v/>
      </c>
      <c r="M4715" s="31" t="str">
        <f t="shared" si="514"/>
        <v/>
      </c>
      <c r="N4715" s="31" t="str">
        <f t="shared" si="515"/>
        <v/>
      </c>
      <c r="O4715" s="31" t="str">
        <f>IF(OR(B4715="",C4715=""),"",K4715-N4715 + IFERROR(E4715 / SUMIFS('📅 Resumen Diario'!$D$5:$D$504, '📅 Resumen Diario'!$B$5:$B$504, B4715, '📅 Resumen Diario'!$C$5:$C$504, D4715) * (SUMIFS('📋 Detalle Diario'!$E$5:$E$489, '📋 Detalle Diario'!$B$5:$B$489, B4715, '📋 Detalle Diario'!$C$5:$C$489, D4715) * 135 + SUMIFS('📋 Detalle Diario'!$I$5:$I$489, '📋 Detalle Diario'!$B$5:$B$489, B4715, '📋 Detalle Diario'!$C$5:$C$489, D4715) * 200), 0))</f>
        <v/>
      </c>
      <c r="P4715" s="32" t="str">
        <f t="shared" si="516"/>
        <v/>
      </c>
      <c r="Q4715" s="33" t="str">
        <f t="shared" si="517"/>
        <v/>
      </c>
    </row>
    <row r="4716" spans="2:17" ht="18" customHeight="1" x14ac:dyDescent="0.3">
      <c r="B4716" s="26"/>
      <c r="C4716" s="17"/>
      <c r="D4716" s="27"/>
      <c r="E4716" s="18"/>
      <c r="F4716" s="18"/>
      <c r="G4716" s="18"/>
      <c r="H4716" s="30" t="str">
        <f t="shared" si="511"/>
        <v/>
      </c>
      <c r="I4716" s="31" t="str">
        <f>IF(OR(B4716="",C4716=""),"",IFERROR(E4716*IF(E4716="",0,VLOOKUP(C4716,'📦 Precios Proforma'!$B$5:$D$104,IF(D4716="DIA",2,3),FALSE)),0))</f>
        <v/>
      </c>
      <c r="J4716" s="31" t="str">
        <f t="shared" si="512"/>
        <v/>
      </c>
      <c r="K4716" s="31" t="str">
        <f t="shared" si="513"/>
        <v/>
      </c>
      <c r="L4716" s="31" t="str">
        <f>IF(OR(B4716="",C4716=""),"",IFERROR(E4716 / SUMIFS('📅 Resumen Diario'!$D$5:$D$504, '📅 Resumen Diario'!$B$5:$B$504, B4716, '📅 Resumen Diario'!$C$5:$C$504, D4716) * SUMIFS('📅 Resumen Diario'!$K$5:$K$504, '📅 Resumen Diario'!$B$5:$B$504, B4716, '📅 Resumen Diario'!$C$5:$C$504, D4716), 0))</f>
        <v/>
      </c>
      <c r="M4716" s="31" t="str">
        <f t="shared" si="514"/>
        <v/>
      </c>
      <c r="N4716" s="31" t="str">
        <f t="shared" si="515"/>
        <v/>
      </c>
      <c r="O4716" s="31" t="str">
        <f>IF(OR(B4716="",C4716=""),"",K4716-N4716 + IFERROR(E4716 / SUMIFS('📅 Resumen Diario'!$D$5:$D$504, '📅 Resumen Diario'!$B$5:$B$504, B4716, '📅 Resumen Diario'!$C$5:$C$504, D4716) * (SUMIFS('📋 Detalle Diario'!$E$5:$E$489, '📋 Detalle Diario'!$B$5:$B$489, B4716, '📋 Detalle Diario'!$C$5:$C$489, D4716) * 135 + SUMIFS('📋 Detalle Diario'!$I$5:$I$489, '📋 Detalle Diario'!$B$5:$B$489, B4716, '📋 Detalle Diario'!$C$5:$C$489, D4716) * 200), 0))</f>
        <v/>
      </c>
      <c r="P4716" s="32" t="str">
        <f t="shared" si="516"/>
        <v/>
      </c>
      <c r="Q4716" s="33" t="str">
        <f t="shared" si="517"/>
        <v/>
      </c>
    </row>
    <row r="4717" spans="2:17" ht="18" customHeight="1" x14ac:dyDescent="0.3">
      <c r="B4717" s="26"/>
      <c r="C4717" s="28"/>
      <c r="D4717" s="27"/>
      <c r="E4717" s="29"/>
      <c r="F4717" s="29"/>
      <c r="G4717" s="29"/>
      <c r="H4717" s="30" t="str">
        <f t="shared" si="511"/>
        <v/>
      </c>
      <c r="I4717" s="31" t="str">
        <f>IF(OR(B4717="",C4717=""),"",IFERROR(E4717*IF(E4717="",0,VLOOKUP(C4717,'📦 Precios Proforma'!$B$5:$D$104,IF(D4717="DIA",2,3),FALSE)),0))</f>
        <v/>
      </c>
      <c r="J4717" s="31" t="str">
        <f t="shared" si="512"/>
        <v/>
      </c>
      <c r="K4717" s="31" t="str">
        <f t="shared" si="513"/>
        <v/>
      </c>
      <c r="L4717" s="31" t="str">
        <f>IF(OR(B4717="",C4717=""),"",IFERROR(E4717 / SUMIFS('📅 Resumen Diario'!$D$5:$D$504, '📅 Resumen Diario'!$B$5:$B$504, B4717, '📅 Resumen Diario'!$C$5:$C$504, D4717) * SUMIFS('📅 Resumen Diario'!$K$5:$K$504, '📅 Resumen Diario'!$B$5:$B$504, B4717, '📅 Resumen Diario'!$C$5:$C$504, D4717), 0))</f>
        <v/>
      </c>
      <c r="M4717" s="31" t="str">
        <f t="shared" si="514"/>
        <v/>
      </c>
      <c r="N4717" s="31" t="str">
        <f t="shared" si="515"/>
        <v/>
      </c>
      <c r="O4717" s="31" t="str">
        <f>IF(OR(B4717="",C4717=""),"",K4717-N4717 + IFERROR(E4717 / SUMIFS('📅 Resumen Diario'!$D$5:$D$504, '📅 Resumen Diario'!$B$5:$B$504, B4717, '📅 Resumen Diario'!$C$5:$C$504, D4717) * (SUMIFS('📋 Detalle Diario'!$E$5:$E$489, '📋 Detalle Diario'!$B$5:$B$489, B4717, '📋 Detalle Diario'!$C$5:$C$489, D4717) * 135 + SUMIFS('📋 Detalle Diario'!$I$5:$I$489, '📋 Detalle Diario'!$B$5:$B$489, B4717, '📋 Detalle Diario'!$C$5:$C$489, D4717) * 200), 0))</f>
        <v/>
      </c>
      <c r="P4717" s="32" t="str">
        <f t="shared" si="516"/>
        <v/>
      </c>
      <c r="Q4717" s="33" t="str">
        <f t="shared" si="517"/>
        <v/>
      </c>
    </row>
    <row r="4718" spans="2:17" ht="18" customHeight="1" x14ac:dyDescent="0.3">
      <c r="B4718" s="26"/>
      <c r="C4718" s="17"/>
      <c r="D4718" s="27"/>
      <c r="E4718" s="18"/>
      <c r="F4718" s="18"/>
      <c r="G4718" s="18"/>
      <c r="H4718" s="30" t="str">
        <f t="shared" si="511"/>
        <v/>
      </c>
      <c r="I4718" s="31" t="str">
        <f>IF(OR(B4718="",C4718=""),"",IFERROR(E4718*IF(E4718="",0,VLOOKUP(C4718,'📦 Precios Proforma'!$B$5:$D$104,IF(D4718="DIA",2,3),FALSE)),0))</f>
        <v/>
      </c>
      <c r="J4718" s="31" t="str">
        <f t="shared" si="512"/>
        <v/>
      </c>
      <c r="K4718" s="31" t="str">
        <f t="shared" si="513"/>
        <v/>
      </c>
      <c r="L4718" s="31" t="str">
        <f>IF(OR(B4718="",C4718=""),"",IFERROR(E4718 / SUMIFS('📅 Resumen Diario'!$D$5:$D$504, '📅 Resumen Diario'!$B$5:$B$504, B4718, '📅 Resumen Diario'!$C$5:$C$504, D4718) * SUMIFS('📅 Resumen Diario'!$K$5:$K$504, '📅 Resumen Diario'!$B$5:$B$504, B4718, '📅 Resumen Diario'!$C$5:$C$504, D4718), 0))</f>
        <v/>
      </c>
      <c r="M4718" s="31" t="str">
        <f t="shared" si="514"/>
        <v/>
      </c>
      <c r="N4718" s="31" t="str">
        <f t="shared" si="515"/>
        <v/>
      </c>
      <c r="O4718" s="31" t="str">
        <f>IF(OR(B4718="",C4718=""),"",K4718-N4718 + IFERROR(E4718 / SUMIFS('📅 Resumen Diario'!$D$5:$D$504, '📅 Resumen Diario'!$B$5:$B$504, B4718, '📅 Resumen Diario'!$C$5:$C$504, D4718) * (SUMIFS('📋 Detalle Diario'!$E$5:$E$489, '📋 Detalle Diario'!$B$5:$B$489, B4718, '📋 Detalle Diario'!$C$5:$C$489, D4718) * 135 + SUMIFS('📋 Detalle Diario'!$I$5:$I$489, '📋 Detalle Diario'!$B$5:$B$489, B4718, '📋 Detalle Diario'!$C$5:$C$489, D4718) * 200), 0))</f>
        <v/>
      </c>
      <c r="P4718" s="32" t="str">
        <f t="shared" si="516"/>
        <v/>
      </c>
      <c r="Q4718" s="33" t="str">
        <f t="shared" si="517"/>
        <v/>
      </c>
    </row>
    <row r="4719" spans="2:17" ht="18" customHeight="1" x14ac:dyDescent="0.3">
      <c r="B4719" s="26"/>
      <c r="C4719" s="28"/>
      <c r="D4719" s="27"/>
      <c r="E4719" s="29"/>
      <c r="F4719" s="29"/>
      <c r="G4719" s="29"/>
      <c r="H4719" s="30" t="str">
        <f t="shared" si="511"/>
        <v/>
      </c>
      <c r="I4719" s="31" t="str">
        <f>IF(OR(B4719="",C4719=""),"",IFERROR(E4719*IF(E4719="",0,VLOOKUP(C4719,'📦 Precios Proforma'!$B$5:$D$104,IF(D4719="DIA",2,3),FALSE)),0))</f>
        <v/>
      </c>
      <c r="J4719" s="31" t="str">
        <f t="shared" si="512"/>
        <v/>
      </c>
      <c r="K4719" s="31" t="str">
        <f t="shared" si="513"/>
        <v/>
      </c>
      <c r="L4719" s="31" t="str">
        <f>IF(OR(B4719="",C4719=""),"",IFERROR(E4719 / SUMIFS('📅 Resumen Diario'!$D$5:$D$504, '📅 Resumen Diario'!$B$5:$B$504, B4719, '📅 Resumen Diario'!$C$5:$C$504, D4719) * SUMIFS('📅 Resumen Diario'!$K$5:$K$504, '📅 Resumen Diario'!$B$5:$B$504, B4719, '📅 Resumen Diario'!$C$5:$C$504, D4719), 0))</f>
        <v/>
      </c>
      <c r="M4719" s="31" t="str">
        <f t="shared" si="514"/>
        <v/>
      </c>
      <c r="N4719" s="31" t="str">
        <f t="shared" si="515"/>
        <v/>
      </c>
      <c r="O4719" s="31" t="str">
        <f>IF(OR(B4719="",C4719=""),"",K4719-N4719 + IFERROR(E4719 / SUMIFS('📅 Resumen Diario'!$D$5:$D$504, '📅 Resumen Diario'!$B$5:$B$504, B4719, '📅 Resumen Diario'!$C$5:$C$504, D4719) * (SUMIFS('📋 Detalle Diario'!$E$5:$E$489, '📋 Detalle Diario'!$B$5:$B$489, B4719, '📋 Detalle Diario'!$C$5:$C$489, D4719) * 135 + SUMIFS('📋 Detalle Diario'!$I$5:$I$489, '📋 Detalle Diario'!$B$5:$B$489, B4719, '📋 Detalle Diario'!$C$5:$C$489, D4719) * 200), 0))</f>
        <v/>
      </c>
      <c r="P4719" s="32" t="str">
        <f t="shared" si="516"/>
        <v/>
      </c>
      <c r="Q4719" s="33" t="str">
        <f t="shared" si="517"/>
        <v/>
      </c>
    </row>
    <row r="4720" spans="2:17" ht="18" customHeight="1" x14ac:dyDescent="0.3">
      <c r="B4720" s="26"/>
      <c r="C4720" s="17"/>
      <c r="D4720" s="27"/>
      <c r="E4720" s="18"/>
      <c r="F4720" s="18"/>
      <c r="G4720" s="18"/>
      <c r="H4720" s="30" t="str">
        <f t="shared" si="511"/>
        <v/>
      </c>
      <c r="I4720" s="31" t="str">
        <f>IF(OR(B4720="",C4720=""),"",IFERROR(E4720*IF(E4720="",0,VLOOKUP(C4720,'📦 Precios Proforma'!$B$5:$D$104,IF(D4720="DIA",2,3),FALSE)),0))</f>
        <v/>
      </c>
      <c r="J4720" s="31" t="str">
        <f t="shared" si="512"/>
        <v/>
      </c>
      <c r="K4720" s="31" t="str">
        <f t="shared" si="513"/>
        <v/>
      </c>
      <c r="L4720" s="31" t="str">
        <f>IF(OR(B4720="",C4720=""),"",IFERROR(E4720 / SUMIFS('📅 Resumen Diario'!$D$5:$D$504, '📅 Resumen Diario'!$B$5:$B$504, B4720, '📅 Resumen Diario'!$C$5:$C$504, D4720) * SUMIFS('📅 Resumen Diario'!$K$5:$K$504, '📅 Resumen Diario'!$B$5:$B$504, B4720, '📅 Resumen Diario'!$C$5:$C$504, D4720), 0))</f>
        <v/>
      </c>
      <c r="M4720" s="31" t="str">
        <f t="shared" si="514"/>
        <v/>
      </c>
      <c r="N4720" s="31" t="str">
        <f t="shared" si="515"/>
        <v/>
      </c>
      <c r="O4720" s="31" t="str">
        <f>IF(OR(B4720="",C4720=""),"",K4720-N4720 + IFERROR(E4720 / SUMIFS('📅 Resumen Diario'!$D$5:$D$504, '📅 Resumen Diario'!$B$5:$B$504, B4720, '📅 Resumen Diario'!$C$5:$C$504, D4720) * (SUMIFS('📋 Detalle Diario'!$E$5:$E$489, '📋 Detalle Diario'!$B$5:$B$489, B4720, '📋 Detalle Diario'!$C$5:$C$489, D4720) * 135 + SUMIFS('📋 Detalle Diario'!$I$5:$I$489, '📋 Detalle Diario'!$B$5:$B$489, B4720, '📋 Detalle Diario'!$C$5:$C$489, D4720) * 200), 0))</f>
        <v/>
      </c>
      <c r="P4720" s="32" t="str">
        <f t="shared" si="516"/>
        <v/>
      </c>
      <c r="Q4720" s="33" t="str">
        <f t="shared" si="517"/>
        <v/>
      </c>
    </row>
    <row r="4721" spans="2:17" ht="18" customHeight="1" x14ac:dyDescent="0.3">
      <c r="B4721" s="26"/>
      <c r="C4721" s="28"/>
      <c r="D4721" s="27"/>
      <c r="E4721" s="29"/>
      <c r="F4721" s="29"/>
      <c r="G4721" s="29"/>
      <c r="H4721" s="30" t="str">
        <f t="shared" si="511"/>
        <v/>
      </c>
      <c r="I4721" s="31" t="str">
        <f>IF(OR(B4721="",C4721=""),"",IFERROR(E4721*IF(E4721="",0,VLOOKUP(C4721,'📦 Precios Proforma'!$B$5:$D$104,IF(D4721="DIA",2,3),FALSE)),0))</f>
        <v/>
      </c>
      <c r="J4721" s="31" t="str">
        <f t="shared" si="512"/>
        <v/>
      </c>
      <c r="K4721" s="31" t="str">
        <f t="shared" si="513"/>
        <v/>
      </c>
      <c r="L4721" s="31" t="str">
        <f>IF(OR(B4721="",C4721=""),"",IFERROR(E4721 / SUMIFS('📅 Resumen Diario'!$D$5:$D$504, '📅 Resumen Diario'!$B$5:$B$504, B4721, '📅 Resumen Diario'!$C$5:$C$504, D4721) * SUMIFS('📅 Resumen Diario'!$K$5:$K$504, '📅 Resumen Diario'!$B$5:$B$504, B4721, '📅 Resumen Diario'!$C$5:$C$504, D4721), 0))</f>
        <v/>
      </c>
      <c r="M4721" s="31" t="str">
        <f t="shared" si="514"/>
        <v/>
      </c>
      <c r="N4721" s="31" t="str">
        <f t="shared" si="515"/>
        <v/>
      </c>
      <c r="O4721" s="31" t="str">
        <f>IF(OR(B4721="",C4721=""),"",K4721-N4721 + IFERROR(E4721 / SUMIFS('📅 Resumen Diario'!$D$5:$D$504, '📅 Resumen Diario'!$B$5:$B$504, B4721, '📅 Resumen Diario'!$C$5:$C$504, D4721) * (SUMIFS('📋 Detalle Diario'!$E$5:$E$489, '📋 Detalle Diario'!$B$5:$B$489, B4721, '📋 Detalle Diario'!$C$5:$C$489, D4721) * 135 + SUMIFS('📋 Detalle Diario'!$I$5:$I$489, '📋 Detalle Diario'!$B$5:$B$489, B4721, '📋 Detalle Diario'!$C$5:$C$489, D4721) * 200), 0))</f>
        <v/>
      </c>
      <c r="P4721" s="32" t="str">
        <f t="shared" si="516"/>
        <v/>
      </c>
      <c r="Q4721" s="33" t="str">
        <f t="shared" si="517"/>
        <v/>
      </c>
    </row>
    <row r="4722" spans="2:17" ht="18" customHeight="1" x14ac:dyDescent="0.3">
      <c r="B4722" s="26"/>
      <c r="C4722" s="17"/>
      <c r="D4722" s="27"/>
      <c r="E4722" s="18"/>
      <c r="F4722" s="18"/>
      <c r="G4722" s="18"/>
      <c r="H4722" s="30" t="str">
        <f t="shared" si="511"/>
        <v/>
      </c>
      <c r="I4722" s="31" t="str">
        <f>IF(OR(B4722="",C4722=""),"",IFERROR(E4722*IF(E4722="",0,VLOOKUP(C4722,'📦 Precios Proforma'!$B$5:$D$104,IF(D4722="DIA",2,3),FALSE)),0))</f>
        <v/>
      </c>
      <c r="J4722" s="31" t="str">
        <f t="shared" si="512"/>
        <v/>
      </c>
      <c r="K4722" s="31" t="str">
        <f t="shared" si="513"/>
        <v/>
      </c>
      <c r="L4722" s="31" t="str">
        <f>IF(OR(B4722="",C4722=""),"",IFERROR(E4722 / SUMIFS('📅 Resumen Diario'!$D$5:$D$504, '📅 Resumen Diario'!$B$5:$B$504, B4722, '📅 Resumen Diario'!$C$5:$C$504, D4722) * SUMIFS('📅 Resumen Diario'!$K$5:$K$504, '📅 Resumen Diario'!$B$5:$B$504, B4722, '📅 Resumen Diario'!$C$5:$C$504, D4722), 0))</f>
        <v/>
      </c>
      <c r="M4722" s="31" t="str">
        <f t="shared" si="514"/>
        <v/>
      </c>
      <c r="N4722" s="31" t="str">
        <f t="shared" si="515"/>
        <v/>
      </c>
      <c r="O4722" s="31" t="str">
        <f>IF(OR(B4722="",C4722=""),"",K4722-N4722 + IFERROR(E4722 / SUMIFS('📅 Resumen Diario'!$D$5:$D$504, '📅 Resumen Diario'!$B$5:$B$504, B4722, '📅 Resumen Diario'!$C$5:$C$504, D4722) * (SUMIFS('📋 Detalle Diario'!$E$5:$E$489, '📋 Detalle Diario'!$B$5:$B$489, B4722, '📋 Detalle Diario'!$C$5:$C$489, D4722) * 135 + SUMIFS('📋 Detalle Diario'!$I$5:$I$489, '📋 Detalle Diario'!$B$5:$B$489, B4722, '📋 Detalle Diario'!$C$5:$C$489, D4722) * 200), 0))</f>
        <v/>
      </c>
      <c r="P4722" s="32" t="str">
        <f t="shared" si="516"/>
        <v/>
      </c>
      <c r="Q4722" s="33" t="str">
        <f t="shared" si="517"/>
        <v/>
      </c>
    </row>
    <row r="4723" spans="2:17" ht="18" customHeight="1" x14ac:dyDescent="0.3">
      <c r="B4723" s="26"/>
      <c r="C4723" s="28"/>
      <c r="D4723" s="27"/>
      <c r="E4723" s="29"/>
      <c r="F4723" s="29"/>
      <c r="G4723" s="29"/>
      <c r="H4723" s="30" t="str">
        <f t="shared" si="511"/>
        <v/>
      </c>
      <c r="I4723" s="31" t="str">
        <f>IF(OR(B4723="",C4723=""),"",IFERROR(E4723*IF(E4723="",0,VLOOKUP(C4723,'📦 Precios Proforma'!$B$5:$D$104,IF(D4723="DIA",2,3),FALSE)),0))</f>
        <v/>
      </c>
      <c r="J4723" s="31" t="str">
        <f t="shared" si="512"/>
        <v/>
      </c>
      <c r="K4723" s="31" t="str">
        <f t="shared" si="513"/>
        <v/>
      </c>
      <c r="L4723" s="31" t="str">
        <f>IF(OR(B4723="",C4723=""),"",IFERROR(E4723 / SUMIFS('📅 Resumen Diario'!$D$5:$D$504, '📅 Resumen Diario'!$B$5:$B$504, B4723, '📅 Resumen Diario'!$C$5:$C$504, D4723) * SUMIFS('📅 Resumen Diario'!$K$5:$K$504, '📅 Resumen Diario'!$B$5:$B$504, B4723, '📅 Resumen Diario'!$C$5:$C$504, D4723), 0))</f>
        <v/>
      </c>
      <c r="M4723" s="31" t="str">
        <f t="shared" si="514"/>
        <v/>
      </c>
      <c r="N4723" s="31" t="str">
        <f t="shared" si="515"/>
        <v/>
      </c>
      <c r="O4723" s="31" t="str">
        <f>IF(OR(B4723="",C4723=""),"",K4723-N4723 + IFERROR(E4723 / SUMIFS('📅 Resumen Diario'!$D$5:$D$504, '📅 Resumen Diario'!$B$5:$B$504, B4723, '📅 Resumen Diario'!$C$5:$C$504, D4723) * (SUMIFS('📋 Detalle Diario'!$E$5:$E$489, '📋 Detalle Diario'!$B$5:$B$489, B4723, '📋 Detalle Diario'!$C$5:$C$489, D4723) * 135 + SUMIFS('📋 Detalle Diario'!$I$5:$I$489, '📋 Detalle Diario'!$B$5:$B$489, B4723, '📋 Detalle Diario'!$C$5:$C$489, D4723) * 200), 0))</f>
        <v/>
      </c>
      <c r="P4723" s="32" t="str">
        <f t="shared" si="516"/>
        <v/>
      </c>
      <c r="Q4723" s="33" t="str">
        <f t="shared" si="517"/>
        <v/>
      </c>
    </row>
    <row r="4724" spans="2:17" ht="18" customHeight="1" x14ac:dyDescent="0.3">
      <c r="B4724" s="26"/>
      <c r="C4724" s="17"/>
      <c r="D4724" s="27"/>
      <c r="E4724" s="18"/>
      <c r="F4724" s="18"/>
      <c r="G4724" s="18"/>
      <c r="H4724" s="30" t="str">
        <f t="shared" si="511"/>
        <v/>
      </c>
      <c r="I4724" s="31" t="str">
        <f>IF(OR(B4724="",C4724=""),"",IFERROR(E4724*IF(E4724="",0,VLOOKUP(C4724,'📦 Precios Proforma'!$B$5:$D$104,IF(D4724="DIA",2,3),FALSE)),0))</f>
        <v/>
      </c>
      <c r="J4724" s="31" t="str">
        <f t="shared" si="512"/>
        <v/>
      </c>
      <c r="K4724" s="31" t="str">
        <f t="shared" si="513"/>
        <v/>
      </c>
      <c r="L4724" s="31" t="str">
        <f>IF(OR(B4724="",C4724=""),"",IFERROR(E4724 / SUMIFS('📅 Resumen Diario'!$D$5:$D$504, '📅 Resumen Diario'!$B$5:$B$504, B4724, '📅 Resumen Diario'!$C$5:$C$504, D4724) * SUMIFS('📅 Resumen Diario'!$K$5:$K$504, '📅 Resumen Diario'!$B$5:$B$504, B4724, '📅 Resumen Diario'!$C$5:$C$504, D4724), 0))</f>
        <v/>
      </c>
      <c r="M4724" s="31" t="str">
        <f t="shared" si="514"/>
        <v/>
      </c>
      <c r="N4724" s="31" t="str">
        <f t="shared" si="515"/>
        <v/>
      </c>
      <c r="O4724" s="31" t="str">
        <f>IF(OR(B4724="",C4724=""),"",K4724-N4724 + IFERROR(E4724 / SUMIFS('📅 Resumen Diario'!$D$5:$D$504, '📅 Resumen Diario'!$B$5:$B$504, B4724, '📅 Resumen Diario'!$C$5:$C$504, D4724) * (SUMIFS('📋 Detalle Diario'!$E$5:$E$489, '📋 Detalle Diario'!$B$5:$B$489, B4724, '📋 Detalle Diario'!$C$5:$C$489, D4724) * 135 + SUMIFS('📋 Detalle Diario'!$I$5:$I$489, '📋 Detalle Diario'!$B$5:$B$489, B4724, '📋 Detalle Diario'!$C$5:$C$489, D4724) * 200), 0))</f>
        <v/>
      </c>
      <c r="P4724" s="32" t="str">
        <f t="shared" si="516"/>
        <v/>
      </c>
      <c r="Q4724" s="33" t="str">
        <f t="shared" si="517"/>
        <v/>
      </c>
    </row>
    <row r="4725" spans="2:17" ht="18" customHeight="1" x14ac:dyDescent="0.3">
      <c r="B4725" s="26"/>
      <c r="C4725" s="28"/>
      <c r="D4725" s="27"/>
      <c r="E4725" s="29"/>
      <c r="F4725" s="29"/>
      <c r="G4725" s="29"/>
      <c r="H4725" s="30" t="str">
        <f t="shared" si="511"/>
        <v/>
      </c>
      <c r="I4725" s="31" t="str">
        <f>IF(OR(B4725="",C4725=""),"",IFERROR(E4725*IF(E4725="",0,VLOOKUP(C4725,'📦 Precios Proforma'!$B$5:$D$104,IF(D4725="DIA",2,3),FALSE)),0))</f>
        <v/>
      </c>
      <c r="J4725" s="31" t="str">
        <f t="shared" si="512"/>
        <v/>
      </c>
      <c r="K4725" s="31" t="str">
        <f t="shared" si="513"/>
        <v/>
      </c>
      <c r="L4725" s="31" t="str">
        <f>IF(OR(B4725="",C4725=""),"",IFERROR(E4725 / SUMIFS('📅 Resumen Diario'!$D$5:$D$504, '📅 Resumen Diario'!$B$5:$B$504, B4725, '📅 Resumen Diario'!$C$5:$C$504, D4725) * SUMIFS('📅 Resumen Diario'!$K$5:$K$504, '📅 Resumen Diario'!$B$5:$B$504, B4725, '📅 Resumen Diario'!$C$5:$C$504, D4725), 0))</f>
        <v/>
      </c>
      <c r="M4725" s="31" t="str">
        <f t="shared" si="514"/>
        <v/>
      </c>
      <c r="N4725" s="31" t="str">
        <f t="shared" si="515"/>
        <v/>
      </c>
      <c r="O4725" s="31" t="str">
        <f>IF(OR(B4725="",C4725=""),"",K4725-N4725 + IFERROR(E4725 / SUMIFS('📅 Resumen Diario'!$D$5:$D$504, '📅 Resumen Diario'!$B$5:$B$504, B4725, '📅 Resumen Diario'!$C$5:$C$504, D4725) * (SUMIFS('📋 Detalle Diario'!$E$5:$E$489, '📋 Detalle Diario'!$B$5:$B$489, B4725, '📋 Detalle Diario'!$C$5:$C$489, D4725) * 135 + SUMIFS('📋 Detalle Diario'!$I$5:$I$489, '📋 Detalle Diario'!$B$5:$B$489, B4725, '📋 Detalle Diario'!$C$5:$C$489, D4725) * 200), 0))</f>
        <v/>
      </c>
      <c r="P4725" s="32" t="str">
        <f t="shared" si="516"/>
        <v/>
      </c>
      <c r="Q4725" s="33" t="str">
        <f t="shared" si="517"/>
        <v/>
      </c>
    </row>
    <row r="4726" spans="2:17" ht="18" customHeight="1" x14ac:dyDescent="0.3">
      <c r="B4726" s="26"/>
      <c r="C4726" s="17"/>
      <c r="D4726" s="27"/>
      <c r="E4726" s="18"/>
      <c r="F4726" s="18"/>
      <c r="G4726" s="18"/>
      <c r="H4726" s="30" t="str">
        <f t="shared" si="511"/>
        <v/>
      </c>
      <c r="I4726" s="31" t="str">
        <f>IF(OR(B4726="",C4726=""),"",IFERROR(E4726*IF(E4726="",0,VLOOKUP(C4726,'📦 Precios Proforma'!$B$5:$D$104,IF(D4726="DIA",2,3),FALSE)),0))</f>
        <v/>
      </c>
      <c r="J4726" s="31" t="str">
        <f t="shared" si="512"/>
        <v/>
      </c>
      <c r="K4726" s="31" t="str">
        <f t="shared" si="513"/>
        <v/>
      </c>
      <c r="L4726" s="31" t="str">
        <f>IF(OR(B4726="",C4726=""),"",IFERROR(E4726 / SUMIFS('📅 Resumen Diario'!$D$5:$D$504, '📅 Resumen Diario'!$B$5:$B$504, B4726, '📅 Resumen Diario'!$C$5:$C$504, D4726) * SUMIFS('📅 Resumen Diario'!$K$5:$K$504, '📅 Resumen Diario'!$B$5:$B$504, B4726, '📅 Resumen Diario'!$C$5:$C$504, D4726), 0))</f>
        <v/>
      </c>
      <c r="M4726" s="31" t="str">
        <f t="shared" si="514"/>
        <v/>
      </c>
      <c r="N4726" s="31" t="str">
        <f t="shared" si="515"/>
        <v/>
      </c>
      <c r="O4726" s="31" t="str">
        <f>IF(OR(B4726="",C4726=""),"",K4726-N4726 + IFERROR(E4726 / SUMIFS('📅 Resumen Diario'!$D$5:$D$504, '📅 Resumen Diario'!$B$5:$B$504, B4726, '📅 Resumen Diario'!$C$5:$C$504, D4726) * (SUMIFS('📋 Detalle Diario'!$E$5:$E$489, '📋 Detalle Diario'!$B$5:$B$489, B4726, '📋 Detalle Diario'!$C$5:$C$489, D4726) * 135 + SUMIFS('📋 Detalle Diario'!$I$5:$I$489, '📋 Detalle Diario'!$B$5:$B$489, B4726, '📋 Detalle Diario'!$C$5:$C$489, D4726) * 200), 0))</f>
        <v/>
      </c>
      <c r="P4726" s="32" t="str">
        <f t="shared" si="516"/>
        <v/>
      </c>
      <c r="Q4726" s="33" t="str">
        <f t="shared" si="517"/>
        <v/>
      </c>
    </row>
    <row r="4727" spans="2:17" ht="18" customHeight="1" x14ac:dyDescent="0.3">
      <c r="B4727" s="26"/>
      <c r="C4727" s="28"/>
      <c r="D4727" s="27"/>
      <c r="E4727" s="29"/>
      <c r="F4727" s="29"/>
      <c r="G4727" s="29"/>
      <c r="H4727" s="30" t="str">
        <f t="shared" si="511"/>
        <v/>
      </c>
      <c r="I4727" s="31" t="str">
        <f>IF(OR(B4727="",C4727=""),"",IFERROR(E4727*IF(E4727="",0,VLOOKUP(C4727,'📦 Precios Proforma'!$B$5:$D$104,IF(D4727="DIA",2,3),FALSE)),0))</f>
        <v/>
      </c>
      <c r="J4727" s="31" t="str">
        <f t="shared" si="512"/>
        <v/>
      </c>
      <c r="K4727" s="31" t="str">
        <f t="shared" si="513"/>
        <v/>
      </c>
      <c r="L4727" s="31" t="str">
        <f>IF(OR(B4727="",C4727=""),"",IFERROR(E4727 / SUMIFS('📅 Resumen Diario'!$D$5:$D$504, '📅 Resumen Diario'!$B$5:$B$504, B4727, '📅 Resumen Diario'!$C$5:$C$504, D4727) * SUMIFS('📅 Resumen Diario'!$K$5:$K$504, '📅 Resumen Diario'!$B$5:$B$504, B4727, '📅 Resumen Diario'!$C$5:$C$504, D4727), 0))</f>
        <v/>
      </c>
      <c r="M4727" s="31" t="str">
        <f t="shared" si="514"/>
        <v/>
      </c>
      <c r="N4727" s="31" t="str">
        <f t="shared" si="515"/>
        <v/>
      </c>
      <c r="O4727" s="31" t="str">
        <f>IF(OR(B4727="",C4727=""),"",K4727-N4727 + IFERROR(E4727 / SUMIFS('📅 Resumen Diario'!$D$5:$D$504, '📅 Resumen Diario'!$B$5:$B$504, B4727, '📅 Resumen Diario'!$C$5:$C$504, D4727) * (SUMIFS('📋 Detalle Diario'!$E$5:$E$489, '📋 Detalle Diario'!$B$5:$B$489, B4727, '📋 Detalle Diario'!$C$5:$C$489, D4727) * 135 + SUMIFS('📋 Detalle Diario'!$I$5:$I$489, '📋 Detalle Diario'!$B$5:$B$489, B4727, '📋 Detalle Diario'!$C$5:$C$489, D4727) * 200), 0))</f>
        <v/>
      </c>
      <c r="P4727" s="32" t="str">
        <f t="shared" si="516"/>
        <v/>
      </c>
      <c r="Q4727" s="33" t="str">
        <f t="shared" si="517"/>
        <v/>
      </c>
    </row>
    <row r="4728" spans="2:17" ht="18" customHeight="1" x14ac:dyDescent="0.3">
      <c r="B4728" s="26"/>
      <c r="C4728" s="17"/>
      <c r="D4728" s="27"/>
      <c r="E4728" s="18"/>
      <c r="F4728" s="18"/>
      <c r="G4728" s="18"/>
      <c r="H4728" s="30" t="str">
        <f t="shared" si="511"/>
        <v/>
      </c>
      <c r="I4728" s="31" t="str">
        <f>IF(OR(B4728="",C4728=""),"",IFERROR(E4728*IF(E4728="",0,VLOOKUP(C4728,'📦 Precios Proforma'!$B$5:$D$104,IF(D4728="DIA",2,3),FALSE)),0))</f>
        <v/>
      </c>
      <c r="J4728" s="31" t="str">
        <f t="shared" si="512"/>
        <v/>
      </c>
      <c r="K4728" s="31" t="str">
        <f t="shared" si="513"/>
        <v/>
      </c>
      <c r="L4728" s="31" t="str">
        <f>IF(OR(B4728="",C4728=""),"",IFERROR(E4728 / SUMIFS('📅 Resumen Diario'!$D$5:$D$504, '📅 Resumen Diario'!$B$5:$B$504, B4728, '📅 Resumen Diario'!$C$5:$C$504, D4728) * SUMIFS('📅 Resumen Diario'!$K$5:$K$504, '📅 Resumen Diario'!$B$5:$B$504, B4728, '📅 Resumen Diario'!$C$5:$C$504, D4728), 0))</f>
        <v/>
      </c>
      <c r="M4728" s="31" t="str">
        <f t="shared" si="514"/>
        <v/>
      </c>
      <c r="N4728" s="31" t="str">
        <f t="shared" si="515"/>
        <v/>
      </c>
      <c r="O4728" s="31" t="str">
        <f>IF(OR(B4728="",C4728=""),"",K4728-N4728 + IFERROR(E4728 / SUMIFS('📅 Resumen Diario'!$D$5:$D$504, '📅 Resumen Diario'!$B$5:$B$504, B4728, '📅 Resumen Diario'!$C$5:$C$504, D4728) * (SUMIFS('📋 Detalle Diario'!$E$5:$E$489, '📋 Detalle Diario'!$B$5:$B$489, B4728, '📋 Detalle Diario'!$C$5:$C$489, D4728) * 135 + SUMIFS('📋 Detalle Diario'!$I$5:$I$489, '📋 Detalle Diario'!$B$5:$B$489, B4728, '📋 Detalle Diario'!$C$5:$C$489, D4728) * 200), 0))</f>
        <v/>
      </c>
      <c r="P4728" s="32" t="str">
        <f t="shared" si="516"/>
        <v/>
      </c>
      <c r="Q4728" s="33" t="str">
        <f t="shared" si="517"/>
        <v/>
      </c>
    </row>
    <row r="4729" spans="2:17" ht="18" customHeight="1" x14ac:dyDescent="0.3">
      <c r="B4729" s="26"/>
      <c r="C4729" s="28"/>
      <c r="D4729" s="27"/>
      <c r="E4729" s="29"/>
      <c r="F4729" s="29"/>
      <c r="G4729" s="29"/>
      <c r="H4729" s="30" t="str">
        <f t="shared" si="511"/>
        <v/>
      </c>
      <c r="I4729" s="31" t="str">
        <f>IF(OR(B4729="",C4729=""),"",IFERROR(E4729*IF(E4729="",0,VLOOKUP(C4729,'📦 Precios Proforma'!$B$5:$D$104,IF(D4729="DIA",2,3),FALSE)),0))</f>
        <v/>
      </c>
      <c r="J4729" s="31" t="str">
        <f t="shared" si="512"/>
        <v/>
      </c>
      <c r="K4729" s="31" t="str">
        <f t="shared" si="513"/>
        <v/>
      </c>
      <c r="L4729" s="31" t="str">
        <f>IF(OR(B4729="",C4729=""),"",IFERROR(E4729 / SUMIFS('📅 Resumen Diario'!$D$5:$D$504, '📅 Resumen Diario'!$B$5:$B$504, B4729, '📅 Resumen Diario'!$C$5:$C$504, D4729) * SUMIFS('📅 Resumen Diario'!$K$5:$K$504, '📅 Resumen Diario'!$B$5:$B$504, B4729, '📅 Resumen Diario'!$C$5:$C$504, D4729), 0))</f>
        <v/>
      </c>
      <c r="M4729" s="31" t="str">
        <f t="shared" si="514"/>
        <v/>
      </c>
      <c r="N4729" s="31" t="str">
        <f t="shared" si="515"/>
        <v/>
      </c>
      <c r="O4729" s="31" t="str">
        <f>IF(OR(B4729="",C4729=""),"",K4729-N4729 + IFERROR(E4729 / SUMIFS('📅 Resumen Diario'!$D$5:$D$504, '📅 Resumen Diario'!$B$5:$B$504, B4729, '📅 Resumen Diario'!$C$5:$C$504, D4729) * (SUMIFS('📋 Detalle Diario'!$E$5:$E$489, '📋 Detalle Diario'!$B$5:$B$489, B4729, '📋 Detalle Diario'!$C$5:$C$489, D4729) * 135 + SUMIFS('📋 Detalle Diario'!$I$5:$I$489, '📋 Detalle Diario'!$B$5:$B$489, B4729, '📋 Detalle Diario'!$C$5:$C$489, D4729) * 200), 0))</f>
        <v/>
      </c>
      <c r="P4729" s="32" t="str">
        <f t="shared" si="516"/>
        <v/>
      </c>
      <c r="Q4729" s="33" t="str">
        <f t="shared" si="517"/>
        <v/>
      </c>
    </row>
    <row r="4730" spans="2:17" ht="18" customHeight="1" x14ac:dyDescent="0.3">
      <c r="B4730" s="26"/>
      <c r="C4730" s="17"/>
      <c r="D4730" s="27"/>
      <c r="E4730" s="18"/>
      <c r="F4730" s="18"/>
      <c r="G4730" s="18"/>
      <c r="H4730" s="30" t="str">
        <f t="shared" si="511"/>
        <v/>
      </c>
      <c r="I4730" s="31" t="str">
        <f>IF(OR(B4730="",C4730=""),"",IFERROR(E4730*IF(E4730="",0,VLOOKUP(C4730,'📦 Precios Proforma'!$B$5:$D$104,IF(D4730="DIA",2,3),FALSE)),0))</f>
        <v/>
      </c>
      <c r="J4730" s="31" t="str">
        <f t="shared" si="512"/>
        <v/>
      </c>
      <c r="K4730" s="31" t="str">
        <f t="shared" si="513"/>
        <v/>
      </c>
      <c r="L4730" s="31" t="str">
        <f>IF(OR(B4730="",C4730=""),"",IFERROR(E4730 / SUMIFS('📅 Resumen Diario'!$D$5:$D$504, '📅 Resumen Diario'!$B$5:$B$504, B4730, '📅 Resumen Diario'!$C$5:$C$504, D4730) * SUMIFS('📅 Resumen Diario'!$K$5:$K$504, '📅 Resumen Diario'!$B$5:$B$504, B4730, '📅 Resumen Diario'!$C$5:$C$504, D4730), 0))</f>
        <v/>
      </c>
      <c r="M4730" s="31" t="str">
        <f t="shared" si="514"/>
        <v/>
      </c>
      <c r="N4730" s="31" t="str">
        <f t="shared" si="515"/>
        <v/>
      </c>
      <c r="O4730" s="31" t="str">
        <f>IF(OR(B4730="",C4730=""),"",K4730-N4730 + IFERROR(E4730 / SUMIFS('📅 Resumen Diario'!$D$5:$D$504, '📅 Resumen Diario'!$B$5:$B$504, B4730, '📅 Resumen Diario'!$C$5:$C$504, D4730) * (SUMIFS('📋 Detalle Diario'!$E$5:$E$489, '📋 Detalle Diario'!$B$5:$B$489, B4730, '📋 Detalle Diario'!$C$5:$C$489, D4730) * 135 + SUMIFS('📋 Detalle Diario'!$I$5:$I$489, '📋 Detalle Diario'!$B$5:$B$489, B4730, '📋 Detalle Diario'!$C$5:$C$489, D4730) * 200), 0))</f>
        <v/>
      </c>
      <c r="P4730" s="32" t="str">
        <f t="shared" si="516"/>
        <v/>
      </c>
      <c r="Q4730" s="33" t="str">
        <f t="shared" si="517"/>
        <v/>
      </c>
    </row>
    <row r="4731" spans="2:17" ht="18" customHeight="1" x14ac:dyDescent="0.3">
      <c r="B4731" s="26"/>
      <c r="C4731" s="28"/>
      <c r="D4731" s="27"/>
      <c r="E4731" s="29"/>
      <c r="F4731" s="29"/>
      <c r="G4731" s="29"/>
      <c r="H4731" s="30" t="str">
        <f t="shared" si="511"/>
        <v/>
      </c>
      <c r="I4731" s="31" t="str">
        <f>IF(OR(B4731="",C4731=""),"",IFERROR(E4731*IF(E4731="",0,VLOOKUP(C4731,'📦 Precios Proforma'!$B$5:$D$104,IF(D4731="DIA",2,3),FALSE)),0))</f>
        <v/>
      </c>
      <c r="J4731" s="31" t="str">
        <f t="shared" si="512"/>
        <v/>
      </c>
      <c r="K4731" s="31" t="str">
        <f t="shared" si="513"/>
        <v/>
      </c>
      <c r="L4731" s="31" t="str">
        <f>IF(OR(B4731="",C4731=""),"",IFERROR(E4731 / SUMIFS('📅 Resumen Diario'!$D$5:$D$504, '📅 Resumen Diario'!$B$5:$B$504, B4731, '📅 Resumen Diario'!$C$5:$C$504, D4731) * SUMIFS('📅 Resumen Diario'!$K$5:$K$504, '📅 Resumen Diario'!$B$5:$B$504, B4731, '📅 Resumen Diario'!$C$5:$C$504, D4731), 0))</f>
        <v/>
      </c>
      <c r="M4731" s="31" t="str">
        <f t="shared" si="514"/>
        <v/>
      </c>
      <c r="N4731" s="31" t="str">
        <f t="shared" si="515"/>
        <v/>
      </c>
      <c r="O4731" s="31" t="str">
        <f>IF(OR(B4731="",C4731=""),"",K4731-N4731 + IFERROR(E4731 / SUMIFS('📅 Resumen Diario'!$D$5:$D$504, '📅 Resumen Diario'!$B$5:$B$504, B4731, '📅 Resumen Diario'!$C$5:$C$504, D4731) * (SUMIFS('📋 Detalle Diario'!$E$5:$E$489, '📋 Detalle Diario'!$B$5:$B$489, B4731, '📋 Detalle Diario'!$C$5:$C$489, D4731) * 135 + SUMIFS('📋 Detalle Diario'!$I$5:$I$489, '📋 Detalle Diario'!$B$5:$B$489, B4731, '📋 Detalle Diario'!$C$5:$C$489, D4731) * 200), 0))</f>
        <v/>
      </c>
      <c r="P4731" s="32" t="str">
        <f t="shared" si="516"/>
        <v/>
      </c>
      <c r="Q4731" s="33" t="str">
        <f t="shared" si="517"/>
        <v/>
      </c>
    </row>
    <row r="4732" spans="2:17" ht="18" customHeight="1" x14ac:dyDescent="0.3">
      <c r="B4732" s="26"/>
      <c r="C4732" s="17"/>
      <c r="D4732" s="27"/>
      <c r="E4732" s="18"/>
      <c r="F4732" s="18"/>
      <c r="G4732" s="18"/>
      <c r="H4732" s="30" t="str">
        <f t="shared" si="511"/>
        <v/>
      </c>
      <c r="I4732" s="31" t="str">
        <f>IF(OR(B4732="",C4732=""),"",IFERROR(E4732*IF(E4732="",0,VLOOKUP(C4732,'📦 Precios Proforma'!$B$5:$D$104,IF(D4732="DIA",2,3),FALSE)),0))</f>
        <v/>
      </c>
      <c r="J4732" s="31" t="str">
        <f t="shared" si="512"/>
        <v/>
      </c>
      <c r="K4732" s="31" t="str">
        <f t="shared" si="513"/>
        <v/>
      </c>
      <c r="L4732" s="31" t="str">
        <f>IF(OR(B4732="",C4732=""),"",IFERROR(E4732 / SUMIFS('📅 Resumen Diario'!$D$5:$D$504, '📅 Resumen Diario'!$B$5:$B$504, B4732, '📅 Resumen Diario'!$C$5:$C$504, D4732) * SUMIFS('📅 Resumen Diario'!$K$5:$K$504, '📅 Resumen Diario'!$B$5:$B$504, B4732, '📅 Resumen Diario'!$C$5:$C$504, D4732), 0))</f>
        <v/>
      </c>
      <c r="M4732" s="31" t="str">
        <f t="shared" si="514"/>
        <v/>
      </c>
      <c r="N4732" s="31" t="str">
        <f t="shared" si="515"/>
        <v/>
      </c>
      <c r="O4732" s="31" t="str">
        <f>IF(OR(B4732="",C4732=""),"",K4732-N4732 + IFERROR(E4732 / SUMIFS('📅 Resumen Diario'!$D$5:$D$504, '📅 Resumen Diario'!$B$5:$B$504, B4732, '📅 Resumen Diario'!$C$5:$C$504, D4732) * (SUMIFS('📋 Detalle Diario'!$E$5:$E$489, '📋 Detalle Diario'!$B$5:$B$489, B4732, '📋 Detalle Diario'!$C$5:$C$489, D4732) * 135 + SUMIFS('📋 Detalle Diario'!$I$5:$I$489, '📋 Detalle Diario'!$B$5:$B$489, B4732, '📋 Detalle Diario'!$C$5:$C$489, D4732) * 200), 0))</f>
        <v/>
      </c>
      <c r="P4732" s="32" t="str">
        <f t="shared" si="516"/>
        <v/>
      </c>
      <c r="Q4732" s="33" t="str">
        <f t="shared" si="517"/>
        <v/>
      </c>
    </row>
    <row r="4733" spans="2:17" ht="18" customHeight="1" x14ac:dyDescent="0.3">
      <c r="B4733" s="26"/>
      <c r="C4733" s="28"/>
      <c r="D4733" s="27"/>
      <c r="E4733" s="29"/>
      <c r="F4733" s="29"/>
      <c r="G4733" s="29"/>
      <c r="H4733" s="30" t="str">
        <f t="shared" si="511"/>
        <v/>
      </c>
      <c r="I4733" s="31" t="str">
        <f>IF(OR(B4733="",C4733=""),"",IFERROR(E4733*IF(E4733="",0,VLOOKUP(C4733,'📦 Precios Proforma'!$B$5:$D$104,IF(D4733="DIA",2,3),FALSE)),0))</f>
        <v/>
      </c>
      <c r="J4733" s="31" t="str">
        <f t="shared" si="512"/>
        <v/>
      </c>
      <c r="K4733" s="31" t="str">
        <f t="shared" si="513"/>
        <v/>
      </c>
      <c r="L4733" s="31" t="str">
        <f>IF(OR(B4733="",C4733=""),"",IFERROR(E4733 / SUMIFS('📅 Resumen Diario'!$D$5:$D$504, '📅 Resumen Diario'!$B$5:$B$504, B4733, '📅 Resumen Diario'!$C$5:$C$504, D4733) * SUMIFS('📅 Resumen Diario'!$K$5:$K$504, '📅 Resumen Diario'!$B$5:$B$504, B4733, '📅 Resumen Diario'!$C$5:$C$504, D4733), 0))</f>
        <v/>
      </c>
      <c r="M4733" s="31" t="str">
        <f t="shared" si="514"/>
        <v/>
      </c>
      <c r="N4733" s="31" t="str">
        <f t="shared" si="515"/>
        <v/>
      </c>
      <c r="O4733" s="31" t="str">
        <f>IF(OR(B4733="",C4733=""),"",K4733-N4733 + IFERROR(E4733 / SUMIFS('📅 Resumen Diario'!$D$5:$D$504, '📅 Resumen Diario'!$B$5:$B$504, B4733, '📅 Resumen Diario'!$C$5:$C$504, D4733) * (SUMIFS('📋 Detalle Diario'!$E$5:$E$489, '📋 Detalle Diario'!$B$5:$B$489, B4733, '📋 Detalle Diario'!$C$5:$C$489, D4733) * 135 + SUMIFS('📋 Detalle Diario'!$I$5:$I$489, '📋 Detalle Diario'!$B$5:$B$489, B4733, '📋 Detalle Diario'!$C$5:$C$489, D4733) * 200), 0))</f>
        <v/>
      </c>
      <c r="P4733" s="32" t="str">
        <f t="shared" si="516"/>
        <v/>
      </c>
      <c r="Q4733" s="33" t="str">
        <f t="shared" si="517"/>
        <v/>
      </c>
    </row>
    <row r="4734" spans="2:17" ht="18" customHeight="1" x14ac:dyDescent="0.3">
      <c r="B4734" s="26"/>
      <c r="C4734" s="17"/>
      <c r="D4734" s="27"/>
      <c r="E4734" s="18"/>
      <c r="F4734" s="18"/>
      <c r="G4734" s="18"/>
      <c r="H4734" s="30" t="str">
        <f t="shared" si="511"/>
        <v/>
      </c>
      <c r="I4734" s="31" t="str">
        <f>IF(OR(B4734="",C4734=""),"",IFERROR(E4734*IF(E4734="",0,VLOOKUP(C4734,'📦 Precios Proforma'!$B$5:$D$104,IF(D4734="DIA",2,3),FALSE)),0))</f>
        <v/>
      </c>
      <c r="J4734" s="31" t="str">
        <f t="shared" si="512"/>
        <v/>
      </c>
      <c r="K4734" s="31" t="str">
        <f t="shared" si="513"/>
        <v/>
      </c>
      <c r="L4734" s="31" t="str">
        <f>IF(OR(B4734="",C4734=""),"",IFERROR(E4734 / SUMIFS('📅 Resumen Diario'!$D$5:$D$504, '📅 Resumen Diario'!$B$5:$B$504, B4734, '📅 Resumen Diario'!$C$5:$C$504, D4734) * SUMIFS('📅 Resumen Diario'!$K$5:$K$504, '📅 Resumen Diario'!$B$5:$B$504, B4734, '📅 Resumen Diario'!$C$5:$C$504, D4734), 0))</f>
        <v/>
      </c>
      <c r="M4734" s="31" t="str">
        <f t="shared" si="514"/>
        <v/>
      </c>
      <c r="N4734" s="31" t="str">
        <f t="shared" si="515"/>
        <v/>
      </c>
      <c r="O4734" s="31" t="str">
        <f>IF(OR(B4734="",C4734=""),"",K4734-N4734 + IFERROR(E4734 / SUMIFS('📅 Resumen Diario'!$D$5:$D$504, '📅 Resumen Diario'!$B$5:$B$504, B4734, '📅 Resumen Diario'!$C$5:$C$504, D4734) * (SUMIFS('📋 Detalle Diario'!$E$5:$E$489, '📋 Detalle Diario'!$B$5:$B$489, B4734, '📋 Detalle Diario'!$C$5:$C$489, D4734) * 135 + SUMIFS('📋 Detalle Diario'!$I$5:$I$489, '📋 Detalle Diario'!$B$5:$B$489, B4734, '📋 Detalle Diario'!$C$5:$C$489, D4734) * 200), 0))</f>
        <v/>
      </c>
      <c r="P4734" s="32" t="str">
        <f t="shared" si="516"/>
        <v/>
      </c>
      <c r="Q4734" s="33" t="str">
        <f t="shared" si="517"/>
        <v/>
      </c>
    </row>
    <row r="4735" spans="2:17" ht="18" customHeight="1" x14ac:dyDescent="0.3">
      <c r="B4735" s="26"/>
      <c r="C4735" s="28"/>
      <c r="D4735" s="27"/>
      <c r="E4735" s="29"/>
      <c r="F4735" s="29"/>
      <c r="G4735" s="29"/>
      <c r="H4735" s="30" t="str">
        <f t="shared" si="511"/>
        <v/>
      </c>
      <c r="I4735" s="31" t="str">
        <f>IF(OR(B4735="",C4735=""),"",IFERROR(E4735*IF(E4735="",0,VLOOKUP(C4735,'📦 Precios Proforma'!$B$5:$D$104,IF(D4735="DIA",2,3),FALSE)),0))</f>
        <v/>
      </c>
      <c r="J4735" s="31" t="str">
        <f t="shared" si="512"/>
        <v/>
      </c>
      <c r="K4735" s="31" t="str">
        <f t="shared" si="513"/>
        <v/>
      </c>
      <c r="L4735" s="31" t="str">
        <f>IF(OR(B4735="",C4735=""),"",IFERROR(E4735 / SUMIFS('📅 Resumen Diario'!$D$5:$D$504, '📅 Resumen Diario'!$B$5:$B$504, B4735, '📅 Resumen Diario'!$C$5:$C$504, D4735) * SUMIFS('📅 Resumen Diario'!$K$5:$K$504, '📅 Resumen Diario'!$B$5:$B$504, B4735, '📅 Resumen Diario'!$C$5:$C$504, D4735), 0))</f>
        <v/>
      </c>
      <c r="M4735" s="31" t="str">
        <f t="shared" si="514"/>
        <v/>
      </c>
      <c r="N4735" s="31" t="str">
        <f t="shared" si="515"/>
        <v/>
      </c>
      <c r="O4735" s="31" t="str">
        <f>IF(OR(B4735="",C4735=""),"",K4735-N4735 + IFERROR(E4735 / SUMIFS('📅 Resumen Diario'!$D$5:$D$504, '📅 Resumen Diario'!$B$5:$B$504, B4735, '📅 Resumen Diario'!$C$5:$C$504, D4735) * (SUMIFS('📋 Detalle Diario'!$E$5:$E$489, '📋 Detalle Diario'!$B$5:$B$489, B4735, '📋 Detalle Diario'!$C$5:$C$489, D4735) * 135 + SUMIFS('📋 Detalle Diario'!$I$5:$I$489, '📋 Detalle Diario'!$B$5:$B$489, B4735, '📋 Detalle Diario'!$C$5:$C$489, D4735) * 200), 0))</f>
        <v/>
      </c>
      <c r="P4735" s="32" t="str">
        <f t="shared" si="516"/>
        <v/>
      </c>
      <c r="Q4735" s="33" t="str">
        <f t="shared" si="517"/>
        <v/>
      </c>
    </row>
    <row r="4736" spans="2:17" ht="18" customHeight="1" x14ac:dyDescent="0.3">
      <c r="B4736" s="26"/>
      <c r="C4736" s="17"/>
      <c r="D4736" s="27"/>
      <c r="E4736" s="18"/>
      <c r="F4736" s="18"/>
      <c r="G4736" s="18"/>
      <c r="H4736" s="30" t="str">
        <f t="shared" si="511"/>
        <v/>
      </c>
      <c r="I4736" s="31" t="str">
        <f>IF(OR(B4736="",C4736=""),"",IFERROR(E4736*IF(E4736="",0,VLOOKUP(C4736,'📦 Precios Proforma'!$B$5:$D$104,IF(D4736="DIA",2,3),FALSE)),0))</f>
        <v/>
      </c>
      <c r="J4736" s="31" t="str">
        <f t="shared" si="512"/>
        <v/>
      </c>
      <c r="K4736" s="31" t="str">
        <f t="shared" si="513"/>
        <v/>
      </c>
      <c r="L4736" s="31" t="str">
        <f>IF(OR(B4736="",C4736=""),"",IFERROR(E4736 / SUMIFS('📅 Resumen Diario'!$D$5:$D$504, '📅 Resumen Diario'!$B$5:$B$504, B4736, '📅 Resumen Diario'!$C$5:$C$504, D4736) * SUMIFS('📅 Resumen Diario'!$K$5:$K$504, '📅 Resumen Diario'!$B$5:$B$504, B4736, '📅 Resumen Diario'!$C$5:$C$504, D4736), 0))</f>
        <v/>
      </c>
      <c r="M4736" s="31" t="str">
        <f t="shared" si="514"/>
        <v/>
      </c>
      <c r="N4736" s="31" t="str">
        <f t="shared" si="515"/>
        <v/>
      </c>
      <c r="O4736" s="31" t="str">
        <f>IF(OR(B4736="",C4736=""),"",K4736-N4736 + IFERROR(E4736 / SUMIFS('📅 Resumen Diario'!$D$5:$D$504, '📅 Resumen Diario'!$B$5:$B$504, B4736, '📅 Resumen Diario'!$C$5:$C$504, D4736) * (SUMIFS('📋 Detalle Diario'!$E$5:$E$489, '📋 Detalle Diario'!$B$5:$B$489, B4736, '📋 Detalle Diario'!$C$5:$C$489, D4736) * 135 + SUMIFS('📋 Detalle Diario'!$I$5:$I$489, '📋 Detalle Diario'!$B$5:$B$489, B4736, '📋 Detalle Diario'!$C$5:$C$489, D4736) * 200), 0))</f>
        <v/>
      </c>
      <c r="P4736" s="32" t="str">
        <f t="shared" si="516"/>
        <v/>
      </c>
      <c r="Q4736" s="33" t="str">
        <f t="shared" si="517"/>
        <v/>
      </c>
    </row>
    <row r="4737" spans="2:17" ht="18" customHeight="1" x14ac:dyDescent="0.3">
      <c r="B4737" s="26"/>
      <c r="C4737" s="28"/>
      <c r="D4737" s="27"/>
      <c r="E4737" s="29"/>
      <c r="F4737" s="29"/>
      <c r="G4737" s="29"/>
      <c r="H4737" s="30" t="str">
        <f t="shared" si="511"/>
        <v/>
      </c>
      <c r="I4737" s="31" t="str">
        <f>IF(OR(B4737="",C4737=""),"",IFERROR(E4737*IF(E4737="",0,VLOOKUP(C4737,'📦 Precios Proforma'!$B$5:$D$104,IF(D4737="DIA",2,3),FALSE)),0))</f>
        <v/>
      </c>
      <c r="J4737" s="31" t="str">
        <f t="shared" si="512"/>
        <v/>
      </c>
      <c r="K4737" s="31" t="str">
        <f t="shared" si="513"/>
        <v/>
      </c>
      <c r="L4737" s="31" t="str">
        <f>IF(OR(B4737="",C4737=""),"",IFERROR(E4737 / SUMIFS('📅 Resumen Diario'!$D$5:$D$504, '📅 Resumen Diario'!$B$5:$B$504, B4737, '📅 Resumen Diario'!$C$5:$C$504, D4737) * SUMIFS('📅 Resumen Diario'!$K$5:$K$504, '📅 Resumen Diario'!$B$5:$B$504, B4737, '📅 Resumen Diario'!$C$5:$C$504, D4737), 0))</f>
        <v/>
      </c>
      <c r="M4737" s="31" t="str">
        <f t="shared" si="514"/>
        <v/>
      </c>
      <c r="N4737" s="31" t="str">
        <f t="shared" si="515"/>
        <v/>
      </c>
      <c r="O4737" s="31" t="str">
        <f>IF(OR(B4737="",C4737=""),"",K4737-N4737 + IFERROR(E4737 / SUMIFS('📅 Resumen Diario'!$D$5:$D$504, '📅 Resumen Diario'!$B$5:$B$504, B4737, '📅 Resumen Diario'!$C$5:$C$504, D4737) * (SUMIFS('📋 Detalle Diario'!$E$5:$E$489, '📋 Detalle Diario'!$B$5:$B$489, B4737, '📋 Detalle Diario'!$C$5:$C$489, D4737) * 135 + SUMIFS('📋 Detalle Diario'!$I$5:$I$489, '📋 Detalle Diario'!$B$5:$B$489, B4737, '📋 Detalle Diario'!$C$5:$C$489, D4737) * 200), 0))</f>
        <v/>
      </c>
      <c r="P4737" s="32" t="str">
        <f t="shared" si="516"/>
        <v/>
      </c>
      <c r="Q4737" s="33" t="str">
        <f t="shared" si="517"/>
        <v/>
      </c>
    </row>
    <row r="4738" spans="2:17" ht="18" customHeight="1" x14ac:dyDescent="0.3">
      <c r="B4738" s="26"/>
      <c r="C4738" s="17"/>
      <c r="D4738" s="27"/>
      <c r="E4738" s="18"/>
      <c r="F4738" s="18"/>
      <c r="G4738" s="18"/>
      <c r="H4738" s="30" t="str">
        <f t="shared" si="511"/>
        <v/>
      </c>
      <c r="I4738" s="31" t="str">
        <f>IF(OR(B4738="",C4738=""),"",IFERROR(E4738*IF(E4738="",0,VLOOKUP(C4738,'📦 Precios Proforma'!$B$5:$D$104,IF(D4738="DIA",2,3),FALSE)),0))</f>
        <v/>
      </c>
      <c r="J4738" s="31" t="str">
        <f t="shared" si="512"/>
        <v/>
      </c>
      <c r="K4738" s="31" t="str">
        <f t="shared" si="513"/>
        <v/>
      </c>
      <c r="L4738" s="31" t="str">
        <f>IF(OR(B4738="",C4738=""),"",IFERROR(E4738 / SUMIFS('📅 Resumen Diario'!$D$5:$D$504, '📅 Resumen Diario'!$B$5:$B$504, B4738, '📅 Resumen Diario'!$C$5:$C$504, D4738) * SUMIFS('📅 Resumen Diario'!$K$5:$K$504, '📅 Resumen Diario'!$B$5:$B$504, B4738, '📅 Resumen Diario'!$C$5:$C$504, D4738), 0))</f>
        <v/>
      </c>
      <c r="M4738" s="31" t="str">
        <f t="shared" si="514"/>
        <v/>
      </c>
      <c r="N4738" s="31" t="str">
        <f t="shared" si="515"/>
        <v/>
      </c>
      <c r="O4738" s="31" t="str">
        <f>IF(OR(B4738="",C4738=""),"",K4738-N4738 + IFERROR(E4738 / SUMIFS('📅 Resumen Diario'!$D$5:$D$504, '📅 Resumen Diario'!$B$5:$B$504, B4738, '📅 Resumen Diario'!$C$5:$C$504, D4738) * (SUMIFS('📋 Detalle Diario'!$E$5:$E$489, '📋 Detalle Diario'!$B$5:$B$489, B4738, '📋 Detalle Diario'!$C$5:$C$489, D4738) * 135 + SUMIFS('📋 Detalle Diario'!$I$5:$I$489, '📋 Detalle Diario'!$B$5:$B$489, B4738, '📋 Detalle Diario'!$C$5:$C$489, D4738) * 200), 0))</f>
        <v/>
      </c>
      <c r="P4738" s="32" t="str">
        <f t="shared" si="516"/>
        <v/>
      </c>
      <c r="Q4738" s="33" t="str">
        <f t="shared" si="517"/>
        <v/>
      </c>
    </row>
    <row r="4739" spans="2:17" ht="18" customHeight="1" x14ac:dyDescent="0.3">
      <c r="B4739" s="26"/>
      <c r="C4739" s="28"/>
      <c r="D4739" s="27"/>
      <c r="E4739" s="29"/>
      <c r="F4739" s="29"/>
      <c r="G4739" s="29"/>
      <c r="H4739" s="30" t="str">
        <f t="shared" si="511"/>
        <v/>
      </c>
      <c r="I4739" s="31" t="str">
        <f>IF(OR(B4739="",C4739=""),"",IFERROR(E4739*IF(E4739="",0,VLOOKUP(C4739,'📦 Precios Proforma'!$B$5:$D$104,IF(D4739="DIA",2,3),FALSE)),0))</f>
        <v/>
      </c>
      <c r="J4739" s="31" t="str">
        <f t="shared" si="512"/>
        <v/>
      </c>
      <c r="K4739" s="31" t="str">
        <f t="shared" si="513"/>
        <v/>
      </c>
      <c r="L4739" s="31" t="str">
        <f>IF(OR(B4739="",C4739=""),"",IFERROR(E4739 / SUMIFS('📅 Resumen Diario'!$D$5:$D$504, '📅 Resumen Diario'!$B$5:$B$504, B4739, '📅 Resumen Diario'!$C$5:$C$504, D4739) * SUMIFS('📅 Resumen Diario'!$K$5:$K$504, '📅 Resumen Diario'!$B$5:$B$504, B4739, '📅 Resumen Diario'!$C$5:$C$504, D4739), 0))</f>
        <v/>
      </c>
      <c r="M4739" s="31" t="str">
        <f t="shared" si="514"/>
        <v/>
      </c>
      <c r="N4739" s="31" t="str">
        <f t="shared" si="515"/>
        <v/>
      </c>
      <c r="O4739" s="31" t="str">
        <f>IF(OR(B4739="",C4739=""),"",K4739-N4739 + IFERROR(E4739 / SUMIFS('📅 Resumen Diario'!$D$5:$D$504, '📅 Resumen Diario'!$B$5:$B$504, B4739, '📅 Resumen Diario'!$C$5:$C$504, D4739) * (SUMIFS('📋 Detalle Diario'!$E$5:$E$489, '📋 Detalle Diario'!$B$5:$B$489, B4739, '📋 Detalle Diario'!$C$5:$C$489, D4739) * 135 + SUMIFS('📋 Detalle Diario'!$I$5:$I$489, '📋 Detalle Diario'!$B$5:$B$489, B4739, '📋 Detalle Diario'!$C$5:$C$489, D4739) * 200), 0))</f>
        <v/>
      </c>
      <c r="P4739" s="32" t="str">
        <f t="shared" si="516"/>
        <v/>
      </c>
      <c r="Q4739" s="33" t="str">
        <f t="shared" si="517"/>
        <v/>
      </c>
    </row>
    <row r="4740" spans="2:17" ht="18" customHeight="1" x14ac:dyDescent="0.3">
      <c r="B4740" s="26"/>
      <c r="C4740" s="17"/>
      <c r="D4740" s="27"/>
      <c r="E4740" s="18"/>
      <c r="F4740" s="18"/>
      <c r="G4740" s="18"/>
      <c r="H4740" s="30" t="str">
        <f t="shared" si="511"/>
        <v/>
      </c>
      <c r="I4740" s="31" t="str">
        <f>IF(OR(B4740="",C4740=""),"",IFERROR(E4740*IF(E4740="",0,VLOOKUP(C4740,'📦 Precios Proforma'!$B$5:$D$104,IF(D4740="DIA",2,3),FALSE)),0))</f>
        <v/>
      </c>
      <c r="J4740" s="31" t="str">
        <f t="shared" si="512"/>
        <v/>
      </c>
      <c r="K4740" s="31" t="str">
        <f t="shared" si="513"/>
        <v/>
      </c>
      <c r="L4740" s="31" t="str">
        <f>IF(OR(B4740="",C4740=""),"",IFERROR(E4740 / SUMIFS('📅 Resumen Diario'!$D$5:$D$504, '📅 Resumen Diario'!$B$5:$B$504, B4740, '📅 Resumen Diario'!$C$5:$C$504, D4740) * SUMIFS('📅 Resumen Diario'!$K$5:$K$504, '📅 Resumen Diario'!$B$5:$B$504, B4740, '📅 Resumen Diario'!$C$5:$C$504, D4740), 0))</f>
        <v/>
      </c>
      <c r="M4740" s="31" t="str">
        <f t="shared" si="514"/>
        <v/>
      </c>
      <c r="N4740" s="31" t="str">
        <f t="shared" si="515"/>
        <v/>
      </c>
      <c r="O4740" s="31" t="str">
        <f>IF(OR(B4740="",C4740=""),"",K4740-N4740 + IFERROR(E4740 / SUMIFS('📅 Resumen Diario'!$D$5:$D$504, '📅 Resumen Diario'!$B$5:$B$504, B4740, '📅 Resumen Diario'!$C$5:$C$504, D4740) * (SUMIFS('📋 Detalle Diario'!$E$5:$E$489, '📋 Detalle Diario'!$B$5:$B$489, B4740, '📋 Detalle Diario'!$C$5:$C$489, D4740) * 135 + SUMIFS('📋 Detalle Diario'!$I$5:$I$489, '📋 Detalle Diario'!$B$5:$B$489, B4740, '📋 Detalle Diario'!$C$5:$C$489, D4740) * 200), 0))</f>
        <v/>
      </c>
      <c r="P4740" s="32" t="str">
        <f t="shared" si="516"/>
        <v/>
      </c>
      <c r="Q4740" s="33" t="str">
        <f t="shared" si="517"/>
        <v/>
      </c>
    </row>
    <row r="4741" spans="2:17" ht="18" customHeight="1" x14ac:dyDescent="0.3">
      <c r="B4741" s="26"/>
      <c r="C4741" s="28"/>
      <c r="D4741" s="27"/>
      <c r="E4741" s="29"/>
      <c r="F4741" s="29"/>
      <c r="G4741" s="29"/>
      <c r="H4741" s="30" t="str">
        <f t="shared" si="511"/>
        <v/>
      </c>
      <c r="I4741" s="31" t="str">
        <f>IF(OR(B4741="",C4741=""),"",IFERROR(E4741*IF(E4741="",0,VLOOKUP(C4741,'📦 Precios Proforma'!$B$5:$D$104,IF(D4741="DIA",2,3),FALSE)),0))</f>
        <v/>
      </c>
      <c r="J4741" s="31" t="str">
        <f t="shared" si="512"/>
        <v/>
      </c>
      <c r="K4741" s="31" t="str">
        <f t="shared" si="513"/>
        <v/>
      </c>
      <c r="L4741" s="31" t="str">
        <f>IF(OR(B4741="",C4741=""),"",IFERROR(E4741 / SUMIFS('📅 Resumen Diario'!$D$5:$D$504, '📅 Resumen Diario'!$B$5:$B$504, B4741, '📅 Resumen Diario'!$C$5:$C$504, D4741) * SUMIFS('📅 Resumen Diario'!$K$5:$K$504, '📅 Resumen Diario'!$B$5:$B$504, B4741, '📅 Resumen Diario'!$C$5:$C$504, D4741), 0))</f>
        <v/>
      </c>
      <c r="M4741" s="31" t="str">
        <f t="shared" si="514"/>
        <v/>
      </c>
      <c r="N4741" s="31" t="str">
        <f t="shared" si="515"/>
        <v/>
      </c>
      <c r="O4741" s="31" t="str">
        <f>IF(OR(B4741="",C4741=""),"",K4741-N4741 + IFERROR(E4741 / SUMIFS('📅 Resumen Diario'!$D$5:$D$504, '📅 Resumen Diario'!$B$5:$B$504, B4741, '📅 Resumen Diario'!$C$5:$C$504, D4741) * (SUMIFS('📋 Detalle Diario'!$E$5:$E$489, '📋 Detalle Diario'!$B$5:$B$489, B4741, '📋 Detalle Diario'!$C$5:$C$489, D4741) * 135 + SUMIFS('📋 Detalle Diario'!$I$5:$I$489, '📋 Detalle Diario'!$B$5:$B$489, B4741, '📋 Detalle Diario'!$C$5:$C$489, D4741) * 200), 0))</f>
        <v/>
      </c>
      <c r="P4741" s="32" t="str">
        <f t="shared" si="516"/>
        <v/>
      </c>
      <c r="Q4741" s="33" t="str">
        <f t="shared" si="517"/>
        <v/>
      </c>
    </row>
    <row r="4742" spans="2:17" ht="18" customHeight="1" x14ac:dyDescent="0.3">
      <c r="B4742" s="26"/>
      <c r="C4742" s="17"/>
      <c r="D4742" s="27"/>
      <c r="E4742" s="18"/>
      <c r="F4742" s="18"/>
      <c r="G4742" s="18"/>
      <c r="H4742" s="30" t="str">
        <f t="shared" si="511"/>
        <v/>
      </c>
      <c r="I4742" s="31" t="str">
        <f>IF(OR(B4742="",C4742=""),"",IFERROR(E4742*IF(E4742="",0,VLOOKUP(C4742,'📦 Precios Proforma'!$B$5:$D$104,IF(D4742="DIA",2,3),FALSE)),0))</f>
        <v/>
      </c>
      <c r="J4742" s="31" t="str">
        <f t="shared" si="512"/>
        <v/>
      </c>
      <c r="K4742" s="31" t="str">
        <f t="shared" si="513"/>
        <v/>
      </c>
      <c r="L4742" s="31" t="str">
        <f>IF(OR(B4742="",C4742=""),"",IFERROR(E4742 / SUMIFS('📅 Resumen Diario'!$D$5:$D$504, '📅 Resumen Diario'!$B$5:$B$504, B4742, '📅 Resumen Diario'!$C$5:$C$504, D4742) * SUMIFS('📅 Resumen Diario'!$K$5:$K$504, '📅 Resumen Diario'!$B$5:$B$504, B4742, '📅 Resumen Diario'!$C$5:$C$504, D4742), 0))</f>
        <v/>
      </c>
      <c r="M4742" s="31" t="str">
        <f t="shared" si="514"/>
        <v/>
      </c>
      <c r="N4742" s="31" t="str">
        <f t="shared" si="515"/>
        <v/>
      </c>
      <c r="O4742" s="31" t="str">
        <f>IF(OR(B4742="",C4742=""),"",K4742-N4742 + IFERROR(E4742 / SUMIFS('📅 Resumen Diario'!$D$5:$D$504, '📅 Resumen Diario'!$B$5:$B$504, B4742, '📅 Resumen Diario'!$C$5:$C$504, D4742) * (SUMIFS('📋 Detalle Diario'!$E$5:$E$489, '📋 Detalle Diario'!$B$5:$B$489, B4742, '📋 Detalle Diario'!$C$5:$C$489, D4742) * 135 + SUMIFS('📋 Detalle Diario'!$I$5:$I$489, '📋 Detalle Diario'!$B$5:$B$489, B4742, '📋 Detalle Diario'!$C$5:$C$489, D4742) * 200), 0))</f>
        <v/>
      </c>
      <c r="P4742" s="32" t="str">
        <f t="shared" si="516"/>
        <v/>
      </c>
      <c r="Q4742" s="33" t="str">
        <f t="shared" si="517"/>
        <v/>
      </c>
    </row>
    <row r="4743" spans="2:17" ht="18" customHeight="1" x14ac:dyDescent="0.3">
      <c r="B4743" s="26"/>
      <c r="C4743" s="28"/>
      <c r="D4743" s="27"/>
      <c r="E4743" s="29"/>
      <c r="F4743" s="29"/>
      <c r="G4743" s="29"/>
      <c r="H4743" s="30" t="str">
        <f t="shared" ref="H4743:H4806" si="518">IF(OR(B4743="",C4743=""),"",F4743+G4743)</f>
        <v/>
      </c>
      <c r="I4743" s="31" t="str">
        <f>IF(OR(B4743="",C4743=""),"",IFERROR(E4743*IF(E4743="",0,VLOOKUP(C4743,'📦 Precios Proforma'!$B$5:$D$104,IF(D4743="DIA",2,3),FALSE)),0))</f>
        <v/>
      </c>
      <c r="J4743" s="31" t="str">
        <f t="shared" ref="J4743:J4806" si="519">IF(OR(B4743="",C4743=""),"",IF(D4743="DIA",H4743*1.01,H4743*1.35))</f>
        <v/>
      </c>
      <c r="K4743" s="31" t="str">
        <f t="shared" ref="K4743:K4806" si="520">IF(OR(B4743="",C4743=""),"",I4743+J4743)</f>
        <v/>
      </c>
      <c r="L4743" s="31" t="str">
        <f>IF(OR(B4743="",C4743=""),"",IFERROR(E4743 / SUMIFS('📅 Resumen Diario'!$D$5:$D$504, '📅 Resumen Diario'!$B$5:$B$504, B4743, '📅 Resumen Diario'!$C$5:$C$504, D4743) * SUMIFS('📅 Resumen Diario'!$K$5:$K$504, '📅 Resumen Diario'!$B$5:$B$504, B4743, '📅 Resumen Diario'!$C$5:$C$504, D4743), 0))</f>
        <v/>
      </c>
      <c r="M4743" s="31" t="str">
        <f t="shared" ref="M4743:M4806" si="521">IF(OR(B4743="",C4743=""),"",H4743*0.09)</f>
        <v/>
      </c>
      <c r="N4743" s="31" t="str">
        <f t="shared" ref="N4743:N4806" si="522">IF(OR(B4743="",C4743=""),"",L4743+M4743)</f>
        <v/>
      </c>
      <c r="O4743" s="31" t="str">
        <f>IF(OR(B4743="",C4743=""),"",K4743-N4743 + IFERROR(E4743 / SUMIFS('📅 Resumen Diario'!$D$5:$D$504, '📅 Resumen Diario'!$B$5:$B$504, B4743, '📅 Resumen Diario'!$C$5:$C$504, D4743) * (SUMIFS('📋 Detalle Diario'!$E$5:$E$489, '📋 Detalle Diario'!$B$5:$B$489, B4743, '📋 Detalle Diario'!$C$5:$C$489, D4743) * 135 + SUMIFS('📋 Detalle Diario'!$I$5:$I$489, '📋 Detalle Diario'!$B$5:$B$489, B4743, '📋 Detalle Diario'!$C$5:$C$489, D4743) * 200), 0))</f>
        <v/>
      </c>
      <c r="P4743" s="32" t="str">
        <f t="shared" ref="P4743:P4806" si="523">IF(OR(B4743="",C4743=""),"",IF(K4743=0, 0, O4743/K4743))</f>
        <v/>
      </c>
      <c r="Q4743" s="33" t="str">
        <f t="shared" ref="Q4743:Q4806" si="524">IF(B4743="","",IF(ISNUMBER(B4743),YEAR(B4743)&amp;"-"&amp;IF(MONTH(B4743)&lt;10,"0","")&amp;MONTH(B4743),LEFT(B4743,7)))</f>
        <v/>
      </c>
    </row>
    <row r="4744" spans="2:17" ht="18" customHeight="1" x14ac:dyDescent="0.3">
      <c r="B4744" s="26"/>
      <c r="C4744" s="17"/>
      <c r="D4744" s="27"/>
      <c r="E4744" s="18"/>
      <c r="F4744" s="18"/>
      <c r="G4744" s="18"/>
      <c r="H4744" s="30" t="str">
        <f t="shared" si="518"/>
        <v/>
      </c>
      <c r="I4744" s="31" t="str">
        <f>IF(OR(B4744="",C4744=""),"",IFERROR(E4744*IF(E4744="",0,VLOOKUP(C4744,'📦 Precios Proforma'!$B$5:$D$104,IF(D4744="DIA",2,3),FALSE)),0))</f>
        <v/>
      </c>
      <c r="J4744" s="31" t="str">
        <f t="shared" si="519"/>
        <v/>
      </c>
      <c r="K4744" s="31" t="str">
        <f t="shared" si="520"/>
        <v/>
      </c>
      <c r="L4744" s="31" t="str">
        <f>IF(OR(B4744="",C4744=""),"",IFERROR(E4744 / SUMIFS('📅 Resumen Diario'!$D$5:$D$504, '📅 Resumen Diario'!$B$5:$B$504, B4744, '📅 Resumen Diario'!$C$5:$C$504, D4744) * SUMIFS('📅 Resumen Diario'!$K$5:$K$504, '📅 Resumen Diario'!$B$5:$B$504, B4744, '📅 Resumen Diario'!$C$5:$C$504, D4744), 0))</f>
        <v/>
      </c>
      <c r="M4744" s="31" t="str">
        <f t="shared" si="521"/>
        <v/>
      </c>
      <c r="N4744" s="31" t="str">
        <f t="shared" si="522"/>
        <v/>
      </c>
      <c r="O4744" s="31" t="str">
        <f>IF(OR(B4744="",C4744=""),"",K4744-N4744 + IFERROR(E4744 / SUMIFS('📅 Resumen Diario'!$D$5:$D$504, '📅 Resumen Diario'!$B$5:$B$504, B4744, '📅 Resumen Diario'!$C$5:$C$504, D4744) * (SUMIFS('📋 Detalle Diario'!$E$5:$E$489, '📋 Detalle Diario'!$B$5:$B$489, B4744, '📋 Detalle Diario'!$C$5:$C$489, D4744) * 135 + SUMIFS('📋 Detalle Diario'!$I$5:$I$489, '📋 Detalle Diario'!$B$5:$B$489, B4744, '📋 Detalle Diario'!$C$5:$C$489, D4744) * 200), 0))</f>
        <v/>
      </c>
      <c r="P4744" s="32" t="str">
        <f t="shared" si="523"/>
        <v/>
      </c>
      <c r="Q4744" s="33" t="str">
        <f t="shared" si="524"/>
        <v/>
      </c>
    </row>
    <row r="4745" spans="2:17" ht="18" customHeight="1" x14ac:dyDescent="0.3">
      <c r="B4745" s="26"/>
      <c r="C4745" s="28"/>
      <c r="D4745" s="27"/>
      <c r="E4745" s="29"/>
      <c r="F4745" s="29"/>
      <c r="G4745" s="29"/>
      <c r="H4745" s="30" t="str">
        <f t="shared" si="518"/>
        <v/>
      </c>
      <c r="I4745" s="31" t="str">
        <f>IF(OR(B4745="",C4745=""),"",IFERROR(E4745*IF(E4745="",0,VLOOKUP(C4745,'📦 Precios Proforma'!$B$5:$D$104,IF(D4745="DIA",2,3),FALSE)),0))</f>
        <v/>
      </c>
      <c r="J4745" s="31" t="str">
        <f t="shared" si="519"/>
        <v/>
      </c>
      <c r="K4745" s="31" t="str">
        <f t="shared" si="520"/>
        <v/>
      </c>
      <c r="L4745" s="31" t="str">
        <f>IF(OR(B4745="",C4745=""),"",IFERROR(E4745 / SUMIFS('📅 Resumen Diario'!$D$5:$D$504, '📅 Resumen Diario'!$B$5:$B$504, B4745, '📅 Resumen Diario'!$C$5:$C$504, D4745) * SUMIFS('📅 Resumen Diario'!$K$5:$K$504, '📅 Resumen Diario'!$B$5:$B$504, B4745, '📅 Resumen Diario'!$C$5:$C$504, D4745), 0))</f>
        <v/>
      </c>
      <c r="M4745" s="31" t="str">
        <f t="shared" si="521"/>
        <v/>
      </c>
      <c r="N4745" s="31" t="str">
        <f t="shared" si="522"/>
        <v/>
      </c>
      <c r="O4745" s="31" t="str">
        <f>IF(OR(B4745="",C4745=""),"",K4745-N4745 + IFERROR(E4745 / SUMIFS('📅 Resumen Diario'!$D$5:$D$504, '📅 Resumen Diario'!$B$5:$B$504, B4745, '📅 Resumen Diario'!$C$5:$C$504, D4745) * (SUMIFS('📋 Detalle Diario'!$E$5:$E$489, '📋 Detalle Diario'!$B$5:$B$489, B4745, '📋 Detalle Diario'!$C$5:$C$489, D4745) * 135 + SUMIFS('📋 Detalle Diario'!$I$5:$I$489, '📋 Detalle Diario'!$B$5:$B$489, B4745, '📋 Detalle Diario'!$C$5:$C$489, D4745) * 200), 0))</f>
        <v/>
      </c>
      <c r="P4745" s="32" t="str">
        <f t="shared" si="523"/>
        <v/>
      </c>
      <c r="Q4745" s="33" t="str">
        <f t="shared" si="524"/>
        <v/>
      </c>
    </row>
    <row r="4746" spans="2:17" ht="18" customHeight="1" x14ac:dyDescent="0.3">
      <c r="B4746" s="26"/>
      <c r="C4746" s="17"/>
      <c r="D4746" s="27"/>
      <c r="E4746" s="18"/>
      <c r="F4746" s="18"/>
      <c r="G4746" s="18"/>
      <c r="H4746" s="30" t="str">
        <f t="shared" si="518"/>
        <v/>
      </c>
      <c r="I4746" s="31" t="str">
        <f>IF(OR(B4746="",C4746=""),"",IFERROR(E4746*IF(E4746="",0,VLOOKUP(C4746,'📦 Precios Proforma'!$B$5:$D$104,IF(D4746="DIA",2,3),FALSE)),0))</f>
        <v/>
      </c>
      <c r="J4746" s="31" t="str">
        <f t="shared" si="519"/>
        <v/>
      </c>
      <c r="K4746" s="31" t="str">
        <f t="shared" si="520"/>
        <v/>
      </c>
      <c r="L4746" s="31" t="str">
        <f>IF(OR(B4746="",C4746=""),"",IFERROR(E4746 / SUMIFS('📅 Resumen Diario'!$D$5:$D$504, '📅 Resumen Diario'!$B$5:$B$504, B4746, '📅 Resumen Diario'!$C$5:$C$504, D4746) * SUMIFS('📅 Resumen Diario'!$K$5:$K$504, '📅 Resumen Diario'!$B$5:$B$504, B4746, '📅 Resumen Diario'!$C$5:$C$504, D4746), 0))</f>
        <v/>
      </c>
      <c r="M4746" s="31" t="str">
        <f t="shared" si="521"/>
        <v/>
      </c>
      <c r="N4746" s="31" t="str">
        <f t="shared" si="522"/>
        <v/>
      </c>
      <c r="O4746" s="31" t="str">
        <f>IF(OR(B4746="",C4746=""),"",K4746-N4746 + IFERROR(E4746 / SUMIFS('📅 Resumen Diario'!$D$5:$D$504, '📅 Resumen Diario'!$B$5:$B$504, B4746, '📅 Resumen Diario'!$C$5:$C$504, D4746) * (SUMIFS('📋 Detalle Diario'!$E$5:$E$489, '📋 Detalle Diario'!$B$5:$B$489, B4746, '📋 Detalle Diario'!$C$5:$C$489, D4746) * 135 + SUMIFS('📋 Detalle Diario'!$I$5:$I$489, '📋 Detalle Diario'!$B$5:$B$489, B4746, '📋 Detalle Diario'!$C$5:$C$489, D4746) * 200), 0))</f>
        <v/>
      </c>
      <c r="P4746" s="32" t="str">
        <f t="shared" si="523"/>
        <v/>
      </c>
      <c r="Q4746" s="33" t="str">
        <f t="shared" si="524"/>
        <v/>
      </c>
    </row>
    <row r="4747" spans="2:17" ht="18" customHeight="1" x14ac:dyDescent="0.3">
      <c r="B4747" s="26"/>
      <c r="C4747" s="28"/>
      <c r="D4747" s="27"/>
      <c r="E4747" s="29"/>
      <c r="F4747" s="29"/>
      <c r="G4747" s="29"/>
      <c r="H4747" s="30" t="str">
        <f t="shared" si="518"/>
        <v/>
      </c>
      <c r="I4747" s="31" t="str">
        <f>IF(OR(B4747="",C4747=""),"",IFERROR(E4747*IF(E4747="",0,VLOOKUP(C4747,'📦 Precios Proforma'!$B$5:$D$104,IF(D4747="DIA",2,3),FALSE)),0))</f>
        <v/>
      </c>
      <c r="J4747" s="31" t="str">
        <f t="shared" si="519"/>
        <v/>
      </c>
      <c r="K4747" s="31" t="str">
        <f t="shared" si="520"/>
        <v/>
      </c>
      <c r="L4747" s="31" t="str">
        <f>IF(OR(B4747="",C4747=""),"",IFERROR(E4747 / SUMIFS('📅 Resumen Diario'!$D$5:$D$504, '📅 Resumen Diario'!$B$5:$B$504, B4747, '📅 Resumen Diario'!$C$5:$C$504, D4747) * SUMIFS('📅 Resumen Diario'!$K$5:$K$504, '📅 Resumen Diario'!$B$5:$B$504, B4747, '📅 Resumen Diario'!$C$5:$C$504, D4747), 0))</f>
        <v/>
      </c>
      <c r="M4747" s="31" t="str">
        <f t="shared" si="521"/>
        <v/>
      </c>
      <c r="N4747" s="31" t="str">
        <f t="shared" si="522"/>
        <v/>
      </c>
      <c r="O4747" s="31" t="str">
        <f>IF(OR(B4747="",C4747=""),"",K4747-N4747 + IFERROR(E4747 / SUMIFS('📅 Resumen Diario'!$D$5:$D$504, '📅 Resumen Diario'!$B$5:$B$504, B4747, '📅 Resumen Diario'!$C$5:$C$504, D4747) * (SUMIFS('📋 Detalle Diario'!$E$5:$E$489, '📋 Detalle Diario'!$B$5:$B$489, B4747, '📋 Detalle Diario'!$C$5:$C$489, D4747) * 135 + SUMIFS('📋 Detalle Diario'!$I$5:$I$489, '📋 Detalle Diario'!$B$5:$B$489, B4747, '📋 Detalle Diario'!$C$5:$C$489, D4747) * 200), 0))</f>
        <v/>
      </c>
      <c r="P4747" s="32" t="str">
        <f t="shared" si="523"/>
        <v/>
      </c>
      <c r="Q4747" s="33" t="str">
        <f t="shared" si="524"/>
        <v/>
      </c>
    </row>
    <row r="4748" spans="2:17" ht="18" customHeight="1" x14ac:dyDescent="0.3">
      <c r="B4748" s="26"/>
      <c r="C4748" s="17"/>
      <c r="D4748" s="27"/>
      <c r="E4748" s="18"/>
      <c r="F4748" s="18"/>
      <c r="G4748" s="18"/>
      <c r="H4748" s="30" t="str">
        <f t="shared" si="518"/>
        <v/>
      </c>
      <c r="I4748" s="31" t="str">
        <f>IF(OR(B4748="",C4748=""),"",IFERROR(E4748*IF(E4748="",0,VLOOKUP(C4748,'📦 Precios Proforma'!$B$5:$D$104,IF(D4748="DIA",2,3),FALSE)),0))</f>
        <v/>
      </c>
      <c r="J4748" s="31" t="str">
        <f t="shared" si="519"/>
        <v/>
      </c>
      <c r="K4748" s="31" t="str">
        <f t="shared" si="520"/>
        <v/>
      </c>
      <c r="L4748" s="31" t="str">
        <f>IF(OR(B4748="",C4748=""),"",IFERROR(E4748 / SUMIFS('📅 Resumen Diario'!$D$5:$D$504, '📅 Resumen Diario'!$B$5:$B$504, B4748, '📅 Resumen Diario'!$C$5:$C$504, D4748) * SUMIFS('📅 Resumen Diario'!$K$5:$K$504, '📅 Resumen Diario'!$B$5:$B$504, B4748, '📅 Resumen Diario'!$C$5:$C$504, D4748), 0))</f>
        <v/>
      </c>
      <c r="M4748" s="31" t="str">
        <f t="shared" si="521"/>
        <v/>
      </c>
      <c r="N4748" s="31" t="str">
        <f t="shared" si="522"/>
        <v/>
      </c>
      <c r="O4748" s="31" t="str">
        <f>IF(OR(B4748="",C4748=""),"",K4748-N4748 + IFERROR(E4748 / SUMIFS('📅 Resumen Diario'!$D$5:$D$504, '📅 Resumen Diario'!$B$5:$B$504, B4748, '📅 Resumen Diario'!$C$5:$C$504, D4748) * (SUMIFS('📋 Detalle Diario'!$E$5:$E$489, '📋 Detalle Diario'!$B$5:$B$489, B4748, '📋 Detalle Diario'!$C$5:$C$489, D4748) * 135 + SUMIFS('📋 Detalle Diario'!$I$5:$I$489, '📋 Detalle Diario'!$B$5:$B$489, B4748, '📋 Detalle Diario'!$C$5:$C$489, D4748) * 200), 0))</f>
        <v/>
      </c>
      <c r="P4748" s="32" t="str">
        <f t="shared" si="523"/>
        <v/>
      </c>
      <c r="Q4748" s="33" t="str">
        <f t="shared" si="524"/>
        <v/>
      </c>
    </row>
    <row r="4749" spans="2:17" ht="18" customHeight="1" x14ac:dyDescent="0.3">
      <c r="B4749" s="26"/>
      <c r="C4749" s="28"/>
      <c r="D4749" s="27"/>
      <c r="E4749" s="29"/>
      <c r="F4749" s="29"/>
      <c r="G4749" s="29"/>
      <c r="H4749" s="30" t="str">
        <f t="shared" si="518"/>
        <v/>
      </c>
      <c r="I4749" s="31" t="str">
        <f>IF(OR(B4749="",C4749=""),"",IFERROR(E4749*IF(E4749="",0,VLOOKUP(C4749,'📦 Precios Proforma'!$B$5:$D$104,IF(D4749="DIA",2,3),FALSE)),0))</f>
        <v/>
      </c>
      <c r="J4749" s="31" t="str">
        <f t="shared" si="519"/>
        <v/>
      </c>
      <c r="K4749" s="31" t="str">
        <f t="shared" si="520"/>
        <v/>
      </c>
      <c r="L4749" s="31" t="str">
        <f>IF(OR(B4749="",C4749=""),"",IFERROR(E4749 / SUMIFS('📅 Resumen Diario'!$D$5:$D$504, '📅 Resumen Diario'!$B$5:$B$504, B4749, '📅 Resumen Diario'!$C$5:$C$504, D4749) * SUMIFS('📅 Resumen Diario'!$K$5:$K$504, '📅 Resumen Diario'!$B$5:$B$504, B4749, '📅 Resumen Diario'!$C$5:$C$504, D4749), 0))</f>
        <v/>
      </c>
      <c r="M4749" s="31" t="str">
        <f t="shared" si="521"/>
        <v/>
      </c>
      <c r="N4749" s="31" t="str">
        <f t="shared" si="522"/>
        <v/>
      </c>
      <c r="O4749" s="31" t="str">
        <f>IF(OR(B4749="",C4749=""),"",K4749-N4749 + IFERROR(E4749 / SUMIFS('📅 Resumen Diario'!$D$5:$D$504, '📅 Resumen Diario'!$B$5:$B$504, B4749, '📅 Resumen Diario'!$C$5:$C$504, D4749) * (SUMIFS('📋 Detalle Diario'!$E$5:$E$489, '📋 Detalle Diario'!$B$5:$B$489, B4749, '📋 Detalle Diario'!$C$5:$C$489, D4749) * 135 + SUMIFS('📋 Detalle Diario'!$I$5:$I$489, '📋 Detalle Diario'!$B$5:$B$489, B4749, '📋 Detalle Diario'!$C$5:$C$489, D4749) * 200), 0))</f>
        <v/>
      </c>
      <c r="P4749" s="32" t="str">
        <f t="shared" si="523"/>
        <v/>
      </c>
      <c r="Q4749" s="33" t="str">
        <f t="shared" si="524"/>
        <v/>
      </c>
    </row>
    <row r="4750" spans="2:17" ht="18" customHeight="1" x14ac:dyDescent="0.3">
      <c r="B4750" s="26"/>
      <c r="C4750" s="17"/>
      <c r="D4750" s="27"/>
      <c r="E4750" s="18"/>
      <c r="F4750" s="18"/>
      <c r="G4750" s="18"/>
      <c r="H4750" s="30" t="str">
        <f t="shared" si="518"/>
        <v/>
      </c>
      <c r="I4750" s="31" t="str">
        <f>IF(OR(B4750="",C4750=""),"",IFERROR(E4750*IF(E4750="",0,VLOOKUP(C4750,'📦 Precios Proforma'!$B$5:$D$104,IF(D4750="DIA",2,3),FALSE)),0))</f>
        <v/>
      </c>
      <c r="J4750" s="31" t="str">
        <f t="shared" si="519"/>
        <v/>
      </c>
      <c r="K4750" s="31" t="str">
        <f t="shared" si="520"/>
        <v/>
      </c>
      <c r="L4750" s="31" t="str">
        <f>IF(OR(B4750="",C4750=""),"",IFERROR(E4750 / SUMIFS('📅 Resumen Diario'!$D$5:$D$504, '📅 Resumen Diario'!$B$5:$B$504, B4750, '📅 Resumen Diario'!$C$5:$C$504, D4750) * SUMIFS('📅 Resumen Diario'!$K$5:$K$504, '📅 Resumen Diario'!$B$5:$B$504, B4750, '📅 Resumen Diario'!$C$5:$C$504, D4750), 0))</f>
        <v/>
      </c>
      <c r="M4750" s="31" t="str">
        <f t="shared" si="521"/>
        <v/>
      </c>
      <c r="N4750" s="31" t="str">
        <f t="shared" si="522"/>
        <v/>
      </c>
      <c r="O4750" s="31" t="str">
        <f>IF(OR(B4750="",C4750=""),"",K4750-N4750 + IFERROR(E4750 / SUMIFS('📅 Resumen Diario'!$D$5:$D$504, '📅 Resumen Diario'!$B$5:$B$504, B4750, '📅 Resumen Diario'!$C$5:$C$504, D4750) * (SUMIFS('📋 Detalle Diario'!$E$5:$E$489, '📋 Detalle Diario'!$B$5:$B$489, B4750, '📋 Detalle Diario'!$C$5:$C$489, D4750) * 135 + SUMIFS('📋 Detalle Diario'!$I$5:$I$489, '📋 Detalle Diario'!$B$5:$B$489, B4750, '📋 Detalle Diario'!$C$5:$C$489, D4750) * 200), 0))</f>
        <v/>
      </c>
      <c r="P4750" s="32" t="str">
        <f t="shared" si="523"/>
        <v/>
      </c>
      <c r="Q4750" s="33" t="str">
        <f t="shared" si="524"/>
        <v/>
      </c>
    </row>
    <row r="4751" spans="2:17" ht="18" customHeight="1" x14ac:dyDescent="0.3">
      <c r="B4751" s="26"/>
      <c r="C4751" s="28"/>
      <c r="D4751" s="27"/>
      <c r="E4751" s="29"/>
      <c r="F4751" s="29"/>
      <c r="G4751" s="29"/>
      <c r="H4751" s="30" t="str">
        <f t="shared" si="518"/>
        <v/>
      </c>
      <c r="I4751" s="31" t="str">
        <f>IF(OR(B4751="",C4751=""),"",IFERROR(E4751*IF(E4751="",0,VLOOKUP(C4751,'📦 Precios Proforma'!$B$5:$D$104,IF(D4751="DIA",2,3),FALSE)),0))</f>
        <v/>
      </c>
      <c r="J4751" s="31" t="str">
        <f t="shared" si="519"/>
        <v/>
      </c>
      <c r="K4751" s="31" t="str">
        <f t="shared" si="520"/>
        <v/>
      </c>
      <c r="L4751" s="31" t="str">
        <f>IF(OR(B4751="",C4751=""),"",IFERROR(E4751 / SUMIFS('📅 Resumen Diario'!$D$5:$D$504, '📅 Resumen Diario'!$B$5:$B$504, B4751, '📅 Resumen Diario'!$C$5:$C$504, D4751) * SUMIFS('📅 Resumen Diario'!$K$5:$K$504, '📅 Resumen Diario'!$B$5:$B$504, B4751, '📅 Resumen Diario'!$C$5:$C$504, D4751), 0))</f>
        <v/>
      </c>
      <c r="M4751" s="31" t="str">
        <f t="shared" si="521"/>
        <v/>
      </c>
      <c r="N4751" s="31" t="str">
        <f t="shared" si="522"/>
        <v/>
      </c>
      <c r="O4751" s="31" t="str">
        <f>IF(OR(B4751="",C4751=""),"",K4751-N4751 + IFERROR(E4751 / SUMIFS('📅 Resumen Diario'!$D$5:$D$504, '📅 Resumen Diario'!$B$5:$B$504, B4751, '📅 Resumen Diario'!$C$5:$C$504, D4751) * (SUMIFS('📋 Detalle Diario'!$E$5:$E$489, '📋 Detalle Diario'!$B$5:$B$489, B4751, '📋 Detalle Diario'!$C$5:$C$489, D4751) * 135 + SUMIFS('📋 Detalle Diario'!$I$5:$I$489, '📋 Detalle Diario'!$B$5:$B$489, B4751, '📋 Detalle Diario'!$C$5:$C$489, D4751) * 200), 0))</f>
        <v/>
      </c>
      <c r="P4751" s="32" t="str">
        <f t="shared" si="523"/>
        <v/>
      </c>
      <c r="Q4751" s="33" t="str">
        <f t="shared" si="524"/>
        <v/>
      </c>
    </row>
    <row r="4752" spans="2:17" ht="18" customHeight="1" x14ac:dyDescent="0.3">
      <c r="B4752" s="26"/>
      <c r="C4752" s="17"/>
      <c r="D4752" s="27"/>
      <c r="E4752" s="18"/>
      <c r="F4752" s="18"/>
      <c r="G4752" s="18"/>
      <c r="H4752" s="30" t="str">
        <f t="shared" si="518"/>
        <v/>
      </c>
      <c r="I4752" s="31" t="str">
        <f>IF(OR(B4752="",C4752=""),"",IFERROR(E4752*IF(E4752="",0,VLOOKUP(C4752,'📦 Precios Proforma'!$B$5:$D$104,IF(D4752="DIA",2,3),FALSE)),0))</f>
        <v/>
      </c>
      <c r="J4752" s="31" t="str">
        <f t="shared" si="519"/>
        <v/>
      </c>
      <c r="K4752" s="31" t="str">
        <f t="shared" si="520"/>
        <v/>
      </c>
      <c r="L4752" s="31" t="str">
        <f>IF(OR(B4752="",C4752=""),"",IFERROR(E4752 / SUMIFS('📅 Resumen Diario'!$D$5:$D$504, '📅 Resumen Diario'!$B$5:$B$504, B4752, '📅 Resumen Diario'!$C$5:$C$504, D4752) * SUMIFS('📅 Resumen Diario'!$K$5:$K$504, '📅 Resumen Diario'!$B$5:$B$504, B4752, '📅 Resumen Diario'!$C$5:$C$504, D4752), 0))</f>
        <v/>
      </c>
      <c r="M4752" s="31" t="str">
        <f t="shared" si="521"/>
        <v/>
      </c>
      <c r="N4752" s="31" t="str">
        <f t="shared" si="522"/>
        <v/>
      </c>
      <c r="O4752" s="31" t="str">
        <f>IF(OR(B4752="",C4752=""),"",K4752-N4752 + IFERROR(E4752 / SUMIFS('📅 Resumen Diario'!$D$5:$D$504, '📅 Resumen Diario'!$B$5:$B$504, B4752, '📅 Resumen Diario'!$C$5:$C$504, D4752) * (SUMIFS('📋 Detalle Diario'!$E$5:$E$489, '📋 Detalle Diario'!$B$5:$B$489, B4752, '📋 Detalle Diario'!$C$5:$C$489, D4752) * 135 + SUMIFS('📋 Detalle Diario'!$I$5:$I$489, '📋 Detalle Diario'!$B$5:$B$489, B4752, '📋 Detalle Diario'!$C$5:$C$489, D4752) * 200), 0))</f>
        <v/>
      </c>
      <c r="P4752" s="32" t="str">
        <f t="shared" si="523"/>
        <v/>
      </c>
      <c r="Q4752" s="33" t="str">
        <f t="shared" si="524"/>
        <v/>
      </c>
    </row>
    <row r="4753" spans="2:17" ht="18" customHeight="1" x14ac:dyDescent="0.3">
      <c r="B4753" s="26"/>
      <c r="C4753" s="28"/>
      <c r="D4753" s="27"/>
      <c r="E4753" s="29"/>
      <c r="F4753" s="29"/>
      <c r="G4753" s="29"/>
      <c r="H4753" s="30" t="str">
        <f t="shared" si="518"/>
        <v/>
      </c>
      <c r="I4753" s="31" t="str">
        <f>IF(OR(B4753="",C4753=""),"",IFERROR(E4753*IF(E4753="",0,VLOOKUP(C4753,'📦 Precios Proforma'!$B$5:$D$104,IF(D4753="DIA",2,3),FALSE)),0))</f>
        <v/>
      </c>
      <c r="J4753" s="31" t="str">
        <f t="shared" si="519"/>
        <v/>
      </c>
      <c r="K4753" s="31" t="str">
        <f t="shared" si="520"/>
        <v/>
      </c>
      <c r="L4753" s="31" t="str">
        <f>IF(OR(B4753="",C4753=""),"",IFERROR(E4753 / SUMIFS('📅 Resumen Diario'!$D$5:$D$504, '📅 Resumen Diario'!$B$5:$B$504, B4753, '📅 Resumen Diario'!$C$5:$C$504, D4753) * SUMIFS('📅 Resumen Diario'!$K$5:$K$504, '📅 Resumen Diario'!$B$5:$B$504, B4753, '📅 Resumen Diario'!$C$5:$C$504, D4753), 0))</f>
        <v/>
      </c>
      <c r="M4753" s="31" t="str">
        <f t="shared" si="521"/>
        <v/>
      </c>
      <c r="N4753" s="31" t="str">
        <f t="shared" si="522"/>
        <v/>
      </c>
      <c r="O4753" s="31" t="str">
        <f>IF(OR(B4753="",C4753=""),"",K4753-N4753 + IFERROR(E4753 / SUMIFS('📅 Resumen Diario'!$D$5:$D$504, '📅 Resumen Diario'!$B$5:$B$504, B4753, '📅 Resumen Diario'!$C$5:$C$504, D4753) * (SUMIFS('📋 Detalle Diario'!$E$5:$E$489, '📋 Detalle Diario'!$B$5:$B$489, B4753, '📋 Detalle Diario'!$C$5:$C$489, D4753) * 135 + SUMIFS('📋 Detalle Diario'!$I$5:$I$489, '📋 Detalle Diario'!$B$5:$B$489, B4753, '📋 Detalle Diario'!$C$5:$C$489, D4753) * 200), 0))</f>
        <v/>
      </c>
      <c r="P4753" s="32" t="str">
        <f t="shared" si="523"/>
        <v/>
      </c>
      <c r="Q4753" s="33" t="str">
        <f t="shared" si="524"/>
        <v/>
      </c>
    </row>
    <row r="4754" spans="2:17" ht="18" customHeight="1" x14ac:dyDescent="0.3">
      <c r="B4754" s="26"/>
      <c r="C4754" s="17"/>
      <c r="D4754" s="27"/>
      <c r="E4754" s="18"/>
      <c r="F4754" s="18"/>
      <c r="G4754" s="18"/>
      <c r="H4754" s="30" t="str">
        <f t="shared" si="518"/>
        <v/>
      </c>
      <c r="I4754" s="31" t="str">
        <f>IF(OR(B4754="",C4754=""),"",IFERROR(E4754*IF(E4754="",0,VLOOKUP(C4754,'📦 Precios Proforma'!$B$5:$D$104,IF(D4754="DIA",2,3),FALSE)),0))</f>
        <v/>
      </c>
      <c r="J4754" s="31" t="str">
        <f t="shared" si="519"/>
        <v/>
      </c>
      <c r="K4754" s="31" t="str">
        <f t="shared" si="520"/>
        <v/>
      </c>
      <c r="L4754" s="31" t="str">
        <f>IF(OR(B4754="",C4754=""),"",IFERROR(E4754 / SUMIFS('📅 Resumen Diario'!$D$5:$D$504, '📅 Resumen Diario'!$B$5:$B$504, B4754, '📅 Resumen Diario'!$C$5:$C$504, D4754) * SUMIFS('📅 Resumen Diario'!$K$5:$K$504, '📅 Resumen Diario'!$B$5:$B$504, B4754, '📅 Resumen Diario'!$C$5:$C$504, D4754), 0))</f>
        <v/>
      </c>
      <c r="M4754" s="31" t="str">
        <f t="shared" si="521"/>
        <v/>
      </c>
      <c r="N4754" s="31" t="str">
        <f t="shared" si="522"/>
        <v/>
      </c>
      <c r="O4754" s="31" t="str">
        <f>IF(OR(B4754="",C4754=""),"",K4754-N4754 + IFERROR(E4754 / SUMIFS('📅 Resumen Diario'!$D$5:$D$504, '📅 Resumen Diario'!$B$5:$B$504, B4754, '📅 Resumen Diario'!$C$5:$C$504, D4754) * (SUMIFS('📋 Detalle Diario'!$E$5:$E$489, '📋 Detalle Diario'!$B$5:$B$489, B4754, '📋 Detalle Diario'!$C$5:$C$489, D4754) * 135 + SUMIFS('📋 Detalle Diario'!$I$5:$I$489, '📋 Detalle Diario'!$B$5:$B$489, B4754, '📋 Detalle Diario'!$C$5:$C$489, D4754) * 200), 0))</f>
        <v/>
      </c>
      <c r="P4754" s="32" t="str">
        <f t="shared" si="523"/>
        <v/>
      </c>
      <c r="Q4754" s="33" t="str">
        <f t="shared" si="524"/>
        <v/>
      </c>
    </row>
    <row r="4755" spans="2:17" ht="18" customHeight="1" x14ac:dyDescent="0.3">
      <c r="B4755" s="26"/>
      <c r="C4755" s="28"/>
      <c r="D4755" s="27"/>
      <c r="E4755" s="29"/>
      <c r="F4755" s="29"/>
      <c r="G4755" s="29"/>
      <c r="H4755" s="30" t="str">
        <f t="shared" si="518"/>
        <v/>
      </c>
      <c r="I4755" s="31" t="str">
        <f>IF(OR(B4755="",C4755=""),"",IFERROR(E4755*IF(E4755="",0,VLOOKUP(C4755,'📦 Precios Proforma'!$B$5:$D$104,IF(D4755="DIA",2,3),FALSE)),0))</f>
        <v/>
      </c>
      <c r="J4755" s="31" t="str">
        <f t="shared" si="519"/>
        <v/>
      </c>
      <c r="K4755" s="31" t="str">
        <f t="shared" si="520"/>
        <v/>
      </c>
      <c r="L4755" s="31" t="str">
        <f>IF(OR(B4755="",C4755=""),"",IFERROR(E4755 / SUMIFS('📅 Resumen Diario'!$D$5:$D$504, '📅 Resumen Diario'!$B$5:$B$504, B4755, '📅 Resumen Diario'!$C$5:$C$504, D4755) * SUMIFS('📅 Resumen Diario'!$K$5:$K$504, '📅 Resumen Diario'!$B$5:$B$504, B4755, '📅 Resumen Diario'!$C$5:$C$504, D4755), 0))</f>
        <v/>
      </c>
      <c r="M4755" s="31" t="str">
        <f t="shared" si="521"/>
        <v/>
      </c>
      <c r="N4755" s="31" t="str">
        <f t="shared" si="522"/>
        <v/>
      </c>
      <c r="O4755" s="31" t="str">
        <f>IF(OR(B4755="",C4755=""),"",K4755-N4755 + IFERROR(E4755 / SUMIFS('📅 Resumen Diario'!$D$5:$D$504, '📅 Resumen Diario'!$B$5:$B$504, B4755, '📅 Resumen Diario'!$C$5:$C$504, D4755) * (SUMIFS('📋 Detalle Diario'!$E$5:$E$489, '📋 Detalle Diario'!$B$5:$B$489, B4755, '📋 Detalle Diario'!$C$5:$C$489, D4755) * 135 + SUMIFS('📋 Detalle Diario'!$I$5:$I$489, '📋 Detalle Diario'!$B$5:$B$489, B4755, '📋 Detalle Diario'!$C$5:$C$489, D4755) * 200), 0))</f>
        <v/>
      </c>
      <c r="P4755" s="32" t="str">
        <f t="shared" si="523"/>
        <v/>
      </c>
      <c r="Q4755" s="33" t="str">
        <f t="shared" si="524"/>
        <v/>
      </c>
    </row>
    <row r="4756" spans="2:17" ht="18" customHeight="1" x14ac:dyDescent="0.3">
      <c r="B4756" s="26"/>
      <c r="C4756" s="17"/>
      <c r="D4756" s="27"/>
      <c r="E4756" s="18"/>
      <c r="F4756" s="18"/>
      <c r="G4756" s="18"/>
      <c r="H4756" s="30" t="str">
        <f t="shared" si="518"/>
        <v/>
      </c>
      <c r="I4756" s="31" t="str">
        <f>IF(OR(B4756="",C4756=""),"",IFERROR(E4756*IF(E4756="",0,VLOOKUP(C4756,'📦 Precios Proforma'!$B$5:$D$104,IF(D4756="DIA",2,3),FALSE)),0))</f>
        <v/>
      </c>
      <c r="J4756" s="31" t="str">
        <f t="shared" si="519"/>
        <v/>
      </c>
      <c r="K4756" s="31" t="str">
        <f t="shared" si="520"/>
        <v/>
      </c>
      <c r="L4756" s="31" t="str">
        <f>IF(OR(B4756="",C4756=""),"",IFERROR(E4756 / SUMIFS('📅 Resumen Diario'!$D$5:$D$504, '📅 Resumen Diario'!$B$5:$B$504, B4756, '📅 Resumen Diario'!$C$5:$C$504, D4756) * SUMIFS('📅 Resumen Diario'!$K$5:$K$504, '📅 Resumen Diario'!$B$5:$B$504, B4756, '📅 Resumen Diario'!$C$5:$C$504, D4756), 0))</f>
        <v/>
      </c>
      <c r="M4756" s="31" t="str">
        <f t="shared" si="521"/>
        <v/>
      </c>
      <c r="N4756" s="31" t="str">
        <f t="shared" si="522"/>
        <v/>
      </c>
      <c r="O4756" s="31" t="str">
        <f>IF(OR(B4756="",C4756=""),"",K4756-N4756 + IFERROR(E4756 / SUMIFS('📅 Resumen Diario'!$D$5:$D$504, '📅 Resumen Diario'!$B$5:$B$504, B4756, '📅 Resumen Diario'!$C$5:$C$504, D4756) * (SUMIFS('📋 Detalle Diario'!$E$5:$E$489, '📋 Detalle Diario'!$B$5:$B$489, B4756, '📋 Detalle Diario'!$C$5:$C$489, D4756) * 135 + SUMIFS('📋 Detalle Diario'!$I$5:$I$489, '📋 Detalle Diario'!$B$5:$B$489, B4756, '📋 Detalle Diario'!$C$5:$C$489, D4756) * 200), 0))</f>
        <v/>
      </c>
      <c r="P4756" s="32" t="str">
        <f t="shared" si="523"/>
        <v/>
      </c>
      <c r="Q4756" s="33" t="str">
        <f t="shared" si="524"/>
        <v/>
      </c>
    </row>
    <row r="4757" spans="2:17" ht="18" customHeight="1" x14ac:dyDescent="0.3">
      <c r="B4757" s="26"/>
      <c r="C4757" s="28"/>
      <c r="D4757" s="27"/>
      <c r="E4757" s="29"/>
      <c r="F4757" s="29"/>
      <c r="G4757" s="29"/>
      <c r="H4757" s="30" t="str">
        <f t="shared" si="518"/>
        <v/>
      </c>
      <c r="I4757" s="31" t="str">
        <f>IF(OR(B4757="",C4757=""),"",IFERROR(E4757*IF(E4757="",0,VLOOKUP(C4757,'📦 Precios Proforma'!$B$5:$D$104,IF(D4757="DIA",2,3),FALSE)),0))</f>
        <v/>
      </c>
      <c r="J4757" s="31" t="str">
        <f t="shared" si="519"/>
        <v/>
      </c>
      <c r="K4757" s="31" t="str">
        <f t="shared" si="520"/>
        <v/>
      </c>
      <c r="L4757" s="31" t="str">
        <f>IF(OR(B4757="",C4757=""),"",IFERROR(E4757 / SUMIFS('📅 Resumen Diario'!$D$5:$D$504, '📅 Resumen Diario'!$B$5:$B$504, B4757, '📅 Resumen Diario'!$C$5:$C$504, D4757) * SUMIFS('📅 Resumen Diario'!$K$5:$K$504, '📅 Resumen Diario'!$B$5:$B$504, B4757, '📅 Resumen Diario'!$C$5:$C$504, D4757), 0))</f>
        <v/>
      </c>
      <c r="M4757" s="31" t="str">
        <f t="shared" si="521"/>
        <v/>
      </c>
      <c r="N4757" s="31" t="str">
        <f t="shared" si="522"/>
        <v/>
      </c>
      <c r="O4757" s="31" t="str">
        <f>IF(OR(B4757="",C4757=""),"",K4757-N4757 + IFERROR(E4757 / SUMIFS('📅 Resumen Diario'!$D$5:$D$504, '📅 Resumen Diario'!$B$5:$B$504, B4757, '📅 Resumen Diario'!$C$5:$C$504, D4757) * (SUMIFS('📋 Detalle Diario'!$E$5:$E$489, '📋 Detalle Diario'!$B$5:$B$489, B4757, '📋 Detalle Diario'!$C$5:$C$489, D4757) * 135 + SUMIFS('📋 Detalle Diario'!$I$5:$I$489, '📋 Detalle Diario'!$B$5:$B$489, B4757, '📋 Detalle Diario'!$C$5:$C$489, D4757) * 200), 0))</f>
        <v/>
      </c>
      <c r="P4757" s="32" t="str">
        <f t="shared" si="523"/>
        <v/>
      </c>
      <c r="Q4757" s="33" t="str">
        <f t="shared" si="524"/>
        <v/>
      </c>
    </row>
    <row r="4758" spans="2:17" ht="18" customHeight="1" x14ac:dyDescent="0.3">
      <c r="B4758" s="26"/>
      <c r="C4758" s="17"/>
      <c r="D4758" s="27"/>
      <c r="E4758" s="18"/>
      <c r="F4758" s="18"/>
      <c r="G4758" s="18"/>
      <c r="H4758" s="30" t="str">
        <f t="shared" si="518"/>
        <v/>
      </c>
      <c r="I4758" s="31" t="str">
        <f>IF(OR(B4758="",C4758=""),"",IFERROR(E4758*IF(E4758="",0,VLOOKUP(C4758,'📦 Precios Proforma'!$B$5:$D$104,IF(D4758="DIA",2,3),FALSE)),0))</f>
        <v/>
      </c>
      <c r="J4758" s="31" t="str">
        <f t="shared" si="519"/>
        <v/>
      </c>
      <c r="K4758" s="31" t="str">
        <f t="shared" si="520"/>
        <v/>
      </c>
      <c r="L4758" s="31" t="str">
        <f>IF(OR(B4758="",C4758=""),"",IFERROR(E4758 / SUMIFS('📅 Resumen Diario'!$D$5:$D$504, '📅 Resumen Diario'!$B$5:$B$504, B4758, '📅 Resumen Diario'!$C$5:$C$504, D4758) * SUMIFS('📅 Resumen Diario'!$K$5:$K$504, '📅 Resumen Diario'!$B$5:$B$504, B4758, '📅 Resumen Diario'!$C$5:$C$504, D4758), 0))</f>
        <v/>
      </c>
      <c r="M4758" s="31" t="str">
        <f t="shared" si="521"/>
        <v/>
      </c>
      <c r="N4758" s="31" t="str">
        <f t="shared" si="522"/>
        <v/>
      </c>
      <c r="O4758" s="31" t="str">
        <f>IF(OR(B4758="",C4758=""),"",K4758-N4758 + IFERROR(E4758 / SUMIFS('📅 Resumen Diario'!$D$5:$D$504, '📅 Resumen Diario'!$B$5:$B$504, B4758, '📅 Resumen Diario'!$C$5:$C$504, D4758) * (SUMIFS('📋 Detalle Diario'!$E$5:$E$489, '📋 Detalle Diario'!$B$5:$B$489, B4758, '📋 Detalle Diario'!$C$5:$C$489, D4758) * 135 + SUMIFS('📋 Detalle Diario'!$I$5:$I$489, '📋 Detalle Diario'!$B$5:$B$489, B4758, '📋 Detalle Diario'!$C$5:$C$489, D4758) * 200), 0))</f>
        <v/>
      </c>
      <c r="P4758" s="32" t="str">
        <f t="shared" si="523"/>
        <v/>
      </c>
      <c r="Q4758" s="33" t="str">
        <f t="shared" si="524"/>
        <v/>
      </c>
    </row>
    <row r="4759" spans="2:17" ht="18" customHeight="1" x14ac:dyDescent="0.3">
      <c r="B4759" s="26"/>
      <c r="C4759" s="28"/>
      <c r="D4759" s="27"/>
      <c r="E4759" s="29"/>
      <c r="F4759" s="29"/>
      <c r="G4759" s="29"/>
      <c r="H4759" s="30" t="str">
        <f t="shared" si="518"/>
        <v/>
      </c>
      <c r="I4759" s="31" t="str">
        <f>IF(OR(B4759="",C4759=""),"",IFERROR(E4759*IF(E4759="",0,VLOOKUP(C4759,'📦 Precios Proforma'!$B$5:$D$104,IF(D4759="DIA",2,3),FALSE)),0))</f>
        <v/>
      </c>
      <c r="J4759" s="31" t="str">
        <f t="shared" si="519"/>
        <v/>
      </c>
      <c r="K4759" s="31" t="str">
        <f t="shared" si="520"/>
        <v/>
      </c>
      <c r="L4759" s="31" t="str">
        <f>IF(OR(B4759="",C4759=""),"",IFERROR(E4759 / SUMIFS('📅 Resumen Diario'!$D$5:$D$504, '📅 Resumen Diario'!$B$5:$B$504, B4759, '📅 Resumen Diario'!$C$5:$C$504, D4759) * SUMIFS('📅 Resumen Diario'!$K$5:$K$504, '📅 Resumen Diario'!$B$5:$B$504, B4759, '📅 Resumen Diario'!$C$5:$C$504, D4759), 0))</f>
        <v/>
      </c>
      <c r="M4759" s="31" t="str">
        <f t="shared" si="521"/>
        <v/>
      </c>
      <c r="N4759" s="31" t="str">
        <f t="shared" si="522"/>
        <v/>
      </c>
      <c r="O4759" s="31" t="str">
        <f>IF(OR(B4759="",C4759=""),"",K4759-N4759 + IFERROR(E4759 / SUMIFS('📅 Resumen Diario'!$D$5:$D$504, '📅 Resumen Diario'!$B$5:$B$504, B4759, '📅 Resumen Diario'!$C$5:$C$504, D4759) * (SUMIFS('📋 Detalle Diario'!$E$5:$E$489, '📋 Detalle Diario'!$B$5:$B$489, B4759, '📋 Detalle Diario'!$C$5:$C$489, D4759) * 135 + SUMIFS('📋 Detalle Diario'!$I$5:$I$489, '📋 Detalle Diario'!$B$5:$B$489, B4759, '📋 Detalle Diario'!$C$5:$C$489, D4759) * 200), 0))</f>
        <v/>
      </c>
      <c r="P4759" s="32" t="str">
        <f t="shared" si="523"/>
        <v/>
      </c>
      <c r="Q4759" s="33" t="str">
        <f t="shared" si="524"/>
        <v/>
      </c>
    </row>
    <row r="4760" spans="2:17" ht="18" customHeight="1" x14ac:dyDescent="0.3">
      <c r="B4760" s="26"/>
      <c r="C4760" s="17"/>
      <c r="D4760" s="27"/>
      <c r="E4760" s="18"/>
      <c r="F4760" s="18"/>
      <c r="G4760" s="18"/>
      <c r="H4760" s="30" t="str">
        <f t="shared" si="518"/>
        <v/>
      </c>
      <c r="I4760" s="31" t="str">
        <f>IF(OR(B4760="",C4760=""),"",IFERROR(E4760*IF(E4760="",0,VLOOKUP(C4760,'📦 Precios Proforma'!$B$5:$D$104,IF(D4760="DIA",2,3),FALSE)),0))</f>
        <v/>
      </c>
      <c r="J4760" s="31" t="str">
        <f t="shared" si="519"/>
        <v/>
      </c>
      <c r="K4760" s="31" t="str">
        <f t="shared" si="520"/>
        <v/>
      </c>
      <c r="L4760" s="31" t="str">
        <f>IF(OR(B4760="",C4760=""),"",IFERROR(E4760 / SUMIFS('📅 Resumen Diario'!$D$5:$D$504, '📅 Resumen Diario'!$B$5:$B$504, B4760, '📅 Resumen Diario'!$C$5:$C$504, D4760) * SUMIFS('📅 Resumen Diario'!$K$5:$K$504, '📅 Resumen Diario'!$B$5:$B$504, B4760, '📅 Resumen Diario'!$C$5:$C$504, D4760), 0))</f>
        <v/>
      </c>
      <c r="M4760" s="31" t="str">
        <f t="shared" si="521"/>
        <v/>
      </c>
      <c r="N4760" s="31" t="str">
        <f t="shared" si="522"/>
        <v/>
      </c>
      <c r="O4760" s="31" t="str">
        <f>IF(OR(B4760="",C4760=""),"",K4760-N4760 + IFERROR(E4760 / SUMIFS('📅 Resumen Diario'!$D$5:$D$504, '📅 Resumen Diario'!$B$5:$B$504, B4760, '📅 Resumen Diario'!$C$5:$C$504, D4760) * (SUMIFS('📋 Detalle Diario'!$E$5:$E$489, '📋 Detalle Diario'!$B$5:$B$489, B4760, '📋 Detalle Diario'!$C$5:$C$489, D4760) * 135 + SUMIFS('📋 Detalle Diario'!$I$5:$I$489, '📋 Detalle Diario'!$B$5:$B$489, B4760, '📋 Detalle Diario'!$C$5:$C$489, D4760) * 200), 0))</f>
        <v/>
      </c>
      <c r="P4760" s="32" t="str">
        <f t="shared" si="523"/>
        <v/>
      </c>
      <c r="Q4760" s="33" t="str">
        <f t="shared" si="524"/>
        <v/>
      </c>
    </row>
    <row r="4761" spans="2:17" ht="18" customHeight="1" x14ac:dyDescent="0.3">
      <c r="B4761" s="26"/>
      <c r="C4761" s="28"/>
      <c r="D4761" s="27"/>
      <c r="E4761" s="29"/>
      <c r="F4761" s="29"/>
      <c r="G4761" s="29"/>
      <c r="H4761" s="30" t="str">
        <f t="shared" si="518"/>
        <v/>
      </c>
      <c r="I4761" s="31" t="str">
        <f>IF(OR(B4761="",C4761=""),"",IFERROR(E4761*IF(E4761="",0,VLOOKUP(C4761,'📦 Precios Proforma'!$B$5:$D$104,IF(D4761="DIA",2,3),FALSE)),0))</f>
        <v/>
      </c>
      <c r="J4761" s="31" t="str">
        <f t="shared" si="519"/>
        <v/>
      </c>
      <c r="K4761" s="31" t="str">
        <f t="shared" si="520"/>
        <v/>
      </c>
      <c r="L4761" s="31" t="str">
        <f>IF(OR(B4761="",C4761=""),"",IFERROR(E4761 / SUMIFS('📅 Resumen Diario'!$D$5:$D$504, '📅 Resumen Diario'!$B$5:$B$504, B4761, '📅 Resumen Diario'!$C$5:$C$504, D4761) * SUMIFS('📅 Resumen Diario'!$K$5:$K$504, '📅 Resumen Diario'!$B$5:$B$504, B4761, '📅 Resumen Diario'!$C$5:$C$504, D4761), 0))</f>
        <v/>
      </c>
      <c r="M4761" s="31" t="str">
        <f t="shared" si="521"/>
        <v/>
      </c>
      <c r="N4761" s="31" t="str">
        <f t="shared" si="522"/>
        <v/>
      </c>
      <c r="O4761" s="31" t="str">
        <f>IF(OR(B4761="",C4761=""),"",K4761-N4761 + IFERROR(E4761 / SUMIFS('📅 Resumen Diario'!$D$5:$D$504, '📅 Resumen Diario'!$B$5:$B$504, B4761, '📅 Resumen Diario'!$C$5:$C$504, D4761) * (SUMIFS('📋 Detalle Diario'!$E$5:$E$489, '📋 Detalle Diario'!$B$5:$B$489, B4761, '📋 Detalle Diario'!$C$5:$C$489, D4761) * 135 + SUMIFS('📋 Detalle Diario'!$I$5:$I$489, '📋 Detalle Diario'!$B$5:$B$489, B4761, '📋 Detalle Diario'!$C$5:$C$489, D4761) * 200), 0))</f>
        <v/>
      </c>
      <c r="P4761" s="32" t="str">
        <f t="shared" si="523"/>
        <v/>
      </c>
      <c r="Q4761" s="33" t="str">
        <f t="shared" si="524"/>
        <v/>
      </c>
    </row>
    <row r="4762" spans="2:17" ht="18" customHeight="1" x14ac:dyDescent="0.3">
      <c r="B4762" s="26"/>
      <c r="C4762" s="17"/>
      <c r="D4762" s="27"/>
      <c r="E4762" s="18"/>
      <c r="F4762" s="18"/>
      <c r="G4762" s="18"/>
      <c r="H4762" s="30" t="str">
        <f t="shared" si="518"/>
        <v/>
      </c>
      <c r="I4762" s="31" t="str">
        <f>IF(OR(B4762="",C4762=""),"",IFERROR(E4762*IF(E4762="",0,VLOOKUP(C4762,'📦 Precios Proforma'!$B$5:$D$104,IF(D4762="DIA",2,3),FALSE)),0))</f>
        <v/>
      </c>
      <c r="J4762" s="31" t="str">
        <f t="shared" si="519"/>
        <v/>
      </c>
      <c r="K4762" s="31" t="str">
        <f t="shared" si="520"/>
        <v/>
      </c>
      <c r="L4762" s="31" t="str">
        <f>IF(OR(B4762="",C4762=""),"",IFERROR(E4762 / SUMIFS('📅 Resumen Diario'!$D$5:$D$504, '📅 Resumen Diario'!$B$5:$B$504, B4762, '📅 Resumen Diario'!$C$5:$C$504, D4762) * SUMIFS('📅 Resumen Diario'!$K$5:$K$504, '📅 Resumen Diario'!$B$5:$B$504, B4762, '📅 Resumen Diario'!$C$5:$C$504, D4762), 0))</f>
        <v/>
      </c>
      <c r="M4762" s="31" t="str">
        <f t="shared" si="521"/>
        <v/>
      </c>
      <c r="N4762" s="31" t="str">
        <f t="shared" si="522"/>
        <v/>
      </c>
      <c r="O4762" s="31" t="str">
        <f>IF(OR(B4762="",C4762=""),"",K4762-N4762 + IFERROR(E4762 / SUMIFS('📅 Resumen Diario'!$D$5:$D$504, '📅 Resumen Diario'!$B$5:$B$504, B4762, '📅 Resumen Diario'!$C$5:$C$504, D4762) * (SUMIFS('📋 Detalle Diario'!$E$5:$E$489, '📋 Detalle Diario'!$B$5:$B$489, B4762, '📋 Detalle Diario'!$C$5:$C$489, D4762) * 135 + SUMIFS('📋 Detalle Diario'!$I$5:$I$489, '📋 Detalle Diario'!$B$5:$B$489, B4762, '📋 Detalle Diario'!$C$5:$C$489, D4762) * 200), 0))</f>
        <v/>
      </c>
      <c r="P4762" s="32" t="str">
        <f t="shared" si="523"/>
        <v/>
      </c>
      <c r="Q4762" s="33" t="str">
        <f t="shared" si="524"/>
        <v/>
      </c>
    </row>
    <row r="4763" spans="2:17" ht="18" customHeight="1" x14ac:dyDescent="0.3">
      <c r="B4763" s="26"/>
      <c r="C4763" s="28"/>
      <c r="D4763" s="27"/>
      <c r="E4763" s="29"/>
      <c r="F4763" s="29"/>
      <c r="G4763" s="29"/>
      <c r="H4763" s="30" t="str">
        <f t="shared" si="518"/>
        <v/>
      </c>
      <c r="I4763" s="31" t="str">
        <f>IF(OR(B4763="",C4763=""),"",IFERROR(E4763*IF(E4763="",0,VLOOKUP(C4763,'📦 Precios Proforma'!$B$5:$D$104,IF(D4763="DIA",2,3),FALSE)),0))</f>
        <v/>
      </c>
      <c r="J4763" s="31" t="str">
        <f t="shared" si="519"/>
        <v/>
      </c>
      <c r="K4763" s="31" t="str">
        <f t="shared" si="520"/>
        <v/>
      </c>
      <c r="L4763" s="31" t="str">
        <f>IF(OR(B4763="",C4763=""),"",IFERROR(E4763 / SUMIFS('📅 Resumen Diario'!$D$5:$D$504, '📅 Resumen Diario'!$B$5:$B$504, B4763, '📅 Resumen Diario'!$C$5:$C$504, D4763) * SUMIFS('📅 Resumen Diario'!$K$5:$K$504, '📅 Resumen Diario'!$B$5:$B$504, B4763, '📅 Resumen Diario'!$C$5:$C$504, D4763), 0))</f>
        <v/>
      </c>
      <c r="M4763" s="31" t="str">
        <f t="shared" si="521"/>
        <v/>
      </c>
      <c r="N4763" s="31" t="str">
        <f t="shared" si="522"/>
        <v/>
      </c>
      <c r="O4763" s="31" t="str">
        <f>IF(OR(B4763="",C4763=""),"",K4763-N4763 + IFERROR(E4763 / SUMIFS('📅 Resumen Diario'!$D$5:$D$504, '📅 Resumen Diario'!$B$5:$B$504, B4763, '📅 Resumen Diario'!$C$5:$C$504, D4763) * (SUMIFS('📋 Detalle Diario'!$E$5:$E$489, '📋 Detalle Diario'!$B$5:$B$489, B4763, '📋 Detalle Diario'!$C$5:$C$489, D4763) * 135 + SUMIFS('📋 Detalle Diario'!$I$5:$I$489, '📋 Detalle Diario'!$B$5:$B$489, B4763, '📋 Detalle Diario'!$C$5:$C$489, D4763) * 200), 0))</f>
        <v/>
      </c>
      <c r="P4763" s="32" t="str">
        <f t="shared" si="523"/>
        <v/>
      </c>
      <c r="Q4763" s="33" t="str">
        <f t="shared" si="524"/>
        <v/>
      </c>
    </row>
    <row r="4764" spans="2:17" ht="18" customHeight="1" x14ac:dyDescent="0.3">
      <c r="B4764" s="26"/>
      <c r="C4764" s="17"/>
      <c r="D4764" s="27"/>
      <c r="E4764" s="18"/>
      <c r="F4764" s="18"/>
      <c r="G4764" s="18"/>
      <c r="H4764" s="30" t="str">
        <f t="shared" si="518"/>
        <v/>
      </c>
      <c r="I4764" s="31" t="str">
        <f>IF(OR(B4764="",C4764=""),"",IFERROR(E4764*IF(E4764="",0,VLOOKUP(C4764,'📦 Precios Proforma'!$B$5:$D$104,IF(D4764="DIA",2,3),FALSE)),0))</f>
        <v/>
      </c>
      <c r="J4764" s="31" t="str">
        <f t="shared" si="519"/>
        <v/>
      </c>
      <c r="K4764" s="31" t="str">
        <f t="shared" si="520"/>
        <v/>
      </c>
      <c r="L4764" s="31" t="str">
        <f>IF(OR(B4764="",C4764=""),"",IFERROR(E4764 / SUMIFS('📅 Resumen Diario'!$D$5:$D$504, '📅 Resumen Diario'!$B$5:$B$504, B4764, '📅 Resumen Diario'!$C$5:$C$504, D4764) * SUMIFS('📅 Resumen Diario'!$K$5:$K$504, '📅 Resumen Diario'!$B$5:$B$504, B4764, '📅 Resumen Diario'!$C$5:$C$504, D4764), 0))</f>
        <v/>
      </c>
      <c r="M4764" s="31" t="str">
        <f t="shared" si="521"/>
        <v/>
      </c>
      <c r="N4764" s="31" t="str">
        <f t="shared" si="522"/>
        <v/>
      </c>
      <c r="O4764" s="31" t="str">
        <f>IF(OR(B4764="",C4764=""),"",K4764-N4764 + IFERROR(E4764 / SUMIFS('📅 Resumen Diario'!$D$5:$D$504, '📅 Resumen Diario'!$B$5:$B$504, B4764, '📅 Resumen Diario'!$C$5:$C$504, D4764) * (SUMIFS('📋 Detalle Diario'!$E$5:$E$489, '📋 Detalle Diario'!$B$5:$B$489, B4764, '📋 Detalle Diario'!$C$5:$C$489, D4764) * 135 + SUMIFS('📋 Detalle Diario'!$I$5:$I$489, '📋 Detalle Diario'!$B$5:$B$489, B4764, '📋 Detalle Diario'!$C$5:$C$489, D4764) * 200), 0))</f>
        <v/>
      </c>
      <c r="P4764" s="32" t="str">
        <f t="shared" si="523"/>
        <v/>
      </c>
      <c r="Q4764" s="33" t="str">
        <f t="shared" si="524"/>
        <v/>
      </c>
    </row>
    <row r="4765" spans="2:17" ht="18" customHeight="1" x14ac:dyDescent="0.3">
      <c r="B4765" s="26"/>
      <c r="C4765" s="28"/>
      <c r="D4765" s="27"/>
      <c r="E4765" s="29"/>
      <c r="F4765" s="29"/>
      <c r="G4765" s="29"/>
      <c r="H4765" s="30" t="str">
        <f t="shared" si="518"/>
        <v/>
      </c>
      <c r="I4765" s="31" t="str">
        <f>IF(OR(B4765="",C4765=""),"",IFERROR(E4765*IF(E4765="",0,VLOOKUP(C4765,'📦 Precios Proforma'!$B$5:$D$104,IF(D4765="DIA",2,3),FALSE)),0))</f>
        <v/>
      </c>
      <c r="J4765" s="31" t="str">
        <f t="shared" si="519"/>
        <v/>
      </c>
      <c r="K4765" s="31" t="str">
        <f t="shared" si="520"/>
        <v/>
      </c>
      <c r="L4765" s="31" t="str">
        <f>IF(OR(B4765="",C4765=""),"",IFERROR(E4765 / SUMIFS('📅 Resumen Diario'!$D$5:$D$504, '📅 Resumen Diario'!$B$5:$B$504, B4765, '📅 Resumen Diario'!$C$5:$C$504, D4765) * SUMIFS('📅 Resumen Diario'!$K$5:$K$504, '📅 Resumen Diario'!$B$5:$B$504, B4765, '📅 Resumen Diario'!$C$5:$C$504, D4765), 0))</f>
        <v/>
      </c>
      <c r="M4765" s="31" t="str">
        <f t="shared" si="521"/>
        <v/>
      </c>
      <c r="N4765" s="31" t="str">
        <f t="shared" si="522"/>
        <v/>
      </c>
      <c r="O4765" s="31" t="str">
        <f>IF(OR(B4765="",C4765=""),"",K4765-N4765 + IFERROR(E4765 / SUMIFS('📅 Resumen Diario'!$D$5:$D$504, '📅 Resumen Diario'!$B$5:$B$504, B4765, '📅 Resumen Diario'!$C$5:$C$504, D4765) * (SUMIFS('📋 Detalle Diario'!$E$5:$E$489, '📋 Detalle Diario'!$B$5:$B$489, B4765, '📋 Detalle Diario'!$C$5:$C$489, D4765) * 135 + SUMIFS('📋 Detalle Diario'!$I$5:$I$489, '📋 Detalle Diario'!$B$5:$B$489, B4765, '📋 Detalle Diario'!$C$5:$C$489, D4765) * 200), 0))</f>
        <v/>
      </c>
      <c r="P4765" s="32" t="str">
        <f t="shared" si="523"/>
        <v/>
      </c>
      <c r="Q4765" s="33" t="str">
        <f t="shared" si="524"/>
        <v/>
      </c>
    </row>
    <row r="4766" spans="2:17" ht="18" customHeight="1" x14ac:dyDescent="0.3">
      <c r="B4766" s="26"/>
      <c r="C4766" s="17"/>
      <c r="D4766" s="27"/>
      <c r="E4766" s="18"/>
      <c r="F4766" s="18"/>
      <c r="G4766" s="18"/>
      <c r="H4766" s="30" t="str">
        <f t="shared" si="518"/>
        <v/>
      </c>
      <c r="I4766" s="31" t="str">
        <f>IF(OR(B4766="",C4766=""),"",IFERROR(E4766*IF(E4766="",0,VLOOKUP(C4766,'📦 Precios Proforma'!$B$5:$D$104,IF(D4766="DIA",2,3),FALSE)),0))</f>
        <v/>
      </c>
      <c r="J4766" s="31" t="str">
        <f t="shared" si="519"/>
        <v/>
      </c>
      <c r="K4766" s="31" t="str">
        <f t="shared" si="520"/>
        <v/>
      </c>
      <c r="L4766" s="31" t="str">
        <f>IF(OR(B4766="",C4766=""),"",IFERROR(E4766 / SUMIFS('📅 Resumen Diario'!$D$5:$D$504, '📅 Resumen Diario'!$B$5:$B$504, B4766, '📅 Resumen Diario'!$C$5:$C$504, D4766) * SUMIFS('📅 Resumen Diario'!$K$5:$K$504, '📅 Resumen Diario'!$B$5:$B$504, B4766, '📅 Resumen Diario'!$C$5:$C$504, D4766), 0))</f>
        <v/>
      </c>
      <c r="M4766" s="31" t="str">
        <f t="shared" si="521"/>
        <v/>
      </c>
      <c r="N4766" s="31" t="str">
        <f t="shared" si="522"/>
        <v/>
      </c>
      <c r="O4766" s="31" t="str">
        <f>IF(OR(B4766="",C4766=""),"",K4766-N4766 + IFERROR(E4766 / SUMIFS('📅 Resumen Diario'!$D$5:$D$504, '📅 Resumen Diario'!$B$5:$B$504, B4766, '📅 Resumen Diario'!$C$5:$C$504, D4766) * (SUMIFS('📋 Detalle Diario'!$E$5:$E$489, '📋 Detalle Diario'!$B$5:$B$489, B4766, '📋 Detalle Diario'!$C$5:$C$489, D4766) * 135 + SUMIFS('📋 Detalle Diario'!$I$5:$I$489, '📋 Detalle Diario'!$B$5:$B$489, B4766, '📋 Detalle Diario'!$C$5:$C$489, D4766) * 200), 0))</f>
        <v/>
      </c>
      <c r="P4766" s="32" t="str">
        <f t="shared" si="523"/>
        <v/>
      </c>
      <c r="Q4766" s="33" t="str">
        <f t="shared" si="524"/>
        <v/>
      </c>
    </row>
    <row r="4767" spans="2:17" ht="18" customHeight="1" x14ac:dyDescent="0.3">
      <c r="B4767" s="26"/>
      <c r="C4767" s="28"/>
      <c r="D4767" s="27"/>
      <c r="E4767" s="29"/>
      <c r="F4767" s="29"/>
      <c r="G4767" s="29"/>
      <c r="H4767" s="30" t="str">
        <f t="shared" si="518"/>
        <v/>
      </c>
      <c r="I4767" s="31" t="str">
        <f>IF(OR(B4767="",C4767=""),"",IFERROR(E4767*IF(E4767="",0,VLOOKUP(C4767,'📦 Precios Proforma'!$B$5:$D$104,IF(D4767="DIA",2,3),FALSE)),0))</f>
        <v/>
      </c>
      <c r="J4767" s="31" t="str">
        <f t="shared" si="519"/>
        <v/>
      </c>
      <c r="K4767" s="31" t="str">
        <f t="shared" si="520"/>
        <v/>
      </c>
      <c r="L4767" s="31" t="str">
        <f>IF(OR(B4767="",C4767=""),"",IFERROR(E4767 / SUMIFS('📅 Resumen Diario'!$D$5:$D$504, '📅 Resumen Diario'!$B$5:$B$504, B4767, '📅 Resumen Diario'!$C$5:$C$504, D4767) * SUMIFS('📅 Resumen Diario'!$K$5:$K$504, '📅 Resumen Diario'!$B$5:$B$504, B4767, '📅 Resumen Diario'!$C$5:$C$504, D4767), 0))</f>
        <v/>
      </c>
      <c r="M4767" s="31" t="str">
        <f t="shared" si="521"/>
        <v/>
      </c>
      <c r="N4767" s="31" t="str">
        <f t="shared" si="522"/>
        <v/>
      </c>
      <c r="O4767" s="31" t="str">
        <f>IF(OR(B4767="",C4767=""),"",K4767-N4767 + IFERROR(E4767 / SUMIFS('📅 Resumen Diario'!$D$5:$D$504, '📅 Resumen Diario'!$B$5:$B$504, B4767, '📅 Resumen Diario'!$C$5:$C$504, D4767) * (SUMIFS('📋 Detalle Diario'!$E$5:$E$489, '📋 Detalle Diario'!$B$5:$B$489, B4767, '📋 Detalle Diario'!$C$5:$C$489, D4767) * 135 + SUMIFS('📋 Detalle Diario'!$I$5:$I$489, '📋 Detalle Diario'!$B$5:$B$489, B4767, '📋 Detalle Diario'!$C$5:$C$489, D4767) * 200), 0))</f>
        <v/>
      </c>
      <c r="P4767" s="32" t="str">
        <f t="shared" si="523"/>
        <v/>
      </c>
      <c r="Q4767" s="33" t="str">
        <f t="shared" si="524"/>
        <v/>
      </c>
    </row>
    <row r="4768" spans="2:17" ht="18" customHeight="1" x14ac:dyDescent="0.3">
      <c r="B4768" s="26"/>
      <c r="C4768" s="17"/>
      <c r="D4768" s="27"/>
      <c r="E4768" s="18"/>
      <c r="F4768" s="18"/>
      <c r="G4768" s="18"/>
      <c r="H4768" s="30" t="str">
        <f t="shared" si="518"/>
        <v/>
      </c>
      <c r="I4768" s="31" t="str">
        <f>IF(OR(B4768="",C4768=""),"",IFERROR(E4768*IF(E4768="",0,VLOOKUP(C4768,'📦 Precios Proforma'!$B$5:$D$104,IF(D4768="DIA",2,3),FALSE)),0))</f>
        <v/>
      </c>
      <c r="J4768" s="31" t="str">
        <f t="shared" si="519"/>
        <v/>
      </c>
      <c r="K4768" s="31" t="str">
        <f t="shared" si="520"/>
        <v/>
      </c>
      <c r="L4768" s="31" t="str">
        <f>IF(OR(B4768="",C4768=""),"",IFERROR(E4768 / SUMIFS('📅 Resumen Diario'!$D$5:$D$504, '📅 Resumen Diario'!$B$5:$B$504, B4768, '📅 Resumen Diario'!$C$5:$C$504, D4768) * SUMIFS('📅 Resumen Diario'!$K$5:$K$504, '📅 Resumen Diario'!$B$5:$B$504, B4768, '📅 Resumen Diario'!$C$5:$C$504, D4768), 0))</f>
        <v/>
      </c>
      <c r="M4768" s="31" t="str">
        <f t="shared" si="521"/>
        <v/>
      </c>
      <c r="N4768" s="31" t="str">
        <f t="shared" si="522"/>
        <v/>
      </c>
      <c r="O4768" s="31" t="str">
        <f>IF(OR(B4768="",C4768=""),"",K4768-N4768 + IFERROR(E4768 / SUMIFS('📅 Resumen Diario'!$D$5:$D$504, '📅 Resumen Diario'!$B$5:$B$504, B4768, '📅 Resumen Diario'!$C$5:$C$504, D4768) * (SUMIFS('📋 Detalle Diario'!$E$5:$E$489, '📋 Detalle Diario'!$B$5:$B$489, B4768, '📋 Detalle Diario'!$C$5:$C$489, D4768) * 135 + SUMIFS('📋 Detalle Diario'!$I$5:$I$489, '📋 Detalle Diario'!$B$5:$B$489, B4768, '📋 Detalle Diario'!$C$5:$C$489, D4768) * 200), 0))</f>
        <v/>
      </c>
      <c r="P4768" s="32" t="str">
        <f t="shared" si="523"/>
        <v/>
      </c>
      <c r="Q4768" s="33" t="str">
        <f t="shared" si="524"/>
        <v/>
      </c>
    </row>
    <row r="4769" spans="2:17" ht="18" customHeight="1" x14ac:dyDescent="0.3">
      <c r="B4769" s="26"/>
      <c r="C4769" s="28"/>
      <c r="D4769" s="27"/>
      <c r="E4769" s="29"/>
      <c r="F4769" s="29"/>
      <c r="G4769" s="29"/>
      <c r="H4769" s="30" t="str">
        <f t="shared" si="518"/>
        <v/>
      </c>
      <c r="I4769" s="31" t="str">
        <f>IF(OR(B4769="",C4769=""),"",IFERROR(E4769*IF(E4769="",0,VLOOKUP(C4769,'📦 Precios Proforma'!$B$5:$D$104,IF(D4769="DIA",2,3),FALSE)),0))</f>
        <v/>
      </c>
      <c r="J4769" s="31" t="str">
        <f t="shared" si="519"/>
        <v/>
      </c>
      <c r="K4769" s="31" t="str">
        <f t="shared" si="520"/>
        <v/>
      </c>
      <c r="L4769" s="31" t="str">
        <f>IF(OR(B4769="",C4769=""),"",IFERROR(E4769 / SUMIFS('📅 Resumen Diario'!$D$5:$D$504, '📅 Resumen Diario'!$B$5:$B$504, B4769, '📅 Resumen Diario'!$C$5:$C$504, D4769) * SUMIFS('📅 Resumen Diario'!$K$5:$K$504, '📅 Resumen Diario'!$B$5:$B$504, B4769, '📅 Resumen Diario'!$C$5:$C$504, D4769), 0))</f>
        <v/>
      </c>
      <c r="M4769" s="31" t="str">
        <f t="shared" si="521"/>
        <v/>
      </c>
      <c r="N4769" s="31" t="str">
        <f t="shared" si="522"/>
        <v/>
      </c>
      <c r="O4769" s="31" t="str">
        <f>IF(OR(B4769="",C4769=""),"",K4769-N4769 + IFERROR(E4769 / SUMIFS('📅 Resumen Diario'!$D$5:$D$504, '📅 Resumen Diario'!$B$5:$B$504, B4769, '📅 Resumen Diario'!$C$5:$C$504, D4769) * (SUMIFS('📋 Detalle Diario'!$E$5:$E$489, '📋 Detalle Diario'!$B$5:$B$489, B4769, '📋 Detalle Diario'!$C$5:$C$489, D4769) * 135 + SUMIFS('📋 Detalle Diario'!$I$5:$I$489, '📋 Detalle Diario'!$B$5:$B$489, B4769, '📋 Detalle Diario'!$C$5:$C$489, D4769) * 200), 0))</f>
        <v/>
      </c>
      <c r="P4769" s="32" t="str">
        <f t="shared" si="523"/>
        <v/>
      </c>
      <c r="Q4769" s="33" t="str">
        <f t="shared" si="524"/>
        <v/>
      </c>
    </row>
    <row r="4770" spans="2:17" ht="18" customHeight="1" x14ac:dyDescent="0.3">
      <c r="B4770" s="26"/>
      <c r="C4770" s="17"/>
      <c r="D4770" s="27"/>
      <c r="E4770" s="18"/>
      <c r="F4770" s="18"/>
      <c r="G4770" s="18"/>
      <c r="H4770" s="30" t="str">
        <f t="shared" si="518"/>
        <v/>
      </c>
      <c r="I4770" s="31" t="str">
        <f>IF(OR(B4770="",C4770=""),"",IFERROR(E4770*IF(E4770="",0,VLOOKUP(C4770,'📦 Precios Proforma'!$B$5:$D$104,IF(D4770="DIA",2,3),FALSE)),0))</f>
        <v/>
      </c>
      <c r="J4770" s="31" t="str">
        <f t="shared" si="519"/>
        <v/>
      </c>
      <c r="K4770" s="31" t="str">
        <f t="shared" si="520"/>
        <v/>
      </c>
      <c r="L4770" s="31" t="str">
        <f>IF(OR(B4770="",C4770=""),"",IFERROR(E4770 / SUMIFS('📅 Resumen Diario'!$D$5:$D$504, '📅 Resumen Diario'!$B$5:$B$504, B4770, '📅 Resumen Diario'!$C$5:$C$504, D4770) * SUMIFS('📅 Resumen Diario'!$K$5:$K$504, '📅 Resumen Diario'!$B$5:$B$504, B4770, '📅 Resumen Diario'!$C$5:$C$504, D4770), 0))</f>
        <v/>
      </c>
      <c r="M4770" s="31" t="str">
        <f t="shared" si="521"/>
        <v/>
      </c>
      <c r="N4770" s="31" t="str">
        <f t="shared" si="522"/>
        <v/>
      </c>
      <c r="O4770" s="31" t="str">
        <f>IF(OR(B4770="",C4770=""),"",K4770-N4770 + IFERROR(E4770 / SUMIFS('📅 Resumen Diario'!$D$5:$D$504, '📅 Resumen Diario'!$B$5:$B$504, B4770, '📅 Resumen Diario'!$C$5:$C$504, D4770) * (SUMIFS('📋 Detalle Diario'!$E$5:$E$489, '📋 Detalle Diario'!$B$5:$B$489, B4770, '📋 Detalle Diario'!$C$5:$C$489, D4770) * 135 + SUMIFS('📋 Detalle Diario'!$I$5:$I$489, '📋 Detalle Diario'!$B$5:$B$489, B4770, '📋 Detalle Diario'!$C$5:$C$489, D4770) * 200), 0))</f>
        <v/>
      </c>
      <c r="P4770" s="32" t="str">
        <f t="shared" si="523"/>
        <v/>
      </c>
      <c r="Q4770" s="33" t="str">
        <f t="shared" si="524"/>
        <v/>
      </c>
    </row>
    <row r="4771" spans="2:17" ht="18" customHeight="1" x14ac:dyDescent="0.3">
      <c r="B4771" s="26"/>
      <c r="C4771" s="28"/>
      <c r="D4771" s="27"/>
      <c r="E4771" s="29"/>
      <c r="F4771" s="29"/>
      <c r="G4771" s="29"/>
      <c r="H4771" s="30" t="str">
        <f t="shared" si="518"/>
        <v/>
      </c>
      <c r="I4771" s="31" t="str">
        <f>IF(OR(B4771="",C4771=""),"",IFERROR(E4771*IF(E4771="",0,VLOOKUP(C4771,'📦 Precios Proforma'!$B$5:$D$104,IF(D4771="DIA",2,3),FALSE)),0))</f>
        <v/>
      </c>
      <c r="J4771" s="31" t="str">
        <f t="shared" si="519"/>
        <v/>
      </c>
      <c r="K4771" s="31" t="str">
        <f t="shared" si="520"/>
        <v/>
      </c>
      <c r="L4771" s="31" t="str">
        <f>IF(OR(B4771="",C4771=""),"",IFERROR(E4771 / SUMIFS('📅 Resumen Diario'!$D$5:$D$504, '📅 Resumen Diario'!$B$5:$B$504, B4771, '📅 Resumen Diario'!$C$5:$C$504, D4771) * SUMIFS('📅 Resumen Diario'!$K$5:$K$504, '📅 Resumen Diario'!$B$5:$B$504, B4771, '📅 Resumen Diario'!$C$5:$C$504, D4771), 0))</f>
        <v/>
      </c>
      <c r="M4771" s="31" t="str">
        <f t="shared" si="521"/>
        <v/>
      </c>
      <c r="N4771" s="31" t="str">
        <f t="shared" si="522"/>
        <v/>
      </c>
      <c r="O4771" s="31" t="str">
        <f>IF(OR(B4771="",C4771=""),"",K4771-N4771 + IFERROR(E4771 / SUMIFS('📅 Resumen Diario'!$D$5:$D$504, '📅 Resumen Diario'!$B$5:$B$504, B4771, '📅 Resumen Diario'!$C$5:$C$504, D4771) * (SUMIFS('📋 Detalle Diario'!$E$5:$E$489, '📋 Detalle Diario'!$B$5:$B$489, B4771, '📋 Detalle Diario'!$C$5:$C$489, D4771) * 135 + SUMIFS('📋 Detalle Diario'!$I$5:$I$489, '📋 Detalle Diario'!$B$5:$B$489, B4771, '📋 Detalle Diario'!$C$5:$C$489, D4771) * 200), 0))</f>
        <v/>
      </c>
      <c r="P4771" s="32" t="str">
        <f t="shared" si="523"/>
        <v/>
      </c>
      <c r="Q4771" s="33" t="str">
        <f t="shared" si="524"/>
        <v/>
      </c>
    </row>
    <row r="4772" spans="2:17" ht="18" customHeight="1" x14ac:dyDescent="0.3">
      <c r="B4772" s="26"/>
      <c r="C4772" s="17"/>
      <c r="D4772" s="27"/>
      <c r="E4772" s="18"/>
      <c r="F4772" s="18"/>
      <c r="G4772" s="18"/>
      <c r="H4772" s="30" t="str">
        <f t="shared" si="518"/>
        <v/>
      </c>
      <c r="I4772" s="31" t="str">
        <f>IF(OR(B4772="",C4772=""),"",IFERROR(E4772*IF(E4772="",0,VLOOKUP(C4772,'📦 Precios Proforma'!$B$5:$D$104,IF(D4772="DIA",2,3),FALSE)),0))</f>
        <v/>
      </c>
      <c r="J4772" s="31" t="str">
        <f t="shared" si="519"/>
        <v/>
      </c>
      <c r="K4772" s="31" t="str">
        <f t="shared" si="520"/>
        <v/>
      </c>
      <c r="L4772" s="31" t="str">
        <f>IF(OR(B4772="",C4772=""),"",IFERROR(E4772 / SUMIFS('📅 Resumen Diario'!$D$5:$D$504, '📅 Resumen Diario'!$B$5:$B$504, B4772, '📅 Resumen Diario'!$C$5:$C$504, D4772) * SUMIFS('📅 Resumen Diario'!$K$5:$K$504, '📅 Resumen Diario'!$B$5:$B$504, B4772, '📅 Resumen Diario'!$C$5:$C$504, D4772), 0))</f>
        <v/>
      </c>
      <c r="M4772" s="31" t="str">
        <f t="shared" si="521"/>
        <v/>
      </c>
      <c r="N4772" s="31" t="str">
        <f t="shared" si="522"/>
        <v/>
      </c>
      <c r="O4772" s="31" t="str">
        <f>IF(OR(B4772="",C4772=""),"",K4772-N4772 + IFERROR(E4772 / SUMIFS('📅 Resumen Diario'!$D$5:$D$504, '📅 Resumen Diario'!$B$5:$B$504, B4772, '📅 Resumen Diario'!$C$5:$C$504, D4772) * (SUMIFS('📋 Detalle Diario'!$E$5:$E$489, '📋 Detalle Diario'!$B$5:$B$489, B4772, '📋 Detalle Diario'!$C$5:$C$489, D4772) * 135 + SUMIFS('📋 Detalle Diario'!$I$5:$I$489, '📋 Detalle Diario'!$B$5:$B$489, B4772, '📋 Detalle Diario'!$C$5:$C$489, D4772) * 200), 0))</f>
        <v/>
      </c>
      <c r="P4772" s="32" t="str">
        <f t="shared" si="523"/>
        <v/>
      </c>
      <c r="Q4772" s="33" t="str">
        <f t="shared" si="524"/>
        <v/>
      </c>
    </row>
    <row r="4773" spans="2:17" ht="18" customHeight="1" x14ac:dyDescent="0.3">
      <c r="B4773" s="26"/>
      <c r="C4773" s="28"/>
      <c r="D4773" s="27"/>
      <c r="E4773" s="29"/>
      <c r="F4773" s="29"/>
      <c r="G4773" s="29"/>
      <c r="H4773" s="30" t="str">
        <f t="shared" si="518"/>
        <v/>
      </c>
      <c r="I4773" s="31" t="str">
        <f>IF(OR(B4773="",C4773=""),"",IFERROR(E4773*IF(E4773="",0,VLOOKUP(C4773,'📦 Precios Proforma'!$B$5:$D$104,IF(D4773="DIA",2,3),FALSE)),0))</f>
        <v/>
      </c>
      <c r="J4773" s="31" t="str">
        <f t="shared" si="519"/>
        <v/>
      </c>
      <c r="K4773" s="31" t="str">
        <f t="shared" si="520"/>
        <v/>
      </c>
      <c r="L4773" s="31" t="str">
        <f>IF(OR(B4773="",C4773=""),"",IFERROR(E4773 / SUMIFS('📅 Resumen Diario'!$D$5:$D$504, '📅 Resumen Diario'!$B$5:$B$504, B4773, '📅 Resumen Diario'!$C$5:$C$504, D4773) * SUMIFS('📅 Resumen Diario'!$K$5:$K$504, '📅 Resumen Diario'!$B$5:$B$504, B4773, '📅 Resumen Diario'!$C$5:$C$504, D4773), 0))</f>
        <v/>
      </c>
      <c r="M4773" s="31" t="str">
        <f t="shared" si="521"/>
        <v/>
      </c>
      <c r="N4773" s="31" t="str">
        <f t="shared" si="522"/>
        <v/>
      </c>
      <c r="O4773" s="31" t="str">
        <f>IF(OR(B4773="",C4773=""),"",K4773-N4773 + IFERROR(E4773 / SUMIFS('📅 Resumen Diario'!$D$5:$D$504, '📅 Resumen Diario'!$B$5:$B$504, B4773, '📅 Resumen Diario'!$C$5:$C$504, D4773) * (SUMIFS('📋 Detalle Diario'!$E$5:$E$489, '📋 Detalle Diario'!$B$5:$B$489, B4773, '📋 Detalle Diario'!$C$5:$C$489, D4773) * 135 + SUMIFS('📋 Detalle Diario'!$I$5:$I$489, '📋 Detalle Diario'!$B$5:$B$489, B4773, '📋 Detalle Diario'!$C$5:$C$489, D4773) * 200), 0))</f>
        <v/>
      </c>
      <c r="P4773" s="32" t="str">
        <f t="shared" si="523"/>
        <v/>
      </c>
      <c r="Q4773" s="33" t="str">
        <f t="shared" si="524"/>
        <v/>
      </c>
    </row>
    <row r="4774" spans="2:17" ht="18" customHeight="1" x14ac:dyDescent="0.3">
      <c r="B4774" s="26"/>
      <c r="C4774" s="17"/>
      <c r="D4774" s="27"/>
      <c r="E4774" s="18"/>
      <c r="F4774" s="18"/>
      <c r="G4774" s="18"/>
      <c r="H4774" s="30" t="str">
        <f t="shared" si="518"/>
        <v/>
      </c>
      <c r="I4774" s="31" t="str">
        <f>IF(OR(B4774="",C4774=""),"",IFERROR(E4774*IF(E4774="",0,VLOOKUP(C4774,'📦 Precios Proforma'!$B$5:$D$104,IF(D4774="DIA",2,3),FALSE)),0))</f>
        <v/>
      </c>
      <c r="J4774" s="31" t="str">
        <f t="shared" si="519"/>
        <v/>
      </c>
      <c r="K4774" s="31" t="str">
        <f t="shared" si="520"/>
        <v/>
      </c>
      <c r="L4774" s="31" t="str">
        <f>IF(OR(B4774="",C4774=""),"",IFERROR(E4774 / SUMIFS('📅 Resumen Diario'!$D$5:$D$504, '📅 Resumen Diario'!$B$5:$B$504, B4774, '📅 Resumen Diario'!$C$5:$C$504, D4774) * SUMIFS('📅 Resumen Diario'!$K$5:$K$504, '📅 Resumen Diario'!$B$5:$B$504, B4774, '📅 Resumen Diario'!$C$5:$C$504, D4774), 0))</f>
        <v/>
      </c>
      <c r="M4774" s="31" t="str">
        <f t="shared" si="521"/>
        <v/>
      </c>
      <c r="N4774" s="31" t="str">
        <f t="shared" si="522"/>
        <v/>
      </c>
      <c r="O4774" s="31" t="str">
        <f>IF(OR(B4774="",C4774=""),"",K4774-N4774 + IFERROR(E4774 / SUMIFS('📅 Resumen Diario'!$D$5:$D$504, '📅 Resumen Diario'!$B$5:$B$504, B4774, '📅 Resumen Diario'!$C$5:$C$504, D4774) * (SUMIFS('📋 Detalle Diario'!$E$5:$E$489, '📋 Detalle Diario'!$B$5:$B$489, B4774, '📋 Detalle Diario'!$C$5:$C$489, D4774) * 135 + SUMIFS('📋 Detalle Diario'!$I$5:$I$489, '📋 Detalle Diario'!$B$5:$B$489, B4774, '📋 Detalle Diario'!$C$5:$C$489, D4774) * 200), 0))</f>
        <v/>
      </c>
      <c r="P4774" s="32" t="str">
        <f t="shared" si="523"/>
        <v/>
      </c>
      <c r="Q4774" s="33" t="str">
        <f t="shared" si="524"/>
        <v/>
      </c>
    </row>
    <row r="4775" spans="2:17" ht="18" customHeight="1" x14ac:dyDescent="0.3">
      <c r="B4775" s="26"/>
      <c r="C4775" s="28"/>
      <c r="D4775" s="27"/>
      <c r="E4775" s="29"/>
      <c r="F4775" s="29"/>
      <c r="G4775" s="29"/>
      <c r="H4775" s="30" t="str">
        <f t="shared" si="518"/>
        <v/>
      </c>
      <c r="I4775" s="31" t="str">
        <f>IF(OR(B4775="",C4775=""),"",IFERROR(E4775*IF(E4775="",0,VLOOKUP(C4775,'📦 Precios Proforma'!$B$5:$D$104,IF(D4775="DIA",2,3),FALSE)),0))</f>
        <v/>
      </c>
      <c r="J4775" s="31" t="str">
        <f t="shared" si="519"/>
        <v/>
      </c>
      <c r="K4775" s="31" t="str">
        <f t="shared" si="520"/>
        <v/>
      </c>
      <c r="L4775" s="31" t="str">
        <f>IF(OR(B4775="",C4775=""),"",IFERROR(E4775 / SUMIFS('📅 Resumen Diario'!$D$5:$D$504, '📅 Resumen Diario'!$B$5:$B$504, B4775, '📅 Resumen Diario'!$C$5:$C$504, D4775) * SUMIFS('📅 Resumen Diario'!$K$5:$K$504, '📅 Resumen Diario'!$B$5:$B$504, B4775, '📅 Resumen Diario'!$C$5:$C$504, D4775), 0))</f>
        <v/>
      </c>
      <c r="M4775" s="31" t="str">
        <f t="shared" si="521"/>
        <v/>
      </c>
      <c r="N4775" s="31" t="str">
        <f t="shared" si="522"/>
        <v/>
      </c>
      <c r="O4775" s="31" t="str">
        <f>IF(OR(B4775="",C4775=""),"",K4775-N4775 + IFERROR(E4775 / SUMIFS('📅 Resumen Diario'!$D$5:$D$504, '📅 Resumen Diario'!$B$5:$B$504, B4775, '📅 Resumen Diario'!$C$5:$C$504, D4775) * (SUMIFS('📋 Detalle Diario'!$E$5:$E$489, '📋 Detalle Diario'!$B$5:$B$489, B4775, '📋 Detalle Diario'!$C$5:$C$489, D4775) * 135 + SUMIFS('📋 Detalle Diario'!$I$5:$I$489, '📋 Detalle Diario'!$B$5:$B$489, B4775, '📋 Detalle Diario'!$C$5:$C$489, D4775) * 200), 0))</f>
        <v/>
      </c>
      <c r="P4775" s="32" t="str">
        <f t="shared" si="523"/>
        <v/>
      </c>
      <c r="Q4775" s="33" t="str">
        <f t="shared" si="524"/>
        <v/>
      </c>
    </row>
    <row r="4776" spans="2:17" ht="18" customHeight="1" x14ac:dyDescent="0.3">
      <c r="B4776" s="26"/>
      <c r="C4776" s="17"/>
      <c r="D4776" s="27"/>
      <c r="E4776" s="18"/>
      <c r="F4776" s="18"/>
      <c r="G4776" s="18"/>
      <c r="H4776" s="30" t="str">
        <f t="shared" si="518"/>
        <v/>
      </c>
      <c r="I4776" s="31" t="str">
        <f>IF(OR(B4776="",C4776=""),"",IFERROR(E4776*IF(E4776="",0,VLOOKUP(C4776,'📦 Precios Proforma'!$B$5:$D$104,IF(D4776="DIA",2,3),FALSE)),0))</f>
        <v/>
      </c>
      <c r="J4776" s="31" t="str">
        <f t="shared" si="519"/>
        <v/>
      </c>
      <c r="K4776" s="31" t="str">
        <f t="shared" si="520"/>
        <v/>
      </c>
      <c r="L4776" s="31" t="str">
        <f>IF(OR(B4776="",C4776=""),"",IFERROR(E4776 / SUMIFS('📅 Resumen Diario'!$D$5:$D$504, '📅 Resumen Diario'!$B$5:$B$504, B4776, '📅 Resumen Diario'!$C$5:$C$504, D4776) * SUMIFS('📅 Resumen Diario'!$K$5:$K$504, '📅 Resumen Diario'!$B$5:$B$504, B4776, '📅 Resumen Diario'!$C$5:$C$504, D4776), 0))</f>
        <v/>
      </c>
      <c r="M4776" s="31" t="str">
        <f t="shared" si="521"/>
        <v/>
      </c>
      <c r="N4776" s="31" t="str">
        <f t="shared" si="522"/>
        <v/>
      </c>
      <c r="O4776" s="31" t="str">
        <f>IF(OR(B4776="",C4776=""),"",K4776-N4776 + IFERROR(E4776 / SUMIFS('📅 Resumen Diario'!$D$5:$D$504, '📅 Resumen Diario'!$B$5:$B$504, B4776, '📅 Resumen Diario'!$C$5:$C$504, D4776) * (SUMIFS('📋 Detalle Diario'!$E$5:$E$489, '📋 Detalle Diario'!$B$5:$B$489, B4776, '📋 Detalle Diario'!$C$5:$C$489, D4776) * 135 + SUMIFS('📋 Detalle Diario'!$I$5:$I$489, '📋 Detalle Diario'!$B$5:$B$489, B4776, '📋 Detalle Diario'!$C$5:$C$489, D4776) * 200), 0))</f>
        <v/>
      </c>
      <c r="P4776" s="32" t="str">
        <f t="shared" si="523"/>
        <v/>
      </c>
      <c r="Q4776" s="33" t="str">
        <f t="shared" si="524"/>
        <v/>
      </c>
    </row>
    <row r="4777" spans="2:17" ht="18" customHeight="1" x14ac:dyDescent="0.3">
      <c r="B4777" s="26"/>
      <c r="C4777" s="28"/>
      <c r="D4777" s="27"/>
      <c r="E4777" s="29"/>
      <c r="F4777" s="29"/>
      <c r="G4777" s="29"/>
      <c r="H4777" s="30" t="str">
        <f t="shared" si="518"/>
        <v/>
      </c>
      <c r="I4777" s="31" t="str">
        <f>IF(OR(B4777="",C4777=""),"",IFERROR(E4777*IF(E4777="",0,VLOOKUP(C4777,'📦 Precios Proforma'!$B$5:$D$104,IF(D4777="DIA",2,3),FALSE)),0))</f>
        <v/>
      </c>
      <c r="J4777" s="31" t="str">
        <f t="shared" si="519"/>
        <v/>
      </c>
      <c r="K4777" s="31" t="str">
        <f t="shared" si="520"/>
        <v/>
      </c>
      <c r="L4777" s="31" t="str">
        <f>IF(OR(B4777="",C4777=""),"",IFERROR(E4777 / SUMIFS('📅 Resumen Diario'!$D$5:$D$504, '📅 Resumen Diario'!$B$5:$B$504, B4777, '📅 Resumen Diario'!$C$5:$C$504, D4777) * SUMIFS('📅 Resumen Diario'!$K$5:$K$504, '📅 Resumen Diario'!$B$5:$B$504, B4777, '📅 Resumen Diario'!$C$5:$C$504, D4777), 0))</f>
        <v/>
      </c>
      <c r="M4777" s="31" t="str">
        <f t="shared" si="521"/>
        <v/>
      </c>
      <c r="N4777" s="31" t="str">
        <f t="shared" si="522"/>
        <v/>
      </c>
      <c r="O4777" s="31" t="str">
        <f>IF(OR(B4777="",C4777=""),"",K4777-N4777 + IFERROR(E4777 / SUMIFS('📅 Resumen Diario'!$D$5:$D$504, '📅 Resumen Diario'!$B$5:$B$504, B4777, '📅 Resumen Diario'!$C$5:$C$504, D4777) * (SUMIFS('📋 Detalle Diario'!$E$5:$E$489, '📋 Detalle Diario'!$B$5:$B$489, B4777, '📋 Detalle Diario'!$C$5:$C$489, D4777) * 135 + SUMIFS('📋 Detalle Diario'!$I$5:$I$489, '📋 Detalle Diario'!$B$5:$B$489, B4777, '📋 Detalle Diario'!$C$5:$C$489, D4777) * 200), 0))</f>
        <v/>
      </c>
      <c r="P4777" s="32" t="str">
        <f t="shared" si="523"/>
        <v/>
      </c>
      <c r="Q4777" s="33" t="str">
        <f t="shared" si="524"/>
        <v/>
      </c>
    </row>
    <row r="4778" spans="2:17" ht="18" customHeight="1" x14ac:dyDescent="0.3">
      <c r="B4778" s="26"/>
      <c r="C4778" s="17"/>
      <c r="D4778" s="27"/>
      <c r="E4778" s="18"/>
      <c r="F4778" s="18"/>
      <c r="G4778" s="18"/>
      <c r="H4778" s="30" t="str">
        <f t="shared" si="518"/>
        <v/>
      </c>
      <c r="I4778" s="31" t="str">
        <f>IF(OR(B4778="",C4778=""),"",IFERROR(E4778*IF(E4778="",0,VLOOKUP(C4778,'📦 Precios Proforma'!$B$5:$D$104,IF(D4778="DIA",2,3),FALSE)),0))</f>
        <v/>
      </c>
      <c r="J4778" s="31" t="str">
        <f t="shared" si="519"/>
        <v/>
      </c>
      <c r="K4778" s="31" t="str">
        <f t="shared" si="520"/>
        <v/>
      </c>
      <c r="L4778" s="31" t="str">
        <f>IF(OR(B4778="",C4778=""),"",IFERROR(E4778 / SUMIFS('📅 Resumen Diario'!$D$5:$D$504, '📅 Resumen Diario'!$B$5:$B$504, B4778, '📅 Resumen Diario'!$C$5:$C$504, D4778) * SUMIFS('📅 Resumen Diario'!$K$5:$K$504, '📅 Resumen Diario'!$B$5:$B$504, B4778, '📅 Resumen Diario'!$C$5:$C$504, D4778), 0))</f>
        <v/>
      </c>
      <c r="M4778" s="31" t="str">
        <f t="shared" si="521"/>
        <v/>
      </c>
      <c r="N4778" s="31" t="str">
        <f t="shared" si="522"/>
        <v/>
      </c>
      <c r="O4778" s="31" t="str">
        <f>IF(OR(B4778="",C4778=""),"",K4778-N4778 + IFERROR(E4778 / SUMIFS('📅 Resumen Diario'!$D$5:$D$504, '📅 Resumen Diario'!$B$5:$B$504, B4778, '📅 Resumen Diario'!$C$5:$C$504, D4778) * (SUMIFS('📋 Detalle Diario'!$E$5:$E$489, '📋 Detalle Diario'!$B$5:$B$489, B4778, '📋 Detalle Diario'!$C$5:$C$489, D4778) * 135 + SUMIFS('📋 Detalle Diario'!$I$5:$I$489, '📋 Detalle Diario'!$B$5:$B$489, B4778, '📋 Detalle Diario'!$C$5:$C$489, D4778) * 200), 0))</f>
        <v/>
      </c>
      <c r="P4778" s="32" t="str">
        <f t="shared" si="523"/>
        <v/>
      </c>
      <c r="Q4778" s="33" t="str">
        <f t="shared" si="524"/>
        <v/>
      </c>
    </row>
    <row r="4779" spans="2:17" ht="18" customHeight="1" x14ac:dyDescent="0.3">
      <c r="B4779" s="26"/>
      <c r="C4779" s="28"/>
      <c r="D4779" s="27"/>
      <c r="E4779" s="29"/>
      <c r="F4779" s="29"/>
      <c r="G4779" s="29"/>
      <c r="H4779" s="30" t="str">
        <f t="shared" si="518"/>
        <v/>
      </c>
      <c r="I4779" s="31" t="str">
        <f>IF(OR(B4779="",C4779=""),"",IFERROR(E4779*IF(E4779="",0,VLOOKUP(C4779,'📦 Precios Proforma'!$B$5:$D$104,IF(D4779="DIA",2,3),FALSE)),0))</f>
        <v/>
      </c>
      <c r="J4779" s="31" t="str">
        <f t="shared" si="519"/>
        <v/>
      </c>
      <c r="K4779" s="31" t="str">
        <f t="shared" si="520"/>
        <v/>
      </c>
      <c r="L4779" s="31" t="str">
        <f>IF(OR(B4779="",C4779=""),"",IFERROR(E4779 / SUMIFS('📅 Resumen Diario'!$D$5:$D$504, '📅 Resumen Diario'!$B$5:$B$504, B4779, '📅 Resumen Diario'!$C$5:$C$504, D4779) * SUMIFS('📅 Resumen Diario'!$K$5:$K$504, '📅 Resumen Diario'!$B$5:$B$504, B4779, '📅 Resumen Diario'!$C$5:$C$504, D4779), 0))</f>
        <v/>
      </c>
      <c r="M4779" s="31" t="str">
        <f t="shared" si="521"/>
        <v/>
      </c>
      <c r="N4779" s="31" t="str">
        <f t="shared" si="522"/>
        <v/>
      </c>
      <c r="O4779" s="31" t="str">
        <f>IF(OR(B4779="",C4779=""),"",K4779-N4779 + IFERROR(E4779 / SUMIFS('📅 Resumen Diario'!$D$5:$D$504, '📅 Resumen Diario'!$B$5:$B$504, B4779, '📅 Resumen Diario'!$C$5:$C$504, D4779) * (SUMIFS('📋 Detalle Diario'!$E$5:$E$489, '📋 Detalle Diario'!$B$5:$B$489, B4779, '📋 Detalle Diario'!$C$5:$C$489, D4779) * 135 + SUMIFS('📋 Detalle Diario'!$I$5:$I$489, '📋 Detalle Diario'!$B$5:$B$489, B4779, '📋 Detalle Diario'!$C$5:$C$489, D4779) * 200), 0))</f>
        <v/>
      </c>
      <c r="P4779" s="32" t="str">
        <f t="shared" si="523"/>
        <v/>
      </c>
      <c r="Q4779" s="33" t="str">
        <f t="shared" si="524"/>
        <v/>
      </c>
    </row>
    <row r="4780" spans="2:17" ht="18" customHeight="1" x14ac:dyDescent="0.3">
      <c r="B4780" s="26"/>
      <c r="C4780" s="17"/>
      <c r="D4780" s="27"/>
      <c r="E4780" s="18"/>
      <c r="F4780" s="18"/>
      <c r="G4780" s="18"/>
      <c r="H4780" s="30" t="str">
        <f t="shared" si="518"/>
        <v/>
      </c>
      <c r="I4780" s="31" t="str">
        <f>IF(OR(B4780="",C4780=""),"",IFERROR(E4780*IF(E4780="",0,VLOOKUP(C4780,'📦 Precios Proforma'!$B$5:$D$104,IF(D4780="DIA",2,3),FALSE)),0))</f>
        <v/>
      </c>
      <c r="J4780" s="31" t="str">
        <f t="shared" si="519"/>
        <v/>
      </c>
      <c r="K4780" s="31" t="str">
        <f t="shared" si="520"/>
        <v/>
      </c>
      <c r="L4780" s="31" t="str">
        <f>IF(OR(B4780="",C4780=""),"",IFERROR(E4780 / SUMIFS('📅 Resumen Diario'!$D$5:$D$504, '📅 Resumen Diario'!$B$5:$B$504, B4780, '📅 Resumen Diario'!$C$5:$C$504, D4780) * SUMIFS('📅 Resumen Diario'!$K$5:$K$504, '📅 Resumen Diario'!$B$5:$B$504, B4780, '📅 Resumen Diario'!$C$5:$C$504, D4780), 0))</f>
        <v/>
      </c>
      <c r="M4780" s="31" t="str">
        <f t="shared" si="521"/>
        <v/>
      </c>
      <c r="N4780" s="31" t="str">
        <f t="shared" si="522"/>
        <v/>
      </c>
      <c r="O4780" s="31" t="str">
        <f>IF(OR(B4780="",C4780=""),"",K4780-N4780 + IFERROR(E4780 / SUMIFS('📅 Resumen Diario'!$D$5:$D$504, '📅 Resumen Diario'!$B$5:$B$504, B4780, '📅 Resumen Diario'!$C$5:$C$504, D4780) * (SUMIFS('📋 Detalle Diario'!$E$5:$E$489, '📋 Detalle Diario'!$B$5:$B$489, B4780, '📋 Detalle Diario'!$C$5:$C$489, D4780) * 135 + SUMIFS('📋 Detalle Diario'!$I$5:$I$489, '📋 Detalle Diario'!$B$5:$B$489, B4780, '📋 Detalle Diario'!$C$5:$C$489, D4780) * 200), 0))</f>
        <v/>
      </c>
      <c r="P4780" s="32" t="str">
        <f t="shared" si="523"/>
        <v/>
      </c>
      <c r="Q4780" s="33" t="str">
        <f t="shared" si="524"/>
        <v/>
      </c>
    </row>
    <row r="4781" spans="2:17" ht="18" customHeight="1" x14ac:dyDescent="0.3">
      <c r="B4781" s="26"/>
      <c r="C4781" s="28"/>
      <c r="D4781" s="27"/>
      <c r="E4781" s="29"/>
      <c r="F4781" s="29"/>
      <c r="G4781" s="29"/>
      <c r="H4781" s="30" t="str">
        <f t="shared" si="518"/>
        <v/>
      </c>
      <c r="I4781" s="31" t="str">
        <f>IF(OR(B4781="",C4781=""),"",IFERROR(E4781*IF(E4781="",0,VLOOKUP(C4781,'📦 Precios Proforma'!$B$5:$D$104,IF(D4781="DIA",2,3),FALSE)),0))</f>
        <v/>
      </c>
      <c r="J4781" s="31" t="str">
        <f t="shared" si="519"/>
        <v/>
      </c>
      <c r="K4781" s="31" t="str">
        <f t="shared" si="520"/>
        <v/>
      </c>
      <c r="L4781" s="31" t="str">
        <f>IF(OR(B4781="",C4781=""),"",IFERROR(E4781 / SUMIFS('📅 Resumen Diario'!$D$5:$D$504, '📅 Resumen Diario'!$B$5:$B$504, B4781, '📅 Resumen Diario'!$C$5:$C$504, D4781) * SUMIFS('📅 Resumen Diario'!$K$5:$K$504, '📅 Resumen Diario'!$B$5:$B$504, B4781, '📅 Resumen Diario'!$C$5:$C$504, D4781), 0))</f>
        <v/>
      </c>
      <c r="M4781" s="31" t="str">
        <f t="shared" si="521"/>
        <v/>
      </c>
      <c r="N4781" s="31" t="str">
        <f t="shared" si="522"/>
        <v/>
      </c>
      <c r="O4781" s="31" t="str">
        <f>IF(OR(B4781="",C4781=""),"",K4781-N4781 + IFERROR(E4781 / SUMIFS('📅 Resumen Diario'!$D$5:$D$504, '📅 Resumen Diario'!$B$5:$B$504, B4781, '📅 Resumen Diario'!$C$5:$C$504, D4781) * (SUMIFS('📋 Detalle Diario'!$E$5:$E$489, '📋 Detalle Diario'!$B$5:$B$489, B4781, '📋 Detalle Diario'!$C$5:$C$489, D4781) * 135 + SUMIFS('📋 Detalle Diario'!$I$5:$I$489, '📋 Detalle Diario'!$B$5:$B$489, B4781, '📋 Detalle Diario'!$C$5:$C$489, D4781) * 200), 0))</f>
        <v/>
      </c>
      <c r="P4781" s="32" t="str">
        <f t="shared" si="523"/>
        <v/>
      </c>
      <c r="Q4781" s="33" t="str">
        <f t="shared" si="524"/>
        <v/>
      </c>
    </row>
    <row r="4782" spans="2:17" ht="18" customHeight="1" x14ac:dyDescent="0.3">
      <c r="B4782" s="26"/>
      <c r="C4782" s="17"/>
      <c r="D4782" s="27"/>
      <c r="E4782" s="18"/>
      <c r="F4782" s="18"/>
      <c r="G4782" s="18"/>
      <c r="H4782" s="30" t="str">
        <f t="shared" si="518"/>
        <v/>
      </c>
      <c r="I4782" s="31" t="str">
        <f>IF(OR(B4782="",C4782=""),"",IFERROR(E4782*IF(E4782="",0,VLOOKUP(C4782,'📦 Precios Proforma'!$B$5:$D$104,IF(D4782="DIA",2,3),FALSE)),0))</f>
        <v/>
      </c>
      <c r="J4782" s="31" t="str">
        <f t="shared" si="519"/>
        <v/>
      </c>
      <c r="K4782" s="31" t="str">
        <f t="shared" si="520"/>
        <v/>
      </c>
      <c r="L4782" s="31" t="str">
        <f>IF(OR(B4782="",C4782=""),"",IFERROR(E4782 / SUMIFS('📅 Resumen Diario'!$D$5:$D$504, '📅 Resumen Diario'!$B$5:$B$504, B4782, '📅 Resumen Diario'!$C$5:$C$504, D4782) * SUMIFS('📅 Resumen Diario'!$K$5:$K$504, '📅 Resumen Diario'!$B$5:$B$504, B4782, '📅 Resumen Diario'!$C$5:$C$504, D4782), 0))</f>
        <v/>
      </c>
      <c r="M4782" s="31" t="str">
        <f t="shared" si="521"/>
        <v/>
      </c>
      <c r="N4782" s="31" t="str">
        <f t="shared" si="522"/>
        <v/>
      </c>
      <c r="O4782" s="31" t="str">
        <f>IF(OR(B4782="",C4782=""),"",K4782-N4782 + IFERROR(E4782 / SUMIFS('📅 Resumen Diario'!$D$5:$D$504, '📅 Resumen Diario'!$B$5:$B$504, B4782, '📅 Resumen Diario'!$C$5:$C$504, D4782) * (SUMIFS('📋 Detalle Diario'!$E$5:$E$489, '📋 Detalle Diario'!$B$5:$B$489, B4782, '📋 Detalle Diario'!$C$5:$C$489, D4782) * 135 + SUMIFS('📋 Detalle Diario'!$I$5:$I$489, '📋 Detalle Diario'!$B$5:$B$489, B4782, '📋 Detalle Diario'!$C$5:$C$489, D4782) * 200), 0))</f>
        <v/>
      </c>
      <c r="P4782" s="32" t="str">
        <f t="shared" si="523"/>
        <v/>
      </c>
      <c r="Q4782" s="33" t="str">
        <f t="shared" si="524"/>
        <v/>
      </c>
    </row>
    <row r="4783" spans="2:17" ht="18" customHeight="1" x14ac:dyDescent="0.3">
      <c r="B4783" s="26"/>
      <c r="C4783" s="28"/>
      <c r="D4783" s="27"/>
      <c r="E4783" s="29"/>
      <c r="F4783" s="29"/>
      <c r="G4783" s="29"/>
      <c r="H4783" s="30" t="str">
        <f t="shared" si="518"/>
        <v/>
      </c>
      <c r="I4783" s="31" t="str">
        <f>IF(OR(B4783="",C4783=""),"",IFERROR(E4783*IF(E4783="",0,VLOOKUP(C4783,'📦 Precios Proforma'!$B$5:$D$104,IF(D4783="DIA",2,3),FALSE)),0))</f>
        <v/>
      </c>
      <c r="J4783" s="31" t="str">
        <f t="shared" si="519"/>
        <v/>
      </c>
      <c r="K4783" s="31" t="str">
        <f t="shared" si="520"/>
        <v/>
      </c>
      <c r="L4783" s="31" t="str">
        <f>IF(OR(B4783="",C4783=""),"",IFERROR(E4783 / SUMIFS('📅 Resumen Diario'!$D$5:$D$504, '📅 Resumen Diario'!$B$5:$B$504, B4783, '📅 Resumen Diario'!$C$5:$C$504, D4783) * SUMIFS('📅 Resumen Diario'!$K$5:$K$504, '📅 Resumen Diario'!$B$5:$B$504, B4783, '📅 Resumen Diario'!$C$5:$C$504, D4783), 0))</f>
        <v/>
      </c>
      <c r="M4783" s="31" t="str">
        <f t="shared" si="521"/>
        <v/>
      </c>
      <c r="N4783" s="31" t="str">
        <f t="shared" si="522"/>
        <v/>
      </c>
      <c r="O4783" s="31" t="str">
        <f>IF(OR(B4783="",C4783=""),"",K4783-N4783 + IFERROR(E4783 / SUMIFS('📅 Resumen Diario'!$D$5:$D$504, '📅 Resumen Diario'!$B$5:$B$504, B4783, '📅 Resumen Diario'!$C$5:$C$504, D4783) * (SUMIFS('📋 Detalle Diario'!$E$5:$E$489, '📋 Detalle Diario'!$B$5:$B$489, B4783, '📋 Detalle Diario'!$C$5:$C$489, D4783) * 135 + SUMIFS('📋 Detalle Diario'!$I$5:$I$489, '📋 Detalle Diario'!$B$5:$B$489, B4783, '📋 Detalle Diario'!$C$5:$C$489, D4783) * 200), 0))</f>
        <v/>
      </c>
      <c r="P4783" s="32" t="str">
        <f t="shared" si="523"/>
        <v/>
      </c>
      <c r="Q4783" s="33" t="str">
        <f t="shared" si="524"/>
        <v/>
      </c>
    </row>
    <row r="4784" spans="2:17" ht="18" customHeight="1" x14ac:dyDescent="0.3">
      <c r="B4784" s="26"/>
      <c r="C4784" s="17"/>
      <c r="D4784" s="27"/>
      <c r="E4784" s="18"/>
      <c r="F4784" s="18"/>
      <c r="G4784" s="18"/>
      <c r="H4784" s="30" t="str">
        <f t="shared" si="518"/>
        <v/>
      </c>
      <c r="I4784" s="31" t="str">
        <f>IF(OR(B4784="",C4784=""),"",IFERROR(E4784*IF(E4784="",0,VLOOKUP(C4784,'📦 Precios Proforma'!$B$5:$D$104,IF(D4784="DIA",2,3),FALSE)),0))</f>
        <v/>
      </c>
      <c r="J4784" s="31" t="str">
        <f t="shared" si="519"/>
        <v/>
      </c>
      <c r="K4784" s="31" t="str">
        <f t="shared" si="520"/>
        <v/>
      </c>
      <c r="L4784" s="31" t="str">
        <f>IF(OR(B4784="",C4784=""),"",IFERROR(E4784 / SUMIFS('📅 Resumen Diario'!$D$5:$D$504, '📅 Resumen Diario'!$B$5:$B$504, B4784, '📅 Resumen Diario'!$C$5:$C$504, D4784) * SUMIFS('📅 Resumen Diario'!$K$5:$K$504, '📅 Resumen Diario'!$B$5:$B$504, B4784, '📅 Resumen Diario'!$C$5:$C$504, D4784), 0))</f>
        <v/>
      </c>
      <c r="M4784" s="31" t="str">
        <f t="shared" si="521"/>
        <v/>
      </c>
      <c r="N4784" s="31" t="str">
        <f t="shared" si="522"/>
        <v/>
      </c>
      <c r="O4784" s="31" t="str">
        <f>IF(OR(B4784="",C4784=""),"",K4784-N4784 + IFERROR(E4784 / SUMIFS('📅 Resumen Diario'!$D$5:$D$504, '📅 Resumen Diario'!$B$5:$B$504, B4784, '📅 Resumen Diario'!$C$5:$C$504, D4784) * (SUMIFS('📋 Detalle Diario'!$E$5:$E$489, '📋 Detalle Diario'!$B$5:$B$489, B4784, '📋 Detalle Diario'!$C$5:$C$489, D4784) * 135 + SUMIFS('📋 Detalle Diario'!$I$5:$I$489, '📋 Detalle Diario'!$B$5:$B$489, B4784, '📋 Detalle Diario'!$C$5:$C$489, D4784) * 200), 0))</f>
        <v/>
      </c>
      <c r="P4784" s="32" t="str">
        <f t="shared" si="523"/>
        <v/>
      </c>
      <c r="Q4784" s="33" t="str">
        <f t="shared" si="524"/>
        <v/>
      </c>
    </row>
    <row r="4785" spans="2:17" ht="18" customHeight="1" x14ac:dyDescent="0.3">
      <c r="B4785" s="26"/>
      <c r="C4785" s="28"/>
      <c r="D4785" s="27"/>
      <c r="E4785" s="29"/>
      <c r="F4785" s="29"/>
      <c r="G4785" s="29"/>
      <c r="H4785" s="30" t="str">
        <f t="shared" si="518"/>
        <v/>
      </c>
      <c r="I4785" s="31" t="str">
        <f>IF(OR(B4785="",C4785=""),"",IFERROR(E4785*IF(E4785="",0,VLOOKUP(C4785,'📦 Precios Proforma'!$B$5:$D$104,IF(D4785="DIA",2,3),FALSE)),0))</f>
        <v/>
      </c>
      <c r="J4785" s="31" t="str">
        <f t="shared" si="519"/>
        <v/>
      </c>
      <c r="K4785" s="31" t="str">
        <f t="shared" si="520"/>
        <v/>
      </c>
      <c r="L4785" s="31" t="str">
        <f>IF(OR(B4785="",C4785=""),"",IFERROR(E4785 / SUMIFS('📅 Resumen Diario'!$D$5:$D$504, '📅 Resumen Diario'!$B$5:$B$504, B4785, '📅 Resumen Diario'!$C$5:$C$504, D4785) * SUMIFS('📅 Resumen Diario'!$K$5:$K$504, '📅 Resumen Diario'!$B$5:$B$504, B4785, '📅 Resumen Diario'!$C$5:$C$504, D4785), 0))</f>
        <v/>
      </c>
      <c r="M4785" s="31" t="str">
        <f t="shared" si="521"/>
        <v/>
      </c>
      <c r="N4785" s="31" t="str">
        <f t="shared" si="522"/>
        <v/>
      </c>
      <c r="O4785" s="31" t="str">
        <f>IF(OR(B4785="",C4785=""),"",K4785-N4785 + IFERROR(E4785 / SUMIFS('📅 Resumen Diario'!$D$5:$D$504, '📅 Resumen Diario'!$B$5:$B$504, B4785, '📅 Resumen Diario'!$C$5:$C$504, D4785) * (SUMIFS('📋 Detalle Diario'!$E$5:$E$489, '📋 Detalle Diario'!$B$5:$B$489, B4785, '📋 Detalle Diario'!$C$5:$C$489, D4785) * 135 + SUMIFS('📋 Detalle Diario'!$I$5:$I$489, '📋 Detalle Diario'!$B$5:$B$489, B4785, '📋 Detalle Diario'!$C$5:$C$489, D4785) * 200), 0))</f>
        <v/>
      </c>
      <c r="P4785" s="32" t="str">
        <f t="shared" si="523"/>
        <v/>
      </c>
      <c r="Q4785" s="33" t="str">
        <f t="shared" si="524"/>
        <v/>
      </c>
    </row>
    <row r="4786" spans="2:17" ht="18" customHeight="1" x14ac:dyDescent="0.3">
      <c r="B4786" s="26"/>
      <c r="C4786" s="17"/>
      <c r="D4786" s="27"/>
      <c r="E4786" s="18"/>
      <c r="F4786" s="18"/>
      <c r="G4786" s="18"/>
      <c r="H4786" s="30" t="str">
        <f t="shared" si="518"/>
        <v/>
      </c>
      <c r="I4786" s="31" t="str">
        <f>IF(OR(B4786="",C4786=""),"",IFERROR(E4786*IF(E4786="",0,VLOOKUP(C4786,'📦 Precios Proforma'!$B$5:$D$104,IF(D4786="DIA",2,3),FALSE)),0))</f>
        <v/>
      </c>
      <c r="J4786" s="31" t="str">
        <f t="shared" si="519"/>
        <v/>
      </c>
      <c r="K4786" s="31" t="str">
        <f t="shared" si="520"/>
        <v/>
      </c>
      <c r="L4786" s="31" t="str">
        <f>IF(OR(B4786="",C4786=""),"",IFERROR(E4786 / SUMIFS('📅 Resumen Diario'!$D$5:$D$504, '📅 Resumen Diario'!$B$5:$B$504, B4786, '📅 Resumen Diario'!$C$5:$C$504, D4786) * SUMIFS('📅 Resumen Diario'!$K$5:$K$504, '📅 Resumen Diario'!$B$5:$B$504, B4786, '📅 Resumen Diario'!$C$5:$C$504, D4786), 0))</f>
        <v/>
      </c>
      <c r="M4786" s="31" t="str">
        <f t="shared" si="521"/>
        <v/>
      </c>
      <c r="N4786" s="31" t="str">
        <f t="shared" si="522"/>
        <v/>
      </c>
      <c r="O4786" s="31" t="str">
        <f>IF(OR(B4786="",C4786=""),"",K4786-N4786 + IFERROR(E4786 / SUMIFS('📅 Resumen Diario'!$D$5:$D$504, '📅 Resumen Diario'!$B$5:$B$504, B4786, '📅 Resumen Diario'!$C$5:$C$504, D4786) * (SUMIFS('📋 Detalle Diario'!$E$5:$E$489, '📋 Detalle Diario'!$B$5:$B$489, B4786, '📋 Detalle Diario'!$C$5:$C$489, D4786) * 135 + SUMIFS('📋 Detalle Diario'!$I$5:$I$489, '📋 Detalle Diario'!$B$5:$B$489, B4786, '📋 Detalle Diario'!$C$5:$C$489, D4786) * 200), 0))</f>
        <v/>
      </c>
      <c r="P4786" s="32" t="str">
        <f t="shared" si="523"/>
        <v/>
      </c>
      <c r="Q4786" s="33" t="str">
        <f t="shared" si="524"/>
        <v/>
      </c>
    </row>
    <row r="4787" spans="2:17" ht="18" customHeight="1" x14ac:dyDescent="0.3">
      <c r="B4787" s="26"/>
      <c r="C4787" s="28"/>
      <c r="D4787" s="27"/>
      <c r="E4787" s="29"/>
      <c r="F4787" s="29"/>
      <c r="G4787" s="29"/>
      <c r="H4787" s="30" t="str">
        <f t="shared" si="518"/>
        <v/>
      </c>
      <c r="I4787" s="31" t="str">
        <f>IF(OR(B4787="",C4787=""),"",IFERROR(E4787*IF(E4787="",0,VLOOKUP(C4787,'📦 Precios Proforma'!$B$5:$D$104,IF(D4787="DIA",2,3),FALSE)),0))</f>
        <v/>
      </c>
      <c r="J4787" s="31" t="str">
        <f t="shared" si="519"/>
        <v/>
      </c>
      <c r="K4787" s="31" t="str">
        <f t="shared" si="520"/>
        <v/>
      </c>
      <c r="L4787" s="31" t="str">
        <f>IF(OR(B4787="",C4787=""),"",IFERROR(E4787 / SUMIFS('📅 Resumen Diario'!$D$5:$D$504, '📅 Resumen Diario'!$B$5:$B$504, B4787, '📅 Resumen Diario'!$C$5:$C$504, D4787) * SUMIFS('📅 Resumen Diario'!$K$5:$K$504, '📅 Resumen Diario'!$B$5:$B$504, B4787, '📅 Resumen Diario'!$C$5:$C$504, D4787), 0))</f>
        <v/>
      </c>
      <c r="M4787" s="31" t="str">
        <f t="shared" si="521"/>
        <v/>
      </c>
      <c r="N4787" s="31" t="str">
        <f t="shared" si="522"/>
        <v/>
      </c>
      <c r="O4787" s="31" t="str">
        <f>IF(OR(B4787="",C4787=""),"",K4787-N4787 + IFERROR(E4787 / SUMIFS('📅 Resumen Diario'!$D$5:$D$504, '📅 Resumen Diario'!$B$5:$B$504, B4787, '📅 Resumen Diario'!$C$5:$C$504, D4787) * (SUMIFS('📋 Detalle Diario'!$E$5:$E$489, '📋 Detalle Diario'!$B$5:$B$489, B4787, '📋 Detalle Diario'!$C$5:$C$489, D4787) * 135 + SUMIFS('📋 Detalle Diario'!$I$5:$I$489, '📋 Detalle Diario'!$B$5:$B$489, B4787, '📋 Detalle Diario'!$C$5:$C$489, D4787) * 200), 0))</f>
        <v/>
      </c>
      <c r="P4787" s="32" t="str">
        <f t="shared" si="523"/>
        <v/>
      </c>
      <c r="Q4787" s="33" t="str">
        <f t="shared" si="524"/>
        <v/>
      </c>
    </row>
    <row r="4788" spans="2:17" ht="18" customHeight="1" x14ac:dyDescent="0.3">
      <c r="B4788" s="26"/>
      <c r="C4788" s="17"/>
      <c r="D4788" s="27"/>
      <c r="E4788" s="18"/>
      <c r="F4788" s="18"/>
      <c r="G4788" s="18"/>
      <c r="H4788" s="30" t="str">
        <f t="shared" si="518"/>
        <v/>
      </c>
      <c r="I4788" s="31" t="str">
        <f>IF(OR(B4788="",C4788=""),"",IFERROR(E4788*IF(E4788="",0,VLOOKUP(C4788,'📦 Precios Proforma'!$B$5:$D$104,IF(D4788="DIA",2,3),FALSE)),0))</f>
        <v/>
      </c>
      <c r="J4788" s="31" t="str">
        <f t="shared" si="519"/>
        <v/>
      </c>
      <c r="K4788" s="31" t="str">
        <f t="shared" si="520"/>
        <v/>
      </c>
      <c r="L4788" s="31" t="str">
        <f>IF(OR(B4788="",C4788=""),"",IFERROR(E4788 / SUMIFS('📅 Resumen Diario'!$D$5:$D$504, '📅 Resumen Diario'!$B$5:$B$504, B4788, '📅 Resumen Diario'!$C$5:$C$504, D4788) * SUMIFS('📅 Resumen Diario'!$K$5:$K$504, '📅 Resumen Diario'!$B$5:$B$504, B4788, '📅 Resumen Diario'!$C$5:$C$504, D4788), 0))</f>
        <v/>
      </c>
      <c r="M4788" s="31" t="str">
        <f t="shared" si="521"/>
        <v/>
      </c>
      <c r="N4788" s="31" t="str">
        <f t="shared" si="522"/>
        <v/>
      </c>
      <c r="O4788" s="31" t="str">
        <f>IF(OR(B4788="",C4788=""),"",K4788-N4788 + IFERROR(E4788 / SUMIFS('📅 Resumen Diario'!$D$5:$D$504, '📅 Resumen Diario'!$B$5:$B$504, B4788, '📅 Resumen Diario'!$C$5:$C$504, D4788) * (SUMIFS('📋 Detalle Diario'!$E$5:$E$489, '📋 Detalle Diario'!$B$5:$B$489, B4788, '📋 Detalle Diario'!$C$5:$C$489, D4788) * 135 + SUMIFS('📋 Detalle Diario'!$I$5:$I$489, '📋 Detalle Diario'!$B$5:$B$489, B4788, '📋 Detalle Diario'!$C$5:$C$489, D4788) * 200), 0))</f>
        <v/>
      </c>
      <c r="P4788" s="32" t="str">
        <f t="shared" si="523"/>
        <v/>
      </c>
      <c r="Q4788" s="33" t="str">
        <f t="shared" si="524"/>
        <v/>
      </c>
    </row>
    <row r="4789" spans="2:17" ht="18" customHeight="1" x14ac:dyDescent="0.3">
      <c r="B4789" s="26"/>
      <c r="C4789" s="28"/>
      <c r="D4789" s="27"/>
      <c r="E4789" s="29"/>
      <c r="F4789" s="29"/>
      <c r="G4789" s="29"/>
      <c r="H4789" s="30" t="str">
        <f t="shared" si="518"/>
        <v/>
      </c>
      <c r="I4789" s="31" t="str">
        <f>IF(OR(B4789="",C4789=""),"",IFERROR(E4789*IF(E4789="",0,VLOOKUP(C4789,'📦 Precios Proforma'!$B$5:$D$104,IF(D4789="DIA",2,3),FALSE)),0))</f>
        <v/>
      </c>
      <c r="J4789" s="31" t="str">
        <f t="shared" si="519"/>
        <v/>
      </c>
      <c r="K4789" s="31" t="str">
        <f t="shared" si="520"/>
        <v/>
      </c>
      <c r="L4789" s="31" t="str">
        <f>IF(OR(B4789="",C4789=""),"",IFERROR(E4789 / SUMIFS('📅 Resumen Diario'!$D$5:$D$504, '📅 Resumen Diario'!$B$5:$B$504, B4789, '📅 Resumen Diario'!$C$5:$C$504, D4789) * SUMIFS('📅 Resumen Diario'!$K$5:$K$504, '📅 Resumen Diario'!$B$5:$B$504, B4789, '📅 Resumen Diario'!$C$5:$C$504, D4789), 0))</f>
        <v/>
      </c>
      <c r="M4789" s="31" t="str">
        <f t="shared" si="521"/>
        <v/>
      </c>
      <c r="N4789" s="31" t="str">
        <f t="shared" si="522"/>
        <v/>
      </c>
      <c r="O4789" s="31" t="str">
        <f>IF(OR(B4789="",C4789=""),"",K4789-N4789 + IFERROR(E4789 / SUMIFS('📅 Resumen Diario'!$D$5:$D$504, '📅 Resumen Diario'!$B$5:$B$504, B4789, '📅 Resumen Diario'!$C$5:$C$504, D4789) * (SUMIFS('📋 Detalle Diario'!$E$5:$E$489, '📋 Detalle Diario'!$B$5:$B$489, B4789, '📋 Detalle Diario'!$C$5:$C$489, D4789) * 135 + SUMIFS('📋 Detalle Diario'!$I$5:$I$489, '📋 Detalle Diario'!$B$5:$B$489, B4789, '📋 Detalle Diario'!$C$5:$C$489, D4789) * 200), 0))</f>
        <v/>
      </c>
      <c r="P4789" s="32" t="str">
        <f t="shared" si="523"/>
        <v/>
      </c>
      <c r="Q4789" s="33" t="str">
        <f t="shared" si="524"/>
        <v/>
      </c>
    </row>
    <row r="4790" spans="2:17" ht="18" customHeight="1" x14ac:dyDescent="0.3">
      <c r="B4790" s="26"/>
      <c r="C4790" s="17"/>
      <c r="D4790" s="27"/>
      <c r="E4790" s="18"/>
      <c r="F4790" s="18"/>
      <c r="G4790" s="18"/>
      <c r="H4790" s="30" t="str">
        <f t="shared" si="518"/>
        <v/>
      </c>
      <c r="I4790" s="31" t="str">
        <f>IF(OR(B4790="",C4790=""),"",IFERROR(E4790*IF(E4790="",0,VLOOKUP(C4790,'📦 Precios Proforma'!$B$5:$D$104,IF(D4790="DIA",2,3),FALSE)),0))</f>
        <v/>
      </c>
      <c r="J4790" s="31" t="str">
        <f t="shared" si="519"/>
        <v/>
      </c>
      <c r="K4790" s="31" t="str">
        <f t="shared" si="520"/>
        <v/>
      </c>
      <c r="L4790" s="31" t="str">
        <f>IF(OR(B4790="",C4790=""),"",IFERROR(E4790 / SUMIFS('📅 Resumen Diario'!$D$5:$D$504, '📅 Resumen Diario'!$B$5:$B$504, B4790, '📅 Resumen Diario'!$C$5:$C$504, D4790) * SUMIFS('📅 Resumen Diario'!$K$5:$K$504, '📅 Resumen Diario'!$B$5:$B$504, B4790, '📅 Resumen Diario'!$C$5:$C$504, D4790), 0))</f>
        <v/>
      </c>
      <c r="M4790" s="31" t="str">
        <f t="shared" si="521"/>
        <v/>
      </c>
      <c r="N4790" s="31" t="str">
        <f t="shared" si="522"/>
        <v/>
      </c>
      <c r="O4790" s="31" t="str">
        <f>IF(OR(B4790="",C4790=""),"",K4790-N4790 + IFERROR(E4790 / SUMIFS('📅 Resumen Diario'!$D$5:$D$504, '📅 Resumen Diario'!$B$5:$B$504, B4790, '📅 Resumen Diario'!$C$5:$C$504, D4790) * (SUMIFS('📋 Detalle Diario'!$E$5:$E$489, '📋 Detalle Diario'!$B$5:$B$489, B4790, '📋 Detalle Diario'!$C$5:$C$489, D4790) * 135 + SUMIFS('📋 Detalle Diario'!$I$5:$I$489, '📋 Detalle Diario'!$B$5:$B$489, B4790, '📋 Detalle Diario'!$C$5:$C$489, D4790) * 200), 0))</f>
        <v/>
      </c>
      <c r="P4790" s="32" t="str">
        <f t="shared" si="523"/>
        <v/>
      </c>
      <c r="Q4790" s="33" t="str">
        <f t="shared" si="524"/>
        <v/>
      </c>
    </row>
    <row r="4791" spans="2:17" ht="18" customHeight="1" x14ac:dyDescent="0.3">
      <c r="B4791" s="26"/>
      <c r="C4791" s="28"/>
      <c r="D4791" s="27"/>
      <c r="E4791" s="29"/>
      <c r="F4791" s="29"/>
      <c r="G4791" s="29"/>
      <c r="H4791" s="30" t="str">
        <f t="shared" si="518"/>
        <v/>
      </c>
      <c r="I4791" s="31" t="str">
        <f>IF(OR(B4791="",C4791=""),"",IFERROR(E4791*IF(E4791="",0,VLOOKUP(C4791,'📦 Precios Proforma'!$B$5:$D$104,IF(D4791="DIA",2,3),FALSE)),0))</f>
        <v/>
      </c>
      <c r="J4791" s="31" t="str">
        <f t="shared" si="519"/>
        <v/>
      </c>
      <c r="K4791" s="31" t="str">
        <f t="shared" si="520"/>
        <v/>
      </c>
      <c r="L4791" s="31" t="str">
        <f>IF(OR(B4791="",C4791=""),"",IFERROR(E4791 / SUMIFS('📅 Resumen Diario'!$D$5:$D$504, '📅 Resumen Diario'!$B$5:$B$504, B4791, '📅 Resumen Diario'!$C$5:$C$504, D4791) * SUMIFS('📅 Resumen Diario'!$K$5:$K$504, '📅 Resumen Diario'!$B$5:$B$504, B4791, '📅 Resumen Diario'!$C$5:$C$504, D4791), 0))</f>
        <v/>
      </c>
      <c r="M4791" s="31" t="str">
        <f t="shared" si="521"/>
        <v/>
      </c>
      <c r="N4791" s="31" t="str">
        <f t="shared" si="522"/>
        <v/>
      </c>
      <c r="O4791" s="31" t="str">
        <f>IF(OR(B4791="",C4791=""),"",K4791-N4791 + IFERROR(E4791 / SUMIFS('📅 Resumen Diario'!$D$5:$D$504, '📅 Resumen Diario'!$B$5:$B$504, B4791, '📅 Resumen Diario'!$C$5:$C$504, D4791) * (SUMIFS('📋 Detalle Diario'!$E$5:$E$489, '📋 Detalle Diario'!$B$5:$B$489, B4791, '📋 Detalle Diario'!$C$5:$C$489, D4791) * 135 + SUMIFS('📋 Detalle Diario'!$I$5:$I$489, '📋 Detalle Diario'!$B$5:$B$489, B4791, '📋 Detalle Diario'!$C$5:$C$489, D4791) * 200), 0))</f>
        <v/>
      </c>
      <c r="P4791" s="32" t="str">
        <f t="shared" si="523"/>
        <v/>
      </c>
      <c r="Q4791" s="33" t="str">
        <f t="shared" si="524"/>
        <v/>
      </c>
    </row>
    <row r="4792" spans="2:17" ht="18" customHeight="1" x14ac:dyDescent="0.3">
      <c r="B4792" s="26"/>
      <c r="C4792" s="17"/>
      <c r="D4792" s="27"/>
      <c r="E4792" s="18"/>
      <c r="F4792" s="18"/>
      <c r="G4792" s="18"/>
      <c r="H4792" s="30" t="str">
        <f t="shared" si="518"/>
        <v/>
      </c>
      <c r="I4792" s="31" t="str">
        <f>IF(OR(B4792="",C4792=""),"",IFERROR(E4792*IF(E4792="",0,VLOOKUP(C4792,'📦 Precios Proforma'!$B$5:$D$104,IF(D4792="DIA",2,3),FALSE)),0))</f>
        <v/>
      </c>
      <c r="J4792" s="31" t="str">
        <f t="shared" si="519"/>
        <v/>
      </c>
      <c r="K4792" s="31" t="str">
        <f t="shared" si="520"/>
        <v/>
      </c>
      <c r="L4792" s="31" t="str">
        <f>IF(OR(B4792="",C4792=""),"",IFERROR(E4792 / SUMIFS('📅 Resumen Diario'!$D$5:$D$504, '📅 Resumen Diario'!$B$5:$B$504, B4792, '📅 Resumen Diario'!$C$5:$C$504, D4792) * SUMIFS('📅 Resumen Diario'!$K$5:$K$504, '📅 Resumen Diario'!$B$5:$B$504, B4792, '📅 Resumen Diario'!$C$5:$C$504, D4792), 0))</f>
        <v/>
      </c>
      <c r="M4792" s="31" t="str">
        <f t="shared" si="521"/>
        <v/>
      </c>
      <c r="N4792" s="31" t="str">
        <f t="shared" si="522"/>
        <v/>
      </c>
      <c r="O4792" s="31" t="str">
        <f>IF(OR(B4792="",C4792=""),"",K4792-N4792 + IFERROR(E4792 / SUMIFS('📅 Resumen Diario'!$D$5:$D$504, '📅 Resumen Diario'!$B$5:$B$504, B4792, '📅 Resumen Diario'!$C$5:$C$504, D4792) * (SUMIFS('📋 Detalle Diario'!$E$5:$E$489, '📋 Detalle Diario'!$B$5:$B$489, B4792, '📋 Detalle Diario'!$C$5:$C$489, D4792) * 135 + SUMIFS('📋 Detalle Diario'!$I$5:$I$489, '📋 Detalle Diario'!$B$5:$B$489, B4792, '📋 Detalle Diario'!$C$5:$C$489, D4792) * 200), 0))</f>
        <v/>
      </c>
      <c r="P4792" s="32" t="str">
        <f t="shared" si="523"/>
        <v/>
      </c>
      <c r="Q4792" s="33" t="str">
        <f t="shared" si="524"/>
        <v/>
      </c>
    </row>
    <row r="4793" spans="2:17" ht="18" customHeight="1" x14ac:dyDescent="0.3">
      <c r="B4793" s="26"/>
      <c r="C4793" s="28"/>
      <c r="D4793" s="27"/>
      <c r="E4793" s="29"/>
      <c r="F4793" s="29"/>
      <c r="G4793" s="29"/>
      <c r="H4793" s="30" t="str">
        <f t="shared" si="518"/>
        <v/>
      </c>
      <c r="I4793" s="31" t="str">
        <f>IF(OR(B4793="",C4793=""),"",IFERROR(E4793*IF(E4793="",0,VLOOKUP(C4793,'📦 Precios Proforma'!$B$5:$D$104,IF(D4793="DIA",2,3),FALSE)),0))</f>
        <v/>
      </c>
      <c r="J4793" s="31" t="str">
        <f t="shared" si="519"/>
        <v/>
      </c>
      <c r="K4793" s="31" t="str">
        <f t="shared" si="520"/>
        <v/>
      </c>
      <c r="L4793" s="31" t="str">
        <f>IF(OR(B4793="",C4793=""),"",IFERROR(E4793 / SUMIFS('📅 Resumen Diario'!$D$5:$D$504, '📅 Resumen Diario'!$B$5:$B$504, B4793, '📅 Resumen Diario'!$C$5:$C$504, D4793) * SUMIFS('📅 Resumen Diario'!$K$5:$K$504, '📅 Resumen Diario'!$B$5:$B$504, B4793, '📅 Resumen Diario'!$C$5:$C$504, D4793), 0))</f>
        <v/>
      </c>
      <c r="M4793" s="31" t="str">
        <f t="shared" si="521"/>
        <v/>
      </c>
      <c r="N4793" s="31" t="str">
        <f t="shared" si="522"/>
        <v/>
      </c>
      <c r="O4793" s="31" t="str">
        <f>IF(OR(B4793="",C4793=""),"",K4793-N4793 + IFERROR(E4793 / SUMIFS('📅 Resumen Diario'!$D$5:$D$504, '📅 Resumen Diario'!$B$5:$B$504, B4793, '📅 Resumen Diario'!$C$5:$C$504, D4793) * (SUMIFS('📋 Detalle Diario'!$E$5:$E$489, '📋 Detalle Diario'!$B$5:$B$489, B4793, '📋 Detalle Diario'!$C$5:$C$489, D4793) * 135 + SUMIFS('📋 Detalle Diario'!$I$5:$I$489, '📋 Detalle Diario'!$B$5:$B$489, B4793, '📋 Detalle Diario'!$C$5:$C$489, D4793) * 200), 0))</f>
        <v/>
      </c>
      <c r="P4793" s="32" t="str">
        <f t="shared" si="523"/>
        <v/>
      </c>
      <c r="Q4793" s="33" t="str">
        <f t="shared" si="524"/>
        <v/>
      </c>
    </row>
    <row r="4794" spans="2:17" ht="18" customHeight="1" x14ac:dyDescent="0.3">
      <c r="B4794" s="26"/>
      <c r="C4794" s="17"/>
      <c r="D4794" s="27"/>
      <c r="E4794" s="18"/>
      <c r="F4794" s="18"/>
      <c r="G4794" s="18"/>
      <c r="H4794" s="30" t="str">
        <f t="shared" si="518"/>
        <v/>
      </c>
      <c r="I4794" s="31" t="str">
        <f>IF(OR(B4794="",C4794=""),"",IFERROR(E4794*IF(E4794="",0,VLOOKUP(C4794,'📦 Precios Proforma'!$B$5:$D$104,IF(D4794="DIA",2,3),FALSE)),0))</f>
        <v/>
      </c>
      <c r="J4794" s="31" t="str">
        <f t="shared" si="519"/>
        <v/>
      </c>
      <c r="K4794" s="31" t="str">
        <f t="shared" si="520"/>
        <v/>
      </c>
      <c r="L4794" s="31" t="str">
        <f>IF(OR(B4794="",C4794=""),"",IFERROR(E4794 / SUMIFS('📅 Resumen Diario'!$D$5:$D$504, '📅 Resumen Diario'!$B$5:$B$504, B4794, '📅 Resumen Diario'!$C$5:$C$504, D4794) * SUMIFS('📅 Resumen Diario'!$K$5:$K$504, '📅 Resumen Diario'!$B$5:$B$504, B4794, '📅 Resumen Diario'!$C$5:$C$504, D4794), 0))</f>
        <v/>
      </c>
      <c r="M4794" s="31" t="str">
        <f t="shared" si="521"/>
        <v/>
      </c>
      <c r="N4794" s="31" t="str">
        <f t="shared" si="522"/>
        <v/>
      </c>
      <c r="O4794" s="31" t="str">
        <f>IF(OR(B4794="",C4794=""),"",K4794-N4794 + IFERROR(E4794 / SUMIFS('📅 Resumen Diario'!$D$5:$D$504, '📅 Resumen Diario'!$B$5:$B$504, B4794, '📅 Resumen Diario'!$C$5:$C$504, D4794) * (SUMIFS('📋 Detalle Diario'!$E$5:$E$489, '📋 Detalle Diario'!$B$5:$B$489, B4794, '📋 Detalle Diario'!$C$5:$C$489, D4794) * 135 + SUMIFS('📋 Detalle Diario'!$I$5:$I$489, '📋 Detalle Diario'!$B$5:$B$489, B4794, '📋 Detalle Diario'!$C$5:$C$489, D4794) * 200), 0))</f>
        <v/>
      </c>
      <c r="P4794" s="32" t="str">
        <f t="shared" si="523"/>
        <v/>
      </c>
      <c r="Q4794" s="33" t="str">
        <f t="shared" si="524"/>
        <v/>
      </c>
    </row>
    <row r="4795" spans="2:17" ht="18" customHeight="1" x14ac:dyDescent="0.3">
      <c r="B4795" s="26"/>
      <c r="C4795" s="28"/>
      <c r="D4795" s="27"/>
      <c r="E4795" s="29"/>
      <c r="F4795" s="29"/>
      <c r="G4795" s="29"/>
      <c r="H4795" s="30" t="str">
        <f t="shared" si="518"/>
        <v/>
      </c>
      <c r="I4795" s="31" t="str">
        <f>IF(OR(B4795="",C4795=""),"",IFERROR(E4795*IF(E4795="",0,VLOOKUP(C4795,'📦 Precios Proforma'!$B$5:$D$104,IF(D4795="DIA",2,3),FALSE)),0))</f>
        <v/>
      </c>
      <c r="J4795" s="31" t="str">
        <f t="shared" si="519"/>
        <v/>
      </c>
      <c r="K4795" s="31" t="str">
        <f t="shared" si="520"/>
        <v/>
      </c>
      <c r="L4795" s="31" t="str">
        <f>IF(OR(B4795="",C4795=""),"",IFERROR(E4795 / SUMIFS('📅 Resumen Diario'!$D$5:$D$504, '📅 Resumen Diario'!$B$5:$B$504, B4795, '📅 Resumen Diario'!$C$5:$C$504, D4795) * SUMIFS('📅 Resumen Diario'!$K$5:$K$504, '📅 Resumen Diario'!$B$5:$B$504, B4795, '📅 Resumen Diario'!$C$5:$C$504, D4795), 0))</f>
        <v/>
      </c>
      <c r="M4795" s="31" t="str">
        <f t="shared" si="521"/>
        <v/>
      </c>
      <c r="N4795" s="31" t="str">
        <f t="shared" si="522"/>
        <v/>
      </c>
      <c r="O4795" s="31" t="str">
        <f>IF(OR(B4795="",C4795=""),"",K4795-N4795 + IFERROR(E4795 / SUMIFS('📅 Resumen Diario'!$D$5:$D$504, '📅 Resumen Diario'!$B$5:$B$504, B4795, '📅 Resumen Diario'!$C$5:$C$504, D4795) * (SUMIFS('📋 Detalle Diario'!$E$5:$E$489, '📋 Detalle Diario'!$B$5:$B$489, B4795, '📋 Detalle Diario'!$C$5:$C$489, D4795) * 135 + SUMIFS('📋 Detalle Diario'!$I$5:$I$489, '📋 Detalle Diario'!$B$5:$B$489, B4795, '📋 Detalle Diario'!$C$5:$C$489, D4795) * 200), 0))</f>
        <v/>
      </c>
      <c r="P4795" s="32" t="str">
        <f t="shared" si="523"/>
        <v/>
      </c>
      <c r="Q4795" s="33" t="str">
        <f t="shared" si="524"/>
        <v/>
      </c>
    </row>
    <row r="4796" spans="2:17" ht="18" customHeight="1" x14ac:dyDescent="0.3">
      <c r="B4796" s="26"/>
      <c r="C4796" s="17"/>
      <c r="D4796" s="27"/>
      <c r="E4796" s="18"/>
      <c r="F4796" s="18"/>
      <c r="G4796" s="18"/>
      <c r="H4796" s="30" t="str">
        <f t="shared" si="518"/>
        <v/>
      </c>
      <c r="I4796" s="31" t="str">
        <f>IF(OR(B4796="",C4796=""),"",IFERROR(E4796*IF(E4796="",0,VLOOKUP(C4796,'📦 Precios Proforma'!$B$5:$D$104,IF(D4796="DIA",2,3),FALSE)),0))</f>
        <v/>
      </c>
      <c r="J4796" s="31" t="str">
        <f t="shared" si="519"/>
        <v/>
      </c>
      <c r="K4796" s="31" t="str">
        <f t="shared" si="520"/>
        <v/>
      </c>
      <c r="L4796" s="31" t="str">
        <f>IF(OR(B4796="",C4796=""),"",IFERROR(E4796 / SUMIFS('📅 Resumen Diario'!$D$5:$D$504, '📅 Resumen Diario'!$B$5:$B$504, B4796, '📅 Resumen Diario'!$C$5:$C$504, D4796) * SUMIFS('📅 Resumen Diario'!$K$5:$K$504, '📅 Resumen Diario'!$B$5:$B$504, B4796, '📅 Resumen Diario'!$C$5:$C$504, D4796), 0))</f>
        <v/>
      </c>
      <c r="M4796" s="31" t="str">
        <f t="shared" si="521"/>
        <v/>
      </c>
      <c r="N4796" s="31" t="str">
        <f t="shared" si="522"/>
        <v/>
      </c>
      <c r="O4796" s="31" t="str">
        <f>IF(OR(B4796="",C4796=""),"",K4796-N4796 + IFERROR(E4796 / SUMIFS('📅 Resumen Diario'!$D$5:$D$504, '📅 Resumen Diario'!$B$5:$B$504, B4796, '📅 Resumen Diario'!$C$5:$C$504, D4796) * (SUMIFS('📋 Detalle Diario'!$E$5:$E$489, '📋 Detalle Diario'!$B$5:$B$489, B4796, '📋 Detalle Diario'!$C$5:$C$489, D4796) * 135 + SUMIFS('📋 Detalle Diario'!$I$5:$I$489, '📋 Detalle Diario'!$B$5:$B$489, B4796, '📋 Detalle Diario'!$C$5:$C$489, D4796) * 200), 0))</f>
        <v/>
      </c>
      <c r="P4796" s="32" t="str">
        <f t="shared" si="523"/>
        <v/>
      </c>
      <c r="Q4796" s="33" t="str">
        <f t="shared" si="524"/>
        <v/>
      </c>
    </row>
    <row r="4797" spans="2:17" ht="18" customHeight="1" x14ac:dyDescent="0.3">
      <c r="B4797" s="26"/>
      <c r="C4797" s="28"/>
      <c r="D4797" s="27"/>
      <c r="E4797" s="29"/>
      <c r="F4797" s="29"/>
      <c r="G4797" s="29"/>
      <c r="H4797" s="30" t="str">
        <f t="shared" si="518"/>
        <v/>
      </c>
      <c r="I4797" s="31" t="str">
        <f>IF(OR(B4797="",C4797=""),"",IFERROR(E4797*IF(E4797="",0,VLOOKUP(C4797,'📦 Precios Proforma'!$B$5:$D$104,IF(D4797="DIA",2,3),FALSE)),0))</f>
        <v/>
      </c>
      <c r="J4797" s="31" t="str">
        <f t="shared" si="519"/>
        <v/>
      </c>
      <c r="K4797" s="31" t="str">
        <f t="shared" si="520"/>
        <v/>
      </c>
      <c r="L4797" s="31" t="str">
        <f>IF(OR(B4797="",C4797=""),"",IFERROR(E4797 / SUMIFS('📅 Resumen Diario'!$D$5:$D$504, '📅 Resumen Diario'!$B$5:$B$504, B4797, '📅 Resumen Diario'!$C$5:$C$504, D4797) * SUMIFS('📅 Resumen Diario'!$K$5:$K$504, '📅 Resumen Diario'!$B$5:$B$504, B4797, '📅 Resumen Diario'!$C$5:$C$504, D4797), 0))</f>
        <v/>
      </c>
      <c r="M4797" s="31" t="str">
        <f t="shared" si="521"/>
        <v/>
      </c>
      <c r="N4797" s="31" t="str">
        <f t="shared" si="522"/>
        <v/>
      </c>
      <c r="O4797" s="31" t="str">
        <f>IF(OR(B4797="",C4797=""),"",K4797-N4797 + IFERROR(E4797 / SUMIFS('📅 Resumen Diario'!$D$5:$D$504, '📅 Resumen Diario'!$B$5:$B$504, B4797, '📅 Resumen Diario'!$C$5:$C$504, D4797) * (SUMIFS('📋 Detalle Diario'!$E$5:$E$489, '📋 Detalle Diario'!$B$5:$B$489, B4797, '📋 Detalle Diario'!$C$5:$C$489, D4797) * 135 + SUMIFS('📋 Detalle Diario'!$I$5:$I$489, '📋 Detalle Diario'!$B$5:$B$489, B4797, '📋 Detalle Diario'!$C$5:$C$489, D4797) * 200), 0))</f>
        <v/>
      </c>
      <c r="P4797" s="32" t="str">
        <f t="shared" si="523"/>
        <v/>
      </c>
      <c r="Q4797" s="33" t="str">
        <f t="shared" si="524"/>
        <v/>
      </c>
    </row>
    <row r="4798" spans="2:17" ht="18" customHeight="1" x14ac:dyDescent="0.3">
      <c r="B4798" s="26"/>
      <c r="C4798" s="17"/>
      <c r="D4798" s="27"/>
      <c r="E4798" s="18"/>
      <c r="F4798" s="18"/>
      <c r="G4798" s="18"/>
      <c r="H4798" s="30" t="str">
        <f t="shared" si="518"/>
        <v/>
      </c>
      <c r="I4798" s="31" t="str">
        <f>IF(OR(B4798="",C4798=""),"",IFERROR(E4798*IF(E4798="",0,VLOOKUP(C4798,'📦 Precios Proforma'!$B$5:$D$104,IF(D4798="DIA",2,3),FALSE)),0))</f>
        <v/>
      </c>
      <c r="J4798" s="31" t="str">
        <f t="shared" si="519"/>
        <v/>
      </c>
      <c r="K4798" s="31" t="str">
        <f t="shared" si="520"/>
        <v/>
      </c>
      <c r="L4798" s="31" t="str">
        <f>IF(OR(B4798="",C4798=""),"",IFERROR(E4798 / SUMIFS('📅 Resumen Diario'!$D$5:$D$504, '📅 Resumen Diario'!$B$5:$B$504, B4798, '📅 Resumen Diario'!$C$5:$C$504, D4798) * SUMIFS('📅 Resumen Diario'!$K$5:$K$504, '📅 Resumen Diario'!$B$5:$B$504, B4798, '📅 Resumen Diario'!$C$5:$C$504, D4798), 0))</f>
        <v/>
      </c>
      <c r="M4798" s="31" t="str">
        <f t="shared" si="521"/>
        <v/>
      </c>
      <c r="N4798" s="31" t="str">
        <f t="shared" si="522"/>
        <v/>
      </c>
      <c r="O4798" s="31" t="str">
        <f>IF(OR(B4798="",C4798=""),"",K4798-N4798 + IFERROR(E4798 / SUMIFS('📅 Resumen Diario'!$D$5:$D$504, '📅 Resumen Diario'!$B$5:$B$504, B4798, '📅 Resumen Diario'!$C$5:$C$504, D4798) * (SUMIFS('📋 Detalle Diario'!$E$5:$E$489, '📋 Detalle Diario'!$B$5:$B$489, B4798, '📋 Detalle Diario'!$C$5:$C$489, D4798) * 135 + SUMIFS('📋 Detalle Diario'!$I$5:$I$489, '📋 Detalle Diario'!$B$5:$B$489, B4798, '📋 Detalle Diario'!$C$5:$C$489, D4798) * 200), 0))</f>
        <v/>
      </c>
      <c r="P4798" s="32" t="str">
        <f t="shared" si="523"/>
        <v/>
      </c>
      <c r="Q4798" s="33" t="str">
        <f t="shared" si="524"/>
        <v/>
      </c>
    </row>
    <row r="4799" spans="2:17" ht="18" customHeight="1" x14ac:dyDescent="0.3">
      <c r="B4799" s="26"/>
      <c r="C4799" s="28"/>
      <c r="D4799" s="27"/>
      <c r="E4799" s="29"/>
      <c r="F4799" s="29"/>
      <c r="G4799" s="29"/>
      <c r="H4799" s="30" t="str">
        <f t="shared" si="518"/>
        <v/>
      </c>
      <c r="I4799" s="31" t="str">
        <f>IF(OR(B4799="",C4799=""),"",IFERROR(E4799*IF(E4799="",0,VLOOKUP(C4799,'📦 Precios Proforma'!$B$5:$D$104,IF(D4799="DIA",2,3),FALSE)),0))</f>
        <v/>
      </c>
      <c r="J4799" s="31" t="str">
        <f t="shared" si="519"/>
        <v/>
      </c>
      <c r="K4799" s="31" t="str">
        <f t="shared" si="520"/>
        <v/>
      </c>
      <c r="L4799" s="31" t="str">
        <f>IF(OR(B4799="",C4799=""),"",IFERROR(E4799 / SUMIFS('📅 Resumen Diario'!$D$5:$D$504, '📅 Resumen Diario'!$B$5:$B$504, B4799, '📅 Resumen Diario'!$C$5:$C$504, D4799) * SUMIFS('📅 Resumen Diario'!$K$5:$K$504, '📅 Resumen Diario'!$B$5:$B$504, B4799, '📅 Resumen Diario'!$C$5:$C$504, D4799), 0))</f>
        <v/>
      </c>
      <c r="M4799" s="31" t="str">
        <f t="shared" si="521"/>
        <v/>
      </c>
      <c r="N4799" s="31" t="str">
        <f t="shared" si="522"/>
        <v/>
      </c>
      <c r="O4799" s="31" t="str">
        <f>IF(OR(B4799="",C4799=""),"",K4799-N4799 + IFERROR(E4799 / SUMIFS('📅 Resumen Diario'!$D$5:$D$504, '📅 Resumen Diario'!$B$5:$B$504, B4799, '📅 Resumen Diario'!$C$5:$C$504, D4799) * (SUMIFS('📋 Detalle Diario'!$E$5:$E$489, '📋 Detalle Diario'!$B$5:$B$489, B4799, '📋 Detalle Diario'!$C$5:$C$489, D4799) * 135 + SUMIFS('📋 Detalle Diario'!$I$5:$I$489, '📋 Detalle Diario'!$B$5:$B$489, B4799, '📋 Detalle Diario'!$C$5:$C$489, D4799) * 200), 0))</f>
        <v/>
      </c>
      <c r="P4799" s="32" t="str">
        <f t="shared" si="523"/>
        <v/>
      </c>
      <c r="Q4799" s="33" t="str">
        <f t="shared" si="524"/>
        <v/>
      </c>
    </row>
    <row r="4800" spans="2:17" ht="18" customHeight="1" x14ac:dyDescent="0.3">
      <c r="B4800" s="26"/>
      <c r="C4800" s="17"/>
      <c r="D4800" s="27"/>
      <c r="E4800" s="18"/>
      <c r="F4800" s="18"/>
      <c r="G4800" s="18"/>
      <c r="H4800" s="30" t="str">
        <f t="shared" si="518"/>
        <v/>
      </c>
      <c r="I4800" s="31" t="str">
        <f>IF(OR(B4800="",C4800=""),"",IFERROR(E4800*IF(E4800="",0,VLOOKUP(C4800,'📦 Precios Proforma'!$B$5:$D$104,IF(D4800="DIA",2,3),FALSE)),0))</f>
        <v/>
      </c>
      <c r="J4800" s="31" t="str">
        <f t="shared" si="519"/>
        <v/>
      </c>
      <c r="K4800" s="31" t="str">
        <f t="shared" si="520"/>
        <v/>
      </c>
      <c r="L4800" s="31" t="str">
        <f>IF(OR(B4800="",C4800=""),"",IFERROR(E4800 / SUMIFS('📅 Resumen Diario'!$D$5:$D$504, '📅 Resumen Diario'!$B$5:$B$504, B4800, '📅 Resumen Diario'!$C$5:$C$504, D4800) * SUMIFS('📅 Resumen Diario'!$K$5:$K$504, '📅 Resumen Diario'!$B$5:$B$504, B4800, '📅 Resumen Diario'!$C$5:$C$504, D4800), 0))</f>
        <v/>
      </c>
      <c r="M4800" s="31" t="str">
        <f t="shared" si="521"/>
        <v/>
      </c>
      <c r="N4800" s="31" t="str">
        <f t="shared" si="522"/>
        <v/>
      </c>
      <c r="O4800" s="31" t="str">
        <f>IF(OR(B4800="",C4800=""),"",K4800-N4800 + IFERROR(E4800 / SUMIFS('📅 Resumen Diario'!$D$5:$D$504, '📅 Resumen Diario'!$B$5:$B$504, B4800, '📅 Resumen Diario'!$C$5:$C$504, D4800) * (SUMIFS('📋 Detalle Diario'!$E$5:$E$489, '📋 Detalle Diario'!$B$5:$B$489, B4800, '📋 Detalle Diario'!$C$5:$C$489, D4800) * 135 + SUMIFS('📋 Detalle Diario'!$I$5:$I$489, '📋 Detalle Diario'!$B$5:$B$489, B4800, '📋 Detalle Diario'!$C$5:$C$489, D4800) * 200), 0))</f>
        <v/>
      </c>
      <c r="P4800" s="32" t="str">
        <f t="shared" si="523"/>
        <v/>
      </c>
      <c r="Q4800" s="33" t="str">
        <f t="shared" si="524"/>
        <v/>
      </c>
    </row>
    <row r="4801" spans="2:17" ht="18" customHeight="1" x14ac:dyDescent="0.3">
      <c r="B4801" s="26"/>
      <c r="C4801" s="28"/>
      <c r="D4801" s="27"/>
      <c r="E4801" s="29"/>
      <c r="F4801" s="29"/>
      <c r="G4801" s="29"/>
      <c r="H4801" s="30" t="str">
        <f t="shared" si="518"/>
        <v/>
      </c>
      <c r="I4801" s="31" t="str">
        <f>IF(OR(B4801="",C4801=""),"",IFERROR(E4801*IF(E4801="",0,VLOOKUP(C4801,'📦 Precios Proforma'!$B$5:$D$104,IF(D4801="DIA",2,3),FALSE)),0))</f>
        <v/>
      </c>
      <c r="J4801" s="31" t="str">
        <f t="shared" si="519"/>
        <v/>
      </c>
      <c r="K4801" s="31" t="str">
        <f t="shared" si="520"/>
        <v/>
      </c>
      <c r="L4801" s="31" t="str">
        <f>IF(OR(B4801="",C4801=""),"",IFERROR(E4801 / SUMIFS('📅 Resumen Diario'!$D$5:$D$504, '📅 Resumen Diario'!$B$5:$B$504, B4801, '📅 Resumen Diario'!$C$5:$C$504, D4801) * SUMIFS('📅 Resumen Diario'!$K$5:$K$504, '📅 Resumen Diario'!$B$5:$B$504, B4801, '📅 Resumen Diario'!$C$5:$C$504, D4801), 0))</f>
        <v/>
      </c>
      <c r="M4801" s="31" t="str">
        <f t="shared" si="521"/>
        <v/>
      </c>
      <c r="N4801" s="31" t="str">
        <f t="shared" si="522"/>
        <v/>
      </c>
      <c r="O4801" s="31" t="str">
        <f>IF(OR(B4801="",C4801=""),"",K4801-N4801 + IFERROR(E4801 / SUMIFS('📅 Resumen Diario'!$D$5:$D$504, '📅 Resumen Diario'!$B$5:$B$504, B4801, '📅 Resumen Diario'!$C$5:$C$504, D4801) * (SUMIFS('📋 Detalle Diario'!$E$5:$E$489, '📋 Detalle Diario'!$B$5:$B$489, B4801, '📋 Detalle Diario'!$C$5:$C$489, D4801) * 135 + SUMIFS('📋 Detalle Diario'!$I$5:$I$489, '📋 Detalle Diario'!$B$5:$B$489, B4801, '📋 Detalle Diario'!$C$5:$C$489, D4801) * 200), 0))</f>
        <v/>
      </c>
      <c r="P4801" s="32" t="str">
        <f t="shared" si="523"/>
        <v/>
      </c>
      <c r="Q4801" s="33" t="str">
        <f t="shared" si="524"/>
        <v/>
      </c>
    </row>
    <row r="4802" spans="2:17" ht="18" customHeight="1" x14ac:dyDescent="0.3">
      <c r="B4802" s="26"/>
      <c r="C4802" s="17"/>
      <c r="D4802" s="27"/>
      <c r="E4802" s="18"/>
      <c r="F4802" s="18"/>
      <c r="G4802" s="18"/>
      <c r="H4802" s="30" t="str">
        <f t="shared" si="518"/>
        <v/>
      </c>
      <c r="I4802" s="31" t="str">
        <f>IF(OR(B4802="",C4802=""),"",IFERROR(E4802*IF(E4802="",0,VLOOKUP(C4802,'📦 Precios Proforma'!$B$5:$D$104,IF(D4802="DIA",2,3),FALSE)),0))</f>
        <v/>
      </c>
      <c r="J4802" s="31" t="str">
        <f t="shared" si="519"/>
        <v/>
      </c>
      <c r="K4802" s="31" t="str">
        <f t="shared" si="520"/>
        <v/>
      </c>
      <c r="L4802" s="31" t="str">
        <f>IF(OR(B4802="",C4802=""),"",IFERROR(E4802 / SUMIFS('📅 Resumen Diario'!$D$5:$D$504, '📅 Resumen Diario'!$B$5:$B$504, B4802, '📅 Resumen Diario'!$C$5:$C$504, D4802) * SUMIFS('📅 Resumen Diario'!$K$5:$K$504, '📅 Resumen Diario'!$B$5:$B$504, B4802, '📅 Resumen Diario'!$C$5:$C$504, D4802), 0))</f>
        <v/>
      </c>
      <c r="M4802" s="31" t="str">
        <f t="shared" si="521"/>
        <v/>
      </c>
      <c r="N4802" s="31" t="str">
        <f t="shared" si="522"/>
        <v/>
      </c>
      <c r="O4802" s="31" t="str">
        <f>IF(OR(B4802="",C4802=""),"",K4802-N4802 + IFERROR(E4802 / SUMIFS('📅 Resumen Diario'!$D$5:$D$504, '📅 Resumen Diario'!$B$5:$B$504, B4802, '📅 Resumen Diario'!$C$5:$C$504, D4802) * (SUMIFS('📋 Detalle Diario'!$E$5:$E$489, '📋 Detalle Diario'!$B$5:$B$489, B4802, '📋 Detalle Diario'!$C$5:$C$489, D4802) * 135 + SUMIFS('📋 Detalle Diario'!$I$5:$I$489, '📋 Detalle Diario'!$B$5:$B$489, B4802, '📋 Detalle Diario'!$C$5:$C$489, D4802) * 200), 0))</f>
        <v/>
      </c>
      <c r="P4802" s="32" t="str">
        <f t="shared" si="523"/>
        <v/>
      </c>
      <c r="Q4802" s="33" t="str">
        <f t="shared" si="524"/>
        <v/>
      </c>
    </row>
    <row r="4803" spans="2:17" ht="18" customHeight="1" x14ac:dyDescent="0.3">
      <c r="B4803" s="26"/>
      <c r="C4803" s="28"/>
      <c r="D4803" s="27"/>
      <c r="E4803" s="29"/>
      <c r="F4803" s="29"/>
      <c r="G4803" s="29"/>
      <c r="H4803" s="30" t="str">
        <f t="shared" si="518"/>
        <v/>
      </c>
      <c r="I4803" s="31" t="str">
        <f>IF(OR(B4803="",C4803=""),"",IFERROR(E4803*IF(E4803="",0,VLOOKUP(C4803,'📦 Precios Proforma'!$B$5:$D$104,IF(D4803="DIA",2,3),FALSE)),0))</f>
        <v/>
      </c>
      <c r="J4803" s="31" t="str">
        <f t="shared" si="519"/>
        <v/>
      </c>
      <c r="K4803" s="31" t="str">
        <f t="shared" si="520"/>
        <v/>
      </c>
      <c r="L4803" s="31" t="str">
        <f>IF(OR(B4803="",C4803=""),"",IFERROR(E4803 / SUMIFS('📅 Resumen Diario'!$D$5:$D$504, '📅 Resumen Diario'!$B$5:$B$504, B4803, '📅 Resumen Diario'!$C$5:$C$504, D4803) * SUMIFS('📅 Resumen Diario'!$K$5:$K$504, '📅 Resumen Diario'!$B$5:$B$504, B4803, '📅 Resumen Diario'!$C$5:$C$504, D4803), 0))</f>
        <v/>
      </c>
      <c r="M4803" s="31" t="str">
        <f t="shared" si="521"/>
        <v/>
      </c>
      <c r="N4803" s="31" t="str">
        <f t="shared" si="522"/>
        <v/>
      </c>
      <c r="O4803" s="31" t="str">
        <f>IF(OR(B4803="",C4803=""),"",K4803-N4803 + IFERROR(E4803 / SUMIFS('📅 Resumen Diario'!$D$5:$D$504, '📅 Resumen Diario'!$B$5:$B$504, B4803, '📅 Resumen Diario'!$C$5:$C$504, D4803) * (SUMIFS('📋 Detalle Diario'!$E$5:$E$489, '📋 Detalle Diario'!$B$5:$B$489, B4803, '📋 Detalle Diario'!$C$5:$C$489, D4803) * 135 + SUMIFS('📋 Detalle Diario'!$I$5:$I$489, '📋 Detalle Diario'!$B$5:$B$489, B4803, '📋 Detalle Diario'!$C$5:$C$489, D4803) * 200), 0))</f>
        <v/>
      </c>
      <c r="P4803" s="32" t="str">
        <f t="shared" si="523"/>
        <v/>
      </c>
      <c r="Q4803" s="33" t="str">
        <f t="shared" si="524"/>
        <v/>
      </c>
    </row>
    <row r="4804" spans="2:17" ht="18" customHeight="1" x14ac:dyDescent="0.3">
      <c r="B4804" s="26"/>
      <c r="C4804" s="17"/>
      <c r="D4804" s="27"/>
      <c r="E4804" s="18"/>
      <c r="F4804" s="18"/>
      <c r="G4804" s="18"/>
      <c r="H4804" s="30" t="str">
        <f t="shared" si="518"/>
        <v/>
      </c>
      <c r="I4804" s="31" t="str">
        <f>IF(OR(B4804="",C4804=""),"",IFERROR(E4804*IF(E4804="",0,VLOOKUP(C4804,'📦 Precios Proforma'!$B$5:$D$104,IF(D4804="DIA",2,3),FALSE)),0))</f>
        <v/>
      </c>
      <c r="J4804" s="31" t="str">
        <f t="shared" si="519"/>
        <v/>
      </c>
      <c r="K4804" s="31" t="str">
        <f t="shared" si="520"/>
        <v/>
      </c>
      <c r="L4804" s="31" t="str">
        <f>IF(OR(B4804="",C4804=""),"",IFERROR(E4804 / SUMIFS('📅 Resumen Diario'!$D$5:$D$504, '📅 Resumen Diario'!$B$5:$B$504, B4804, '📅 Resumen Diario'!$C$5:$C$504, D4804) * SUMIFS('📅 Resumen Diario'!$K$5:$K$504, '📅 Resumen Diario'!$B$5:$B$504, B4804, '📅 Resumen Diario'!$C$5:$C$504, D4804), 0))</f>
        <v/>
      </c>
      <c r="M4804" s="31" t="str">
        <f t="shared" si="521"/>
        <v/>
      </c>
      <c r="N4804" s="31" t="str">
        <f t="shared" si="522"/>
        <v/>
      </c>
      <c r="O4804" s="31" t="str">
        <f>IF(OR(B4804="",C4804=""),"",K4804-N4804 + IFERROR(E4804 / SUMIFS('📅 Resumen Diario'!$D$5:$D$504, '📅 Resumen Diario'!$B$5:$B$504, B4804, '📅 Resumen Diario'!$C$5:$C$504, D4804) * (SUMIFS('📋 Detalle Diario'!$E$5:$E$489, '📋 Detalle Diario'!$B$5:$B$489, B4804, '📋 Detalle Diario'!$C$5:$C$489, D4804) * 135 + SUMIFS('📋 Detalle Diario'!$I$5:$I$489, '📋 Detalle Diario'!$B$5:$B$489, B4804, '📋 Detalle Diario'!$C$5:$C$489, D4804) * 200), 0))</f>
        <v/>
      </c>
      <c r="P4804" s="32" t="str">
        <f t="shared" si="523"/>
        <v/>
      </c>
      <c r="Q4804" s="33" t="str">
        <f t="shared" si="524"/>
        <v/>
      </c>
    </row>
    <row r="4805" spans="2:17" ht="18" customHeight="1" x14ac:dyDescent="0.3">
      <c r="B4805" s="26"/>
      <c r="C4805" s="28"/>
      <c r="D4805" s="27"/>
      <c r="E4805" s="29"/>
      <c r="F4805" s="29"/>
      <c r="G4805" s="29"/>
      <c r="H4805" s="30" t="str">
        <f t="shared" si="518"/>
        <v/>
      </c>
      <c r="I4805" s="31" t="str">
        <f>IF(OR(B4805="",C4805=""),"",IFERROR(E4805*IF(E4805="",0,VLOOKUP(C4805,'📦 Precios Proforma'!$B$5:$D$104,IF(D4805="DIA",2,3),FALSE)),0))</f>
        <v/>
      </c>
      <c r="J4805" s="31" t="str">
        <f t="shared" si="519"/>
        <v/>
      </c>
      <c r="K4805" s="31" t="str">
        <f t="shared" si="520"/>
        <v/>
      </c>
      <c r="L4805" s="31" t="str">
        <f>IF(OR(B4805="",C4805=""),"",IFERROR(E4805 / SUMIFS('📅 Resumen Diario'!$D$5:$D$504, '📅 Resumen Diario'!$B$5:$B$504, B4805, '📅 Resumen Diario'!$C$5:$C$504, D4805) * SUMIFS('📅 Resumen Diario'!$K$5:$K$504, '📅 Resumen Diario'!$B$5:$B$504, B4805, '📅 Resumen Diario'!$C$5:$C$504, D4805), 0))</f>
        <v/>
      </c>
      <c r="M4805" s="31" t="str">
        <f t="shared" si="521"/>
        <v/>
      </c>
      <c r="N4805" s="31" t="str">
        <f t="shared" si="522"/>
        <v/>
      </c>
      <c r="O4805" s="31" t="str">
        <f>IF(OR(B4805="",C4805=""),"",K4805-N4805 + IFERROR(E4805 / SUMIFS('📅 Resumen Diario'!$D$5:$D$504, '📅 Resumen Diario'!$B$5:$B$504, B4805, '📅 Resumen Diario'!$C$5:$C$504, D4805) * (SUMIFS('📋 Detalle Diario'!$E$5:$E$489, '📋 Detalle Diario'!$B$5:$B$489, B4805, '📋 Detalle Diario'!$C$5:$C$489, D4805) * 135 + SUMIFS('📋 Detalle Diario'!$I$5:$I$489, '📋 Detalle Diario'!$B$5:$B$489, B4805, '📋 Detalle Diario'!$C$5:$C$489, D4805) * 200), 0))</f>
        <v/>
      </c>
      <c r="P4805" s="32" t="str">
        <f t="shared" si="523"/>
        <v/>
      </c>
      <c r="Q4805" s="33" t="str">
        <f t="shared" si="524"/>
        <v/>
      </c>
    </row>
    <row r="4806" spans="2:17" ht="18" customHeight="1" x14ac:dyDescent="0.3">
      <c r="B4806" s="26"/>
      <c r="C4806" s="17"/>
      <c r="D4806" s="27"/>
      <c r="E4806" s="18"/>
      <c r="F4806" s="18"/>
      <c r="G4806" s="18"/>
      <c r="H4806" s="30" t="str">
        <f t="shared" si="518"/>
        <v/>
      </c>
      <c r="I4806" s="31" t="str">
        <f>IF(OR(B4806="",C4806=""),"",IFERROR(E4806*IF(E4806="",0,VLOOKUP(C4806,'📦 Precios Proforma'!$B$5:$D$104,IF(D4806="DIA",2,3),FALSE)),0))</f>
        <v/>
      </c>
      <c r="J4806" s="31" t="str">
        <f t="shared" si="519"/>
        <v/>
      </c>
      <c r="K4806" s="31" t="str">
        <f t="shared" si="520"/>
        <v/>
      </c>
      <c r="L4806" s="31" t="str">
        <f>IF(OR(B4806="",C4806=""),"",IFERROR(E4806 / SUMIFS('📅 Resumen Diario'!$D$5:$D$504, '📅 Resumen Diario'!$B$5:$B$504, B4806, '📅 Resumen Diario'!$C$5:$C$504, D4806) * SUMIFS('📅 Resumen Diario'!$K$5:$K$504, '📅 Resumen Diario'!$B$5:$B$504, B4806, '📅 Resumen Diario'!$C$5:$C$504, D4806), 0))</f>
        <v/>
      </c>
      <c r="M4806" s="31" t="str">
        <f t="shared" si="521"/>
        <v/>
      </c>
      <c r="N4806" s="31" t="str">
        <f t="shared" si="522"/>
        <v/>
      </c>
      <c r="O4806" s="31" t="str">
        <f>IF(OR(B4806="",C4806=""),"",K4806-N4806 + IFERROR(E4806 / SUMIFS('📅 Resumen Diario'!$D$5:$D$504, '📅 Resumen Diario'!$B$5:$B$504, B4806, '📅 Resumen Diario'!$C$5:$C$504, D4806) * (SUMIFS('📋 Detalle Diario'!$E$5:$E$489, '📋 Detalle Diario'!$B$5:$B$489, B4806, '📋 Detalle Diario'!$C$5:$C$489, D4806) * 135 + SUMIFS('📋 Detalle Diario'!$I$5:$I$489, '📋 Detalle Diario'!$B$5:$B$489, B4806, '📋 Detalle Diario'!$C$5:$C$489, D4806) * 200), 0))</f>
        <v/>
      </c>
      <c r="P4806" s="32" t="str">
        <f t="shared" si="523"/>
        <v/>
      </c>
      <c r="Q4806" s="33" t="str">
        <f t="shared" si="524"/>
        <v/>
      </c>
    </row>
    <row r="4807" spans="2:17" ht="18" customHeight="1" x14ac:dyDescent="0.3">
      <c r="B4807" s="26"/>
      <c r="C4807" s="28"/>
      <c r="D4807" s="27"/>
      <c r="E4807" s="29"/>
      <c r="F4807" s="29"/>
      <c r="G4807" s="29"/>
      <c r="H4807" s="30" t="str">
        <f t="shared" ref="H4807:H4870" si="525">IF(OR(B4807="",C4807=""),"",F4807+G4807)</f>
        <v/>
      </c>
      <c r="I4807" s="31" t="str">
        <f>IF(OR(B4807="",C4807=""),"",IFERROR(E4807*IF(E4807="",0,VLOOKUP(C4807,'📦 Precios Proforma'!$B$5:$D$104,IF(D4807="DIA",2,3),FALSE)),0))</f>
        <v/>
      </c>
      <c r="J4807" s="31" t="str">
        <f t="shared" ref="J4807:J4870" si="526">IF(OR(B4807="",C4807=""),"",IF(D4807="DIA",H4807*1.01,H4807*1.35))</f>
        <v/>
      </c>
      <c r="K4807" s="31" t="str">
        <f t="shared" ref="K4807:K4870" si="527">IF(OR(B4807="",C4807=""),"",I4807+J4807)</f>
        <v/>
      </c>
      <c r="L4807" s="31" t="str">
        <f>IF(OR(B4807="",C4807=""),"",IFERROR(E4807 / SUMIFS('📅 Resumen Diario'!$D$5:$D$504, '📅 Resumen Diario'!$B$5:$B$504, B4807, '📅 Resumen Diario'!$C$5:$C$504, D4807) * SUMIFS('📅 Resumen Diario'!$K$5:$K$504, '📅 Resumen Diario'!$B$5:$B$504, B4807, '📅 Resumen Diario'!$C$5:$C$504, D4807), 0))</f>
        <v/>
      </c>
      <c r="M4807" s="31" t="str">
        <f t="shared" ref="M4807:M4870" si="528">IF(OR(B4807="",C4807=""),"",H4807*0.09)</f>
        <v/>
      </c>
      <c r="N4807" s="31" t="str">
        <f t="shared" ref="N4807:N4870" si="529">IF(OR(B4807="",C4807=""),"",L4807+M4807)</f>
        <v/>
      </c>
      <c r="O4807" s="31" t="str">
        <f>IF(OR(B4807="",C4807=""),"",K4807-N4807 + IFERROR(E4807 / SUMIFS('📅 Resumen Diario'!$D$5:$D$504, '📅 Resumen Diario'!$B$5:$B$504, B4807, '📅 Resumen Diario'!$C$5:$C$504, D4807) * (SUMIFS('📋 Detalle Diario'!$E$5:$E$489, '📋 Detalle Diario'!$B$5:$B$489, B4807, '📋 Detalle Diario'!$C$5:$C$489, D4807) * 135 + SUMIFS('📋 Detalle Diario'!$I$5:$I$489, '📋 Detalle Diario'!$B$5:$B$489, B4807, '📋 Detalle Diario'!$C$5:$C$489, D4807) * 200), 0))</f>
        <v/>
      </c>
      <c r="P4807" s="32" t="str">
        <f t="shared" ref="P4807:P4870" si="530">IF(OR(B4807="",C4807=""),"",IF(K4807=0, 0, O4807/K4807))</f>
        <v/>
      </c>
      <c r="Q4807" s="33" t="str">
        <f t="shared" ref="Q4807:Q4870" si="531">IF(B4807="","",IF(ISNUMBER(B4807),YEAR(B4807)&amp;"-"&amp;IF(MONTH(B4807)&lt;10,"0","")&amp;MONTH(B4807),LEFT(B4807,7)))</f>
        <v/>
      </c>
    </row>
    <row r="4808" spans="2:17" ht="18" customHeight="1" x14ac:dyDescent="0.3">
      <c r="B4808" s="26"/>
      <c r="C4808" s="17"/>
      <c r="D4808" s="27"/>
      <c r="E4808" s="18"/>
      <c r="F4808" s="18"/>
      <c r="G4808" s="18"/>
      <c r="H4808" s="30" t="str">
        <f t="shared" si="525"/>
        <v/>
      </c>
      <c r="I4808" s="31" t="str">
        <f>IF(OR(B4808="",C4808=""),"",IFERROR(E4808*IF(E4808="",0,VLOOKUP(C4808,'📦 Precios Proforma'!$B$5:$D$104,IF(D4808="DIA",2,3),FALSE)),0))</f>
        <v/>
      </c>
      <c r="J4808" s="31" t="str">
        <f t="shared" si="526"/>
        <v/>
      </c>
      <c r="K4808" s="31" t="str">
        <f t="shared" si="527"/>
        <v/>
      </c>
      <c r="L4808" s="31" t="str">
        <f>IF(OR(B4808="",C4808=""),"",IFERROR(E4808 / SUMIFS('📅 Resumen Diario'!$D$5:$D$504, '📅 Resumen Diario'!$B$5:$B$504, B4808, '📅 Resumen Diario'!$C$5:$C$504, D4808) * SUMIFS('📅 Resumen Diario'!$K$5:$K$504, '📅 Resumen Diario'!$B$5:$B$504, B4808, '📅 Resumen Diario'!$C$5:$C$504, D4808), 0))</f>
        <v/>
      </c>
      <c r="M4808" s="31" t="str">
        <f t="shared" si="528"/>
        <v/>
      </c>
      <c r="N4808" s="31" t="str">
        <f t="shared" si="529"/>
        <v/>
      </c>
      <c r="O4808" s="31" t="str">
        <f>IF(OR(B4808="",C4808=""),"",K4808-N4808 + IFERROR(E4808 / SUMIFS('📅 Resumen Diario'!$D$5:$D$504, '📅 Resumen Diario'!$B$5:$B$504, B4808, '📅 Resumen Diario'!$C$5:$C$504, D4808) * (SUMIFS('📋 Detalle Diario'!$E$5:$E$489, '📋 Detalle Diario'!$B$5:$B$489, B4808, '📋 Detalle Diario'!$C$5:$C$489, D4808) * 135 + SUMIFS('📋 Detalle Diario'!$I$5:$I$489, '📋 Detalle Diario'!$B$5:$B$489, B4808, '📋 Detalle Diario'!$C$5:$C$489, D4808) * 200), 0))</f>
        <v/>
      </c>
      <c r="P4808" s="32" t="str">
        <f t="shared" si="530"/>
        <v/>
      </c>
      <c r="Q4808" s="33" t="str">
        <f t="shared" si="531"/>
        <v/>
      </c>
    </row>
    <row r="4809" spans="2:17" ht="18" customHeight="1" x14ac:dyDescent="0.3">
      <c r="B4809" s="26"/>
      <c r="C4809" s="28"/>
      <c r="D4809" s="27"/>
      <c r="E4809" s="29"/>
      <c r="F4809" s="29"/>
      <c r="G4809" s="29"/>
      <c r="H4809" s="30" t="str">
        <f t="shared" si="525"/>
        <v/>
      </c>
      <c r="I4809" s="31" t="str">
        <f>IF(OR(B4809="",C4809=""),"",IFERROR(E4809*IF(E4809="",0,VLOOKUP(C4809,'📦 Precios Proforma'!$B$5:$D$104,IF(D4809="DIA",2,3),FALSE)),0))</f>
        <v/>
      </c>
      <c r="J4809" s="31" t="str">
        <f t="shared" si="526"/>
        <v/>
      </c>
      <c r="K4809" s="31" t="str">
        <f t="shared" si="527"/>
        <v/>
      </c>
      <c r="L4809" s="31" t="str">
        <f>IF(OR(B4809="",C4809=""),"",IFERROR(E4809 / SUMIFS('📅 Resumen Diario'!$D$5:$D$504, '📅 Resumen Diario'!$B$5:$B$504, B4809, '📅 Resumen Diario'!$C$5:$C$504, D4809) * SUMIFS('📅 Resumen Diario'!$K$5:$K$504, '📅 Resumen Diario'!$B$5:$B$504, B4809, '📅 Resumen Diario'!$C$5:$C$504, D4809), 0))</f>
        <v/>
      </c>
      <c r="M4809" s="31" t="str">
        <f t="shared" si="528"/>
        <v/>
      </c>
      <c r="N4809" s="31" t="str">
        <f t="shared" si="529"/>
        <v/>
      </c>
      <c r="O4809" s="31" t="str">
        <f>IF(OR(B4809="",C4809=""),"",K4809-N4809 + IFERROR(E4809 / SUMIFS('📅 Resumen Diario'!$D$5:$D$504, '📅 Resumen Diario'!$B$5:$B$504, B4809, '📅 Resumen Diario'!$C$5:$C$504, D4809) * (SUMIFS('📋 Detalle Diario'!$E$5:$E$489, '📋 Detalle Diario'!$B$5:$B$489, B4809, '📋 Detalle Diario'!$C$5:$C$489, D4809) * 135 + SUMIFS('📋 Detalle Diario'!$I$5:$I$489, '📋 Detalle Diario'!$B$5:$B$489, B4809, '📋 Detalle Diario'!$C$5:$C$489, D4809) * 200), 0))</f>
        <v/>
      </c>
      <c r="P4809" s="32" t="str">
        <f t="shared" si="530"/>
        <v/>
      </c>
      <c r="Q4809" s="33" t="str">
        <f t="shared" si="531"/>
        <v/>
      </c>
    </row>
    <row r="4810" spans="2:17" ht="18" customHeight="1" x14ac:dyDescent="0.3">
      <c r="B4810" s="26"/>
      <c r="C4810" s="17"/>
      <c r="D4810" s="27"/>
      <c r="E4810" s="18"/>
      <c r="F4810" s="18"/>
      <c r="G4810" s="18"/>
      <c r="H4810" s="30" t="str">
        <f t="shared" si="525"/>
        <v/>
      </c>
      <c r="I4810" s="31" t="str">
        <f>IF(OR(B4810="",C4810=""),"",IFERROR(E4810*IF(E4810="",0,VLOOKUP(C4810,'📦 Precios Proforma'!$B$5:$D$104,IF(D4810="DIA",2,3),FALSE)),0))</f>
        <v/>
      </c>
      <c r="J4810" s="31" t="str">
        <f t="shared" si="526"/>
        <v/>
      </c>
      <c r="K4810" s="31" t="str">
        <f t="shared" si="527"/>
        <v/>
      </c>
      <c r="L4810" s="31" t="str">
        <f>IF(OR(B4810="",C4810=""),"",IFERROR(E4810 / SUMIFS('📅 Resumen Diario'!$D$5:$D$504, '📅 Resumen Diario'!$B$5:$B$504, B4810, '📅 Resumen Diario'!$C$5:$C$504, D4810) * SUMIFS('📅 Resumen Diario'!$K$5:$K$504, '📅 Resumen Diario'!$B$5:$B$504, B4810, '📅 Resumen Diario'!$C$5:$C$504, D4810), 0))</f>
        <v/>
      </c>
      <c r="M4810" s="31" t="str">
        <f t="shared" si="528"/>
        <v/>
      </c>
      <c r="N4810" s="31" t="str">
        <f t="shared" si="529"/>
        <v/>
      </c>
      <c r="O4810" s="31" t="str">
        <f>IF(OR(B4810="",C4810=""),"",K4810-N4810 + IFERROR(E4810 / SUMIFS('📅 Resumen Diario'!$D$5:$D$504, '📅 Resumen Diario'!$B$5:$B$504, B4810, '📅 Resumen Diario'!$C$5:$C$504, D4810) * (SUMIFS('📋 Detalle Diario'!$E$5:$E$489, '📋 Detalle Diario'!$B$5:$B$489, B4810, '📋 Detalle Diario'!$C$5:$C$489, D4810) * 135 + SUMIFS('📋 Detalle Diario'!$I$5:$I$489, '📋 Detalle Diario'!$B$5:$B$489, B4810, '📋 Detalle Diario'!$C$5:$C$489, D4810) * 200), 0))</f>
        <v/>
      </c>
      <c r="P4810" s="32" t="str">
        <f t="shared" si="530"/>
        <v/>
      </c>
      <c r="Q4810" s="33" t="str">
        <f t="shared" si="531"/>
        <v/>
      </c>
    </row>
    <row r="4811" spans="2:17" ht="18" customHeight="1" x14ac:dyDescent="0.3">
      <c r="B4811" s="26"/>
      <c r="C4811" s="28"/>
      <c r="D4811" s="27"/>
      <c r="E4811" s="29"/>
      <c r="F4811" s="29"/>
      <c r="G4811" s="29"/>
      <c r="H4811" s="30" t="str">
        <f t="shared" si="525"/>
        <v/>
      </c>
      <c r="I4811" s="31" t="str">
        <f>IF(OR(B4811="",C4811=""),"",IFERROR(E4811*IF(E4811="",0,VLOOKUP(C4811,'📦 Precios Proforma'!$B$5:$D$104,IF(D4811="DIA",2,3),FALSE)),0))</f>
        <v/>
      </c>
      <c r="J4811" s="31" t="str">
        <f t="shared" si="526"/>
        <v/>
      </c>
      <c r="K4811" s="31" t="str">
        <f t="shared" si="527"/>
        <v/>
      </c>
      <c r="L4811" s="31" t="str">
        <f>IF(OR(B4811="",C4811=""),"",IFERROR(E4811 / SUMIFS('📅 Resumen Diario'!$D$5:$D$504, '📅 Resumen Diario'!$B$5:$B$504, B4811, '📅 Resumen Diario'!$C$5:$C$504, D4811) * SUMIFS('📅 Resumen Diario'!$K$5:$K$504, '📅 Resumen Diario'!$B$5:$B$504, B4811, '📅 Resumen Diario'!$C$5:$C$504, D4811), 0))</f>
        <v/>
      </c>
      <c r="M4811" s="31" t="str">
        <f t="shared" si="528"/>
        <v/>
      </c>
      <c r="N4811" s="31" t="str">
        <f t="shared" si="529"/>
        <v/>
      </c>
      <c r="O4811" s="31" t="str">
        <f>IF(OR(B4811="",C4811=""),"",K4811-N4811 + IFERROR(E4811 / SUMIFS('📅 Resumen Diario'!$D$5:$D$504, '📅 Resumen Diario'!$B$5:$B$504, B4811, '📅 Resumen Diario'!$C$5:$C$504, D4811) * (SUMIFS('📋 Detalle Diario'!$E$5:$E$489, '📋 Detalle Diario'!$B$5:$B$489, B4811, '📋 Detalle Diario'!$C$5:$C$489, D4811) * 135 + SUMIFS('📋 Detalle Diario'!$I$5:$I$489, '📋 Detalle Diario'!$B$5:$B$489, B4811, '📋 Detalle Diario'!$C$5:$C$489, D4811) * 200), 0))</f>
        <v/>
      </c>
      <c r="P4811" s="32" t="str">
        <f t="shared" si="530"/>
        <v/>
      </c>
      <c r="Q4811" s="33" t="str">
        <f t="shared" si="531"/>
        <v/>
      </c>
    </row>
    <row r="4812" spans="2:17" ht="18" customHeight="1" x14ac:dyDescent="0.3">
      <c r="B4812" s="26"/>
      <c r="C4812" s="17"/>
      <c r="D4812" s="27"/>
      <c r="E4812" s="18"/>
      <c r="F4812" s="18"/>
      <c r="G4812" s="18"/>
      <c r="H4812" s="30" t="str">
        <f t="shared" si="525"/>
        <v/>
      </c>
      <c r="I4812" s="31" t="str">
        <f>IF(OR(B4812="",C4812=""),"",IFERROR(E4812*IF(E4812="",0,VLOOKUP(C4812,'📦 Precios Proforma'!$B$5:$D$104,IF(D4812="DIA",2,3),FALSE)),0))</f>
        <v/>
      </c>
      <c r="J4812" s="31" t="str">
        <f t="shared" si="526"/>
        <v/>
      </c>
      <c r="K4812" s="31" t="str">
        <f t="shared" si="527"/>
        <v/>
      </c>
      <c r="L4812" s="31" t="str">
        <f>IF(OR(B4812="",C4812=""),"",IFERROR(E4812 / SUMIFS('📅 Resumen Diario'!$D$5:$D$504, '📅 Resumen Diario'!$B$5:$B$504, B4812, '📅 Resumen Diario'!$C$5:$C$504, D4812) * SUMIFS('📅 Resumen Diario'!$K$5:$K$504, '📅 Resumen Diario'!$B$5:$B$504, B4812, '📅 Resumen Diario'!$C$5:$C$504, D4812), 0))</f>
        <v/>
      </c>
      <c r="M4812" s="31" t="str">
        <f t="shared" si="528"/>
        <v/>
      </c>
      <c r="N4812" s="31" t="str">
        <f t="shared" si="529"/>
        <v/>
      </c>
      <c r="O4812" s="31" t="str">
        <f>IF(OR(B4812="",C4812=""),"",K4812-N4812 + IFERROR(E4812 / SUMIFS('📅 Resumen Diario'!$D$5:$D$504, '📅 Resumen Diario'!$B$5:$B$504, B4812, '📅 Resumen Diario'!$C$5:$C$504, D4812) * (SUMIFS('📋 Detalle Diario'!$E$5:$E$489, '📋 Detalle Diario'!$B$5:$B$489, B4812, '📋 Detalle Diario'!$C$5:$C$489, D4812) * 135 + SUMIFS('📋 Detalle Diario'!$I$5:$I$489, '📋 Detalle Diario'!$B$5:$B$489, B4812, '📋 Detalle Diario'!$C$5:$C$489, D4812) * 200), 0))</f>
        <v/>
      </c>
      <c r="P4812" s="32" t="str">
        <f t="shared" si="530"/>
        <v/>
      </c>
      <c r="Q4812" s="33" t="str">
        <f t="shared" si="531"/>
        <v/>
      </c>
    </row>
    <row r="4813" spans="2:17" ht="18" customHeight="1" x14ac:dyDescent="0.3">
      <c r="B4813" s="26"/>
      <c r="C4813" s="28"/>
      <c r="D4813" s="27"/>
      <c r="E4813" s="29"/>
      <c r="F4813" s="29"/>
      <c r="G4813" s="29"/>
      <c r="H4813" s="30" t="str">
        <f t="shared" si="525"/>
        <v/>
      </c>
      <c r="I4813" s="31" t="str">
        <f>IF(OR(B4813="",C4813=""),"",IFERROR(E4813*IF(E4813="",0,VLOOKUP(C4813,'📦 Precios Proforma'!$B$5:$D$104,IF(D4813="DIA",2,3),FALSE)),0))</f>
        <v/>
      </c>
      <c r="J4813" s="31" t="str">
        <f t="shared" si="526"/>
        <v/>
      </c>
      <c r="K4813" s="31" t="str">
        <f t="shared" si="527"/>
        <v/>
      </c>
      <c r="L4813" s="31" t="str">
        <f>IF(OR(B4813="",C4813=""),"",IFERROR(E4813 / SUMIFS('📅 Resumen Diario'!$D$5:$D$504, '📅 Resumen Diario'!$B$5:$B$504, B4813, '📅 Resumen Diario'!$C$5:$C$504, D4813) * SUMIFS('📅 Resumen Diario'!$K$5:$K$504, '📅 Resumen Diario'!$B$5:$B$504, B4813, '📅 Resumen Diario'!$C$5:$C$504, D4813), 0))</f>
        <v/>
      </c>
      <c r="M4813" s="31" t="str">
        <f t="shared" si="528"/>
        <v/>
      </c>
      <c r="N4813" s="31" t="str">
        <f t="shared" si="529"/>
        <v/>
      </c>
      <c r="O4813" s="31" t="str">
        <f>IF(OR(B4813="",C4813=""),"",K4813-N4813 + IFERROR(E4813 / SUMIFS('📅 Resumen Diario'!$D$5:$D$504, '📅 Resumen Diario'!$B$5:$B$504, B4813, '📅 Resumen Diario'!$C$5:$C$504, D4813) * (SUMIFS('📋 Detalle Diario'!$E$5:$E$489, '📋 Detalle Diario'!$B$5:$B$489, B4813, '📋 Detalle Diario'!$C$5:$C$489, D4813) * 135 + SUMIFS('📋 Detalle Diario'!$I$5:$I$489, '📋 Detalle Diario'!$B$5:$B$489, B4813, '📋 Detalle Diario'!$C$5:$C$489, D4813) * 200), 0))</f>
        <v/>
      </c>
      <c r="P4813" s="32" t="str">
        <f t="shared" si="530"/>
        <v/>
      </c>
      <c r="Q4813" s="33" t="str">
        <f t="shared" si="531"/>
        <v/>
      </c>
    </row>
    <row r="4814" spans="2:17" ht="18" customHeight="1" x14ac:dyDescent="0.3">
      <c r="B4814" s="26"/>
      <c r="C4814" s="17"/>
      <c r="D4814" s="27"/>
      <c r="E4814" s="18"/>
      <c r="F4814" s="18"/>
      <c r="G4814" s="18"/>
      <c r="H4814" s="30" t="str">
        <f t="shared" si="525"/>
        <v/>
      </c>
      <c r="I4814" s="31" t="str">
        <f>IF(OR(B4814="",C4814=""),"",IFERROR(E4814*IF(E4814="",0,VLOOKUP(C4814,'📦 Precios Proforma'!$B$5:$D$104,IF(D4814="DIA",2,3),FALSE)),0))</f>
        <v/>
      </c>
      <c r="J4814" s="31" t="str">
        <f t="shared" si="526"/>
        <v/>
      </c>
      <c r="K4814" s="31" t="str">
        <f t="shared" si="527"/>
        <v/>
      </c>
      <c r="L4814" s="31" t="str">
        <f>IF(OR(B4814="",C4814=""),"",IFERROR(E4814 / SUMIFS('📅 Resumen Diario'!$D$5:$D$504, '📅 Resumen Diario'!$B$5:$B$504, B4814, '📅 Resumen Diario'!$C$5:$C$504, D4814) * SUMIFS('📅 Resumen Diario'!$K$5:$K$504, '📅 Resumen Diario'!$B$5:$B$504, B4814, '📅 Resumen Diario'!$C$5:$C$504, D4814), 0))</f>
        <v/>
      </c>
      <c r="M4814" s="31" t="str">
        <f t="shared" si="528"/>
        <v/>
      </c>
      <c r="N4814" s="31" t="str">
        <f t="shared" si="529"/>
        <v/>
      </c>
      <c r="O4814" s="31" t="str">
        <f>IF(OR(B4814="",C4814=""),"",K4814-N4814 + IFERROR(E4814 / SUMIFS('📅 Resumen Diario'!$D$5:$D$504, '📅 Resumen Diario'!$B$5:$B$504, B4814, '📅 Resumen Diario'!$C$5:$C$504, D4814) * (SUMIFS('📋 Detalle Diario'!$E$5:$E$489, '📋 Detalle Diario'!$B$5:$B$489, B4814, '📋 Detalle Diario'!$C$5:$C$489, D4814) * 135 + SUMIFS('📋 Detalle Diario'!$I$5:$I$489, '📋 Detalle Diario'!$B$5:$B$489, B4814, '📋 Detalle Diario'!$C$5:$C$489, D4814) * 200), 0))</f>
        <v/>
      </c>
      <c r="P4814" s="32" t="str">
        <f t="shared" si="530"/>
        <v/>
      </c>
      <c r="Q4814" s="33" t="str">
        <f t="shared" si="531"/>
        <v/>
      </c>
    </row>
    <row r="4815" spans="2:17" ht="18" customHeight="1" x14ac:dyDescent="0.3">
      <c r="B4815" s="26"/>
      <c r="C4815" s="28"/>
      <c r="D4815" s="27"/>
      <c r="E4815" s="29"/>
      <c r="F4815" s="29"/>
      <c r="G4815" s="29"/>
      <c r="H4815" s="30" t="str">
        <f t="shared" si="525"/>
        <v/>
      </c>
      <c r="I4815" s="31" t="str">
        <f>IF(OR(B4815="",C4815=""),"",IFERROR(E4815*IF(E4815="",0,VLOOKUP(C4815,'📦 Precios Proforma'!$B$5:$D$104,IF(D4815="DIA",2,3),FALSE)),0))</f>
        <v/>
      </c>
      <c r="J4815" s="31" t="str">
        <f t="shared" si="526"/>
        <v/>
      </c>
      <c r="K4815" s="31" t="str">
        <f t="shared" si="527"/>
        <v/>
      </c>
      <c r="L4815" s="31" t="str">
        <f>IF(OR(B4815="",C4815=""),"",IFERROR(E4815 / SUMIFS('📅 Resumen Diario'!$D$5:$D$504, '📅 Resumen Diario'!$B$5:$B$504, B4815, '📅 Resumen Diario'!$C$5:$C$504, D4815) * SUMIFS('📅 Resumen Diario'!$K$5:$K$504, '📅 Resumen Diario'!$B$5:$B$504, B4815, '📅 Resumen Diario'!$C$5:$C$504, D4815), 0))</f>
        <v/>
      </c>
      <c r="M4815" s="31" t="str">
        <f t="shared" si="528"/>
        <v/>
      </c>
      <c r="N4815" s="31" t="str">
        <f t="shared" si="529"/>
        <v/>
      </c>
      <c r="O4815" s="31" t="str">
        <f>IF(OR(B4815="",C4815=""),"",K4815-N4815 + IFERROR(E4815 / SUMIFS('📅 Resumen Diario'!$D$5:$D$504, '📅 Resumen Diario'!$B$5:$B$504, B4815, '📅 Resumen Diario'!$C$5:$C$504, D4815) * (SUMIFS('📋 Detalle Diario'!$E$5:$E$489, '📋 Detalle Diario'!$B$5:$B$489, B4815, '📋 Detalle Diario'!$C$5:$C$489, D4815) * 135 + SUMIFS('📋 Detalle Diario'!$I$5:$I$489, '📋 Detalle Diario'!$B$5:$B$489, B4815, '📋 Detalle Diario'!$C$5:$C$489, D4815) * 200), 0))</f>
        <v/>
      </c>
      <c r="P4815" s="32" t="str">
        <f t="shared" si="530"/>
        <v/>
      </c>
      <c r="Q4815" s="33" t="str">
        <f t="shared" si="531"/>
        <v/>
      </c>
    </row>
    <row r="4816" spans="2:17" ht="18" customHeight="1" x14ac:dyDescent="0.3">
      <c r="B4816" s="26"/>
      <c r="C4816" s="17"/>
      <c r="D4816" s="27"/>
      <c r="E4816" s="18"/>
      <c r="F4816" s="18"/>
      <c r="G4816" s="18"/>
      <c r="H4816" s="30" t="str">
        <f t="shared" si="525"/>
        <v/>
      </c>
      <c r="I4816" s="31" t="str">
        <f>IF(OR(B4816="",C4816=""),"",IFERROR(E4816*IF(E4816="",0,VLOOKUP(C4816,'📦 Precios Proforma'!$B$5:$D$104,IF(D4816="DIA",2,3),FALSE)),0))</f>
        <v/>
      </c>
      <c r="J4816" s="31" t="str">
        <f t="shared" si="526"/>
        <v/>
      </c>
      <c r="K4816" s="31" t="str">
        <f t="shared" si="527"/>
        <v/>
      </c>
      <c r="L4816" s="31" t="str">
        <f>IF(OR(B4816="",C4816=""),"",IFERROR(E4816 / SUMIFS('📅 Resumen Diario'!$D$5:$D$504, '📅 Resumen Diario'!$B$5:$B$504, B4816, '📅 Resumen Diario'!$C$5:$C$504, D4816) * SUMIFS('📅 Resumen Diario'!$K$5:$K$504, '📅 Resumen Diario'!$B$5:$B$504, B4816, '📅 Resumen Diario'!$C$5:$C$504, D4816), 0))</f>
        <v/>
      </c>
      <c r="M4816" s="31" t="str">
        <f t="shared" si="528"/>
        <v/>
      </c>
      <c r="N4816" s="31" t="str">
        <f t="shared" si="529"/>
        <v/>
      </c>
      <c r="O4816" s="31" t="str">
        <f>IF(OR(B4816="",C4816=""),"",K4816-N4816 + IFERROR(E4816 / SUMIFS('📅 Resumen Diario'!$D$5:$D$504, '📅 Resumen Diario'!$B$5:$B$504, B4816, '📅 Resumen Diario'!$C$5:$C$504, D4816) * (SUMIFS('📋 Detalle Diario'!$E$5:$E$489, '📋 Detalle Diario'!$B$5:$B$489, B4816, '📋 Detalle Diario'!$C$5:$C$489, D4816) * 135 + SUMIFS('📋 Detalle Diario'!$I$5:$I$489, '📋 Detalle Diario'!$B$5:$B$489, B4816, '📋 Detalle Diario'!$C$5:$C$489, D4816) * 200), 0))</f>
        <v/>
      </c>
      <c r="P4816" s="32" t="str">
        <f t="shared" si="530"/>
        <v/>
      </c>
      <c r="Q4816" s="33" t="str">
        <f t="shared" si="531"/>
        <v/>
      </c>
    </row>
    <row r="4817" spans="2:17" ht="18" customHeight="1" x14ac:dyDescent="0.3">
      <c r="B4817" s="26"/>
      <c r="C4817" s="28"/>
      <c r="D4817" s="27"/>
      <c r="E4817" s="29"/>
      <c r="F4817" s="29"/>
      <c r="G4817" s="29"/>
      <c r="H4817" s="30" t="str">
        <f t="shared" si="525"/>
        <v/>
      </c>
      <c r="I4817" s="31" t="str">
        <f>IF(OR(B4817="",C4817=""),"",IFERROR(E4817*IF(E4817="",0,VLOOKUP(C4817,'📦 Precios Proforma'!$B$5:$D$104,IF(D4817="DIA",2,3),FALSE)),0))</f>
        <v/>
      </c>
      <c r="J4817" s="31" t="str">
        <f t="shared" si="526"/>
        <v/>
      </c>
      <c r="K4817" s="31" t="str">
        <f t="shared" si="527"/>
        <v/>
      </c>
      <c r="L4817" s="31" t="str">
        <f>IF(OR(B4817="",C4817=""),"",IFERROR(E4817 / SUMIFS('📅 Resumen Diario'!$D$5:$D$504, '📅 Resumen Diario'!$B$5:$B$504, B4817, '📅 Resumen Diario'!$C$5:$C$504, D4817) * SUMIFS('📅 Resumen Diario'!$K$5:$K$504, '📅 Resumen Diario'!$B$5:$B$504, B4817, '📅 Resumen Diario'!$C$5:$C$504, D4817), 0))</f>
        <v/>
      </c>
      <c r="M4817" s="31" t="str">
        <f t="shared" si="528"/>
        <v/>
      </c>
      <c r="N4817" s="31" t="str">
        <f t="shared" si="529"/>
        <v/>
      </c>
      <c r="O4817" s="31" t="str">
        <f>IF(OR(B4817="",C4817=""),"",K4817-N4817 + IFERROR(E4817 / SUMIFS('📅 Resumen Diario'!$D$5:$D$504, '📅 Resumen Diario'!$B$5:$B$504, B4817, '📅 Resumen Diario'!$C$5:$C$504, D4817) * (SUMIFS('📋 Detalle Diario'!$E$5:$E$489, '📋 Detalle Diario'!$B$5:$B$489, B4817, '📋 Detalle Diario'!$C$5:$C$489, D4817) * 135 + SUMIFS('📋 Detalle Diario'!$I$5:$I$489, '📋 Detalle Diario'!$B$5:$B$489, B4817, '📋 Detalle Diario'!$C$5:$C$489, D4817) * 200), 0))</f>
        <v/>
      </c>
      <c r="P4817" s="32" t="str">
        <f t="shared" si="530"/>
        <v/>
      </c>
      <c r="Q4817" s="33" t="str">
        <f t="shared" si="531"/>
        <v/>
      </c>
    </row>
    <row r="4818" spans="2:17" ht="18" customHeight="1" x14ac:dyDescent="0.3">
      <c r="B4818" s="26"/>
      <c r="C4818" s="17"/>
      <c r="D4818" s="27"/>
      <c r="E4818" s="18"/>
      <c r="F4818" s="18"/>
      <c r="G4818" s="18"/>
      <c r="H4818" s="30" t="str">
        <f t="shared" si="525"/>
        <v/>
      </c>
      <c r="I4818" s="31" t="str">
        <f>IF(OR(B4818="",C4818=""),"",IFERROR(E4818*IF(E4818="",0,VLOOKUP(C4818,'📦 Precios Proforma'!$B$5:$D$104,IF(D4818="DIA",2,3),FALSE)),0))</f>
        <v/>
      </c>
      <c r="J4818" s="31" t="str">
        <f t="shared" si="526"/>
        <v/>
      </c>
      <c r="K4818" s="31" t="str">
        <f t="shared" si="527"/>
        <v/>
      </c>
      <c r="L4818" s="31" t="str">
        <f>IF(OR(B4818="",C4818=""),"",IFERROR(E4818 / SUMIFS('📅 Resumen Diario'!$D$5:$D$504, '📅 Resumen Diario'!$B$5:$B$504, B4818, '📅 Resumen Diario'!$C$5:$C$504, D4818) * SUMIFS('📅 Resumen Diario'!$K$5:$K$504, '📅 Resumen Diario'!$B$5:$B$504, B4818, '📅 Resumen Diario'!$C$5:$C$504, D4818), 0))</f>
        <v/>
      </c>
      <c r="M4818" s="31" t="str">
        <f t="shared" si="528"/>
        <v/>
      </c>
      <c r="N4818" s="31" t="str">
        <f t="shared" si="529"/>
        <v/>
      </c>
      <c r="O4818" s="31" t="str">
        <f>IF(OR(B4818="",C4818=""),"",K4818-N4818 + IFERROR(E4818 / SUMIFS('📅 Resumen Diario'!$D$5:$D$504, '📅 Resumen Diario'!$B$5:$B$504, B4818, '📅 Resumen Diario'!$C$5:$C$504, D4818) * (SUMIFS('📋 Detalle Diario'!$E$5:$E$489, '📋 Detalle Diario'!$B$5:$B$489, B4818, '📋 Detalle Diario'!$C$5:$C$489, D4818) * 135 + SUMIFS('📋 Detalle Diario'!$I$5:$I$489, '📋 Detalle Diario'!$B$5:$B$489, B4818, '📋 Detalle Diario'!$C$5:$C$489, D4818) * 200), 0))</f>
        <v/>
      </c>
      <c r="P4818" s="32" t="str">
        <f t="shared" si="530"/>
        <v/>
      </c>
      <c r="Q4818" s="33" t="str">
        <f t="shared" si="531"/>
        <v/>
      </c>
    </row>
    <row r="4819" spans="2:17" ht="18" customHeight="1" x14ac:dyDescent="0.3">
      <c r="B4819" s="26"/>
      <c r="C4819" s="28"/>
      <c r="D4819" s="27"/>
      <c r="E4819" s="29"/>
      <c r="F4819" s="29"/>
      <c r="G4819" s="29"/>
      <c r="H4819" s="30" t="str">
        <f t="shared" si="525"/>
        <v/>
      </c>
      <c r="I4819" s="31" t="str">
        <f>IF(OR(B4819="",C4819=""),"",IFERROR(E4819*IF(E4819="",0,VLOOKUP(C4819,'📦 Precios Proforma'!$B$5:$D$104,IF(D4819="DIA",2,3),FALSE)),0))</f>
        <v/>
      </c>
      <c r="J4819" s="31" t="str">
        <f t="shared" si="526"/>
        <v/>
      </c>
      <c r="K4819" s="31" t="str">
        <f t="shared" si="527"/>
        <v/>
      </c>
      <c r="L4819" s="31" t="str">
        <f>IF(OR(B4819="",C4819=""),"",IFERROR(E4819 / SUMIFS('📅 Resumen Diario'!$D$5:$D$504, '📅 Resumen Diario'!$B$5:$B$504, B4819, '📅 Resumen Diario'!$C$5:$C$504, D4819) * SUMIFS('📅 Resumen Diario'!$K$5:$K$504, '📅 Resumen Diario'!$B$5:$B$504, B4819, '📅 Resumen Diario'!$C$5:$C$504, D4819), 0))</f>
        <v/>
      </c>
      <c r="M4819" s="31" t="str">
        <f t="shared" si="528"/>
        <v/>
      </c>
      <c r="N4819" s="31" t="str">
        <f t="shared" si="529"/>
        <v/>
      </c>
      <c r="O4819" s="31" t="str">
        <f>IF(OR(B4819="",C4819=""),"",K4819-N4819 + IFERROR(E4819 / SUMIFS('📅 Resumen Diario'!$D$5:$D$504, '📅 Resumen Diario'!$B$5:$B$504, B4819, '📅 Resumen Diario'!$C$5:$C$504, D4819) * (SUMIFS('📋 Detalle Diario'!$E$5:$E$489, '📋 Detalle Diario'!$B$5:$B$489, B4819, '📋 Detalle Diario'!$C$5:$C$489, D4819) * 135 + SUMIFS('📋 Detalle Diario'!$I$5:$I$489, '📋 Detalle Diario'!$B$5:$B$489, B4819, '📋 Detalle Diario'!$C$5:$C$489, D4819) * 200), 0))</f>
        <v/>
      </c>
      <c r="P4819" s="32" t="str">
        <f t="shared" si="530"/>
        <v/>
      </c>
      <c r="Q4819" s="33" t="str">
        <f t="shared" si="531"/>
        <v/>
      </c>
    </row>
    <row r="4820" spans="2:17" ht="18" customHeight="1" x14ac:dyDescent="0.3">
      <c r="B4820" s="26"/>
      <c r="C4820" s="17"/>
      <c r="D4820" s="27"/>
      <c r="E4820" s="18"/>
      <c r="F4820" s="18"/>
      <c r="G4820" s="18"/>
      <c r="H4820" s="30" t="str">
        <f t="shared" si="525"/>
        <v/>
      </c>
      <c r="I4820" s="31" t="str">
        <f>IF(OR(B4820="",C4820=""),"",IFERROR(E4820*IF(E4820="",0,VLOOKUP(C4820,'📦 Precios Proforma'!$B$5:$D$104,IF(D4820="DIA",2,3),FALSE)),0))</f>
        <v/>
      </c>
      <c r="J4820" s="31" t="str">
        <f t="shared" si="526"/>
        <v/>
      </c>
      <c r="K4820" s="31" t="str">
        <f t="shared" si="527"/>
        <v/>
      </c>
      <c r="L4820" s="31" t="str">
        <f>IF(OR(B4820="",C4820=""),"",IFERROR(E4820 / SUMIFS('📅 Resumen Diario'!$D$5:$D$504, '📅 Resumen Diario'!$B$5:$B$504, B4820, '📅 Resumen Diario'!$C$5:$C$504, D4820) * SUMIFS('📅 Resumen Diario'!$K$5:$K$504, '📅 Resumen Diario'!$B$5:$B$504, B4820, '📅 Resumen Diario'!$C$5:$C$504, D4820), 0))</f>
        <v/>
      </c>
      <c r="M4820" s="31" t="str">
        <f t="shared" si="528"/>
        <v/>
      </c>
      <c r="N4820" s="31" t="str">
        <f t="shared" si="529"/>
        <v/>
      </c>
      <c r="O4820" s="31" t="str">
        <f>IF(OR(B4820="",C4820=""),"",K4820-N4820 + IFERROR(E4820 / SUMIFS('📅 Resumen Diario'!$D$5:$D$504, '📅 Resumen Diario'!$B$5:$B$504, B4820, '📅 Resumen Diario'!$C$5:$C$504, D4820) * (SUMIFS('📋 Detalle Diario'!$E$5:$E$489, '📋 Detalle Diario'!$B$5:$B$489, B4820, '📋 Detalle Diario'!$C$5:$C$489, D4820) * 135 + SUMIFS('📋 Detalle Diario'!$I$5:$I$489, '📋 Detalle Diario'!$B$5:$B$489, B4820, '📋 Detalle Diario'!$C$5:$C$489, D4820) * 200), 0))</f>
        <v/>
      </c>
      <c r="P4820" s="32" t="str">
        <f t="shared" si="530"/>
        <v/>
      </c>
      <c r="Q4820" s="33" t="str">
        <f t="shared" si="531"/>
        <v/>
      </c>
    </row>
    <row r="4821" spans="2:17" ht="18" customHeight="1" x14ac:dyDescent="0.3">
      <c r="B4821" s="26"/>
      <c r="C4821" s="28"/>
      <c r="D4821" s="27"/>
      <c r="E4821" s="29"/>
      <c r="F4821" s="29"/>
      <c r="G4821" s="29"/>
      <c r="H4821" s="30" t="str">
        <f t="shared" si="525"/>
        <v/>
      </c>
      <c r="I4821" s="31" t="str">
        <f>IF(OR(B4821="",C4821=""),"",IFERROR(E4821*IF(E4821="",0,VLOOKUP(C4821,'📦 Precios Proforma'!$B$5:$D$104,IF(D4821="DIA",2,3),FALSE)),0))</f>
        <v/>
      </c>
      <c r="J4821" s="31" t="str">
        <f t="shared" si="526"/>
        <v/>
      </c>
      <c r="K4821" s="31" t="str">
        <f t="shared" si="527"/>
        <v/>
      </c>
      <c r="L4821" s="31" t="str">
        <f>IF(OR(B4821="",C4821=""),"",IFERROR(E4821 / SUMIFS('📅 Resumen Diario'!$D$5:$D$504, '📅 Resumen Diario'!$B$5:$B$504, B4821, '📅 Resumen Diario'!$C$5:$C$504, D4821) * SUMIFS('📅 Resumen Diario'!$K$5:$K$504, '📅 Resumen Diario'!$B$5:$B$504, B4821, '📅 Resumen Diario'!$C$5:$C$504, D4821), 0))</f>
        <v/>
      </c>
      <c r="M4821" s="31" t="str">
        <f t="shared" si="528"/>
        <v/>
      </c>
      <c r="N4821" s="31" t="str">
        <f t="shared" si="529"/>
        <v/>
      </c>
      <c r="O4821" s="31" t="str">
        <f>IF(OR(B4821="",C4821=""),"",K4821-N4821 + IFERROR(E4821 / SUMIFS('📅 Resumen Diario'!$D$5:$D$504, '📅 Resumen Diario'!$B$5:$B$504, B4821, '📅 Resumen Diario'!$C$5:$C$504, D4821) * (SUMIFS('📋 Detalle Diario'!$E$5:$E$489, '📋 Detalle Diario'!$B$5:$B$489, B4821, '📋 Detalle Diario'!$C$5:$C$489, D4821) * 135 + SUMIFS('📋 Detalle Diario'!$I$5:$I$489, '📋 Detalle Diario'!$B$5:$B$489, B4821, '📋 Detalle Diario'!$C$5:$C$489, D4821) * 200), 0))</f>
        <v/>
      </c>
      <c r="P4821" s="32" t="str">
        <f t="shared" si="530"/>
        <v/>
      </c>
      <c r="Q4821" s="33" t="str">
        <f t="shared" si="531"/>
        <v/>
      </c>
    </row>
    <row r="4822" spans="2:17" ht="18" customHeight="1" x14ac:dyDescent="0.3">
      <c r="B4822" s="26"/>
      <c r="C4822" s="17"/>
      <c r="D4822" s="27"/>
      <c r="E4822" s="18"/>
      <c r="F4822" s="18"/>
      <c r="G4822" s="18"/>
      <c r="H4822" s="30" t="str">
        <f t="shared" si="525"/>
        <v/>
      </c>
      <c r="I4822" s="31" t="str">
        <f>IF(OR(B4822="",C4822=""),"",IFERROR(E4822*IF(E4822="",0,VLOOKUP(C4822,'📦 Precios Proforma'!$B$5:$D$104,IF(D4822="DIA",2,3),FALSE)),0))</f>
        <v/>
      </c>
      <c r="J4822" s="31" t="str">
        <f t="shared" si="526"/>
        <v/>
      </c>
      <c r="K4822" s="31" t="str">
        <f t="shared" si="527"/>
        <v/>
      </c>
      <c r="L4822" s="31" t="str">
        <f>IF(OR(B4822="",C4822=""),"",IFERROR(E4822 / SUMIFS('📅 Resumen Diario'!$D$5:$D$504, '📅 Resumen Diario'!$B$5:$B$504, B4822, '📅 Resumen Diario'!$C$5:$C$504, D4822) * SUMIFS('📅 Resumen Diario'!$K$5:$K$504, '📅 Resumen Diario'!$B$5:$B$504, B4822, '📅 Resumen Diario'!$C$5:$C$504, D4822), 0))</f>
        <v/>
      </c>
      <c r="M4822" s="31" t="str">
        <f t="shared" si="528"/>
        <v/>
      </c>
      <c r="N4822" s="31" t="str">
        <f t="shared" si="529"/>
        <v/>
      </c>
      <c r="O4822" s="31" t="str">
        <f>IF(OR(B4822="",C4822=""),"",K4822-N4822 + IFERROR(E4822 / SUMIFS('📅 Resumen Diario'!$D$5:$D$504, '📅 Resumen Diario'!$B$5:$B$504, B4822, '📅 Resumen Diario'!$C$5:$C$504, D4822) * (SUMIFS('📋 Detalle Diario'!$E$5:$E$489, '📋 Detalle Diario'!$B$5:$B$489, B4822, '📋 Detalle Diario'!$C$5:$C$489, D4822) * 135 + SUMIFS('📋 Detalle Diario'!$I$5:$I$489, '📋 Detalle Diario'!$B$5:$B$489, B4822, '📋 Detalle Diario'!$C$5:$C$489, D4822) * 200), 0))</f>
        <v/>
      </c>
      <c r="P4822" s="32" t="str">
        <f t="shared" si="530"/>
        <v/>
      </c>
      <c r="Q4822" s="33" t="str">
        <f t="shared" si="531"/>
        <v/>
      </c>
    </row>
    <row r="4823" spans="2:17" ht="18" customHeight="1" x14ac:dyDescent="0.3">
      <c r="B4823" s="26"/>
      <c r="C4823" s="28"/>
      <c r="D4823" s="27"/>
      <c r="E4823" s="29"/>
      <c r="F4823" s="29"/>
      <c r="G4823" s="29"/>
      <c r="H4823" s="30" t="str">
        <f t="shared" si="525"/>
        <v/>
      </c>
      <c r="I4823" s="31" t="str">
        <f>IF(OR(B4823="",C4823=""),"",IFERROR(E4823*IF(E4823="",0,VLOOKUP(C4823,'📦 Precios Proforma'!$B$5:$D$104,IF(D4823="DIA",2,3),FALSE)),0))</f>
        <v/>
      </c>
      <c r="J4823" s="31" t="str">
        <f t="shared" si="526"/>
        <v/>
      </c>
      <c r="K4823" s="31" t="str">
        <f t="shared" si="527"/>
        <v/>
      </c>
      <c r="L4823" s="31" t="str">
        <f>IF(OR(B4823="",C4823=""),"",IFERROR(E4823 / SUMIFS('📅 Resumen Diario'!$D$5:$D$504, '📅 Resumen Diario'!$B$5:$B$504, B4823, '📅 Resumen Diario'!$C$5:$C$504, D4823) * SUMIFS('📅 Resumen Diario'!$K$5:$K$504, '📅 Resumen Diario'!$B$5:$B$504, B4823, '📅 Resumen Diario'!$C$5:$C$504, D4823), 0))</f>
        <v/>
      </c>
      <c r="M4823" s="31" t="str">
        <f t="shared" si="528"/>
        <v/>
      </c>
      <c r="N4823" s="31" t="str">
        <f t="shared" si="529"/>
        <v/>
      </c>
      <c r="O4823" s="31" t="str">
        <f>IF(OR(B4823="",C4823=""),"",K4823-N4823 + IFERROR(E4823 / SUMIFS('📅 Resumen Diario'!$D$5:$D$504, '📅 Resumen Diario'!$B$5:$B$504, B4823, '📅 Resumen Diario'!$C$5:$C$504, D4823) * (SUMIFS('📋 Detalle Diario'!$E$5:$E$489, '📋 Detalle Diario'!$B$5:$B$489, B4823, '📋 Detalle Diario'!$C$5:$C$489, D4823) * 135 + SUMIFS('📋 Detalle Diario'!$I$5:$I$489, '📋 Detalle Diario'!$B$5:$B$489, B4823, '📋 Detalle Diario'!$C$5:$C$489, D4823) * 200), 0))</f>
        <v/>
      </c>
      <c r="P4823" s="32" t="str">
        <f t="shared" si="530"/>
        <v/>
      </c>
      <c r="Q4823" s="33" t="str">
        <f t="shared" si="531"/>
        <v/>
      </c>
    </row>
    <row r="4824" spans="2:17" ht="18" customHeight="1" x14ac:dyDescent="0.3">
      <c r="B4824" s="26"/>
      <c r="C4824" s="17"/>
      <c r="D4824" s="27"/>
      <c r="E4824" s="18"/>
      <c r="F4824" s="18"/>
      <c r="G4824" s="18"/>
      <c r="H4824" s="30" t="str">
        <f t="shared" si="525"/>
        <v/>
      </c>
      <c r="I4824" s="31" t="str">
        <f>IF(OR(B4824="",C4824=""),"",IFERROR(E4824*IF(E4824="",0,VLOOKUP(C4824,'📦 Precios Proforma'!$B$5:$D$104,IF(D4824="DIA",2,3),FALSE)),0))</f>
        <v/>
      </c>
      <c r="J4824" s="31" t="str">
        <f t="shared" si="526"/>
        <v/>
      </c>
      <c r="K4824" s="31" t="str">
        <f t="shared" si="527"/>
        <v/>
      </c>
      <c r="L4824" s="31" t="str">
        <f>IF(OR(B4824="",C4824=""),"",IFERROR(E4824 / SUMIFS('📅 Resumen Diario'!$D$5:$D$504, '📅 Resumen Diario'!$B$5:$B$504, B4824, '📅 Resumen Diario'!$C$5:$C$504, D4824) * SUMIFS('📅 Resumen Diario'!$K$5:$K$504, '📅 Resumen Diario'!$B$5:$B$504, B4824, '📅 Resumen Diario'!$C$5:$C$504, D4824), 0))</f>
        <v/>
      </c>
      <c r="M4824" s="31" t="str">
        <f t="shared" si="528"/>
        <v/>
      </c>
      <c r="N4824" s="31" t="str">
        <f t="shared" si="529"/>
        <v/>
      </c>
      <c r="O4824" s="31" t="str">
        <f>IF(OR(B4824="",C4824=""),"",K4824-N4824 + IFERROR(E4824 / SUMIFS('📅 Resumen Diario'!$D$5:$D$504, '📅 Resumen Diario'!$B$5:$B$504, B4824, '📅 Resumen Diario'!$C$5:$C$504, D4824) * (SUMIFS('📋 Detalle Diario'!$E$5:$E$489, '📋 Detalle Diario'!$B$5:$B$489, B4824, '📋 Detalle Diario'!$C$5:$C$489, D4824) * 135 + SUMIFS('📋 Detalle Diario'!$I$5:$I$489, '📋 Detalle Diario'!$B$5:$B$489, B4824, '📋 Detalle Diario'!$C$5:$C$489, D4824) * 200), 0))</f>
        <v/>
      </c>
      <c r="P4824" s="32" t="str">
        <f t="shared" si="530"/>
        <v/>
      </c>
      <c r="Q4824" s="33" t="str">
        <f t="shared" si="531"/>
        <v/>
      </c>
    </row>
    <row r="4825" spans="2:17" ht="18" customHeight="1" x14ac:dyDescent="0.3">
      <c r="B4825" s="26"/>
      <c r="C4825" s="28"/>
      <c r="D4825" s="27"/>
      <c r="E4825" s="29"/>
      <c r="F4825" s="29"/>
      <c r="G4825" s="29"/>
      <c r="H4825" s="30" t="str">
        <f t="shared" si="525"/>
        <v/>
      </c>
      <c r="I4825" s="31" t="str">
        <f>IF(OR(B4825="",C4825=""),"",IFERROR(E4825*IF(E4825="",0,VLOOKUP(C4825,'📦 Precios Proforma'!$B$5:$D$104,IF(D4825="DIA",2,3),FALSE)),0))</f>
        <v/>
      </c>
      <c r="J4825" s="31" t="str">
        <f t="shared" si="526"/>
        <v/>
      </c>
      <c r="K4825" s="31" t="str">
        <f t="shared" si="527"/>
        <v/>
      </c>
      <c r="L4825" s="31" t="str">
        <f>IF(OR(B4825="",C4825=""),"",IFERROR(E4825 / SUMIFS('📅 Resumen Diario'!$D$5:$D$504, '📅 Resumen Diario'!$B$5:$B$504, B4825, '📅 Resumen Diario'!$C$5:$C$504, D4825) * SUMIFS('📅 Resumen Diario'!$K$5:$K$504, '📅 Resumen Diario'!$B$5:$B$504, B4825, '📅 Resumen Diario'!$C$5:$C$504, D4825), 0))</f>
        <v/>
      </c>
      <c r="M4825" s="31" t="str">
        <f t="shared" si="528"/>
        <v/>
      </c>
      <c r="N4825" s="31" t="str">
        <f t="shared" si="529"/>
        <v/>
      </c>
      <c r="O4825" s="31" t="str">
        <f>IF(OR(B4825="",C4825=""),"",K4825-N4825 + IFERROR(E4825 / SUMIFS('📅 Resumen Diario'!$D$5:$D$504, '📅 Resumen Diario'!$B$5:$B$504, B4825, '📅 Resumen Diario'!$C$5:$C$504, D4825) * (SUMIFS('📋 Detalle Diario'!$E$5:$E$489, '📋 Detalle Diario'!$B$5:$B$489, B4825, '📋 Detalle Diario'!$C$5:$C$489, D4825) * 135 + SUMIFS('📋 Detalle Diario'!$I$5:$I$489, '📋 Detalle Diario'!$B$5:$B$489, B4825, '📋 Detalle Diario'!$C$5:$C$489, D4825) * 200), 0))</f>
        <v/>
      </c>
      <c r="P4825" s="32" t="str">
        <f t="shared" si="530"/>
        <v/>
      </c>
      <c r="Q4825" s="33" t="str">
        <f t="shared" si="531"/>
        <v/>
      </c>
    </row>
    <row r="4826" spans="2:17" ht="18" customHeight="1" x14ac:dyDescent="0.3">
      <c r="B4826" s="26"/>
      <c r="C4826" s="17"/>
      <c r="D4826" s="27"/>
      <c r="E4826" s="18"/>
      <c r="F4826" s="18"/>
      <c r="G4826" s="18"/>
      <c r="H4826" s="30" t="str">
        <f t="shared" si="525"/>
        <v/>
      </c>
      <c r="I4826" s="31" t="str">
        <f>IF(OR(B4826="",C4826=""),"",IFERROR(E4826*IF(E4826="",0,VLOOKUP(C4826,'📦 Precios Proforma'!$B$5:$D$104,IF(D4826="DIA",2,3),FALSE)),0))</f>
        <v/>
      </c>
      <c r="J4826" s="31" t="str">
        <f t="shared" si="526"/>
        <v/>
      </c>
      <c r="K4826" s="31" t="str">
        <f t="shared" si="527"/>
        <v/>
      </c>
      <c r="L4826" s="31" t="str">
        <f>IF(OR(B4826="",C4826=""),"",IFERROR(E4826 / SUMIFS('📅 Resumen Diario'!$D$5:$D$504, '📅 Resumen Diario'!$B$5:$B$504, B4826, '📅 Resumen Diario'!$C$5:$C$504, D4826) * SUMIFS('📅 Resumen Diario'!$K$5:$K$504, '📅 Resumen Diario'!$B$5:$B$504, B4826, '📅 Resumen Diario'!$C$5:$C$504, D4826), 0))</f>
        <v/>
      </c>
      <c r="M4826" s="31" t="str">
        <f t="shared" si="528"/>
        <v/>
      </c>
      <c r="N4826" s="31" t="str">
        <f t="shared" si="529"/>
        <v/>
      </c>
      <c r="O4826" s="31" t="str">
        <f>IF(OR(B4826="",C4826=""),"",K4826-N4826 + IFERROR(E4826 / SUMIFS('📅 Resumen Diario'!$D$5:$D$504, '📅 Resumen Diario'!$B$5:$B$504, B4826, '📅 Resumen Diario'!$C$5:$C$504, D4826) * (SUMIFS('📋 Detalle Diario'!$E$5:$E$489, '📋 Detalle Diario'!$B$5:$B$489, B4826, '📋 Detalle Diario'!$C$5:$C$489, D4826) * 135 + SUMIFS('📋 Detalle Diario'!$I$5:$I$489, '📋 Detalle Diario'!$B$5:$B$489, B4826, '📋 Detalle Diario'!$C$5:$C$489, D4826) * 200), 0))</f>
        <v/>
      </c>
      <c r="P4826" s="32" t="str">
        <f t="shared" si="530"/>
        <v/>
      </c>
      <c r="Q4826" s="33" t="str">
        <f t="shared" si="531"/>
        <v/>
      </c>
    </row>
    <row r="4827" spans="2:17" ht="18" customHeight="1" x14ac:dyDescent="0.3">
      <c r="B4827" s="26"/>
      <c r="C4827" s="28"/>
      <c r="D4827" s="27"/>
      <c r="E4827" s="29"/>
      <c r="F4827" s="29"/>
      <c r="G4827" s="29"/>
      <c r="H4827" s="30" t="str">
        <f t="shared" si="525"/>
        <v/>
      </c>
      <c r="I4827" s="31" t="str">
        <f>IF(OR(B4827="",C4827=""),"",IFERROR(E4827*IF(E4827="",0,VLOOKUP(C4827,'📦 Precios Proforma'!$B$5:$D$104,IF(D4827="DIA",2,3),FALSE)),0))</f>
        <v/>
      </c>
      <c r="J4827" s="31" t="str">
        <f t="shared" si="526"/>
        <v/>
      </c>
      <c r="K4827" s="31" t="str">
        <f t="shared" si="527"/>
        <v/>
      </c>
      <c r="L4827" s="31" t="str">
        <f>IF(OR(B4827="",C4827=""),"",IFERROR(E4827 / SUMIFS('📅 Resumen Diario'!$D$5:$D$504, '📅 Resumen Diario'!$B$5:$B$504, B4827, '📅 Resumen Diario'!$C$5:$C$504, D4827) * SUMIFS('📅 Resumen Diario'!$K$5:$K$504, '📅 Resumen Diario'!$B$5:$B$504, B4827, '📅 Resumen Diario'!$C$5:$C$504, D4827), 0))</f>
        <v/>
      </c>
      <c r="M4827" s="31" t="str">
        <f t="shared" si="528"/>
        <v/>
      </c>
      <c r="N4827" s="31" t="str">
        <f t="shared" si="529"/>
        <v/>
      </c>
      <c r="O4827" s="31" t="str">
        <f>IF(OR(B4827="",C4827=""),"",K4827-N4827 + IFERROR(E4827 / SUMIFS('📅 Resumen Diario'!$D$5:$D$504, '📅 Resumen Diario'!$B$5:$B$504, B4827, '📅 Resumen Diario'!$C$5:$C$504, D4827) * (SUMIFS('📋 Detalle Diario'!$E$5:$E$489, '📋 Detalle Diario'!$B$5:$B$489, B4827, '📋 Detalle Diario'!$C$5:$C$489, D4827) * 135 + SUMIFS('📋 Detalle Diario'!$I$5:$I$489, '📋 Detalle Diario'!$B$5:$B$489, B4827, '📋 Detalle Diario'!$C$5:$C$489, D4827) * 200), 0))</f>
        <v/>
      </c>
      <c r="P4827" s="32" t="str">
        <f t="shared" si="530"/>
        <v/>
      </c>
      <c r="Q4827" s="33" t="str">
        <f t="shared" si="531"/>
        <v/>
      </c>
    </row>
    <row r="4828" spans="2:17" ht="18" customHeight="1" x14ac:dyDescent="0.3">
      <c r="B4828" s="26"/>
      <c r="C4828" s="17"/>
      <c r="D4828" s="27"/>
      <c r="E4828" s="18"/>
      <c r="F4828" s="18"/>
      <c r="G4828" s="18"/>
      <c r="H4828" s="30" t="str">
        <f t="shared" si="525"/>
        <v/>
      </c>
      <c r="I4828" s="31" t="str">
        <f>IF(OR(B4828="",C4828=""),"",IFERROR(E4828*IF(E4828="",0,VLOOKUP(C4828,'📦 Precios Proforma'!$B$5:$D$104,IF(D4828="DIA",2,3),FALSE)),0))</f>
        <v/>
      </c>
      <c r="J4828" s="31" t="str">
        <f t="shared" si="526"/>
        <v/>
      </c>
      <c r="K4828" s="31" t="str">
        <f t="shared" si="527"/>
        <v/>
      </c>
      <c r="L4828" s="31" t="str">
        <f>IF(OR(B4828="",C4828=""),"",IFERROR(E4828 / SUMIFS('📅 Resumen Diario'!$D$5:$D$504, '📅 Resumen Diario'!$B$5:$B$504, B4828, '📅 Resumen Diario'!$C$5:$C$504, D4828) * SUMIFS('📅 Resumen Diario'!$K$5:$K$504, '📅 Resumen Diario'!$B$5:$B$504, B4828, '📅 Resumen Diario'!$C$5:$C$504, D4828), 0))</f>
        <v/>
      </c>
      <c r="M4828" s="31" t="str">
        <f t="shared" si="528"/>
        <v/>
      </c>
      <c r="N4828" s="31" t="str">
        <f t="shared" si="529"/>
        <v/>
      </c>
      <c r="O4828" s="31" t="str">
        <f>IF(OR(B4828="",C4828=""),"",K4828-N4828 + IFERROR(E4828 / SUMIFS('📅 Resumen Diario'!$D$5:$D$504, '📅 Resumen Diario'!$B$5:$B$504, B4828, '📅 Resumen Diario'!$C$5:$C$504, D4828) * (SUMIFS('📋 Detalle Diario'!$E$5:$E$489, '📋 Detalle Diario'!$B$5:$B$489, B4828, '📋 Detalle Diario'!$C$5:$C$489, D4828) * 135 + SUMIFS('📋 Detalle Diario'!$I$5:$I$489, '📋 Detalle Diario'!$B$5:$B$489, B4828, '📋 Detalle Diario'!$C$5:$C$489, D4828) * 200), 0))</f>
        <v/>
      </c>
      <c r="P4828" s="32" t="str">
        <f t="shared" si="530"/>
        <v/>
      </c>
      <c r="Q4828" s="33" t="str">
        <f t="shared" si="531"/>
        <v/>
      </c>
    </row>
    <row r="4829" spans="2:17" ht="18" customHeight="1" x14ac:dyDescent="0.3">
      <c r="B4829" s="26"/>
      <c r="C4829" s="28"/>
      <c r="D4829" s="27"/>
      <c r="E4829" s="29"/>
      <c r="F4829" s="29"/>
      <c r="G4829" s="29"/>
      <c r="H4829" s="30" t="str">
        <f t="shared" si="525"/>
        <v/>
      </c>
      <c r="I4829" s="31" t="str">
        <f>IF(OR(B4829="",C4829=""),"",IFERROR(E4829*IF(E4829="",0,VLOOKUP(C4829,'📦 Precios Proforma'!$B$5:$D$104,IF(D4829="DIA",2,3),FALSE)),0))</f>
        <v/>
      </c>
      <c r="J4829" s="31" t="str">
        <f t="shared" si="526"/>
        <v/>
      </c>
      <c r="K4829" s="31" t="str">
        <f t="shared" si="527"/>
        <v/>
      </c>
      <c r="L4829" s="31" t="str">
        <f>IF(OR(B4829="",C4829=""),"",IFERROR(E4829 / SUMIFS('📅 Resumen Diario'!$D$5:$D$504, '📅 Resumen Diario'!$B$5:$B$504, B4829, '📅 Resumen Diario'!$C$5:$C$504, D4829) * SUMIFS('📅 Resumen Diario'!$K$5:$K$504, '📅 Resumen Diario'!$B$5:$B$504, B4829, '📅 Resumen Diario'!$C$5:$C$504, D4829), 0))</f>
        <v/>
      </c>
      <c r="M4829" s="31" t="str">
        <f t="shared" si="528"/>
        <v/>
      </c>
      <c r="N4829" s="31" t="str">
        <f t="shared" si="529"/>
        <v/>
      </c>
      <c r="O4829" s="31" t="str">
        <f>IF(OR(B4829="",C4829=""),"",K4829-N4829 + IFERROR(E4829 / SUMIFS('📅 Resumen Diario'!$D$5:$D$504, '📅 Resumen Diario'!$B$5:$B$504, B4829, '📅 Resumen Diario'!$C$5:$C$504, D4829) * (SUMIFS('📋 Detalle Diario'!$E$5:$E$489, '📋 Detalle Diario'!$B$5:$B$489, B4829, '📋 Detalle Diario'!$C$5:$C$489, D4829) * 135 + SUMIFS('📋 Detalle Diario'!$I$5:$I$489, '📋 Detalle Diario'!$B$5:$B$489, B4829, '📋 Detalle Diario'!$C$5:$C$489, D4829) * 200), 0))</f>
        <v/>
      </c>
      <c r="P4829" s="32" t="str">
        <f t="shared" si="530"/>
        <v/>
      </c>
      <c r="Q4829" s="33" t="str">
        <f t="shared" si="531"/>
        <v/>
      </c>
    </row>
    <row r="4830" spans="2:17" ht="18" customHeight="1" x14ac:dyDescent="0.3">
      <c r="B4830" s="26"/>
      <c r="C4830" s="17"/>
      <c r="D4830" s="27"/>
      <c r="E4830" s="18"/>
      <c r="F4830" s="18"/>
      <c r="G4830" s="18"/>
      <c r="H4830" s="30" t="str">
        <f t="shared" si="525"/>
        <v/>
      </c>
      <c r="I4830" s="31" t="str">
        <f>IF(OR(B4830="",C4830=""),"",IFERROR(E4830*IF(E4830="",0,VLOOKUP(C4830,'📦 Precios Proforma'!$B$5:$D$104,IF(D4830="DIA",2,3),FALSE)),0))</f>
        <v/>
      </c>
      <c r="J4830" s="31" t="str">
        <f t="shared" si="526"/>
        <v/>
      </c>
      <c r="K4830" s="31" t="str">
        <f t="shared" si="527"/>
        <v/>
      </c>
      <c r="L4830" s="31" t="str">
        <f>IF(OR(B4830="",C4830=""),"",IFERROR(E4830 / SUMIFS('📅 Resumen Diario'!$D$5:$D$504, '📅 Resumen Diario'!$B$5:$B$504, B4830, '📅 Resumen Diario'!$C$5:$C$504, D4830) * SUMIFS('📅 Resumen Diario'!$K$5:$K$504, '📅 Resumen Diario'!$B$5:$B$504, B4830, '📅 Resumen Diario'!$C$5:$C$504, D4830), 0))</f>
        <v/>
      </c>
      <c r="M4830" s="31" t="str">
        <f t="shared" si="528"/>
        <v/>
      </c>
      <c r="N4830" s="31" t="str">
        <f t="shared" si="529"/>
        <v/>
      </c>
      <c r="O4830" s="31" t="str">
        <f>IF(OR(B4830="",C4830=""),"",K4830-N4830 + IFERROR(E4830 / SUMIFS('📅 Resumen Diario'!$D$5:$D$504, '📅 Resumen Diario'!$B$5:$B$504, B4830, '📅 Resumen Diario'!$C$5:$C$504, D4830) * (SUMIFS('📋 Detalle Diario'!$E$5:$E$489, '📋 Detalle Diario'!$B$5:$B$489, B4830, '📋 Detalle Diario'!$C$5:$C$489, D4830) * 135 + SUMIFS('📋 Detalle Diario'!$I$5:$I$489, '📋 Detalle Diario'!$B$5:$B$489, B4830, '📋 Detalle Diario'!$C$5:$C$489, D4830) * 200), 0))</f>
        <v/>
      </c>
      <c r="P4830" s="32" t="str">
        <f t="shared" si="530"/>
        <v/>
      </c>
      <c r="Q4830" s="33" t="str">
        <f t="shared" si="531"/>
        <v/>
      </c>
    </row>
    <row r="4831" spans="2:17" ht="18" customHeight="1" x14ac:dyDescent="0.3">
      <c r="B4831" s="26"/>
      <c r="C4831" s="28"/>
      <c r="D4831" s="27"/>
      <c r="E4831" s="29"/>
      <c r="F4831" s="29"/>
      <c r="G4831" s="29"/>
      <c r="H4831" s="30" t="str">
        <f t="shared" si="525"/>
        <v/>
      </c>
      <c r="I4831" s="31" t="str">
        <f>IF(OR(B4831="",C4831=""),"",IFERROR(E4831*IF(E4831="",0,VLOOKUP(C4831,'📦 Precios Proforma'!$B$5:$D$104,IF(D4831="DIA",2,3),FALSE)),0))</f>
        <v/>
      </c>
      <c r="J4831" s="31" t="str">
        <f t="shared" si="526"/>
        <v/>
      </c>
      <c r="K4831" s="31" t="str">
        <f t="shared" si="527"/>
        <v/>
      </c>
      <c r="L4831" s="31" t="str">
        <f>IF(OR(B4831="",C4831=""),"",IFERROR(E4831 / SUMIFS('📅 Resumen Diario'!$D$5:$D$504, '📅 Resumen Diario'!$B$5:$B$504, B4831, '📅 Resumen Diario'!$C$5:$C$504, D4831) * SUMIFS('📅 Resumen Diario'!$K$5:$K$504, '📅 Resumen Diario'!$B$5:$B$504, B4831, '📅 Resumen Diario'!$C$5:$C$504, D4831), 0))</f>
        <v/>
      </c>
      <c r="M4831" s="31" t="str">
        <f t="shared" si="528"/>
        <v/>
      </c>
      <c r="N4831" s="31" t="str">
        <f t="shared" si="529"/>
        <v/>
      </c>
      <c r="O4831" s="31" t="str">
        <f>IF(OR(B4831="",C4831=""),"",K4831-N4831 + IFERROR(E4831 / SUMIFS('📅 Resumen Diario'!$D$5:$D$504, '📅 Resumen Diario'!$B$5:$B$504, B4831, '📅 Resumen Diario'!$C$5:$C$504, D4831) * (SUMIFS('📋 Detalle Diario'!$E$5:$E$489, '📋 Detalle Diario'!$B$5:$B$489, B4831, '📋 Detalle Diario'!$C$5:$C$489, D4831) * 135 + SUMIFS('📋 Detalle Diario'!$I$5:$I$489, '📋 Detalle Diario'!$B$5:$B$489, B4831, '📋 Detalle Diario'!$C$5:$C$489, D4831) * 200), 0))</f>
        <v/>
      </c>
      <c r="P4831" s="32" t="str">
        <f t="shared" si="530"/>
        <v/>
      </c>
      <c r="Q4831" s="33" t="str">
        <f t="shared" si="531"/>
        <v/>
      </c>
    </row>
    <row r="4832" spans="2:17" ht="18" customHeight="1" x14ac:dyDescent="0.3">
      <c r="B4832" s="26"/>
      <c r="C4832" s="17"/>
      <c r="D4832" s="27"/>
      <c r="E4832" s="18"/>
      <c r="F4832" s="18"/>
      <c r="G4832" s="18"/>
      <c r="H4832" s="30" t="str">
        <f t="shared" si="525"/>
        <v/>
      </c>
      <c r="I4832" s="31" t="str">
        <f>IF(OR(B4832="",C4832=""),"",IFERROR(E4832*IF(E4832="",0,VLOOKUP(C4832,'📦 Precios Proforma'!$B$5:$D$104,IF(D4832="DIA",2,3),FALSE)),0))</f>
        <v/>
      </c>
      <c r="J4832" s="31" t="str">
        <f t="shared" si="526"/>
        <v/>
      </c>
      <c r="K4832" s="31" t="str">
        <f t="shared" si="527"/>
        <v/>
      </c>
      <c r="L4832" s="31" t="str">
        <f>IF(OR(B4832="",C4832=""),"",IFERROR(E4832 / SUMIFS('📅 Resumen Diario'!$D$5:$D$504, '📅 Resumen Diario'!$B$5:$B$504, B4832, '📅 Resumen Diario'!$C$5:$C$504, D4832) * SUMIFS('📅 Resumen Diario'!$K$5:$K$504, '📅 Resumen Diario'!$B$5:$B$504, B4832, '📅 Resumen Diario'!$C$5:$C$504, D4832), 0))</f>
        <v/>
      </c>
      <c r="M4832" s="31" t="str">
        <f t="shared" si="528"/>
        <v/>
      </c>
      <c r="N4832" s="31" t="str">
        <f t="shared" si="529"/>
        <v/>
      </c>
      <c r="O4832" s="31" t="str">
        <f>IF(OR(B4832="",C4832=""),"",K4832-N4832 + IFERROR(E4832 / SUMIFS('📅 Resumen Diario'!$D$5:$D$504, '📅 Resumen Diario'!$B$5:$B$504, B4832, '📅 Resumen Diario'!$C$5:$C$504, D4832) * (SUMIFS('📋 Detalle Diario'!$E$5:$E$489, '📋 Detalle Diario'!$B$5:$B$489, B4832, '📋 Detalle Diario'!$C$5:$C$489, D4832) * 135 + SUMIFS('📋 Detalle Diario'!$I$5:$I$489, '📋 Detalle Diario'!$B$5:$B$489, B4832, '📋 Detalle Diario'!$C$5:$C$489, D4832) * 200), 0))</f>
        <v/>
      </c>
      <c r="P4832" s="32" t="str">
        <f t="shared" si="530"/>
        <v/>
      </c>
      <c r="Q4832" s="33" t="str">
        <f t="shared" si="531"/>
        <v/>
      </c>
    </row>
    <row r="4833" spans="2:17" ht="18" customHeight="1" x14ac:dyDescent="0.3">
      <c r="B4833" s="26"/>
      <c r="C4833" s="28"/>
      <c r="D4833" s="27"/>
      <c r="E4833" s="29"/>
      <c r="F4833" s="29"/>
      <c r="G4833" s="29"/>
      <c r="H4833" s="30" t="str">
        <f t="shared" si="525"/>
        <v/>
      </c>
      <c r="I4833" s="31" t="str">
        <f>IF(OR(B4833="",C4833=""),"",IFERROR(E4833*IF(E4833="",0,VLOOKUP(C4833,'📦 Precios Proforma'!$B$5:$D$104,IF(D4833="DIA",2,3),FALSE)),0))</f>
        <v/>
      </c>
      <c r="J4833" s="31" t="str">
        <f t="shared" si="526"/>
        <v/>
      </c>
      <c r="K4833" s="31" t="str">
        <f t="shared" si="527"/>
        <v/>
      </c>
      <c r="L4833" s="31" t="str">
        <f>IF(OR(B4833="",C4833=""),"",IFERROR(E4833 / SUMIFS('📅 Resumen Diario'!$D$5:$D$504, '📅 Resumen Diario'!$B$5:$B$504, B4833, '📅 Resumen Diario'!$C$5:$C$504, D4833) * SUMIFS('📅 Resumen Diario'!$K$5:$K$504, '📅 Resumen Diario'!$B$5:$B$504, B4833, '📅 Resumen Diario'!$C$5:$C$504, D4833), 0))</f>
        <v/>
      </c>
      <c r="M4833" s="31" t="str">
        <f t="shared" si="528"/>
        <v/>
      </c>
      <c r="N4833" s="31" t="str">
        <f t="shared" si="529"/>
        <v/>
      </c>
      <c r="O4833" s="31" t="str">
        <f>IF(OR(B4833="",C4833=""),"",K4833-N4833 + IFERROR(E4833 / SUMIFS('📅 Resumen Diario'!$D$5:$D$504, '📅 Resumen Diario'!$B$5:$B$504, B4833, '📅 Resumen Diario'!$C$5:$C$504, D4833) * (SUMIFS('📋 Detalle Diario'!$E$5:$E$489, '📋 Detalle Diario'!$B$5:$B$489, B4833, '📋 Detalle Diario'!$C$5:$C$489, D4833) * 135 + SUMIFS('📋 Detalle Diario'!$I$5:$I$489, '📋 Detalle Diario'!$B$5:$B$489, B4833, '📋 Detalle Diario'!$C$5:$C$489, D4833) * 200), 0))</f>
        <v/>
      </c>
      <c r="P4833" s="32" t="str">
        <f t="shared" si="530"/>
        <v/>
      </c>
      <c r="Q4833" s="33" t="str">
        <f t="shared" si="531"/>
        <v/>
      </c>
    </row>
    <row r="4834" spans="2:17" ht="18" customHeight="1" x14ac:dyDescent="0.3">
      <c r="B4834" s="26"/>
      <c r="C4834" s="17"/>
      <c r="D4834" s="27"/>
      <c r="E4834" s="18"/>
      <c r="F4834" s="18"/>
      <c r="G4834" s="18"/>
      <c r="H4834" s="30" t="str">
        <f t="shared" si="525"/>
        <v/>
      </c>
      <c r="I4834" s="31" t="str">
        <f>IF(OR(B4834="",C4834=""),"",IFERROR(E4834*IF(E4834="",0,VLOOKUP(C4834,'📦 Precios Proforma'!$B$5:$D$104,IF(D4834="DIA",2,3),FALSE)),0))</f>
        <v/>
      </c>
      <c r="J4834" s="31" t="str">
        <f t="shared" si="526"/>
        <v/>
      </c>
      <c r="K4834" s="31" t="str">
        <f t="shared" si="527"/>
        <v/>
      </c>
      <c r="L4834" s="31" t="str">
        <f>IF(OR(B4834="",C4834=""),"",IFERROR(E4834 / SUMIFS('📅 Resumen Diario'!$D$5:$D$504, '📅 Resumen Diario'!$B$5:$B$504, B4834, '📅 Resumen Diario'!$C$5:$C$504, D4834) * SUMIFS('📅 Resumen Diario'!$K$5:$K$504, '📅 Resumen Diario'!$B$5:$B$504, B4834, '📅 Resumen Diario'!$C$5:$C$504, D4834), 0))</f>
        <v/>
      </c>
      <c r="M4834" s="31" t="str">
        <f t="shared" si="528"/>
        <v/>
      </c>
      <c r="N4834" s="31" t="str">
        <f t="shared" si="529"/>
        <v/>
      </c>
      <c r="O4834" s="31" t="str">
        <f>IF(OR(B4834="",C4834=""),"",K4834-N4834 + IFERROR(E4834 / SUMIFS('📅 Resumen Diario'!$D$5:$D$504, '📅 Resumen Diario'!$B$5:$B$504, B4834, '📅 Resumen Diario'!$C$5:$C$504, D4834) * (SUMIFS('📋 Detalle Diario'!$E$5:$E$489, '📋 Detalle Diario'!$B$5:$B$489, B4834, '📋 Detalle Diario'!$C$5:$C$489, D4834) * 135 + SUMIFS('📋 Detalle Diario'!$I$5:$I$489, '📋 Detalle Diario'!$B$5:$B$489, B4834, '📋 Detalle Diario'!$C$5:$C$489, D4834) * 200), 0))</f>
        <v/>
      </c>
      <c r="P4834" s="32" t="str">
        <f t="shared" si="530"/>
        <v/>
      </c>
      <c r="Q4834" s="33" t="str">
        <f t="shared" si="531"/>
        <v/>
      </c>
    </row>
    <row r="4835" spans="2:17" ht="18" customHeight="1" x14ac:dyDescent="0.3">
      <c r="B4835" s="26"/>
      <c r="C4835" s="28"/>
      <c r="D4835" s="27"/>
      <c r="E4835" s="29"/>
      <c r="F4835" s="29"/>
      <c r="G4835" s="29"/>
      <c r="H4835" s="30" t="str">
        <f t="shared" si="525"/>
        <v/>
      </c>
      <c r="I4835" s="31" t="str">
        <f>IF(OR(B4835="",C4835=""),"",IFERROR(E4835*IF(E4835="",0,VLOOKUP(C4835,'📦 Precios Proforma'!$B$5:$D$104,IF(D4835="DIA",2,3),FALSE)),0))</f>
        <v/>
      </c>
      <c r="J4835" s="31" t="str">
        <f t="shared" si="526"/>
        <v/>
      </c>
      <c r="K4835" s="31" t="str">
        <f t="shared" si="527"/>
        <v/>
      </c>
      <c r="L4835" s="31" t="str">
        <f>IF(OR(B4835="",C4835=""),"",IFERROR(E4835 / SUMIFS('📅 Resumen Diario'!$D$5:$D$504, '📅 Resumen Diario'!$B$5:$B$504, B4835, '📅 Resumen Diario'!$C$5:$C$504, D4835) * SUMIFS('📅 Resumen Diario'!$K$5:$K$504, '📅 Resumen Diario'!$B$5:$B$504, B4835, '📅 Resumen Diario'!$C$5:$C$504, D4835), 0))</f>
        <v/>
      </c>
      <c r="M4835" s="31" t="str">
        <f t="shared" si="528"/>
        <v/>
      </c>
      <c r="N4835" s="31" t="str">
        <f t="shared" si="529"/>
        <v/>
      </c>
      <c r="O4835" s="31" t="str">
        <f>IF(OR(B4835="",C4835=""),"",K4835-N4835 + IFERROR(E4835 / SUMIFS('📅 Resumen Diario'!$D$5:$D$504, '📅 Resumen Diario'!$B$5:$B$504, B4835, '📅 Resumen Diario'!$C$5:$C$504, D4835) * (SUMIFS('📋 Detalle Diario'!$E$5:$E$489, '📋 Detalle Diario'!$B$5:$B$489, B4835, '📋 Detalle Diario'!$C$5:$C$489, D4835) * 135 + SUMIFS('📋 Detalle Diario'!$I$5:$I$489, '📋 Detalle Diario'!$B$5:$B$489, B4835, '📋 Detalle Diario'!$C$5:$C$489, D4835) * 200), 0))</f>
        <v/>
      </c>
      <c r="P4835" s="32" t="str">
        <f t="shared" si="530"/>
        <v/>
      </c>
      <c r="Q4835" s="33" t="str">
        <f t="shared" si="531"/>
        <v/>
      </c>
    </row>
    <row r="4836" spans="2:17" ht="18" customHeight="1" x14ac:dyDescent="0.3">
      <c r="B4836" s="26"/>
      <c r="C4836" s="17"/>
      <c r="D4836" s="27"/>
      <c r="E4836" s="18"/>
      <c r="F4836" s="18"/>
      <c r="G4836" s="18"/>
      <c r="H4836" s="30" t="str">
        <f t="shared" si="525"/>
        <v/>
      </c>
      <c r="I4836" s="31" t="str">
        <f>IF(OR(B4836="",C4836=""),"",IFERROR(E4836*IF(E4836="",0,VLOOKUP(C4836,'📦 Precios Proforma'!$B$5:$D$104,IF(D4836="DIA",2,3),FALSE)),0))</f>
        <v/>
      </c>
      <c r="J4836" s="31" t="str">
        <f t="shared" si="526"/>
        <v/>
      </c>
      <c r="K4836" s="31" t="str">
        <f t="shared" si="527"/>
        <v/>
      </c>
      <c r="L4836" s="31" t="str">
        <f>IF(OR(B4836="",C4836=""),"",IFERROR(E4836 / SUMIFS('📅 Resumen Diario'!$D$5:$D$504, '📅 Resumen Diario'!$B$5:$B$504, B4836, '📅 Resumen Diario'!$C$5:$C$504, D4836) * SUMIFS('📅 Resumen Diario'!$K$5:$K$504, '📅 Resumen Diario'!$B$5:$B$504, B4836, '📅 Resumen Diario'!$C$5:$C$504, D4836), 0))</f>
        <v/>
      </c>
      <c r="M4836" s="31" t="str">
        <f t="shared" si="528"/>
        <v/>
      </c>
      <c r="N4836" s="31" t="str">
        <f t="shared" si="529"/>
        <v/>
      </c>
      <c r="O4836" s="31" t="str">
        <f>IF(OR(B4836="",C4836=""),"",K4836-N4836 + IFERROR(E4836 / SUMIFS('📅 Resumen Diario'!$D$5:$D$504, '📅 Resumen Diario'!$B$5:$B$504, B4836, '📅 Resumen Diario'!$C$5:$C$504, D4836) * (SUMIFS('📋 Detalle Diario'!$E$5:$E$489, '📋 Detalle Diario'!$B$5:$B$489, B4836, '📋 Detalle Diario'!$C$5:$C$489, D4836) * 135 + SUMIFS('📋 Detalle Diario'!$I$5:$I$489, '📋 Detalle Diario'!$B$5:$B$489, B4836, '📋 Detalle Diario'!$C$5:$C$489, D4836) * 200), 0))</f>
        <v/>
      </c>
      <c r="P4836" s="32" t="str">
        <f t="shared" si="530"/>
        <v/>
      </c>
      <c r="Q4836" s="33" t="str">
        <f t="shared" si="531"/>
        <v/>
      </c>
    </row>
    <row r="4837" spans="2:17" ht="18" customHeight="1" x14ac:dyDescent="0.3">
      <c r="B4837" s="26"/>
      <c r="C4837" s="28"/>
      <c r="D4837" s="27"/>
      <c r="E4837" s="29"/>
      <c r="F4837" s="29"/>
      <c r="G4837" s="29"/>
      <c r="H4837" s="30" t="str">
        <f t="shared" si="525"/>
        <v/>
      </c>
      <c r="I4837" s="31" t="str">
        <f>IF(OR(B4837="",C4837=""),"",IFERROR(E4837*IF(E4837="",0,VLOOKUP(C4837,'📦 Precios Proforma'!$B$5:$D$104,IF(D4837="DIA",2,3),FALSE)),0))</f>
        <v/>
      </c>
      <c r="J4837" s="31" t="str">
        <f t="shared" si="526"/>
        <v/>
      </c>
      <c r="K4837" s="31" t="str">
        <f t="shared" si="527"/>
        <v/>
      </c>
      <c r="L4837" s="31" t="str">
        <f>IF(OR(B4837="",C4837=""),"",IFERROR(E4837 / SUMIFS('📅 Resumen Diario'!$D$5:$D$504, '📅 Resumen Diario'!$B$5:$B$504, B4837, '📅 Resumen Diario'!$C$5:$C$504, D4837) * SUMIFS('📅 Resumen Diario'!$K$5:$K$504, '📅 Resumen Diario'!$B$5:$B$504, B4837, '📅 Resumen Diario'!$C$5:$C$504, D4837), 0))</f>
        <v/>
      </c>
      <c r="M4837" s="31" t="str">
        <f t="shared" si="528"/>
        <v/>
      </c>
      <c r="N4837" s="31" t="str">
        <f t="shared" si="529"/>
        <v/>
      </c>
      <c r="O4837" s="31" t="str">
        <f>IF(OR(B4837="",C4837=""),"",K4837-N4837 + IFERROR(E4837 / SUMIFS('📅 Resumen Diario'!$D$5:$D$504, '📅 Resumen Diario'!$B$5:$B$504, B4837, '📅 Resumen Diario'!$C$5:$C$504, D4837) * (SUMIFS('📋 Detalle Diario'!$E$5:$E$489, '📋 Detalle Diario'!$B$5:$B$489, B4837, '📋 Detalle Diario'!$C$5:$C$489, D4837) * 135 + SUMIFS('📋 Detalle Diario'!$I$5:$I$489, '📋 Detalle Diario'!$B$5:$B$489, B4837, '📋 Detalle Diario'!$C$5:$C$489, D4837) * 200), 0))</f>
        <v/>
      </c>
      <c r="P4837" s="32" t="str">
        <f t="shared" si="530"/>
        <v/>
      </c>
      <c r="Q4837" s="33" t="str">
        <f t="shared" si="531"/>
        <v/>
      </c>
    </row>
    <row r="4838" spans="2:17" ht="18" customHeight="1" x14ac:dyDescent="0.3">
      <c r="B4838" s="26"/>
      <c r="C4838" s="17"/>
      <c r="D4838" s="27"/>
      <c r="E4838" s="18"/>
      <c r="F4838" s="18"/>
      <c r="G4838" s="18"/>
      <c r="H4838" s="30" t="str">
        <f t="shared" si="525"/>
        <v/>
      </c>
      <c r="I4838" s="31" t="str">
        <f>IF(OR(B4838="",C4838=""),"",IFERROR(E4838*IF(E4838="",0,VLOOKUP(C4838,'📦 Precios Proforma'!$B$5:$D$104,IF(D4838="DIA",2,3),FALSE)),0))</f>
        <v/>
      </c>
      <c r="J4838" s="31" t="str">
        <f t="shared" si="526"/>
        <v/>
      </c>
      <c r="K4838" s="31" t="str">
        <f t="shared" si="527"/>
        <v/>
      </c>
      <c r="L4838" s="31" t="str">
        <f>IF(OR(B4838="",C4838=""),"",IFERROR(E4838 / SUMIFS('📅 Resumen Diario'!$D$5:$D$504, '📅 Resumen Diario'!$B$5:$B$504, B4838, '📅 Resumen Diario'!$C$5:$C$504, D4838) * SUMIFS('📅 Resumen Diario'!$K$5:$K$504, '📅 Resumen Diario'!$B$5:$B$504, B4838, '📅 Resumen Diario'!$C$5:$C$504, D4838), 0))</f>
        <v/>
      </c>
      <c r="M4838" s="31" t="str">
        <f t="shared" si="528"/>
        <v/>
      </c>
      <c r="N4838" s="31" t="str">
        <f t="shared" si="529"/>
        <v/>
      </c>
      <c r="O4838" s="31" t="str">
        <f>IF(OR(B4838="",C4838=""),"",K4838-N4838 + IFERROR(E4838 / SUMIFS('📅 Resumen Diario'!$D$5:$D$504, '📅 Resumen Diario'!$B$5:$B$504, B4838, '📅 Resumen Diario'!$C$5:$C$504, D4838) * (SUMIFS('📋 Detalle Diario'!$E$5:$E$489, '📋 Detalle Diario'!$B$5:$B$489, B4838, '📋 Detalle Diario'!$C$5:$C$489, D4838) * 135 + SUMIFS('📋 Detalle Diario'!$I$5:$I$489, '📋 Detalle Diario'!$B$5:$B$489, B4838, '📋 Detalle Diario'!$C$5:$C$489, D4838) * 200), 0))</f>
        <v/>
      </c>
      <c r="P4838" s="32" t="str">
        <f t="shared" si="530"/>
        <v/>
      </c>
      <c r="Q4838" s="33" t="str">
        <f t="shared" si="531"/>
        <v/>
      </c>
    </row>
    <row r="4839" spans="2:17" ht="18" customHeight="1" x14ac:dyDescent="0.3">
      <c r="B4839" s="26"/>
      <c r="C4839" s="28"/>
      <c r="D4839" s="27"/>
      <c r="E4839" s="29"/>
      <c r="F4839" s="29"/>
      <c r="G4839" s="29"/>
      <c r="H4839" s="30" t="str">
        <f t="shared" si="525"/>
        <v/>
      </c>
      <c r="I4839" s="31" t="str">
        <f>IF(OR(B4839="",C4839=""),"",IFERROR(E4839*IF(E4839="",0,VLOOKUP(C4839,'📦 Precios Proforma'!$B$5:$D$104,IF(D4839="DIA",2,3),FALSE)),0))</f>
        <v/>
      </c>
      <c r="J4839" s="31" t="str">
        <f t="shared" si="526"/>
        <v/>
      </c>
      <c r="K4839" s="31" t="str">
        <f t="shared" si="527"/>
        <v/>
      </c>
      <c r="L4839" s="31" t="str">
        <f>IF(OR(B4839="",C4839=""),"",IFERROR(E4839 / SUMIFS('📅 Resumen Diario'!$D$5:$D$504, '📅 Resumen Diario'!$B$5:$B$504, B4839, '📅 Resumen Diario'!$C$5:$C$504, D4839) * SUMIFS('📅 Resumen Diario'!$K$5:$K$504, '📅 Resumen Diario'!$B$5:$B$504, B4839, '📅 Resumen Diario'!$C$5:$C$504, D4839), 0))</f>
        <v/>
      </c>
      <c r="M4839" s="31" t="str">
        <f t="shared" si="528"/>
        <v/>
      </c>
      <c r="N4839" s="31" t="str">
        <f t="shared" si="529"/>
        <v/>
      </c>
      <c r="O4839" s="31" t="str">
        <f>IF(OR(B4839="",C4839=""),"",K4839-N4839 + IFERROR(E4839 / SUMIFS('📅 Resumen Diario'!$D$5:$D$504, '📅 Resumen Diario'!$B$5:$B$504, B4839, '📅 Resumen Diario'!$C$5:$C$504, D4839) * (SUMIFS('📋 Detalle Diario'!$E$5:$E$489, '📋 Detalle Diario'!$B$5:$B$489, B4839, '📋 Detalle Diario'!$C$5:$C$489, D4839) * 135 + SUMIFS('📋 Detalle Diario'!$I$5:$I$489, '📋 Detalle Diario'!$B$5:$B$489, B4839, '📋 Detalle Diario'!$C$5:$C$489, D4839) * 200), 0))</f>
        <v/>
      </c>
      <c r="P4839" s="32" t="str">
        <f t="shared" si="530"/>
        <v/>
      </c>
      <c r="Q4839" s="33" t="str">
        <f t="shared" si="531"/>
        <v/>
      </c>
    </row>
    <row r="4840" spans="2:17" ht="18" customHeight="1" x14ac:dyDescent="0.3">
      <c r="B4840" s="26"/>
      <c r="C4840" s="17"/>
      <c r="D4840" s="27"/>
      <c r="E4840" s="18"/>
      <c r="F4840" s="18"/>
      <c r="G4840" s="18"/>
      <c r="H4840" s="30" t="str">
        <f t="shared" si="525"/>
        <v/>
      </c>
      <c r="I4840" s="31" t="str">
        <f>IF(OR(B4840="",C4840=""),"",IFERROR(E4840*IF(E4840="",0,VLOOKUP(C4840,'📦 Precios Proforma'!$B$5:$D$104,IF(D4840="DIA",2,3),FALSE)),0))</f>
        <v/>
      </c>
      <c r="J4840" s="31" t="str">
        <f t="shared" si="526"/>
        <v/>
      </c>
      <c r="K4840" s="31" t="str">
        <f t="shared" si="527"/>
        <v/>
      </c>
      <c r="L4840" s="31" t="str">
        <f>IF(OR(B4840="",C4840=""),"",IFERROR(E4840 / SUMIFS('📅 Resumen Diario'!$D$5:$D$504, '📅 Resumen Diario'!$B$5:$B$504, B4840, '📅 Resumen Diario'!$C$5:$C$504, D4840) * SUMIFS('📅 Resumen Diario'!$K$5:$K$504, '📅 Resumen Diario'!$B$5:$B$504, B4840, '📅 Resumen Diario'!$C$5:$C$504, D4840), 0))</f>
        <v/>
      </c>
      <c r="M4840" s="31" t="str">
        <f t="shared" si="528"/>
        <v/>
      </c>
      <c r="N4840" s="31" t="str">
        <f t="shared" si="529"/>
        <v/>
      </c>
      <c r="O4840" s="31" t="str">
        <f>IF(OR(B4840="",C4840=""),"",K4840-N4840 + IFERROR(E4840 / SUMIFS('📅 Resumen Diario'!$D$5:$D$504, '📅 Resumen Diario'!$B$5:$B$504, B4840, '📅 Resumen Diario'!$C$5:$C$504, D4840) * (SUMIFS('📋 Detalle Diario'!$E$5:$E$489, '📋 Detalle Diario'!$B$5:$B$489, B4840, '📋 Detalle Diario'!$C$5:$C$489, D4840) * 135 + SUMIFS('📋 Detalle Diario'!$I$5:$I$489, '📋 Detalle Diario'!$B$5:$B$489, B4840, '📋 Detalle Diario'!$C$5:$C$489, D4840) * 200), 0))</f>
        <v/>
      </c>
      <c r="P4840" s="32" t="str">
        <f t="shared" si="530"/>
        <v/>
      </c>
      <c r="Q4840" s="33" t="str">
        <f t="shared" si="531"/>
        <v/>
      </c>
    </row>
    <row r="4841" spans="2:17" ht="18" customHeight="1" x14ac:dyDescent="0.3">
      <c r="B4841" s="26"/>
      <c r="C4841" s="28"/>
      <c r="D4841" s="27"/>
      <c r="E4841" s="29"/>
      <c r="F4841" s="29"/>
      <c r="G4841" s="29"/>
      <c r="H4841" s="30" t="str">
        <f t="shared" si="525"/>
        <v/>
      </c>
      <c r="I4841" s="31" t="str">
        <f>IF(OR(B4841="",C4841=""),"",IFERROR(E4841*IF(E4841="",0,VLOOKUP(C4841,'📦 Precios Proforma'!$B$5:$D$104,IF(D4841="DIA",2,3),FALSE)),0))</f>
        <v/>
      </c>
      <c r="J4841" s="31" t="str">
        <f t="shared" si="526"/>
        <v/>
      </c>
      <c r="K4841" s="31" t="str">
        <f t="shared" si="527"/>
        <v/>
      </c>
      <c r="L4841" s="31" t="str">
        <f>IF(OR(B4841="",C4841=""),"",IFERROR(E4841 / SUMIFS('📅 Resumen Diario'!$D$5:$D$504, '📅 Resumen Diario'!$B$5:$B$504, B4841, '📅 Resumen Diario'!$C$5:$C$504, D4841) * SUMIFS('📅 Resumen Diario'!$K$5:$K$504, '📅 Resumen Diario'!$B$5:$B$504, B4841, '📅 Resumen Diario'!$C$5:$C$504, D4841), 0))</f>
        <v/>
      </c>
      <c r="M4841" s="31" t="str">
        <f t="shared" si="528"/>
        <v/>
      </c>
      <c r="N4841" s="31" t="str">
        <f t="shared" si="529"/>
        <v/>
      </c>
      <c r="O4841" s="31" t="str">
        <f>IF(OR(B4841="",C4841=""),"",K4841-N4841 + IFERROR(E4841 / SUMIFS('📅 Resumen Diario'!$D$5:$D$504, '📅 Resumen Diario'!$B$5:$B$504, B4841, '📅 Resumen Diario'!$C$5:$C$504, D4841) * (SUMIFS('📋 Detalle Diario'!$E$5:$E$489, '📋 Detalle Diario'!$B$5:$B$489, B4841, '📋 Detalle Diario'!$C$5:$C$489, D4841) * 135 + SUMIFS('📋 Detalle Diario'!$I$5:$I$489, '📋 Detalle Diario'!$B$5:$B$489, B4841, '📋 Detalle Diario'!$C$5:$C$489, D4841) * 200), 0))</f>
        <v/>
      </c>
      <c r="P4841" s="32" t="str">
        <f t="shared" si="530"/>
        <v/>
      </c>
      <c r="Q4841" s="33" t="str">
        <f t="shared" si="531"/>
        <v/>
      </c>
    </row>
    <row r="4842" spans="2:17" ht="18" customHeight="1" x14ac:dyDescent="0.3">
      <c r="B4842" s="26"/>
      <c r="C4842" s="17"/>
      <c r="D4842" s="27"/>
      <c r="E4842" s="18"/>
      <c r="F4842" s="18"/>
      <c r="G4842" s="18"/>
      <c r="H4842" s="30" t="str">
        <f t="shared" si="525"/>
        <v/>
      </c>
      <c r="I4842" s="31" t="str">
        <f>IF(OR(B4842="",C4842=""),"",IFERROR(E4842*IF(E4842="",0,VLOOKUP(C4842,'📦 Precios Proforma'!$B$5:$D$104,IF(D4842="DIA",2,3),FALSE)),0))</f>
        <v/>
      </c>
      <c r="J4842" s="31" t="str">
        <f t="shared" si="526"/>
        <v/>
      </c>
      <c r="K4842" s="31" t="str">
        <f t="shared" si="527"/>
        <v/>
      </c>
      <c r="L4842" s="31" t="str">
        <f>IF(OR(B4842="",C4842=""),"",IFERROR(E4842 / SUMIFS('📅 Resumen Diario'!$D$5:$D$504, '📅 Resumen Diario'!$B$5:$B$504, B4842, '📅 Resumen Diario'!$C$5:$C$504, D4842) * SUMIFS('📅 Resumen Diario'!$K$5:$K$504, '📅 Resumen Diario'!$B$5:$B$504, B4842, '📅 Resumen Diario'!$C$5:$C$504, D4842), 0))</f>
        <v/>
      </c>
      <c r="M4842" s="31" t="str">
        <f t="shared" si="528"/>
        <v/>
      </c>
      <c r="N4842" s="31" t="str">
        <f t="shared" si="529"/>
        <v/>
      </c>
      <c r="O4842" s="31" t="str">
        <f>IF(OR(B4842="",C4842=""),"",K4842-N4842 + IFERROR(E4842 / SUMIFS('📅 Resumen Diario'!$D$5:$D$504, '📅 Resumen Diario'!$B$5:$B$504, B4842, '📅 Resumen Diario'!$C$5:$C$504, D4842) * (SUMIFS('📋 Detalle Diario'!$E$5:$E$489, '📋 Detalle Diario'!$B$5:$B$489, B4842, '📋 Detalle Diario'!$C$5:$C$489, D4842) * 135 + SUMIFS('📋 Detalle Diario'!$I$5:$I$489, '📋 Detalle Diario'!$B$5:$B$489, B4842, '📋 Detalle Diario'!$C$5:$C$489, D4842) * 200), 0))</f>
        <v/>
      </c>
      <c r="P4842" s="32" t="str">
        <f t="shared" si="530"/>
        <v/>
      </c>
      <c r="Q4842" s="33" t="str">
        <f t="shared" si="531"/>
        <v/>
      </c>
    </row>
    <row r="4843" spans="2:17" ht="18" customHeight="1" x14ac:dyDescent="0.3">
      <c r="B4843" s="26"/>
      <c r="C4843" s="28"/>
      <c r="D4843" s="27"/>
      <c r="E4843" s="29"/>
      <c r="F4843" s="29"/>
      <c r="G4843" s="29"/>
      <c r="H4843" s="30" t="str">
        <f t="shared" si="525"/>
        <v/>
      </c>
      <c r="I4843" s="31" t="str">
        <f>IF(OR(B4843="",C4843=""),"",IFERROR(E4843*IF(E4843="",0,VLOOKUP(C4843,'📦 Precios Proforma'!$B$5:$D$104,IF(D4843="DIA",2,3),FALSE)),0))</f>
        <v/>
      </c>
      <c r="J4843" s="31" t="str">
        <f t="shared" si="526"/>
        <v/>
      </c>
      <c r="K4843" s="31" t="str">
        <f t="shared" si="527"/>
        <v/>
      </c>
      <c r="L4843" s="31" t="str">
        <f>IF(OR(B4843="",C4843=""),"",IFERROR(E4843 / SUMIFS('📅 Resumen Diario'!$D$5:$D$504, '📅 Resumen Diario'!$B$5:$B$504, B4843, '📅 Resumen Diario'!$C$5:$C$504, D4843) * SUMIFS('📅 Resumen Diario'!$K$5:$K$504, '📅 Resumen Diario'!$B$5:$B$504, B4843, '📅 Resumen Diario'!$C$5:$C$504, D4843), 0))</f>
        <v/>
      </c>
      <c r="M4843" s="31" t="str">
        <f t="shared" si="528"/>
        <v/>
      </c>
      <c r="N4843" s="31" t="str">
        <f t="shared" si="529"/>
        <v/>
      </c>
      <c r="O4843" s="31" t="str">
        <f>IF(OR(B4843="",C4843=""),"",K4843-N4843 + IFERROR(E4843 / SUMIFS('📅 Resumen Diario'!$D$5:$D$504, '📅 Resumen Diario'!$B$5:$B$504, B4843, '📅 Resumen Diario'!$C$5:$C$504, D4843) * (SUMIFS('📋 Detalle Diario'!$E$5:$E$489, '📋 Detalle Diario'!$B$5:$B$489, B4843, '📋 Detalle Diario'!$C$5:$C$489, D4843) * 135 + SUMIFS('📋 Detalle Diario'!$I$5:$I$489, '📋 Detalle Diario'!$B$5:$B$489, B4843, '📋 Detalle Diario'!$C$5:$C$489, D4843) * 200), 0))</f>
        <v/>
      </c>
      <c r="P4843" s="32" t="str">
        <f t="shared" si="530"/>
        <v/>
      </c>
      <c r="Q4843" s="33" t="str">
        <f t="shared" si="531"/>
        <v/>
      </c>
    </row>
    <row r="4844" spans="2:17" ht="18" customHeight="1" x14ac:dyDescent="0.3">
      <c r="B4844" s="26"/>
      <c r="C4844" s="17"/>
      <c r="D4844" s="27"/>
      <c r="E4844" s="18"/>
      <c r="F4844" s="18"/>
      <c r="G4844" s="18"/>
      <c r="H4844" s="30" t="str">
        <f t="shared" si="525"/>
        <v/>
      </c>
      <c r="I4844" s="31" t="str">
        <f>IF(OR(B4844="",C4844=""),"",IFERROR(E4844*IF(E4844="",0,VLOOKUP(C4844,'📦 Precios Proforma'!$B$5:$D$104,IF(D4844="DIA",2,3),FALSE)),0))</f>
        <v/>
      </c>
      <c r="J4844" s="31" t="str">
        <f t="shared" si="526"/>
        <v/>
      </c>
      <c r="K4844" s="31" t="str">
        <f t="shared" si="527"/>
        <v/>
      </c>
      <c r="L4844" s="31" t="str">
        <f>IF(OR(B4844="",C4844=""),"",IFERROR(E4844 / SUMIFS('📅 Resumen Diario'!$D$5:$D$504, '📅 Resumen Diario'!$B$5:$B$504, B4844, '📅 Resumen Diario'!$C$5:$C$504, D4844) * SUMIFS('📅 Resumen Diario'!$K$5:$K$504, '📅 Resumen Diario'!$B$5:$B$504, B4844, '📅 Resumen Diario'!$C$5:$C$504, D4844), 0))</f>
        <v/>
      </c>
      <c r="M4844" s="31" t="str">
        <f t="shared" si="528"/>
        <v/>
      </c>
      <c r="N4844" s="31" t="str">
        <f t="shared" si="529"/>
        <v/>
      </c>
      <c r="O4844" s="31" t="str">
        <f>IF(OR(B4844="",C4844=""),"",K4844-N4844 + IFERROR(E4844 / SUMIFS('📅 Resumen Diario'!$D$5:$D$504, '📅 Resumen Diario'!$B$5:$B$504, B4844, '📅 Resumen Diario'!$C$5:$C$504, D4844) * (SUMIFS('📋 Detalle Diario'!$E$5:$E$489, '📋 Detalle Diario'!$B$5:$B$489, B4844, '📋 Detalle Diario'!$C$5:$C$489, D4844) * 135 + SUMIFS('📋 Detalle Diario'!$I$5:$I$489, '📋 Detalle Diario'!$B$5:$B$489, B4844, '📋 Detalle Diario'!$C$5:$C$489, D4844) * 200), 0))</f>
        <v/>
      </c>
      <c r="P4844" s="32" t="str">
        <f t="shared" si="530"/>
        <v/>
      </c>
      <c r="Q4844" s="33" t="str">
        <f t="shared" si="531"/>
        <v/>
      </c>
    </row>
    <row r="4845" spans="2:17" ht="18" customHeight="1" x14ac:dyDescent="0.3">
      <c r="B4845" s="26"/>
      <c r="C4845" s="28"/>
      <c r="D4845" s="27"/>
      <c r="E4845" s="29"/>
      <c r="F4845" s="29"/>
      <c r="G4845" s="29"/>
      <c r="H4845" s="30" t="str">
        <f t="shared" si="525"/>
        <v/>
      </c>
      <c r="I4845" s="31" t="str">
        <f>IF(OR(B4845="",C4845=""),"",IFERROR(E4845*IF(E4845="",0,VLOOKUP(C4845,'📦 Precios Proforma'!$B$5:$D$104,IF(D4845="DIA",2,3),FALSE)),0))</f>
        <v/>
      </c>
      <c r="J4845" s="31" t="str">
        <f t="shared" si="526"/>
        <v/>
      </c>
      <c r="K4845" s="31" t="str">
        <f t="shared" si="527"/>
        <v/>
      </c>
      <c r="L4845" s="31" t="str">
        <f>IF(OR(B4845="",C4845=""),"",IFERROR(E4845 / SUMIFS('📅 Resumen Diario'!$D$5:$D$504, '📅 Resumen Diario'!$B$5:$B$504, B4845, '📅 Resumen Diario'!$C$5:$C$504, D4845) * SUMIFS('📅 Resumen Diario'!$K$5:$K$504, '📅 Resumen Diario'!$B$5:$B$504, B4845, '📅 Resumen Diario'!$C$5:$C$504, D4845), 0))</f>
        <v/>
      </c>
      <c r="M4845" s="31" t="str">
        <f t="shared" si="528"/>
        <v/>
      </c>
      <c r="N4845" s="31" t="str">
        <f t="shared" si="529"/>
        <v/>
      </c>
      <c r="O4845" s="31" t="str">
        <f>IF(OR(B4845="",C4845=""),"",K4845-N4845 + IFERROR(E4845 / SUMIFS('📅 Resumen Diario'!$D$5:$D$504, '📅 Resumen Diario'!$B$5:$B$504, B4845, '📅 Resumen Diario'!$C$5:$C$504, D4845) * (SUMIFS('📋 Detalle Diario'!$E$5:$E$489, '📋 Detalle Diario'!$B$5:$B$489, B4845, '📋 Detalle Diario'!$C$5:$C$489, D4845) * 135 + SUMIFS('📋 Detalle Diario'!$I$5:$I$489, '📋 Detalle Diario'!$B$5:$B$489, B4845, '📋 Detalle Diario'!$C$5:$C$489, D4845) * 200), 0))</f>
        <v/>
      </c>
      <c r="P4845" s="32" t="str">
        <f t="shared" si="530"/>
        <v/>
      </c>
      <c r="Q4845" s="33" t="str">
        <f t="shared" si="531"/>
        <v/>
      </c>
    </row>
    <row r="4846" spans="2:17" ht="18" customHeight="1" x14ac:dyDescent="0.3">
      <c r="B4846" s="26"/>
      <c r="C4846" s="17"/>
      <c r="D4846" s="27"/>
      <c r="E4846" s="18"/>
      <c r="F4846" s="18"/>
      <c r="G4846" s="18"/>
      <c r="H4846" s="30" t="str">
        <f t="shared" si="525"/>
        <v/>
      </c>
      <c r="I4846" s="31" t="str">
        <f>IF(OR(B4846="",C4846=""),"",IFERROR(E4846*IF(E4846="",0,VLOOKUP(C4846,'📦 Precios Proforma'!$B$5:$D$104,IF(D4846="DIA",2,3),FALSE)),0))</f>
        <v/>
      </c>
      <c r="J4846" s="31" t="str">
        <f t="shared" si="526"/>
        <v/>
      </c>
      <c r="K4846" s="31" t="str">
        <f t="shared" si="527"/>
        <v/>
      </c>
      <c r="L4846" s="31" t="str">
        <f>IF(OR(B4846="",C4846=""),"",IFERROR(E4846 / SUMIFS('📅 Resumen Diario'!$D$5:$D$504, '📅 Resumen Diario'!$B$5:$B$504, B4846, '📅 Resumen Diario'!$C$5:$C$504, D4846) * SUMIFS('📅 Resumen Diario'!$K$5:$K$504, '📅 Resumen Diario'!$B$5:$B$504, B4846, '📅 Resumen Diario'!$C$5:$C$504, D4846), 0))</f>
        <v/>
      </c>
      <c r="M4846" s="31" t="str">
        <f t="shared" si="528"/>
        <v/>
      </c>
      <c r="N4846" s="31" t="str">
        <f t="shared" si="529"/>
        <v/>
      </c>
      <c r="O4846" s="31" t="str">
        <f>IF(OR(B4846="",C4846=""),"",K4846-N4846 + IFERROR(E4846 / SUMIFS('📅 Resumen Diario'!$D$5:$D$504, '📅 Resumen Diario'!$B$5:$B$504, B4846, '📅 Resumen Diario'!$C$5:$C$504, D4846) * (SUMIFS('📋 Detalle Diario'!$E$5:$E$489, '📋 Detalle Diario'!$B$5:$B$489, B4846, '📋 Detalle Diario'!$C$5:$C$489, D4846) * 135 + SUMIFS('📋 Detalle Diario'!$I$5:$I$489, '📋 Detalle Diario'!$B$5:$B$489, B4846, '📋 Detalle Diario'!$C$5:$C$489, D4846) * 200), 0))</f>
        <v/>
      </c>
      <c r="P4846" s="32" t="str">
        <f t="shared" si="530"/>
        <v/>
      </c>
      <c r="Q4846" s="33" t="str">
        <f t="shared" si="531"/>
        <v/>
      </c>
    </row>
    <row r="4847" spans="2:17" ht="18" customHeight="1" x14ac:dyDescent="0.3">
      <c r="B4847" s="26"/>
      <c r="C4847" s="28"/>
      <c r="D4847" s="27"/>
      <c r="E4847" s="29"/>
      <c r="F4847" s="29"/>
      <c r="G4847" s="29"/>
      <c r="H4847" s="30" t="str">
        <f t="shared" si="525"/>
        <v/>
      </c>
      <c r="I4847" s="31" t="str">
        <f>IF(OR(B4847="",C4847=""),"",IFERROR(E4847*IF(E4847="",0,VLOOKUP(C4847,'📦 Precios Proforma'!$B$5:$D$104,IF(D4847="DIA",2,3),FALSE)),0))</f>
        <v/>
      </c>
      <c r="J4847" s="31" t="str">
        <f t="shared" si="526"/>
        <v/>
      </c>
      <c r="K4847" s="31" t="str">
        <f t="shared" si="527"/>
        <v/>
      </c>
      <c r="L4847" s="31" t="str">
        <f>IF(OR(B4847="",C4847=""),"",IFERROR(E4847 / SUMIFS('📅 Resumen Diario'!$D$5:$D$504, '📅 Resumen Diario'!$B$5:$B$504, B4847, '📅 Resumen Diario'!$C$5:$C$504, D4847) * SUMIFS('📅 Resumen Diario'!$K$5:$K$504, '📅 Resumen Diario'!$B$5:$B$504, B4847, '📅 Resumen Diario'!$C$5:$C$504, D4847), 0))</f>
        <v/>
      </c>
      <c r="M4847" s="31" t="str">
        <f t="shared" si="528"/>
        <v/>
      </c>
      <c r="N4847" s="31" t="str">
        <f t="shared" si="529"/>
        <v/>
      </c>
      <c r="O4847" s="31" t="str">
        <f>IF(OR(B4847="",C4847=""),"",K4847-N4847 + IFERROR(E4847 / SUMIFS('📅 Resumen Diario'!$D$5:$D$504, '📅 Resumen Diario'!$B$5:$B$504, B4847, '📅 Resumen Diario'!$C$5:$C$504, D4847) * (SUMIFS('📋 Detalle Diario'!$E$5:$E$489, '📋 Detalle Diario'!$B$5:$B$489, B4847, '📋 Detalle Diario'!$C$5:$C$489, D4847) * 135 + SUMIFS('📋 Detalle Diario'!$I$5:$I$489, '📋 Detalle Diario'!$B$5:$B$489, B4847, '📋 Detalle Diario'!$C$5:$C$489, D4847) * 200), 0))</f>
        <v/>
      </c>
      <c r="P4847" s="32" t="str">
        <f t="shared" si="530"/>
        <v/>
      </c>
      <c r="Q4847" s="33" t="str">
        <f t="shared" si="531"/>
        <v/>
      </c>
    </row>
    <row r="4848" spans="2:17" ht="18" customHeight="1" x14ac:dyDescent="0.3">
      <c r="B4848" s="26"/>
      <c r="C4848" s="17"/>
      <c r="D4848" s="27"/>
      <c r="E4848" s="18"/>
      <c r="F4848" s="18"/>
      <c r="G4848" s="18"/>
      <c r="H4848" s="30" t="str">
        <f t="shared" si="525"/>
        <v/>
      </c>
      <c r="I4848" s="31" t="str">
        <f>IF(OR(B4848="",C4848=""),"",IFERROR(E4848*IF(E4848="",0,VLOOKUP(C4848,'📦 Precios Proforma'!$B$5:$D$104,IF(D4848="DIA",2,3),FALSE)),0))</f>
        <v/>
      </c>
      <c r="J4848" s="31" t="str">
        <f t="shared" si="526"/>
        <v/>
      </c>
      <c r="K4848" s="31" t="str">
        <f t="shared" si="527"/>
        <v/>
      </c>
      <c r="L4848" s="31" t="str">
        <f>IF(OR(B4848="",C4848=""),"",IFERROR(E4848 / SUMIFS('📅 Resumen Diario'!$D$5:$D$504, '📅 Resumen Diario'!$B$5:$B$504, B4848, '📅 Resumen Diario'!$C$5:$C$504, D4848) * SUMIFS('📅 Resumen Diario'!$K$5:$K$504, '📅 Resumen Diario'!$B$5:$B$504, B4848, '📅 Resumen Diario'!$C$5:$C$504, D4848), 0))</f>
        <v/>
      </c>
      <c r="M4848" s="31" t="str">
        <f t="shared" si="528"/>
        <v/>
      </c>
      <c r="N4848" s="31" t="str">
        <f t="shared" si="529"/>
        <v/>
      </c>
      <c r="O4848" s="31" t="str">
        <f>IF(OR(B4848="",C4848=""),"",K4848-N4848 + IFERROR(E4848 / SUMIFS('📅 Resumen Diario'!$D$5:$D$504, '📅 Resumen Diario'!$B$5:$B$504, B4848, '📅 Resumen Diario'!$C$5:$C$504, D4848) * (SUMIFS('📋 Detalle Diario'!$E$5:$E$489, '📋 Detalle Diario'!$B$5:$B$489, B4848, '📋 Detalle Diario'!$C$5:$C$489, D4848) * 135 + SUMIFS('📋 Detalle Diario'!$I$5:$I$489, '📋 Detalle Diario'!$B$5:$B$489, B4848, '📋 Detalle Diario'!$C$5:$C$489, D4848) * 200), 0))</f>
        <v/>
      </c>
      <c r="P4848" s="32" t="str">
        <f t="shared" si="530"/>
        <v/>
      </c>
      <c r="Q4848" s="33" t="str">
        <f t="shared" si="531"/>
        <v/>
      </c>
    </row>
    <row r="4849" spans="2:17" ht="18" customHeight="1" x14ac:dyDescent="0.3">
      <c r="B4849" s="26"/>
      <c r="C4849" s="28"/>
      <c r="D4849" s="27"/>
      <c r="E4849" s="29"/>
      <c r="F4849" s="29"/>
      <c r="G4849" s="29"/>
      <c r="H4849" s="30" t="str">
        <f t="shared" si="525"/>
        <v/>
      </c>
      <c r="I4849" s="31" t="str">
        <f>IF(OR(B4849="",C4849=""),"",IFERROR(E4849*IF(E4849="",0,VLOOKUP(C4849,'📦 Precios Proforma'!$B$5:$D$104,IF(D4849="DIA",2,3),FALSE)),0))</f>
        <v/>
      </c>
      <c r="J4849" s="31" t="str">
        <f t="shared" si="526"/>
        <v/>
      </c>
      <c r="K4849" s="31" t="str">
        <f t="shared" si="527"/>
        <v/>
      </c>
      <c r="L4849" s="31" t="str">
        <f>IF(OR(B4849="",C4849=""),"",IFERROR(E4849 / SUMIFS('📅 Resumen Diario'!$D$5:$D$504, '📅 Resumen Diario'!$B$5:$B$504, B4849, '📅 Resumen Diario'!$C$5:$C$504, D4849) * SUMIFS('📅 Resumen Diario'!$K$5:$K$504, '📅 Resumen Diario'!$B$5:$B$504, B4849, '📅 Resumen Diario'!$C$5:$C$504, D4849), 0))</f>
        <v/>
      </c>
      <c r="M4849" s="31" t="str">
        <f t="shared" si="528"/>
        <v/>
      </c>
      <c r="N4849" s="31" t="str">
        <f t="shared" si="529"/>
        <v/>
      </c>
      <c r="O4849" s="31" t="str">
        <f>IF(OR(B4849="",C4849=""),"",K4849-N4849 + IFERROR(E4849 / SUMIFS('📅 Resumen Diario'!$D$5:$D$504, '📅 Resumen Diario'!$B$5:$B$504, B4849, '📅 Resumen Diario'!$C$5:$C$504, D4849) * (SUMIFS('📋 Detalle Diario'!$E$5:$E$489, '📋 Detalle Diario'!$B$5:$B$489, B4849, '📋 Detalle Diario'!$C$5:$C$489, D4849) * 135 + SUMIFS('📋 Detalle Diario'!$I$5:$I$489, '📋 Detalle Diario'!$B$5:$B$489, B4849, '📋 Detalle Diario'!$C$5:$C$489, D4849) * 200), 0))</f>
        <v/>
      </c>
      <c r="P4849" s="32" t="str">
        <f t="shared" si="530"/>
        <v/>
      </c>
      <c r="Q4849" s="33" t="str">
        <f t="shared" si="531"/>
        <v/>
      </c>
    </row>
    <row r="4850" spans="2:17" ht="18" customHeight="1" x14ac:dyDescent="0.3">
      <c r="B4850" s="26"/>
      <c r="C4850" s="17"/>
      <c r="D4850" s="27"/>
      <c r="E4850" s="18"/>
      <c r="F4850" s="18"/>
      <c r="G4850" s="18"/>
      <c r="H4850" s="30" t="str">
        <f t="shared" si="525"/>
        <v/>
      </c>
      <c r="I4850" s="31" t="str">
        <f>IF(OR(B4850="",C4850=""),"",IFERROR(E4850*IF(E4850="",0,VLOOKUP(C4850,'📦 Precios Proforma'!$B$5:$D$104,IF(D4850="DIA",2,3),FALSE)),0))</f>
        <v/>
      </c>
      <c r="J4850" s="31" t="str">
        <f t="shared" si="526"/>
        <v/>
      </c>
      <c r="K4850" s="31" t="str">
        <f t="shared" si="527"/>
        <v/>
      </c>
      <c r="L4850" s="31" t="str">
        <f>IF(OR(B4850="",C4850=""),"",IFERROR(E4850 / SUMIFS('📅 Resumen Diario'!$D$5:$D$504, '📅 Resumen Diario'!$B$5:$B$504, B4850, '📅 Resumen Diario'!$C$5:$C$504, D4850) * SUMIFS('📅 Resumen Diario'!$K$5:$K$504, '📅 Resumen Diario'!$B$5:$B$504, B4850, '📅 Resumen Diario'!$C$5:$C$504, D4850), 0))</f>
        <v/>
      </c>
      <c r="M4850" s="31" t="str">
        <f t="shared" si="528"/>
        <v/>
      </c>
      <c r="N4850" s="31" t="str">
        <f t="shared" si="529"/>
        <v/>
      </c>
      <c r="O4850" s="31" t="str">
        <f>IF(OR(B4850="",C4850=""),"",K4850-N4850 + IFERROR(E4850 / SUMIFS('📅 Resumen Diario'!$D$5:$D$504, '📅 Resumen Diario'!$B$5:$B$504, B4850, '📅 Resumen Diario'!$C$5:$C$504, D4850) * (SUMIFS('📋 Detalle Diario'!$E$5:$E$489, '📋 Detalle Diario'!$B$5:$B$489, B4850, '📋 Detalle Diario'!$C$5:$C$489, D4850) * 135 + SUMIFS('📋 Detalle Diario'!$I$5:$I$489, '📋 Detalle Diario'!$B$5:$B$489, B4850, '📋 Detalle Diario'!$C$5:$C$489, D4850) * 200), 0))</f>
        <v/>
      </c>
      <c r="P4850" s="32" t="str">
        <f t="shared" si="530"/>
        <v/>
      </c>
      <c r="Q4850" s="33" t="str">
        <f t="shared" si="531"/>
        <v/>
      </c>
    </row>
    <row r="4851" spans="2:17" ht="18" customHeight="1" x14ac:dyDescent="0.3">
      <c r="B4851" s="26"/>
      <c r="C4851" s="28"/>
      <c r="D4851" s="27"/>
      <c r="E4851" s="29"/>
      <c r="F4851" s="29"/>
      <c r="G4851" s="29"/>
      <c r="H4851" s="30" t="str">
        <f t="shared" si="525"/>
        <v/>
      </c>
      <c r="I4851" s="31" t="str">
        <f>IF(OR(B4851="",C4851=""),"",IFERROR(E4851*IF(E4851="",0,VLOOKUP(C4851,'📦 Precios Proforma'!$B$5:$D$104,IF(D4851="DIA",2,3),FALSE)),0))</f>
        <v/>
      </c>
      <c r="J4851" s="31" t="str">
        <f t="shared" si="526"/>
        <v/>
      </c>
      <c r="K4851" s="31" t="str">
        <f t="shared" si="527"/>
        <v/>
      </c>
      <c r="L4851" s="31" t="str">
        <f>IF(OR(B4851="",C4851=""),"",IFERROR(E4851 / SUMIFS('📅 Resumen Diario'!$D$5:$D$504, '📅 Resumen Diario'!$B$5:$B$504, B4851, '📅 Resumen Diario'!$C$5:$C$504, D4851) * SUMIFS('📅 Resumen Diario'!$K$5:$K$504, '📅 Resumen Diario'!$B$5:$B$504, B4851, '📅 Resumen Diario'!$C$5:$C$504, D4851), 0))</f>
        <v/>
      </c>
      <c r="M4851" s="31" t="str">
        <f t="shared" si="528"/>
        <v/>
      </c>
      <c r="N4851" s="31" t="str">
        <f t="shared" si="529"/>
        <v/>
      </c>
      <c r="O4851" s="31" t="str">
        <f>IF(OR(B4851="",C4851=""),"",K4851-N4851 + IFERROR(E4851 / SUMIFS('📅 Resumen Diario'!$D$5:$D$504, '📅 Resumen Diario'!$B$5:$B$504, B4851, '📅 Resumen Diario'!$C$5:$C$504, D4851) * (SUMIFS('📋 Detalle Diario'!$E$5:$E$489, '📋 Detalle Diario'!$B$5:$B$489, B4851, '📋 Detalle Diario'!$C$5:$C$489, D4851) * 135 + SUMIFS('📋 Detalle Diario'!$I$5:$I$489, '📋 Detalle Diario'!$B$5:$B$489, B4851, '📋 Detalle Diario'!$C$5:$C$489, D4851) * 200), 0))</f>
        <v/>
      </c>
      <c r="P4851" s="32" t="str">
        <f t="shared" si="530"/>
        <v/>
      </c>
      <c r="Q4851" s="33" t="str">
        <f t="shared" si="531"/>
        <v/>
      </c>
    </row>
    <row r="4852" spans="2:17" ht="18" customHeight="1" x14ac:dyDescent="0.3">
      <c r="B4852" s="26"/>
      <c r="C4852" s="17"/>
      <c r="D4852" s="27"/>
      <c r="E4852" s="18"/>
      <c r="F4852" s="18"/>
      <c r="G4852" s="18"/>
      <c r="H4852" s="30" t="str">
        <f t="shared" si="525"/>
        <v/>
      </c>
      <c r="I4852" s="31" t="str">
        <f>IF(OR(B4852="",C4852=""),"",IFERROR(E4852*IF(E4852="",0,VLOOKUP(C4852,'📦 Precios Proforma'!$B$5:$D$104,IF(D4852="DIA",2,3),FALSE)),0))</f>
        <v/>
      </c>
      <c r="J4852" s="31" t="str">
        <f t="shared" si="526"/>
        <v/>
      </c>
      <c r="K4852" s="31" t="str">
        <f t="shared" si="527"/>
        <v/>
      </c>
      <c r="L4852" s="31" t="str">
        <f>IF(OR(B4852="",C4852=""),"",IFERROR(E4852 / SUMIFS('📅 Resumen Diario'!$D$5:$D$504, '📅 Resumen Diario'!$B$5:$B$504, B4852, '📅 Resumen Diario'!$C$5:$C$504, D4852) * SUMIFS('📅 Resumen Diario'!$K$5:$K$504, '📅 Resumen Diario'!$B$5:$B$504, B4852, '📅 Resumen Diario'!$C$5:$C$504, D4852), 0))</f>
        <v/>
      </c>
      <c r="M4852" s="31" t="str">
        <f t="shared" si="528"/>
        <v/>
      </c>
      <c r="N4852" s="31" t="str">
        <f t="shared" si="529"/>
        <v/>
      </c>
      <c r="O4852" s="31" t="str">
        <f>IF(OR(B4852="",C4852=""),"",K4852-N4852 + IFERROR(E4852 / SUMIFS('📅 Resumen Diario'!$D$5:$D$504, '📅 Resumen Diario'!$B$5:$B$504, B4852, '📅 Resumen Diario'!$C$5:$C$504, D4852) * (SUMIFS('📋 Detalle Diario'!$E$5:$E$489, '📋 Detalle Diario'!$B$5:$B$489, B4852, '📋 Detalle Diario'!$C$5:$C$489, D4852) * 135 + SUMIFS('📋 Detalle Diario'!$I$5:$I$489, '📋 Detalle Diario'!$B$5:$B$489, B4852, '📋 Detalle Diario'!$C$5:$C$489, D4852) * 200), 0))</f>
        <v/>
      </c>
      <c r="P4852" s="32" t="str">
        <f t="shared" si="530"/>
        <v/>
      </c>
      <c r="Q4852" s="33" t="str">
        <f t="shared" si="531"/>
        <v/>
      </c>
    </row>
    <row r="4853" spans="2:17" ht="18" customHeight="1" x14ac:dyDescent="0.3">
      <c r="B4853" s="26"/>
      <c r="C4853" s="28"/>
      <c r="D4853" s="27"/>
      <c r="E4853" s="29"/>
      <c r="F4853" s="29"/>
      <c r="G4853" s="29"/>
      <c r="H4853" s="30" t="str">
        <f t="shared" si="525"/>
        <v/>
      </c>
      <c r="I4853" s="31" t="str">
        <f>IF(OR(B4853="",C4853=""),"",IFERROR(E4853*IF(E4853="",0,VLOOKUP(C4853,'📦 Precios Proforma'!$B$5:$D$104,IF(D4853="DIA",2,3),FALSE)),0))</f>
        <v/>
      </c>
      <c r="J4853" s="31" t="str">
        <f t="shared" si="526"/>
        <v/>
      </c>
      <c r="K4853" s="31" t="str">
        <f t="shared" si="527"/>
        <v/>
      </c>
      <c r="L4853" s="31" t="str">
        <f>IF(OR(B4853="",C4853=""),"",IFERROR(E4853 / SUMIFS('📅 Resumen Diario'!$D$5:$D$504, '📅 Resumen Diario'!$B$5:$B$504, B4853, '📅 Resumen Diario'!$C$5:$C$504, D4853) * SUMIFS('📅 Resumen Diario'!$K$5:$K$504, '📅 Resumen Diario'!$B$5:$B$504, B4853, '📅 Resumen Diario'!$C$5:$C$504, D4853), 0))</f>
        <v/>
      </c>
      <c r="M4853" s="31" t="str">
        <f t="shared" si="528"/>
        <v/>
      </c>
      <c r="N4853" s="31" t="str">
        <f t="shared" si="529"/>
        <v/>
      </c>
      <c r="O4853" s="31" t="str">
        <f>IF(OR(B4853="",C4853=""),"",K4853-N4853 + IFERROR(E4853 / SUMIFS('📅 Resumen Diario'!$D$5:$D$504, '📅 Resumen Diario'!$B$5:$B$504, B4853, '📅 Resumen Diario'!$C$5:$C$504, D4853) * (SUMIFS('📋 Detalle Diario'!$E$5:$E$489, '📋 Detalle Diario'!$B$5:$B$489, B4853, '📋 Detalle Diario'!$C$5:$C$489, D4853) * 135 + SUMIFS('📋 Detalle Diario'!$I$5:$I$489, '📋 Detalle Diario'!$B$5:$B$489, B4853, '📋 Detalle Diario'!$C$5:$C$489, D4853) * 200), 0))</f>
        <v/>
      </c>
      <c r="P4853" s="32" t="str">
        <f t="shared" si="530"/>
        <v/>
      </c>
      <c r="Q4853" s="33" t="str">
        <f t="shared" si="531"/>
        <v/>
      </c>
    </row>
    <row r="4854" spans="2:17" ht="18" customHeight="1" x14ac:dyDescent="0.3">
      <c r="B4854" s="26"/>
      <c r="C4854" s="17"/>
      <c r="D4854" s="27"/>
      <c r="E4854" s="18"/>
      <c r="F4854" s="18"/>
      <c r="G4854" s="18"/>
      <c r="H4854" s="30" t="str">
        <f t="shared" si="525"/>
        <v/>
      </c>
      <c r="I4854" s="31" t="str">
        <f>IF(OR(B4854="",C4854=""),"",IFERROR(E4854*IF(E4854="",0,VLOOKUP(C4854,'📦 Precios Proforma'!$B$5:$D$104,IF(D4854="DIA",2,3),FALSE)),0))</f>
        <v/>
      </c>
      <c r="J4854" s="31" t="str">
        <f t="shared" si="526"/>
        <v/>
      </c>
      <c r="K4854" s="31" t="str">
        <f t="shared" si="527"/>
        <v/>
      </c>
      <c r="L4854" s="31" t="str">
        <f>IF(OR(B4854="",C4854=""),"",IFERROR(E4854 / SUMIFS('📅 Resumen Diario'!$D$5:$D$504, '📅 Resumen Diario'!$B$5:$B$504, B4854, '📅 Resumen Diario'!$C$5:$C$504, D4854) * SUMIFS('📅 Resumen Diario'!$K$5:$K$504, '📅 Resumen Diario'!$B$5:$B$504, B4854, '📅 Resumen Diario'!$C$5:$C$504, D4854), 0))</f>
        <v/>
      </c>
      <c r="M4854" s="31" t="str">
        <f t="shared" si="528"/>
        <v/>
      </c>
      <c r="N4854" s="31" t="str">
        <f t="shared" si="529"/>
        <v/>
      </c>
      <c r="O4854" s="31" t="str">
        <f>IF(OR(B4854="",C4854=""),"",K4854-N4854 + IFERROR(E4854 / SUMIFS('📅 Resumen Diario'!$D$5:$D$504, '📅 Resumen Diario'!$B$5:$B$504, B4854, '📅 Resumen Diario'!$C$5:$C$504, D4854) * (SUMIFS('📋 Detalle Diario'!$E$5:$E$489, '📋 Detalle Diario'!$B$5:$B$489, B4854, '📋 Detalle Diario'!$C$5:$C$489, D4854) * 135 + SUMIFS('📋 Detalle Diario'!$I$5:$I$489, '📋 Detalle Diario'!$B$5:$B$489, B4854, '📋 Detalle Diario'!$C$5:$C$489, D4854) * 200), 0))</f>
        <v/>
      </c>
      <c r="P4854" s="32" t="str">
        <f t="shared" si="530"/>
        <v/>
      </c>
      <c r="Q4854" s="33" t="str">
        <f t="shared" si="531"/>
        <v/>
      </c>
    </row>
    <row r="4855" spans="2:17" ht="18" customHeight="1" x14ac:dyDescent="0.3">
      <c r="B4855" s="26"/>
      <c r="C4855" s="28"/>
      <c r="D4855" s="27"/>
      <c r="E4855" s="29"/>
      <c r="F4855" s="29"/>
      <c r="G4855" s="29"/>
      <c r="H4855" s="30" t="str">
        <f t="shared" si="525"/>
        <v/>
      </c>
      <c r="I4855" s="31" t="str">
        <f>IF(OR(B4855="",C4855=""),"",IFERROR(E4855*IF(E4855="",0,VLOOKUP(C4855,'📦 Precios Proforma'!$B$5:$D$104,IF(D4855="DIA",2,3),FALSE)),0))</f>
        <v/>
      </c>
      <c r="J4855" s="31" t="str">
        <f t="shared" si="526"/>
        <v/>
      </c>
      <c r="K4855" s="31" t="str">
        <f t="shared" si="527"/>
        <v/>
      </c>
      <c r="L4855" s="31" t="str">
        <f>IF(OR(B4855="",C4855=""),"",IFERROR(E4855 / SUMIFS('📅 Resumen Diario'!$D$5:$D$504, '📅 Resumen Diario'!$B$5:$B$504, B4855, '📅 Resumen Diario'!$C$5:$C$504, D4855) * SUMIFS('📅 Resumen Diario'!$K$5:$K$504, '📅 Resumen Diario'!$B$5:$B$504, B4855, '📅 Resumen Diario'!$C$5:$C$504, D4855), 0))</f>
        <v/>
      </c>
      <c r="M4855" s="31" t="str">
        <f t="shared" si="528"/>
        <v/>
      </c>
      <c r="N4855" s="31" t="str">
        <f t="shared" si="529"/>
        <v/>
      </c>
      <c r="O4855" s="31" t="str">
        <f>IF(OR(B4855="",C4855=""),"",K4855-N4855 + IFERROR(E4855 / SUMIFS('📅 Resumen Diario'!$D$5:$D$504, '📅 Resumen Diario'!$B$5:$B$504, B4855, '📅 Resumen Diario'!$C$5:$C$504, D4855) * (SUMIFS('📋 Detalle Diario'!$E$5:$E$489, '📋 Detalle Diario'!$B$5:$B$489, B4855, '📋 Detalle Diario'!$C$5:$C$489, D4855) * 135 + SUMIFS('📋 Detalle Diario'!$I$5:$I$489, '📋 Detalle Diario'!$B$5:$B$489, B4855, '📋 Detalle Diario'!$C$5:$C$489, D4855) * 200), 0))</f>
        <v/>
      </c>
      <c r="P4855" s="32" t="str">
        <f t="shared" si="530"/>
        <v/>
      </c>
      <c r="Q4855" s="33" t="str">
        <f t="shared" si="531"/>
        <v/>
      </c>
    </row>
    <row r="4856" spans="2:17" ht="18" customHeight="1" x14ac:dyDescent="0.3">
      <c r="B4856" s="26"/>
      <c r="C4856" s="17"/>
      <c r="D4856" s="27"/>
      <c r="E4856" s="18"/>
      <c r="F4856" s="18"/>
      <c r="G4856" s="18"/>
      <c r="H4856" s="30" t="str">
        <f t="shared" si="525"/>
        <v/>
      </c>
      <c r="I4856" s="31" t="str">
        <f>IF(OR(B4856="",C4856=""),"",IFERROR(E4856*IF(E4856="",0,VLOOKUP(C4856,'📦 Precios Proforma'!$B$5:$D$104,IF(D4856="DIA",2,3),FALSE)),0))</f>
        <v/>
      </c>
      <c r="J4856" s="31" t="str">
        <f t="shared" si="526"/>
        <v/>
      </c>
      <c r="K4856" s="31" t="str">
        <f t="shared" si="527"/>
        <v/>
      </c>
      <c r="L4856" s="31" t="str">
        <f>IF(OR(B4856="",C4856=""),"",IFERROR(E4856 / SUMIFS('📅 Resumen Diario'!$D$5:$D$504, '📅 Resumen Diario'!$B$5:$B$504, B4856, '📅 Resumen Diario'!$C$5:$C$504, D4856) * SUMIFS('📅 Resumen Diario'!$K$5:$K$504, '📅 Resumen Diario'!$B$5:$B$504, B4856, '📅 Resumen Diario'!$C$5:$C$504, D4856), 0))</f>
        <v/>
      </c>
      <c r="M4856" s="31" t="str">
        <f t="shared" si="528"/>
        <v/>
      </c>
      <c r="N4856" s="31" t="str">
        <f t="shared" si="529"/>
        <v/>
      </c>
      <c r="O4856" s="31" t="str">
        <f>IF(OR(B4856="",C4856=""),"",K4856-N4856 + IFERROR(E4856 / SUMIFS('📅 Resumen Diario'!$D$5:$D$504, '📅 Resumen Diario'!$B$5:$B$504, B4856, '📅 Resumen Diario'!$C$5:$C$504, D4856) * (SUMIFS('📋 Detalle Diario'!$E$5:$E$489, '📋 Detalle Diario'!$B$5:$B$489, B4856, '📋 Detalle Diario'!$C$5:$C$489, D4856) * 135 + SUMIFS('📋 Detalle Diario'!$I$5:$I$489, '📋 Detalle Diario'!$B$5:$B$489, B4856, '📋 Detalle Diario'!$C$5:$C$489, D4856) * 200), 0))</f>
        <v/>
      </c>
      <c r="P4856" s="32" t="str">
        <f t="shared" si="530"/>
        <v/>
      </c>
      <c r="Q4856" s="33" t="str">
        <f t="shared" si="531"/>
        <v/>
      </c>
    </row>
    <row r="4857" spans="2:17" ht="18" customHeight="1" x14ac:dyDescent="0.3">
      <c r="B4857" s="26"/>
      <c r="C4857" s="28"/>
      <c r="D4857" s="27"/>
      <c r="E4857" s="29"/>
      <c r="F4857" s="29"/>
      <c r="G4857" s="29"/>
      <c r="H4857" s="30" t="str">
        <f t="shared" si="525"/>
        <v/>
      </c>
      <c r="I4857" s="31" t="str">
        <f>IF(OR(B4857="",C4857=""),"",IFERROR(E4857*IF(E4857="",0,VLOOKUP(C4857,'📦 Precios Proforma'!$B$5:$D$104,IF(D4857="DIA",2,3),FALSE)),0))</f>
        <v/>
      </c>
      <c r="J4857" s="31" t="str">
        <f t="shared" si="526"/>
        <v/>
      </c>
      <c r="K4857" s="31" t="str">
        <f t="shared" si="527"/>
        <v/>
      </c>
      <c r="L4857" s="31" t="str">
        <f>IF(OR(B4857="",C4857=""),"",IFERROR(E4857 / SUMIFS('📅 Resumen Diario'!$D$5:$D$504, '📅 Resumen Diario'!$B$5:$B$504, B4857, '📅 Resumen Diario'!$C$5:$C$504, D4857) * SUMIFS('📅 Resumen Diario'!$K$5:$K$504, '📅 Resumen Diario'!$B$5:$B$504, B4857, '📅 Resumen Diario'!$C$5:$C$504, D4857), 0))</f>
        <v/>
      </c>
      <c r="M4857" s="31" t="str">
        <f t="shared" si="528"/>
        <v/>
      </c>
      <c r="N4857" s="31" t="str">
        <f t="shared" si="529"/>
        <v/>
      </c>
      <c r="O4857" s="31" t="str">
        <f>IF(OR(B4857="",C4857=""),"",K4857-N4857 + IFERROR(E4857 / SUMIFS('📅 Resumen Diario'!$D$5:$D$504, '📅 Resumen Diario'!$B$5:$B$504, B4857, '📅 Resumen Diario'!$C$5:$C$504, D4857) * (SUMIFS('📋 Detalle Diario'!$E$5:$E$489, '📋 Detalle Diario'!$B$5:$B$489, B4857, '📋 Detalle Diario'!$C$5:$C$489, D4857) * 135 + SUMIFS('📋 Detalle Diario'!$I$5:$I$489, '📋 Detalle Diario'!$B$5:$B$489, B4857, '📋 Detalle Diario'!$C$5:$C$489, D4857) * 200), 0))</f>
        <v/>
      </c>
      <c r="P4857" s="32" t="str">
        <f t="shared" si="530"/>
        <v/>
      </c>
      <c r="Q4857" s="33" t="str">
        <f t="shared" si="531"/>
        <v/>
      </c>
    </row>
    <row r="4858" spans="2:17" ht="18" customHeight="1" x14ac:dyDescent="0.3">
      <c r="B4858" s="26"/>
      <c r="C4858" s="17"/>
      <c r="D4858" s="27"/>
      <c r="E4858" s="18"/>
      <c r="F4858" s="18"/>
      <c r="G4858" s="18"/>
      <c r="H4858" s="30" t="str">
        <f t="shared" si="525"/>
        <v/>
      </c>
      <c r="I4858" s="31" t="str">
        <f>IF(OR(B4858="",C4858=""),"",IFERROR(E4858*IF(E4858="",0,VLOOKUP(C4858,'📦 Precios Proforma'!$B$5:$D$104,IF(D4858="DIA",2,3),FALSE)),0))</f>
        <v/>
      </c>
      <c r="J4858" s="31" t="str">
        <f t="shared" si="526"/>
        <v/>
      </c>
      <c r="K4858" s="31" t="str">
        <f t="shared" si="527"/>
        <v/>
      </c>
      <c r="L4858" s="31" t="str">
        <f>IF(OR(B4858="",C4858=""),"",IFERROR(E4858 / SUMIFS('📅 Resumen Diario'!$D$5:$D$504, '📅 Resumen Diario'!$B$5:$B$504, B4858, '📅 Resumen Diario'!$C$5:$C$504, D4858) * SUMIFS('📅 Resumen Diario'!$K$5:$K$504, '📅 Resumen Diario'!$B$5:$B$504, B4858, '📅 Resumen Diario'!$C$5:$C$504, D4858), 0))</f>
        <v/>
      </c>
      <c r="M4858" s="31" t="str">
        <f t="shared" si="528"/>
        <v/>
      </c>
      <c r="N4858" s="31" t="str">
        <f t="shared" si="529"/>
        <v/>
      </c>
      <c r="O4858" s="31" t="str">
        <f>IF(OR(B4858="",C4858=""),"",K4858-N4858 + IFERROR(E4858 / SUMIFS('📅 Resumen Diario'!$D$5:$D$504, '📅 Resumen Diario'!$B$5:$B$504, B4858, '📅 Resumen Diario'!$C$5:$C$504, D4858) * (SUMIFS('📋 Detalle Diario'!$E$5:$E$489, '📋 Detalle Diario'!$B$5:$B$489, B4858, '📋 Detalle Diario'!$C$5:$C$489, D4858) * 135 + SUMIFS('📋 Detalle Diario'!$I$5:$I$489, '📋 Detalle Diario'!$B$5:$B$489, B4858, '📋 Detalle Diario'!$C$5:$C$489, D4858) * 200), 0))</f>
        <v/>
      </c>
      <c r="P4858" s="32" t="str">
        <f t="shared" si="530"/>
        <v/>
      </c>
      <c r="Q4858" s="33" t="str">
        <f t="shared" si="531"/>
        <v/>
      </c>
    </row>
    <row r="4859" spans="2:17" ht="18" customHeight="1" x14ac:dyDescent="0.3">
      <c r="B4859" s="26"/>
      <c r="C4859" s="28"/>
      <c r="D4859" s="27"/>
      <c r="E4859" s="29"/>
      <c r="F4859" s="29"/>
      <c r="G4859" s="29"/>
      <c r="H4859" s="30" t="str">
        <f t="shared" si="525"/>
        <v/>
      </c>
      <c r="I4859" s="31" t="str">
        <f>IF(OR(B4859="",C4859=""),"",IFERROR(E4859*IF(E4859="",0,VLOOKUP(C4859,'📦 Precios Proforma'!$B$5:$D$104,IF(D4859="DIA",2,3),FALSE)),0))</f>
        <v/>
      </c>
      <c r="J4859" s="31" t="str">
        <f t="shared" si="526"/>
        <v/>
      </c>
      <c r="K4859" s="31" t="str">
        <f t="shared" si="527"/>
        <v/>
      </c>
      <c r="L4859" s="31" t="str">
        <f>IF(OR(B4859="",C4859=""),"",IFERROR(E4859 / SUMIFS('📅 Resumen Diario'!$D$5:$D$504, '📅 Resumen Diario'!$B$5:$B$504, B4859, '📅 Resumen Diario'!$C$5:$C$504, D4859) * SUMIFS('📅 Resumen Diario'!$K$5:$K$504, '📅 Resumen Diario'!$B$5:$B$504, B4859, '📅 Resumen Diario'!$C$5:$C$504, D4859), 0))</f>
        <v/>
      </c>
      <c r="M4859" s="31" t="str">
        <f t="shared" si="528"/>
        <v/>
      </c>
      <c r="N4859" s="31" t="str">
        <f t="shared" si="529"/>
        <v/>
      </c>
      <c r="O4859" s="31" t="str">
        <f>IF(OR(B4859="",C4859=""),"",K4859-N4859 + IFERROR(E4859 / SUMIFS('📅 Resumen Diario'!$D$5:$D$504, '📅 Resumen Diario'!$B$5:$B$504, B4859, '📅 Resumen Diario'!$C$5:$C$504, D4859) * (SUMIFS('📋 Detalle Diario'!$E$5:$E$489, '📋 Detalle Diario'!$B$5:$B$489, B4859, '📋 Detalle Diario'!$C$5:$C$489, D4859) * 135 + SUMIFS('📋 Detalle Diario'!$I$5:$I$489, '📋 Detalle Diario'!$B$5:$B$489, B4859, '📋 Detalle Diario'!$C$5:$C$489, D4859) * 200), 0))</f>
        <v/>
      </c>
      <c r="P4859" s="32" t="str">
        <f t="shared" si="530"/>
        <v/>
      </c>
      <c r="Q4859" s="33" t="str">
        <f t="shared" si="531"/>
        <v/>
      </c>
    </row>
    <row r="4860" spans="2:17" ht="18" customHeight="1" x14ac:dyDescent="0.3">
      <c r="B4860" s="26"/>
      <c r="C4860" s="17"/>
      <c r="D4860" s="27"/>
      <c r="E4860" s="18"/>
      <c r="F4860" s="18"/>
      <c r="G4860" s="18"/>
      <c r="H4860" s="30" t="str">
        <f t="shared" si="525"/>
        <v/>
      </c>
      <c r="I4860" s="31" t="str">
        <f>IF(OR(B4860="",C4860=""),"",IFERROR(E4860*IF(E4860="",0,VLOOKUP(C4860,'📦 Precios Proforma'!$B$5:$D$104,IF(D4860="DIA",2,3),FALSE)),0))</f>
        <v/>
      </c>
      <c r="J4860" s="31" t="str">
        <f t="shared" si="526"/>
        <v/>
      </c>
      <c r="K4860" s="31" t="str">
        <f t="shared" si="527"/>
        <v/>
      </c>
      <c r="L4860" s="31" t="str">
        <f>IF(OR(B4860="",C4860=""),"",IFERROR(E4860 / SUMIFS('📅 Resumen Diario'!$D$5:$D$504, '📅 Resumen Diario'!$B$5:$B$504, B4860, '📅 Resumen Diario'!$C$5:$C$504, D4860) * SUMIFS('📅 Resumen Diario'!$K$5:$K$504, '📅 Resumen Diario'!$B$5:$B$504, B4860, '📅 Resumen Diario'!$C$5:$C$504, D4860), 0))</f>
        <v/>
      </c>
      <c r="M4860" s="31" t="str">
        <f t="shared" si="528"/>
        <v/>
      </c>
      <c r="N4860" s="31" t="str">
        <f t="shared" si="529"/>
        <v/>
      </c>
      <c r="O4860" s="31" t="str">
        <f>IF(OR(B4860="",C4860=""),"",K4860-N4860 + IFERROR(E4860 / SUMIFS('📅 Resumen Diario'!$D$5:$D$504, '📅 Resumen Diario'!$B$5:$B$504, B4860, '📅 Resumen Diario'!$C$5:$C$504, D4860) * (SUMIFS('📋 Detalle Diario'!$E$5:$E$489, '📋 Detalle Diario'!$B$5:$B$489, B4860, '📋 Detalle Diario'!$C$5:$C$489, D4860) * 135 + SUMIFS('📋 Detalle Diario'!$I$5:$I$489, '📋 Detalle Diario'!$B$5:$B$489, B4860, '📋 Detalle Diario'!$C$5:$C$489, D4860) * 200), 0))</f>
        <v/>
      </c>
      <c r="P4860" s="32" t="str">
        <f t="shared" si="530"/>
        <v/>
      </c>
      <c r="Q4860" s="33" t="str">
        <f t="shared" si="531"/>
        <v/>
      </c>
    </row>
    <row r="4861" spans="2:17" ht="18" customHeight="1" x14ac:dyDescent="0.3">
      <c r="B4861" s="26"/>
      <c r="C4861" s="28"/>
      <c r="D4861" s="27"/>
      <c r="E4861" s="29"/>
      <c r="F4861" s="29"/>
      <c r="G4861" s="29"/>
      <c r="H4861" s="30" t="str">
        <f t="shared" si="525"/>
        <v/>
      </c>
      <c r="I4861" s="31" t="str">
        <f>IF(OR(B4861="",C4861=""),"",IFERROR(E4861*IF(E4861="",0,VLOOKUP(C4861,'📦 Precios Proforma'!$B$5:$D$104,IF(D4861="DIA",2,3),FALSE)),0))</f>
        <v/>
      </c>
      <c r="J4861" s="31" t="str">
        <f t="shared" si="526"/>
        <v/>
      </c>
      <c r="K4861" s="31" t="str">
        <f t="shared" si="527"/>
        <v/>
      </c>
      <c r="L4861" s="31" t="str">
        <f>IF(OR(B4861="",C4861=""),"",IFERROR(E4861 / SUMIFS('📅 Resumen Diario'!$D$5:$D$504, '📅 Resumen Diario'!$B$5:$B$504, B4861, '📅 Resumen Diario'!$C$5:$C$504, D4861) * SUMIFS('📅 Resumen Diario'!$K$5:$K$504, '📅 Resumen Diario'!$B$5:$B$504, B4861, '📅 Resumen Diario'!$C$5:$C$504, D4861), 0))</f>
        <v/>
      </c>
      <c r="M4861" s="31" t="str">
        <f t="shared" si="528"/>
        <v/>
      </c>
      <c r="N4861" s="31" t="str">
        <f t="shared" si="529"/>
        <v/>
      </c>
      <c r="O4861" s="31" t="str">
        <f>IF(OR(B4861="",C4861=""),"",K4861-N4861 + IFERROR(E4861 / SUMIFS('📅 Resumen Diario'!$D$5:$D$504, '📅 Resumen Diario'!$B$5:$B$504, B4861, '📅 Resumen Diario'!$C$5:$C$504, D4861) * (SUMIFS('📋 Detalle Diario'!$E$5:$E$489, '📋 Detalle Diario'!$B$5:$B$489, B4861, '📋 Detalle Diario'!$C$5:$C$489, D4861) * 135 + SUMIFS('📋 Detalle Diario'!$I$5:$I$489, '📋 Detalle Diario'!$B$5:$B$489, B4861, '📋 Detalle Diario'!$C$5:$C$489, D4861) * 200), 0))</f>
        <v/>
      </c>
      <c r="P4861" s="32" t="str">
        <f t="shared" si="530"/>
        <v/>
      </c>
      <c r="Q4861" s="33" t="str">
        <f t="shared" si="531"/>
        <v/>
      </c>
    </row>
    <row r="4862" spans="2:17" ht="18" customHeight="1" x14ac:dyDescent="0.3">
      <c r="B4862" s="26"/>
      <c r="C4862" s="17"/>
      <c r="D4862" s="27"/>
      <c r="E4862" s="18"/>
      <c r="F4862" s="18"/>
      <c r="G4862" s="18"/>
      <c r="H4862" s="30" t="str">
        <f t="shared" si="525"/>
        <v/>
      </c>
      <c r="I4862" s="31" t="str">
        <f>IF(OR(B4862="",C4862=""),"",IFERROR(E4862*IF(E4862="",0,VLOOKUP(C4862,'📦 Precios Proforma'!$B$5:$D$104,IF(D4862="DIA",2,3),FALSE)),0))</f>
        <v/>
      </c>
      <c r="J4862" s="31" t="str">
        <f t="shared" si="526"/>
        <v/>
      </c>
      <c r="K4862" s="31" t="str">
        <f t="shared" si="527"/>
        <v/>
      </c>
      <c r="L4862" s="31" t="str">
        <f>IF(OR(B4862="",C4862=""),"",IFERROR(E4862 / SUMIFS('📅 Resumen Diario'!$D$5:$D$504, '📅 Resumen Diario'!$B$5:$B$504, B4862, '📅 Resumen Diario'!$C$5:$C$504, D4862) * SUMIFS('📅 Resumen Diario'!$K$5:$K$504, '📅 Resumen Diario'!$B$5:$B$504, B4862, '📅 Resumen Diario'!$C$5:$C$504, D4862), 0))</f>
        <v/>
      </c>
      <c r="M4862" s="31" t="str">
        <f t="shared" si="528"/>
        <v/>
      </c>
      <c r="N4862" s="31" t="str">
        <f t="shared" si="529"/>
        <v/>
      </c>
      <c r="O4862" s="31" t="str">
        <f>IF(OR(B4862="",C4862=""),"",K4862-N4862 + IFERROR(E4862 / SUMIFS('📅 Resumen Diario'!$D$5:$D$504, '📅 Resumen Diario'!$B$5:$B$504, B4862, '📅 Resumen Diario'!$C$5:$C$504, D4862) * (SUMIFS('📋 Detalle Diario'!$E$5:$E$489, '📋 Detalle Diario'!$B$5:$B$489, B4862, '📋 Detalle Diario'!$C$5:$C$489, D4862) * 135 + SUMIFS('📋 Detalle Diario'!$I$5:$I$489, '📋 Detalle Diario'!$B$5:$B$489, B4862, '📋 Detalle Diario'!$C$5:$C$489, D4862) * 200), 0))</f>
        <v/>
      </c>
      <c r="P4862" s="32" t="str">
        <f t="shared" si="530"/>
        <v/>
      </c>
      <c r="Q4862" s="33" t="str">
        <f t="shared" si="531"/>
        <v/>
      </c>
    </row>
    <row r="4863" spans="2:17" ht="18" customHeight="1" x14ac:dyDescent="0.3">
      <c r="B4863" s="26"/>
      <c r="C4863" s="28"/>
      <c r="D4863" s="27"/>
      <c r="E4863" s="29"/>
      <c r="F4863" s="29"/>
      <c r="G4863" s="29"/>
      <c r="H4863" s="30" t="str">
        <f t="shared" si="525"/>
        <v/>
      </c>
      <c r="I4863" s="31" t="str">
        <f>IF(OR(B4863="",C4863=""),"",IFERROR(E4863*IF(E4863="",0,VLOOKUP(C4863,'📦 Precios Proforma'!$B$5:$D$104,IF(D4863="DIA",2,3),FALSE)),0))</f>
        <v/>
      </c>
      <c r="J4863" s="31" t="str">
        <f t="shared" si="526"/>
        <v/>
      </c>
      <c r="K4863" s="31" t="str">
        <f t="shared" si="527"/>
        <v/>
      </c>
      <c r="L4863" s="31" t="str">
        <f>IF(OR(B4863="",C4863=""),"",IFERROR(E4863 / SUMIFS('📅 Resumen Diario'!$D$5:$D$504, '📅 Resumen Diario'!$B$5:$B$504, B4863, '📅 Resumen Diario'!$C$5:$C$504, D4863) * SUMIFS('📅 Resumen Diario'!$K$5:$K$504, '📅 Resumen Diario'!$B$5:$B$504, B4863, '📅 Resumen Diario'!$C$5:$C$504, D4863), 0))</f>
        <v/>
      </c>
      <c r="M4863" s="31" t="str">
        <f t="shared" si="528"/>
        <v/>
      </c>
      <c r="N4863" s="31" t="str">
        <f t="shared" si="529"/>
        <v/>
      </c>
      <c r="O4863" s="31" t="str">
        <f>IF(OR(B4863="",C4863=""),"",K4863-N4863 + IFERROR(E4863 / SUMIFS('📅 Resumen Diario'!$D$5:$D$504, '📅 Resumen Diario'!$B$5:$B$504, B4863, '📅 Resumen Diario'!$C$5:$C$504, D4863) * (SUMIFS('📋 Detalle Diario'!$E$5:$E$489, '📋 Detalle Diario'!$B$5:$B$489, B4863, '📋 Detalle Diario'!$C$5:$C$489, D4863) * 135 + SUMIFS('📋 Detalle Diario'!$I$5:$I$489, '📋 Detalle Diario'!$B$5:$B$489, B4863, '📋 Detalle Diario'!$C$5:$C$489, D4863) * 200), 0))</f>
        <v/>
      </c>
      <c r="P4863" s="32" t="str">
        <f t="shared" si="530"/>
        <v/>
      </c>
      <c r="Q4863" s="33" t="str">
        <f t="shared" si="531"/>
        <v/>
      </c>
    </row>
    <row r="4864" spans="2:17" ht="18" customHeight="1" x14ac:dyDescent="0.3">
      <c r="B4864" s="26"/>
      <c r="C4864" s="17"/>
      <c r="D4864" s="27"/>
      <c r="E4864" s="18"/>
      <c r="F4864" s="18"/>
      <c r="G4864" s="18"/>
      <c r="H4864" s="30" t="str">
        <f t="shared" si="525"/>
        <v/>
      </c>
      <c r="I4864" s="31" t="str">
        <f>IF(OR(B4864="",C4864=""),"",IFERROR(E4864*IF(E4864="",0,VLOOKUP(C4864,'📦 Precios Proforma'!$B$5:$D$104,IF(D4864="DIA",2,3),FALSE)),0))</f>
        <v/>
      </c>
      <c r="J4864" s="31" t="str">
        <f t="shared" si="526"/>
        <v/>
      </c>
      <c r="K4864" s="31" t="str">
        <f t="shared" si="527"/>
        <v/>
      </c>
      <c r="L4864" s="31" t="str">
        <f>IF(OR(B4864="",C4864=""),"",IFERROR(E4864 / SUMIFS('📅 Resumen Diario'!$D$5:$D$504, '📅 Resumen Diario'!$B$5:$B$504, B4864, '📅 Resumen Diario'!$C$5:$C$504, D4864) * SUMIFS('📅 Resumen Diario'!$K$5:$K$504, '📅 Resumen Diario'!$B$5:$B$504, B4864, '📅 Resumen Diario'!$C$5:$C$504, D4864), 0))</f>
        <v/>
      </c>
      <c r="M4864" s="31" t="str">
        <f t="shared" si="528"/>
        <v/>
      </c>
      <c r="N4864" s="31" t="str">
        <f t="shared" si="529"/>
        <v/>
      </c>
      <c r="O4864" s="31" t="str">
        <f>IF(OR(B4864="",C4864=""),"",K4864-N4864 + IFERROR(E4864 / SUMIFS('📅 Resumen Diario'!$D$5:$D$504, '📅 Resumen Diario'!$B$5:$B$504, B4864, '📅 Resumen Diario'!$C$5:$C$504, D4864) * (SUMIFS('📋 Detalle Diario'!$E$5:$E$489, '📋 Detalle Diario'!$B$5:$B$489, B4864, '📋 Detalle Diario'!$C$5:$C$489, D4864) * 135 + SUMIFS('📋 Detalle Diario'!$I$5:$I$489, '📋 Detalle Diario'!$B$5:$B$489, B4864, '📋 Detalle Diario'!$C$5:$C$489, D4864) * 200), 0))</f>
        <v/>
      </c>
      <c r="P4864" s="32" t="str">
        <f t="shared" si="530"/>
        <v/>
      </c>
      <c r="Q4864" s="33" t="str">
        <f t="shared" si="531"/>
        <v/>
      </c>
    </row>
    <row r="4865" spans="2:17" ht="18" customHeight="1" x14ac:dyDescent="0.3">
      <c r="B4865" s="26"/>
      <c r="C4865" s="28"/>
      <c r="D4865" s="27"/>
      <c r="E4865" s="29"/>
      <c r="F4865" s="29"/>
      <c r="G4865" s="29"/>
      <c r="H4865" s="30" t="str">
        <f t="shared" si="525"/>
        <v/>
      </c>
      <c r="I4865" s="31" t="str">
        <f>IF(OR(B4865="",C4865=""),"",IFERROR(E4865*IF(E4865="",0,VLOOKUP(C4865,'📦 Precios Proforma'!$B$5:$D$104,IF(D4865="DIA",2,3),FALSE)),0))</f>
        <v/>
      </c>
      <c r="J4865" s="31" t="str">
        <f t="shared" si="526"/>
        <v/>
      </c>
      <c r="K4865" s="31" t="str">
        <f t="shared" si="527"/>
        <v/>
      </c>
      <c r="L4865" s="31" t="str">
        <f>IF(OR(B4865="",C4865=""),"",IFERROR(E4865 / SUMIFS('📅 Resumen Diario'!$D$5:$D$504, '📅 Resumen Diario'!$B$5:$B$504, B4865, '📅 Resumen Diario'!$C$5:$C$504, D4865) * SUMIFS('📅 Resumen Diario'!$K$5:$K$504, '📅 Resumen Diario'!$B$5:$B$504, B4865, '📅 Resumen Diario'!$C$5:$C$504, D4865), 0))</f>
        <v/>
      </c>
      <c r="M4865" s="31" t="str">
        <f t="shared" si="528"/>
        <v/>
      </c>
      <c r="N4865" s="31" t="str">
        <f t="shared" si="529"/>
        <v/>
      </c>
      <c r="O4865" s="31" t="str">
        <f>IF(OR(B4865="",C4865=""),"",K4865-N4865 + IFERROR(E4865 / SUMIFS('📅 Resumen Diario'!$D$5:$D$504, '📅 Resumen Diario'!$B$5:$B$504, B4865, '📅 Resumen Diario'!$C$5:$C$504, D4865) * (SUMIFS('📋 Detalle Diario'!$E$5:$E$489, '📋 Detalle Diario'!$B$5:$B$489, B4865, '📋 Detalle Diario'!$C$5:$C$489, D4865) * 135 + SUMIFS('📋 Detalle Diario'!$I$5:$I$489, '📋 Detalle Diario'!$B$5:$B$489, B4865, '📋 Detalle Diario'!$C$5:$C$489, D4865) * 200), 0))</f>
        <v/>
      </c>
      <c r="P4865" s="32" t="str">
        <f t="shared" si="530"/>
        <v/>
      </c>
      <c r="Q4865" s="33" t="str">
        <f t="shared" si="531"/>
        <v/>
      </c>
    </row>
    <row r="4866" spans="2:17" ht="18" customHeight="1" x14ac:dyDescent="0.3">
      <c r="B4866" s="26"/>
      <c r="C4866" s="17"/>
      <c r="D4866" s="27"/>
      <c r="E4866" s="18"/>
      <c r="F4866" s="18"/>
      <c r="G4866" s="18"/>
      <c r="H4866" s="30" t="str">
        <f t="shared" si="525"/>
        <v/>
      </c>
      <c r="I4866" s="31" t="str">
        <f>IF(OR(B4866="",C4866=""),"",IFERROR(E4866*IF(E4866="",0,VLOOKUP(C4866,'📦 Precios Proforma'!$B$5:$D$104,IF(D4866="DIA",2,3),FALSE)),0))</f>
        <v/>
      </c>
      <c r="J4866" s="31" t="str">
        <f t="shared" si="526"/>
        <v/>
      </c>
      <c r="K4866" s="31" t="str">
        <f t="shared" si="527"/>
        <v/>
      </c>
      <c r="L4866" s="31" t="str">
        <f>IF(OR(B4866="",C4866=""),"",IFERROR(E4866 / SUMIFS('📅 Resumen Diario'!$D$5:$D$504, '📅 Resumen Diario'!$B$5:$B$504, B4866, '📅 Resumen Diario'!$C$5:$C$504, D4866) * SUMIFS('📅 Resumen Diario'!$K$5:$K$504, '📅 Resumen Diario'!$B$5:$B$504, B4866, '📅 Resumen Diario'!$C$5:$C$504, D4866), 0))</f>
        <v/>
      </c>
      <c r="M4866" s="31" t="str">
        <f t="shared" si="528"/>
        <v/>
      </c>
      <c r="N4866" s="31" t="str">
        <f t="shared" si="529"/>
        <v/>
      </c>
      <c r="O4866" s="31" t="str">
        <f>IF(OR(B4866="",C4866=""),"",K4866-N4866 + IFERROR(E4866 / SUMIFS('📅 Resumen Diario'!$D$5:$D$504, '📅 Resumen Diario'!$B$5:$B$504, B4866, '📅 Resumen Diario'!$C$5:$C$504, D4866) * (SUMIFS('📋 Detalle Diario'!$E$5:$E$489, '📋 Detalle Diario'!$B$5:$B$489, B4866, '📋 Detalle Diario'!$C$5:$C$489, D4866) * 135 + SUMIFS('📋 Detalle Diario'!$I$5:$I$489, '📋 Detalle Diario'!$B$5:$B$489, B4866, '📋 Detalle Diario'!$C$5:$C$489, D4866) * 200), 0))</f>
        <v/>
      </c>
      <c r="P4866" s="32" t="str">
        <f t="shared" si="530"/>
        <v/>
      </c>
      <c r="Q4866" s="33" t="str">
        <f t="shared" si="531"/>
        <v/>
      </c>
    </row>
    <row r="4867" spans="2:17" ht="18" customHeight="1" x14ac:dyDescent="0.3">
      <c r="B4867" s="26"/>
      <c r="C4867" s="28"/>
      <c r="D4867" s="27"/>
      <c r="E4867" s="29"/>
      <c r="F4867" s="29"/>
      <c r="G4867" s="29"/>
      <c r="H4867" s="30" t="str">
        <f t="shared" si="525"/>
        <v/>
      </c>
      <c r="I4867" s="31" t="str">
        <f>IF(OR(B4867="",C4867=""),"",IFERROR(E4867*IF(E4867="",0,VLOOKUP(C4867,'📦 Precios Proforma'!$B$5:$D$104,IF(D4867="DIA",2,3),FALSE)),0))</f>
        <v/>
      </c>
      <c r="J4867" s="31" t="str">
        <f t="shared" si="526"/>
        <v/>
      </c>
      <c r="K4867" s="31" t="str">
        <f t="shared" si="527"/>
        <v/>
      </c>
      <c r="L4867" s="31" t="str">
        <f>IF(OR(B4867="",C4867=""),"",IFERROR(E4867 / SUMIFS('📅 Resumen Diario'!$D$5:$D$504, '📅 Resumen Diario'!$B$5:$B$504, B4867, '📅 Resumen Diario'!$C$5:$C$504, D4867) * SUMIFS('📅 Resumen Diario'!$K$5:$K$504, '📅 Resumen Diario'!$B$5:$B$504, B4867, '📅 Resumen Diario'!$C$5:$C$504, D4867), 0))</f>
        <v/>
      </c>
      <c r="M4867" s="31" t="str">
        <f t="shared" si="528"/>
        <v/>
      </c>
      <c r="N4867" s="31" t="str">
        <f t="shared" si="529"/>
        <v/>
      </c>
      <c r="O4867" s="31" t="str">
        <f>IF(OR(B4867="",C4867=""),"",K4867-N4867 + IFERROR(E4867 / SUMIFS('📅 Resumen Diario'!$D$5:$D$504, '📅 Resumen Diario'!$B$5:$B$504, B4867, '📅 Resumen Diario'!$C$5:$C$504, D4867) * (SUMIFS('📋 Detalle Diario'!$E$5:$E$489, '📋 Detalle Diario'!$B$5:$B$489, B4867, '📋 Detalle Diario'!$C$5:$C$489, D4867) * 135 + SUMIFS('📋 Detalle Diario'!$I$5:$I$489, '📋 Detalle Diario'!$B$5:$B$489, B4867, '📋 Detalle Diario'!$C$5:$C$489, D4867) * 200), 0))</f>
        <v/>
      </c>
      <c r="P4867" s="32" t="str">
        <f t="shared" si="530"/>
        <v/>
      </c>
      <c r="Q4867" s="33" t="str">
        <f t="shared" si="531"/>
        <v/>
      </c>
    </row>
    <row r="4868" spans="2:17" ht="18" customHeight="1" x14ac:dyDescent="0.3">
      <c r="B4868" s="26"/>
      <c r="C4868" s="17"/>
      <c r="D4868" s="27"/>
      <c r="E4868" s="18"/>
      <c r="F4868" s="18"/>
      <c r="G4868" s="18"/>
      <c r="H4868" s="30" t="str">
        <f t="shared" si="525"/>
        <v/>
      </c>
      <c r="I4868" s="31" t="str">
        <f>IF(OR(B4868="",C4868=""),"",IFERROR(E4868*IF(E4868="",0,VLOOKUP(C4868,'📦 Precios Proforma'!$B$5:$D$104,IF(D4868="DIA",2,3),FALSE)),0))</f>
        <v/>
      </c>
      <c r="J4868" s="31" t="str">
        <f t="shared" si="526"/>
        <v/>
      </c>
      <c r="K4868" s="31" t="str">
        <f t="shared" si="527"/>
        <v/>
      </c>
      <c r="L4868" s="31" t="str">
        <f>IF(OR(B4868="",C4868=""),"",IFERROR(E4868 / SUMIFS('📅 Resumen Diario'!$D$5:$D$504, '📅 Resumen Diario'!$B$5:$B$504, B4868, '📅 Resumen Diario'!$C$5:$C$504, D4868) * SUMIFS('📅 Resumen Diario'!$K$5:$K$504, '📅 Resumen Diario'!$B$5:$B$504, B4868, '📅 Resumen Diario'!$C$5:$C$504, D4868), 0))</f>
        <v/>
      </c>
      <c r="M4868" s="31" t="str">
        <f t="shared" si="528"/>
        <v/>
      </c>
      <c r="N4868" s="31" t="str">
        <f t="shared" si="529"/>
        <v/>
      </c>
      <c r="O4868" s="31" t="str">
        <f>IF(OR(B4868="",C4868=""),"",K4868-N4868 + IFERROR(E4868 / SUMIFS('📅 Resumen Diario'!$D$5:$D$504, '📅 Resumen Diario'!$B$5:$B$504, B4868, '📅 Resumen Diario'!$C$5:$C$504, D4868) * (SUMIFS('📋 Detalle Diario'!$E$5:$E$489, '📋 Detalle Diario'!$B$5:$B$489, B4868, '📋 Detalle Diario'!$C$5:$C$489, D4868) * 135 + SUMIFS('📋 Detalle Diario'!$I$5:$I$489, '📋 Detalle Diario'!$B$5:$B$489, B4868, '📋 Detalle Diario'!$C$5:$C$489, D4868) * 200), 0))</f>
        <v/>
      </c>
      <c r="P4868" s="32" t="str">
        <f t="shared" si="530"/>
        <v/>
      </c>
      <c r="Q4868" s="33" t="str">
        <f t="shared" si="531"/>
        <v/>
      </c>
    </row>
    <row r="4869" spans="2:17" ht="18" customHeight="1" x14ac:dyDescent="0.3">
      <c r="B4869" s="26"/>
      <c r="C4869" s="28"/>
      <c r="D4869" s="27"/>
      <c r="E4869" s="29"/>
      <c r="F4869" s="29"/>
      <c r="G4869" s="29"/>
      <c r="H4869" s="30" t="str">
        <f t="shared" si="525"/>
        <v/>
      </c>
      <c r="I4869" s="31" t="str">
        <f>IF(OR(B4869="",C4869=""),"",IFERROR(E4869*IF(E4869="",0,VLOOKUP(C4869,'📦 Precios Proforma'!$B$5:$D$104,IF(D4869="DIA",2,3),FALSE)),0))</f>
        <v/>
      </c>
      <c r="J4869" s="31" t="str">
        <f t="shared" si="526"/>
        <v/>
      </c>
      <c r="K4869" s="31" t="str">
        <f t="shared" si="527"/>
        <v/>
      </c>
      <c r="L4869" s="31" t="str">
        <f>IF(OR(B4869="",C4869=""),"",IFERROR(E4869 / SUMIFS('📅 Resumen Diario'!$D$5:$D$504, '📅 Resumen Diario'!$B$5:$B$504, B4869, '📅 Resumen Diario'!$C$5:$C$504, D4869) * SUMIFS('📅 Resumen Diario'!$K$5:$K$504, '📅 Resumen Diario'!$B$5:$B$504, B4869, '📅 Resumen Diario'!$C$5:$C$504, D4869), 0))</f>
        <v/>
      </c>
      <c r="M4869" s="31" t="str">
        <f t="shared" si="528"/>
        <v/>
      </c>
      <c r="N4869" s="31" t="str">
        <f t="shared" si="529"/>
        <v/>
      </c>
      <c r="O4869" s="31" t="str">
        <f>IF(OR(B4869="",C4869=""),"",K4869-N4869 + IFERROR(E4869 / SUMIFS('📅 Resumen Diario'!$D$5:$D$504, '📅 Resumen Diario'!$B$5:$B$504, B4869, '📅 Resumen Diario'!$C$5:$C$504, D4869) * (SUMIFS('📋 Detalle Diario'!$E$5:$E$489, '📋 Detalle Diario'!$B$5:$B$489, B4869, '📋 Detalle Diario'!$C$5:$C$489, D4869) * 135 + SUMIFS('📋 Detalle Diario'!$I$5:$I$489, '📋 Detalle Diario'!$B$5:$B$489, B4869, '📋 Detalle Diario'!$C$5:$C$489, D4869) * 200), 0))</f>
        <v/>
      </c>
      <c r="P4869" s="32" t="str">
        <f t="shared" si="530"/>
        <v/>
      </c>
      <c r="Q4869" s="33" t="str">
        <f t="shared" si="531"/>
        <v/>
      </c>
    </row>
    <row r="4870" spans="2:17" ht="18" customHeight="1" x14ac:dyDescent="0.3">
      <c r="B4870" s="26"/>
      <c r="C4870" s="17"/>
      <c r="D4870" s="27"/>
      <c r="E4870" s="18"/>
      <c r="F4870" s="18"/>
      <c r="G4870" s="18"/>
      <c r="H4870" s="30" t="str">
        <f t="shared" si="525"/>
        <v/>
      </c>
      <c r="I4870" s="31" t="str">
        <f>IF(OR(B4870="",C4870=""),"",IFERROR(E4870*IF(E4870="",0,VLOOKUP(C4870,'📦 Precios Proforma'!$B$5:$D$104,IF(D4870="DIA",2,3),FALSE)),0))</f>
        <v/>
      </c>
      <c r="J4870" s="31" t="str">
        <f t="shared" si="526"/>
        <v/>
      </c>
      <c r="K4870" s="31" t="str">
        <f t="shared" si="527"/>
        <v/>
      </c>
      <c r="L4870" s="31" t="str">
        <f>IF(OR(B4870="",C4870=""),"",IFERROR(E4870 / SUMIFS('📅 Resumen Diario'!$D$5:$D$504, '📅 Resumen Diario'!$B$5:$B$504, B4870, '📅 Resumen Diario'!$C$5:$C$504, D4870) * SUMIFS('📅 Resumen Diario'!$K$5:$K$504, '📅 Resumen Diario'!$B$5:$B$504, B4870, '📅 Resumen Diario'!$C$5:$C$504, D4870), 0))</f>
        <v/>
      </c>
      <c r="M4870" s="31" t="str">
        <f t="shared" si="528"/>
        <v/>
      </c>
      <c r="N4870" s="31" t="str">
        <f t="shared" si="529"/>
        <v/>
      </c>
      <c r="O4870" s="31" t="str">
        <f>IF(OR(B4870="",C4870=""),"",K4870-N4870 + IFERROR(E4870 / SUMIFS('📅 Resumen Diario'!$D$5:$D$504, '📅 Resumen Diario'!$B$5:$B$504, B4870, '📅 Resumen Diario'!$C$5:$C$504, D4870) * (SUMIFS('📋 Detalle Diario'!$E$5:$E$489, '📋 Detalle Diario'!$B$5:$B$489, B4870, '📋 Detalle Diario'!$C$5:$C$489, D4870) * 135 + SUMIFS('📋 Detalle Diario'!$I$5:$I$489, '📋 Detalle Diario'!$B$5:$B$489, B4870, '📋 Detalle Diario'!$C$5:$C$489, D4870) * 200), 0))</f>
        <v/>
      </c>
      <c r="P4870" s="32" t="str">
        <f t="shared" si="530"/>
        <v/>
      </c>
      <c r="Q4870" s="33" t="str">
        <f t="shared" si="531"/>
        <v/>
      </c>
    </row>
    <row r="4871" spans="2:17" ht="18" customHeight="1" x14ac:dyDescent="0.3">
      <c r="B4871" s="26"/>
      <c r="C4871" s="28"/>
      <c r="D4871" s="27"/>
      <c r="E4871" s="29"/>
      <c r="F4871" s="29"/>
      <c r="G4871" s="29"/>
      <c r="H4871" s="30" t="str">
        <f t="shared" ref="H4871:H4934" si="532">IF(OR(B4871="",C4871=""),"",F4871+G4871)</f>
        <v/>
      </c>
      <c r="I4871" s="31" t="str">
        <f>IF(OR(B4871="",C4871=""),"",IFERROR(E4871*IF(E4871="",0,VLOOKUP(C4871,'📦 Precios Proforma'!$B$5:$D$104,IF(D4871="DIA",2,3),FALSE)),0))</f>
        <v/>
      </c>
      <c r="J4871" s="31" t="str">
        <f t="shared" ref="J4871:J4934" si="533">IF(OR(B4871="",C4871=""),"",IF(D4871="DIA",H4871*1.01,H4871*1.35))</f>
        <v/>
      </c>
      <c r="K4871" s="31" t="str">
        <f t="shared" ref="K4871:K4934" si="534">IF(OR(B4871="",C4871=""),"",I4871+J4871)</f>
        <v/>
      </c>
      <c r="L4871" s="31" t="str">
        <f>IF(OR(B4871="",C4871=""),"",IFERROR(E4871 / SUMIFS('📅 Resumen Diario'!$D$5:$D$504, '📅 Resumen Diario'!$B$5:$B$504, B4871, '📅 Resumen Diario'!$C$5:$C$504, D4871) * SUMIFS('📅 Resumen Diario'!$K$5:$K$504, '📅 Resumen Diario'!$B$5:$B$504, B4871, '📅 Resumen Diario'!$C$5:$C$504, D4871), 0))</f>
        <v/>
      </c>
      <c r="M4871" s="31" t="str">
        <f t="shared" ref="M4871:M4934" si="535">IF(OR(B4871="",C4871=""),"",H4871*0.09)</f>
        <v/>
      </c>
      <c r="N4871" s="31" t="str">
        <f t="shared" ref="N4871:N4934" si="536">IF(OR(B4871="",C4871=""),"",L4871+M4871)</f>
        <v/>
      </c>
      <c r="O4871" s="31" t="str">
        <f>IF(OR(B4871="",C4871=""),"",K4871-N4871 + IFERROR(E4871 / SUMIFS('📅 Resumen Diario'!$D$5:$D$504, '📅 Resumen Diario'!$B$5:$B$504, B4871, '📅 Resumen Diario'!$C$5:$C$504, D4871) * (SUMIFS('📋 Detalle Diario'!$E$5:$E$489, '📋 Detalle Diario'!$B$5:$B$489, B4871, '📋 Detalle Diario'!$C$5:$C$489, D4871) * 135 + SUMIFS('📋 Detalle Diario'!$I$5:$I$489, '📋 Detalle Diario'!$B$5:$B$489, B4871, '📋 Detalle Diario'!$C$5:$C$489, D4871) * 200), 0))</f>
        <v/>
      </c>
      <c r="P4871" s="32" t="str">
        <f t="shared" ref="P4871:P4934" si="537">IF(OR(B4871="",C4871=""),"",IF(K4871=0, 0, O4871/K4871))</f>
        <v/>
      </c>
      <c r="Q4871" s="33" t="str">
        <f t="shared" ref="Q4871:Q4934" si="538">IF(B4871="","",IF(ISNUMBER(B4871),YEAR(B4871)&amp;"-"&amp;IF(MONTH(B4871)&lt;10,"0","")&amp;MONTH(B4871),LEFT(B4871,7)))</f>
        <v/>
      </c>
    </row>
    <row r="4872" spans="2:17" ht="18" customHeight="1" x14ac:dyDescent="0.3">
      <c r="B4872" s="26"/>
      <c r="C4872" s="17"/>
      <c r="D4872" s="27"/>
      <c r="E4872" s="18"/>
      <c r="F4872" s="18"/>
      <c r="G4872" s="18"/>
      <c r="H4872" s="30" t="str">
        <f t="shared" si="532"/>
        <v/>
      </c>
      <c r="I4872" s="31" t="str">
        <f>IF(OR(B4872="",C4872=""),"",IFERROR(E4872*IF(E4872="",0,VLOOKUP(C4872,'📦 Precios Proforma'!$B$5:$D$104,IF(D4872="DIA",2,3),FALSE)),0))</f>
        <v/>
      </c>
      <c r="J4872" s="31" t="str">
        <f t="shared" si="533"/>
        <v/>
      </c>
      <c r="K4872" s="31" t="str">
        <f t="shared" si="534"/>
        <v/>
      </c>
      <c r="L4872" s="31" t="str">
        <f>IF(OR(B4872="",C4872=""),"",IFERROR(E4872 / SUMIFS('📅 Resumen Diario'!$D$5:$D$504, '📅 Resumen Diario'!$B$5:$B$504, B4872, '📅 Resumen Diario'!$C$5:$C$504, D4872) * SUMIFS('📅 Resumen Diario'!$K$5:$K$504, '📅 Resumen Diario'!$B$5:$B$504, B4872, '📅 Resumen Diario'!$C$5:$C$504, D4872), 0))</f>
        <v/>
      </c>
      <c r="M4872" s="31" t="str">
        <f t="shared" si="535"/>
        <v/>
      </c>
      <c r="N4872" s="31" t="str">
        <f t="shared" si="536"/>
        <v/>
      </c>
      <c r="O4872" s="31" t="str">
        <f>IF(OR(B4872="",C4872=""),"",K4872-N4872 + IFERROR(E4872 / SUMIFS('📅 Resumen Diario'!$D$5:$D$504, '📅 Resumen Diario'!$B$5:$B$504, B4872, '📅 Resumen Diario'!$C$5:$C$504, D4872) * (SUMIFS('📋 Detalle Diario'!$E$5:$E$489, '📋 Detalle Diario'!$B$5:$B$489, B4872, '📋 Detalle Diario'!$C$5:$C$489, D4872) * 135 + SUMIFS('📋 Detalle Diario'!$I$5:$I$489, '📋 Detalle Diario'!$B$5:$B$489, B4872, '📋 Detalle Diario'!$C$5:$C$489, D4872) * 200), 0))</f>
        <v/>
      </c>
      <c r="P4872" s="32" t="str">
        <f t="shared" si="537"/>
        <v/>
      </c>
      <c r="Q4872" s="33" t="str">
        <f t="shared" si="538"/>
        <v/>
      </c>
    </row>
    <row r="4873" spans="2:17" ht="18" customHeight="1" x14ac:dyDescent="0.3">
      <c r="B4873" s="26"/>
      <c r="C4873" s="28"/>
      <c r="D4873" s="27"/>
      <c r="E4873" s="29"/>
      <c r="F4873" s="29"/>
      <c r="G4873" s="29"/>
      <c r="H4873" s="30" t="str">
        <f t="shared" si="532"/>
        <v/>
      </c>
      <c r="I4873" s="31" t="str">
        <f>IF(OR(B4873="",C4873=""),"",IFERROR(E4873*IF(E4873="",0,VLOOKUP(C4873,'📦 Precios Proforma'!$B$5:$D$104,IF(D4873="DIA",2,3),FALSE)),0))</f>
        <v/>
      </c>
      <c r="J4873" s="31" t="str">
        <f t="shared" si="533"/>
        <v/>
      </c>
      <c r="K4873" s="31" t="str">
        <f t="shared" si="534"/>
        <v/>
      </c>
      <c r="L4873" s="31" t="str">
        <f>IF(OR(B4873="",C4873=""),"",IFERROR(E4873 / SUMIFS('📅 Resumen Diario'!$D$5:$D$504, '📅 Resumen Diario'!$B$5:$B$504, B4873, '📅 Resumen Diario'!$C$5:$C$504, D4873) * SUMIFS('📅 Resumen Diario'!$K$5:$K$504, '📅 Resumen Diario'!$B$5:$B$504, B4873, '📅 Resumen Diario'!$C$5:$C$504, D4873), 0))</f>
        <v/>
      </c>
      <c r="M4873" s="31" t="str">
        <f t="shared" si="535"/>
        <v/>
      </c>
      <c r="N4873" s="31" t="str">
        <f t="shared" si="536"/>
        <v/>
      </c>
      <c r="O4873" s="31" t="str">
        <f>IF(OR(B4873="",C4873=""),"",K4873-N4873 + IFERROR(E4873 / SUMIFS('📅 Resumen Diario'!$D$5:$D$504, '📅 Resumen Diario'!$B$5:$B$504, B4873, '📅 Resumen Diario'!$C$5:$C$504, D4873) * (SUMIFS('📋 Detalle Diario'!$E$5:$E$489, '📋 Detalle Diario'!$B$5:$B$489, B4873, '📋 Detalle Diario'!$C$5:$C$489, D4873) * 135 + SUMIFS('📋 Detalle Diario'!$I$5:$I$489, '📋 Detalle Diario'!$B$5:$B$489, B4873, '📋 Detalle Diario'!$C$5:$C$489, D4873) * 200), 0))</f>
        <v/>
      </c>
      <c r="P4873" s="32" t="str">
        <f t="shared" si="537"/>
        <v/>
      </c>
      <c r="Q4873" s="33" t="str">
        <f t="shared" si="538"/>
        <v/>
      </c>
    </row>
    <row r="4874" spans="2:17" ht="18" customHeight="1" x14ac:dyDescent="0.3">
      <c r="B4874" s="26"/>
      <c r="C4874" s="17"/>
      <c r="D4874" s="27"/>
      <c r="E4874" s="18"/>
      <c r="F4874" s="18"/>
      <c r="G4874" s="18"/>
      <c r="H4874" s="30" t="str">
        <f t="shared" si="532"/>
        <v/>
      </c>
      <c r="I4874" s="31" t="str">
        <f>IF(OR(B4874="",C4874=""),"",IFERROR(E4874*IF(E4874="",0,VLOOKUP(C4874,'📦 Precios Proforma'!$B$5:$D$104,IF(D4874="DIA",2,3),FALSE)),0))</f>
        <v/>
      </c>
      <c r="J4874" s="31" t="str">
        <f t="shared" si="533"/>
        <v/>
      </c>
      <c r="K4874" s="31" t="str">
        <f t="shared" si="534"/>
        <v/>
      </c>
      <c r="L4874" s="31" t="str">
        <f>IF(OR(B4874="",C4874=""),"",IFERROR(E4874 / SUMIFS('📅 Resumen Diario'!$D$5:$D$504, '📅 Resumen Diario'!$B$5:$B$504, B4874, '📅 Resumen Diario'!$C$5:$C$504, D4874) * SUMIFS('📅 Resumen Diario'!$K$5:$K$504, '📅 Resumen Diario'!$B$5:$B$504, B4874, '📅 Resumen Diario'!$C$5:$C$504, D4874), 0))</f>
        <v/>
      </c>
      <c r="M4874" s="31" t="str">
        <f t="shared" si="535"/>
        <v/>
      </c>
      <c r="N4874" s="31" t="str">
        <f t="shared" si="536"/>
        <v/>
      </c>
      <c r="O4874" s="31" t="str">
        <f>IF(OR(B4874="",C4874=""),"",K4874-N4874 + IFERROR(E4874 / SUMIFS('📅 Resumen Diario'!$D$5:$D$504, '📅 Resumen Diario'!$B$5:$B$504, B4874, '📅 Resumen Diario'!$C$5:$C$504, D4874) * (SUMIFS('📋 Detalle Diario'!$E$5:$E$489, '📋 Detalle Diario'!$B$5:$B$489, B4874, '📋 Detalle Diario'!$C$5:$C$489, D4874) * 135 + SUMIFS('📋 Detalle Diario'!$I$5:$I$489, '📋 Detalle Diario'!$B$5:$B$489, B4874, '📋 Detalle Diario'!$C$5:$C$489, D4874) * 200), 0))</f>
        <v/>
      </c>
      <c r="P4874" s="32" t="str">
        <f t="shared" si="537"/>
        <v/>
      </c>
      <c r="Q4874" s="33" t="str">
        <f t="shared" si="538"/>
        <v/>
      </c>
    </row>
    <row r="4875" spans="2:17" ht="18" customHeight="1" x14ac:dyDescent="0.3">
      <c r="B4875" s="26"/>
      <c r="C4875" s="28"/>
      <c r="D4875" s="27"/>
      <c r="E4875" s="29"/>
      <c r="F4875" s="29"/>
      <c r="G4875" s="29"/>
      <c r="H4875" s="30" t="str">
        <f t="shared" si="532"/>
        <v/>
      </c>
      <c r="I4875" s="31" t="str">
        <f>IF(OR(B4875="",C4875=""),"",IFERROR(E4875*IF(E4875="",0,VLOOKUP(C4875,'📦 Precios Proforma'!$B$5:$D$104,IF(D4875="DIA",2,3),FALSE)),0))</f>
        <v/>
      </c>
      <c r="J4875" s="31" t="str">
        <f t="shared" si="533"/>
        <v/>
      </c>
      <c r="K4875" s="31" t="str">
        <f t="shared" si="534"/>
        <v/>
      </c>
      <c r="L4875" s="31" t="str">
        <f>IF(OR(B4875="",C4875=""),"",IFERROR(E4875 / SUMIFS('📅 Resumen Diario'!$D$5:$D$504, '📅 Resumen Diario'!$B$5:$B$504, B4875, '📅 Resumen Diario'!$C$5:$C$504, D4875) * SUMIFS('📅 Resumen Diario'!$K$5:$K$504, '📅 Resumen Diario'!$B$5:$B$504, B4875, '📅 Resumen Diario'!$C$5:$C$504, D4875), 0))</f>
        <v/>
      </c>
      <c r="M4875" s="31" t="str">
        <f t="shared" si="535"/>
        <v/>
      </c>
      <c r="N4875" s="31" t="str">
        <f t="shared" si="536"/>
        <v/>
      </c>
      <c r="O4875" s="31" t="str">
        <f>IF(OR(B4875="",C4875=""),"",K4875-N4875 + IFERROR(E4875 / SUMIFS('📅 Resumen Diario'!$D$5:$D$504, '📅 Resumen Diario'!$B$5:$B$504, B4875, '📅 Resumen Diario'!$C$5:$C$504, D4875) * (SUMIFS('📋 Detalle Diario'!$E$5:$E$489, '📋 Detalle Diario'!$B$5:$B$489, B4875, '📋 Detalle Diario'!$C$5:$C$489, D4875) * 135 + SUMIFS('📋 Detalle Diario'!$I$5:$I$489, '📋 Detalle Diario'!$B$5:$B$489, B4875, '📋 Detalle Diario'!$C$5:$C$489, D4875) * 200), 0))</f>
        <v/>
      </c>
      <c r="P4875" s="32" t="str">
        <f t="shared" si="537"/>
        <v/>
      </c>
      <c r="Q4875" s="33" t="str">
        <f t="shared" si="538"/>
        <v/>
      </c>
    </row>
    <row r="4876" spans="2:17" ht="18" customHeight="1" x14ac:dyDescent="0.3">
      <c r="B4876" s="26"/>
      <c r="C4876" s="17"/>
      <c r="D4876" s="27"/>
      <c r="E4876" s="18"/>
      <c r="F4876" s="18"/>
      <c r="G4876" s="18"/>
      <c r="H4876" s="30" t="str">
        <f t="shared" si="532"/>
        <v/>
      </c>
      <c r="I4876" s="31" t="str">
        <f>IF(OR(B4876="",C4876=""),"",IFERROR(E4876*IF(E4876="",0,VLOOKUP(C4876,'📦 Precios Proforma'!$B$5:$D$104,IF(D4876="DIA",2,3),FALSE)),0))</f>
        <v/>
      </c>
      <c r="J4876" s="31" t="str">
        <f t="shared" si="533"/>
        <v/>
      </c>
      <c r="K4876" s="31" t="str">
        <f t="shared" si="534"/>
        <v/>
      </c>
      <c r="L4876" s="31" t="str">
        <f>IF(OR(B4876="",C4876=""),"",IFERROR(E4876 / SUMIFS('📅 Resumen Diario'!$D$5:$D$504, '📅 Resumen Diario'!$B$5:$B$504, B4876, '📅 Resumen Diario'!$C$5:$C$504, D4876) * SUMIFS('📅 Resumen Diario'!$K$5:$K$504, '📅 Resumen Diario'!$B$5:$B$504, B4876, '📅 Resumen Diario'!$C$5:$C$504, D4876), 0))</f>
        <v/>
      </c>
      <c r="M4876" s="31" t="str">
        <f t="shared" si="535"/>
        <v/>
      </c>
      <c r="N4876" s="31" t="str">
        <f t="shared" si="536"/>
        <v/>
      </c>
      <c r="O4876" s="31" t="str">
        <f>IF(OR(B4876="",C4876=""),"",K4876-N4876 + IFERROR(E4876 / SUMIFS('📅 Resumen Diario'!$D$5:$D$504, '📅 Resumen Diario'!$B$5:$B$504, B4876, '📅 Resumen Diario'!$C$5:$C$504, D4876) * (SUMIFS('📋 Detalle Diario'!$E$5:$E$489, '📋 Detalle Diario'!$B$5:$B$489, B4876, '📋 Detalle Diario'!$C$5:$C$489, D4876) * 135 + SUMIFS('📋 Detalle Diario'!$I$5:$I$489, '📋 Detalle Diario'!$B$5:$B$489, B4876, '📋 Detalle Diario'!$C$5:$C$489, D4876) * 200), 0))</f>
        <v/>
      </c>
      <c r="P4876" s="32" t="str">
        <f t="shared" si="537"/>
        <v/>
      </c>
      <c r="Q4876" s="33" t="str">
        <f t="shared" si="538"/>
        <v/>
      </c>
    </row>
    <row r="4877" spans="2:17" ht="18" customHeight="1" x14ac:dyDescent="0.3">
      <c r="B4877" s="26"/>
      <c r="C4877" s="28"/>
      <c r="D4877" s="27"/>
      <c r="E4877" s="29"/>
      <c r="F4877" s="29"/>
      <c r="G4877" s="29"/>
      <c r="H4877" s="30" t="str">
        <f t="shared" si="532"/>
        <v/>
      </c>
      <c r="I4877" s="31" t="str">
        <f>IF(OR(B4877="",C4877=""),"",IFERROR(E4877*IF(E4877="",0,VLOOKUP(C4877,'📦 Precios Proforma'!$B$5:$D$104,IF(D4877="DIA",2,3),FALSE)),0))</f>
        <v/>
      </c>
      <c r="J4877" s="31" t="str">
        <f t="shared" si="533"/>
        <v/>
      </c>
      <c r="K4877" s="31" t="str">
        <f t="shared" si="534"/>
        <v/>
      </c>
      <c r="L4877" s="31" t="str">
        <f>IF(OR(B4877="",C4877=""),"",IFERROR(E4877 / SUMIFS('📅 Resumen Diario'!$D$5:$D$504, '📅 Resumen Diario'!$B$5:$B$504, B4877, '📅 Resumen Diario'!$C$5:$C$504, D4877) * SUMIFS('📅 Resumen Diario'!$K$5:$K$504, '📅 Resumen Diario'!$B$5:$B$504, B4877, '📅 Resumen Diario'!$C$5:$C$504, D4877), 0))</f>
        <v/>
      </c>
      <c r="M4877" s="31" t="str">
        <f t="shared" si="535"/>
        <v/>
      </c>
      <c r="N4877" s="31" t="str">
        <f t="shared" si="536"/>
        <v/>
      </c>
      <c r="O4877" s="31" t="str">
        <f>IF(OR(B4877="",C4877=""),"",K4877-N4877 + IFERROR(E4877 / SUMIFS('📅 Resumen Diario'!$D$5:$D$504, '📅 Resumen Diario'!$B$5:$B$504, B4877, '📅 Resumen Diario'!$C$5:$C$504, D4877) * (SUMIFS('📋 Detalle Diario'!$E$5:$E$489, '📋 Detalle Diario'!$B$5:$B$489, B4877, '📋 Detalle Diario'!$C$5:$C$489, D4877) * 135 + SUMIFS('📋 Detalle Diario'!$I$5:$I$489, '📋 Detalle Diario'!$B$5:$B$489, B4877, '📋 Detalle Diario'!$C$5:$C$489, D4877) * 200), 0))</f>
        <v/>
      </c>
      <c r="P4877" s="32" t="str">
        <f t="shared" si="537"/>
        <v/>
      </c>
      <c r="Q4877" s="33" t="str">
        <f t="shared" si="538"/>
        <v/>
      </c>
    </row>
    <row r="4878" spans="2:17" ht="18" customHeight="1" x14ac:dyDescent="0.3">
      <c r="B4878" s="26"/>
      <c r="C4878" s="17"/>
      <c r="D4878" s="27"/>
      <c r="E4878" s="18"/>
      <c r="F4878" s="18"/>
      <c r="G4878" s="18"/>
      <c r="H4878" s="30" t="str">
        <f t="shared" si="532"/>
        <v/>
      </c>
      <c r="I4878" s="31" t="str">
        <f>IF(OR(B4878="",C4878=""),"",IFERROR(E4878*IF(E4878="",0,VLOOKUP(C4878,'📦 Precios Proforma'!$B$5:$D$104,IF(D4878="DIA",2,3),FALSE)),0))</f>
        <v/>
      </c>
      <c r="J4878" s="31" t="str">
        <f t="shared" si="533"/>
        <v/>
      </c>
      <c r="K4878" s="31" t="str">
        <f t="shared" si="534"/>
        <v/>
      </c>
      <c r="L4878" s="31" t="str">
        <f>IF(OR(B4878="",C4878=""),"",IFERROR(E4878 / SUMIFS('📅 Resumen Diario'!$D$5:$D$504, '📅 Resumen Diario'!$B$5:$B$504, B4878, '📅 Resumen Diario'!$C$5:$C$504, D4878) * SUMIFS('📅 Resumen Diario'!$K$5:$K$504, '📅 Resumen Diario'!$B$5:$B$504, B4878, '📅 Resumen Diario'!$C$5:$C$504, D4878), 0))</f>
        <v/>
      </c>
      <c r="M4878" s="31" t="str">
        <f t="shared" si="535"/>
        <v/>
      </c>
      <c r="N4878" s="31" t="str">
        <f t="shared" si="536"/>
        <v/>
      </c>
      <c r="O4878" s="31" t="str">
        <f>IF(OR(B4878="",C4878=""),"",K4878-N4878 + IFERROR(E4878 / SUMIFS('📅 Resumen Diario'!$D$5:$D$504, '📅 Resumen Diario'!$B$5:$B$504, B4878, '📅 Resumen Diario'!$C$5:$C$504, D4878) * (SUMIFS('📋 Detalle Diario'!$E$5:$E$489, '📋 Detalle Diario'!$B$5:$B$489, B4878, '📋 Detalle Diario'!$C$5:$C$489, D4878) * 135 + SUMIFS('📋 Detalle Diario'!$I$5:$I$489, '📋 Detalle Diario'!$B$5:$B$489, B4878, '📋 Detalle Diario'!$C$5:$C$489, D4878) * 200), 0))</f>
        <v/>
      </c>
      <c r="P4878" s="32" t="str">
        <f t="shared" si="537"/>
        <v/>
      </c>
      <c r="Q4878" s="33" t="str">
        <f t="shared" si="538"/>
        <v/>
      </c>
    </row>
    <row r="4879" spans="2:17" ht="18" customHeight="1" x14ac:dyDescent="0.3">
      <c r="B4879" s="26"/>
      <c r="C4879" s="28"/>
      <c r="D4879" s="27"/>
      <c r="E4879" s="29"/>
      <c r="F4879" s="29"/>
      <c r="G4879" s="29"/>
      <c r="H4879" s="30" t="str">
        <f t="shared" si="532"/>
        <v/>
      </c>
      <c r="I4879" s="31" t="str">
        <f>IF(OR(B4879="",C4879=""),"",IFERROR(E4879*IF(E4879="",0,VLOOKUP(C4879,'📦 Precios Proforma'!$B$5:$D$104,IF(D4879="DIA",2,3),FALSE)),0))</f>
        <v/>
      </c>
      <c r="J4879" s="31" t="str">
        <f t="shared" si="533"/>
        <v/>
      </c>
      <c r="K4879" s="31" t="str">
        <f t="shared" si="534"/>
        <v/>
      </c>
      <c r="L4879" s="31" t="str">
        <f>IF(OR(B4879="",C4879=""),"",IFERROR(E4879 / SUMIFS('📅 Resumen Diario'!$D$5:$D$504, '📅 Resumen Diario'!$B$5:$B$504, B4879, '📅 Resumen Diario'!$C$5:$C$504, D4879) * SUMIFS('📅 Resumen Diario'!$K$5:$K$504, '📅 Resumen Diario'!$B$5:$B$504, B4879, '📅 Resumen Diario'!$C$5:$C$504, D4879), 0))</f>
        <v/>
      </c>
      <c r="M4879" s="31" t="str">
        <f t="shared" si="535"/>
        <v/>
      </c>
      <c r="N4879" s="31" t="str">
        <f t="shared" si="536"/>
        <v/>
      </c>
      <c r="O4879" s="31" t="str">
        <f>IF(OR(B4879="",C4879=""),"",K4879-N4879 + IFERROR(E4879 / SUMIFS('📅 Resumen Diario'!$D$5:$D$504, '📅 Resumen Diario'!$B$5:$B$504, B4879, '📅 Resumen Diario'!$C$5:$C$504, D4879) * (SUMIFS('📋 Detalle Diario'!$E$5:$E$489, '📋 Detalle Diario'!$B$5:$B$489, B4879, '📋 Detalle Diario'!$C$5:$C$489, D4879) * 135 + SUMIFS('📋 Detalle Diario'!$I$5:$I$489, '📋 Detalle Diario'!$B$5:$B$489, B4879, '📋 Detalle Diario'!$C$5:$C$489, D4879) * 200), 0))</f>
        <v/>
      </c>
      <c r="P4879" s="32" t="str">
        <f t="shared" si="537"/>
        <v/>
      </c>
      <c r="Q4879" s="33" t="str">
        <f t="shared" si="538"/>
        <v/>
      </c>
    </row>
    <row r="4880" spans="2:17" ht="18" customHeight="1" x14ac:dyDescent="0.3">
      <c r="B4880" s="26"/>
      <c r="C4880" s="17"/>
      <c r="D4880" s="27"/>
      <c r="E4880" s="18"/>
      <c r="F4880" s="18"/>
      <c r="G4880" s="18"/>
      <c r="H4880" s="30" t="str">
        <f t="shared" si="532"/>
        <v/>
      </c>
      <c r="I4880" s="31" t="str">
        <f>IF(OR(B4880="",C4880=""),"",IFERROR(E4880*IF(E4880="",0,VLOOKUP(C4880,'📦 Precios Proforma'!$B$5:$D$104,IF(D4880="DIA",2,3),FALSE)),0))</f>
        <v/>
      </c>
      <c r="J4880" s="31" t="str">
        <f t="shared" si="533"/>
        <v/>
      </c>
      <c r="K4880" s="31" t="str">
        <f t="shared" si="534"/>
        <v/>
      </c>
      <c r="L4880" s="31" t="str">
        <f>IF(OR(B4880="",C4880=""),"",IFERROR(E4880 / SUMIFS('📅 Resumen Diario'!$D$5:$D$504, '📅 Resumen Diario'!$B$5:$B$504, B4880, '📅 Resumen Diario'!$C$5:$C$504, D4880) * SUMIFS('📅 Resumen Diario'!$K$5:$K$504, '📅 Resumen Diario'!$B$5:$B$504, B4880, '📅 Resumen Diario'!$C$5:$C$504, D4880), 0))</f>
        <v/>
      </c>
      <c r="M4880" s="31" t="str">
        <f t="shared" si="535"/>
        <v/>
      </c>
      <c r="N4880" s="31" t="str">
        <f t="shared" si="536"/>
        <v/>
      </c>
      <c r="O4880" s="31" t="str">
        <f>IF(OR(B4880="",C4880=""),"",K4880-N4880 + IFERROR(E4880 / SUMIFS('📅 Resumen Diario'!$D$5:$D$504, '📅 Resumen Diario'!$B$5:$B$504, B4880, '📅 Resumen Diario'!$C$5:$C$504, D4880) * (SUMIFS('📋 Detalle Diario'!$E$5:$E$489, '📋 Detalle Diario'!$B$5:$B$489, B4880, '📋 Detalle Diario'!$C$5:$C$489, D4880) * 135 + SUMIFS('📋 Detalle Diario'!$I$5:$I$489, '📋 Detalle Diario'!$B$5:$B$489, B4880, '📋 Detalle Diario'!$C$5:$C$489, D4880) * 200), 0))</f>
        <v/>
      </c>
      <c r="P4880" s="32" t="str">
        <f t="shared" si="537"/>
        <v/>
      </c>
      <c r="Q4880" s="33" t="str">
        <f t="shared" si="538"/>
        <v/>
      </c>
    </row>
    <row r="4881" spans="2:17" ht="18" customHeight="1" x14ac:dyDescent="0.3">
      <c r="B4881" s="26"/>
      <c r="C4881" s="28"/>
      <c r="D4881" s="27"/>
      <c r="E4881" s="29"/>
      <c r="F4881" s="29"/>
      <c r="G4881" s="29"/>
      <c r="H4881" s="30" t="str">
        <f t="shared" si="532"/>
        <v/>
      </c>
      <c r="I4881" s="31" t="str">
        <f>IF(OR(B4881="",C4881=""),"",IFERROR(E4881*IF(E4881="",0,VLOOKUP(C4881,'📦 Precios Proforma'!$B$5:$D$104,IF(D4881="DIA",2,3),FALSE)),0))</f>
        <v/>
      </c>
      <c r="J4881" s="31" t="str">
        <f t="shared" si="533"/>
        <v/>
      </c>
      <c r="K4881" s="31" t="str">
        <f t="shared" si="534"/>
        <v/>
      </c>
      <c r="L4881" s="31" t="str">
        <f>IF(OR(B4881="",C4881=""),"",IFERROR(E4881 / SUMIFS('📅 Resumen Diario'!$D$5:$D$504, '📅 Resumen Diario'!$B$5:$B$504, B4881, '📅 Resumen Diario'!$C$5:$C$504, D4881) * SUMIFS('📅 Resumen Diario'!$K$5:$K$504, '📅 Resumen Diario'!$B$5:$B$504, B4881, '📅 Resumen Diario'!$C$5:$C$504, D4881), 0))</f>
        <v/>
      </c>
      <c r="M4881" s="31" t="str">
        <f t="shared" si="535"/>
        <v/>
      </c>
      <c r="N4881" s="31" t="str">
        <f t="shared" si="536"/>
        <v/>
      </c>
      <c r="O4881" s="31" t="str">
        <f>IF(OR(B4881="",C4881=""),"",K4881-N4881 + IFERROR(E4881 / SUMIFS('📅 Resumen Diario'!$D$5:$D$504, '📅 Resumen Diario'!$B$5:$B$504, B4881, '📅 Resumen Diario'!$C$5:$C$504, D4881) * (SUMIFS('📋 Detalle Diario'!$E$5:$E$489, '📋 Detalle Diario'!$B$5:$B$489, B4881, '📋 Detalle Diario'!$C$5:$C$489, D4881) * 135 + SUMIFS('📋 Detalle Diario'!$I$5:$I$489, '📋 Detalle Diario'!$B$5:$B$489, B4881, '📋 Detalle Diario'!$C$5:$C$489, D4881) * 200), 0))</f>
        <v/>
      </c>
      <c r="P4881" s="32" t="str">
        <f t="shared" si="537"/>
        <v/>
      </c>
      <c r="Q4881" s="33" t="str">
        <f t="shared" si="538"/>
        <v/>
      </c>
    </row>
    <row r="4882" spans="2:17" ht="18" customHeight="1" x14ac:dyDescent="0.3">
      <c r="B4882" s="26"/>
      <c r="C4882" s="17"/>
      <c r="D4882" s="27"/>
      <c r="E4882" s="18"/>
      <c r="F4882" s="18"/>
      <c r="G4882" s="18"/>
      <c r="H4882" s="30" t="str">
        <f t="shared" si="532"/>
        <v/>
      </c>
      <c r="I4882" s="31" t="str">
        <f>IF(OR(B4882="",C4882=""),"",IFERROR(E4882*IF(E4882="",0,VLOOKUP(C4882,'📦 Precios Proforma'!$B$5:$D$104,IF(D4882="DIA",2,3),FALSE)),0))</f>
        <v/>
      </c>
      <c r="J4882" s="31" t="str">
        <f t="shared" si="533"/>
        <v/>
      </c>
      <c r="K4882" s="31" t="str">
        <f t="shared" si="534"/>
        <v/>
      </c>
      <c r="L4882" s="31" t="str">
        <f>IF(OR(B4882="",C4882=""),"",IFERROR(E4882 / SUMIFS('📅 Resumen Diario'!$D$5:$D$504, '📅 Resumen Diario'!$B$5:$B$504, B4882, '📅 Resumen Diario'!$C$5:$C$504, D4882) * SUMIFS('📅 Resumen Diario'!$K$5:$K$504, '📅 Resumen Diario'!$B$5:$B$504, B4882, '📅 Resumen Diario'!$C$5:$C$504, D4882), 0))</f>
        <v/>
      </c>
      <c r="M4882" s="31" t="str">
        <f t="shared" si="535"/>
        <v/>
      </c>
      <c r="N4882" s="31" t="str">
        <f t="shared" si="536"/>
        <v/>
      </c>
      <c r="O4882" s="31" t="str">
        <f>IF(OR(B4882="",C4882=""),"",K4882-N4882 + IFERROR(E4882 / SUMIFS('📅 Resumen Diario'!$D$5:$D$504, '📅 Resumen Diario'!$B$5:$B$504, B4882, '📅 Resumen Diario'!$C$5:$C$504, D4882) * (SUMIFS('📋 Detalle Diario'!$E$5:$E$489, '📋 Detalle Diario'!$B$5:$B$489, B4882, '📋 Detalle Diario'!$C$5:$C$489, D4882) * 135 + SUMIFS('📋 Detalle Diario'!$I$5:$I$489, '📋 Detalle Diario'!$B$5:$B$489, B4882, '📋 Detalle Diario'!$C$5:$C$489, D4882) * 200), 0))</f>
        <v/>
      </c>
      <c r="P4882" s="32" t="str">
        <f t="shared" si="537"/>
        <v/>
      </c>
      <c r="Q4882" s="33" t="str">
        <f t="shared" si="538"/>
        <v/>
      </c>
    </row>
    <row r="4883" spans="2:17" ht="18" customHeight="1" x14ac:dyDescent="0.3">
      <c r="B4883" s="26"/>
      <c r="C4883" s="28"/>
      <c r="D4883" s="27"/>
      <c r="E4883" s="29"/>
      <c r="F4883" s="29"/>
      <c r="G4883" s="29"/>
      <c r="H4883" s="30" t="str">
        <f t="shared" si="532"/>
        <v/>
      </c>
      <c r="I4883" s="31" t="str">
        <f>IF(OR(B4883="",C4883=""),"",IFERROR(E4883*IF(E4883="",0,VLOOKUP(C4883,'📦 Precios Proforma'!$B$5:$D$104,IF(D4883="DIA",2,3),FALSE)),0))</f>
        <v/>
      </c>
      <c r="J4883" s="31" t="str">
        <f t="shared" si="533"/>
        <v/>
      </c>
      <c r="K4883" s="31" t="str">
        <f t="shared" si="534"/>
        <v/>
      </c>
      <c r="L4883" s="31" t="str">
        <f>IF(OR(B4883="",C4883=""),"",IFERROR(E4883 / SUMIFS('📅 Resumen Diario'!$D$5:$D$504, '📅 Resumen Diario'!$B$5:$B$504, B4883, '📅 Resumen Diario'!$C$5:$C$504, D4883) * SUMIFS('📅 Resumen Diario'!$K$5:$K$504, '📅 Resumen Diario'!$B$5:$B$504, B4883, '📅 Resumen Diario'!$C$5:$C$504, D4883), 0))</f>
        <v/>
      </c>
      <c r="M4883" s="31" t="str">
        <f t="shared" si="535"/>
        <v/>
      </c>
      <c r="N4883" s="31" t="str">
        <f t="shared" si="536"/>
        <v/>
      </c>
      <c r="O4883" s="31" t="str">
        <f>IF(OR(B4883="",C4883=""),"",K4883-N4883 + IFERROR(E4883 / SUMIFS('📅 Resumen Diario'!$D$5:$D$504, '📅 Resumen Diario'!$B$5:$B$504, B4883, '📅 Resumen Diario'!$C$5:$C$504, D4883) * (SUMIFS('📋 Detalle Diario'!$E$5:$E$489, '📋 Detalle Diario'!$B$5:$B$489, B4883, '📋 Detalle Diario'!$C$5:$C$489, D4883) * 135 + SUMIFS('📋 Detalle Diario'!$I$5:$I$489, '📋 Detalle Diario'!$B$5:$B$489, B4883, '📋 Detalle Diario'!$C$5:$C$489, D4883) * 200), 0))</f>
        <v/>
      </c>
      <c r="P4883" s="32" t="str">
        <f t="shared" si="537"/>
        <v/>
      </c>
      <c r="Q4883" s="33" t="str">
        <f t="shared" si="538"/>
        <v/>
      </c>
    </row>
    <row r="4884" spans="2:17" ht="18" customHeight="1" x14ac:dyDescent="0.3">
      <c r="B4884" s="26"/>
      <c r="C4884" s="17"/>
      <c r="D4884" s="27"/>
      <c r="E4884" s="18"/>
      <c r="F4884" s="18"/>
      <c r="G4884" s="18"/>
      <c r="H4884" s="30" t="str">
        <f t="shared" si="532"/>
        <v/>
      </c>
      <c r="I4884" s="31" t="str">
        <f>IF(OR(B4884="",C4884=""),"",IFERROR(E4884*IF(E4884="",0,VLOOKUP(C4884,'📦 Precios Proforma'!$B$5:$D$104,IF(D4884="DIA",2,3),FALSE)),0))</f>
        <v/>
      </c>
      <c r="J4884" s="31" t="str">
        <f t="shared" si="533"/>
        <v/>
      </c>
      <c r="K4884" s="31" t="str">
        <f t="shared" si="534"/>
        <v/>
      </c>
      <c r="L4884" s="31" t="str">
        <f>IF(OR(B4884="",C4884=""),"",IFERROR(E4884 / SUMIFS('📅 Resumen Diario'!$D$5:$D$504, '📅 Resumen Diario'!$B$5:$B$504, B4884, '📅 Resumen Diario'!$C$5:$C$504, D4884) * SUMIFS('📅 Resumen Diario'!$K$5:$K$504, '📅 Resumen Diario'!$B$5:$B$504, B4884, '📅 Resumen Diario'!$C$5:$C$504, D4884), 0))</f>
        <v/>
      </c>
      <c r="M4884" s="31" t="str">
        <f t="shared" si="535"/>
        <v/>
      </c>
      <c r="N4884" s="31" t="str">
        <f t="shared" si="536"/>
        <v/>
      </c>
      <c r="O4884" s="31" t="str">
        <f>IF(OR(B4884="",C4884=""),"",K4884-N4884 + IFERROR(E4884 / SUMIFS('📅 Resumen Diario'!$D$5:$D$504, '📅 Resumen Diario'!$B$5:$B$504, B4884, '📅 Resumen Diario'!$C$5:$C$504, D4884) * (SUMIFS('📋 Detalle Diario'!$E$5:$E$489, '📋 Detalle Diario'!$B$5:$B$489, B4884, '📋 Detalle Diario'!$C$5:$C$489, D4884) * 135 + SUMIFS('📋 Detalle Diario'!$I$5:$I$489, '📋 Detalle Diario'!$B$5:$B$489, B4884, '📋 Detalle Diario'!$C$5:$C$489, D4884) * 200), 0))</f>
        <v/>
      </c>
      <c r="P4884" s="32" t="str">
        <f t="shared" si="537"/>
        <v/>
      </c>
      <c r="Q4884" s="33" t="str">
        <f t="shared" si="538"/>
        <v/>
      </c>
    </row>
    <row r="4885" spans="2:17" ht="18" customHeight="1" x14ac:dyDescent="0.3">
      <c r="B4885" s="26"/>
      <c r="C4885" s="28"/>
      <c r="D4885" s="27"/>
      <c r="E4885" s="29"/>
      <c r="F4885" s="29"/>
      <c r="G4885" s="29"/>
      <c r="H4885" s="30" t="str">
        <f t="shared" si="532"/>
        <v/>
      </c>
      <c r="I4885" s="31" t="str">
        <f>IF(OR(B4885="",C4885=""),"",IFERROR(E4885*IF(E4885="",0,VLOOKUP(C4885,'📦 Precios Proforma'!$B$5:$D$104,IF(D4885="DIA",2,3),FALSE)),0))</f>
        <v/>
      </c>
      <c r="J4885" s="31" t="str">
        <f t="shared" si="533"/>
        <v/>
      </c>
      <c r="K4885" s="31" t="str">
        <f t="shared" si="534"/>
        <v/>
      </c>
      <c r="L4885" s="31" t="str">
        <f>IF(OR(B4885="",C4885=""),"",IFERROR(E4885 / SUMIFS('📅 Resumen Diario'!$D$5:$D$504, '📅 Resumen Diario'!$B$5:$B$504, B4885, '📅 Resumen Diario'!$C$5:$C$504, D4885) * SUMIFS('📅 Resumen Diario'!$K$5:$K$504, '📅 Resumen Diario'!$B$5:$B$504, B4885, '📅 Resumen Diario'!$C$5:$C$504, D4885), 0))</f>
        <v/>
      </c>
      <c r="M4885" s="31" t="str">
        <f t="shared" si="535"/>
        <v/>
      </c>
      <c r="N4885" s="31" t="str">
        <f t="shared" si="536"/>
        <v/>
      </c>
      <c r="O4885" s="31" t="str">
        <f>IF(OR(B4885="",C4885=""),"",K4885-N4885 + IFERROR(E4885 / SUMIFS('📅 Resumen Diario'!$D$5:$D$504, '📅 Resumen Diario'!$B$5:$B$504, B4885, '📅 Resumen Diario'!$C$5:$C$504, D4885) * (SUMIFS('📋 Detalle Diario'!$E$5:$E$489, '📋 Detalle Diario'!$B$5:$B$489, B4885, '📋 Detalle Diario'!$C$5:$C$489, D4885) * 135 + SUMIFS('📋 Detalle Diario'!$I$5:$I$489, '📋 Detalle Diario'!$B$5:$B$489, B4885, '📋 Detalle Diario'!$C$5:$C$489, D4885) * 200), 0))</f>
        <v/>
      </c>
      <c r="P4885" s="32" t="str">
        <f t="shared" si="537"/>
        <v/>
      </c>
      <c r="Q4885" s="33" t="str">
        <f t="shared" si="538"/>
        <v/>
      </c>
    </row>
    <row r="4886" spans="2:17" ht="18" customHeight="1" x14ac:dyDescent="0.3">
      <c r="B4886" s="26"/>
      <c r="C4886" s="17"/>
      <c r="D4886" s="27"/>
      <c r="E4886" s="18"/>
      <c r="F4886" s="18"/>
      <c r="G4886" s="18"/>
      <c r="H4886" s="30" t="str">
        <f t="shared" si="532"/>
        <v/>
      </c>
      <c r="I4886" s="31" t="str">
        <f>IF(OR(B4886="",C4886=""),"",IFERROR(E4886*IF(E4886="",0,VLOOKUP(C4886,'📦 Precios Proforma'!$B$5:$D$104,IF(D4886="DIA",2,3),FALSE)),0))</f>
        <v/>
      </c>
      <c r="J4886" s="31" t="str">
        <f t="shared" si="533"/>
        <v/>
      </c>
      <c r="K4886" s="31" t="str">
        <f t="shared" si="534"/>
        <v/>
      </c>
      <c r="L4886" s="31" t="str">
        <f>IF(OR(B4886="",C4886=""),"",IFERROR(E4886 / SUMIFS('📅 Resumen Diario'!$D$5:$D$504, '📅 Resumen Diario'!$B$5:$B$504, B4886, '📅 Resumen Diario'!$C$5:$C$504, D4886) * SUMIFS('📅 Resumen Diario'!$K$5:$K$504, '📅 Resumen Diario'!$B$5:$B$504, B4886, '📅 Resumen Diario'!$C$5:$C$504, D4886), 0))</f>
        <v/>
      </c>
      <c r="M4886" s="31" t="str">
        <f t="shared" si="535"/>
        <v/>
      </c>
      <c r="N4886" s="31" t="str">
        <f t="shared" si="536"/>
        <v/>
      </c>
      <c r="O4886" s="31" t="str">
        <f>IF(OR(B4886="",C4886=""),"",K4886-N4886 + IFERROR(E4886 / SUMIFS('📅 Resumen Diario'!$D$5:$D$504, '📅 Resumen Diario'!$B$5:$B$504, B4886, '📅 Resumen Diario'!$C$5:$C$504, D4886) * (SUMIFS('📋 Detalle Diario'!$E$5:$E$489, '📋 Detalle Diario'!$B$5:$B$489, B4886, '📋 Detalle Diario'!$C$5:$C$489, D4886) * 135 + SUMIFS('📋 Detalle Diario'!$I$5:$I$489, '📋 Detalle Diario'!$B$5:$B$489, B4886, '📋 Detalle Diario'!$C$5:$C$489, D4886) * 200), 0))</f>
        <v/>
      </c>
      <c r="P4886" s="32" t="str">
        <f t="shared" si="537"/>
        <v/>
      </c>
      <c r="Q4886" s="33" t="str">
        <f t="shared" si="538"/>
        <v/>
      </c>
    </row>
    <row r="4887" spans="2:17" ht="18" customHeight="1" x14ac:dyDescent="0.3">
      <c r="B4887" s="26"/>
      <c r="C4887" s="28"/>
      <c r="D4887" s="27"/>
      <c r="E4887" s="29"/>
      <c r="F4887" s="29"/>
      <c r="G4887" s="29"/>
      <c r="H4887" s="30" t="str">
        <f t="shared" si="532"/>
        <v/>
      </c>
      <c r="I4887" s="31" t="str">
        <f>IF(OR(B4887="",C4887=""),"",IFERROR(E4887*IF(E4887="",0,VLOOKUP(C4887,'📦 Precios Proforma'!$B$5:$D$104,IF(D4887="DIA",2,3),FALSE)),0))</f>
        <v/>
      </c>
      <c r="J4887" s="31" t="str">
        <f t="shared" si="533"/>
        <v/>
      </c>
      <c r="K4887" s="31" t="str">
        <f t="shared" si="534"/>
        <v/>
      </c>
      <c r="L4887" s="31" t="str">
        <f>IF(OR(B4887="",C4887=""),"",IFERROR(E4887 / SUMIFS('📅 Resumen Diario'!$D$5:$D$504, '📅 Resumen Diario'!$B$5:$B$504, B4887, '📅 Resumen Diario'!$C$5:$C$504, D4887) * SUMIFS('📅 Resumen Diario'!$K$5:$K$504, '📅 Resumen Diario'!$B$5:$B$504, B4887, '📅 Resumen Diario'!$C$5:$C$504, D4887), 0))</f>
        <v/>
      </c>
      <c r="M4887" s="31" t="str">
        <f t="shared" si="535"/>
        <v/>
      </c>
      <c r="N4887" s="31" t="str">
        <f t="shared" si="536"/>
        <v/>
      </c>
      <c r="O4887" s="31" t="str">
        <f>IF(OR(B4887="",C4887=""),"",K4887-N4887 + IFERROR(E4887 / SUMIFS('📅 Resumen Diario'!$D$5:$D$504, '📅 Resumen Diario'!$B$5:$B$504, B4887, '📅 Resumen Diario'!$C$5:$C$504, D4887) * (SUMIFS('📋 Detalle Diario'!$E$5:$E$489, '📋 Detalle Diario'!$B$5:$B$489, B4887, '📋 Detalle Diario'!$C$5:$C$489, D4887) * 135 + SUMIFS('📋 Detalle Diario'!$I$5:$I$489, '📋 Detalle Diario'!$B$5:$B$489, B4887, '📋 Detalle Diario'!$C$5:$C$489, D4887) * 200), 0))</f>
        <v/>
      </c>
      <c r="P4887" s="32" t="str">
        <f t="shared" si="537"/>
        <v/>
      </c>
      <c r="Q4887" s="33" t="str">
        <f t="shared" si="538"/>
        <v/>
      </c>
    </row>
    <row r="4888" spans="2:17" ht="18" customHeight="1" x14ac:dyDescent="0.3">
      <c r="B4888" s="26"/>
      <c r="C4888" s="17"/>
      <c r="D4888" s="27"/>
      <c r="E4888" s="18"/>
      <c r="F4888" s="18"/>
      <c r="G4888" s="18"/>
      <c r="H4888" s="30" t="str">
        <f t="shared" si="532"/>
        <v/>
      </c>
      <c r="I4888" s="31" t="str">
        <f>IF(OR(B4888="",C4888=""),"",IFERROR(E4888*IF(E4888="",0,VLOOKUP(C4888,'📦 Precios Proforma'!$B$5:$D$104,IF(D4888="DIA",2,3),FALSE)),0))</f>
        <v/>
      </c>
      <c r="J4888" s="31" t="str">
        <f t="shared" si="533"/>
        <v/>
      </c>
      <c r="K4888" s="31" t="str">
        <f t="shared" si="534"/>
        <v/>
      </c>
      <c r="L4888" s="31" t="str">
        <f>IF(OR(B4888="",C4888=""),"",IFERROR(E4888 / SUMIFS('📅 Resumen Diario'!$D$5:$D$504, '📅 Resumen Diario'!$B$5:$B$504, B4888, '📅 Resumen Diario'!$C$5:$C$504, D4888) * SUMIFS('📅 Resumen Diario'!$K$5:$K$504, '📅 Resumen Diario'!$B$5:$B$504, B4888, '📅 Resumen Diario'!$C$5:$C$504, D4888), 0))</f>
        <v/>
      </c>
      <c r="M4888" s="31" t="str">
        <f t="shared" si="535"/>
        <v/>
      </c>
      <c r="N4888" s="31" t="str">
        <f t="shared" si="536"/>
        <v/>
      </c>
      <c r="O4888" s="31" t="str">
        <f>IF(OR(B4888="",C4888=""),"",K4888-N4888 + IFERROR(E4888 / SUMIFS('📅 Resumen Diario'!$D$5:$D$504, '📅 Resumen Diario'!$B$5:$B$504, B4888, '📅 Resumen Diario'!$C$5:$C$504, D4888) * (SUMIFS('📋 Detalle Diario'!$E$5:$E$489, '📋 Detalle Diario'!$B$5:$B$489, B4888, '📋 Detalle Diario'!$C$5:$C$489, D4888) * 135 + SUMIFS('📋 Detalle Diario'!$I$5:$I$489, '📋 Detalle Diario'!$B$5:$B$489, B4888, '📋 Detalle Diario'!$C$5:$C$489, D4888) * 200), 0))</f>
        <v/>
      </c>
      <c r="P4888" s="32" t="str">
        <f t="shared" si="537"/>
        <v/>
      </c>
      <c r="Q4888" s="33" t="str">
        <f t="shared" si="538"/>
        <v/>
      </c>
    </row>
    <row r="4889" spans="2:17" ht="18" customHeight="1" x14ac:dyDescent="0.3">
      <c r="B4889" s="26"/>
      <c r="C4889" s="28"/>
      <c r="D4889" s="27"/>
      <c r="E4889" s="29"/>
      <c r="F4889" s="29"/>
      <c r="G4889" s="29"/>
      <c r="H4889" s="30" t="str">
        <f t="shared" si="532"/>
        <v/>
      </c>
      <c r="I4889" s="31" t="str">
        <f>IF(OR(B4889="",C4889=""),"",IFERROR(E4889*IF(E4889="",0,VLOOKUP(C4889,'📦 Precios Proforma'!$B$5:$D$104,IF(D4889="DIA",2,3),FALSE)),0))</f>
        <v/>
      </c>
      <c r="J4889" s="31" t="str">
        <f t="shared" si="533"/>
        <v/>
      </c>
      <c r="K4889" s="31" t="str">
        <f t="shared" si="534"/>
        <v/>
      </c>
      <c r="L4889" s="31" t="str">
        <f>IF(OR(B4889="",C4889=""),"",IFERROR(E4889 / SUMIFS('📅 Resumen Diario'!$D$5:$D$504, '📅 Resumen Diario'!$B$5:$B$504, B4889, '📅 Resumen Diario'!$C$5:$C$504, D4889) * SUMIFS('📅 Resumen Diario'!$K$5:$K$504, '📅 Resumen Diario'!$B$5:$B$504, B4889, '📅 Resumen Diario'!$C$5:$C$504, D4889), 0))</f>
        <v/>
      </c>
      <c r="M4889" s="31" t="str">
        <f t="shared" si="535"/>
        <v/>
      </c>
      <c r="N4889" s="31" t="str">
        <f t="shared" si="536"/>
        <v/>
      </c>
      <c r="O4889" s="31" t="str">
        <f>IF(OR(B4889="",C4889=""),"",K4889-N4889 + IFERROR(E4889 / SUMIFS('📅 Resumen Diario'!$D$5:$D$504, '📅 Resumen Diario'!$B$5:$B$504, B4889, '📅 Resumen Diario'!$C$5:$C$504, D4889) * (SUMIFS('📋 Detalle Diario'!$E$5:$E$489, '📋 Detalle Diario'!$B$5:$B$489, B4889, '📋 Detalle Diario'!$C$5:$C$489, D4889) * 135 + SUMIFS('📋 Detalle Diario'!$I$5:$I$489, '📋 Detalle Diario'!$B$5:$B$489, B4889, '📋 Detalle Diario'!$C$5:$C$489, D4889) * 200), 0))</f>
        <v/>
      </c>
      <c r="P4889" s="32" t="str">
        <f t="shared" si="537"/>
        <v/>
      </c>
      <c r="Q4889" s="33" t="str">
        <f t="shared" si="538"/>
        <v/>
      </c>
    </row>
    <row r="4890" spans="2:17" ht="18" customHeight="1" x14ac:dyDescent="0.3">
      <c r="B4890" s="26"/>
      <c r="C4890" s="17"/>
      <c r="D4890" s="27"/>
      <c r="E4890" s="18"/>
      <c r="F4890" s="18"/>
      <c r="G4890" s="18"/>
      <c r="H4890" s="30" t="str">
        <f t="shared" si="532"/>
        <v/>
      </c>
      <c r="I4890" s="31" t="str">
        <f>IF(OR(B4890="",C4890=""),"",IFERROR(E4890*IF(E4890="",0,VLOOKUP(C4890,'📦 Precios Proforma'!$B$5:$D$104,IF(D4890="DIA",2,3),FALSE)),0))</f>
        <v/>
      </c>
      <c r="J4890" s="31" t="str">
        <f t="shared" si="533"/>
        <v/>
      </c>
      <c r="K4890" s="31" t="str">
        <f t="shared" si="534"/>
        <v/>
      </c>
      <c r="L4890" s="31" t="str">
        <f>IF(OR(B4890="",C4890=""),"",IFERROR(E4890 / SUMIFS('📅 Resumen Diario'!$D$5:$D$504, '📅 Resumen Diario'!$B$5:$B$504, B4890, '📅 Resumen Diario'!$C$5:$C$504, D4890) * SUMIFS('📅 Resumen Diario'!$K$5:$K$504, '📅 Resumen Diario'!$B$5:$B$504, B4890, '📅 Resumen Diario'!$C$5:$C$504, D4890), 0))</f>
        <v/>
      </c>
      <c r="M4890" s="31" t="str">
        <f t="shared" si="535"/>
        <v/>
      </c>
      <c r="N4890" s="31" t="str">
        <f t="shared" si="536"/>
        <v/>
      </c>
      <c r="O4890" s="31" t="str">
        <f>IF(OR(B4890="",C4890=""),"",K4890-N4890 + IFERROR(E4890 / SUMIFS('📅 Resumen Diario'!$D$5:$D$504, '📅 Resumen Diario'!$B$5:$B$504, B4890, '📅 Resumen Diario'!$C$5:$C$504, D4890) * (SUMIFS('📋 Detalle Diario'!$E$5:$E$489, '📋 Detalle Diario'!$B$5:$B$489, B4890, '📋 Detalle Diario'!$C$5:$C$489, D4890) * 135 + SUMIFS('📋 Detalle Diario'!$I$5:$I$489, '📋 Detalle Diario'!$B$5:$B$489, B4890, '📋 Detalle Diario'!$C$5:$C$489, D4890) * 200), 0))</f>
        <v/>
      </c>
      <c r="P4890" s="32" t="str">
        <f t="shared" si="537"/>
        <v/>
      </c>
      <c r="Q4890" s="33" t="str">
        <f t="shared" si="538"/>
        <v/>
      </c>
    </row>
    <row r="4891" spans="2:17" ht="18" customHeight="1" x14ac:dyDescent="0.3">
      <c r="B4891" s="26"/>
      <c r="C4891" s="28"/>
      <c r="D4891" s="27"/>
      <c r="E4891" s="29"/>
      <c r="F4891" s="29"/>
      <c r="G4891" s="29"/>
      <c r="H4891" s="30" t="str">
        <f t="shared" si="532"/>
        <v/>
      </c>
      <c r="I4891" s="31" t="str">
        <f>IF(OR(B4891="",C4891=""),"",IFERROR(E4891*IF(E4891="",0,VLOOKUP(C4891,'📦 Precios Proforma'!$B$5:$D$104,IF(D4891="DIA",2,3),FALSE)),0))</f>
        <v/>
      </c>
      <c r="J4891" s="31" t="str">
        <f t="shared" si="533"/>
        <v/>
      </c>
      <c r="K4891" s="31" t="str">
        <f t="shared" si="534"/>
        <v/>
      </c>
      <c r="L4891" s="31" t="str">
        <f>IF(OR(B4891="",C4891=""),"",IFERROR(E4891 / SUMIFS('📅 Resumen Diario'!$D$5:$D$504, '📅 Resumen Diario'!$B$5:$B$504, B4891, '📅 Resumen Diario'!$C$5:$C$504, D4891) * SUMIFS('📅 Resumen Diario'!$K$5:$K$504, '📅 Resumen Diario'!$B$5:$B$504, B4891, '📅 Resumen Diario'!$C$5:$C$504, D4891), 0))</f>
        <v/>
      </c>
      <c r="M4891" s="31" t="str">
        <f t="shared" si="535"/>
        <v/>
      </c>
      <c r="N4891" s="31" t="str">
        <f t="shared" si="536"/>
        <v/>
      </c>
      <c r="O4891" s="31" t="str">
        <f>IF(OR(B4891="",C4891=""),"",K4891-N4891 + IFERROR(E4891 / SUMIFS('📅 Resumen Diario'!$D$5:$D$504, '📅 Resumen Diario'!$B$5:$B$504, B4891, '📅 Resumen Diario'!$C$5:$C$504, D4891) * (SUMIFS('📋 Detalle Diario'!$E$5:$E$489, '📋 Detalle Diario'!$B$5:$B$489, B4891, '📋 Detalle Diario'!$C$5:$C$489, D4891) * 135 + SUMIFS('📋 Detalle Diario'!$I$5:$I$489, '📋 Detalle Diario'!$B$5:$B$489, B4891, '📋 Detalle Diario'!$C$5:$C$489, D4891) * 200), 0))</f>
        <v/>
      </c>
      <c r="P4891" s="32" t="str">
        <f t="shared" si="537"/>
        <v/>
      </c>
      <c r="Q4891" s="33" t="str">
        <f t="shared" si="538"/>
        <v/>
      </c>
    </row>
    <row r="4892" spans="2:17" ht="18" customHeight="1" x14ac:dyDescent="0.3">
      <c r="B4892" s="26"/>
      <c r="C4892" s="17"/>
      <c r="D4892" s="27"/>
      <c r="E4892" s="18"/>
      <c r="F4892" s="18"/>
      <c r="G4892" s="18"/>
      <c r="H4892" s="30" t="str">
        <f t="shared" si="532"/>
        <v/>
      </c>
      <c r="I4892" s="31" t="str">
        <f>IF(OR(B4892="",C4892=""),"",IFERROR(E4892*IF(E4892="",0,VLOOKUP(C4892,'📦 Precios Proforma'!$B$5:$D$104,IF(D4892="DIA",2,3),FALSE)),0))</f>
        <v/>
      </c>
      <c r="J4892" s="31" t="str">
        <f t="shared" si="533"/>
        <v/>
      </c>
      <c r="K4892" s="31" t="str">
        <f t="shared" si="534"/>
        <v/>
      </c>
      <c r="L4892" s="31" t="str">
        <f>IF(OR(B4892="",C4892=""),"",IFERROR(E4892 / SUMIFS('📅 Resumen Diario'!$D$5:$D$504, '📅 Resumen Diario'!$B$5:$B$504, B4892, '📅 Resumen Diario'!$C$5:$C$504, D4892) * SUMIFS('📅 Resumen Diario'!$K$5:$K$504, '📅 Resumen Diario'!$B$5:$B$504, B4892, '📅 Resumen Diario'!$C$5:$C$504, D4892), 0))</f>
        <v/>
      </c>
      <c r="M4892" s="31" t="str">
        <f t="shared" si="535"/>
        <v/>
      </c>
      <c r="N4892" s="31" t="str">
        <f t="shared" si="536"/>
        <v/>
      </c>
      <c r="O4892" s="31" t="str">
        <f>IF(OR(B4892="",C4892=""),"",K4892-N4892 + IFERROR(E4892 / SUMIFS('📅 Resumen Diario'!$D$5:$D$504, '📅 Resumen Diario'!$B$5:$B$504, B4892, '📅 Resumen Diario'!$C$5:$C$504, D4892) * (SUMIFS('📋 Detalle Diario'!$E$5:$E$489, '📋 Detalle Diario'!$B$5:$B$489, B4892, '📋 Detalle Diario'!$C$5:$C$489, D4892) * 135 + SUMIFS('📋 Detalle Diario'!$I$5:$I$489, '📋 Detalle Diario'!$B$5:$B$489, B4892, '📋 Detalle Diario'!$C$5:$C$489, D4892) * 200), 0))</f>
        <v/>
      </c>
      <c r="P4892" s="32" t="str">
        <f t="shared" si="537"/>
        <v/>
      </c>
      <c r="Q4892" s="33" t="str">
        <f t="shared" si="538"/>
        <v/>
      </c>
    </row>
    <row r="4893" spans="2:17" ht="18" customHeight="1" x14ac:dyDescent="0.3">
      <c r="B4893" s="26"/>
      <c r="C4893" s="28"/>
      <c r="D4893" s="27"/>
      <c r="E4893" s="29"/>
      <c r="F4893" s="29"/>
      <c r="G4893" s="29"/>
      <c r="H4893" s="30" t="str">
        <f t="shared" si="532"/>
        <v/>
      </c>
      <c r="I4893" s="31" t="str">
        <f>IF(OR(B4893="",C4893=""),"",IFERROR(E4893*IF(E4893="",0,VLOOKUP(C4893,'📦 Precios Proforma'!$B$5:$D$104,IF(D4893="DIA",2,3),FALSE)),0))</f>
        <v/>
      </c>
      <c r="J4893" s="31" t="str">
        <f t="shared" si="533"/>
        <v/>
      </c>
      <c r="K4893" s="31" t="str">
        <f t="shared" si="534"/>
        <v/>
      </c>
      <c r="L4893" s="31" t="str">
        <f>IF(OR(B4893="",C4893=""),"",IFERROR(E4893 / SUMIFS('📅 Resumen Diario'!$D$5:$D$504, '📅 Resumen Diario'!$B$5:$B$504, B4893, '📅 Resumen Diario'!$C$5:$C$504, D4893) * SUMIFS('📅 Resumen Diario'!$K$5:$K$504, '📅 Resumen Diario'!$B$5:$B$504, B4893, '📅 Resumen Diario'!$C$5:$C$504, D4893), 0))</f>
        <v/>
      </c>
      <c r="M4893" s="31" t="str">
        <f t="shared" si="535"/>
        <v/>
      </c>
      <c r="N4893" s="31" t="str">
        <f t="shared" si="536"/>
        <v/>
      </c>
      <c r="O4893" s="31" t="str">
        <f>IF(OR(B4893="",C4893=""),"",K4893-N4893 + IFERROR(E4893 / SUMIFS('📅 Resumen Diario'!$D$5:$D$504, '📅 Resumen Diario'!$B$5:$B$504, B4893, '📅 Resumen Diario'!$C$5:$C$504, D4893) * (SUMIFS('📋 Detalle Diario'!$E$5:$E$489, '📋 Detalle Diario'!$B$5:$B$489, B4893, '📋 Detalle Diario'!$C$5:$C$489, D4893) * 135 + SUMIFS('📋 Detalle Diario'!$I$5:$I$489, '📋 Detalle Diario'!$B$5:$B$489, B4893, '📋 Detalle Diario'!$C$5:$C$489, D4893) * 200), 0))</f>
        <v/>
      </c>
      <c r="P4893" s="32" t="str">
        <f t="shared" si="537"/>
        <v/>
      </c>
      <c r="Q4893" s="33" t="str">
        <f t="shared" si="538"/>
        <v/>
      </c>
    </row>
    <row r="4894" spans="2:17" ht="18" customHeight="1" x14ac:dyDescent="0.3">
      <c r="B4894" s="26"/>
      <c r="C4894" s="17"/>
      <c r="D4894" s="27"/>
      <c r="E4894" s="18"/>
      <c r="F4894" s="18"/>
      <c r="G4894" s="18"/>
      <c r="H4894" s="30" t="str">
        <f t="shared" si="532"/>
        <v/>
      </c>
      <c r="I4894" s="31" t="str">
        <f>IF(OR(B4894="",C4894=""),"",IFERROR(E4894*IF(E4894="",0,VLOOKUP(C4894,'📦 Precios Proforma'!$B$5:$D$104,IF(D4894="DIA",2,3),FALSE)),0))</f>
        <v/>
      </c>
      <c r="J4894" s="31" t="str">
        <f t="shared" si="533"/>
        <v/>
      </c>
      <c r="K4894" s="31" t="str">
        <f t="shared" si="534"/>
        <v/>
      </c>
      <c r="L4894" s="31" t="str">
        <f>IF(OR(B4894="",C4894=""),"",IFERROR(E4894 / SUMIFS('📅 Resumen Diario'!$D$5:$D$504, '📅 Resumen Diario'!$B$5:$B$504, B4894, '📅 Resumen Diario'!$C$5:$C$504, D4894) * SUMIFS('📅 Resumen Diario'!$K$5:$K$504, '📅 Resumen Diario'!$B$5:$B$504, B4894, '📅 Resumen Diario'!$C$5:$C$504, D4894), 0))</f>
        <v/>
      </c>
      <c r="M4894" s="31" t="str">
        <f t="shared" si="535"/>
        <v/>
      </c>
      <c r="N4894" s="31" t="str">
        <f t="shared" si="536"/>
        <v/>
      </c>
      <c r="O4894" s="31" t="str">
        <f>IF(OR(B4894="",C4894=""),"",K4894-N4894 + IFERROR(E4894 / SUMIFS('📅 Resumen Diario'!$D$5:$D$504, '📅 Resumen Diario'!$B$5:$B$504, B4894, '📅 Resumen Diario'!$C$5:$C$504, D4894) * (SUMIFS('📋 Detalle Diario'!$E$5:$E$489, '📋 Detalle Diario'!$B$5:$B$489, B4894, '📋 Detalle Diario'!$C$5:$C$489, D4894) * 135 + SUMIFS('📋 Detalle Diario'!$I$5:$I$489, '📋 Detalle Diario'!$B$5:$B$489, B4894, '📋 Detalle Diario'!$C$5:$C$489, D4894) * 200), 0))</f>
        <v/>
      </c>
      <c r="P4894" s="32" t="str">
        <f t="shared" si="537"/>
        <v/>
      </c>
      <c r="Q4894" s="33" t="str">
        <f t="shared" si="538"/>
        <v/>
      </c>
    </row>
    <row r="4895" spans="2:17" ht="18" customHeight="1" x14ac:dyDescent="0.3">
      <c r="B4895" s="26"/>
      <c r="C4895" s="28"/>
      <c r="D4895" s="27"/>
      <c r="E4895" s="29"/>
      <c r="F4895" s="29"/>
      <c r="G4895" s="29"/>
      <c r="H4895" s="30" t="str">
        <f t="shared" si="532"/>
        <v/>
      </c>
      <c r="I4895" s="31" t="str">
        <f>IF(OR(B4895="",C4895=""),"",IFERROR(E4895*IF(E4895="",0,VLOOKUP(C4895,'📦 Precios Proforma'!$B$5:$D$104,IF(D4895="DIA",2,3),FALSE)),0))</f>
        <v/>
      </c>
      <c r="J4895" s="31" t="str">
        <f t="shared" si="533"/>
        <v/>
      </c>
      <c r="K4895" s="31" t="str">
        <f t="shared" si="534"/>
        <v/>
      </c>
      <c r="L4895" s="31" t="str">
        <f>IF(OR(B4895="",C4895=""),"",IFERROR(E4895 / SUMIFS('📅 Resumen Diario'!$D$5:$D$504, '📅 Resumen Diario'!$B$5:$B$504, B4895, '📅 Resumen Diario'!$C$5:$C$504, D4895) * SUMIFS('📅 Resumen Diario'!$K$5:$K$504, '📅 Resumen Diario'!$B$5:$B$504, B4895, '📅 Resumen Diario'!$C$5:$C$504, D4895), 0))</f>
        <v/>
      </c>
      <c r="M4895" s="31" t="str">
        <f t="shared" si="535"/>
        <v/>
      </c>
      <c r="N4895" s="31" t="str">
        <f t="shared" si="536"/>
        <v/>
      </c>
      <c r="O4895" s="31" t="str">
        <f>IF(OR(B4895="",C4895=""),"",K4895-N4895 + IFERROR(E4895 / SUMIFS('📅 Resumen Diario'!$D$5:$D$504, '📅 Resumen Diario'!$B$5:$B$504, B4895, '📅 Resumen Diario'!$C$5:$C$504, D4895) * (SUMIFS('📋 Detalle Diario'!$E$5:$E$489, '📋 Detalle Diario'!$B$5:$B$489, B4895, '📋 Detalle Diario'!$C$5:$C$489, D4895) * 135 + SUMIFS('📋 Detalle Diario'!$I$5:$I$489, '📋 Detalle Diario'!$B$5:$B$489, B4895, '📋 Detalle Diario'!$C$5:$C$489, D4895) * 200), 0))</f>
        <v/>
      </c>
      <c r="P4895" s="32" t="str">
        <f t="shared" si="537"/>
        <v/>
      </c>
      <c r="Q4895" s="33" t="str">
        <f t="shared" si="538"/>
        <v/>
      </c>
    </row>
    <row r="4896" spans="2:17" ht="18" customHeight="1" x14ac:dyDescent="0.3">
      <c r="B4896" s="26"/>
      <c r="C4896" s="17"/>
      <c r="D4896" s="27"/>
      <c r="E4896" s="18"/>
      <c r="F4896" s="18"/>
      <c r="G4896" s="18"/>
      <c r="H4896" s="30" t="str">
        <f t="shared" si="532"/>
        <v/>
      </c>
      <c r="I4896" s="31" t="str">
        <f>IF(OR(B4896="",C4896=""),"",IFERROR(E4896*IF(E4896="",0,VLOOKUP(C4896,'📦 Precios Proforma'!$B$5:$D$104,IF(D4896="DIA",2,3),FALSE)),0))</f>
        <v/>
      </c>
      <c r="J4896" s="31" t="str">
        <f t="shared" si="533"/>
        <v/>
      </c>
      <c r="K4896" s="31" t="str">
        <f t="shared" si="534"/>
        <v/>
      </c>
      <c r="L4896" s="31" t="str">
        <f>IF(OR(B4896="",C4896=""),"",IFERROR(E4896 / SUMIFS('📅 Resumen Diario'!$D$5:$D$504, '📅 Resumen Diario'!$B$5:$B$504, B4896, '📅 Resumen Diario'!$C$5:$C$504, D4896) * SUMIFS('📅 Resumen Diario'!$K$5:$K$504, '📅 Resumen Diario'!$B$5:$B$504, B4896, '📅 Resumen Diario'!$C$5:$C$504, D4896), 0))</f>
        <v/>
      </c>
      <c r="M4896" s="31" t="str">
        <f t="shared" si="535"/>
        <v/>
      </c>
      <c r="N4896" s="31" t="str">
        <f t="shared" si="536"/>
        <v/>
      </c>
      <c r="O4896" s="31" t="str">
        <f>IF(OR(B4896="",C4896=""),"",K4896-N4896 + IFERROR(E4896 / SUMIFS('📅 Resumen Diario'!$D$5:$D$504, '📅 Resumen Diario'!$B$5:$B$504, B4896, '📅 Resumen Diario'!$C$5:$C$504, D4896) * (SUMIFS('📋 Detalle Diario'!$E$5:$E$489, '📋 Detalle Diario'!$B$5:$B$489, B4896, '📋 Detalle Diario'!$C$5:$C$489, D4896) * 135 + SUMIFS('📋 Detalle Diario'!$I$5:$I$489, '📋 Detalle Diario'!$B$5:$B$489, B4896, '📋 Detalle Diario'!$C$5:$C$489, D4896) * 200), 0))</f>
        <v/>
      </c>
      <c r="P4896" s="32" t="str">
        <f t="shared" si="537"/>
        <v/>
      </c>
      <c r="Q4896" s="33" t="str">
        <f t="shared" si="538"/>
        <v/>
      </c>
    </row>
    <row r="4897" spans="2:17" ht="18" customHeight="1" x14ac:dyDescent="0.3">
      <c r="B4897" s="26"/>
      <c r="C4897" s="28"/>
      <c r="D4897" s="27"/>
      <c r="E4897" s="29"/>
      <c r="F4897" s="29"/>
      <c r="G4897" s="29"/>
      <c r="H4897" s="30" t="str">
        <f t="shared" si="532"/>
        <v/>
      </c>
      <c r="I4897" s="31" t="str">
        <f>IF(OR(B4897="",C4897=""),"",IFERROR(E4897*IF(E4897="",0,VLOOKUP(C4897,'📦 Precios Proforma'!$B$5:$D$104,IF(D4897="DIA",2,3),FALSE)),0))</f>
        <v/>
      </c>
      <c r="J4897" s="31" t="str">
        <f t="shared" si="533"/>
        <v/>
      </c>
      <c r="K4897" s="31" t="str">
        <f t="shared" si="534"/>
        <v/>
      </c>
      <c r="L4897" s="31" t="str">
        <f>IF(OR(B4897="",C4897=""),"",IFERROR(E4897 / SUMIFS('📅 Resumen Diario'!$D$5:$D$504, '📅 Resumen Diario'!$B$5:$B$504, B4897, '📅 Resumen Diario'!$C$5:$C$504, D4897) * SUMIFS('📅 Resumen Diario'!$K$5:$K$504, '📅 Resumen Diario'!$B$5:$B$504, B4897, '📅 Resumen Diario'!$C$5:$C$504, D4897), 0))</f>
        <v/>
      </c>
      <c r="M4897" s="31" t="str">
        <f t="shared" si="535"/>
        <v/>
      </c>
      <c r="N4897" s="31" t="str">
        <f t="shared" si="536"/>
        <v/>
      </c>
      <c r="O4897" s="31" t="str">
        <f>IF(OR(B4897="",C4897=""),"",K4897-N4897 + IFERROR(E4897 / SUMIFS('📅 Resumen Diario'!$D$5:$D$504, '📅 Resumen Diario'!$B$5:$B$504, B4897, '📅 Resumen Diario'!$C$5:$C$504, D4897) * (SUMIFS('📋 Detalle Diario'!$E$5:$E$489, '📋 Detalle Diario'!$B$5:$B$489, B4897, '📋 Detalle Diario'!$C$5:$C$489, D4897) * 135 + SUMIFS('📋 Detalle Diario'!$I$5:$I$489, '📋 Detalle Diario'!$B$5:$B$489, B4897, '📋 Detalle Diario'!$C$5:$C$489, D4897) * 200), 0))</f>
        <v/>
      </c>
      <c r="P4897" s="32" t="str">
        <f t="shared" si="537"/>
        <v/>
      </c>
      <c r="Q4897" s="33" t="str">
        <f t="shared" si="538"/>
        <v/>
      </c>
    </row>
    <row r="4898" spans="2:17" ht="18" customHeight="1" x14ac:dyDescent="0.3">
      <c r="B4898" s="26"/>
      <c r="C4898" s="17"/>
      <c r="D4898" s="27"/>
      <c r="E4898" s="18"/>
      <c r="F4898" s="18"/>
      <c r="G4898" s="18"/>
      <c r="H4898" s="30" t="str">
        <f t="shared" si="532"/>
        <v/>
      </c>
      <c r="I4898" s="31" t="str">
        <f>IF(OR(B4898="",C4898=""),"",IFERROR(E4898*IF(E4898="",0,VLOOKUP(C4898,'📦 Precios Proforma'!$B$5:$D$104,IF(D4898="DIA",2,3),FALSE)),0))</f>
        <v/>
      </c>
      <c r="J4898" s="31" t="str">
        <f t="shared" si="533"/>
        <v/>
      </c>
      <c r="K4898" s="31" t="str">
        <f t="shared" si="534"/>
        <v/>
      </c>
      <c r="L4898" s="31" t="str">
        <f>IF(OR(B4898="",C4898=""),"",IFERROR(E4898 / SUMIFS('📅 Resumen Diario'!$D$5:$D$504, '📅 Resumen Diario'!$B$5:$B$504, B4898, '📅 Resumen Diario'!$C$5:$C$504, D4898) * SUMIFS('📅 Resumen Diario'!$K$5:$K$504, '📅 Resumen Diario'!$B$5:$B$504, B4898, '📅 Resumen Diario'!$C$5:$C$504, D4898), 0))</f>
        <v/>
      </c>
      <c r="M4898" s="31" t="str">
        <f t="shared" si="535"/>
        <v/>
      </c>
      <c r="N4898" s="31" t="str">
        <f t="shared" si="536"/>
        <v/>
      </c>
      <c r="O4898" s="31" t="str">
        <f>IF(OR(B4898="",C4898=""),"",K4898-N4898 + IFERROR(E4898 / SUMIFS('📅 Resumen Diario'!$D$5:$D$504, '📅 Resumen Diario'!$B$5:$B$504, B4898, '📅 Resumen Diario'!$C$5:$C$504, D4898) * (SUMIFS('📋 Detalle Diario'!$E$5:$E$489, '📋 Detalle Diario'!$B$5:$B$489, B4898, '📋 Detalle Diario'!$C$5:$C$489, D4898) * 135 + SUMIFS('📋 Detalle Diario'!$I$5:$I$489, '📋 Detalle Diario'!$B$5:$B$489, B4898, '📋 Detalle Diario'!$C$5:$C$489, D4898) * 200), 0))</f>
        <v/>
      </c>
      <c r="P4898" s="32" t="str">
        <f t="shared" si="537"/>
        <v/>
      </c>
      <c r="Q4898" s="33" t="str">
        <f t="shared" si="538"/>
        <v/>
      </c>
    </row>
    <row r="4899" spans="2:17" ht="18" customHeight="1" x14ac:dyDescent="0.3">
      <c r="B4899" s="26"/>
      <c r="C4899" s="28"/>
      <c r="D4899" s="27"/>
      <c r="E4899" s="29"/>
      <c r="F4899" s="29"/>
      <c r="G4899" s="29"/>
      <c r="H4899" s="30" t="str">
        <f t="shared" si="532"/>
        <v/>
      </c>
      <c r="I4899" s="31" t="str">
        <f>IF(OR(B4899="",C4899=""),"",IFERROR(E4899*IF(E4899="",0,VLOOKUP(C4899,'📦 Precios Proforma'!$B$5:$D$104,IF(D4899="DIA",2,3),FALSE)),0))</f>
        <v/>
      </c>
      <c r="J4899" s="31" t="str">
        <f t="shared" si="533"/>
        <v/>
      </c>
      <c r="K4899" s="31" t="str">
        <f t="shared" si="534"/>
        <v/>
      </c>
      <c r="L4899" s="31" t="str">
        <f>IF(OR(B4899="",C4899=""),"",IFERROR(E4899 / SUMIFS('📅 Resumen Diario'!$D$5:$D$504, '📅 Resumen Diario'!$B$5:$B$504, B4899, '📅 Resumen Diario'!$C$5:$C$504, D4899) * SUMIFS('📅 Resumen Diario'!$K$5:$K$504, '📅 Resumen Diario'!$B$5:$B$504, B4899, '📅 Resumen Diario'!$C$5:$C$504, D4899), 0))</f>
        <v/>
      </c>
      <c r="M4899" s="31" t="str">
        <f t="shared" si="535"/>
        <v/>
      </c>
      <c r="N4899" s="31" t="str">
        <f t="shared" si="536"/>
        <v/>
      </c>
      <c r="O4899" s="31" t="str">
        <f>IF(OR(B4899="",C4899=""),"",K4899-N4899 + IFERROR(E4899 / SUMIFS('📅 Resumen Diario'!$D$5:$D$504, '📅 Resumen Diario'!$B$5:$B$504, B4899, '📅 Resumen Diario'!$C$5:$C$504, D4899) * (SUMIFS('📋 Detalle Diario'!$E$5:$E$489, '📋 Detalle Diario'!$B$5:$B$489, B4899, '📋 Detalle Diario'!$C$5:$C$489, D4899) * 135 + SUMIFS('📋 Detalle Diario'!$I$5:$I$489, '📋 Detalle Diario'!$B$5:$B$489, B4899, '📋 Detalle Diario'!$C$5:$C$489, D4899) * 200), 0))</f>
        <v/>
      </c>
      <c r="P4899" s="32" t="str">
        <f t="shared" si="537"/>
        <v/>
      </c>
      <c r="Q4899" s="33" t="str">
        <f t="shared" si="538"/>
        <v/>
      </c>
    </row>
    <row r="4900" spans="2:17" ht="18" customHeight="1" x14ac:dyDescent="0.3">
      <c r="B4900" s="26"/>
      <c r="C4900" s="17"/>
      <c r="D4900" s="27"/>
      <c r="E4900" s="18"/>
      <c r="F4900" s="18"/>
      <c r="G4900" s="18"/>
      <c r="H4900" s="30" t="str">
        <f t="shared" si="532"/>
        <v/>
      </c>
      <c r="I4900" s="31" t="str">
        <f>IF(OR(B4900="",C4900=""),"",IFERROR(E4900*IF(E4900="",0,VLOOKUP(C4900,'📦 Precios Proforma'!$B$5:$D$104,IF(D4900="DIA",2,3),FALSE)),0))</f>
        <v/>
      </c>
      <c r="J4900" s="31" t="str">
        <f t="shared" si="533"/>
        <v/>
      </c>
      <c r="K4900" s="31" t="str">
        <f t="shared" si="534"/>
        <v/>
      </c>
      <c r="L4900" s="31" t="str">
        <f>IF(OR(B4900="",C4900=""),"",IFERROR(E4900 / SUMIFS('📅 Resumen Diario'!$D$5:$D$504, '📅 Resumen Diario'!$B$5:$B$504, B4900, '📅 Resumen Diario'!$C$5:$C$504, D4900) * SUMIFS('📅 Resumen Diario'!$K$5:$K$504, '📅 Resumen Diario'!$B$5:$B$504, B4900, '📅 Resumen Diario'!$C$5:$C$504, D4900), 0))</f>
        <v/>
      </c>
      <c r="M4900" s="31" t="str">
        <f t="shared" si="535"/>
        <v/>
      </c>
      <c r="N4900" s="31" t="str">
        <f t="shared" si="536"/>
        <v/>
      </c>
      <c r="O4900" s="31" t="str">
        <f>IF(OR(B4900="",C4900=""),"",K4900-N4900 + IFERROR(E4900 / SUMIFS('📅 Resumen Diario'!$D$5:$D$504, '📅 Resumen Diario'!$B$5:$B$504, B4900, '📅 Resumen Diario'!$C$5:$C$504, D4900) * (SUMIFS('📋 Detalle Diario'!$E$5:$E$489, '📋 Detalle Diario'!$B$5:$B$489, B4900, '📋 Detalle Diario'!$C$5:$C$489, D4900) * 135 + SUMIFS('📋 Detalle Diario'!$I$5:$I$489, '📋 Detalle Diario'!$B$5:$B$489, B4900, '📋 Detalle Diario'!$C$5:$C$489, D4900) * 200), 0))</f>
        <v/>
      </c>
      <c r="P4900" s="32" t="str">
        <f t="shared" si="537"/>
        <v/>
      </c>
      <c r="Q4900" s="33" t="str">
        <f t="shared" si="538"/>
        <v/>
      </c>
    </row>
    <row r="4901" spans="2:17" ht="18" customHeight="1" x14ac:dyDescent="0.3">
      <c r="B4901" s="26"/>
      <c r="C4901" s="28"/>
      <c r="D4901" s="27"/>
      <c r="E4901" s="29"/>
      <c r="F4901" s="29"/>
      <c r="G4901" s="29"/>
      <c r="H4901" s="30" t="str">
        <f t="shared" si="532"/>
        <v/>
      </c>
      <c r="I4901" s="31" t="str">
        <f>IF(OR(B4901="",C4901=""),"",IFERROR(E4901*IF(E4901="",0,VLOOKUP(C4901,'📦 Precios Proforma'!$B$5:$D$104,IF(D4901="DIA",2,3),FALSE)),0))</f>
        <v/>
      </c>
      <c r="J4901" s="31" t="str">
        <f t="shared" si="533"/>
        <v/>
      </c>
      <c r="K4901" s="31" t="str">
        <f t="shared" si="534"/>
        <v/>
      </c>
      <c r="L4901" s="31" t="str">
        <f>IF(OR(B4901="",C4901=""),"",IFERROR(E4901 / SUMIFS('📅 Resumen Diario'!$D$5:$D$504, '📅 Resumen Diario'!$B$5:$B$504, B4901, '📅 Resumen Diario'!$C$5:$C$504, D4901) * SUMIFS('📅 Resumen Diario'!$K$5:$K$504, '📅 Resumen Diario'!$B$5:$B$504, B4901, '📅 Resumen Diario'!$C$5:$C$504, D4901), 0))</f>
        <v/>
      </c>
      <c r="M4901" s="31" t="str">
        <f t="shared" si="535"/>
        <v/>
      </c>
      <c r="N4901" s="31" t="str">
        <f t="shared" si="536"/>
        <v/>
      </c>
      <c r="O4901" s="31" t="str">
        <f>IF(OR(B4901="",C4901=""),"",K4901-N4901 + IFERROR(E4901 / SUMIFS('📅 Resumen Diario'!$D$5:$D$504, '📅 Resumen Diario'!$B$5:$B$504, B4901, '📅 Resumen Diario'!$C$5:$C$504, D4901) * (SUMIFS('📋 Detalle Diario'!$E$5:$E$489, '📋 Detalle Diario'!$B$5:$B$489, B4901, '📋 Detalle Diario'!$C$5:$C$489, D4901) * 135 + SUMIFS('📋 Detalle Diario'!$I$5:$I$489, '📋 Detalle Diario'!$B$5:$B$489, B4901, '📋 Detalle Diario'!$C$5:$C$489, D4901) * 200), 0))</f>
        <v/>
      </c>
      <c r="P4901" s="32" t="str">
        <f t="shared" si="537"/>
        <v/>
      </c>
      <c r="Q4901" s="33" t="str">
        <f t="shared" si="538"/>
        <v/>
      </c>
    </row>
    <row r="4902" spans="2:17" ht="18" customHeight="1" x14ac:dyDescent="0.3">
      <c r="B4902" s="26"/>
      <c r="C4902" s="17"/>
      <c r="D4902" s="27"/>
      <c r="E4902" s="18"/>
      <c r="F4902" s="18"/>
      <c r="G4902" s="18"/>
      <c r="H4902" s="30" t="str">
        <f t="shared" si="532"/>
        <v/>
      </c>
      <c r="I4902" s="31" t="str">
        <f>IF(OR(B4902="",C4902=""),"",IFERROR(E4902*IF(E4902="",0,VLOOKUP(C4902,'📦 Precios Proforma'!$B$5:$D$104,IF(D4902="DIA",2,3),FALSE)),0))</f>
        <v/>
      </c>
      <c r="J4902" s="31" t="str">
        <f t="shared" si="533"/>
        <v/>
      </c>
      <c r="K4902" s="31" t="str">
        <f t="shared" si="534"/>
        <v/>
      </c>
      <c r="L4902" s="31" t="str">
        <f>IF(OR(B4902="",C4902=""),"",IFERROR(E4902 / SUMIFS('📅 Resumen Diario'!$D$5:$D$504, '📅 Resumen Diario'!$B$5:$B$504, B4902, '📅 Resumen Diario'!$C$5:$C$504, D4902) * SUMIFS('📅 Resumen Diario'!$K$5:$K$504, '📅 Resumen Diario'!$B$5:$B$504, B4902, '📅 Resumen Diario'!$C$5:$C$504, D4902), 0))</f>
        <v/>
      </c>
      <c r="M4902" s="31" t="str">
        <f t="shared" si="535"/>
        <v/>
      </c>
      <c r="N4902" s="31" t="str">
        <f t="shared" si="536"/>
        <v/>
      </c>
      <c r="O4902" s="31" t="str">
        <f>IF(OR(B4902="",C4902=""),"",K4902-N4902 + IFERROR(E4902 / SUMIFS('📅 Resumen Diario'!$D$5:$D$504, '📅 Resumen Diario'!$B$5:$B$504, B4902, '📅 Resumen Diario'!$C$5:$C$504, D4902) * (SUMIFS('📋 Detalle Diario'!$E$5:$E$489, '📋 Detalle Diario'!$B$5:$B$489, B4902, '📋 Detalle Diario'!$C$5:$C$489, D4902) * 135 + SUMIFS('📋 Detalle Diario'!$I$5:$I$489, '📋 Detalle Diario'!$B$5:$B$489, B4902, '📋 Detalle Diario'!$C$5:$C$489, D4902) * 200), 0))</f>
        <v/>
      </c>
      <c r="P4902" s="32" t="str">
        <f t="shared" si="537"/>
        <v/>
      </c>
      <c r="Q4902" s="33" t="str">
        <f t="shared" si="538"/>
        <v/>
      </c>
    </row>
    <row r="4903" spans="2:17" ht="18" customHeight="1" x14ac:dyDescent="0.3">
      <c r="B4903" s="26"/>
      <c r="C4903" s="28"/>
      <c r="D4903" s="27"/>
      <c r="E4903" s="29"/>
      <c r="F4903" s="29"/>
      <c r="G4903" s="29"/>
      <c r="H4903" s="30" t="str">
        <f t="shared" si="532"/>
        <v/>
      </c>
      <c r="I4903" s="31" t="str">
        <f>IF(OR(B4903="",C4903=""),"",IFERROR(E4903*IF(E4903="",0,VLOOKUP(C4903,'📦 Precios Proforma'!$B$5:$D$104,IF(D4903="DIA",2,3),FALSE)),0))</f>
        <v/>
      </c>
      <c r="J4903" s="31" t="str">
        <f t="shared" si="533"/>
        <v/>
      </c>
      <c r="K4903" s="31" t="str">
        <f t="shared" si="534"/>
        <v/>
      </c>
      <c r="L4903" s="31" t="str">
        <f>IF(OR(B4903="",C4903=""),"",IFERROR(E4903 / SUMIFS('📅 Resumen Diario'!$D$5:$D$504, '📅 Resumen Diario'!$B$5:$B$504, B4903, '📅 Resumen Diario'!$C$5:$C$504, D4903) * SUMIFS('📅 Resumen Diario'!$K$5:$K$504, '📅 Resumen Diario'!$B$5:$B$504, B4903, '📅 Resumen Diario'!$C$5:$C$504, D4903), 0))</f>
        <v/>
      </c>
      <c r="M4903" s="31" t="str">
        <f t="shared" si="535"/>
        <v/>
      </c>
      <c r="N4903" s="31" t="str">
        <f t="shared" si="536"/>
        <v/>
      </c>
      <c r="O4903" s="31" t="str">
        <f>IF(OR(B4903="",C4903=""),"",K4903-N4903 + IFERROR(E4903 / SUMIFS('📅 Resumen Diario'!$D$5:$D$504, '📅 Resumen Diario'!$B$5:$B$504, B4903, '📅 Resumen Diario'!$C$5:$C$504, D4903) * (SUMIFS('📋 Detalle Diario'!$E$5:$E$489, '📋 Detalle Diario'!$B$5:$B$489, B4903, '📋 Detalle Diario'!$C$5:$C$489, D4903) * 135 + SUMIFS('📋 Detalle Diario'!$I$5:$I$489, '📋 Detalle Diario'!$B$5:$B$489, B4903, '📋 Detalle Diario'!$C$5:$C$489, D4903) * 200), 0))</f>
        <v/>
      </c>
      <c r="P4903" s="32" t="str">
        <f t="shared" si="537"/>
        <v/>
      </c>
      <c r="Q4903" s="33" t="str">
        <f t="shared" si="538"/>
        <v/>
      </c>
    </row>
    <row r="4904" spans="2:17" ht="18" customHeight="1" x14ac:dyDescent="0.3">
      <c r="B4904" s="26"/>
      <c r="C4904" s="17"/>
      <c r="D4904" s="27"/>
      <c r="E4904" s="18"/>
      <c r="F4904" s="18"/>
      <c r="G4904" s="18"/>
      <c r="H4904" s="30" t="str">
        <f t="shared" si="532"/>
        <v/>
      </c>
      <c r="I4904" s="31" t="str">
        <f>IF(OR(B4904="",C4904=""),"",IFERROR(E4904*IF(E4904="",0,VLOOKUP(C4904,'📦 Precios Proforma'!$B$5:$D$104,IF(D4904="DIA",2,3),FALSE)),0))</f>
        <v/>
      </c>
      <c r="J4904" s="31" t="str">
        <f t="shared" si="533"/>
        <v/>
      </c>
      <c r="K4904" s="31" t="str">
        <f t="shared" si="534"/>
        <v/>
      </c>
      <c r="L4904" s="31" t="str">
        <f>IF(OR(B4904="",C4904=""),"",IFERROR(E4904 / SUMIFS('📅 Resumen Diario'!$D$5:$D$504, '📅 Resumen Diario'!$B$5:$B$504, B4904, '📅 Resumen Diario'!$C$5:$C$504, D4904) * SUMIFS('📅 Resumen Diario'!$K$5:$K$504, '📅 Resumen Diario'!$B$5:$B$504, B4904, '📅 Resumen Diario'!$C$5:$C$504, D4904), 0))</f>
        <v/>
      </c>
      <c r="M4904" s="31" t="str">
        <f t="shared" si="535"/>
        <v/>
      </c>
      <c r="N4904" s="31" t="str">
        <f t="shared" si="536"/>
        <v/>
      </c>
      <c r="O4904" s="31" t="str">
        <f>IF(OR(B4904="",C4904=""),"",K4904-N4904 + IFERROR(E4904 / SUMIFS('📅 Resumen Diario'!$D$5:$D$504, '📅 Resumen Diario'!$B$5:$B$504, B4904, '📅 Resumen Diario'!$C$5:$C$504, D4904) * (SUMIFS('📋 Detalle Diario'!$E$5:$E$489, '📋 Detalle Diario'!$B$5:$B$489, B4904, '📋 Detalle Diario'!$C$5:$C$489, D4904) * 135 + SUMIFS('📋 Detalle Diario'!$I$5:$I$489, '📋 Detalle Diario'!$B$5:$B$489, B4904, '📋 Detalle Diario'!$C$5:$C$489, D4904) * 200), 0))</f>
        <v/>
      </c>
      <c r="P4904" s="32" t="str">
        <f t="shared" si="537"/>
        <v/>
      </c>
      <c r="Q4904" s="33" t="str">
        <f t="shared" si="538"/>
        <v/>
      </c>
    </row>
    <row r="4905" spans="2:17" ht="18" customHeight="1" x14ac:dyDescent="0.3">
      <c r="B4905" s="26"/>
      <c r="C4905" s="28"/>
      <c r="D4905" s="27"/>
      <c r="E4905" s="29"/>
      <c r="F4905" s="29"/>
      <c r="G4905" s="29"/>
      <c r="H4905" s="30" t="str">
        <f t="shared" si="532"/>
        <v/>
      </c>
      <c r="I4905" s="31" t="str">
        <f>IF(OR(B4905="",C4905=""),"",IFERROR(E4905*IF(E4905="",0,VLOOKUP(C4905,'📦 Precios Proforma'!$B$5:$D$104,IF(D4905="DIA",2,3),FALSE)),0))</f>
        <v/>
      </c>
      <c r="J4905" s="31" t="str">
        <f t="shared" si="533"/>
        <v/>
      </c>
      <c r="K4905" s="31" t="str">
        <f t="shared" si="534"/>
        <v/>
      </c>
      <c r="L4905" s="31" t="str">
        <f>IF(OR(B4905="",C4905=""),"",IFERROR(E4905 / SUMIFS('📅 Resumen Diario'!$D$5:$D$504, '📅 Resumen Diario'!$B$5:$B$504, B4905, '📅 Resumen Diario'!$C$5:$C$504, D4905) * SUMIFS('📅 Resumen Diario'!$K$5:$K$504, '📅 Resumen Diario'!$B$5:$B$504, B4905, '📅 Resumen Diario'!$C$5:$C$504, D4905), 0))</f>
        <v/>
      </c>
      <c r="M4905" s="31" t="str">
        <f t="shared" si="535"/>
        <v/>
      </c>
      <c r="N4905" s="31" t="str">
        <f t="shared" si="536"/>
        <v/>
      </c>
      <c r="O4905" s="31" t="str">
        <f>IF(OR(B4905="",C4905=""),"",K4905-N4905 + IFERROR(E4905 / SUMIFS('📅 Resumen Diario'!$D$5:$D$504, '📅 Resumen Diario'!$B$5:$B$504, B4905, '📅 Resumen Diario'!$C$5:$C$504, D4905) * (SUMIFS('📋 Detalle Diario'!$E$5:$E$489, '📋 Detalle Diario'!$B$5:$B$489, B4905, '📋 Detalle Diario'!$C$5:$C$489, D4905) * 135 + SUMIFS('📋 Detalle Diario'!$I$5:$I$489, '📋 Detalle Diario'!$B$5:$B$489, B4905, '📋 Detalle Diario'!$C$5:$C$489, D4905) * 200), 0))</f>
        <v/>
      </c>
      <c r="P4905" s="32" t="str">
        <f t="shared" si="537"/>
        <v/>
      </c>
      <c r="Q4905" s="33" t="str">
        <f t="shared" si="538"/>
        <v/>
      </c>
    </row>
    <row r="4906" spans="2:17" ht="18" customHeight="1" x14ac:dyDescent="0.3">
      <c r="B4906" s="26"/>
      <c r="C4906" s="17"/>
      <c r="D4906" s="27"/>
      <c r="E4906" s="18"/>
      <c r="F4906" s="18"/>
      <c r="G4906" s="18"/>
      <c r="H4906" s="30" t="str">
        <f t="shared" si="532"/>
        <v/>
      </c>
      <c r="I4906" s="31" t="str">
        <f>IF(OR(B4906="",C4906=""),"",IFERROR(E4906*IF(E4906="",0,VLOOKUP(C4906,'📦 Precios Proforma'!$B$5:$D$104,IF(D4906="DIA",2,3),FALSE)),0))</f>
        <v/>
      </c>
      <c r="J4906" s="31" t="str">
        <f t="shared" si="533"/>
        <v/>
      </c>
      <c r="K4906" s="31" t="str">
        <f t="shared" si="534"/>
        <v/>
      </c>
      <c r="L4906" s="31" t="str">
        <f>IF(OR(B4906="",C4906=""),"",IFERROR(E4906 / SUMIFS('📅 Resumen Diario'!$D$5:$D$504, '📅 Resumen Diario'!$B$5:$B$504, B4906, '📅 Resumen Diario'!$C$5:$C$504, D4906) * SUMIFS('📅 Resumen Diario'!$K$5:$K$504, '📅 Resumen Diario'!$B$5:$B$504, B4906, '📅 Resumen Diario'!$C$5:$C$504, D4906), 0))</f>
        <v/>
      </c>
      <c r="M4906" s="31" t="str">
        <f t="shared" si="535"/>
        <v/>
      </c>
      <c r="N4906" s="31" t="str">
        <f t="shared" si="536"/>
        <v/>
      </c>
      <c r="O4906" s="31" t="str">
        <f>IF(OR(B4906="",C4906=""),"",K4906-N4906 + IFERROR(E4906 / SUMIFS('📅 Resumen Diario'!$D$5:$D$504, '📅 Resumen Diario'!$B$5:$B$504, B4906, '📅 Resumen Diario'!$C$5:$C$504, D4906) * (SUMIFS('📋 Detalle Diario'!$E$5:$E$489, '📋 Detalle Diario'!$B$5:$B$489, B4906, '📋 Detalle Diario'!$C$5:$C$489, D4906) * 135 + SUMIFS('📋 Detalle Diario'!$I$5:$I$489, '📋 Detalle Diario'!$B$5:$B$489, B4906, '📋 Detalle Diario'!$C$5:$C$489, D4906) * 200), 0))</f>
        <v/>
      </c>
      <c r="P4906" s="32" t="str">
        <f t="shared" si="537"/>
        <v/>
      </c>
      <c r="Q4906" s="33" t="str">
        <f t="shared" si="538"/>
        <v/>
      </c>
    </row>
    <row r="4907" spans="2:17" ht="18" customHeight="1" x14ac:dyDescent="0.3">
      <c r="B4907" s="26"/>
      <c r="C4907" s="28"/>
      <c r="D4907" s="27"/>
      <c r="E4907" s="29"/>
      <c r="F4907" s="29"/>
      <c r="G4907" s="29"/>
      <c r="H4907" s="30" t="str">
        <f t="shared" si="532"/>
        <v/>
      </c>
      <c r="I4907" s="31" t="str">
        <f>IF(OR(B4907="",C4907=""),"",IFERROR(E4907*IF(E4907="",0,VLOOKUP(C4907,'📦 Precios Proforma'!$B$5:$D$104,IF(D4907="DIA",2,3),FALSE)),0))</f>
        <v/>
      </c>
      <c r="J4907" s="31" t="str">
        <f t="shared" si="533"/>
        <v/>
      </c>
      <c r="K4907" s="31" t="str">
        <f t="shared" si="534"/>
        <v/>
      </c>
      <c r="L4907" s="31" t="str">
        <f>IF(OR(B4907="",C4907=""),"",IFERROR(E4907 / SUMIFS('📅 Resumen Diario'!$D$5:$D$504, '📅 Resumen Diario'!$B$5:$B$504, B4907, '📅 Resumen Diario'!$C$5:$C$504, D4907) * SUMIFS('📅 Resumen Diario'!$K$5:$K$504, '📅 Resumen Diario'!$B$5:$B$504, B4907, '📅 Resumen Diario'!$C$5:$C$504, D4907), 0))</f>
        <v/>
      </c>
      <c r="M4907" s="31" t="str">
        <f t="shared" si="535"/>
        <v/>
      </c>
      <c r="N4907" s="31" t="str">
        <f t="shared" si="536"/>
        <v/>
      </c>
      <c r="O4907" s="31" t="str">
        <f>IF(OR(B4907="",C4907=""),"",K4907-N4907 + IFERROR(E4907 / SUMIFS('📅 Resumen Diario'!$D$5:$D$504, '📅 Resumen Diario'!$B$5:$B$504, B4907, '📅 Resumen Diario'!$C$5:$C$504, D4907) * (SUMIFS('📋 Detalle Diario'!$E$5:$E$489, '📋 Detalle Diario'!$B$5:$B$489, B4907, '📋 Detalle Diario'!$C$5:$C$489, D4907) * 135 + SUMIFS('📋 Detalle Diario'!$I$5:$I$489, '📋 Detalle Diario'!$B$5:$B$489, B4907, '📋 Detalle Diario'!$C$5:$C$489, D4907) * 200), 0))</f>
        <v/>
      </c>
      <c r="P4907" s="32" t="str">
        <f t="shared" si="537"/>
        <v/>
      </c>
      <c r="Q4907" s="33" t="str">
        <f t="shared" si="538"/>
        <v/>
      </c>
    </row>
    <row r="4908" spans="2:17" ht="18" customHeight="1" x14ac:dyDescent="0.3">
      <c r="B4908" s="26"/>
      <c r="C4908" s="17"/>
      <c r="D4908" s="27"/>
      <c r="E4908" s="18"/>
      <c r="F4908" s="18"/>
      <c r="G4908" s="18"/>
      <c r="H4908" s="30" t="str">
        <f t="shared" si="532"/>
        <v/>
      </c>
      <c r="I4908" s="31" t="str">
        <f>IF(OR(B4908="",C4908=""),"",IFERROR(E4908*IF(E4908="",0,VLOOKUP(C4908,'📦 Precios Proforma'!$B$5:$D$104,IF(D4908="DIA",2,3),FALSE)),0))</f>
        <v/>
      </c>
      <c r="J4908" s="31" t="str">
        <f t="shared" si="533"/>
        <v/>
      </c>
      <c r="K4908" s="31" t="str">
        <f t="shared" si="534"/>
        <v/>
      </c>
      <c r="L4908" s="31" t="str">
        <f>IF(OR(B4908="",C4908=""),"",IFERROR(E4908 / SUMIFS('📅 Resumen Diario'!$D$5:$D$504, '📅 Resumen Diario'!$B$5:$B$504, B4908, '📅 Resumen Diario'!$C$5:$C$504, D4908) * SUMIFS('📅 Resumen Diario'!$K$5:$K$504, '📅 Resumen Diario'!$B$5:$B$504, B4908, '📅 Resumen Diario'!$C$5:$C$504, D4908), 0))</f>
        <v/>
      </c>
      <c r="M4908" s="31" t="str">
        <f t="shared" si="535"/>
        <v/>
      </c>
      <c r="N4908" s="31" t="str">
        <f t="shared" si="536"/>
        <v/>
      </c>
      <c r="O4908" s="31" t="str">
        <f>IF(OR(B4908="",C4908=""),"",K4908-N4908 + IFERROR(E4908 / SUMIFS('📅 Resumen Diario'!$D$5:$D$504, '📅 Resumen Diario'!$B$5:$B$504, B4908, '📅 Resumen Diario'!$C$5:$C$504, D4908) * (SUMIFS('📋 Detalle Diario'!$E$5:$E$489, '📋 Detalle Diario'!$B$5:$B$489, B4908, '📋 Detalle Diario'!$C$5:$C$489, D4908) * 135 + SUMIFS('📋 Detalle Diario'!$I$5:$I$489, '📋 Detalle Diario'!$B$5:$B$489, B4908, '📋 Detalle Diario'!$C$5:$C$489, D4908) * 200), 0))</f>
        <v/>
      </c>
      <c r="P4908" s="32" t="str">
        <f t="shared" si="537"/>
        <v/>
      </c>
      <c r="Q4908" s="33" t="str">
        <f t="shared" si="538"/>
        <v/>
      </c>
    </row>
    <row r="4909" spans="2:17" ht="18" customHeight="1" x14ac:dyDescent="0.3">
      <c r="B4909" s="26"/>
      <c r="C4909" s="28"/>
      <c r="D4909" s="27"/>
      <c r="E4909" s="29"/>
      <c r="F4909" s="29"/>
      <c r="G4909" s="29"/>
      <c r="H4909" s="30" t="str">
        <f t="shared" si="532"/>
        <v/>
      </c>
      <c r="I4909" s="31" t="str">
        <f>IF(OR(B4909="",C4909=""),"",IFERROR(E4909*IF(E4909="",0,VLOOKUP(C4909,'📦 Precios Proforma'!$B$5:$D$104,IF(D4909="DIA",2,3),FALSE)),0))</f>
        <v/>
      </c>
      <c r="J4909" s="31" t="str">
        <f t="shared" si="533"/>
        <v/>
      </c>
      <c r="K4909" s="31" t="str">
        <f t="shared" si="534"/>
        <v/>
      </c>
      <c r="L4909" s="31" t="str">
        <f>IF(OR(B4909="",C4909=""),"",IFERROR(E4909 / SUMIFS('📅 Resumen Diario'!$D$5:$D$504, '📅 Resumen Diario'!$B$5:$B$504, B4909, '📅 Resumen Diario'!$C$5:$C$504, D4909) * SUMIFS('📅 Resumen Diario'!$K$5:$K$504, '📅 Resumen Diario'!$B$5:$B$504, B4909, '📅 Resumen Diario'!$C$5:$C$504, D4909), 0))</f>
        <v/>
      </c>
      <c r="M4909" s="31" t="str">
        <f t="shared" si="535"/>
        <v/>
      </c>
      <c r="N4909" s="31" t="str">
        <f t="shared" si="536"/>
        <v/>
      </c>
      <c r="O4909" s="31" t="str">
        <f>IF(OR(B4909="",C4909=""),"",K4909-N4909 + IFERROR(E4909 / SUMIFS('📅 Resumen Diario'!$D$5:$D$504, '📅 Resumen Diario'!$B$5:$B$504, B4909, '📅 Resumen Diario'!$C$5:$C$504, D4909) * (SUMIFS('📋 Detalle Diario'!$E$5:$E$489, '📋 Detalle Diario'!$B$5:$B$489, B4909, '📋 Detalle Diario'!$C$5:$C$489, D4909) * 135 + SUMIFS('📋 Detalle Diario'!$I$5:$I$489, '📋 Detalle Diario'!$B$5:$B$489, B4909, '📋 Detalle Diario'!$C$5:$C$489, D4909) * 200), 0))</f>
        <v/>
      </c>
      <c r="P4909" s="32" t="str">
        <f t="shared" si="537"/>
        <v/>
      </c>
      <c r="Q4909" s="33" t="str">
        <f t="shared" si="538"/>
        <v/>
      </c>
    </row>
    <row r="4910" spans="2:17" ht="18" customHeight="1" x14ac:dyDescent="0.3">
      <c r="B4910" s="26"/>
      <c r="C4910" s="17"/>
      <c r="D4910" s="27"/>
      <c r="E4910" s="18"/>
      <c r="F4910" s="18"/>
      <c r="G4910" s="18"/>
      <c r="H4910" s="30" t="str">
        <f t="shared" si="532"/>
        <v/>
      </c>
      <c r="I4910" s="31" t="str">
        <f>IF(OR(B4910="",C4910=""),"",IFERROR(E4910*IF(E4910="",0,VLOOKUP(C4910,'📦 Precios Proforma'!$B$5:$D$104,IF(D4910="DIA",2,3),FALSE)),0))</f>
        <v/>
      </c>
      <c r="J4910" s="31" t="str">
        <f t="shared" si="533"/>
        <v/>
      </c>
      <c r="K4910" s="31" t="str">
        <f t="shared" si="534"/>
        <v/>
      </c>
      <c r="L4910" s="31" t="str">
        <f>IF(OR(B4910="",C4910=""),"",IFERROR(E4910 / SUMIFS('📅 Resumen Diario'!$D$5:$D$504, '📅 Resumen Diario'!$B$5:$B$504, B4910, '📅 Resumen Diario'!$C$5:$C$504, D4910) * SUMIFS('📅 Resumen Diario'!$K$5:$K$504, '📅 Resumen Diario'!$B$5:$B$504, B4910, '📅 Resumen Diario'!$C$5:$C$504, D4910), 0))</f>
        <v/>
      </c>
      <c r="M4910" s="31" t="str">
        <f t="shared" si="535"/>
        <v/>
      </c>
      <c r="N4910" s="31" t="str">
        <f t="shared" si="536"/>
        <v/>
      </c>
      <c r="O4910" s="31" t="str">
        <f>IF(OR(B4910="",C4910=""),"",K4910-N4910 + IFERROR(E4910 / SUMIFS('📅 Resumen Diario'!$D$5:$D$504, '📅 Resumen Diario'!$B$5:$B$504, B4910, '📅 Resumen Diario'!$C$5:$C$504, D4910) * (SUMIFS('📋 Detalle Diario'!$E$5:$E$489, '📋 Detalle Diario'!$B$5:$B$489, B4910, '📋 Detalle Diario'!$C$5:$C$489, D4910) * 135 + SUMIFS('📋 Detalle Diario'!$I$5:$I$489, '📋 Detalle Diario'!$B$5:$B$489, B4910, '📋 Detalle Diario'!$C$5:$C$489, D4910) * 200), 0))</f>
        <v/>
      </c>
      <c r="P4910" s="32" t="str">
        <f t="shared" si="537"/>
        <v/>
      </c>
      <c r="Q4910" s="33" t="str">
        <f t="shared" si="538"/>
        <v/>
      </c>
    </row>
    <row r="4911" spans="2:17" ht="18" customHeight="1" x14ac:dyDescent="0.3">
      <c r="B4911" s="26"/>
      <c r="C4911" s="28"/>
      <c r="D4911" s="27"/>
      <c r="E4911" s="29"/>
      <c r="F4911" s="29"/>
      <c r="G4911" s="29"/>
      <c r="H4911" s="30" t="str">
        <f t="shared" si="532"/>
        <v/>
      </c>
      <c r="I4911" s="31" t="str">
        <f>IF(OR(B4911="",C4911=""),"",IFERROR(E4911*IF(E4911="",0,VLOOKUP(C4911,'📦 Precios Proforma'!$B$5:$D$104,IF(D4911="DIA",2,3),FALSE)),0))</f>
        <v/>
      </c>
      <c r="J4911" s="31" t="str">
        <f t="shared" si="533"/>
        <v/>
      </c>
      <c r="K4911" s="31" t="str">
        <f t="shared" si="534"/>
        <v/>
      </c>
      <c r="L4911" s="31" t="str">
        <f>IF(OR(B4911="",C4911=""),"",IFERROR(E4911 / SUMIFS('📅 Resumen Diario'!$D$5:$D$504, '📅 Resumen Diario'!$B$5:$B$504, B4911, '📅 Resumen Diario'!$C$5:$C$504, D4911) * SUMIFS('📅 Resumen Diario'!$K$5:$K$504, '📅 Resumen Diario'!$B$5:$B$504, B4911, '📅 Resumen Diario'!$C$5:$C$504, D4911), 0))</f>
        <v/>
      </c>
      <c r="M4911" s="31" t="str">
        <f t="shared" si="535"/>
        <v/>
      </c>
      <c r="N4911" s="31" t="str">
        <f t="shared" si="536"/>
        <v/>
      </c>
      <c r="O4911" s="31" t="str">
        <f>IF(OR(B4911="",C4911=""),"",K4911-N4911 + IFERROR(E4911 / SUMIFS('📅 Resumen Diario'!$D$5:$D$504, '📅 Resumen Diario'!$B$5:$B$504, B4911, '📅 Resumen Diario'!$C$5:$C$504, D4911) * (SUMIFS('📋 Detalle Diario'!$E$5:$E$489, '📋 Detalle Diario'!$B$5:$B$489, B4911, '📋 Detalle Diario'!$C$5:$C$489, D4911) * 135 + SUMIFS('📋 Detalle Diario'!$I$5:$I$489, '📋 Detalle Diario'!$B$5:$B$489, B4911, '📋 Detalle Diario'!$C$5:$C$489, D4911) * 200), 0))</f>
        <v/>
      </c>
      <c r="P4911" s="32" t="str">
        <f t="shared" si="537"/>
        <v/>
      </c>
      <c r="Q4911" s="33" t="str">
        <f t="shared" si="538"/>
        <v/>
      </c>
    </row>
    <row r="4912" spans="2:17" ht="18" customHeight="1" x14ac:dyDescent="0.3">
      <c r="B4912" s="26"/>
      <c r="C4912" s="17"/>
      <c r="D4912" s="27"/>
      <c r="E4912" s="18"/>
      <c r="F4912" s="18"/>
      <c r="G4912" s="18"/>
      <c r="H4912" s="30" t="str">
        <f t="shared" si="532"/>
        <v/>
      </c>
      <c r="I4912" s="31" t="str">
        <f>IF(OR(B4912="",C4912=""),"",IFERROR(E4912*IF(E4912="",0,VLOOKUP(C4912,'📦 Precios Proforma'!$B$5:$D$104,IF(D4912="DIA",2,3),FALSE)),0))</f>
        <v/>
      </c>
      <c r="J4912" s="31" t="str">
        <f t="shared" si="533"/>
        <v/>
      </c>
      <c r="K4912" s="31" t="str">
        <f t="shared" si="534"/>
        <v/>
      </c>
      <c r="L4912" s="31" t="str">
        <f>IF(OR(B4912="",C4912=""),"",IFERROR(E4912 / SUMIFS('📅 Resumen Diario'!$D$5:$D$504, '📅 Resumen Diario'!$B$5:$B$504, B4912, '📅 Resumen Diario'!$C$5:$C$504, D4912) * SUMIFS('📅 Resumen Diario'!$K$5:$K$504, '📅 Resumen Diario'!$B$5:$B$504, B4912, '📅 Resumen Diario'!$C$5:$C$504, D4912), 0))</f>
        <v/>
      </c>
      <c r="M4912" s="31" t="str">
        <f t="shared" si="535"/>
        <v/>
      </c>
      <c r="N4912" s="31" t="str">
        <f t="shared" si="536"/>
        <v/>
      </c>
      <c r="O4912" s="31" t="str">
        <f>IF(OR(B4912="",C4912=""),"",K4912-N4912 + IFERROR(E4912 / SUMIFS('📅 Resumen Diario'!$D$5:$D$504, '📅 Resumen Diario'!$B$5:$B$504, B4912, '📅 Resumen Diario'!$C$5:$C$504, D4912) * (SUMIFS('📋 Detalle Diario'!$E$5:$E$489, '📋 Detalle Diario'!$B$5:$B$489, B4912, '📋 Detalle Diario'!$C$5:$C$489, D4912) * 135 + SUMIFS('📋 Detalle Diario'!$I$5:$I$489, '📋 Detalle Diario'!$B$5:$B$489, B4912, '📋 Detalle Diario'!$C$5:$C$489, D4912) * 200), 0))</f>
        <v/>
      </c>
      <c r="P4912" s="32" t="str">
        <f t="shared" si="537"/>
        <v/>
      </c>
      <c r="Q4912" s="33" t="str">
        <f t="shared" si="538"/>
        <v/>
      </c>
    </row>
    <row r="4913" spans="2:17" ht="18" customHeight="1" x14ac:dyDescent="0.3">
      <c r="B4913" s="26"/>
      <c r="C4913" s="28"/>
      <c r="D4913" s="27"/>
      <c r="E4913" s="29"/>
      <c r="F4913" s="29"/>
      <c r="G4913" s="29"/>
      <c r="H4913" s="30" t="str">
        <f t="shared" si="532"/>
        <v/>
      </c>
      <c r="I4913" s="31" t="str">
        <f>IF(OR(B4913="",C4913=""),"",IFERROR(E4913*IF(E4913="",0,VLOOKUP(C4913,'📦 Precios Proforma'!$B$5:$D$104,IF(D4913="DIA",2,3),FALSE)),0))</f>
        <v/>
      </c>
      <c r="J4913" s="31" t="str">
        <f t="shared" si="533"/>
        <v/>
      </c>
      <c r="K4913" s="31" t="str">
        <f t="shared" si="534"/>
        <v/>
      </c>
      <c r="L4913" s="31" t="str">
        <f>IF(OR(B4913="",C4913=""),"",IFERROR(E4913 / SUMIFS('📅 Resumen Diario'!$D$5:$D$504, '📅 Resumen Diario'!$B$5:$B$504, B4913, '📅 Resumen Diario'!$C$5:$C$504, D4913) * SUMIFS('📅 Resumen Diario'!$K$5:$K$504, '📅 Resumen Diario'!$B$5:$B$504, B4913, '📅 Resumen Diario'!$C$5:$C$504, D4913), 0))</f>
        <v/>
      </c>
      <c r="M4913" s="31" t="str">
        <f t="shared" si="535"/>
        <v/>
      </c>
      <c r="N4913" s="31" t="str">
        <f t="shared" si="536"/>
        <v/>
      </c>
      <c r="O4913" s="31" t="str">
        <f>IF(OR(B4913="",C4913=""),"",K4913-N4913 + IFERROR(E4913 / SUMIFS('📅 Resumen Diario'!$D$5:$D$504, '📅 Resumen Diario'!$B$5:$B$504, B4913, '📅 Resumen Diario'!$C$5:$C$504, D4913) * (SUMIFS('📋 Detalle Diario'!$E$5:$E$489, '📋 Detalle Diario'!$B$5:$B$489, B4913, '📋 Detalle Diario'!$C$5:$C$489, D4913) * 135 + SUMIFS('📋 Detalle Diario'!$I$5:$I$489, '📋 Detalle Diario'!$B$5:$B$489, B4913, '📋 Detalle Diario'!$C$5:$C$489, D4913) * 200), 0))</f>
        <v/>
      </c>
      <c r="P4913" s="32" t="str">
        <f t="shared" si="537"/>
        <v/>
      </c>
      <c r="Q4913" s="33" t="str">
        <f t="shared" si="538"/>
        <v/>
      </c>
    </row>
    <row r="4914" spans="2:17" ht="18" customHeight="1" x14ac:dyDescent="0.3">
      <c r="B4914" s="26"/>
      <c r="C4914" s="17"/>
      <c r="D4914" s="27"/>
      <c r="E4914" s="18"/>
      <c r="F4914" s="18"/>
      <c r="G4914" s="18"/>
      <c r="H4914" s="30" t="str">
        <f t="shared" si="532"/>
        <v/>
      </c>
      <c r="I4914" s="31" t="str">
        <f>IF(OR(B4914="",C4914=""),"",IFERROR(E4914*IF(E4914="",0,VLOOKUP(C4914,'📦 Precios Proforma'!$B$5:$D$104,IF(D4914="DIA",2,3),FALSE)),0))</f>
        <v/>
      </c>
      <c r="J4914" s="31" t="str">
        <f t="shared" si="533"/>
        <v/>
      </c>
      <c r="K4914" s="31" t="str">
        <f t="shared" si="534"/>
        <v/>
      </c>
      <c r="L4914" s="31" t="str">
        <f>IF(OR(B4914="",C4914=""),"",IFERROR(E4914 / SUMIFS('📅 Resumen Diario'!$D$5:$D$504, '📅 Resumen Diario'!$B$5:$B$504, B4914, '📅 Resumen Diario'!$C$5:$C$504, D4914) * SUMIFS('📅 Resumen Diario'!$K$5:$K$504, '📅 Resumen Diario'!$B$5:$B$504, B4914, '📅 Resumen Diario'!$C$5:$C$504, D4914), 0))</f>
        <v/>
      </c>
      <c r="M4914" s="31" t="str">
        <f t="shared" si="535"/>
        <v/>
      </c>
      <c r="N4914" s="31" t="str">
        <f t="shared" si="536"/>
        <v/>
      </c>
      <c r="O4914" s="31" t="str">
        <f>IF(OR(B4914="",C4914=""),"",K4914-N4914 + IFERROR(E4914 / SUMIFS('📅 Resumen Diario'!$D$5:$D$504, '📅 Resumen Diario'!$B$5:$B$504, B4914, '📅 Resumen Diario'!$C$5:$C$504, D4914) * (SUMIFS('📋 Detalle Diario'!$E$5:$E$489, '📋 Detalle Diario'!$B$5:$B$489, B4914, '📋 Detalle Diario'!$C$5:$C$489, D4914) * 135 + SUMIFS('📋 Detalle Diario'!$I$5:$I$489, '📋 Detalle Diario'!$B$5:$B$489, B4914, '📋 Detalle Diario'!$C$5:$C$489, D4914) * 200), 0))</f>
        <v/>
      </c>
      <c r="P4914" s="32" t="str">
        <f t="shared" si="537"/>
        <v/>
      </c>
      <c r="Q4914" s="33" t="str">
        <f t="shared" si="538"/>
        <v/>
      </c>
    </row>
    <row r="4915" spans="2:17" ht="18" customHeight="1" x14ac:dyDescent="0.3">
      <c r="B4915" s="26"/>
      <c r="C4915" s="28"/>
      <c r="D4915" s="27"/>
      <c r="E4915" s="29"/>
      <c r="F4915" s="29"/>
      <c r="G4915" s="29"/>
      <c r="H4915" s="30" t="str">
        <f t="shared" si="532"/>
        <v/>
      </c>
      <c r="I4915" s="31" t="str">
        <f>IF(OR(B4915="",C4915=""),"",IFERROR(E4915*IF(E4915="",0,VLOOKUP(C4915,'📦 Precios Proforma'!$B$5:$D$104,IF(D4915="DIA",2,3),FALSE)),0))</f>
        <v/>
      </c>
      <c r="J4915" s="31" t="str">
        <f t="shared" si="533"/>
        <v/>
      </c>
      <c r="K4915" s="31" t="str">
        <f t="shared" si="534"/>
        <v/>
      </c>
      <c r="L4915" s="31" t="str">
        <f>IF(OR(B4915="",C4915=""),"",IFERROR(E4915 / SUMIFS('📅 Resumen Diario'!$D$5:$D$504, '📅 Resumen Diario'!$B$5:$B$504, B4915, '📅 Resumen Diario'!$C$5:$C$504, D4915) * SUMIFS('📅 Resumen Diario'!$K$5:$K$504, '📅 Resumen Diario'!$B$5:$B$504, B4915, '📅 Resumen Diario'!$C$5:$C$504, D4915), 0))</f>
        <v/>
      </c>
      <c r="M4915" s="31" t="str">
        <f t="shared" si="535"/>
        <v/>
      </c>
      <c r="N4915" s="31" t="str">
        <f t="shared" si="536"/>
        <v/>
      </c>
      <c r="O4915" s="31" t="str">
        <f>IF(OR(B4915="",C4915=""),"",K4915-N4915 + IFERROR(E4915 / SUMIFS('📅 Resumen Diario'!$D$5:$D$504, '📅 Resumen Diario'!$B$5:$B$504, B4915, '📅 Resumen Diario'!$C$5:$C$504, D4915) * (SUMIFS('📋 Detalle Diario'!$E$5:$E$489, '📋 Detalle Diario'!$B$5:$B$489, B4915, '📋 Detalle Diario'!$C$5:$C$489, D4915) * 135 + SUMIFS('📋 Detalle Diario'!$I$5:$I$489, '📋 Detalle Diario'!$B$5:$B$489, B4915, '📋 Detalle Diario'!$C$5:$C$489, D4915) * 200), 0))</f>
        <v/>
      </c>
      <c r="P4915" s="32" t="str">
        <f t="shared" si="537"/>
        <v/>
      </c>
      <c r="Q4915" s="33" t="str">
        <f t="shared" si="538"/>
        <v/>
      </c>
    </row>
    <row r="4916" spans="2:17" ht="18" customHeight="1" x14ac:dyDescent="0.3">
      <c r="B4916" s="26"/>
      <c r="C4916" s="17"/>
      <c r="D4916" s="27"/>
      <c r="E4916" s="18"/>
      <c r="F4916" s="18"/>
      <c r="G4916" s="18"/>
      <c r="H4916" s="30" t="str">
        <f t="shared" si="532"/>
        <v/>
      </c>
      <c r="I4916" s="31" t="str">
        <f>IF(OR(B4916="",C4916=""),"",IFERROR(E4916*IF(E4916="",0,VLOOKUP(C4916,'📦 Precios Proforma'!$B$5:$D$104,IF(D4916="DIA",2,3),FALSE)),0))</f>
        <v/>
      </c>
      <c r="J4916" s="31" t="str">
        <f t="shared" si="533"/>
        <v/>
      </c>
      <c r="K4916" s="31" t="str">
        <f t="shared" si="534"/>
        <v/>
      </c>
      <c r="L4916" s="31" t="str">
        <f>IF(OR(B4916="",C4916=""),"",IFERROR(E4916 / SUMIFS('📅 Resumen Diario'!$D$5:$D$504, '📅 Resumen Diario'!$B$5:$B$504, B4916, '📅 Resumen Diario'!$C$5:$C$504, D4916) * SUMIFS('📅 Resumen Diario'!$K$5:$K$504, '📅 Resumen Diario'!$B$5:$B$504, B4916, '📅 Resumen Diario'!$C$5:$C$504, D4916), 0))</f>
        <v/>
      </c>
      <c r="M4916" s="31" t="str">
        <f t="shared" si="535"/>
        <v/>
      </c>
      <c r="N4916" s="31" t="str">
        <f t="shared" si="536"/>
        <v/>
      </c>
      <c r="O4916" s="31" t="str">
        <f>IF(OR(B4916="",C4916=""),"",K4916-N4916 + IFERROR(E4916 / SUMIFS('📅 Resumen Diario'!$D$5:$D$504, '📅 Resumen Diario'!$B$5:$B$504, B4916, '📅 Resumen Diario'!$C$5:$C$504, D4916) * (SUMIFS('📋 Detalle Diario'!$E$5:$E$489, '📋 Detalle Diario'!$B$5:$B$489, B4916, '📋 Detalle Diario'!$C$5:$C$489, D4916) * 135 + SUMIFS('📋 Detalle Diario'!$I$5:$I$489, '📋 Detalle Diario'!$B$5:$B$489, B4916, '📋 Detalle Diario'!$C$5:$C$489, D4916) * 200), 0))</f>
        <v/>
      </c>
      <c r="P4916" s="32" t="str">
        <f t="shared" si="537"/>
        <v/>
      </c>
      <c r="Q4916" s="33" t="str">
        <f t="shared" si="538"/>
        <v/>
      </c>
    </row>
    <row r="4917" spans="2:17" ht="18" customHeight="1" x14ac:dyDescent="0.3">
      <c r="B4917" s="26"/>
      <c r="C4917" s="28"/>
      <c r="D4917" s="27"/>
      <c r="E4917" s="29"/>
      <c r="F4917" s="29"/>
      <c r="G4917" s="29"/>
      <c r="H4917" s="30" t="str">
        <f t="shared" si="532"/>
        <v/>
      </c>
      <c r="I4917" s="31" t="str">
        <f>IF(OR(B4917="",C4917=""),"",IFERROR(E4917*IF(E4917="",0,VLOOKUP(C4917,'📦 Precios Proforma'!$B$5:$D$104,IF(D4917="DIA",2,3),FALSE)),0))</f>
        <v/>
      </c>
      <c r="J4917" s="31" t="str">
        <f t="shared" si="533"/>
        <v/>
      </c>
      <c r="K4917" s="31" t="str">
        <f t="shared" si="534"/>
        <v/>
      </c>
      <c r="L4917" s="31" t="str">
        <f>IF(OR(B4917="",C4917=""),"",IFERROR(E4917 / SUMIFS('📅 Resumen Diario'!$D$5:$D$504, '📅 Resumen Diario'!$B$5:$B$504, B4917, '📅 Resumen Diario'!$C$5:$C$504, D4917) * SUMIFS('📅 Resumen Diario'!$K$5:$K$504, '📅 Resumen Diario'!$B$5:$B$504, B4917, '📅 Resumen Diario'!$C$5:$C$504, D4917), 0))</f>
        <v/>
      </c>
      <c r="M4917" s="31" t="str">
        <f t="shared" si="535"/>
        <v/>
      </c>
      <c r="N4917" s="31" t="str">
        <f t="shared" si="536"/>
        <v/>
      </c>
      <c r="O4917" s="31" t="str">
        <f>IF(OR(B4917="",C4917=""),"",K4917-N4917 + IFERROR(E4917 / SUMIFS('📅 Resumen Diario'!$D$5:$D$504, '📅 Resumen Diario'!$B$5:$B$504, B4917, '📅 Resumen Diario'!$C$5:$C$504, D4917) * (SUMIFS('📋 Detalle Diario'!$E$5:$E$489, '📋 Detalle Diario'!$B$5:$B$489, B4917, '📋 Detalle Diario'!$C$5:$C$489, D4917) * 135 + SUMIFS('📋 Detalle Diario'!$I$5:$I$489, '📋 Detalle Diario'!$B$5:$B$489, B4917, '📋 Detalle Diario'!$C$5:$C$489, D4917) * 200), 0))</f>
        <v/>
      </c>
      <c r="P4917" s="32" t="str">
        <f t="shared" si="537"/>
        <v/>
      </c>
      <c r="Q4917" s="33" t="str">
        <f t="shared" si="538"/>
        <v/>
      </c>
    </row>
    <row r="4918" spans="2:17" ht="18" customHeight="1" x14ac:dyDescent="0.3">
      <c r="B4918" s="26"/>
      <c r="C4918" s="17"/>
      <c r="D4918" s="27"/>
      <c r="E4918" s="18"/>
      <c r="F4918" s="18"/>
      <c r="G4918" s="18"/>
      <c r="H4918" s="30" t="str">
        <f t="shared" si="532"/>
        <v/>
      </c>
      <c r="I4918" s="31" t="str">
        <f>IF(OR(B4918="",C4918=""),"",IFERROR(E4918*IF(E4918="",0,VLOOKUP(C4918,'📦 Precios Proforma'!$B$5:$D$104,IF(D4918="DIA",2,3),FALSE)),0))</f>
        <v/>
      </c>
      <c r="J4918" s="31" t="str">
        <f t="shared" si="533"/>
        <v/>
      </c>
      <c r="K4918" s="31" t="str">
        <f t="shared" si="534"/>
        <v/>
      </c>
      <c r="L4918" s="31" t="str">
        <f>IF(OR(B4918="",C4918=""),"",IFERROR(E4918 / SUMIFS('📅 Resumen Diario'!$D$5:$D$504, '📅 Resumen Diario'!$B$5:$B$504, B4918, '📅 Resumen Diario'!$C$5:$C$504, D4918) * SUMIFS('📅 Resumen Diario'!$K$5:$K$504, '📅 Resumen Diario'!$B$5:$B$504, B4918, '📅 Resumen Diario'!$C$5:$C$504, D4918), 0))</f>
        <v/>
      </c>
      <c r="M4918" s="31" t="str">
        <f t="shared" si="535"/>
        <v/>
      </c>
      <c r="N4918" s="31" t="str">
        <f t="shared" si="536"/>
        <v/>
      </c>
      <c r="O4918" s="31" t="str">
        <f>IF(OR(B4918="",C4918=""),"",K4918-N4918 + IFERROR(E4918 / SUMIFS('📅 Resumen Diario'!$D$5:$D$504, '📅 Resumen Diario'!$B$5:$B$504, B4918, '📅 Resumen Diario'!$C$5:$C$504, D4918) * (SUMIFS('📋 Detalle Diario'!$E$5:$E$489, '📋 Detalle Diario'!$B$5:$B$489, B4918, '📋 Detalle Diario'!$C$5:$C$489, D4918) * 135 + SUMIFS('📋 Detalle Diario'!$I$5:$I$489, '📋 Detalle Diario'!$B$5:$B$489, B4918, '📋 Detalle Diario'!$C$5:$C$489, D4918) * 200), 0))</f>
        <v/>
      </c>
      <c r="P4918" s="32" t="str">
        <f t="shared" si="537"/>
        <v/>
      </c>
      <c r="Q4918" s="33" t="str">
        <f t="shared" si="538"/>
        <v/>
      </c>
    </row>
    <row r="4919" spans="2:17" ht="18" customHeight="1" x14ac:dyDescent="0.3">
      <c r="B4919" s="26"/>
      <c r="C4919" s="28"/>
      <c r="D4919" s="27"/>
      <c r="E4919" s="29"/>
      <c r="F4919" s="29"/>
      <c r="G4919" s="29"/>
      <c r="H4919" s="30" t="str">
        <f t="shared" si="532"/>
        <v/>
      </c>
      <c r="I4919" s="31" t="str">
        <f>IF(OR(B4919="",C4919=""),"",IFERROR(E4919*IF(E4919="",0,VLOOKUP(C4919,'📦 Precios Proforma'!$B$5:$D$104,IF(D4919="DIA",2,3),FALSE)),0))</f>
        <v/>
      </c>
      <c r="J4919" s="31" t="str">
        <f t="shared" si="533"/>
        <v/>
      </c>
      <c r="K4919" s="31" t="str">
        <f t="shared" si="534"/>
        <v/>
      </c>
      <c r="L4919" s="31" t="str">
        <f>IF(OR(B4919="",C4919=""),"",IFERROR(E4919 / SUMIFS('📅 Resumen Diario'!$D$5:$D$504, '📅 Resumen Diario'!$B$5:$B$504, B4919, '📅 Resumen Diario'!$C$5:$C$504, D4919) * SUMIFS('📅 Resumen Diario'!$K$5:$K$504, '📅 Resumen Diario'!$B$5:$B$504, B4919, '📅 Resumen Diario'!$C$5:$C$504, D4919), 0))</f>
        <v/>
      </c>
      <c r="M4919" s="31" t="str">
        <f t="shared" si="535"/>
        <v/>
      </c>
      <c r="N4919" s="31" t="str">
        <f t="shared" si="536"/>
        <v/>
      </c>
      <c r="O4919" s="31" t="str">
        <f>IF(OR(B4919="",C4919=""),"",K4919-N4919 + IFERROR(E4919 / SUMIFS('📅 Resumen Diario'!$D$5:$D$504, '📅 Resumen Diario'!$B$5:$B$504, B4919, '📅 Resumen Diario'!$C$5:$C$504, D4919) * (SUMIFS('📋 Detalle Diario'!$E$5:$E$489, '📋 Detalle Diario'!$B$5:$B$489, B4919, '📋 Detalle Diario'!$C$5:$C$489, D4919) * 135 + SUMIFS('📋 Detalle Diario'!$I$5:$I$489, '📋 Detalle Diario'!$B$5:$B$489, B4919, '📋 Detalle Diario'!$C$5:$C$489, D4919) * 200), 0))</f>
        <v/>
      </c>
      <c r="P4919" s="32" t="str">
        <f t="shared" si="537"/>
        <v/>
      </c>
      <c r="Q4919" s="33" t="str">
        <f t="shared" si="538"/>
        <v/>
      </c>
    </row>
    <row r="4920" spans="2:17" ht="18" customHeight="1" x14ac:dyDescent="0.3">
      <c r="B4920" s="26"/>
      <c r="C4920" s="17"/>
      <c r="D4920" s="27"/>
      <c r="E4920" s="18"/>
      <c r="F4920" s="18"/>
      <c r="G4920" s="18"/>
      <c r="H4920" s="30" t="str">
        <f t="shared" si="532"/>
        <v/>
      </c>
      <c r="I4920" s="31" t="str">
        <f>IF(OR(B4920="",C4920=""),"",IFERROR(E4920*IF(E4920="",0,VLOOKUP(C4920,'📦 Precios Proforma'!$B$5:$D$104,IF(D4920="DIA",2,3),FALSE)),0))</f>
        <v/>
      </c>
      <c r="J4920" s="31" t="str">
        <f t="shared" si="533"/>
        <v/>
      </c>
      <c r="K4920" s="31" t="str">
        <f t="shared" si="534"/>
        <v/>
      </c>
      <c r="L4920" s="31" t="str">
        <f>IF(OR(B4920="",C4920=""),"",IFERROR(E4920 / SUMIFS('📅 Resumen Diario'!$D$5:$D$504, '📅 Resumen Diario'!$B$5:$B$504, B4920, '📅 Resumen Diario'!$C$5:$C$504, D4920) * SUMIFS('📅 Resumen Diario'!$K$5:$K$504, '📅 Resumen Diario'!$B$5:$B$504, B4920, '📅 Resumen Diario'!$C$5:$C$504, D4920), 0))</f>
        <v/>
      </c>
      <c r="M4920" s="31" t="str">
        <f t="shared" si="535"/>
        <v/>
      </c>
      <c r="N4920" s="31" t="str">
        <f t="shared" si="536"/>
        <v/>
      </c>
      <c r="O4920" s="31" t="str">
        <f>IF(OR(B4920="",C4920=""),"",K4920-N4920 + IFERROR(E4920 / SUMIFS('📅 Resumen Diario'!$D$5:$D$504, '📅 Resumen Diario'!$B$5:$B$504, B4920, '📅 Resumen Diario'!$C$5:$C$504, D4920) * (SUMIFS('📋 Detalle Diario'!$E$5:$E$489, '📋 Detalle Diario'!$B$5:$B$489, B4920, '📋 Detalle Diario'!$C$5:$C$489, D4920) * 135 + SUMIFS('📋 Detalle Diario'!$I$5:$I$489, '📋 Detalle Diario'!$B$5:$B$489, B4920, '📋 Detalle Diario'!$C$5:$C$489, D4920) * 200), 0))</f>
        <v/>
      </c>
      <c r="P4920" s="32" t="str">
        <f t="shared" si="537"/>
        <v/>
      </c>
      <c r="Q4920" s="33" t="str">
        <f t="shared" si="538"/>
        <v/>
      </c>
    </row>
    <row r="4921" spans="2:17" ht="18" customHeight="1" x14ac:dyDescent="0.3">
      <c r="B4921" s="26"/>
      <c r="C4921" s="28"/>
      <c r="D4921" s="27"/>
      <c r="E4921" s="29"/>
      <c r="F4921" s="29"/>
      <c r="G4921" s="29"/>
      <c r="H4921" s="30" t="str">
        <f t="shared" si="532"/>
        <v/>
      </c>
      <c r="I4921" s="31" t="str">
        <f>IF(OR(B4921="",C4921=""),"",IFERROR(E4921*IF(E4921="",0,VLOOKUP(C4921,'📦 Precios Proforma'!$B$5:$D$104,IF(D4921="DIA",2,3),FALSE)),0))</f>
        <v/>
      </c>
      <c r="J4921" s="31" t="str">
        <f t="shared" si="533"/>
        <v/>
      </c>
      <c r="K4921" s="31" t="str">
        <f t="shared" si="534"/>
        <v/>
      </c>
      <c r="L4921" s="31" t="str">
        <f>IF(OR(B4921="",C4921=""),"",IFERROR(E4921 / SUMIFS('📅 Resumen Diario'!$D$5:$D$504, '📅 Resumen Diario'!$B$5:$B$504, B4921, '📅 Resumen Diario'!$C$5:$C$504, D4921) * SUMIFS('📅 Resumen Diario'!$K$5:$K$504, '📅 Resumen Diario'!$B$5:$B$504, B4921, '📅 Resumen Diario'!$C$5:$C$504, D4921), 0))</f>
        <v/>
      </c>
      <c r="M4921" s="31" t="str">
        <f t="shared" si="535"/>
        <v/>
      </c>
      <c r="N4921" s="31" t="str">
        <f t="shared" si="536"/>
        <v/>
      </c>
      <c r="O4921" s="31" t="str">
        <f>IF(OR(B4921="",C4921=""),"",K4921-N4921 + IFERROR(E4921 / SUMIFS('📅 Resumen Diario'!$D$5:$D$504, '📅 Resumen Diario'!$B$5:$B$504, B4921, '📅 Resumen Diario'!$C$5:$C$504, D4921) * (SUMIFS('📋 Detalle Diario'!$E$5:$E$489, '📋 Detalle Diario'!$B$5:$B$489, B4921, '📋 Detalle Diario'!$C$5:$C$489, D4921) * 135 + SUMIFS('📋 Detalle Diario'!$I$5:$I$489, '📋 Detalle Diario'!$B$5:$B$489, B4921, '📋 Detalle Diario'!$C$5:$C$489, D4921) * 200), 0))</f>
        <v/>
      </c>
      <c r="P4921" s="32" t="str">
        <f t="shared" si="537"/>
        <v/>
      </c>
      <c r="Q4921" s="33" t="str">
        <f t="shared" si="538"/>
        <v/>
      </c>
    </row>
    <row r="4922" spans="2:17" ht="18" customHeight="1" x14ac:dyDescent="0.3">
      <c r="B4922" s="26"/>
      <c r="C4922" s="17"/>
      <c r="D4922" s="27"/>
      <c r="E4922" s="18"/>
      <c r="F4922" s="18"/>
      <c r="G4922" s="18"/>
      <c r="H4922" s="30" t="str">
        <f t="shared" si="532"/>
        <v/>
      </c>
      <c r="I4922" s="31" t="str">
        <f>IF(OR(B4922="",C4922=""),"",IFERROR(E4922*IF(E4922="",0,VLOOKUP(C4922,'📦 Precios Proforma'!$B$5:$D$104,IF(D4922="DIA",2,3),FALSE)),0))</f>
        <v/>
      </c>
      <c r="J4922" s="31" t="str">
        <f t="shared" si="533"/>
        <v/>
      </c>
      <c r="K4922" s="31" t="str">
        <f t="shared" si="534"/>
        <v/>
      </c>
      <c r="L4922" s="31" t="str">
        <f>IF(OR(B4922="",C4922=""),"",IFERROR(E4922 / SUMIFS('📅 Resumen Diario'!$D$5:$D$504, '📅 Resumen Diario'!$B$5:$B$504, B4922, '📅 Resumen Diario'!$C$5:$C$504, D4922) * SUMIFS('📅 Resumen Diario'!$K$5:$K$504, '📅 Resumen Diario'!$B$5:$B$504, B4922, '📅 Resumen Diario'!$C$5:$C$504, D4922), 0))</f>
        <v/>
      </c>
      <c r="M4922" s="31" t="str">
        <f t="shared" si="535"/>
        <v/>
      </c>
      <c r="N4922" s="31" t="str">
        <f t="shared" si="536"/>
        <v/>
      </c>
      <c r="O4922" s="31" t="str">
        <f>IF(OR(B4922="",C4922=""),"",K4922-N4922 + IFERROR(E4922 / SUMIFS('📅 Resumen Diario'!$D$5:$D$504, '📅 Resumen Diario'!$B$5:$B$504, B4922, '📅 Resumen Diario'!$C$5:$C$504, D4922) * (SUMIFS('📋 Detalle Diario'!$E$5:$E$489, '📋 Detalle Diario'!$B$5:$B$489, B4922, '📋 Detalle Diario'!$C$5:$C$489, D4922) * 135 + SUMIFS('📋 Detalle Diario'!$I$5:$I$489, '📋 Detalle Diario'!$B$5:$B$489, B4922, '📋 Detalle Diario'!$C$5:$C$489, D4922) * 200), 0))</f>
        <v/>
      </c>
      <c r="P4922" s="32" t="str">
        <f t="shared" si="537"/>
        <v/>
      </c>
      <c r="Q4922" s="33" t="str">
        <f t="shared" si="538"/>
        <v/>
      </c>
    </row>
    <row r="4923" spans="2:17" ht="18" customHeight="1" x14ac:dyDescent="0.3">
      <c r="B4923" s="26"/>
      <c r="C4923" s="28"/>
      <c r="D4923" s="27"/>
      <c r="E4923" s="29"/>
      <c r="F4923" s="29"/>
      <c r="G4923" s="29"/>
      <c r="H4923" s="30" t="str">
        <f t="shared" si="532"/>
        <v/>
      </c>
      <c r="I4923" s="31" t="str">
        <f>IF(OR(B4923="",C4923=""),"",IFERROR(E4923*IF(E4923="",0,VLOOKUP(C4923,'📦 Precios Proforma'!$B$5:$D$104,IF(D4923="DIA",2,3),FALSE)),0))</f>
        <v/>
      </c>
      <c r="J4923" s="31" t="str">
        <f t="shared" si="533"/>
        <v/>
      </c>
      <c r="K4923" s="31" t="str">
        <f t="shared" si="534"/>
        <v/>
      </c>
      <c r="L4923" s="31" t="str">
        <f>IF(OR(B4923="",C4923=""),"",IFERROR(E4923 / SUMIFS('📅 Resumen Diario'!$D$5:$D$504, '📅 Resumen Diario'!$B$5:$B$504, B4923, '📅 Resumen Diario'!$C$5:$C$504, D4923) * SUMIFS('📅 Resumen Diario'!$K$5:$K$504, '📅 Resumen Diario'!$B$5:$B$504, B4923, '📅 Resumen Diario'!$C$5:$C$504, D4923), 0))</f>
        <v/>
      </c>
      <c r="M4923" s="31" t="str">
        <f t="shared" si="535"/>
        <v/>
      </c>
      <c r="N4923" s="31" t="str">
        <f t="shared" si="536"/>
        <v/>
      </c>
      <c r="O4923" s="31" t="str">
        <f>IF(OR(B4923="",C4923=""),"",K4923-N4923 + IFERROR(E4923 / SUMIFS('📅 Resumen Diario'!$D$5:$D$504, '📅 Resumen Diario'!$B$5:$B$504, B4923, '📅 Resumen Diario'!$C$5:$C$504, D4923) * (SUMIFS('📋 Detalle Diario'!$E$5:$E$489, '📋 Detalle Diario'!$B$5:$B$489, B4923, '📋 Detalle Diario'!$C$5:$C$489, D4923) * 135 + SUMIFS('📋 Detalle Diario'!$I$5:$I$489, '📋 Detalle Diario'!$B$5:$B$489, B4923, '📋 Detalle Diario'!$C$5:$C$489, D4923) * 200), 0))</f>
        <v/>
      </c>
      <c r="P4923" s="32" t="str">
        <f t="shared" si="537"/>
        <v/>
      </c>
      <c r="Q4923" s="33" t="str">
        <f t="shared" si="538"/>
        <v/>
      </c>
    </row>
    <row r="4924" spans="2:17" ht="18" customHeight="1" x14ac:dyDescent="0.3">
      <c r="B4924" s="26"/>
      <c r="C4924" s="17"/>
      <c r="D4924" s="27"/>
      <c r="E4924" s="18"/>
      <c r="F4924" s="18"/>
      <c r="G4924" s="18"/>
      <c r="H4924" s="30" t="str">
        <f t="shared" si="532"/>
        <v/>
      </c>
      <c r="I4924" s="31" t="str">
        <f>IF(OR(B4924="",C4924=""),"",IFERROR(E4924*IF(E4924="",0,VLOOKUP(C4924,'📦 Precios Proforma'!$B$5:$D$104,IF(D4924="DIA",2,3),FALSE)),0))</f>
        <v/>
      </c>
      <c r="J4924" s="31" t="str">
        <f t="shared" si="533"/>
        <v/>
      </c>
      <c r="K4924" s="31" t="str">
        <f t="shared" si="534"/>
        <v/>
      </c>
      <c r="L4924" s="31" t="str">
        <f>IF(OR(B4924="",C4924=""),"",IFERROR(E4924 / SUMIFS('📅 Resumen Diario'!$D$5:$D$504, '📅 Resumen Diario'!$B$5:$B$504, B4924, '📅 Resumen Diario'!$C$5:$C$504, D4924) * SUMIFS('📅 Resumen Diario'!$K$5:$K$504, '📅 Resumen Diario'!$B$5:$B$504, B4924, '📅 Resumen Diario'!$C$5:$C$504, D4924), 0))</f>
        <v/>
      </c>
      <c r="M4924" s="31" t="str">
        <f t="shared" si="535"/>
        <v/>
      </c>
      <c r="N4924" s="31" t="str">
        <f t="shared" si="536"/>
        <v/>
      </c>
      <c r="O4924" s="31" t="str">
        <f>IF(OR(B4924="",C4924=""),"",K4924-N4924 + IFERROR(E4924 / SUMIFS('📅 Resumen Diario'!$D$5:$D$504, '📅 Resumen Diario'!$B$5:$B$504, B4924, '📅 Resumen Diario'!$C$5:$C$504, D4924) * (SUMIFS('📋 Detalle Diario'!$E$5:$E$489, '📋 Detalle Diario'!$B$5:$B$489, B4924, '📋 Detalle Diario'!$C$5:$C$489, D4924) * 135 + SUMIFS('📋 Detalle Diario'!$I$5:$I$489, '📋 Detalle Diario'!$B$5:$B$489, B4924, '📋 Detalle Diario'!$C$5:$C$489, D4924) * 200), 0))</f>
        <v/>
      </c>
      <c r="P4924" s="32" t="str">
        <f t="shared" si="537"/>
        <v/>
      </c>
      <c r="Q4924" s="33" t="str">
        <f t="shared" si="538"/>
        <v/>
      </c>
    </row>
    <row r="4925" spans="2:17" ht="18" customHeight="1" x14ac:dyDescent="0.3">
      <c r="B4925" s="26"/>
      <c r="C4925" s="28"/>
      <c r="D4925" s="27"/>
      <c r="E4925" s="29"/>
      <c r="F4925" s="29"/>
      <c r="G4925" s="29"/>
      <c r="H4925" s="30" t="str">
        <f t="shared" si="532"/>
        <v/>
      </c>
      <c r="I4925" s="31" t="str">
        <f>IF(OR(B4925="",C4925=""),"",IFERROR(E4925*IF(E4925="",0,VLOOKUP(C4925,'📦 Precios Proforma'!$B$5:$D$104,IF(D4925="DIA",2,3),FALSE)),0))</f>
        <v/>
      </c>
      <c r="J4925" s="31" t="str">
        <f t="shared" si="533"/>
        <v/>
      </c>
      <c r="K4925" s="31" t="str">
        <f t="shared" si="534"/>
        <v/>
      </c>
      <c r="L4925" s="31" t="str">
        <f>IF(OR(B4925="",C4925=""),"",IFERROR(E4925 / SUMIFS('📅 Resumen Diario'!$D$5:$D$504, '📅 Resumen Diario'!$B$5:$B$504, B4925, '📅 Resumen Diario'!$C$5:$C$504, D4925) * SUMIFS('📅 Resumen Diario'!$K$5:$K$504, '📅 Resumen Diario'!$B$5:$B$504, B4925, '📅 Resumen Diario'!$C$5:$C$504, D4925), 0))</f>
        <v/>
      </c>
      <c r="M4925" s="31" t="str">
        <f t="shared" si="535"/>
        <v/>
      </c>
      <c r="N4925" s="31" t="str">
        <f t="shared" si="536"/>
        <v/>
      </c>
      <c r="O4925" s="31" t="str">
        <f>IF(OR(B4925="",C4925=""),"",K4925-N4925 + IFERROR(E4925 / SUMIFS('📅 Resumen Diario'!$D$5:$D$504, '📅 Resumen Diario'!$B$5:$B$504, B4925, '📅 Resumen Diario'!$C$5:$C$504, D4925) * (SUMIFS('📋 Detalle Diario'!$E$5:$E$489, '📋 Detalle Diario'!$B$5:$B$489, B4925, '📋 Detalle Diario'!$C$5:$C$489, D4925) * 135 + SUMIFS('📋 Detalle Diario'!$I$5:$I$489, '📋 Detalle Diario'!$B$5:$B$489, B4925, '📋 Detalle Diario'!$C$5:$C$489, D4925) * 200), 0))</f>
        <v/>
      </c>
      <c r="P4925" s="32" t="str">
        <f t="shared" si="537"/>
        <v/>
      </c>
      <c r="Q4925" s="33" t="str">
        <f t="shared" si="538"/>
        <v/>
      </c>
    </row>
    <row r="4926" spans="2:17" ht="18" customHeight="1" x14ac:dyDescent="0.3">
      <c r="B4926" s="26"/>
      <c r="C4926" s="17"/>
      <c r="D4926" s="27"/>
      <c r="E4926" s="18"/>
      <c r="F4926" s="18"/>
      <c r="G4926" s="18"/>
      <c r="H4926" s="30" t="str">
        <f t="shared" si="532"/>
        <v/>
      </c>
      <c r="I4926" s="31" t="str">
        <f>IF(OR(B4926="",C4926=""),"",IFERROR(E4926*IF(E4926="",0,VLOOKUP(C4926,'📦 Precios Proforma'!$B$5:$D$104,IF(D4926="DIA",2,3),FALSE)),0))</f>
        <v/>
      </c>
      <c r="J4926" s="31" t="str">
        <f t="shared" si="533"/>
        <v/>
      </c>
      <c r="K4926" s="31" t="str">
        <f t="shared" si="534"/>
        <v/>
      </c>
      <c r="L4926" s="31" t="str">
        <f>IF(OR(B4926="",C4926=""),"",IFERROR(E4926 / SUMIFS('📅 Resumen Diario'!$D$5:$D$504, '📅 Resumen Diario'!$B$5:$B$504, B4926, '📅 Resumen Diario'!$C$5:$C$504, D4926) * SUMIFS('📅 Resumen Diario'!$K$5:$K$504, '📅 Resumen Diario'!$B$5:$B$504, B4926, '📅 Resumen Diario'!$C$5:$C$504, D4926), 0))</f>
        <v/>
      </c>
      <c r="M4926" s="31" t="str">
        <f t="shared" si="535"/>
        <v/>
      </c>
      <c r="N4926" s="31" t="str">
        <f t="shared" si="536"/>
        <v/>
      </c>
      <c r="O4926" s="31" t="str">
        <f>IF(OR(B4926="",C4926=""),"",K4926-N4926 + IFERROR(E4926 / SUMIFS('📅 Resumen Diario'!$D$5:$D$504, '📅 Resumen Diario'!$B$5:$B$504, B4926, '📅 Resumen Diario'!$C$5:$C$504, D4926) * (SUMIFS('📋 Detalle Diario'!$E$5:$E$489, '📋 Detalle Diario'!$B$5:$B$489, B4926, '📋 Detalle Diario'!$C$5:$C$489, D4926) * 135 + SUMIFS('📋 Detalle Diario'!$I$5:$I$489, '📋 Detalle Diario'!$B$5:$B$489, B4926, '📋 Detalle Diario'!$C$5:$C$489, D4926) * 200), 0))</f>
        <v/>
      </c>
      <c r="P4926" s="32" t="str">
        <f t="shared" si="537"/>
        <v/>
      </c>
      <c r="Q4926" s="33" t="str">
        <f t="shared" si="538"/>
        <v/>
      </c>
    </row>
    <row r="4927" spans="2:17" ht="18" customHeight="1" x14ac:dyDescent="0.3">
      <c r="B4927" s="26"/>
      <c r="C4927" s="28"/>
      <c r="D4927" s="27"/>
      <c r="E4927" s="29"/>
      <c r="F4927" s="29"/>
      <c r="G4927" s="29"/>
      <c r="H4927" s="30" t="str">
        <f t="shared" si="532"/>
        <v/>
      </c>
      <c r="I4927" s="31" t="str">
        <f>IF(OR(B4927="",C4927=""),"",IFERROR(E4927*IF(E4927="",0,VLOOKUP(C4927,'📦 Precios Proforma'!$B$5:$D$104,IF(D4927="DIA",2,3),FALSE)),0))</f>
        <v/>
      </c>
      <c r="J4927" s="31" t="str">
        <f t="shared" si="533"/>
        <v/>
      </c>
      <c r="K4927" s="31" t="str">
        <f t="shared" si="534"/>
        <v/>
      </c>
      <c r="L4927" s="31" t="str">
        <f>IF(OR(B4927="",C4927=""),"",IFERROR(E4927 / SUMIFS('📅 Resumen Diario'!$D$5:$D$504, '📅 Resumen Diario'!$B$5:$B$504, B4927, '📅 Resumen Diario'!$C$5:$C$504, D4927) * SUMIFS('📅 Resumen Diario'!$K$5:$K$504, '📅 Resumen Diario'!$B$5:$B$504, B4927, '📅 Resumen Diario'!$C$5:$C$504, D4927), 0))</f>
        <v/>
      </c>
      <c r="M4927" s="31" t="str">
        <f t="shared" si="535"/>
        <v/>
      </c>
      <c r="N4927" s="31" t="str">
        <f t="shared" si="536"/>
        <v/>
      </c>
      <c r="O4927" s="31" t="str">
        <f>IF(OR(B4927="",C4927=""),"",K4927-N4927 + IFERROR(E4927 / SUMIFS('📅 Resumen Diario'!$D$5:$D$504, '📅 Resumen Diario'!$B$5:$B$504, B4927, '📅 Resumen Diario'!$C$5:$C$504, D4927) * (SUMIFS('📋 Detalle Diario'!$E$5:$E$489, '📋 Detalle Diario'!$B$5:$B$489, B4927, '📋 Detalle Diario'!$C$5:$C$489, D4927) * 135 + SUMIFS('📋 Detalle Diario'!$I$5:$I$489, '📋 Detalle Diario'!$B$5:$B$489, B4927, '📋 Detalle Diario'!$C$5:$C$489, D4927) * 200), 0))</f>
        <v/>
      </c>
      <c r="P4927" s="32" t="str">
        <f t="shared" si="537"/>
        <v/>
      </c>
      <c r="Q4927" s="33" t="str">
        <f t="shared" si="538"/>
        <v/>
      </c>
    </row>
    <row r="4928" spans="2:17" ht="18" customHeight="1" x14ac:dyDescent="0.3">
      <c r="B4928" s="26"/>
      <c r="C4928" s="17"/>
      <c r="D4928" s="27"/>
      <c r="E4928" s="18"/>
      <c r="F4928" s="18"/>
      <c r="G4928" s="18"/>
      <c r="H4928" s="30" t="str">
        <f t="shared" si="532"/>
        <v/>
      </c>
      <c r="I4928" s="31" t="str">
        <f>IF(OR(B4928="",C4928=""),"",IFERROR(E4928*IF(E4928="",0,VLOOKUP(C4928,'📦 Precios Proforma'!$B$5:$D$104,IF(D4928="DIA",2,3),FALSE)),0))</f>
        <v/>
      </c>
      <c r="J4928" s="31" t="str">
        <f t="shared" si="533"/>
        <v/>
      </c>
      <c r="K4928" s="31" t="str">
        <f t="shared" si="534"/>
        <v/>
      </c>
      <c r="L4928" s="31" t="str">
        <f>IF(OR(B4928="",C4928=""),"",IFERROR(E4928 / SUMIFS('📅 Resumen Diario'!$D$5:$D$504, '📅 Resumen Diario'!$B$5:$B$504, B4928, '📅 Resumen Diario'!$C$5:$C$504, D4928) * SUMIFS('📅 Resumen Diario'!$K$5:$K$504, '📅 Resumen Diario'!$B$5:$B$504, B4928, '📅 Resumen Diario'!$C$5:$C$504, D4928), 0))</f>
        <v/>
      </c>
      <c r="M4928" s="31" t="str">
        <f t="shared" si="535"/>
        <v/>
      </c>
      <c r="N4928" s="31" t="str">
        <f t="shared" si="536"/>
        <v/>
      </c>
      <c r="O4928" s="31" t="str">
        <f>IF(OR(B4928="",C4928=""),"",K4928-N4928 + IFERROR(E4928 / SUMIFS('📅 Resumen Diario'!$D$5:$D$504, '📅 Resumen Diario'!$B$5:$B$504, B4928, '📅 Resumen Diario'!$C$5:$C$504, D4928) * (SUMIFS('📋 Detalle Diario'!$E$5:$E$489, '📋 Detalle Diario'!$B$5:$B$489, B4928, '📋 Detalle Diario'!$C$5:$C$489, D4928) * 135 + SUMIFS('📋 Detalle Diario'!$I$5:$I$489, '📋 Detalle Diario'!$B$5:$B$489, B4928, '📋 Detalle Diario'!$C$5:$C$489, D4928) * 200), 0))</f>
        <v/>
      </c>
      <c r="P4928" s="32" t="str">
        <f t="shared" si="537"/>
        <v/>
      </c>
      <c r="Q4928" s="33" t="str">
        <f t="shared" si="538"/>
        <v/>
      </c>
    </row>
    <row r="4929" spans="2:17" ht="18" customHeight="1" x14ac:dyDescent="0.3">
      <c r="B4929" s="26"/>
      <c r="C4929" s="28"/>
      <c r="D4929" s="27"/>
      <c r="E4929" s="29"/>
      <c r="F4929" s="29"/>
      <c r="G4929" s="29"/>
      <c r="H4929" s="30" t="str">
        <f t="shared" si="532"/>
        <v/>
      </c>
      <c r="I4929" s="31" t="str">
        <f>IF(OR(B4929="",C4929=""),"",IFERROR(E4929*IF(E4929="",0,VLOOKUP(C4929,'📦 Precios Proforma'!$B$5:$D$104,IF(D4929="DIA",2,3),FALSE)),0))</f>
        <v/>
      </c>
      <c r="J4929" s="31" t="str">
        <f t="shared" si="533"/>
        <v/>
      </c>
      <c r="K4929" s="31" t="str">
        <f t="shared" si="534"/>
        <v/>
      </c>
      <c r="L4929" s="31" t="str">
        <f>IF(OR(B4929="",C4929=""),"",IFERROR(E4929 / SUMIFS('📅 Resumen Diario'!$D$5:$D$504, '📅 Resumen Diario'!$B$5:$B$504, B4929, '📅 Resumen Diario'!$C$5:$C$504, D4929) * SUMIFS('📅 Resumen Diario'!$K$5:$K$504, '📅 Resumen Diario'!$B$5:$B$504, B4929, '📅 Resumen Diario'!$C$5:$C$504, D4929), 0))</f>
        <v/>
      </c>
      <c r="M4929" s="31" t="str">
        <f t="shared" si="535"/>
        <v/>
      </c>
      <c r="N4929" s="31" t="str">
        <f t="shared" si="536"/>
        <v/>
      </c>
      <c r="O4929" s="31" t="str">
        <f>IF(OR(B4929="",C4929=""),"",K4929-N4929 + IFERROR(E4929 / SUMIFS('📅 Resumen Diario'!$D$5:$D$504, '📅 Resumen Diario'!$B$5:$B$504, B4929, '📅 Resumen Diario'!$C$5:$C$504, D4929) * (SUMIFS('📋 Detalle Diario'!$E$5:$E$489, '📋 Detalle Diario'!$B$5:$B$489, B4929, '📋 Detalle Diario'!$C$5:$C$489, D4929) * 135 + SUMIFS('📋 Detalle Diario'!$I$5:$I$489, '📋 Detalle Diario'!$B$5:$B$489, B4929, '📋 Detalle Diario'!$C$5:$C$489, D4929) * 200), 0))</f>
        <v/>
      </c>
      <c r="P4929" s="32" t="str">
        <f t="shared" si="537"/>
        <v/>
      </c>
      <c r="Q4929" s="33" t="str">
        <f t="shared" si="538"/>
        <v/>
      </c>
    </row>
    <row r="4930" spans="2:17" ht="18" customHeight="1" x14ac:dyDescent="0.3">
      <c r="B4930" s="26"/>
      <c r="C4930" s="17"/>
      <c r="D4930" s="27"/>
      <c r="E4930" s="18"/>
      <c r="F4930" s="18"/>
      <c r="G4930" s="18"/>
      <c r="H4930" s="30" t="str">
        <f t="shared" si="532"/>
        <v/>
      </c>
      <c r="I4930" s="31" t="str">
        <f>IF(OR(B4930="",C4930=""),"",IFERROR(E4930*IF(E4930="",0,VLOOKUP(C4930,'📦 Precios Proforma'!$B$5:$D$104,IF(D4930="DIA",2,3),FALSE)),0))</f>
        <v/>
      </c>
      <c r="J4930" s="31" t="str">
        <f t="shared" si="533"/>
        <v/>
      </c>
      <c r="K4930" s="31" t="str">
        <f t="shared" si="534"/>
        <v/>
      </c>
      <c r="L4930" s="31" t="str">
        <f>IF(OR(B4930="",C4930=""),"",IFERROR(E4930 / SUMIFS('📅 Resumen Diario'!$D$5:$D$504, '📅 Resumen Diario'!$B$5:$B$504, B4930, '📅 Resumen Diario'!$C$5:$C$504, D4930) * SUMIFS('📅 Resumen Diario'!$K$5:$K$504, '📅 Resumen Diario'!$B$5:$B$504, B4930, '📅 Resumen Diario'!$C$5:$C$504, D4930), 0))</f>
        <v/>
      </c>
      <c r="M4930" s="31" t="str">
        <f t="shared" si="535"/>
        <v/>
      </c>
      <c r="N4930" s="31" t="str">
        <f t="shared" si="536"/>
        <v/>
      </c>
      <c r="O4930" s="31" t="str">
        <f>IF(OR(B4930="",C4930=""),"",K4930-N4930 + IFERROR(E4930 / SUMIFS('📅 Resumen Diario'!$D$5:$D$504, '📅 Resumen Diario'!$B$5:$B$504, B4930, '📅 Resumen Diario'!$C$5:$C$504, D4930) * (SUMIFS('📋 Detalle Diario'!$E$5:$E$489, '📋 Detalle Diario'!$B$5:$B$489, B4930, '📋 Detalle Diario'!$C$5:$C$489, D4930) * 135 + SUMIFS('📋 Detalle Diario'!$I$5:$I$489, '📋 Detalle Diario'!$B$5:$B$489, B4930, '📋 Detalle Diario'!$C$5:$C$489, D4930) * 200), 0))</f>
        <v/>
      </c>
      <c r="P4930" s="32" t="str">
        <f t="shared" si="537"/>
        <v/>
      </c>
      <c r="Q4930" s="33" t="str">
        <f t="shared" si="538"/>
        <v/>
      </c>
    </row>
    <row r="4931" spans="2:17" ht="18" customHeight="1" x14ac:dyDescent="0.3">
      <c r="B4931" s="26"/>
      <c r="C4931" s="28"/>
      <c r="D4931" s="27"/>
      <c r="E4931" s="29"/>
      <c r="F4931" s="29"/>
      <c r="G4931" s="29"/>
      <c r="H4931" s="30" t="str">
        <f t="shared" si="532"/>
        <v/>
      </c>
      <c r="I4931" s="31" t="str">
        <f>IF(OR(B4931="",C4931=""),"",IFERROR(E4931*IF(E4931="",0,VLOOKUP(C4931,'📦 Precios Proforma'!$B$5:$D$104,IF(D4931="DIA",2,3),FALSE)),0))</f>
        <v/>
      </c>
      <c r="J4931" s="31" t="str">
        <f t="shared" si="533"/>
        <v/>
      </c>
      <c r="K4931" s="31" t="str">
        <f t="shared" si="534"/>
        <v/>
      </c>
      <c r="L4931" s="31" t="str">
        <f>IF(OR(B4931="",C4931=""),"",IFERROR(E4931 / SUMIFS('📅 Resumen Diario'!$D$5:$D$504, '📅 Resumen Diario'!$B$5:$B$504, B4931, '📅 Resumen Diario'!$C$5:$C$504, D4931) * SUMIFS('📅 Resumen Diario'!$K$5:$K$504, '📅 Resumen Diario'!$B$5:$B$504, B4931, '📅 Resumen Diario'!$C$5:$C$504, D4931), 0))</f>
        <v/>
      </c>
      <c r="M4931" s="31" t="str">
        <f t="shared" si="535"/>
        <v/>
      </c>
      <c r="N4931" s="31" t="str">
        <f t="shared" si="536"/>
        <v/>
      </c>
      <c r="O4931" s="31" t="str">
        <f>IF(OR(B4931="",C4931=""),"",K4931-N4931 + IFERROR(E4931 / SUMIFS('📅 Resumen Diario'!$D$5:$D$504, '📅 Resumen Diario'!$B$5:$B$504, B4931, '📅 Resumen Diario'!$C$5:$C$504, D4931) * (SUMIFS('📋 Detalle Diario'!$E$5:$E$489, '📋 Detalle Diario'!$B$5:$B$489, B4931, '📋 Detalle Diario'!$C$5:$C$489, D4931) * 135 + SUMIFS('📋 Detalle Diario'!$I$5:$I$489, '📋 Detalle Diario'!$B$5:$B$489, B4931, '📋 Detalle Diario'!$C$5:$C$489, D4931) * 200), 0))</f>
        <v/>
      </c>
      <c r="P4931" s="32" t="str">
        <f t="shared" si="537"/>
        <v/>
      </c>
      <c r="Q4931" s="33" t="str">
        <f t="shared" si="538"/>
        <v/>
      </c>
    </row>
    <row r="4932" spans="2:17" ht="18" customHeight="1" x14ac:dyDescent="0.3">
      <c r="B4932" s="26"/>
      <c r="C4932" s="17"/>
      <c r="D4932" s="27"/>
      <c r="E4932" s="18"/>
      <c r="F4932" s="18"/>
      <c r="G4932" s="18"/>
      <c r="H4932" s="30" t="str">
        <f t="shared" si="532"/>
        <v/>
      </c>
      <c r="I4932" s="31" t="str">
        <f>IF(OR(B4932="",C4932=""),"",IFERROR(E4932*IF(E4932="",0,VLOOKUP(C4932,'📦 Precios Proforma'!$B$5:$D$104,IF(D4932="DIA",2,3),FALSE)),0))</f>
        <v/>
      </c>
      <c r="J4932" s="31" t="str">
        <f t="shared" si="533"/>
        <v/>
      </c>
      <c r="K4932" s="31" t="str">
        <f t="shared" si="534"/>
        <v/>
      </c>
      <c r="L4932" s="31" t="str">
        <f>IF(OR(B4932="",C4932=""),"",IFERROR(E4932 / SUMIFS('📅 Resumen Diario'!$D$5:$D$504, '📅 Resumen Diario'!$B$5:$B$504, B4932, '📅 Resumen Diario'!$C$5:$C$504, D4932) * SUMIFS('📅 Resumen Diario'!$K$5:$K$504, '📅 Resumen Diario'!$B$5:$B$504, B4932, '📅 Resumen Diario'!$C$5:$C$504, D4932), 0))</f>
        <v/>
      </c>
      <c r="M4932" s="31" t="str">
        <f t="shared" si="535"/>
        <v/>
      </c>
      <c r="N4932" s="31" t="str">
        <f t="shared" si="536"/>
        <v/>
      </c>
      <c r="O4932" s="31" t="str">
        <f>IF(OR(B4932="",C4932=""),"",K4932-N4932 + IFERROR(E4932 / SUMIFS('📅 Resumen Diario'!$D$5:$D$504, '📅 Resumen Diario'!$B$5:$B$504, B4932, '📅 Resumen Diario'!$C$5:$C$504, D4932) * (SUMIFS('📋 Detalle Diario'!$E$5:$E$489, '📋 Detalle Diario'!$B$5:$B$489, B4932, '📋 Detalle Diario'!$C$5:$C$489, D4932) * 135 + SUMIFS('📋 Detalle Diario'!$I$5:$I$489, '📋 Detalle Diario'!$B$5:$B$489, B4932, '📋 Detalle Diario'!$C$5:$C$489, D4932) * 200), 0))</f>
        <v/>
      </c>
      <c r="P4932" s="32" t="str">
        <f t="shared" si="537"/>
        <v/>
      </c>
      <c r="Q4932" s="33" t="str">
        <f t="shared" si="538"/>
        <v/>
      </c>
    </row>
    <row r="4933" spans="2:17" ht="18" customHeight="1" x14ac:dyDescent="0.3">
      <c r="B4933" s="26"/>
      <c r="C4933" s="28"/>
      <c r="D4933" s="27"/>
      <c r="E4933" s="29"/>
      <c r="F4933" s="29"/>
      <c r="G4933" s="29"/>
      <c r="H4933" s="30" t="str">
        <f t="shared" si="532"/>
        <v/>
      </c>
      <c r="I4933" s="31" t="str">
        <f>IF(OR(B4933="",C4933=""),"",IFERROR(E4933*IF(E4933="",0,VLOOKUP(C4933,'📦 Precios Proforma'!$B$5:$D$104,IF(D4933="DIA",2,3),FALSE)),0))</f>
        <v/>
      </c>
      <c r="J4933" s="31" t="str">
        <f t="shared" si="533"/>
        <v/>
      </c>
      <c r="K4933" s="31" t="str">
        <f t="shared" si="534"/>
        <v/>
      </c>
      <c r="L4933" s="31" t="str">
        <f>IF(OR(B4933="",C4933=""),"",IFERROR(E4933 / SUMIFS('📅 Resumen Diario'!$D$5:$D$504, '📅 Resumen Diario'!$B$5:$B$504, B4933, '📅 Resumen Diario'!$C$5:$C$504, D4933) * SUMIFS('📅 Resumen Diario'!$K$5:$K$504, '📅 Resumen Diario'!$B$5:$B$504, B4933, '📅 Resumen Diario'!$C$5:$C$504, D4933), 0))</f>
        <v/>
      </c>
      <c r="M4933" s="31" t="str">
        <f t="shared" si="535"/>
        <v/>
      </c>
      <c r="N4933" s="31" t="str">
        <f t="shared" si="536"/>
        <v/>
      </c>
      <c r="O4933" s="31" t="str">
        <f>IF(OR(B4933="",C4933=""),"",K4933-N4933 + IFERROR(E4933 / SUMIFS('📅 Resumen Diario'!$D$5:$D$504, '📅 Resumen Diario'!$B$5:$B$504, B4933, '📅 Resumen Diario'!$C$5:$C$504, D4933) * (SUMIFS('📋 Detalle Diario'!$E$5:$E$489, '📋 Detalle Diario'!$B$5:$B$489, B4933, '📋 Detalle Diario'!$C$5:$C$489, D4933) * 135 + SUMIFS('📋 Detalle Diario'!$I$5:$I$489, '📋 Detalle Diario'!$B$5:$B$489, B4933, '📋 Detalle Diario'!$C$5:$C$489, D4933) * 200), 0))</f>
        <v/>
      </c>
      <c r="P4933" s="32" t="str">
        <f t="shared" si="537"/>
        <v/>
      </c>
      <c r="Q4933" s="33" t="str">
        <f t="shared" si="538"/>
        <v/>
      </c>
    </row>
    <row r="4934" spans="2:17" ht="18" customHeight="1" x14ac:dyDescent="0.3">
      <c r="B4934" s="26"/>
      <c r="C4934" s="17"/>
      <c r="D4934" s="27"/>
      <c r="E4934" s="18"/>
      <c r="F4934" s="18"/>
      <c r="G4934" s="18"/>
      <c r="H4934" s="30" t="str">
        <f t="shared" si="532"/>
        <v/>
      </c>
      <c r="I4934" s="31" t="str">
        <f>IF(OR(B4934="",C4934=""),"",IFERROR(E4934*IF(E4934="",0,VLOOKUP(C4934,'📦 Precios Proforma'!$B$5:$D$104,IF(D4934="DIA",2,3),FALSE)),0))</f>
        <v/>
      </c>
      <c r="J4934" s="31" t="str">
        <f t="shared" si="533"/>
        <v/>
      </c>
      <c r="K4934" s="31" t="str">
        <f t="shared" si="534"/>
        <v/>
      </c>
      <c r="L4934" s="31" t="str">
        <f>IF(OR(B4934="",C4934=""),"",IFERROR(E4934 / SUMIFS('📅 Resumen Diario'!$D$5:$D$504, '📅 Resumen Diario'!$B$5:$B$504, B4934, '📅 Resumen Diario'!$C$5:$C$504, D4934) * SUMIFS('📅 Resumen Diario'!$K$5:$K$504, '📅 Resumen Diario'!$B$5:$B$504, B4934, '📅 Resumen Diario'!$C$5:$C$504, D4934), 0))</f>
        <v/>
      </c>
      <c r="M4934" s="31" t="str">
        <f t="shared" si="535"/>
        <v/>
      </c>
      <c r="N4934" s="31" t="str">
        <f t="shared" si="536"/>
        <v/>
      </c>
      <c r="O4934" s="31" t="str">
        <f>IF(OR(B4934="",C4934=""),"",K4934-N4934 + IFERROR(E4934 / SUMIFS('📅 Resumen Diario'!$D$5:$D$504, '📅 Resumen Diario'!$B$5:$B$504, B4934, '📅 Resumen Diario'!$C$5:$C$504, D4934) * (SUMIFS('📋 Detalle Diario'!$E$5:$E$489, '📋 Detalle Diario'!$B$5:$B$489, B4934, '📋 Detalle Diario'!$C$5:$C$489, D4934) * 135 + SUMIFS('📋 Detalle Diario'!$I$5:$I$489, '📋 Detalle Diario'!$B$5:$B$489, B4934, '📋 Detalle Diario'!$C$5:$C$489, D4934) * 200), 0))</f>
        <v/>
      </c>
      <c r="P4934" s="32" t="str">
        <f t="shared" si="537"/>
        <v/>
      </c>
      <c r="Q4934" s="33" t="str">
        <f t="shared" si="538"/>
        <v/>
      </c>
    </row>
    <row r="4935" spans="2:17" ht="18" customHeight="1" x14ac:dyDescent="0.3">
      <c r="B4935" s="26"/>
      <c r="C4935" s="28"/>
      <c r="D4935" s="27"/>
      <c r="E4935" s="29"/>
      <c r="F4935" s="29"/>
      <c r="G4935" s="29"/>
      <c r="H4935" s="30" t="str">
        <f t="shared" ref="H4935:H4998" si="539">IF(OR(B4935="",C4935=""),"",F4935+G4935)</f>
        <v/>
      </c>
      <c r="I4935" s="31" t="str">
        <f>IF(OR(B4935="",C4935=""),"",IFERROR(E4935*IF(E4935="",0,VLOOKUP(C4935,'📦 Precios Proforma'!$B$5:$D$104,IF(D4935="DIA",2,3),FALSE)),0))</f>
        <v/>
      </c>
      <c r="J4935" s="31" t="str">
        <f t="shared" ref="J4935:J4998" si="540">IF(OR(B4935="",C4935=""),"",IF(D4935="DIA",H4935*1.01,H4935*1.35))</f>
        <v/>
      </c>
      <c r="K4935" s="31" t="str">
        <f t="shared" ref="K4935:K4998" si="541">IF(OR(B4935="",C4935=""),"",I4935+J4935)</f>
        <v/>
      </c>
      <c r="L4935" s="31" t="str">
        <f>IF(OR(B4935="",C4935=""),"",IFERROR(E4935 / SUMIFS('📅 Resumen Diario'!$D$5:$D$504, '📅 Resumen Diario'!$B$5:$B$504, B4935, '📅 Resumen Diario'!$C$5:$C$504, D4935) * SUMIFS('📅 Resumen Diario'!$K$5:$K$504, '📅 Resumen Diario'!$B$5:$B$504, B4935, '📅 Resumen Diario'!$C$5:$C$504, D4935), 0))</f>
        <v/>
      </c>
      <c r="M4935" s="31" t="str">
        <f t="shared" ref="M4935:M4998" si="542">IF(OR(B4935="",C4935=""),"",H4935*0.09)</f>
        <v/>
      </c>
      <c r="N4935" s="31" t="str">
        <f t="shared" ref="N4935:N4998" si="543">IF(OR(B4935="",C4935=""),"",L4935+M4935)</f>
        <v/>
      </c>
      <c r="O4935" s="31" t="str">
        <f>IF(OR(B4935="",C4935=""),"",K4935-N4935 + IFERROR(E4935 / SUMIFS('📅 Resumen Diario'!$D$5:$D$504, '📅 Resumen Diario'!$B$5:$B$504, B4935, '📅 Resumen Diario'!$C$5:$C$504, D4935) * (SUMIFS('📋 Detalle Diario'!$E$5:$E$489, '📋 Detalle Diario'!$B$5:$B$489, B4935, '📋 Detalle Diario'!$C$5:$C$489, D4935) * 135 + SUMIFS('📋 Detalle Diario'!$I$5:$I$489, '📋 Detalle Diario'!$B$5:$B$489, B4935, '📋 Detalle Diario'!$C$5:$C$489, D4935) * 200), 0))</f>
        <v/>
      </c>
      <c r="P4935" s="32" t="str">
        <f t="shared" ref="P4935:P4998" si="544">IF(OR(B4935="",C4935=""),"",IF(K4935=0, 0, O4935/K4935))</f>
        <v/>
      </c>
      <c r="Q4935" s="33" t="str">
        <f t="shared" ref="Q4935:Q4998" si="545">IF(B4935="","",IF(ISNUMBER(B4935),YEAR(B4935)&amp;"-"&amp;IF(MONTH(B4935)&lt;10,"0","")&amp;MONTH(B4935),LEFT(B4935,7)))</f>
        <v/>
      </c>
    </row>
    <row r="4936" spans="2:17" ht="18" customHeight="1" x14ac:dyDescent="0.3">
      <c r="B4936" s="26"/>
      <c r="C4936" s="17"/>
      <c r="D4936" s="27"/>
      <c r="E4936" s="18"/>
      <c r="F4936" s="18"/>
      <c r="G4936" s="18"/>
      <c r="H4936" s="30" t="str">
        <f t="shared" si="539"/>
        <v/>
      </c>
      <c r="I4936" s="31" t="str">
        <f>IF(OR(B4936="",C4936=""),"",IFERROR(E4936*IF(E4936="",0,VLOOKUP(C4936,'📦 Precios Proforma'!$B$5:$D$104,IF(D4936="DIA",2,3),FALSE)),0))</f>
        <v/>
      </c>
      <c r="J4936" s="31" t="str">
        <f t="shared" si="540"/>
        <v/>
      </c>
      <c r="K4936" s="31" t="str">
        <f t="shared" si="541"/>
        <v/>
      </c>
      <c r="L4936" s="31" t="str">
        <f>IF(OR(B4936="",C4936=""),"",IFERROR(E4936 / SUMIFS('📅 Resumen Diario'!$D$5:$D$504, '📅 Resumen Diario'!$B$5:$B$504, B4936, '📅 Resumen Diario'!$C$5:$C$504, D4936) * SUMIFS('📅 Resumen Diario'!$K$5:$K$504, '📅 Resumen Diario'!$B$5:$B$504, B4936, '📅 Resumen Diario'!$C$5:$C$504, D4936), 0))</f>
        <v/>
      </c>
      <c r="M4936" s="31" t="str">
        <f t="shared" si="542"/>
        <v/>
      </c>
      <c r="N4936" s="31" t="str">
        <f t="shared" si="543"/>
        <v/>
      </c>
      <c r="O4936" s="31" t="str">
        <f>IF(OR(B4936="",C4936=""),"",K4936-N4936 + IFERROR(E4936 / SUMIFS('📅 Resumen Diario'!$D$5:$D$504, '📅 Resumen Diario'!$B$5:$B$504, B4936, '📅 Resumen Diario'!$C$5:$C$504, D4936) * (SUMIFS('📋 Detalle Diario'!$E$5:$E$489, '📋 Detalle Diario'!$B$5:$B$489, B4936, '📋 Detalle Diario'!$C$5:$C$489, D4936) * 135 + SUMIFS('📋 Detalle Diario'!$I$5:$I$489, '📋 Detalle Diario'!$B$5:$B$489, B4936, '📋 Detalle Diario'!$C$5:$C$489, D4936) * 200), 0))</f>
        <v/>
      </c>
      <c r="P4936" s="32" t="str">
        <f t="shared" si="544"/>
        <v/>
      </c>
      <c r="Q4936" s="33" t="str">
        <f t="shared" si="545"/>
        <v/>
      </c>
    </row>
    <row r="4937" spans="2:17" ht="18" customHeight="1" x14ac:dyDescent="0.3">
      <c r="B4937" s="26"/>
      <c r="C4937" s="28"/>
      <c r="D4937" s="27"/>
      <c r="E4937" s="29"/>
      <c r="F4937" s="29"/>
      <c r="G4937" s="29"/>
      <c r="H4937" s="30" t="str">
        <f t="shared" si="539"/>
        <v/>
      </c>
      <c r="I4937" s="31" t="str">
        <f>IF(OR(B4937="",C4937=""),"",IFERROR(E4937*IF(E4937="",0,VLOOKUP(C4937,'📦 Precios Proforma'!$B$5:$D$104,IF(D4937="DIA",2,3),FALSE)),0))</f>
        <v/>
      </c>
      <c r="J4937" s="31" t="str">
        <f t="shared" si="540"/>
        <v/>
      </c>
      <c r="K4937" s="31" t="str">
        <f t="shared" si="541"/>
        <v/>
      </c>
      <c r="L4937" s="31" t="str">
        <f>IF(OR(B4937="",C4937=""),"",IFERROR(E4937 / SUMIFS('📅 Resumen Diario'!$D$5:$D$504, '📅 Resumen Diario'!$B$5:$B$504, B4937, '📅 Resumen Diario'!$C$5:$C$504, D4937) * SUMIFS('📅 Resumen Diario'!$K$5:$K$504, '📅 Resumen Diario'!$B$5:$B$504, B4937, '📅 Resumen Diario'!$C$5:$C$504, D4937), 0))</f>
        <v/>
      </c>
      <c r="M4937" s="31" t="str">
        <f t="shared" si="542"/>
        <v/>
      </c>
      <c r="N4937" s="31" t="str">
        <f t="shared" si="543"/>
        <v/>
      </c>
      <c r="O4937" s="31" t="str">
        <f>IF(OR(B4937="",C4937=""),"",K4937-N4937 + IFERROR(E4937 / SUMIFS('📅 Resumen Diario'!$D$5:$D$504, '📅 Resumen Diario'!$B$5:$B$504, B4937, '📅 Resumen Diario'!$C$5:$C$504, D4937) * (SUMIFS('📋 Detalle Diario'!$E$5:$E$489, '📋 Detalle Diario'!$B$5:$B$489, B4937, '📋 Detalle Diario'!$C$5:$C$489, D4937) * 135 + SUMIFS('📋 Detalle Diario'!$I$5:$I$489, '📋 Detalle Diario'!$B$5:$B$489, B4937, '📋 Detalle Diario'!$C$5:$C$489, D4937) * 200), 0))</f>
        <v/>
      </c>
      <c r="P4937" s="32" t="str">
        <f t="shared" si="544"/>
        <v/>
      </c>
      <c r="Q4937" s="33" t="str">
        <f t="shared" si="545"/>
        <v/>
      </c>
    </row>
    <row r="4938" spans="2:17" ht="18" customHeight="1" x14ac:dyDescent="0.3">
      <c r="B4938" s="26"/>
      <c r="C4938" s="17"/>
      <c r="D4938" s="27"/>
      <c r="E4938" s="18"/>
      <c r="F4938" s="18"/>
      <c r="G4938" s="18"/>
      <c r="H4938" s="30" t="str">
        <f t="shared" si="539"/>
        <v/>
      </c>
      <c r="I4938" s="31" t="str">
        <f>IF(OR(B4938="",C4938=""),"",IFERROR(E4938*IF(E4938="",0,VLOOKUP(C4938,'📦 Precios Proforma'!$B$5:$D$104,IF(D4938="DIA",2,3),FALSE)),0))</f>
        <v/>
      </c>
      <c r="J4938" s="31" t="str">
        <f t="shared" si="540"/>
        <v/>
      </c>
      <c r="K4938" s="31" t="str">
        <f t="shared" si="541"/>
        <v/>
      </c>
      <c r="L4938" s="31" t="str">
        <f>IF(OR(B4938="",C4938=""),"",IFERROR(E4938 / SUMIFS('📅 Resumen Diario'!$D$5:$D$504, '📅 Resumen Diario'!$B$5:$B$504, B4938, '📅 Resumen Diario'!$C$5:$C$504, D4938) * SUMIFS('📅 Resumen Diario'!$K$5:$K$504, '📅 Resumen Diario'!$B$5:$B$504, B4938, '📅 Resumen Diario'!$C$5:$C$504, D4938), 0))</f>
        <v/>
      </c>
      <c r="M4938" s="31" t="str">
        <f t="shared" si="542"/>
        <v/>
      </c>
      <c r="N4938" s="31" t="str">
        <f t="shared" si="543"/>
        <v/>
      </c>
      <c r="O4938" s="31" t="str">
        <f>IF(OR(B4938="",C4938=""),"",K4938-N4938 + IFERROR(E4938 / SUMIFS('📅 Resumen Diario'!$D$5:$D$504, '📅 Resumen Diario'!$B$5:$B$504, B4938, '📅 Resumen Diario'!$C$5:$C$504, D4938) * (SUMIFS('📋 Detalle Diario'!$E$5:$E$489, '📋 Detalle Diario'!$B$5:$B$489, B4938, '📋 Detalle Diario'!$C$5:$C$489, D4938) * 135 + SUMIFS('📋 Detalle Diario'!$I$5:$I$489, '📋 Detalle Diario'!$B$5:$B$489, B4938, '📋 Detalle Diario'!$C$5:$C$489, D4938) * 200), 0))</f>
        <v/>
      </c>
      <c r="P4938" s="32" t="str">
        <f t="shared" si="544"/>
        <v/>
      </c>
      <c r="Q4938" s="33" t="str">
        <f t="shared" si="545"/>
        <v/>
      </c>
    </row>
    <row r="4939" spans="2:17" ht="18" customHeight="1" x14ac:dyDescent="0.3">
      <c r="B4939" s="26"/>
      <c r="C4939" s="28"/>
      <c r="D4939" s="27"/>
      <c r="E4939" s="29"/>
      <c r="F4939" s="29"/>
      <c r="G4939" s="29"/>
      <c r="H4939" s="30" t="str">
        <f t="shared" si="539"/>
        <v/>
      </c>
      <c r="I4939" s="31" t="str">
        <f>IF(OR(B4939="",C4939=""),"",IFERROR(E4939*IF(E4939="",0,VLOOKUP(C4939,'📦 Precios Proforma'!$B$5:$D$104,IF(D4939="DIA",2,3),FALSE)),0))</f>
        <v/>
      </c>
      <c r="J4939" s="31" t="str">
        <f t="shared" si="540"/>
        <v/>
      </c>
      <c r="K4939" s="31" t="str">
        <f t="shared" si="541"/>
        <v/>
      </c>
      <c r="L4939" s="31" t="str">
        <f>IF(OR(B4939="",C4939=""),"",IFERROR(E4939 / SUMIFS('📅 Resumen Diario'!$D$5:$D$504, '📅 Resumen Diario'!$B$5:$B$504, B4939, '📅 Resumen Diario'!$C$5:$C$504, D4939) * SUMIFS('📅 Resumen Diario'!$K$5:$K$504, '📅 Resumen Diario'!$B$5:$B$504, B4939, '📅 Resumen Diario'!$C$5:$C$504, D4939), 0))</f>
        <v/>
      </c>
      <c r="M4939" s="31" t="str">
        <f t="shared" si="542"/>
        <v/>
      </c>
      <c r="N4939" s="31" t="str">
        <f t="shared" si="543"/>
        <v/>
      </c>
      <c r="O4939" s="31" t="str">
        <f>IF(OR(B4939="",C4939=""),"",K4939-N4939 + IFERROR(E4939 / SUMIFS('📅 Resumen Diario'!$D$5:$D$504, '📅 Resumen Diario'!$B$5:$B$504, B4939, '📅 Resumen Diario'!$C$5:$C$504, D4939) * (SUMIFS('📋 Detalle Diario'!$E$5:$E$489, '📋 Detalle Diario'!$B$5:$B$489, B4939, '📋 Detalle Diario'!$C$5:$C$489, D4939) * 135 + SUMIFS('📋 Detalle Diario'!$I$5:$I$489, '📋 Detalle Diario'!$B$5:$B$489, B4939, '📋 Detalle Diario'!$C$5:$C$489, D4939) * 200), 0))</f>
        <v/>
      </c>
      <c r="P4939" s="32" t="str">
        <f t="shared" si="544"/>
        <v/>
      </c>
      <c r="Q4939" s="33" t="str">
        <f t="shared" si="545"/>
        <v/>
      </c>
    </row>
    <row r="4940" spans="2:17" ht="18" customHeight="1" x14ac:dyDescent="0.3">
      <c r="B4940" s="26"/>
      <c r="C4940" s="17"/>
      <c r="D4940" s="27"/>
      <c r="E4940" s="18"/>
      <c r="F4940" s="18"/>
      <c r="G4940" s="18"/>
      <c r="H4940" s="30" t="str">
        <f t="shared" si="539"/>
        <v/>
      </c>
      <c r="I4940" s="31" t="str">
        <f>IF(OR(B4940="",C4940=""),"",IFERROR(E4940*IF(E4940="",0,VLOOKUP(C4940,'📦 Precios Proforma'!$B$5:$D$104,IF(D4940="DIA",2,3),FALSE)),0))</f>
        <v/>
      </c>
      <c r="J4940" s="31" t="str">
        <f t="shared" si="540"/>
        <v/>
      </c>
      <c r="K4940" s="31" t="str">
        <f t="shared" si="541"/>
        <v/>
      </c>
      <c r="L4940" s="31" t="str">
        <f>IF(OR(B4940="",C4940=""),"",IFERROR(E4940 / SUMIFS('📅 Resumen Diario'!$D$5:$D$504, '📅 Resumen Diario'!$B$5:$B$504, B4940, '📅 Resumen Diario'!$C$5:$C$504, D4940) * SUMIFS('📅 Resumen Diario'!$K$5:$K$504, '📅 Resumen Diario'!$B$5:$B$504, B4940, '📅 Resumen Diario'!$C$5:$C$504, D4940), 0))</f>
        <v/>
      </c>
      <c r="M4940" s="31" t="str">
        <f t="shared" si="542"/>
        <v/>
      </c>
      <c r="N4940" s="31" t="str">
        <f t="shared" si="543"/>
        <v/>
      </c>
      <c r="O4940" s="31" t="str">
        <f>IF(OR(B4940="",C4940=""),"",K4940-N4940 + IFERROR(E4940 / SUMIFS('📅 Resumen Diario'!$D$5:$D$504, '📅 Resumen Diario'!$B$5:$B$504, B4940, '📅 Resumen Diario'!$C$5:$C$504, D4940) * (SUMIFS('📋 Detalle Diario'!$E$5:$E$489, '📋 Detalle Diario'!$B$5:$B$489, B4940, '📋 Detalle Diario'!$C$5:$C$489, D4940) * 135 + SUMIFS('📋 Detalle Diario'!$I$5:$I$489, '📋 Detalle Diario'!$B$5:$B$489, B4940, '📋 Detalle Diario'!$C$5:$C$489, D4940) * 200), 0))</f>
        <v/>
      </c>
      <c r="P4940" s="32" t="str">
        <f t="shared" si="544"/>
        <v/>
      </c>
      <c r="Q4940" s="33" t="str">
        <f t="shared" si="545"/>
        <v/>
      </c>
    </row>
    <row r="4941" spans="2:17" ht="18" customHeight="1" x14ac:dyDescent="0.3">
      <c r="B4941" s="26"/>
      <c r="C4941" s="28"/>
      <c r="D4941" s="27"/>
      <c r="E4941" s="29"/>
      <c r="F4941" s="29"/>
      <c r="G4941" s="29"/>
      <c r="H4941" s="30" t="str">
        <f t="shared" si="539"/>
        <v/>
      </c>
      <c r="I4941" s="31" t="str">
        <f>IF(OR(B4941="",C4941=""),"",IFERROR(E4941*IF(E4941="",0,VLOOKUP(C4941,'📦 Precios Proforma'!$B$5:$D$104,IF(D4941="DIA",2,3),FALSE)),0))</f>
        <v/>
      </c>
      <c r="J4941" s="31" t="str">
        <f t="shared" si="540"/>
        <v/>
      </c>
      <c r="K4941" s="31" t="str">
        <f t="shared" si="541"/>
        <v/>
      </c>
      <c r="L4941" s="31" t="str">
        <f>IF(OR(B4941="",C4941=""),"",IFERROR(E4941 / SUMIFS('📅 Resumen Diario'!$D$5:$D$504, '📅 Resumen Diario'!$B$5:$B$504, B4941, '📅 Resumen Diario'!$C$5:$C$504, D4941) * SUMIFS('📅 Resumen Diario'!$K$5:$K$504, '📅 Resumen Diario'!$B$5:$B$504, B4941, '📅 Resumen Diario'!$C$5:$C$504, D4941), 0))</f>
        <v/>
      </c>
      <c r="M4941" s="31" t="str">
        <f t="shared" si="542"/>
        <v/>
      </c>
      <c r="N4941" s="31" t="str">
        <f t="shared" si="543"/>
        <v/>
      </c>
      <c r="O4941" s="31" t="str">
        <f>IF(OR(B4941="",C4941=""),"",K4941-N4941 + IFERROR(E4941 / SUMIFS('📅 Resumen Diario'!$D$5:$D$504, '📅 Resumen Diario'!$B$5:$B$504, B4941, '📅 Resumen Diario'!$C$5:$C$504, D4941) * (SUMIFS('📋 Detalle Diario'!$E$5:$E$489, '📋 Detalle Diario'!$B$5:$B$489, B4941, '📋 Detalle Diario'!$C$5:$C$489, D4941) * 135 + SUMIFS('📋 Detalle Diario'!$I$5:$I$489, '📋 Detalle Diario'!$B$5:$B$489, B4941, '📋 Detalle Diario'!$C$5:$C$489, D4941) * 200), 0))</f>
        <v/>
      </c>
      <c r="P4941" s="32" t="str">
        <f t="shared" si="544"/>
        <v/>
      </c>
      <c r="Q4941" s="33" t="str">
        <f t="shared" si="545"/>
        <v/>
      </c>
    </row>
    <row r="4942" spans="2:17" ht="18" customHeight="1" x14ac:dyDescent="0.3">
      <c r="B4942" s="26"/>
      <c r="C4942" s="17"/>
      <c r="D4942" s="27"/>
      <c r="E4942" s="18"/>
      <c r="F4942" s="18"/>
      <c r="G4942" s="18"/>
      <c r="H4942" s="30" t="str">
        <f t="shared" si="539"/>
        <v/>
      </c>
      <c r="I4942" s="31" t="str">
        <f>IF(OR(B4942="",C4942=""),"",IFERROR(E4942*IF(E4942="",0,VLOOKUP(C4942,'📦 Precios Proforma'!$B$5:$D$104,IF(D4942="DIA",2,3),FALSE)),0))</f>
        <v/>
      </c>
      <c r="J4942" s="31" t="str">
        <f t="shared" si="540"/>
        <v/>
      </c>
      <c r="K4942" s="31" t="str">
        <f t="shared" si="541"/>
        <v/>
      </c>
      <c r="L4942" s="31" t="str">
        <f>IF(OR(B4942="",C4942=""),"",IFERROR(E4942 / SUMIFS('📅 Resumen Diario'!$D$5:$D$504, '📅 Resumen Diario'!$B$5:$B$504, B4942, '📅 Resumen Diario'!$C$5:$C$504, D4942) * SUMIFS('📅 Resumen Diario'!$K$5:$K$504, '📅 Resumen Diario'!$B$5:$B$504, B4942, '📅 Resumen Diario'!$C$5:$C$504, D4942), 0))</f>
        <v/>
      </c>
      <c r="M4942" s="31" t="str">
        <f t="shared" si="542"/>
        <v/>
      </c>
      <c r="N4942" s="31" t="str">
        <f t="shared" si="543"/>
        <v/>
      </c>
      <c r="O4942" s="31" t="str">
        <f>IF(OR(B4942="",C4942=""),"",K4942-N4942 + IFERROR(E4942 / SUMIFS('📅 Resumen Diario'!$D$5:$D$504, '📅 Resumen Diario'!$B$5:$B$504, B4942, '📅 Resumen Diario'!$C$5:$C$504, D4942) * (SUMIFS('📋 Detalle Diario'!$E$5:$E$489, '📋 Detalle Diario'!$B$5:$B$489, B4942, '📋 Detalle Diario'!$C$5:$C$489, D4942) * 135 + SUMIFS('📋 Detalle Diario'!$I$5:$I$489, '📋 Detalle Diario'!$B$5:$B$489, B4942, '📋 Detalle Diario'!$C$5:$C$489, D4942) * 200), 0))</f>
        <v/>
      </c>
      <c r="P4942" s="32" t="str">
        <f t="shared" si="544"/>
        <v/>
      </c>
      <c r="Q4942" s="33" t="str">
        <f t="shared" si="545"/>
        <v/>
      </c>
    </row>
    <row r="4943" spans="2:17" ht="18" customHeight="1" x14ac:dyDescent="0.3">
      <c r="B4943" s="26"/>
      <c r="C4943" s="28"/>
      <c r="D4943" s="27"/>
      <c r="E4943" s="29"/>
      <c r="F4943" s="29"/>
      <c r="G4943" s="29"/>
      <c r="H4943" s="30" t="str">
        <f t="shared" si="539"/>
        <v/>
      </c>
      <c r="I4943" s="31" t="str">
        <f>IF(OR(B4943="",C4943=""),"",IFERROR(E4943*IF(E4943="",0,VLOOKUP(C4943,'📦 Precios Proforma'!$B$5:$D$104,IF(D4943="DIA",2,3),FALSE)),0))</f>
        <v/>
      </c>
      <c r="J4943" s="31" t="str">
        <f t="shared" si="540"/>
        <v/>
      </c>
      <c r="K4943" s="31" t="str">
        <f t="shared" si="541"/>
        <v/>
      </c>
      <c r="L4943" s="31" t="str">
        <f>IF(OR(B4943="",C4943=""),"",IFERROR(E4943 / SUMIFS('📅 Resumen Diario'!$D$5:$D$504, '📅 Resumen Diario'!$B$5:$B$504, B4943, '📅 Resumen Diario'!$C$5:$C$504, D4943) * SUMIFS('📅 Resumen Diario'!$K$5:$K$504, '📅 Resumen Diario'!$B$5:$B$504, B4943, '📅 Resumen Diario'!$C$5:$C$504, D4943), 0))</f>
        <v/>
      </c>
      <c r="M4943" s="31" t="str">
        <f t="shared" si="542"/>
        <v/>
      </c>
      <c r="N4943" s="31" t="str">
        <f t="shared" si="543"/>
        <v/>
      </c>
      <c r="O4943" s="31" t="str">
        <f>IF(OR(B4943="",C4943=""),"",K4943-N4943 + IFERROR(E4943 / SUMIFS('📅 Resumen Diario'!$D$5:$D$504, '📅 Resumen Diario'!$B$5:$B$504, B4943, '📅 Resumen Diario'!$C$5:$C$504, D4943) * (SUMIFS('📋 Detalle Diario'!$E$5:$E$489, '📋 Detalle Diario'!$B$5:$B$489, B4943, '📋 Detalle Diario'!$C$5:$C$489, D4943) * 135 + SUMIFS('📋 Detalle Diario'!$I$5:$I$489, '📋 Detalle Diario'!$B$5:$B$489, B4943, '📋 Detalle Diario'!$C$5:$C$489, D4943) * 200), 0))</f>
        <v/>
      </c>
      <c r="P4943" s="32" t="str">
        <f t="shared" si="544"/>
        <v/>
      </c>
      <c r="Q4943" s="33" t="str">
        <f t="shared" si="545"/>
        <v/>
      </c>
    </row>
    <row r="4944" spans="2:17" ht="18" customHeight="1" x14ac:dyDescent="0.3">
      <c r="B4944" s="26"/>
      <c r="C4944" s="17"/>
      <c r="D4944" s="27"/>
      <c r="E4944" s="18"/>
      <c r="F4944" s="18"/>
      <c r="G4944" s="18"/>
      <c r="H4944" s="30" t="str">
        <f t="shared" si="539"/>
        <v/>
      </c>
      <c r="I4944" s="31" t="str">
        <f>IF(OR(B4944="",C4944=""),"",IFERROR(E4944*IF(E4944="",0,VLOOKUP(C4944,'📦 Precios Proforma'!$B$5:$D$104,IF(D4944="DIA",2,3),FALSE)),0))</f>
        <v/>
      </c>
      <c r="J4944" s="31" t="str">
        <f t="shared" si="540"/>
        <v/>
      </c>
      <c r="K4944" s="31" t="str">
        <f t="shared" si="541"/>
        <v/>
      </c>
      <c r="L4944" s="31" t="str">
        <f>IF(OR(B4944="",C4944=""),"",IFERROR(E4944 / SUMIFS('📅 Resumen Diario'!$D$5:$D$504, '📅 Resumen Diario'!$B$5:$B$504, B4944, '📅 Resumen Diario'!$C$5:$C$504, D4944) * SUMIFS('📅 Resumen Diario'!$K$5:$K$504, '📅 Resumen Diario'!$B$5:$B$504, B4944, '📅 Resumen Diario'!$C$5:$C$504, D4944), 0))</f>
        <v/>
      </c>
      <c r="M4944" s="31" t="str">
        <f t="shared" si="542"/>
        <v/>
      </c>
      <c r="N4944" s="31" t="str">
        <f t="shared" si="543"/>
        <v/>
      </c>
      <c r="O4944" s="31" t="str">
        <f>IF(OR(B4944="",C4944=""),"",K4944-N4944 + IFERROR(E4944 / SUMIFS('📅 Resumen Diario'!$D$5:$D$504, '📅 Resumen Diario'!$B$5:$B$504, B4944, '📅 Resumen Diario'!$C$5:$C$504, D4944) * (SUMIFS('📋 Detalle Diario'!$E$5:$E$489, '📋 Detalle Diario'!$B$5:$B$489, B4944, '📋 Detalle Diario'!$C$5:$C$489, D4944) * 135 + SUMIFS('📋 Detalle Diario'!$I$5:$I$489, '📋 Detalle Diario'!$B$5:$B$489, B4944, '📋 Detalle Diario'!$C$5:$C$489, D4944) * 200), 0))</f>
        <v/>
      </c>
      <c r="P4944" s="32" t="str">
        <f t="shared" si="544"/>
        <v/>
      </c>
      <c r="Q4944" s="33" t="str">
        <f t="shared" si="545"/>
        <v/>
      </c>
    </row>
    <row r="4945" spans="2:17" ht="18" customHeight="1" x14ac:dyDescent="0.3">
      <c r="B4945" s="26"/>
      <c r="C4945" s="28"/>
      <c r="D4945" s="27"/>
      <c r="E4945" s="29"/>
      <c r="F4945" s="29"/>
      <c r="G4945" s="29"/>
      <c r="H4945" s="30" t="str">
        <f t="shared" si="539"/>
        <v/>
      </c>
      <c r="I4945" s="31" t="str">
        <f>IF(OR(B4945="",C4945=""),"",IFERROR(E4945*IF(E4945="",0,VLOOKUP(C4945,'📦 Precios Proforma'!$B$5:$D$104,IF(D4945="DIA",2,3),FALSE)),0))</f>
        <v/>
      </c>
      <c r="J4945" s="31" t="str">
        <f t="shared" si="540"/>
        <v/>
      </c>
      <c r="K4945" s="31" t="str">
        <f t="shared" si="541"/>
        <v/>
      </c>
      <c r="L4945" s="31" t="str">
        <f>IF(OR(B4945="",C4945=""),"",IFERROR(E4945 / SUMIFS('📅 Resumen Diario'!$D$5:$D$504, '📅 Resumen Diario'!$B$5:$B$504, B4945, '📅 Resumen Diario'!$C$5:$C$504, D4945) * SUMIFS('📅 Resumen Diario'!$K$5:$K$504, '📅 Resumen Diario'!$B$5:$B$504, B4945, '📅 Resumen Diario'!$C$5:$C$504, D4945), 0))</f>
        <v/>
      </c>
      <c r="M4945" s="31" t="str">
        <f t="shared" si="542"/>
        <v/>
      </c>
      <c r="N4945" s="31" t="str">
        <f t="shared" si="543"/>
        <v/>
      </c>
      <c r="O4945" s="31" t="str">
        <f>IF(OR(B4945="",C4945=""),"",K4945-N4945 + IFERROR(E4945 / SUMIFS('📅 Resumen Diario'!$D$5:$D$504, '📅 Resumen Diario'!$B$5:$B$504, B4945, '📅 Resumen Diario'!$C$5:$C$504, D4945) * (SUMIFS('📋 Detalle Diario'!$E$5:$E$489, '📋 Detalle Diario'!$B$5:$B$489, B4945, '📋 Detalle Diario'!$C$5:$C$489, D4945) * 135 + SUMIFS('📋 Detalle Diario'!$I$5:$I$489, '📋 Detalle Diario'!$B$5:$B$489, B4945, '📋 Detalle Diario'!$C$5:$C$489, D4945) * 200), 0))</f>
        <v/>
      </c>
      <c r="P4945" s="32" t="str">
        <f t="shared" si="544"/>
        <v/>
      </c>
      <c r="Q4945" s="33" t="str">
        <f t="shared" si="545"/>
        <v/>
      </c>
    </row>
    <row r="4946" spans="2:17" ht="18" customHeight="1" x14ac:dyDescent="0.3">
      <c r="B4946" s="26"/>
      <c r="C4946" s="17"/>
      <c r="D4946" s="27"/>
      <c r="E4946" s="18"/>
      <c r="F4946" s="18"/>
      <c r="G4946" s="18"/>
      <c r="H4946" s="30" t="str">
        <f t="shared" si="539"/>
        <v/>
      </c>
      <c r="I4946" s="31" t="str">
        <f>IF(OR(B4946="",C4946=""),"",IFERROR(E4946*IF(E4946="",0,VLOOKUP(C4946,'📦 Precios Proforma'!$B$5:$D$104,IF(D4946="DIA",2,3),FALSE)),0))</f>
        <v/>
      </c>
      <c r="J4946" s="31" t="str">
        <f t="shared" si="540"/>
        <v/>
      </c>
      <c r="K4946" s="31" t="str">
        <f t="shared" si="541"/>
        <v/>
      </c>
      <c r="L4946" s="31" t="str">
        <f>IF(OR(B4946="",C4946=""),"",IFERROR(E4946 / SUMIFS('📅 Resumen Diario'!$D$5:$D$504, '📅 Resumen Diario'!$B$5:$B$504, B4946, '📅 Resumen Diario'!$C$5:$C$504, D4946) * SUMIFS('📅 Resumen Diario'!$K$5:$K$504, '📅 Resumen Diario'!$B$5:$B$504, B4946, '📅 Resumen Diario'!$C$5:$C$504, D4946), 0))</f>
        <v/>
      </c>
      <c r="M4946" s="31" t="str">
        <f t="shared" si="542"/>
        <v/>
      </c>
      <c r="N4946" s="31" t="str">
        <f t="shared" si="543"/>
        <v/>
      </c>
      <c r="O4946" s="31" t="str">
        <f>IF(OR(B4946="",C4946=""),"",K4946-N4946 + IFERROR(E4946 / SUMIFS('📅 Resumen Diario'!$D$5:$D$504, '📅 Resumen Diario'!$B$5:$B$504, B4946, '📅 Resumen Diario'!$C$5:$C$504, D4946) * (SUMIFS('📋 Detalle Diario'!$E$5:$E$489, '📋 Detalle Diario'!$B$5:$B$489, B4946, '📋 Detalle Diario'!$C$5:$C$489, D4946) * 135 + SUMIFS('📋 Detalle Diario'!$I$5:$I$489, '📋 Detalle Diario'!$B$5:$B$489, B4946, '📋 Detalle Diario'!$C$5:$C$489, D4946) * 200), 0))</f>
        <v/>
      </c>
      <c r="P4946" s="32" t="str">
        <f t="shared" si="544"/>
        <v/>
      </c>
      <c r="Q4946" s="33" t="str">
        <f t="shared" si="545"/>
        <v/>
      </c>
    </row>
    <row r="4947" spans="2:17" ht="18" customHeight="1" x14ac:dyDescent="0.3">
      <c r="B4947" s="26"/>
      <c r="C4947" s="28"/>
      <c r="D4947" s="27"/>
      <c r="E4947" s="29"/>
      <c r="F4947" s="29"/>
      <c r="G4947" s="29"/>
      <c r="H4947" s="30" t="str">
        <f t="shared" si="539"/>
        <v/>
      </c>
      <c r="I4947" s="31" t="str">
        <f>IF(OR(B4947="",C4947=""),"",IFERROR(E4947*IF(E4947="",0,VLOOKUP(C4947,'📦 Precios Proforma'!$B$5:$D$104,IF(D4947="DIA",2,3),FALSE)),0))</f>
        <v/>
      </c>
      <c r="J4947" s="31" t="str">
        <f t="shared" si="540"/>
        <v/>
      </c>
      <c r="K4947" s="31" t="str">
        <f t="shared" si="541"/>
        <v/>
      </c>
      <c r="L4947" s="31" t="str">
        <f>IF(OR(B4947="",C4947=""),"",IFERROR(E4947 / SUMIFS('📅 Resumen Diario'!$D$5:$D$504, '📅 Resumen Diario'!$B$5:$B$504, B4947, '📅 Resumen Diario'!$C$5:$C$504, D4947) * SUMIFS('📅 Resumen Diario'!$K$5:$K$504, '📅 Resumen Diario'!$B$5:$B$504, B4947, '📅 Resumen Diario'!$C$5:$C$504, D4947), 0))</f>
        <v/>
      </c>
      <c r="M4947" s="31" t="str">
        <f t="shared" si="542"/>
        <v/>
      </c>
      <c r="N4947" s="31" t="str">
        <f t="shared" si="543"/>
        <v/>
      </c>
      <c r="O4947" s="31" t="str">
        <f>IF(OR(B4947="",C4947=""),"",K4947-N4947 + IFERROR(E4947 / SUMIFS('📅 Resumen Diario'!$D$5:$D$504, '📅 Resumen Diario'!$B$5:$B$504, B4947, '📅 Resumen Diario'!$C$5:$C$504, D4947) * (SUMIFS('📋 Detalle Diario'!$E$5:$E$489, '📋 Detalle Diario'!$B$5:$B$489, B4947, '📋 Detalle Diario'!$C$5:$C$489, D4947) * 135 + SUMIFS('📋 Detalle Diario'!$I$5:$I$489, '📋 Detalle Diario'!$B$5:$B$489, B4947, '📋 Detalle Diario'!$C$5:$C$489, D4947) * 200), 0))</f>
        <v/>
      </c>
      <c r="P4947" s="32" t="str">
        <f t="shared" si="544"/>
        <v/>
      </c>
      <c r="Q4947" s="33" t="str">
        <f t="shared" si="545"/>
        <v/>
      </c>
    </row>
    <row r="4948" spans="2:17" ht="18" customHeight="1" x14ac:dyDescent="0.3">
      <c r="B4948" s="26"/>
      <c r="C4948" s="17"/>
      <c r="D4948" s="27"/>
      <c r="E4948" s="18"/>
      <c r="F4948" s="18"/>
      <c r="G4948" s="18"/>
      <c r="H4948" s="30" t="str">
        <f t="shared" si="539"/>
        <v/>
      </c>
      <c r="I4948" s="31" t="str">
        <f>IF(OR(B4948="",C4948=""),"",IFERROR(E4948*IF(E4948="",0,VLOOKUP(C4948,'📦 Precios Proforma'!$B$5:$D$104,IF(D4948="DIA",2,3),FALSE)),0))</f>
        <v/>
      </c>
      <c r="J4948" s="31" t="str">
        <f t="shared" si="540"/>
        <v/>
      </c>
      <c r="K4948" s="31" t="str">
        <f t="shared" si="541"/>
        <v/>
      </c>
      <c r="L4948" s="31" t="str">
        <f>IF(OR(B4948="",C4948=""),"",IFERROR(E4948 / SUMIFS('📅 Resumen Diario'!$D$5:$D$504, '📅 Resumen Diario'!$B$5:$B$504, B4948, '📅 Resumen Diario'!$C$5:$C$504, D4948) * SUMIFS('📅 Resumen Diario'!$K$5:$K$504, '📅 Resumen Diario'!$B$5:$B$504, B4948, '📅 Resumen Diario'!$C$5:$C$504, D4948), 0))</f>
        <v/>
      </c>
      <c r="M4948" s="31" t="str">
        <f t="shared" si="542"/>
        <v/>
      </c>
      <c r="N4948" s="31" t="str">
        <f t="shared" si="543"/>
        <v/>
      </c>
      <c r="O4948" s="31" t="str">
        <f>IF(OR(B4948="",C4948=""),"",K4948-N4948 + IFERROR(E4948 / SUMIFS('📅 Resumen Diario'!$D$5:$D$504, '📅 Resumen Diario'!$B$5:$B$504, B4948, '📅 Resumen Diario'!$C$5:$C$504, D4948) * (SUMIFS('📋 Detalle Diario'!$E$5:$E$489, '📋 Detalle Diario'!$B$5:$B$489, B4948, '📋 Detalle Diario'!$C$5:$C$489, D4948) * 135 + SUMIFS('📋 Detalle Diario'!$I$5:$I$489, '📋 Detalle Diario'!$B$5:$B$489, B4948, '📋 Detalle Diario'!$C$5:$C$489, D4948) * 200), 0))</f>
        <v/>
      </c>
      <c r="P4948" s="32" t="str">
        <f t="shared" si="544"/>
        <v/>
      </c>
      <c r="Q4948" s="33" t="str">
        <f t="shared" si="545"/>
        <v/>
      </c>
    </row>
    <row r="4949" spans="2:17" ht="18" customHeight="1" x14ac:dyDescent="0.3">
      <c r="B4949" s="26"/>
      <c r="C4949" s="28"/>
      <c r="D4949" s="27"/>
      <c r="E4949" s="29"/>
      <c r="F4949" s="29"/>
      <c r="G4949" s="29"/>
      <c r="H4949" s="30" t="str">
        <f t="shared" si="539"/>
        <v/>
      </c>
      <c r="I4949" s="31" t="str">
        <f>IF(OR(B4949="",C4949=""),"",IFERROR(E4949*IF(E4949="",0,VLOOKUP(C4949,'📦 Precios Proforma'!$B$5:$D$104,IF(D4949="DIA",2,3),FALSE)),0))</f>
        <v/>
      </c>
      <c r="J4949" s="31" t="str">
        <f t="shared" si="540"/>
        <v/>
      </c>
      <c r="K4949" s="31" t="str">
        <f t="shared" si="541"/>
        <v/>
      </c>
      <c r="L4949" s="31" t="str">
        <f>IF(OR(B4949="",C4949=""),"",IFERROR(E4949 / SUMIFS('📅 Resumen Diario'!$D$5:$D$504, '📅 Resumen Diario'!$B$5:$B$504, B4949, '📅 Resumen Diario'!$C$5:$C$504, D4949) * SUMIFS('📅 Resumen Diario'!$K$5:$K$504, '📅 Resumen Diario'!$B$5:$B$504, B4949, '📅 Resumen Diario'!$C$5:$C$504, D4949), 0))</f>
        <v/>
      </c>
      <c r="M4949" s="31" t="str">
        <f t="shared" si="542"/>
        <v/>
      </c>
      <c r="N4949" s="31" t="str">
        <f t="shared" si="543"/>
        <v/>
      </c>
      <c r="O4949" s="31" t="str">
        <f>IF(OR(B4949="",C4949=""),"",K4949-N4949 + IFERROR(E4949 / SUMIFS('📅 Resumen Diario'!$D$5:$D$504, '📅 Resumen Diario'!$B$5:$B$504, B4949, '📅 Resumen Diario'!$C$5:$C$504, D4949) * (SUMIFS('📋 Detalle Diario'!$E$5:$E$489, '📋 Detalle Diario'!$B$5:$B$489, B4949, '📋 Detalle Diario'!$C$5:$C$489, D4949) * 135 + SUMIFS('📋 Detalle Diario'!$I$5:$I$489, '📋 Detalle Diario'!$B$5:$B$489, B4949, '📋 Detalle Diario'!$C$5:$C$489, D4949) * 200), 0))</f>
        <v/>
      </c>
      <c r="P4949" s="32" t="str">
        <f t="shared" si="544"/>
        <v/>
      </c>
      <c r="Q4949" s="33" t="str">
        <f t="shared" si="545"/>
        <v/>
      </c>
    </row>
    <row r="4950" spans="2:17" ht="18" customHeight="1" x14ac:dyDescent="0.3">
      <c r="B4950" s="26"/>
      <c r="C4950" s="17"/>
      <c r="D4950" s="27"/>
      <c r="E4950" s="18"/>
      <c r="F4950" s="18"/>
      <c r="G4950" s="18"/>
      <c r="H4950" s="30" t="str">
        <f t="shared" si="539"/>
        <v/>
      </c>
      <c r="I4950" s="31" t="str">
        <f>IF(OR(B4950="",C4950=""),"",IFERROR(E4950*IF(E4950="",0,VLOOKUP(C4950,'📦 Precios Proforma'!$B$5:$D$104,IF(D4950="DIA",2,3),FALSE)),0))</f>
        <v/>
      </c>
      <c r="J4950" s="31" t="str">
        <f t="shared" si="540"/>
        <v/>
      </c>
      <c r="K4950" s="31" t="str">
        <f t="shared" si="541"/>
        <v/>
      </c>
      <c r="L4950" s="31" t="str">
        <f>IF(OR(B4950="",C4950=""),"",IFERROR(E4950 / SUMIFS('📅 Resumen Diario'!$D$5:$D$504, '📅 Resumen Diario'!$B$5:$B$504, B4950, '📅 Resumen Diario'!$C$5:$C$504, D4950) * SUMIFS('📅 Resumen Diario'!$K$5:$K$504, '📅 Resumen Diario'!$B$5:$B$504, B4950, '📅 Resumen Diario'!$C$5:$C$504, D4950), 0))</f>
        <v/>
      </c>
      <c r="M4950" s="31" t="str">
        <f t="shared" si="542"/>
        <v/>
      </c>
      <c r="N4950" s="31" t="str">
        <f t="shared" si="543"/>
        <v/>
      </c>
      <c r="O4950" s="31" t="str">
        <f>IF(OR(B4950="",C4950=""),"",K4950-N4950 + IFERROR(E4950 / SUMIFS('📅 Resumen Diario'!$D$5:$D$504, '📅 Resumen Diario'!$B$5:$B$504, B4950, '📅 Resumen Diario'!$C$5:$C$504, D4950) * (SUMIFS('📋 Detalle Diario'!$E$5:$E$489, '📋 Detalle Diario'!$B$5:$B$489, B4950, '📋 Detalle Diario'!$C$5:$C$489, D4950) * 135 + SUMIFS('📋 Detalle Diario'!$I$5:$I$489, '📋 Detalle Diario'!$B$5:$B$489, B4950, '📋 Detalle Diario'!$C$5:$C$489, D4950) * 200), 0))</f>
        <v/>
      </c>
      <c r="P4950" s="32" t="str">
        <f t="shared" si="544"/>
        <v/>
      </c>
      <c r="Q4950" s="33" t="str">
        <f t="shared" si="545"/>
        <v/>
      </c>
    </row>
    <row r="4951" spans="2:17" ht="18" customHeight="1" x14ac:dyDescent="0.3">
      <c r="B4951" s="26"/>
      <c r="C4951" s="28"/>
      <c r="D4951" s="27"/>
      <c r="E4951" s="29"/>
      <c r="F4951" s="29"/>
      <c r="G4951" s="29"/>
      <c r="H4951" s="30" t="str">
        <f t="shared" si="539"/>
        <v/>
      </c>
      <c r="I4951" s="31" t="str">
        <f>IF(OR(B4951="",C4951=""),"",IFERROR(E4951*IF(E4951="",0,VLOOKUP(C4951,'📦 Precios Proforma'!$B$5:$D$104,IF(D4951="DIA",2,3),FALSE)),0))</f>
        <v/>
      </c>
      <c r="J4951" s="31" t="str">
        <f t="shared" si="540"/>
        <v/>
      </c>
      <c r="K4951" s="31" t="str">
        <f t="shared" si="541"/>
        <v/>
      </c>
      <c r="L4951" s="31" t="str">
        <f>IF(OR(B4951="",C4951=""),"",IFERROR(E4951 / SUMIFS('📅 Resumen Diario'!$D$5:$D$504, '📅 Resumen Diario'!$B$5:$B$504, B4951, '📅 Resumen Diario'!$C$5:$C$504, D4951) * SUMIFS('📅 Resumen Diario'!$K$5:$K$504, '📅 Resumen Diario'!$B$5:$B$504, B4951, '📅 Resumen Diario'!$C$5:$C$504, D4951), 0))</f>
        <v/>
      </c>
      <c r="M4951" s="31" t="str">
        <f t="shared" si="542"/>
        <v/>
      </c>
      <c r="N4951" s="31" t="str">
        <f t="shared" si="543"/>
        <v/>
      </c>
      <c r="O4951" s="31" t="str">
        <f>IF(OR(B4951="",C4951=""),"",K4951-N4951 + IFERROR(E4951 / SUMIFS('📅 Resumen Diario'!$D$5:$D$504, '📅 Resumen Diario'!$B$5:$B$504, B4951, '📅 Resumen Diario'!$C$5:$C$504, D4951) * (SUMIFS('📋 Detalle Diario'!$E$5:$E$489, '📋 Detalle Diario'!$B$5:$B$489, B4951, '📋 Detalle Diario'!$C$5:$C$489, D4951) * 135 + SUMIFS('📋 Detalle Diario'!$I$5:$I$489, '📋 Detalle Diario'!$B$5:$B$489, B4951, '📋 Detalle Diario'!$C$5:$C$489, D4951) * 200), 0))</f>
        <v/>
      </c>
      <c r="P4951" s="32" t="str">
        <f t="shared" si="544"/>
        <v/>
      </c>
      <c r="Q4951" s="33" t="str">
        <f t="shared" si="545"/>
        <v/>
      </c>
    </row>
    <row r="4952" spans="2:17" ht="18" customHeight="1" x14ac:dyDescent="0.3">
      <c r="B4952" s="26"/>
      <c r="C4952" s="17"/>
      <c r="D4952" s="27"/>
      <c r="E4952" s="18"/>
      <c r="F4952" s="18"/>
      <c r="G4952" s="18"/>
      <c r="H4952" s="30" t="str">
        <f t="shared" si="539"/>
        <v/>
      </c>
      <c r="I4952" s="31" t="str">
        <f>IF(OR(B4952="",C4952=""),"",IFERROR(E4952*IF(E4952="",0,VLOOKUP(C4952,'📦 Precios Proforma'!$B$5:$D$104,IF(D4952="DIA",2,3),FALSE)),0))</f>
        <v/>
      </c>
      <c r="J4952" s="31" t="str">
        <f t="shared" si="540"/>
        <v/>
      </c>
      <c r="K4952" s="31" t="str">
        <f t="shared" si="541"/>
        <v/>
      </c>
      <c r="L4952" s="31" t="str">
        <f>IF(OR(B4952="",C4952=""),"",IFERROR(E4952 / SUMIFS('📅 Resumen Diario'!$D$5:$D$504, '📅 Resumen Diario'!$B$5:$B$504, B4952, '📅 Resumen Diario'!$C$5:$C$504, D4952) * SUMIFS('📅 Resumen Diario'!$K$5:$K$504, '📅 Resumen Diario'!$B$5:$B$504, B4952, '📅 Resumen Diario'!$C$5:$C$504, D4952), 0))</f>
        <v/>
      </c>
      <c r="M4952" s="31" t="str">
        <f t="shared" si="542"/>
        <v/>
      </c>
      <c r="N4952" s="31" t="str">
        <f t="shared" si="543"/>
        <v/>
      </c>
      <c r="O4952" s="31" t="str">
        <f>IF(OR(B4952="",C4952=""),"",K4952-N4952 + IFERROR(E4952 / SUMIFS('📅 Resumen Diario'!$D$5:$D$504, '📅 Resumen Diario'!$B$5:$B$504, B4952, '📅 Resumen Diario'!$C$5:$C$504, D4952) * (SUMIFS('📋 Detalle Diario'!$E$5:$E$489, '📋 Detalle Diario'!$B$5:$B$489, B4952, '📋 Detalle Diario'!$C$5:$C$489, D4952) * 135 + SUMIFS('📋 Detalle Diario'!$I$5:$I$489, '📋 Detalle Diario'!$B$5:$B$489, B4952, '📋 Detalle Diario'!$C$5:$C$489, D4952) * 200), 0))</f>
        <v/>
      </c>
      <c r="P4952" s="32" t="str">
        <f t="shared" si="544"/>
        <v/>
      </c>
      <c r="Q4952" s="33" t="str">
        <f t="shared" si="545"/>
        <v/>
      </c>
    </row>
    <row r="4953" spans="2:17" ht="18" customHeight="1" x14ac:dyDescent="0.3">
      <c r="B4953" s="26"/>
      <c r="C4953" s="28"/>
      <c r="D4953" s="27"/>
      <c r="E4953" s="29"/>
      <c r="F4953" s="29"/>
      <c r="G4953" s="29"/>
      <c r="H4953" s="30" t="str">
        <f t="shared" si="539"/>
        <v/>
      </c>
      <c r="I4953" s="31" t="str">
        <f>IF(OR(B4953="",C4953=""),"",IFERROR(E4953*IF(E4953="",0,VLOOKUP(C4953,'📦 Precios Proforma'!$B$5:$D$104,IF(D4953="DIA",2,3),FALSE)),0))</f>
        <v/>
      </c>
      <c r="J4953" s="31" t="str">
        <f t="shared" si="540"/>
        <v/>
      </c>
      <c r="K4953" s="31" t="str">
        <f t="shared" si="541"/>
        <v/>
      </c>
      <c r="L4953" s="31" t="str">
        <f>IF(OR(B4953="",C4953=""),"",IFERROR(E4953 / SUMIFS('📅 Resumen Diario'!$D$5:$D$504, '📅 Resumen Diario'!$B$5:$B$504, B4953, '📅 Resumen Diario'!$C$5:$C$504, D4953) * SUMIFS('📅 Resumen Diario'!$K$5:$K$504, '📅 Resumen Diario'!$B$5:$B$504, B4953, '📅 Resumen Diario'!$C$5:$C$504, D4953), 0))</f>
        <v/>
      </c>
      <c r="M4953" s="31" t="str">
        <f t="shared" si="542"/>
        <v/>
      </c>
      <c r="N4953" s="31" t="str">
        <f t="shared" si="543"/>
        <v/>
      </c>
      <c r="O4953" s="31" t="str">
        <f>IF(OR(B4953="",C4953=""),"",K4953-N4953 + IFERROR(E4953 / SUMIFS('📅 Resumen Diario'!$D$5:$D$504, '📅 Resumen Diario'!$B$5:$B$504, B4953, '📅 Resumen Diario'!$C$5:$C$504, D4953) * (SUMIFS('📋 Detalle Diario'!$E$5:$E$489, '📋 Detalle Diario'!$B$5:$B$489, B4953, '📋 Detalle Diario'!$C$5:$C$489, D4953) * 135 + SUMIFS('📋 Detalle Diario'!$I$5:$I$489, '📋 Detalle Diario'!$B$5:$B$489, B4953, '📋 Detalle Diario'!$C$5:$C$489, D4953) * 200), 0))</f>
        <v/>
      </c>
      <c r="P4953" s="32" t="str">
        <f t="shared" si="544"/>
        <v/>
      </c>
      <c r="Q4953" s="33" t="str">
        <f t="shared" si="545"/>
        <v/>
      </c>
    </row>
    <row r="4954" spans="2:17" ht="18" customHeight="1" x14ac:dyDescent="0.3">
      <c r="B4954" s="26"/>
      <c r="C4954" s="17"/>
      <c r="D4954" s="27"/>
      <c r="E4954" s="18"/>
      <c r="F4954" s="18"/>
      <c r="G4954" s="18"/>
      <c r="H4954" s="30" t="str">
        <f t="shared" si="539"/>
        <v/>
      </c>
      <c r="I4954" s="31" t="str">
        <f>IF(OR(B4954="",C4954=""),"",IFERROR(E4954*IF(E4954="",0,VLOOKUP(C4954,'📦 Precios Proforma'!$B$5:$D$104,IF(D4954="DIA",2,3),FALSE)),0))</f>
        <v/>
      </c>
      <c r="J4954" s="31" t="str">
        <f t="shared" si="540"/>
        <v/>
      </c>
      <c r="K4954" s="31" t="str">
        <f t="shared" si="541"/>
        <v/>
      </c>
      <c r="L4954" s="31" t="str">
        <f>IF(OR(B4954="",C4954=""),"",IFERROR(E4954 / SUMIFS('📅 Resumen Diario'!$D$5:$D$504, '📅 Resumen Diario'!$B$5:$B$504, B4954, '📅 Resumen Diario'!$C$5:$C$504, D4954) * SUMIFS('📅 Resumen Diario'!$K$5:$K$504, '📅 Resumen Diario'!$B$5:$B$504, B4954, '📅 Resumen Diario'!$C$5:$C$504, D4954), 0))</f>
        <v/>
      </c>
      <c r="M4954" s="31" t="str">
        <f t="shared" si="542"/>
        <v/>
      </c>
      <c r="N4954" s="31" t="str">
        <f t="shared" si="543"/>
        <v/>
      </c>
      <c r="O4954" s="31" t="str">
        <f>IF(OR(B4954="",C4954=""),"",K4954-N4954 + IFERROR(E4954 / SUMIFS('📅 Resumen Diario'!$D$5:$D$504, '📅 Resumen Diario'!$B$5:$B$504, B4954, '📅 Resumen Diario'!$C$5:$C$504, D4954) * (SUMIFS('📋 Detalle Diario'!$E$5:$E$489, '📋 Detalle Diario'!$B$5:$B$489, B4954, '📋 Detalle Diario'!$C$5:$C$489, D4954) * 135 + SUMIFS('📋 Detalle Diario'!$I$5:$I$489, '📋 Detalle Diario'!$B$5:$B$489, B4954, '📋 Detalle Diario'!$C$5:$C$489, D4954) * 200), 0))</f>
        <v/>
      </c>
      <c r="P4954" s="32" t="str">
        <f t="shared" si="544"/>
        <v/>
      </c>
      <c r="Q4954" s="33" t="str">
        <f t="shared" si="545"/>
        <v/>
      </c>
    </row>
    <row r="4955" spans="2:17" ht="18" customHeight="1" x14ac:dyDescent="0.3">
      <c r="B4955" s="26"/>
      <c r="C4955" s="28"/>
      <c r="D4955" s="27"/>
      <c r="E4955" s="29"/>
      <c r="F4955" s="29"/>
      <c r="G4955" s="29"/>
      <c r="H4955" s="30" t="str">
        <f t="shared" si="539"/>
        <v/>
      </c>
      <c r="I4955" s="31" t="str">
        <f>IF(OR(B4955="",C4955=""),"",IFERROR(E4955*IF(E4955="",0,VLOOKUP(C4955,'📦 Precios Proforma'!$B$5:$D$104,IF(D4955="DIA",2,3),FALSE)),0))</f>
        <v/>
      </c>
      <c r="J4955" s="31" t="str">
        <f t="shared" si="540"/>
        <v/>
      </c>
      <c r="K4955" s="31" t="str">
        <f t="shared" si="541"/>
        <v/>
      </c>
      <c r="L4955" s="31" t="str">
        <f>IF(OR(B4955="",C4955=""),"",IFERROR(E4955 / SUMIFS('📅 Resumen Diario'!$D$5:$D$504, '📅 Resumen Diario'!$B$5:$B$504, B4955, '📅 Resumen Diario'!$C$5:$C$504, D4955) * SUMIFS('📅 Resumen Diario'!$K$5:$K$504, '📅 Resumen Diario'!$B$5:$B$504, B4955, '📅 Resumen Diario'!$C$5:$C$504, D4955), 0))</f>
        <v/>
      </c>
      <c r="M4955" s="31" t="str">
        <f t="shared" si="542"/>
        <v/>
      </c>
      <c r="N4955" s="31" t="str">
        <f t="shared" si="543"/>
        <v/>
      </c>
      <c r="O4955" s="31" t="str">
        <f>IF(OR(B4955="",C4955=""),"",K4955-N4955 + IFERROR(E4955 / SUMIFS('📅 Resumen Diario'!$D$5:$D$504, '📅 Resumen Diario'!$B$5:$B$504, B4955, '📅 Resumen Diario'!$C$5:$C$504, D4955) * (SUMIFS('📋 Detalle Diario'!$E$5:$E$489, '📋 Detalle Diario'!$B$5:$B$489, B4955, '📋 Detalle Diario'!$C$5:$C$489, D4955) * 135 + SUMIFS('📋 Detalle Diario'!$I$5:$I$489, '📋 Detalle Diario'!$B$5:$B$489, B4955, '📋 Detalle Diario'!$C$5:$C$489, D4955) * 200), 0))</f>
        <v/>
      </c>
      <c r="P4955" s="32" t="str">
        <f t="shared" si="544"/>
        <v/>
      </c>
      <c r="Q4955" s="33" t="str">
        <f t="shared" si="545"/>
        <v/>
      </c>
    </row>
    <row r="4956" spans="2:17" ht="18" customHeight="1" x14ac:dyDescent="0.3">
      <c r="B4956" s="26"/>
      <c r="C4956" s="17"/>
      <c r="D4956" s="27"/>
      <c r="E4956" s="18"/>
      <c r="F4956" s="18"/>
      <c r="G4956" s="18"/>
      <c r="H4956" s="30" t="str">
        <f t="shared" si="539"/>
        <v/>
      </c>
      <c r="I4956" s="31" t="str">
        <f>IF(OR(B4956="",C4956=""),"",IFERROR(E4956*IF(E4956="",0,VLOOKUP(C4956,'📦 Precios Proforma'!$B$5:$D$104,IF(D4956="DIA",2,3),FALSE)),0))</f>
        <v/>
      </c>
      <c r="J4956" s="31" t="str">
        <f t="shared" si="540"/>
        <v/>
      </c>
      <c r="K4956" s="31" t="str">
        <f t="shared" si="541"/>
        <v/>
      </c>
      <c r="L4956" s="31" t="str">
        <f>IF(OR(B4956="",C4956=""),"",IFERROR(E4956 / SUMIFS('📅 Resumen Diario'!$D$5:$D$504, '📅 Resumen Diario'!$B$5:$B$504, B4956, '📅 Resumen Diario'!$C$5:$C$504, D4956) * SUMIFS('📅 Resumen Diario'!$K$5:$K$504, '📅 Resumen Diario'!$B$5:$B$504, B4956, '📅 Resumen Diario'!$C$5:$C$504, D4956), 0))</f>
        <v/>
      </c>
      <c r="M4956" s="31" t="str">
        <f t="shared" si="542"/>
        <v/>
      </c>
      <c r="N4956" s="31" t="str">
        <f t="shared" si="543"/>
        <v/>
      </c>
      <c r="O4956" s="31" t="str">
        <f>IF(OR(B4956="",C4956=""),"",K4956-N4956 + IFERROR(E4956 / SUMIFS('📅 Resumen Diario'!$D$5:$D$504, '📅 Resumen Diario'!$B$5:$B$504, B4956, '📅 Resumen Diario'!$C$5:$C$504, D4956) * (SUMIFS('📋 Detalle Diario'!$E$5:$E$489, '📋 Detalle Diario'!$B$5:$B$489, B4956, '📋 Detalle Diario'!$C$5:$C$489, D4956) * 135 + SUMIFS('📋 Detalle Diario'!$I$5:$I$489, '📋 Detalle Diario'!$B$5:$B$489, B4956, '📋 Detalle Diario'!$C$5:$C$489, D4956) * 200), 0))</f>
        <v/>
      </c>
      <c r="P4956" s="32" t="str">
        <f t="shared" si="544"/>
        <v/>
      </c>
      <c r="Q4956" s="33" t="str">
        <f t="shared" si="545"/>
        <v/>
      </c>
    </row>
    <row r="4957" spans="2:17" ht="18" customHeight="1" x14ac:dyDescent="0.3">
      <c r="B4957" s="26"/>
      <c r="C4957" s="28"/>
      <c r="D4957" s="27"/>
      <c r="E4957" s="29"/>
      <c r="F4957" s="29"/>
      <c r="G4957" s="29"/>
      <c r="H4957" s="30" t="str">
        <f t="shared" si="539"/>
        <v/>
      </c>
      <c r="I4957" s="31" t="str">
        <f>IF(OR(B4957="",C4957=""),"",IFERROR(E4957*IF(E4957="",0,VLOOKUP(C4957,'📦 Precios Proforma'!$B$5:$D$104,IF(D4957="DIA",2,3),FALSE)),0))</f>
        <v/>
      </c>
      <c r="J4957" s="31" t="str">
        <f t="shared" si="540"/>
        <v/>
      </c>
      <c r="K4957" s="31" t="str">
        <f t="shared" si="541"/>
        <v/>
      </c>
      <c r="L4957" s="31" t="str">
        <f>IF(OR(B4957="",C4957=""),"",IFERROR(E4957 / SUMIFS('📅 Resumen Diario'!$D$5:$D$504, '📅 Resumen Diario'!$B$5:$B$504, B4957, '📅 Resumen Diario'!$C$5:$C$504, D4957) * SUMIFS('📅 Resumen Diario'!$K$5:$K$504, '📅 Resumen Diario'!$B$5:$B$504, B4957, '📅 Resumen Diario'!$C$5:$C$504, D4957), 0))</f>
        <v/>
      </c>
      <c r="M4957" s="31" t="str">
        <f t="shared" si="542"/>
        <v/>
      </c>
      <c r="N4957" s="31" t="str">
        <f t="shared" si="543"/>
        <v/>
      </c>
      <c r="O4957" s="31" t="str">
        <f>IF(OR(B4957="",C4957=""),"",K4957-N4957 + IFERROR(E4957 / SUMIFS('📅 Resumen Diario'!$D$5:$D$504, '📅 Resumen Diario'!$B$5:$B$504, B4957, '📅 Resumen Diario'!$C$5:$C$504, D4957) * (SUMIFS('📋 Detalle Diario'!$E$5:$E$489, '📋 Detalle Diario'!$B$5:$B$489, B4957, '📋 Detalle Diario'!$C$5:$C$489, D4957) * 135 + SUMIFS('📋 Detalle Diario'!$I$5:$I$489, '📋 Detalle Diario'!$B$5:$B$489, B4957, '📋 Detalle Diario'!$C$5:$C$489, D4957) * 200), 0))</f>
        <v/>
      </c>
      <c r="P4957" s="32" t="str">
        <f t="shared" si="544"/>
        <v/>
      </c>
      <c r="Q4957" s="33" t="str">
        <f t="shared" si="545"/>
        <v/>
      </c>
    </row>
    <row r="4958" spans="2:17" ht="18" customHeight="1" x14ac:dyDescent="0.3">
      <c r="B4958" s="26"/>
      <c r="C4958" s="17"/>
      <c r="D4958" s="27"/>
      <c r="E4958" s="18"/>
      <c r="F4958" s="18"/>
      <c r="G4958" s="18"/>
      <c r="H4958" s="30" t="str">
        <f t="shared" si="539"/>
        <v/>
      </c>
      <c r="I4958" s="31" t="str">
        <f>IF(OR(B4958="",C4958=""),"",IFERROR(E4958*IF(E4958="",0,VLOOKUP(C4958,'📦 Precios Proforma'!$B$5:$D$104,IF(D4958="DIA",2,3),FALSE)),0))</f>
        <v/>
      </c>
      <c r="J4958" s="31" t="str">
        <f t="shared" si="540"/>
        <v/>
      </c>
      <c r="K4958" s="31" t="str">
        <f t="shared" si="541"/>
        <v/>
      </c>
      <c r="L4958" s="31" t="str">
        <f>IF(OR(B4958="",C4958=""),"",IFERROR(E4958 / SUMIFS('📅 Resumen Diario'!$D$5:$D$504, '📅 Resumen Diario'!$B$5:$B$504, B4958, '📅 Resumen Diario'!$C$5:$C$504, D4958) * SUMIFS('📅 Resumen Diario'!$K$5:$K$504, '📅 Resumen Diario'!$B$5:$B$504, B4958, '📅 Resumen Diario'!$C$5:$C$504, D4958), 0))</f>
        <v/>
      </c>
      <c r="M4958" s="31" t="str">
        <f t="shared" si="542"/>
        <v/>
      </c>
      <c r="N4958" s="31" t="str">
        <f t="shared" si="543"/>
        <v/>
      </c>
      <c r="O4958" s="31" t="str">
        <f>IF(OR(B4958="",C4958=""),"",K4958-N4958 + IFERROR(E4958 / SUMIFS('📅 Resumen Diario'!$D$5:$D$504, '📅 Resumen Diario'!$B$5:$B$504, B4958, '📅 Resumen Diario'!$C$5:$C$504, D4958) * (SUMIFS('📋 Detalle Diario'!$E$5:$E$489, '📋 Detalle Diario'!$B$5:$B$489, B4958, '📋 Detalle Diario'!$C$5:$C$489, D4958) * 135 + SUMIFS('📋 Detalle Diario'!$I$5:$I$489, '📋 Detalle Diario'!$B$5:$B$489, B4958, '📋 Detalle Diario'!$C$5:$C$489, D4958) * 200), 0))</f>
        <v/>
      </c>
      <c r="P4958" s="32" t="str">
        <f t="shared" si="544"/>
        <v/>
      </c>
      <c r="Q4958" s="33" t="str">
        <f t="shared" si="545"/>
        <v/>
      </c>
    </row>
    <row r="4959" spans="2:17" ht="18" customHeight="1" x14ac:dyDescent="0.3">
      <c r="B4959" s="26"/>
      <c r="C4959" s="28"/>
      <c r="D4959" s="27"/>
      <c r="E4959" s="29"/>
      <c r="F4959" s="29"/>
      <c r="G4959" s="29"/>
      <c r="H4959" s="30" t="str">
        <f t="shared" si="539"/>
        <v/>
      </c>
      <c r="I4959" s="31" t="str">
        <f>IF(OR(B4959="",C4959=""),"",IFERROR(E4959*IF(E4959="",0,VLOOKUP(C4959,'📦 Precios Proforma'!$B$5:$D$104,IF(D4959="DIA",2,3),FALSE)),0))</f>
        <v/>
      </c>
      <c r="J4959" s="31" t="str">
        <f t="shared" si="540"/>
        <v/>
      </c>
      <c r="K4959" s="31" t="str">
        <f t="shared" si="541"/>
        <v/>
      </c>
      <c r="L4959" s="31" t="str">
        <f>IF(OR(B4959="",C4959=""),"",IFERROR(E4959 / SUMIFS('📅 Resumen Diario'!$D$5:$D$504, '📅 Resumen Diario'!$B$5:$B$504, B4959, '📅 Resumen Diario'!$C$5:$C$504, D4959) * SUMIFS('📅 Resumen Diario'!$K$5:$K$504, '📅 Resumen Diario'!$B$5:$B$504, B4959, '📅 Resumen Diario'!$C$5:$C$504, D4959), 0))</f>
        <v/>
      </c>
      <c r="M4959" s="31" t="str">
        <f t="shared" si="542"/>
        <v/>
      </c>
      <c r="N4959" s="31" t="str">
        <f t="shared" si="543"/>
        <v/>
      </c>
      <c r="O4959" s="31" t="str">
        <f>IF(OR(B4959="",C4959=""),"",K4959-N4959 + IFERROR(E4959 / SUMIFS('📅 Resumen Diario'!$D$5:$D$504, '📅 Resumen Diario'!$B$5:$B$504, B4959, '📅 Resumen Diario'!$C$5:$C$504, D4959) * (SUMIFS('📋 Detalle Diario'!$E$5:$E$489, '📋 Detalle Diario'!$B$5:$B$489, B4959, '📋 Detalle Diario'!$C$5:$C$489, D4959) * 135 + SUMIFS('📋 Detalle Diario'!$I$5:$I$489, '📋 Detalle Diario'!$B$5:$B$489, B4959, '📋 Detalle Diario'!$C$5:$C$489, D4959) * 200), 0))</f>
        <v/>
      </c>
      <c r="P4959" s="32" t="str">
        <f t="shared" si="544"/>
        <v/>
      </c>
      <c r="Q4959" s="33" t="str">
        <f t="shared" si="545"/>
        <v/>
      </c>
    </row>
    <row r="4960" spans="2:17" ht="18" customHeight="1" x14ac:dyDescent="0.3">
      <c r="B4960" s="26"/>
      <c r="C4960" s="17"/>
      <c r="D4960" s="27"/>
      <c r="E4960" s="18"/>
      <c r="F4960" s="18"/>
      <c r="G4960" s="18"/>
      <c r="H4960" s="30" t="str">
        <f t="shared" si="539"/>
        <v/>
      </c>
      <c r="I4960" s="31" t="str">
        <f>IF(OR(B4960="",C4960=""),"",IFERROR(E4960*IF(E4960="",0,VLOOKUP(C4960,'📦 Precios Proforma'!$B$5:$D$104,IF(D4960="DIA",2,3),FALSE)),0))</f>
        <v/>
      </c>
      <c r="J4960" s="31" t="str">
        <f t="shared" si="540"/>
        <v/>
      </c>
      <c r="K4960" s="31" t="str">
        <f t="shared" si="541"/>
        <v/>
      </c>
      <c r="L4960" s="31" t="str">
        <f>IF(OR(B4960="",C4960=""),"",IFERROR(E4960 / SUMIFS('📅 Resumen Diario'!$D$5:$D$504, '📅 Resumen Diario'!$B$5:$B$504, B4960, '📅 Resumen Diario'!$C$5:$C$504, D4960) * SUMIFS('📅 Resumen Diario'!$K$5:$K$504, '📅 Resumen Diario'!$B$5:$B$504, B4960, '📅 Resumen Diario'!$C$5:$C$504, D4960), 0))</f>
        <v/>
      </c>
      <c r="M4960" s="31" t="str">
        <f t="shared" si="542"/>
        <v/>
      </c>
      <c r="N4960" s="31" t="str">
        <f t="shared" si="543"/>
        <v/>
      </c>
      <c r="O4960" s="31" t="str">
        <f>IF(OR(B4960="",C4960=""),"",K4960-N4960 + IFERROR(E4960 / SUMIFS('📅 Resumen Diario'!$D$5:$D$504, '📅 Resumen Diario'!$B$5:$B$504, B4960, '📅 Resumen Diario'!$C$5:$C$504, D4960) * (SUMIFS('📋 Detalle Diario'!$E$5:$E$489, '📋 Detalle Diario'!$B$5:$B$489, B4960, '📋 Detalle Diario'!$C$5:$C$489, D4960) * 135 + SUMIFS('📋 Detalle Diario'!$I$5:$I$489, '📋 Detalle Diario'!$B$5:$B$489, B4960, '📋 Detalle Diario'!$C$5:$C$489, D4960) * 200), 0))</f>
        <v/>
      </c>
      <c r="P4960" s="32" t="str">
        <f t="shared" si="544"/>
        <v/>
      </c>
      <c r="Q4960" s="33" t="str">
        <f t="shared" si="545"/>
        <v/>
      </c>
    </row>
    <row r="4961" spans="2:17" ht="18" customHeight="1" x14ac:dyDescent="0.3">
      <c r="B4961" s="26"/>
      <c r="C4961" s="28"/>
      <c r="D4961" s="27"/>
      <c r="E4961" s="29"/>
      <c r="F4961" s="29"/>
      <c r="G4961" s="29"/>
      <c r="H4961" s="30" t="str">
        <f t="shared" si="539"/>
        <v/>
      </c>
      <c r="I4961" s="31" t="str">
        <f>IF(OR(B4961="",C4961=""),"",IFERROR(E4961*IF(E4961="",0,VLOOKUP(C4961,'📦 Precios Proforma'!$B$5:$D$104,IF(D4961="DIA",2,3),FALSE)),0))</f>
        <v/>
      </c>
      <c r="J4961" s="31" t="str">
        <f t="shared" si="540"/>
        <v/>
      </c>
      <c r="K4961" s="31" t="str">
        <f t="shared" si="541"/>
        <v/>
      </c>
      <c r="L4961" s="31" t="str">
        <f>IF(OR(B4961="",C4961=""),"",IFERROR(E4961 / SUMIFS('📅 Resumen Diario'!$D$5:$D$504, '📅 Resumen Diario'!$B$5:$B$504, B4961, '📅 Resumen Diario'!$C$5:$C$504, D4961) * SUMIFS('📅 Resumen Diario'!$K$5:$K$504, '📅 Resumen Diario'!$B$5:$B$504, B4961, '📅 Resumen Diario'!$C$5:$C$504, D4961), 0))</f>
        <v/>
      </c>
      <c r="M4961" s="31" t="str">
        <f t="shared" si="542"/>
        <v/>
      </c>
      <c r="N4961" s="31" t="str">
        <f t="shared" si="543"/>
        <v/>
      </c>
      <c r="O4961" s="31" t="str">
        <f>IF(OR(B4961="",C4961=""),"",K4961-N4961 + IFERROR(E4961 / SUMIFS('📅 Resumen Diario'!$D$5:$D$504, '📅 Resumen Diario'!$B$5:$B$504, B4961, '📅 Resumen Diario'!$C$5:$C$504, D4961) * (SUMIFS('📋 Detalle Diario'!$E$5:$E$489, '📋 Detalle Diario'!$B$5:$B$489, B4961, '📋 Detalle Diario'!$C$5:$C$489, D4961) * 135 + SUMIFS('📋 Detalle Diario'!$I$5:$I$489, '📋 Detalle Diario'!$B$5:$B$489, B4961, '📋 Detalle Diario'!$C$5:$C$489, D4961) * 200), 0))</f>
        <v/>
      </c>
      <c r="P4961" s="32" t="str">
        <f t="shared" si="544"/>
        <v/>
      </c>
      <c r="Q4961" s="33" t="str">
        <f t="shared" si="545"/>
        <v/>
      </c>
    </row>
    <row r="4962" spans="2:17" ht="18" customHeight="1" x14ac:dyDescent="0.3">
      <c r="B4962" s="26"/>
      <c r="C4962" s="17"/>
      <c r="D4962" s="27"/>
      <c r="E4962" s="18"/>
      <c r="F4962" s="18"/>
      <c r="G4962" s="18"/>
      <c r="H4962" s="30" t="str">
        <f t="shared" si="539"/>
        <v/>
      </c>
      <c r="I4962" s="31" t="str">
        <f>IF(OR(B4962="",C4962=""),"",IFERROR(E4962*IF(E4962="",0,VLOOKUP(C4962,'📦 Precios Proforma'!$B$5:$D$104,IF(D4962="DIA",2,3),FALSE)),0))</f>
        <v/>
      </c>
      <c r="J4962" s="31" t="str">
        <f t="shared" si="540"/>
        <v/>
      </c>
      <c r="K4962" s="31" t="str">
        <f t="shared" si="541"/>
        <v/>
      </c>
      <c r="L4962" s="31" t="str">
        <f>IF(OR(B4962="",C4962=""),"",IFERROR(E4962 / SUMIFS('📅 Resumen Diario'!$D$5:$D$504, '📅 Resumen Diario'!$B$5:$B$504, B4962, '📅 Resumen Diario'!$C$5:$C$504, D4962) * SUMIFS('📅 Resumen Diario'!$K$5:$K$504, '📅 Resumen Diario'!$B$5:$B$504, B4962, '📅 Resumen Diario'!$C$5:$C$504, D4962), 0))</f>
        <v/>
      </c>
      <c r="M4962" s="31" t="str">
        <f t="shared" si="542"/>
        <v/>
      </c>
      <c r="N4962" s="31" t="str">
        <f t="shared" si="543"/>
        <v/>
      </c>
      <c r="O4962" s="31" t="str">
        <f>IF(OR(B4962="",C4962=""),"",K4962-N4962 + IFERROR(E4962 / SUMIFS('📅 Resumen Diario'!$D$5:$D$504, '📅 Resumen Diario'!$B$5:$B$504, B4962, '📅 Resumen Diario'!$C$5:$C$504, D4962) * (SUMIFS('📋 Detalle Diario'!$E$5:$E$489, '📋 Detalle Diario'!$B$5:$B$489, B4962, '📋 Detalle Diario'!$C$5:$C$489, D4962) * 135 + SUMIFS('📋 Detalle Diario'!$I$5:$I$489, '📋 Detalle Diario'!$B$5:$B$489, B4962, '📋 Detalle Diario'!$C$5:$C$489, D4962) * 200), 0))</f>
        <v/>
      </c>
      <c r="P4962" s="32" t="str">
        <f t="shared" si="544"/>
        <v/>
      </c>
      <c r="Q4962" s="33" t="str">
        <f t="shared" si="545"/>
        <v/>
      </c>
    </row>
    <row r="4963" spans="2:17" ht="18" customHeight="1" x14ac:dyDescent="0.3">
      <c r="B4963" s="26"/>
      <c r="C4963" s="28"/>
      <c r="D4963" s="27"/>
      <c r="E4963" s="29"/>
      <c r="F4963" s="29"/>
      <c r="G4963" s="29"/>
      <c r="H4963" s="30" t="str">
        <f t="shared" si="539"/>
        <v/>
      </c>
      <c r="I4963" s="31" t="str">
        <f>IF(OR(B4963="",C4963=""),"",IFERROR(E4963*IF(E4963="",0,VLOOKUP(C4963,'📦 Precios Proforma'!$B$5:$D$104,IF(D4963="DIA",2,3),FALSE)),0))</f>
        <v/>
      </c>
      <c r="J4963" s="31" t="str">
        <f t="shared" si="540"/>
        <v/>
      </c>
      <c r="K4963" s="31" t="str">
        <f t="shared" si="541"/>
        <v/>
      </c>
      <c r="L4963" s="31" t="str">
        <f>IF(OR(B4963="",C4963=""),"",IFERROR(E4963 / SUMIFS('📅 Resumen Diario'!$D$5:$D$504, '📅 Resumen Diario'!$B$5:$B$504, B4963, '📅 Resumen Diario'!$C$5:$C$504, D4963) * SUMIFS('📅 Resumen Diario'!$K$5:$K$504, '📅 Resumen Diario'!$B$5:$B$504, B4963, '📅 Resumen Diario'!$C$5:$C$504, D4963), 0))</f>
        <v/>
      </c>
      <c r="M4963" s="31" t="str">
        <f t="shared" si="542"/>
        <v/>
      </c>
      <c r="N4963" s="31" t="str">
        <f t="shared" si="543"/>
        <v/>
      </c>
      <c r="O4963" s="31" t="str">
        <f>IF(OR(B4963="",C4963=""),"",K4963-N4963 + IFERROR(E4963 / SUMIFS('📅 Resumen Diario'!$D$5:$D$504, '📅 Resumen Diario'!$B$5:$B$504, B4963, '📅 Resumen Diario'!$C$5:$C$504, D4963) * (SUMIFS('📋 Detalle Diario'!$E$5:$E$489, '📋 Detalle Diario'!$B$5:$B$489, B4963, '📋 Detalle Diario'!$C$5:$C$489, D4963) * 135 + SUMIFS('📋 Detalle Diario'!$I$5:$I$489, '📋 Detalle Diario'!$B$5:$B$489, B4963, '📋 Detalle Diario'!$C$5:$C$489, D4963) * 200), 0))</f>
        <v/>
      </c>
      <c r="P4963" s="32" t="str">
        <f t="shared" si="544"/>
        <v/>
      </c>
      <c r="Q4963" s="33" t="str">
        <f t="shared" si="545"/>
        <v/>
      </c>
    </row>
    <row r="4964" spans="2:17" ht="18" customHeight="1" x14ac:dyDescent="0.3">
      <c r="B4964" s="26"/>
      <c r="C4964" s="17"/>
      <c r="D4964" s="27"/>
      <c r="E4964" s="18"/>
      <c r="F4964" s="18"/>
      <c r="G4964" s="18"/>
      <c r="H4964" s="30" t="str">
        <f t="shared" si="539"/>
        <v/>
      </c>
      <c r="I4964" s="31" t="str">
        <f>IF(OR(B4964="",C4964=""),"",IFERROR(E4964*IF(E4964="",0,VLOOKUP(C4964,'📦 Precios Proforma'!$B$5:$D$104,IF(D4964="DIA",2,3),FALSE)),0))</f>
        <v/>
      </c>
      <c r="J4964" s="31" t="str">
        <f t="shared" si="540"/>
        <v/>
      </c>
      <c r="K4964" s="31" t="str">
        <f t="shared" si="541"/>
        <v/>
      </c>
      <c r="L4964" s="31" t="str">
        <f>IF(OR(B4964="",C4964=""),"",IFERROR(E4964 / SUMIFS('📅 Resumen Diario'!$D$5:$D$504, '📅 Resumen Diario'!$B$5:$B$504, B4964, '📅 Resumen Diario'!$C$5:$C$504, D4964) * SUMIFS('📅 Resumen Diario'!$K$5:$K$504, '📅 Resumen Diario'!$B$5:$B$504, B4964, '📅 Resumen Diario'!$C$5:$C$504, D4964), 0))</f>
        <v/>
      </c>
      <c r="M4964" s="31" t="str">
        <f t="shared" si="542"/>
        <v/>
      </c>
      <c r="N4964" s="31" t="str">
        <f t="shared" si="543"/>
        <v/>
      </c>
      <c r="O4964" s="31" t="str">
        <f>IF(OR(B4964="",C4964=""),"",K4964-N4964 + IFERROR(E4964 / SUMIFS('📅 Resumen Diario'!$D$5:$D$504, '📅 Resumen Diario'!$B$5:$B$504, B4964, '📅 Resumen Diario'!$C$5:$C$504, D4964) * (SUMIFS('📋 Detalle Diario'!$E$5:$E$489, '📋 Detalle Diario'!$B$5:$B$489, B4964, '📋 Detalle Diario'!$C$5:$C$489, D4964) * 135 + SUMIFS('📋 Detalle Diario'!$I$5:$I$489, '📋 Detalle Diario'!$B$5:$B$489, B4964, '📋 Detalle Diario'!$C$5:$C$489, D4964) * 200), 0))</f>
        <v/>
      </c>
      <c r="P4964" s="32" t="str">
        <f t="shared" si="544"/>
        <v/>
      </c>
      <c r="Q4964" s="33" t="str">
        <f t="shared" si="545"/>
        <v/>
      </c>
    </row>
    <row r="4965" spans="2:17" ht="18" customHeight="1" x14ac:dyDescent="0.3">
      <c r="B4965" s="26"/>
      <c r="C4965" s="28"/>
      <c r="D4965" s="27"/>
      <c r="E4965" s="29"/>
      <c r="F4965" s="29"/>
      <c r="G4965" s="29"/>
      <c r="H4965" s="30" t="str">
        <f t="shared" si="539"/>
        <v/>
      </c>
      <c r="I4965" s="31" t="str">
        <f>IF(OR(B4965="",C4965=""),"",IFERROR(E4965*IF(E4965="",0,VLOOKUP(C4965,'📦 Precios Proforma'!$B$5:$D$104,IF(D4965="DIA",2,3),FALSE)),0))</f>
        <v/>
      </c>
      <c r="J4965" s="31" t="str">
        <f t="shared" si="540"/>
        <v/>
      </c>
      <c r="K4965" s="31" t="str">
        <f t="shared" si="541"/>
        <v/>
      </c>
      <c r="L4965" s="31" t="str">
        <f>IF(OR(B4965="",C4965=""),"",IFERROR(E4965 / SUMIFS('📅 Resumen Diario'!$D$5:$D$504, '📅 Resumen Diario'!$B$5:$B$504, B4965, '📅 Resumen Diario'!$C$5:$C$504, D4965) * SUMIFS('📅 Resumen Diario'!$K$5:$K$504, '📅 Resumen Diario'!$B$5:$B$504, B4965, '📅 Resumen Diario'!$C$5:$C$504, D4965), 0))</f>
        <v/>
      </c>
      <c r="M4965" s="31" t="str">
        <f t="shared" si="542"/>
        <v/>
      </c>
      <c r="N4965" s="31" t="str">
        <f t="shared" si="543"/>
        <v/>
      </c>
      <c r="O4965" s="31" t="str">
        <f>IF(OR(B4965="",C4965=""),"",K4965-N4965 + IFERROR(E4965 / SUMIFS('📅 Resumen Diario'!$D$5:$D$504, '📅 Resumen Diario'!$B$5:$B$504, B4965, '📅 Resumen Diario'!$C$5:$C$504, D4965) * (SUMIFS('📋 Detalle Diario'!$E$5:$E$489, '📋 Detalle Diario'!$B$5:$B$489, B4965, '📋 Detalle Diario'!$C$5:$C$489, D4965) * 135 + SUMIFS('📋 Detalle Diario'!$I$5:$I$489, '📋 Detalle Diario'!$B$5:$B$489, B4965, '📋 Detalle Diario'!$C$5:$C$489, D4965) * 200), 0))</f>
        <v/>
      </c>
      <c r="P4965" s="32" t="str">
        <f t="shared" si="544"/>
        <v/>
      </c>
      <c r="Q4965" s="33" t="str">
        <f t="shared" si="545"/>
        <v/>
      </c>
    </row>
    <row r="4966" spans="2:17" ht="18" customHeight="1" x14ac:dyDescent="0.3">
      <c r="B4966" s="26"/>
      <c r="C4966" s="17"/>
      <c r="D4966" s="27"/>
      <c r="E4966" s="18"/>
      <c r="F4966" s="18"/>
      <c r="G4966" s="18"/>
      <c r="H4966" s="30" t="str">
        <f t="shared" si="539"/>
        <v/>
      </c>
      <c r="I4966" s="31" t="str">
        <f>IF(OR(B4966="",C4966=""),"",IFERROR(E4966*IF(E4966="",0,VLOOKUP(C4966,'📦 Precios Proforma'!$B$5:$D$104,IF(D4966="DIA",2,3),FALSE)),0))</f>
        <v/>
      </c>
      <c r="J4966" s="31" t="str">
        <f t="shared" si="540"/>
        <v/>
      </c>
      <c r="K4966" s="31" t="str">
        <f t="shared" si="541"/>
        <v/>
      </c>
      <c r="L4966" s="31" t="str">
        <f>IF(OR(B4966="",C4966=""),"",IFERROR(E4966 / SUMIFS('📅 Resumen Diario'!$D$5:$D$504, '📅 Resumen Diario'!$B$5:$B$504, B4966, '📅 Resumen Diario'!$C$5:$C$504, D4966) * SUMIFS('📅 Resumen Diario'!$K$5:$K$504, '📅 Resumen Diario'!$B$5:$B$504, B4966, '📅 Resumen Diario'!$C$5:$C$504, D4966), 0))</f>
        <v/>
      </c>
      <c r="M4966" s="31" t="str">
        <f t="shared" si="542"/>
        <v/>
      </c>
      <c r="N4966" s="31" t="str">
        <f t="shared" si="543"/>
        <v/>
      </c>
      <c r="O4966" s="31" t="str">
        <f>IF(OR(B4966="",C4966=""),"",K4966-N4966 + IFERROR(E4966 / SUMIFS('📅 Resumen Diario'!$D$5:$D$504, '📅 Resumen Diario'!$B$5:$B$504, B4966, '📅 Resumen Diario'!$C$5:$C$504, D4966) * (SUMIFS('📋 Detalle Diario'!$E$5:$E$489, '📋 Detalle Diario'!$B$5:$B$489, B4966, '📋 Detalle Diario'!$C$5:$C$489, D4966) * 135 + SUMIFS('📋 Detalle Diario'!$I$5:$I$489, '📋 Detalle Diario'!$B$5:$B$489, B4966, '📋 Detalle Diario'!$C$5:$C$489, D4966) * 200), 0))</f>
        <v/>
      </c>
      <c r="P4966" s="32" t="str">
        <f t="shared" si="544"/>
        <v/>
      </c>
      <c r="Q4966" s="33" t="str">
        <f t="shared" si="545"/>
        <v/>
      </c>
    </row>
    <row r="4967" spans="2:17" ht="18" customHeight="1" x14ac:dyDescent="0.3">
      <c r="B4967" s="26"/>
      <c r="C4967" s="28"/>
      <c r="D4967" s="27"/>
      <c r="E4967" s="29"/>
      <c r="F4967" s="29"/>
      <c r="G4967" s="29"/>
      <c r="H4967" s="30" t="str">
        <f t="shared" si="539"/>
        <v/>
      </c>
      <c r="I4967" s="31" t="str">
        <f>IF(OR(B4967="",C4967=""),"",IFERROR(E4967*IF(E4967="",0,VLOOKUP(C4967,'📦 Precios Proforma'!$B$5:$D$104,IF(D4967="DIA",2,3),FALSE)),0))</f>
        <v/>
      </c>
      <c r="J4967" s="31" t="str">
        <f t="shared" si="540"/>
        <v/>
      </c>
      <c r="K4967" s="31" t="str">
        <f t="shared" si="541"/>
        <v/>
      </c>
      <c r="L4967" s="31" t="str">
        <f>IF(OR(B4967="",C4967=""),"",IFERROR(E4967 / SUMIFS('📅 Resumen Diario'!$D$5:$D$504, '📅 Resumen Diario'!$B$5:$B$504, B4967, '📅 Resumen Diario'!$C$5:$C$504, D4967) * SUMIFS('📅 Resumen Diario'!$K$5:$K$504, '📅 Resumen Diario'!$B$5:$B$504, B4967, '📅 Resumen Diario'!$C$5:$C$504, D4967), 0))</f>
        <v/>
      </c>
      <c r="M4967" s="31" t="str">
        <f t="shared" si="542"/>
        <v/>
      </c>
      <c r="N4967" s="31" t="str">
        <f t="shared" si="543"/>
        <v/>
      </c>
      <c r="O4967" s="31" t="str">
        <f>IF(OR(B4967="",C4967=""),"",K4967-N4967 + IFERROR(E4967 / SUMIFS('📅 Resumen Diario'!$D$5:$D$504, '📅 Resumen Diario'!$B$5:$B$504, B4967, '📅 Resumen Diario'!$C$5:$C$504, D4967) * (SUMIFS('📋 Detalle Diario'!$E$5:$E$489, '📋 Detalle Diario'!$B$5:$B$489, B4967, '📋 Detalle Diario'!$C$5:$C$489, D4967) * 135 + SUMIFS('📋 Detalle Diario'!$I$5:$I$489, '📋 Detalle Diario'!$B$5:$B$489, B4967, '📋 Detalle Diario'!$C$5:$C$489, D4967) * 200), 0))</f>
        <v/>
      </c>
      <c r="P4967" s="32" t="str">
        <f t="shared" si="544"/>
        <v/>
      </c>
      <c r="Q4967" s="33" t="str">
        <f t="shared" si="545"/>
        <v/>
      </c>
    </row>
    <row r="4968" spans="2:17" ht="18" customHeight="1" x14ac:dyDescent="0.3">
      <c r="B4968" s="26"/>
      <c r="C4968" s="17"/>
      <c r="D4968" s="27"/>
      <c r="E4968" s="18"/>
      <c r="F4968" s="18"/>
      <c r="G4968" s="18"/>
      <c r="H4968" s="30" t="str">
        <f t="shared" si="539"/>
        <v/>
      </c>
      <c r="I4968" s="31" t="str">
        <f>IF(OR(B4968="",C4968=""),"",IFERROR(E4968*IF(E4968="",0,VLOOKUP(C4968,'📦 Precios Proforma'!$B$5:$D$104,IF(D4968="DIA",2,3),FALSE)),0))</f>
        <v/>
      </c>
      <c r="J4968" s="31" t="str">
        <f t="shared" si="540"/>
        <v/>
      </c>
      <c r="K4968" s="31" t="str">
        <f t="shared" si="541"/>
        <v/>
      </c>
      <c r="L4968" s="31" t="str">
        <f>IF(OR(B4968="",C4968=""),"",IFERROR(E4968 / SUMIFS('📅 Resumen Diario'!$D$5:$D$504, '📅 Resumen Diario'!$B$5:$B$504, B4968, '📅 Resumen Diario'!$C$5:$C$504, D4968) * SUMIFS('📅 Resumen Diario'!$K$5:$K$504, '📅 Resumen Diario'!$B$5:$B$504, B4968, '📅 Resumen Diario'!$C$5:$C$504, D4968), 0))</f>
        <v/>
      </c>
      <c r="M4968" s="31" t="str">
        <f t="shared" si="542"/>
        <v/>
      </c>
      <c r="N4968" s="31" t="str">
        <f t="shared" si="543"/>
        <v/>
      </c>
      <c r="O4968" s="31" t="str">
        <f>IF(OR(B4968="",C4968=""),"",K4968-N4968 + IFERROR(E4968 / SUMIFS('📅 Resumen Diario'!$D$5:$D$504, '📅 Resumen Diario'!$B$5:$B$504, B4968, '📅 Resumen Diario'!$C$5:$C$504, D4968) * (SUMIFS('📋 Detalle Diario'!$E$5:$E$489, '📋 Detalle Diario'!$B$5:$B$489, B4968, '📋 Detalle Diario'!$C$5:$C$489, D4968) * 135 + SUMIFS('📋 Detalle Diario'!$I$5:$I$489, '📋 Detalle Diario'!$B$5:$B$489, B4968, '📋 Detalle Diario'!$C$5:$C$489, D4968) * 200), 0))</f>
        <v/>
      </c>
      <c r="P4968" s="32" t="str">
        <f t="shared" si="544"/>
        <v/>
      </c>
      <c r="Q4968" s="33" t="str">
        <f t="shared" si="545"/>
        <v/>
      </c>
    </row>
    <row r="4969" spans="2:17" ht="18" customHeight="1" x14ac:dyDescent="0.3">
      <c r="B4969" s="26"/>
      <c r="C4969" s="28"/>
      <c r="D4969" s="27"/>
      <c r="E4969" s="29"/>
      <c r="F4969" s="29"/>
      <c r="G4969" s="29"/>
      <c r="H4969" s="30" t="str">
        <f t="shared" si="539"/>
        <v/>
      </c>
      <c r="I4969" s="31" t="str">
        <f>IF(OR(B4969="",C4969=""),"",IFERROR(E4969*IF(E4969="",0,VLOOKUP(C4969,'📦 Precios Proforma'!$B$5:$D$104,IF(D4969="DIA",2,3),FALSE)),0))</f>
        <v/>
      </c>
      <c r="J4969" s="31" t="str">
        <f t="shared" si="540"/>
        <v/>
      </c>
      <c r="K4969" s="31" t="str">
        <f t="shared" si="541"/>
        <v/>
      </c>
      <c r="L4969" s="31" t="str">
        <f>IF(OR(B4969="",C4969=""),"",IFERROR(E4969 / SUMIFS('📅 Resumen Diario'!$D$5:$D$504, '📅 Resumen Diario'!$B$5:$B$504, B4969, '📅 Resumen Diario'!$C$5:$C$504, D4969) * SUMIFS('📅 Resumen Diario'!$K$5:$K$504, '📅 Resumen Diario'!$B$5:$B$504, B4969, '📅 Resumen Diario'!$C$5:$C$504, D4969), 0))</f>
        <v/>
      </c>
      <c r="M4969" s="31" t="str">
        <f t="shared" si="542"/>
        <v/>
      </c>
      <c r="N4969" s="31" t="str">
        <f t="shared" si="543"/>
        <v/>
      </c>
      <c r="O4969" s="31" t="str">
        <f>IF(OR(B4969="",C4969=""),"",K4969-N4969 + IFERROR(E4969 / SUMIFS('📅 Resumen Diario'!$D$5:$D$504, '📅 Resumen Diario'!$B$5:$B$504, B4969, '📅 Resumen Diario'!$C$5:$C$504, D4969) * (SUMIFS('📋 Detalle Diario'!$E$5:$E$489, '📋 Detalle Diario'!$B$5:$B$489, B4969, '📋 Detalle Diario'!$C$5:$C$489, D4969) * 135 + SUMIFS('📋 Detalle Diario'!$I$5:$I$489, '📋 Detalle Diario'!$B$5:$B$489, B4969, '📋 Detalle Diario'!$C$5:$C$489, D4969) * 200), 0))</f>
        <v/>
      </c>
      <c r="P4969" s="32" t="str">
        <f t="shared" si="544"/>
        <v/>
      </c>
      <c r="Q4969" s="33" t="str">
        <f t="shared" si="545"/>
        <v/>
      </c>
    </row>
    <row r="4970" spans="2:17" ht="18" customHeight="1" x14ac:dyDescent="0.3">
      <c r="B4970" s="26"/>
      <c r="C4970" s="17"/>
      <c r="D4970" s="27"/>
      <c r="E4970" s="18"/>
      <c r="F4970" s="18"/>
      <c r="G4970" s="18"/>
      <c r="H4970" s="30" t="str">
        <f t="shared" si="539"/>
        <v/>
      </c>
      <c r="I4970" s="31" t="str">
        <f>IF(OR(B4970="",C4970=""),"",IFERROR(E4970*IF(E4970="",0,VLOOKUP(C4970,'📦 Precios Proforma'!$B$5:$D$104,IF(D4970="DIA",2,3),FALSE)),0))</f>
        <v/>
      </c>
      <c r="J4970" s="31" t="str">
        <f t="shared" si="540"/>
        <v/>
      </c>
      <c r="K4970" s="31" t="str">
        <f t="shared" si="541"/>
        <v/>
      </c>
      <c r="L4970" s="31" t="str">
        <f>IF(OR(B4970="",C4970=""),"",IFERROR(E4970 / SUMIFS('📅 Resumen Diario'!$D$5:$D$504, '📅 Resumen Diario'!$B$5:$B$504, B4970, '📅 Resumen Diario'!$C$5:$C$504, D4970) * SUMIFS('📅 Resumen Diario'!$K$5:$K$504, '📅 Resumen Diario'!$B$5:$B$504, B4970, '📅 Resumen Diario'!$C$5:$C$504, D4970), 0))</f>
        <v/>
      </c>
      <c r="M4970" s="31" t="str">
        <f t="shared" si="542"/>
        <v/>
      </c>
      <c r="N4970" s="31" t="str">
        <f t="shared" si="543"/>
        <v/>
      </c>
      <c r="O4970" s="31" t="str">
        <f>IF(OR(B4970="",C4970=""),"",K4970-N4970 + IFERROR(E4970 / SUMIFS('📅 Resumen Diario'!$D$5:$D$504, '📅 Resumen Diario'!$B$5:$B$504, B4970, '📅 Resumen Diario'!$C$5:$C$504, D4970) * (SUMIFS('📋 Detalle Diario'!$E$5:$E$489, '📋 Detalle Diario'!$B$5:$B$489, B4970, '📋 Detalle Diario'!$C$5:$C$489, D4970) * 135 + SUMIFS('📋 Detalle Diario'!$I$5:$I$489, '📋 Detalle Diario'!$B$5:$B$489, B4970, '📋 Detalle Diario'!$C$5:$C$489, D4970) * 200), 0))</f>
        <v/>
      </c>
      <c r="P4970" s="32" t="str">
        <f t="shared" si="544"/>
        <v/>
      </c>
      <c r="Q4970" s="33" t="str">
        <f t="shared" si="545"/>
        <v/>
      </c>
    </row>
    <row r="4971" spans="2:17" ht="18" customHeight="1" x14ac:dyDescent="0.3">
      <c r="B4971" s="26"/>
      <c r="C4971" s="28"/>
      <c r="D4971" s="27"/>
      <c r="E4971" s="29"/>
      <c r="F4971" s="29"/>
      <c r="G4971" s="29"/>
      <c r="H4971" s="30" t="str">
        <f t="shared" si="539"/>
        <v/>
      </c>
      <c r="I4971" s="31" t="str">
        <f>IF(OR(B4971="",C4971=""),"",IFERROR(E4971*IF(E4971="",0,VLOOKUP(C4971,'📦 Precios Proforma'!$B$5:$D$104,IF(D4971="DIA",2,3),FALSE)),0))</f>
        <v/>
      </c>
      <c r="J4971" s="31" t="str">
        <f t="shared" si="540"/>
        <v/>
      </c>
      <c r="K4971" s="31" t="str">
        <f t="shared" si="541"/>
        <v/>
      </c>
      <c r="L4971" s="31" t="str">
        <f>IF(OR(B4971="",C4971=""),"",IFERROR(E4971 / SUMIFS('📅 Resumen Diario'!$D$5:$D$504, '📅 Resumen Diario'!$B$5:$B$504, B4971, '📅 Resumen Diario'!$C$5:$C$504, D4971) * SUMIFS('📅 Resumen Diario'!$K$5:$K$504, '📅 Resumen Diario'!$B$5:$B$504, B4971, '📅 Resumen Diario'!$C$5:$C$504, D4971), 0))</f>
        <v/>
      </c>
      <c r="M4971" s="31" t="str">
        <f t="shared" si="542"/>
        <v/>
      </c>
      <c r="N4971" s="31" t="str">
        <f t="shared" si="543"/>
        <v/>
      </c>
      <c r="O4971" s="31" t="str">
        <f>IF(OR(B4971="",C4971=""),"",K4971-N4971 + IFERROR(E4971 / SUMIFS('📅 Resumen Diario'!$D$5:$D$504, '📅 Resumen Diario'!$B$5:$B$504, B4971, '📅 Resumen Diario'!$C$5:$C$504, D4971) * (SUMIFS('📋 Detalle Diario'!$E$5:$E$489, '📋 Detalle Diario'!$B$5:$B$489, B4971, '📋 Detalle Diario'!$C$5:$C$489, D4971) * 135 + SUMIFS('📋 Detalle Diario'!$I$5:$I$489, '📋 Detalle Diario'!$B$5:$B$489, B4971, '📋 Detalle Diario'!$C$5:$C$489, D4971) * 200), 0))</f>
        <v/>
      </c>
      <c r="P4971" s="32" t="str">
        <f t="shared" si="544"/>
        <v/>
      </c>
      <c r="Q4971" s="33" t="str">
        <f t="shared" si="545"/>
        <v/>
      </c>
    </row>
    <row r="4972" spans="2:17" ht="18" customHeight="1" x14ac:dyDescent="0.3">
      <c r="B4972" s="26"/>
      <c r="C4972" s="17"/>
      <c r="D4972" s="27"/>
      <c r="E4972" s="18"/>
      <c r="F4972" s="18"/>
      <c r="G4972" s="18"/>
      <c r="H4972" s="30" t="str">
        <f t="shared" si="539"/>
        <v/>
      </c>
      <c r="I4972" s="31" t="str">
        <f>IF(OR(B4972="",C4972=""),"",IFERROR(E4972*IF(E4972="",0,VLOOKUP(C4972,'📦 Precios Proforma'!$B$5:$D$104,IF(D4972="DIA",2,3),FALSE)),0))</f>
        <v/>
      </c>
      <c r="J4972" s="31" t="str">
        <f t="shared" si="540"/>
        <v/>
      </c>
      <c r="K4972" s="31" t="str">
        <f t="shared" si="541"/>
        <v/>
      </c>
      <c r="L4972" s="31" t="str">
        <f>IF(OR(B4972="",C4972=""),"",IFERROR(E4972 / SUMIFS('📅 Resumen Diario'!$D$5:$D$504, '📅 Resumen Diario'!$B$5:$B$504, B4972, '📅 Resumen Diario'!$C$5:$C$504, D4972) * SUMIFS('📅 Resumen Diario'!$K$5:$K$504, '📅 Resumen Diario'!$B$5:$B$504, B4972, '📅 Resumen Diario'!$C$5:$C$504, D4972), 0))</f>
        <v/>
      </c>
      <c r="M4972" s="31" t="str">
        <f t="shared" si="542"/>
        <v/>
      </c>
      <c r="N4972" s="31" t="str">
        <f t="shared" si="543"/>
        <v/>
      </c>
      <c r="O4972" s="31" t="str">
        <f>IF(OR(B4972="",C4972=""),"",K4972-N4972 + IFERROR(E4972 / SUMIFS('📅 Resumen Diario'!$D$5:$D$504, '📅 Resumen Diario'!$B$5:$B$504, B4972, '📅 Resumen Diario'!$C$5:$C$504, D4972) * (SUMIFS('📋 Detalle Diario'!$E$5:$E$489, '📋 Detalle Diario'!$B$5:$B$489, B4972, '📋 Detalle Diario'!$C$5:$C$489, D4972) * 135 + SUMIFS('📋 Detalle Diario'!$I$5:$I$489, '📋 Detalle Diario'!$B$5:$B$489, B4972, '📋 Detalle Diario'!$C$5:$C$489, D4972) * 200), 0))</f>
        <v/>
      </c>
      <c r="P4972" s="32" t="str">
        <f t="shared" si="544"/>
        <v/>
      </c>
      <c r="Q4972" s="33" t="str">
        <f t="shared" si="545"/>
        <v/>
      </c>
    </row>
    <row r="4973" spans="2:17" ht="18" customHeight="1" x14ac:dyDescent="0.3">
      <c r="B4973" s="26"/>
      <c r="C4973" s="28"/>
      <c r="D4973" s="27"/>
      <c r="E4973" s="29"/>
      <c r="F4973" s="29"/>
      <c r="G4973" s="29"/>
      <c r="H4973" s="30" t="str">
        <f t="shared" si="539"/>
        <v/>
      </c>
      <c r="I4973" s="31" t="str">
        <f>IF(OR(B4973="",C4973=""),"",IFERROR(E4973*IF(E4973="",0,VLOOKUP(C4973,'📦 Precios Proforma'!$B$5:$D$104,IF(D4973="DIA",2,3),FALSE)),0))</f>
        <v/>
      </c>
      <c r="J4973" s="31" t="str">
        <f t="shared" si="540"/>
        <v/>
      </c>
      <c r="K4973" s="31" t="str">
        <f t="shared" si="541"/>
        <v/>
      </c>
      <c r="L4973" s="31" t="str">
        <f>IF(OR(B4973="",C4973=""),"",IFERROR(E4973 / SUMIFS('📅 Resumen Diario'!$D$5:$D$504, '📅 Resumen Diario'!$B$5:$B$504, B4973, '📅 Resumen Diario'!$C$5:$C$504, D4973) * SUMIFS('📅 Resumen Diario'!$K$5:$K$504, '📅 Resumen Diario'!$B$5:$B$504, B4973, '📅 Resumen Diario'!$C$5:$C$504, D4973), 0))</f>
        <v/>
      </c>
      <c r="M4973" s="31" t="str">
        <f t="shared" si="542"/>
        <v/>
      </c>
      <c r="N4973" s="31" t="str">
        <f t="shared" si="543"/>
        <v/>
      </c>
      <c r="O4973" s="31" t="str">
        <f>IF(OR(B4973="",C4973=""),"",K4973-N4973 + IFERROR(E4973 / SUMIFS('📅 Resumen Diario'!$D$5:$D$504, '📅 Resumen Diario'!$B$5:$B$504, B4973, '📅 Resumen Diario'!$C$5:$C$504, D4973) * (SUMIFS('📋 Detalle Diario'!$E$5:$E$489, '📋 Detalle Diario'!$B$5:$B$489, B4973, '📋 Detalle Diario'!$C$5:$C$489, D4973) * 135 + SUMIFS('📋 Detalle Diario'!$I$5:$I$489, '📋 Detalle Diario'!$B$5:$B$489, B4973, '📋 Detalle Diario'!$C$5:$C$489, D4973) * 200), 0))</f>
        <v/>
      </c>
      <c r="P4973" s="32" t="str">
        <f t="shared" si="544"/>
        <v/>
      </c>
      <c r="Q4973" s="33" t="str">
        <f t="shared" si="545"/>
        <v/>
      </c>
    </row>
    <row r="4974" spans="2:17" ht="18" customHeight="1" x14ac:dyDescent="0.3">
      <c r="B4974" s="26"/>
      <c r="C4974" s="17"/>
      <c r="D4974" s="27"/>
      <c r="E4974" s="18"/>
      <c r="F4974" s="18"/>
      <c r="G4974" s="18"/>
      <c r="H4974" s="30" t="str">
        <f t="shared" si="539"/>
        <v/>
      </c>
      <c r="I4974" s="31" t="str">
        <f>IF(OR(B4974="",C4974=""),"",IFERROR(E4974*IF(E4974="",0,VLOOKUP(C4974,'📦 Precios Proforma'!$B$5:$D$104,IF(D4974="DIA",2,3),FALSE)),0))</f>
        <v/>
      </c>
      <c r="J4974" s="31" t="str">
        <f t="shared" si="540"/>
        <v/>
      </c>
      <c r="K4974" s="31" t="str">
        <f t="shared" si="541"/>
        <v/>
      </c>
      <c r="L4974" s="31" t="str">
        <f>IF(OR(B4974="",C4974=""),"",IFERROR(E4974 / SUMIFS('📅 Resumen Diario'!$D$5:$D$504, '📅 Resumen Diario'!$B$5:$B$504, B4974, '📅 Resumen Diario'!$C$5:$C$504, D4974) * SUMIFS('📅 Resumen Diario'!$K$5:$K$504, '📅 Resumen Diario'!$B$5:$B$504, B4974, '📅 Resumen Diario'!$C$5:$C$504, D4974), 0))</f>
        <v/>
      </c>
      <c r="M4974" s="31" t="str">
        <f t="shared" si="542"/>
        <v/>
      </c>
      <c r="N4974" s="31" t="str">
        <f t="shared" si="543"/>
        <v/>
      </c>
      <c r="O4974" s="31" t="str">
        <f>IF(OR(B4974="",C4974=""),"",K4974-N4974 + IFERROR(E4974 / SUMIFS('📅 Resumen Diario'!$D$5:$D$504, '📅 Resumen Diario'!$B$5:$B$504, B4974, '📅 Resumen Diario'!$C$5:$C$504, D4974) * (SUMIFS('📋 Detalle Diario'!$E$5:$E$489, '📋 Detalle Diario'!$B$5:$B$489, B4974, '📋 Detalle Diario'!$C$5:$C$489, D4974) * 135 + SUMIFS('📋 Detalle Diario'!$I$5:$I$489, '📋 Detalle Diario'!$B$5:$B$489, B4974, '📋 Detalle Diario'!$C$5:$C$489, D4974) * 200), 0))</f>
        <v/>
      </c>
      <c r="P4974" s="32" t="str">
        <f t="shared" si="544"/>
        <v/>
      </c>
      <c r="Q4974" s="33" t="str">
        <f t="shared" si="545"/>
        <v/>
      </c>
    </row>
    <row r="4975" spans="2:17" ht="18" customHeight="1" x14ac:dyDescent="0.3">
      <c r="B4975" s="26"/>
      <c r="C4975" s="28"/>
      <c r="D4975" s="27"/>
      <c r="E4975" s="29"/>
      <c r="F4975" s="29"/>
      <c r="G4975" s="29"/>
      <c r="H4975" s="30" t="str">
        <f t="shared" si="539"/>
        <v/>
      </c>
      <c r="I4975" s="31" t="str">
        <f>IF(OR(B4975="",C4975=""),"",IFERROR(E4975*IF(E4975="",0,VLOOKUP(C4975,'📦 Precios Proforma'!$B$5:$D$104,IF(D4975="DIA",2,3),FALSE)),0))</f>
        <v/>
      </c>
      <c r="J4975" s="31" t="str">
        <f t="shared" si="540"/>
        <v/>
      </c>
      <c r="K4975" s="31" t="str">
        <f t="shared" si="541"/>
        <v/>
      </c>
      <c r="L4975" s="31" t="str">
        <f>IF(OR(B4975="",C4975=""),"",IFERROR(E4975 / SUMIFS('📅 Resumen Diario'!$D$5:$D$504, '📅 Resumen Diario'!$B$5:$B$504, B4975, '📅 Resumen Diario'!$C$5:$C$504, D4975) * SUMIFS('📅 Resumen Diario'!$K$5:$K$504, '📅 Resumen Diario'!$B$5:$B$504, B4975, '📅 Resumen Diario'!$C$5:$C$504, D4975), 0))</f>
        <v/>
      </c>
      <c r="M4975" s="31" t="str">
        <f t="shared" si="542"/>
        <v/>
      </c>
      <c r="N4975" s="31" t="str">
        <f t="shared" si="543"/>
        <v/>
      </c>
      <c r="O4975" s="31" t="str">
        <f>IF(OR(B4975="",C4975=""),"",K4975-N4975 + IFERROR(E4975 / SUMIFS('📅 Resumen Diario'!$D$5:$D$504, '📅 Resumen Diario'!$B$5:$B$504, B4975, '📅 Resumen Diario'!$C$5:$C$504, D4975) * (SUMIFS('📋 Detalle Diario'!$E$5:$E$489, '📋 Detalle Diario'!$B$5:$B$489, B4975, '📋 Detalle Diario'!$C$5:$C$489, D4975) * 135 + SUMIFS('📋 Detalle Diario'!$I$5:$I$489, '📋 Detalle Diario'!$B$5:$B$489, B4975, '📋 Detalle Diario'!$C$5:$C$489, D4975) * 200), 0))</f>
        <v/>
      </c>
      <c r="P4975" s="32" t="str">
        <f t="shared" si="544"/>
        <v/>
      </c>
      <c r="Q4975" s="33" t="str">
        <f t="shared" si="545"/>
        <v/>
      </c>
    </row>
    <row r="4976" spans="2:17" ht="18" customHeight="1" x14ac:dyDescent="0.3">
      <c r="B4976" s="26"/>
      <c r="C4976" s="17"/>
      <c r="D4976" s="27"/>
      <c r="E4976" s="18"/>
      <c r="F4976" s="18"/>
      <c r="G4976" s="18"/>
      <c r="H4976" s="30" t="str">
        <f t="shared" si="539"/>
        <v/>
      </c>
      <c r="I4976" s="31" t="str">
        <f>IF(OR(B4976="",C4976=""),"",IFERROR(E4976*IF(E4976="",0,VLOOKUP(C4976,'📦 Precios Proforma'!$B$5:$D$104,IF(D4976="DIA",2,3),FALSE)),0))</f>
        <v/>
      </c>
      <c r="J4976" s="31" t="str">
        <f t="shared" si="540"/>
        <v/>
      </c>
      <c r="K4976" s="31" t="str">
        <f t="shared" si="541"/>
        <v/>
      </c>
      <c r="L4976" s="31" t="str">
        <f>IF(OR(B4976="",C4976=""),"",IFERROR(E4976 / SUMIFS('📅 Resumen Diario'!$D$5:$D$504, '📅 Resumen Diario'!$B$5:$B$504, B4976, '📅 Resumen Diario'!$C$5:$C$504, D4976) * SUMIFS('📅 Resumen Diario'!$K$5:$K$504, '📅 Resumen Diario'!$B$5:$B$504, B4976, '📅 Resumen Diario'!$C$5:$C$504, D4976), 0))</f>
        <v/>
      </c>
      <c r="M4976" s="31" t="str">
        <f t="shared" si="542"/>
        <v/>
      </c>
      <c r="N4976" s="31" t="str">
        <f t="shared" si="543"/>
        <v/>
      </c>
      <c r="O4976" s="31" t="str">
        <f>IF(OR(B4976="",C4976=""),"",K4976-N4976 + IFERROR(E4976 / SUMIFS('📅 Resumen Diario'!$D$5:$D$504, '📅 Resumen Diario'!$B$5:$B$504, B4976, '📅 Resumen Diario'!$C$5:$C$504, D4976) * (SUMIFS('📋 Detalle Diario'!$E$5:$E$489, '📋 Detalle Diario'!$B$5:$B$489, B4976, '📋 Detalle Diario'!$C$5:$C$489, D4976) * 135 + SUMIFS('📋 Detalle Diario'!$I$5:$I$489, '📋 Detalle Diario'!$B$5:$B$489, B4976, '📋 Detalle Diario'!$C$5:$C$489, D4976) * 200), 0))</f>
        <v/>
      </c>
      <c r="P4976" s="32" t="str">
        <f t="shared" si="544"/>
        <v/>
      </c>
      <c r="Q4976" s="33" t="str">
        <f t="shared" si="545"/>
        <v/>
      </c>
    </row>
    <row r="4977" spans="2:17" ht="18" customHeight="1" x14ac:dyDescent="0.3">
      <c r="B4977" s="26"/>
      <c r="C4977" s="28"/>
      <c r="D4977" s="27"/>
      <c r="E4977" s="29"/>
      <c r="F4977" s="29"/>
      <c r="G4977" s="29"/>
      <c r="H4977" s="30" t="str">
        <f t="shared" si="539"/>
        <v/>
      </c>
      <c r="I4977" s="31" t="str">
        <f>IF(OR(B4977="",C4977=""),"",IFERROR(E4977*IF(E4977="",0,VLOOKUP(C4977,'📦 Precios Proforma'!$B$5:$D$104,IF(D4977="DIA",2,3),FALSE)),0))</f>
        <v/>
      </c>
      <c r="J4977" s="31" t="str">
        <f t="shared" si="540"/>
        <v/>
      </c>
      <c r="K4977" s="31" t="str">
        <f t="shared" si="541"/>
        <v/>
      </c>
      <c r="L4977" s="31" t="str">
        <f>IF(OR(B4977="",C4977=""),"",IFERROR(E4977 / SUMIFS('📅 Resumen Diario'!$D$5:$D$504, '📅 Resumen Diario'!$B$5:$B$504, B4977, '📅 Resumen Diario'!$C$5:$C$504, D4977) * SUMIFS('📅 Resumen Diario'!$K$5:$K$504, '📅 Resumen Diario'!$B$5:$B$504, B4977, '📅 Resumen Diario'!$C$5:$C$504, D4977), 0))</f>
        <v/>
      </c>
      <c r="M4977" s="31" t="str">
        <f t="shared" si="542"/>
        <v/>
      </c>
      <c r="N4977" s="31" t="str">
        <f t="shared" si="543"/>
        <v/>
      </c>
      <c r="O4977" s="31" t="str">
        <f>IF(OR(B4977="",C4977=""),"",K4977-N4977 + IFERROR(E4977 / SUMIFS('📅 Resumen Diario'!$D$5:$D$504, '📅 Resumen Diario'!$B$5:$B$504, B4977, '📅 Resumen Diario'!$C$5:$C$504, D4977) * (SUMIFS('📋 Detalle Diario'!$E$5:$E$489, '📋 Detalle Diario'!$B$5:$B$489, B4977, '📋 Detalle Diario'!$C$5:$C$489, D4977) * 135 + SUMIFS('📋 Detalle Diario'!$I$5:$I$489, '📋 Detalle Diario'!$B$5:$B$489, B4977, '📋 Detalle Diario'!$C$5:$C$489, D4977) * 200), 0))</f>
        <v/>
      </c>
      <c r="P4977" s="32" t="str">
        <f t="shared" si="544"/>
        <v/>
      </c>
      <c r="Q4977" s="33" t="str">
        <f t="shared" si="545"/>
        <v/>
      </c>
    </row>
    <row r="4978" spans="2:17" ht="18" customHeight="1" x14ac:dyDescent="0.3">
      <c r="B4978" s="26"/>
      <c r="C4978" s="17"/>
      <c r="D4978" s="27"/>
      <c r="E4978" s="18"/>
      <c r="F4978" s="18"/>
      <c r="G4978" s="18"/>
      <c r="H4978" s="30" t="str">
        <f t="shared" si="539"/>
        <v/>
      </c>
      <c r="I4978" s="31" t="str">
        <f>IF(OR(B4978="",C4978=""),"",IFERROR(E4978*IF(E4978="",0,VLOOKUP(C4978,'📦 Precios Proforma'!$B$5:$D$104,IF(D4978="DIA",2,3),FALSE)),0))</f>
        <v/>
      </c>
      <c r="J4978" s="31" t="str">
        <f t="shared" si="540"/>
        <v/>
      </c>
      <c r="K4978" s="31" t="str">
        <f t="shared" si="541"/>
        <v/>
      </c>
      <c r="L4978" s="31" t="str">
        <f>IF(OR(B4978="",C4978=""),"",IFERROR(E4978 / SUMIFS('📅 Resumen Diario'!$D$5:$D$504, '📅 Resumen Diario'!$B$5:$B$504, B4978, '📅 Resumen Diario'!$C$5:$C$504, D4978) * SUMIFS('📅 Resumen Diario'!$K$5:$K$504, '📅 Resumen Diario'!$B$5:$B$504, B4978, '📅 Resumen Diario'!$C$5:$C$504, D4978), 0))</f>
        <v/>
      </c>
      <c r="M4978" s="31" t="str">
        <f t="shared" si="542"/>
        <v/>
      </c>
      <c r="N4978" s="31" t="str">
        <f t="shared" si="543"/>
        <v/>
      </c>
      <c r="O4978" s="31" t="str">
        <f>IF(OR(B4978="",C4978=""),"",K4978-N4978 + IFERROR(E4978 / SUMIFS('📅 Resumen Diario'!$D$5:$D$504, '📅 Resumen Diario'!$B$5:$B$504, B4978, '📅 Resumen Diario'!$C$5:$C$504, D4978) * (SUMIFS('📋 Detalle Diario'!$E$5:$E$489, '📋 Detalle Diario'!$B$5:$B$489, B4978, '📋 Detalle Diario'!$C$5:$C$489, D4978) * 135 + SUMIFS('📋 Detalle Diario'!$I$5:$I$489, '📋 Detalle Diario'!$B$5:$B$489, B4978, '📋 Detalle Diario'!$C$5:$C$489, D4978) * 200), 0))</f>
        <v/>
      </c>
      <c r="P4978" s="32" t="str">
        <f t="shared" si="544"/>
        <v/>
      </c>
      <c r="Q4978" s="33" t="str">
        <f t="shared" si="545"/>
        <v/>
      </c>
    </row>
    <row r="4979" spans="2:17" ht="18" customHeight="1" x14ac:dyDescent="0.3">
      <c r="B4979" s="26"/>
      <c r="C4979" s="28"/>
      <c r="D4979" s="27"/>
      <c r="E4979" s="29"/>
      <c r="F4979" s="29"/>
      <c r="G4979" s="29"/>
      <c r="H4979" s="30" t="str">
        <f t="shared" si="539"/>
        <v/>
      </c>
      <c r="I4979" s="31" t="str">
        <f>IF(OR(B4979="",C4979=""),"",IFERROR(E4979*IF(E4979="",0,VLOOKUP(C4979,'📦 Precios Proforma'!$B$5:$D$104,IF(D4979="DIA",2,3),FALSE)),0))</f>
        <v/>
      </c>
      <c r="J4979" s="31" t="str">
        <f t="shared" si="540"/>
        <v/>
      </c>
      <c r="K4979" s="31" t="str">
        <f t="shared" si="541"/>
        <v/>
      </c>
      <c r="L4979" s="31" t="str">
        <f>IF(OR(B4979="",C4979=""),"",IFERROR(E4979 / SUMIFS('📅 Resumen Diario'!$D$5:$D$504, '📅 Resumen Diario'!$B$5:$B$504, B4979, '📅 Resumen Diario'!$C$5:$C$504, D4979) * SUMIFS('📅 Resumen Diario'!$K$5:$K$504, '📅 Resumen Diario'!$B$5:$B$504, B4979, '📅 Resumen Diario'!$C$5:$C$504, D4979), 0))</f>
        <v/>
      </c>
      <c r="M4979" s="31" t="str">
        <f t="shared" si="542"/>
        <v/>
      </c>
      <c r="N4979" s="31" t="str">
        <f t="shared" si="543"/>
        <v/>
      </c>
      <c r="O4979" s="31" t="str">
        <f>IF(OR(B4979="",C4979=""),"",K4979-N4979 + IFERROR(E4979 / SUMIFS('📅 Resumen Diario'!$D$5:$D$504, '📅 Resumen Diario'!$B$5:$B$504, B4979, '📅 Resumen Diario'!$C$5:$C$504, D4979) * (SUMIFS('📋 Detalle Diario'!$E$5:$E$489, '📋 Detalle Diario'!$B$5:$B$489, B4979, '📋 Detalle Diario'!$C$5:$C$489, D4979) * 135 + SUMIFS('📋 Detalle Diario'!$I$5:$I$489, '📋 Detalle Diario'!$B$5:$B$489, B4979, '📋 Detalle Diario'!$C$5:$C$489, D4979) * 200), 0))</f>
        <v/>
      </c>
      <c r="P4979" s="32" t="str">
        <f t="shared" si="544"/>
        <v/>
      </c>
      <c r="Q4979" s="33" t="str">
        <f t="shared" si="545"/>
        <v/>
      </c>
    </row>
    <row r="4980" spans="2:17" ht="18" customHeight="1" x14ac:dyDescent="0.3">
      <c r="B4980" s="26"/>
      <c r="C4980" s="17"/>
      <c r="D4980" s="27"/>
      <c r="E4980" s="18"/>
      <c r="F4980" s="18"/>
      <c r="G4980" s="18"/>
      <c r="H4980" s="30" t="str">
        <f t="shared" si="539"/>
        <v/>
      </c>
      <c r="I4980" s="31" t="str">
        <f>IF(OR(B4980="",C4980=""),"",IFERROR(E4980*IF(E4980="",0,VLOOKUP(C4980,'📦 Precios Proforma'!$B$5:$D$104,IF(D4980="DIA",2,3),FALSE)),0))</f>
        <v/>
      </c>
      <c r="J4980" s="31" t="str">
        <f t="shared" si="540"/>
        <v/>
      </c>
      <c r="K4980" s="31" t="str">
        <f t="shared" si="541"/>
        <v/>
      </c>
      <c r="L4980" s="31" t="str">
        <f>IF(OR(B4980="",C4980=""),"",IFERROR(E4980 / SUMIFS('📅 Resumen Diario'!$D$5:$D$504, '📅 Resumen Diario'!$B$5:$B$504, B4980, '📅 Resumen Diario'!$C$5:$C$504, D4980) * SUMIFS('📅 Resumen Diario'!$K$5:$K$504, '📅 Resumen Diario'!$B$5:$B$504, B4980, '📅 Resumen Diario'!$C$5:$C$504, D4980), 0))</f>
        <v/>
      </c>
      <c r="M4980" s="31" t="str">
        <f t="shared" si="542"/>
        <v/>
      </c>
      <c r="N4980" s="31" t="str">
        <f t="shared" si="543"/>
        <v/>
      </c>
      <c r="O4980" s="31" t="str">
        <f>IF(OR(B4980="",C4980=""),"",K4980-N4980 + IFERROR(E4980 / SUMIFS('📅 Resumen Diario'!$D$5:$D$504, '📅 Resumen Diario'!$B$5:$B$504, B4980, '📅 Resumen Diario'!$C$5:$C$504, D4980) * (SUMIFS('📋 Detalle Diario'!$E$5:$E$489, '📋 Detalle Diario'!$B$5:$B$489, B4980, '📋 Detalle Diario'!$C$5:$C$489, D4980) * 135 + SUMIFS('📋 Detalle Diario'!$I$5:$I$489, '📋 Detalle Diario'!$B$5:$B$489, B4980, '📋 Detalle Diario'!$C$5:$C$489, D4980) * 200), 0))</f>
        <v/>
      </c>
      <c r="P4980" s="32" t="str">
        <f t="shared" si="544"/>
        <v/>
      </c>
      <c r="Q4980" s="33" t="str">
        <f t="shared" si="545"/>
        <v/>
      </c>
    </row>
    <row r="4981" spans="2:17" ht="18" customHeight="1" x14ac:dyDescent="0.3">
      <c r="B4981" s="26"/>
      <c r="C4981" s="28"/>
      <c r="D4981" s="27"/>
      <c r="E4981" s="29"/>
      <c r="F4981" s="29"/>
      <c r="G4981" s="29"/>
      <c r="H4981" s="30" t="str">
        <f t="shared" si="539"/>
        <v/>
      </c>
      <c r="I4981" s="31" t="str">
        <f>IF(OR(B4981="",C4981=""),"",IFERROR(E4981*IF(E4981="",0,VLOOKUP(C4981,'📦 Precios Proforma'!$B$5:$D$104,IF(D4981="DIA",2,3),FALSE)),0))</f>
        <v/>
      </c>
      <c r="J4981" s="31" t="str">
        <f t="shared" si="540"/>
        <v/>
      </c>
      <c r="K4981" s="31" t="str">
        <f t="shared" si="541"/>
        <v/>
      </c>
      <c r="L4981" s="31" t="str">
        <f>IF(OR(B4981="",C4981=""),"",IFERROR(E4981 / SUMIFS('📅 Resumen Diario'!$D$5:$D$504, '📅 Resumen Diario'!$B$5:$B$504, B4981, '📅 Resumen Diario'!$C$5:$C$504, D4981) * SUMIFS('📅 Resumen Diario'!$K$5:$K$504, '📅 Resumen Diario'!$B$5:$B$504, B4981, '📅 Resumen Diario'!$C$5:$C$504, D4981), 0))</f>
        <v/>
      </c>
      <c r="M4981" s="31" t="str">
        <f t="shared" si="542"/>
        <v/>
      </c>
      <c r="N4981" s="31" t="str">
        <f t="shared" si="543"/>
        <v/>
      </c>
      <c r="O4981" s="31" t="str">
        <f>IF(OR(B4981="",C4981=""),"",K4981-N4981 + IFERROR(E4981 / SUMIFS('📅 Resumen Diario'!$D$5:$D$504, '📅 Resumen Diario'!$B$5:$B$504, B4981, '📅 Resumen Diario'!$C$5:$C$504, D4981) * (SUMIFS('📋 Detalle Diario'!$E$5:$E$489, '📋 Detalle Diario'!$B$5:$B$489, B4981, '📋 Detalle Diario'!$C$5:$C$489, D4981) * 135 + SUMIFS('📋 Detalle Diario'!$I$5:$I$489, '📋 Detalle Diario'!$B$5:$B$489, B4981, '📋 Detalle Diario'!$C$5:$C$489, D4981) * 200), 0))</f>
        <v/>
      </c>
      <c r="P4981" s="32" t="str">
        <f t="shared" si="544"/>
        <v/>
      </c>
      <c r="Q4981" s="33" t="str">
        <f t="shared" si="545"/>
        <v/>
      </c>
    </row>
    <row r="4982" spans="2:17" ht="18" customHeight="1" x14ac:dyDescent="0.3">
      <c r="B4982" s="26"/>
      <c r="C4982" s="17"/>
      <c r="D4982" s="27"/>
      <c r="E4982" s="18"/>
      <c r="F4982" s="18"/>
      <c r="G4982" s="18"/>
      <c r="H4982" s="30" t="str">
        <f t="shared" si="539"/>
        <v/>
      </c>
      <c r="I4982" s="31" t="str">
        <f>IF(OR(B4982="",C4982=""),"",IFERROR(E4982*IF(E4982="",0,VLOOKUP(C4982,'📦 Precios Proforma'!$B$5:$D$104,IF(D4982="DIA",2,3),FALSE)),0))</f>
        <v/>
      </c>
      <c r="J4982" s="31" t="str">
        <f t="shared" si="540"/>
        <v/>
      </c>
      <c r="K4982" s="31" t="str">
        <f t="shared" si="541"/>
        <v/>
      </c>
      <c r="L4982" s="31" t="str">
        <f>IF(OR(B4982="",C4982=""),"",IFERROR(E4982 / SUMIFS('📅 Resumen Diario'!$D$5:$D$504, '📅 Resumen Diario'!$B$5:$B$504, B4982, '📅 Resumen Diario'!$C$5:$C$504, D4982) * SUMIFS('📅 Resumen Diario'!$K$5:$K$504, '📅 Resumen Diario'!$B$5:$B$504, B4982, '📅 Resumen Diario'!$C$5:$C$504, D4982), 0))</f>
        <v/>
      </c>
      <c r="M4982" s="31" t="str">
        <f t="shared" si="542"/>
        <v/>
      </c>
      <c r="N4982" s="31" t="str">
        <f t="shared" si="543"/>
        <v/>
      </c>
      <c r="O4982" s="31" t="str">
        <f>IF(OR(B4982="",C4982=""),"",K4982-N4982 + IFERROR(E4982 / SUMIFS('📅 Resumen Diario'!$D$5:$D$504, '📅 Resumen Diario'!$B$5:$B$504, B4982, '📅 Resumen Diario'!$C$5:$C$504, D4982) * (SUMIFS('📋 Detalle Diario'!$E$5:$E$489, '📋 Detalle Diario'!$B$5:$B$489, B4982, '📋 Detalle Diario'!$C$5:$C$489, D4982) * 135 + SUMIFS('📋 Detalle Diario'!$I$5:$I$489, '📋 Detalle Diario'!$B$5:$B$489, B4982, '📋 Detalle Diario'!$C$5:$C$489, D4982) * 200), 0))</f>
        <v/>
      </c>
      <c r="P4982" s="32" t="str">
        <f t="shared" si="544"/>
        <v/>
      </c>
      <c r="Q4982" s="33" t="str">
        <f t="shared" si="545"/>
        <v/>
      </c>
    </row>
    <row r="4983" spans="2:17" ht="18" customHeight="1" x14ac:dyDescent="0.3">
      <c r="B4983" s="26"/>
      <c r="C4983" s="28"/>
      <c r="D4983" s="27"/>
      <c r="E4983" s="29"/>
      <c r="F4983" s="29"/>
      <c r="G4983" s="29"/>
      <c r="H4983" s="30" t="str">
        <f t="shared" si="539"/>
        <v/>
      </c>
      <c r="I4983" s="31" t="str">
        <f>IF(OR(B4983="",C4983=""),"",IFERROR(E4983*IF(E4983="",0,VLOOKUP(C4983,'📦 Precios Proforma'!$B$5:$D$104,IF(D4983="DIA",2,3),FALSE)),0))</f>
        <v/>
      </c>
      <c r="J4983" s="31" t="str">
        <f t="shared" si="540"/>
        <v/>
      </c>
      <c r="K4983" s="31" t="str">
        <f t="shared" si="541"/>
        <v/>
      </c>
      <c r="L4983" s="31" t="str">
        <f>IF(OR(B4983="",C4983=""),"",IFERROR(E4983 / SUMIFS('📅 Resumen Diario'!$D$5:$D$504, '📅 Resumen Diario'!$B$5:$B$504, B4983, '📅 Resumen Diario'!$C$5:$C$504, D4983) * SUMIFS('📅 Resumen Diario'!$K$5:$K$504, '📅 Resumen Diario'!$B$5:$B$504, B4983, '📅 Resumen Diario'!$C$5:$C$504, D4983), 0))</f>
        <v/>
      </c>
      <c r="M4983" s="31" t="str">
        <f t="shared" si="542"/>
        <v/>
      </c>
      <c r="N4983" s="31" t="str">
        <f t="shared" si="543"/>
        <v/>
      </c>
      <c r="O4983" s="31" t="str">
        <f>IF(OR(B4983="",C4983=""),"",K4983-N4983 + IFERROR(E4983 / SUMIFS('📅 Resumen Diario'!$D$5:$D$504, '📅 Resumen Diario'!$B$5:$B$504, B4983, '📅 Resumen Diario'!$C$5:$C$504, D4983) * (SUMIFS('📋 Detalle Diario'!$E$5:$E$489, '📋 Detalle Diario'!$B$5:$B$489, B4983, '📋 Detalle Diario'!$C$5:$C$489, D4983) * 135 + SUMIFS('📋 Detalle Diario'!$I$5:$I$489, '📋 Detalle Diario'!$B$5:$B$489, B4983, '📋 Detalle Diario'!$C$5:$C$489, D4983) * 200), 0))</f>
        <v/>
      </c>
      <c r="P4983" s="32" t="str">
        <f t="shared" si="544"/>
        <v/>
      </c>
      <c r="Q4983" s="33" t="str">
        <f t="shared" si="545"/>
        <v/>
      </c>
    </row>
    <row r="4984" spans="2:17" ht="18" customHeight="1" x14ac:dyDescent="0.3">
      <c r="B4984" s="26"/>
      <c r="C4984" s="17"/>
      <c r="D4984" s="27"/>
      <c r="E4984" s="18"/>
      <c r="F4984" s="18"/>
      <c r="G4984" s="18"/>
      <c r="H4984" s="30" t="str">
        <f t="shared" si="539"/>
        <v/>
      </c>
      <c r="I4984" s="31" t="str">
        <f>IF(OR(B4984="",C4984=""),"",IFERROR(E4984*IF(E4984="",0,VLOOKUP(C4984,'📦 Precios Proforma'!$B$5:$D$104,IF(D4984="DIA",2,3),FALSE)),0))</f>
        <v/>
      </c>
      <c r="J4984" s="31" t="str">
        <f t="shared" si="540"/>
        <v/>
      </c>
      <c r="K4984" s="31" t="str">
        <f t="shared" si="541"/>
        <v/>
      </c>
      <c r="L4984" s="31" t="str">
        <f>IF(OR(B4984="",C4984=""),"",IFERROR(E4984 / SUMIFS('📅 Resumen Diario'!$D$5:$D$504, '📅 Resumen Diario'!$B$5:$B$504, B4984, '📅 Resumen Diario'!$C$5:$C$504, D4984) * SUMIFS('📅 Resumen Diario'!$K$5:$K$504, '📅 Resumen Diario'!$B$5:$B$504, B4984, '📅 Resumen Diario'!$C$5:$C$504, D4984), 0))</f>
        <v/>
      </c>
      <c r="M4984" s="31" t="str">
        <f t="shared" si="542"/>
        <v/>
      </c>
      <c r="N4984" s="31" t="str">
        <f t="shared" si="543"/>
        <v/>
      </c>
      <c r="O4984" s="31" t="str">
        <f>IF(OR(B4984="",C4984=""),"",K4984-N4984 + IFERROR(E4984 / SUMIFS('📅 Resumen Diario'!$D$5:$D$504, '📅 Resumen Diario'!$B$5:$B$504, B4984, '📅 Resumen Diario'!$C$5:$C$504, D4984) * (SUMIFS('📋 Detalle Diario'!$E$5:$E$489, '📋 Detalle Diario'!$B$5:$B$489, B4984, '📋 Detalle Diario'!$C$5:$C$489, D4984) * 135 + SUMIFS('📋 Detalle Diario'!$I$5:$I$489, '📋 Detalle Diario'!$B$5:$B$489, B4984, '📋 Detalle Diario'!$C$5:$C$489, D4984) * 200), 0))</f>
        <v/>
      </c>
      <c r="P4984" s="32" t="str">
        <f t="shared" si="544"/>
        <v/>
      </c>
      <c r="Q4984" s="33" t="str">
        <f t="shared" si="545"/>
        <v/>
      </c>
    </row>
    <row r="4985" spans="2:17" ht="18" customHeight="1" x14ac:dyDescent="0.3">
      <c r="B4985" s="26"/>
      <c r="C4985" s="28"/>
      <c r="D4985" s="27"/>
      <c r="E4985" s="29"/>
      <c r="F4985" s="29"/>
      <c r="G4985" s="29"/>
      <c r="H4985" s="30" t="str">
        <f t="shared" si="539"/>
        <v/>
      </c>
      <c r="I4985" s="31" t="str">
        <f>IF(OR(B4985="",C4985=""),"",IFERROR(E4985*IF(E4985="",0,VLOOKUP(C4985,'📦 Precios Proforma'!$B$5:$D$104,IF(D4985="DIA",2,3),FALSE)),0))</f>
        <v/>
      </c>
      <c r="J4985" s="31" t="str">
        <f t="shared" si="540"/>
        <v/>
      </c>
      <c r="K4985" s="31" t="str">
        <f t="shared" si="541"/>
        <v/>
      </c>
      <c r="L4985" s="31" t="str">
        <f>IF(OR(B4985="",C4985=""),"",IFERROR(E4985 / SUMIFS('📅 Resumen Diario'!$D$5:$D$504, '📅 Resumen Diario'!$B$5:$B$504, B4985, '📅 Resumen Diario'!$C$5:$C$504, D4985) * SUMIFS('📅 Resumen Diario'!$K$5:$K$504, '📅 Resumen Diario'!$B$5:$B$504, B4985, '📅 Resumen Diario'!$C$5:$C$504, D4985), 0))</f>
        <v/>
      </c>
      <c r="M4985" s="31" t="str">
        <f t="shared" si="542"/>
        <v/>
      </c>
      <c r="N4985" s="31" t="str">
        <f t="shared" si="543"/>
        <v/>
      </c>
      <c r="O4985" s="31" t="str">
        <f>IF(OR(B4985="",C4985=""),"",K4985-N4985 + IFERROR(E4985 / SUMIFS('📅 Resumen Diario'!$D$5:$D$504, '📅 Resumen Diario'!$B$5:$B$504, B4985, '📅 Resumen Diario'!$C$5:$C$504, D4985) * (SUMIFS('📋 Detalle Diario'!$E$5:$E$489, '📋 Detalle Diario'!$B$5:$B$489, B4985, '📋 Detalle Diario'!$C$5:$C$489, D4985) * 135 + SUMIFS('📋 Detalle Diario'!$I$5:$I$489, '📋 Detalle Diario'!$B$5:$B$489, B4985, '📋 Detalle Diario'!$C$5:$C$489, D4985) * 200), 0))</f>
        <v/>
      </c>
      <c r="P4985" s="32" t="str">
        <f t="shared" si="544"/>
        <v/>
      </c>
      <c r="Q4985" s="33" t="str">
        <f t="shared" si="545"/>
        <v/>
      </c>
    </row>
    <row r="4986" spans="2:17" ht="18" customHeight="1" x14ac:dyDescent="0.3">
      <c r="B4986" s="26"/>
      <c r="C4986" s="17"/>
      <c r="D4986" s="27"/>
      <c r="E4986" s="18"/>
      <c r="F4986" s="18"/>
      <c r="G4986" s="18"/>
      <c r="H4986" s="30" t="str">
        <f t="shared" si="539"/>
        <v/>
      </c>
      <c r="I4986" s="31" t="str">
        <f>IF(OR(B4986="",C4986=""),"",IFERROR(E4986*IF(E4986="",0,VLOOKUP(C4986,'📦 Precios Proforma'!$B$5:$D$104,IF(D4986="DIA",2,3),FALSE)),0))</f>
        <v/>
      </c>
      <c r="J4986" s="31" t="str">
        <f t="shared" si="540"/>
        <v/>
      </c>
      <c r="K4986" s="31" t="str">
        <f t="shared" si="541"/>
        <v/>
      </c>
      <c r="L4986" s="31" t="str">
        <f>IF(OR(B4986="",C4986=""),"",IFERROR(E4986 / SUMIFS('📅 Resumen Diario'!$D$5:$D$504, '📅 Resumen Diario'!$B$5:$B$504, B4986, '📅 Resumen Diario'!$C$5:$C$504, D4986) * SUMIFS('📅 Resumen Diario'!$K$5:$K$504, '📅 Resumen Diario'!$B$5:$B$504, B4986, '📅 Resumen Diario'!$C$5:$C$504, D4986), 0))</f>
        <v/>
      </c>
      <c r="M4986" s="31" t="str">
        <f t="shared" si="542"/>
        <v/>
      </c>
      <c r="N4986" s="31" t="str">
        <f t="shared" si="543"/>
        <v/>
      </c>
      <c r="O4986" s="31" t="str">
        <f>IF(OR(B4986="",C4986=""),"",K4986-N4986 + IFERROR(E4986 / SUMIFS('📅 Resumen Diario'!$D$5:$D$504, '📅 Resumen Diario'!$B$5:$B$504, B4986, '📅 Resumen Diario'!$C$5:$C$504, D4986) * (SUMIFS('📋 Detalle Diario'!$E$5:$E$489, '📋 Detalle Diario'!$B$5:$B$489, B4986, '📋 Detalle Diario'!$C$5:$C$489, D4986) * 135 + SUMIFS('📋 Detalle Diario'!$I$5:$I$489, '📋 Detalle Diario'!$B$5:$B$489, B4986, '📋 Detalle Diario'!$C$5:$C$489, D4986) * 200), 0))</f>
        <v/>
      </c>
      <c r="P4986" s="32" t="str">
        <f t="shared" si="544"/>
        <v/>
      </c>
      <c r="Q4986" s="33" t="str">
        <f t="shared" si="545"/>
        <v/>
      </c>
    </row>
    <row r="4987" spans="2:17" ht="18" customHeight="1" x14ac:dyDescent="0.3">
      <c r="B4987" s="26"/>
      <c r="C4987" s="28"/>
      <c r="D4987" s="27"/>
      <c r="E4987" s="29"/>
      <c r="F4987" s="29"/>
      <c r="G4987" s="29"/>
      <c r="H4987" s="30" t="str">
        <f t="shared" si="539"/>
        <v/>
      </c>
      <c r="I4987" s="31" t="str">
        <f>IF(OR(B4987="",C4987=""),"",IFERROR(E4987*IF(E4987="",0,VLOOKUP(C4987,'📦 Precios Proforma'!$B$5:$D$104,IF(D4987="DIA",2,3),FALSE)),0))</f>
        <v/>
      </c>
      <c r="J4987" s="31" t="str">
        <f t="shared" si="540"/>
        <v/>
      </c>
      <c r="K4987" s="31" t="str">
        <f t="shared" si="541"/>
        <v/>
      </c>
      <c r="L4987" s="31" t="str">
        <f>IF(OR(B4987="",C4987=""),"",IFERROR(E4987 / SUMIFS('📅 Resumen Diario'!$D$5:$D$504, '📅 Resumen Diario'!$B$5:$B$504, B4987, '📅 Resumen Diario'!$C$5:$C$504, D4987) * SUMIFS('📅 Resumen Diario'!$K$5:$K$504, '📅 Resumen Diario'!$B$5:$B$504, B4987, '📅 Resumen Diario'!$C$5:$C$504, D4987), 0))</f>
        <v/>
      </c>
      <c r="M4987" s="31" t="str">
        <f t="shared" si="542"/>
        <v/>
      </c>
      <c r="N4987" s="31" t="str">
        <f t="shared" si="543"/>
        <v/>
      </c>
      <c r="O4987" s="31" t="str">
        <f>IF(OR(B4987="",C4987=""),"",K4987-N4987 + IFERROR(E4987 / SUMIFS('📅 Resumen Diario'!$D$5:$D$504, '📅 Resumen Diario'!$B$5:$B$504, B4987, '📅 Resumen Diario'!$C$5:$C$504, D4987) * (SUMIFS('📋 Detalle Diario'!$E$5:$E$489, '📋 Detalle Diario'!$B$5:$B$489, B4987, '📋 Detalle Diario'!$C$5:$C$489, D4987) * 135 + SUMIFS('📋 Detalle Diario'!$I$5:$I$489, '📋 Detalle Diario'!$B$5:$B$489, B4987, '📋 Detalle Diario'!$C$5:$C$489, D4987) * 200), 0))</f>
        <v/>
      </c>
      <c r="P4987" s="32" t="str">
        <f t="shared" si="544"/>
        <v/>
      </c>
      <c r="Q4987" s="33" t="str">
        <f t="shared" si="545"/>
        <v/>
      </c>
    </row>
    <row r="4988" spans="2:17" ht="18" customHeight="1" x14ac:dyDescent="0.3">
      <c r="B4988" s="26"/>
      <c r="C4988" s="17"/>
      <c r="D4988" s="27"/>
      <c r="E4988" s="18"/>
      <c r="F4988" s="18"/>
      <c r="G4988" s="18"/>
      <c r="H4988" s="30" t="str">
        <f t="shared" si="539"/>
        <v/>
      </c>
      <c r="I4988" s="31" t="str">
        <f>IF(OR(B4988="",C4988=""),"",IFERROR(E4988*IF(E4988="",0,VLOOKUP(C4988,'📦 Precios Proforma'!$B$5:$D$104,IF(D4988="DIA",2,3),FALSE)),0))</f>
        <v/>
      </c>
      <c r="J4988" s="31" t="str">
        <f t="shared" si="540"/>
        <v/>
      </c>
      <c r="K4988" s="31" t="str">
        <f t="shared" si="541"/>
        <v/>
      </c>
      <c r="L4988" s="31" t="str">
        <f>IF(OR(B4988="",C4988=""),"",IFERROR(E4988 / SUMIFS('📅 Resumen Diario'!$D$5:$D$504, '📅 Resumen Diario'!$B$5:$B$504, B4988, '📅 Resumen Diario'!$C$5:$C$504, D4988) * SUMIFS('📅 Resumen Diario'!$K$5:$K$504, '📅 Resumen Diario'!$B$5:$B$504, B4988, '📅 Resumen Diario'!$C$5:$C$504, D4988), 0))</f>
        <v/>
      </c>
      <c r="M4988" s="31" t="str">
        <f t="shared" si="542"/>
        <v/>
      </c>
      <c r="N4988" s="31" t="str">
        <f t="shared" si="543"/>
        <v/>
      </c>
      <c r="O4988" s="31" t="str">
        <f>IF(OR(B4988="",C4988=""),"",K4988-N4988 + IFERROR(E4988 / SUMIFS('📅 Resumen Diario'!$D$5:$D$504, '📅 Resumen Diario'!$B$5:$B$504, B4988, '📅 Resumen Diario'!$C$5:$C$504, D4988) * (SUMIFS('📋 Detalle Diario'!$E$5:$E$489, '📋 Detalle Diario'!$B$5:$B$489, B4988, '📋 Detalle Diario'!$C$5:$C$489, D4988) * 135 + SUMIFS('📋 Detalle Diario'!$I$5:$I$489, '📋 Detalle Diario'!$B$5:$B$489, B4988, '📋 Detalle Diario'!$C$5:$C$489, D4988) * 200), 0))</f>
        <v/>
      </c>
      <c r="P4988" s="32" t="str">
        <f t="shared" si="544"/>
        <v/>
      </c>
      <c r="Q4988" s="33" t="str">
        <f t="shared" si="545"/>
        <v/>
      </c>
    </row>
    <row r="4989" spans="2:17" ht="18" customHeight="1" x14ac:dyDescent="0.3">
      <c r="B4989" s="26"/>
      <c r="C4989" s="28"/>
      <c r="D4989" s="27"/>
      <c r="E4989" s="29"/>
      <c r="F4989" s="29"/>
      <c r="G4989" s="29"/>
      <c r="H4989" s="30" t="str">
        <f t="shared" si="539"/>
        <v/>
      </c>
      <c r="I4989" s="31" t="str">
        <f>IF(OR(B4989="",C4989=""),"",IFERROR(E4989*IF(E4989="",0,VLOOKUP(C4989,'📦 Precios Proforma'!$B$5:$D$104,IF(D4989="DIA",2,3),FALSE)),0))</f>
        <v/>
      </c>
      <c r="J4989" s="31" t="str">
        <f t="shared" si="540"/>
        <v/>
      </c>
      <c r="K4989" s="31" t="str">
        <f t="shared" si="541"/>
        <v/>
      </c>
      <c r="L4989" s="31" t="str">
        <f>IF(OR(B4989="",C4989=""),"",IFERROR(E4989 / SUMIFS('📅 Resumen Diario'!$D$5:$D$504, '📅 Resumen Diario'!$B$5:$B$504, B4989, '📅 Resumen Diario'!$C$5:$C$504, D4989) * SUMIFS('📅 Resumen Diario'!$K$5:$K$504, '📅 Resumen Diario'!$B$5:$B$504, B4989, '📅 Resumen Diario'!$C$5:$C$504, D4989), 0))</f>
        <v/>
      </c>
      <c r="M4989" s="31" t="str">
        <f t="shared" si="542"/>
        <v/>
      </c>
      <c r="N4989" s="31" t="str">
        <f t="shared" si="543"/>
        <v/>
      </c>
      <c r="O4989" s="31" t="str">
        <f>IF(OR(B4989="",C4989=""),"",K4989-N4989 + IFERROR(E4989 / SUMIFS('📅 Resumen Diario'!$D$5:$D$504, '📅 Resumen Diario'!$B$5:$B$504, B4989, '📅 Resumen Diario'!$C$5:$C$504, D4989) * (SUMIFS('📋 Detalle Diario'!$E$5:$E$489, '📋 Detalle Diario'!$B$5:$B$489, B4989, '📋 Detalle Diario'!$C$5:$C$489, D4989) * 135 + SUMIFS('📋 Detalle Diario'!$I$5:$I$489, '📋 Detalle Diario'!$B$5:$B$489, B4989, '📋 Detalle Diario'!$C$5:$C$489, D4989) * 200), 0))</f>
        <v/>
      </c>
      <c r="P4989" s="32" t="str">
        <f t="shared" si="544"/>
        <v/>
      </c>
      <c r="Q4989" s="33" t="str">
        <f t="shared" si="545"/>
        <v/>
      </c>
    </row>
    <row r="4990" spans="2:17" ht="18" customHeight="1" x14ac:dyDescent="0.3">
      <c r="B4990" s="26"/>
      <c r="C4990" s="17"/>
      <c r="D4990" s="27"/>
      <c r="E4990" s="18"/>
      <c r="F4990" s="18"/>
      <c r="G4990" s="18"/>
      <c r="H4990" s="30" t="str">
        <f t="shared" si="539"/>
        <v/>
      </c>
      <c r="I4990" s="31" t="str">
        <f>IF(OR(B4990="",C4990=""),"",IFERROR(E4990*IF(E4990="",0,VLOOKUP(C4990,'📦 Precios Proforma'!$B$5:$D$104,IF(D4990="DIA",2,3),FALSE)),0))</f>
        <v/>
      </c>
      <c r="J4990" s="31" t="str">
        <f t="shared" si="540"/>
        <v/>
      </c>
      <c r="K4990" s="31" t="str">
        <f t="shared" si="541"/>
        <v/>
      </c>
      <c r="L4990" s="31" t="str">
        <f>IF(OR(B4990="",C4990=""),"",IFERROR(E4990 / SUMIFS('📅 Resumen Diario'!$D$5:$D$504, '📅 Resumen Diario'!$B$5:$B$504, B4990, '📅 Resumen Diario'!$C$5:$C$504, D4990) * SUMIFS('📅 Resumen Diario'!$K$5:$K$504, '📅 Resumen Diario'!$B$5:$B$504, B4990, '📅 Resumen Diario'!$C$5:$C$504, D4990), 0))</f>
        <v/>
      </c>
      <c r="M4990" s="31" t="str">
        <f t="shared" si="542"/>
        <v/>
      </c>
      <c r="N4990" s="31" t="str">
        <f t="shared" si="543"/>
        <v/>
      </c>
      <c r="O4990" s="31" t="str">
        <f>IF(OR(B4990="",C4990=""),"",K4990-N4990 + IFERROR(E4990 / SUMIFS('📅 Resumen Diario'!$D$5:$D$504, '📅 Resumen Diario'!$B$5:$B$504, B4990, '📅 Resumen Diario'!$C$5:$C$504, D4990) * (SUMIFS('📋 Detalle Diario'!$E$5:$E$489, '📋 Detalle Diario'!$B$5:$B$489, B4990, '📋 Detalle Diario'!$C$5:$C$489, D4990) * 135 + SUMIFS('📋 Detalle Diario'!$I$5:$I$489, '📋 Detalle Diario'!$B$5:$B$489, B4990, '📋 Detalle Diario'!$C$5:$C$489, D4990) * 200), 0))</f>
        <v/>
      </c>
      <c r="P4990" s="32" t="str">
        <f t="shared" si="544"/>
        <v/>
      </c>
      <c r="Q4990" s="33" t="str">
        <f t="shared" si="545"/>
        <v/>
      </c>
    </row>
    <row r="4991" spans="2:17" ht="18" customHeight="1" x14ac:dyDescent="0.3">
      <c r="B4991" s="26"/>
      <c r="C4991" s="28"/>
      <c r="D4991" s="27"/>
      <c r="E4991" s="29"/>
      <c r="F4991" s="29"/>
      <c r="G4991" s="29"/>
      <c r="H4991" s="30" t="str">
        <f t="shared" si="539"/>
        <v/>
      </c>
      <c r="I4991" s="31" t="str">
        <f>IF(OR(B4991="",C4991=""),"",IFERROR(E4991*IF(E4991="",0,VLOOKUP(C4991,'📦 Precios Proforma'!$B$5:$D$104,IF(D4991="DIA",2,3),FALSE)),0))</f>
        <v/>
      </c>
      <c r="J4991" s="31" t="str">
        <f t="shared" si="540"/>
        <v/>
      </c>
      <c r="K4991" s="31" t="str">
        <f t="shared" si="541"/>
        <v/>
      </c>
      <c r="L4991" s="31" t="str">
        <f>IF(OR(B4991="",C4991=""),"",IFERROR(E4991 / SUMIFS('📅 Resumen Diario'!$D$5:$D$504, '📅 Resumen Diario'!$B$5:$B$504, B4991, '📅 Resumen Diario'!$C$5:$C$504, D4991) * SUMIFS('📅 Resumen Diario'!$K$5:$K$504, '📅 Resumen Diario'!$B$5:$B$504, B4991, '📅 Resumen Diario'!$C$5:$C$504, D4991), 0))</f>
        <v/>
      </c>
      <c r="M4991" s="31" t="str">
        <f t="shared" si="542"/>
        <v/>
      </c>
      <c r="N4991" s="31" t="str">
        <f t="shared" si="543"/>
        <v/>
      </c>
      <c r="O4991" s="31" t="str">
        <f>IF(OR(B4991="",C4991=""),"",K4991-N4991 + IFERROR(E4991 / SUMIFS('📅 Resumen Diario'!$D$5:$D$504, '📅 Resumen Diario'!$B$5:$B$504, B4991, '📅 Resumen Diario'!$C$5:$C$504, D4991) * (SUMIFS('📋 Detalle Diario'!$E$5:$E$489, '📋 Detalle Diario'!$B$5:$B$489, B4991, '📋 Detalle Diario'!$C$5:$C$489, D4991) * 135 + SUMIFS('📋 Detalle Diario'!$I$5:$I$489, '📋 Detalle Diario'!$B$5:$B$489, B4991, '📋 Detalle Diario'!$C$5:$C$489, D4991) * 200), 0))</f>
        <v/>
      </c>
      <c r="P4991" s="32" t="str">
        <f t="shared" si="544"/>
        <v/>
      </c>
      <c r="Q4991" s="33" t="str">
        <f t="shared" si="545"/>
        <v/>
      </c>
    </row>
    <row r="4992" spans="2:17" ht="18" customHeight="1" x14ac:dyDescent="0.3">
      <c r="B4992" s="26"/>
      <c r="C4992" s="17"/>
      <c r="D4992" s="27"/>
      <c r="E4992" s="18"/>
      <c r="F4992" s="18"/>
      <c r="G4992" s="18"/>
      <c r="H4992" s="30" t="str">
        <f t="shared" si="539"/>
        <v/>
      </c>
      <c r="I4992" s="31" t="str">
        <f>IF(OR(B4992="",C4992=""),"",IFERROR(E4992*IF(E4992="",0,VLOOKUP(C4992,'📦 Precios Proforma'!$B$5:$D$104,IF(D4992="DIA",2,3),FALSE)),0))</f>
        <v/>
      </c>
      <c r="J4992" s="31" t="str">
        <f t="shared" si="540"/>
        <v/>
      </c>
      <c r="K4992" s="31" t="str">
        <f t="shared" si="541"/>
        <v/>
      </c>
      <c r="L4992" s="31" t="str">
        <f>IF(OR(B4992="",C4992=""),"",IFERROR(E4992 / SUMIFS('📅 Resumen Diario'!$D$5:$D$504, '📅 Resumen Diario'!$B$5:$B$504, B4992, '📅 Resumen Diario'!$C$5:$C$504, D4992) * SUMIFS('📅 Resumen Diario'!$K$5:$K$504, '📅 Resumen Diario'!$B$5:$B$504, B4992, '📅 Resumen Diario'!$C$5:$C$504, D4992), 0))</f>
        <v/>
      </c>
      <c r="M4992" s="31" t="str">
        <f t="shared" si="542"/>
        <v/>
      </c>
      <c r="N4992" s="31" t="str">
        <f t="shared" si="543"/>
        <v/>
      </c>
      <c r="O4992" s="31" t="str">
        <f>IF(OR(B4992="",C4992=""),"",K4992-N4992 + IFERROR(E4992 / SUMIFS('📅 Resumen Diario'!$D$5:$D$504, '📅 Resumen Diario'!$B$5:$B$504, B4992, '📅 Resumen Diario'!$C$5:$C$504, D4992) * (SUMIFS('📋 Detalle Diario'!$E$5:$E$489, '📋 Detalle Diario'!$B$5:$B$489, B4992, '📋 Detalle Diario'!$C$5:$C$489, D4992) * 135 + SUMIFS('📋 Detalle Diario'!$I$5:$I$489, '📋 Detalle Diario'!$B$5:$B$489, B4992, '📋 Detalle Diario'!$C$5:$C$489, D4992) * 200), 0))</f>
        <v/>
      </c>
      <c r="P4992" s="32" t="str">
        <f t="shared" si="544"/>
        <v/>
      </c>
      <c r="Q4992" s="33" t="str">
        <f t="shared" si="545"/>
        <v/>
      </c>
    </row>
    <row r="4993" spans="2:17" ht="18" customHeight="1" x14ac:dyDescent="0.3">
      <c r="B4993" s="26"/>
      <c r="C4993" s="28"/>
      <c r="D4993" s="27"/>
      <c r="E4993" s="29"/>
      <c r="F4993" s="29"/>
      <c r="G4993" s="29"/>
      <c r="H4993" s="30" t="str">
        <f t="shared" si="539"/>
        <v/>
      </c>
      <c r="I4993" s="31" t="str">
        <f>IF(OR(B4993="",C4993=""),"",IFERROR(E4993*IF(E4993="",0,VLOOKUP(C4993,'📦 Precios Proforma'!$B$5:$D$104,IF(D4993="DIA",2,3),FALSE)),0))</f>
        <v/>
      </c>
      <c r="J4993" s="31" t="str">
        <f t="shared" si="540"/>
        <v/>
      </c>
      <c r="K4993" s="31" t="str">
        <f t="shared" si="541"/>
        <v/>
      </c>
      <c r="L4993" s="31" t="str">
        <f>IF(OR(B4993="",C4993=""),"",IFERROR(E4993 / SUMIFS('📅 Resumen Diario'!$D$5:$D$504, '📅 Resumen Diario'!$B$5:$B$504, B4993, '📅 Resumen Diario'!$C$5:$C$504, D4993) * SUMIFS('📅 Resumen Diario'!$K$5:$K$504, '📅 Resumen Diario'!$B$5:$B$504, B4993, '📅 Resumen Diario'!$C$5:$C$504, D4993), 0))</f>
        <v/>
      </c>
      <c r="M4993" s="31" t="str">
        <f t="shared" si="542"/>
        <v/>
      </c>
      <c r="N4993" s="31" t="str">
        <f t="shared" si="543"/>
        <v/>
      </c>
      <c r="O4993" s="31" t="str">
        <f>IF(OR(B4993="",C4993=""),"",K4993-N4993 + IFERROR(E4993 / SUMIFS('📅 Resumen Diario'!$D$5:$D$504, '📅 Resumen Diario'!$B$5:$B$504, B4993, '📅 Resumen Diario'!$C$5:$C$504, D4993) * (SUMIFS('📋 Detalle Diario'!$E$5:$E$489, '📋 Detalle Diario'!$B$5:$B$489, B4993, '📋 Detalle Diario'!$C$5:$C$489, D4993) * 135 + SUMIFS('📋 Detalle Diario'!$I$5:$I$489, '📋 Detalle Diario'!$B$5:$B$489, B4993, '📋 Detalle Diario'!$C$5:$C$489, D4993) * 200), 0))</f>
        <v/>
      </c>
      <c r="P4993" s="32" t="str">
        <f t="shared" si="544"/>
        <v/>
      </c>
      <c r="Q4993" s="33" t="str">
        <f t="shared" si="545"/>
        <v/>
      </c>
    </row>
    <row r="4994" spans="2:17" ht="18" customHeight="1" x14ac:dyDescent="0.3">
      <c r="B4994" s="26"/>
      <c r="C4994" s="17"/>
      <c r="D4994" s="27"/>
      <c r="E4994" s="18"/>
      <c r="F4994" s="18"/>
      <c r="G4994" s="18"/>
      <c r="H4994" s="30" t="str">
        <f t="shared" si="539"/>
        <v/>
      </c>
      <c r="I4994" s="31" t="str">
        <f>IF(OR(B4994="",C4994=""),"",IFERROR(E4994*IF(E4994="",0,VLOOKUP(C4994,'📦 Precios Proforma'!$B$5:$D$104,IF(D4994="DIA",2,3),FALSE)),0))</f>
        <v/>
      </c>
      <c r="J4994" s="31" t="str">
        <f t="shared" si="540"/>
        <v/>
      </c>
      <c r="K4994" s="31" t="str">
        <f t="shared" si="541"/>
        <v/>
      </c>
      <c r="L4994" s="31" t="str">
        <f>IF(OR(B4994="",C4994=""),"",IFERROR(E4994 / SUMIFS('📅 Resumen Diario'!$D$5:$D$504, '📅 Resumen Diario'!$B$5:$B$504, B4994, '📅 Resumen Diario'!$C$5:$C$504, D4994) * SUMIFS('📅 Resumen Diario'!$K$5:$K$504, '📅 Resumen Diario'!$B$5:$B$504, B4994, '📅 Resumen Diario'!$C$5:$C$504, D4994), 0))</f>
        <v/>
      </c>
      <c r="M4994" s="31" t="str">
        <f t="shared" si="542"/>
        <v/>
      </c>
      <c r="N4994" s="31" t="str">
        <f t="shared" si="543"/>
        <v/>
      </c>
      <c r="O4994" s="31" t="str">
        <f>IF(OR(B4994="",C4994=""),"",K4994-N4994 + IFERROR(E4994 / SUMIFS('📅 Resumen Diario'!$D$5:$D$504, '📅 Resumen Diario'!$B$5:$B$504, B4994, '📅 Resumen Diario'!$C$5:$C$504, D4994) * (SUMIFS('📋 Detalle Diario'!$E$5:$E$489, '📋 Detalle Diario'!$B$5:$B$489, B4994, '📋 Detalle Diario'!$C$5:$C$489, D4994) * 135 + SUMIFS('📋 Detalle Diario'!$I$5:$I$489, '📋 Detalle Diario'!$B$5:$B$489, B4994, '📋 Detalle Diario'!$C$5:$C$489, D4994) * 200), 0))</f>
        <v/>
      </c>
      <c r="P4994" s="32" t="str">
        <f t="shared" si="544"/>
        <v/>
      </c>
      <c r="Q4994" s="33" t="str">
        <f t="shared" si="545"/>
        <v/>
      </c>
    </row>
    <row r="4995" spans="2:17" ht="18" customHeight="1" x14ac:dyDescent="0.3">
      <c r="B4995" s="26"/>
      <c r="C4995" s="28"/>
      <c r="D4995" s="27"/>
      <c r="E4995" s="29"/>
      <c r="F4995" s="29"/>
      <c r="G4995" s="29"/>
      <c r="H4995" s="30" t="str">
        <f t="shared" si="539"/>
        <v/>
      </c>
      <c r="I4995" s="31" t="str">
        <f>IF(OR(B4995="",C4995=""),"",IFERROR(E4995*IF(E4995="",0,VLOOKUP(C4995,'📦 Precios Proforma'!$B$5:$D$104,IF(D4995="DIA",2,3),FALSE)),0))</f>
        <v/>
      </c>
      <c r="J4995" s="31" t="str">
        <f t="shared" si="540"/>
        <v/>
      </c>
      <c r="K4995" s="31" t="str">
        <f t="shared" si="541"/>
        <v/>
      </c>
      <c r="L4995" s="31" t="str">
        <f>IF(OR(B4995="",C4995=""),"",IFERROR(E4995 / SUMIFS('📅 Resumen Diario'!$D$5:$D$504, '📅 Resumen Diario'!$B$5:$B$504, B4995, '📅 Resumen Diario'!$C$5:$C$504, D4995) * SUMIFS('📅 Resumen Diario'!$K$5:$K$504, '📅 Resumen Diario'!$B$5:$B$504, B4995, '📅 Resumen Diario'!$C$5:$C$504, D4995), 0))</f>
        <v/>
      </c>
      <c r="M4995" s="31" t="str">
        <f t="shared" si="542"/>
        <v/>
      </c>
      <c r="N4995" s="31" t="str">
        <f t="shared" si="543"/>
        <v/>
      </c>
      <c r="O4995" s="31" t="str">
        <f>IF(OR(B4995="",C4995=""),"",K4995-N4995 + IFERROR(E4995 / SUMIFS('📅 Resumen Diario'!$D$5:$D$504, '📅 Resumen Diario'!$B$5:$B$504, B4995, '📅 Resumen Diario'!$C$5:$C$504, D4995) * (SUMIFS('📋 Detalle Diario'!$E$5:$E$489, '📋 Detalle Diario'!$B$5:$B$489, B4995, '📋 Detalle Diario'!$C$5:$C$489, D4995) * 135 + SUMIFS('📋 Detalle Diario'!$I$5:$I$489, '📋 Detalle Diario'!$B$5:$B$489, B4995, '📋 Detalle Diario'!$C$5:$C$489, D4995) * 200), 0))</f>
        <v/>
      </c>
      <c r="P4995" s="32" t="str">
        <f t="shared" si="544"/>
        <v/>
      </c>
      <c r="Q4995" s="33" t="str">
        <f t="shared" si="545"/>
        <v/>
      </c>
    </row>
    <row r="4996" spans="2:17" ht="18" customHeight="1" x14ac:dyDescent="0.3">
      <c r="B4996" s="26"/>
      <c r="C4996" s="17"/>
      <c r="D4996" s="27"/>
      <c r="E4996" s="18"/>
      <c r="F4996" s="18"/>
      <c r="G4996" s="18"/>
      <c r="H4996" s="30" t="str">
        <f t="shared" si="539"/>
        <v/>
      </c>
      <c r="I4996" s="31" t="str">
        <f>IF(OR(B4996="",C4996=""),"",IFERROR(E4996*IF(E4996="",0,VLOOKUP(C4996,'📦 Precios Proforma'!$B$5:$D$104,IF(D4996="DIA",2,3),FALSE)),0))</f>
        <v/>
      </c>
      <c r="J4996" s="31" t="str">
        <f t="shared" si="540"/>
        <v/>
      </c>
      <c r="K4996" s="31" t="str">
        <f t="shared" si="541"/>
        <v/>
      </c>
      <c r="L4996" s="31" t="str">
        <f>IF(OR(B4996="",C4996=""),"",IFERROR(E4996 / SUMIFS('📅 Resumen Diario'!$D$5:$D$504, '📅 Resumen Diario'!$B$5:$B$504, B4996, '📅 Resumen Diario'!$C$5:$C$504, D4996) * SUMIFS('📅 Resumen Diario'!$K$5:$K$504, '📅 Resumen Diario'!$B$5:$B$504, B4996, '📅 Resumen Diario'!$C$5:$C$504, D4996), 0))</f>
        <v/>
      </c>
      <c r="M4996" s="31" t="str">
        <f t="shared" si="542"/>
        <v/>
      </c>
      <c r="N4996" s="31" t="str">
        <f t="shared" si="543"/>
        <v/>
      </c>
      <c r="O4996" s="31" t="str">
        <f>IF(OR(B4996="",C4996=""),"",K4996-N4996 + IFERROR(E4996 / SUMIFS('📅 Resumen Diario'!$D$5:$D$504, '📅 Resumen Diario'!$B$5:$B$504, B4996, '📅 Resumen Diario'!$C$5:$C$504, D4996) * (SUMIFS('📋 Detalle Diario'!$E$5:$E$489, '📋 Detalle Diario'!$B$5:$B$489, B4996, '📋 Detalle Diario'!$C$5:$C$489, D4996) * 135 + SUMIFS('📋 Detalle Diario'!$I$5:$I$489, '📋 Detalle Diario'!$B$5:$B$489, B4996, '📋 Detalle Diario'!$C$5:$C$489, D4996) * 200), 0))</f>
        <v/>
      </c>
      <c r="P4996" s="32" t="str">
        <f t="shared" si="544"/>
        <v/>
      </c>
      <c r="Q4996" s="33" t="str">
        <f t="shared" si="545"/>
        <v/>
      </c>
    </row>
    <row r="4997" spans="2:17" ht="18" customHeight="1" x14ac:dyDescent="0.3">
      <c r="B4997" s="26"/>
      <c r="C4997" s="28"/>
      <c r="D4997" s="27"/>
      <c r="E4997" s="29"/>
      <c r="F4997" s="29"/>
      <c r="G4997" s="29"/>
      <c r="H4997" s="30" t="str">
        <f t="shared" si="539"/>
        <v/>
      </c>
      <c r="I4997" s="31" t="str">
        <f>IF(OR(B4997="",C4997=""),"",IFERROR(E4997*IF(E4997="",0,VLOOKUP(C4997,'📦 Precios Proforma'!$B$5:$D$104,IF(D4997="DIA",2,3),FALSE)),0))</f>
        <v/>
      </c>
      <c r="J4997" s="31" t="str">
        <f t="shared" si="540"/>
        <v/>
      </c>
      <c r="K4997" s="31" t="str">
        <f t="shared" si="541"/>
        <v/>
      </c>
      <c r="L4997" s="31" t="str">
        <f>IF(OR(B4997="",C4997=""),"",IFERROR(E4997 / SUMIFS('📅 Resumen Diario'!$D$5:$D$504, '📅 Resumen Diario'!$B$5:$B$504, B4997, '📅 Resumen Diario'!$C$5:$C$504, D4997) * SUMIFS('📅 Resumen Diario'!$K$5:$K$504, '📅 Resumen Diario'!$B$5:$B$504, B4997, '📅 Resumen Diario'!$C$5:$C$504, D4997), 0))</f>
        <v/>
      </c>
      <c r="M4997" s="31" t="str">
        <f t="shared" si="542"/>
        <v/>
      </c>
      <c r="N4997" s="31" t="str">
        <f t="shared" si="543"/>
        <v/>
      </c>
      <c r="O4997" s="31" t="str">
        <f>IF(OR(B4997="",C4997=""),"",K4997-N4997 + IFERROR(E4997 / SUMIFS('📅 Resumen Diario'!$D$5:$D$504, '📅 Resumen Diario'!$B$5:$B$504, B4997, '📅 Resumen Diario'!$C$5:$C$504, D4997) * (SUMIFS('📋 Detalle Diario'!$E$5:$E$489, '📋 Detalle Diario'!$B$5:$B$489, B4997, '📋 Detalle Diario'!$C$5:$C$489, D4997) * 135 + SUMIFS('📋 Detalle Diario'!$I$5:$I$489, '📋 Detalle Diario'!$B$5:$B$489, B4997, '📋 Detalle Diario'!$C$5:$C$489, D4997) * 200), 0))</f>
        <v/>
      </c>
      <c r="P4997" s="32" t="str">
        <f t="shared" si="544"/>
        <v/>
      </c>
      <c r="Q4997" s="33" t="str">
        <f t="shared" si="545"/>
        <v/>
      </c>
    </row>
    <row r="4998" spans="2:17" ht="18" customHeight="1" x14ac:dyDescent="0.3">
      <c r="B4998" s="26"/>
      <c r="C4998" s="17"/>
      <c r="D4998" s="27"/>
      <c r="E4998" s="18"/>
      <c r="F4998" s="18"/>
      <c r="G4998" s="18"/>
      <c r="H4998" s="30" t="str">
        <f t="shared" si="539"/>
        <v/>
      </c>
      <c r="I4998" s="31" t="str">
        <f>IF(OR(B4998="",C4998=""),"",IFERROR(E4998*IF(E4998="",0,VLOOKUP(C4998,'📦 Precios Proforma'!$B$5:$D$104,IF(D4998="DIA",2,3),FALSE)),0))</f>
        <v/>
      </c>
      <c r="J4998" s="31" t="str">
        <f t="shared" si="540"/>
        <v/>
      </c>
      <c r="K4998" s="31" t="str">
        <f t="shared" si="541"/>
        <v/>
      </c>
      <c r="L4998" s="31" t="str">
        <f>IF(OR(B4998="",C4998=""),"",IFERROR(E4998 / SUMIFS('📅 Resumen Diario'!$D$5:$D$504, '📅 Resumen Diario'!$B$5:$B$504, B4998, '📅 Resumen Diario'!$C$5:$C$504, D4998) * SUMIFS('📅 Resumen Diario'!$K$5:$K$504, '📅 Resumen Diario'!$B$5:$B$504, B4998, '📅 Resumen Diario'!$C$5:$C$504, D4998), 0))</f>
        <v/>
      </c>
      <c r="M4998" s="31" t="str">
        <f t="shared" si="542"/>
        <v/>
      </c>
      <c r="N4998" s="31" t="str">
        <f t="shared" si="543"/>
        <v/>
      </c>
      <c r="O4998" s="31" t="str">
        <f>IF(OR(B4998="",C4998=""),"",K4998-N4998 + IFERROR(E4998 / SUMIFS('📅 Resumen Diario'!$D$5:$D$504, '📅 Resumen Diario'!$B$5:$B$504, B4998, '📅 Resumen Diario'!$C$5:$C$504, D4998) * (SUMIFS('📋 Detalle Diario'!$E$5:$E$489, '📋 Detalle Diario'!$B$5:$B$489, B4998, '📋 Detalle Diario'!$C$5:$C$489, D4998) * 135 + SUMIFS('📋 Detalle Diario'!$I$5:$I$489, '📋 Detalle Diario'!$B$5:$B$489, B4998, '📋 Detalle Diario'!$C$5:$C$489, D4998) * 200), 0))</f>
        <v/>
      </c>
      <c r="P4998" s="32" t="str">
        <f t="shared" si="544"/>
        <v/>
      </c>
      <c r="Q4998" s="33" t="str">
        <f t="shared" si="545"/>
        <v/>
      </c>
    </row>
    <row r="4999" spans="2:17" ht="18" customHeight="1" x14ac:dyDescent="0.3">
      <c r="B4999" s="26"/>
      <c r="C4999" s="28"/>
      <c r="D4999" s="27"/>
      <c r="E4999" s="29"/>
      <c r="F4999" s="29"/>
      <c r="G4999" s="29"/>
      <c r="H4999" s="30" t="str">
        <f t="shared" ref="H4999:H5006" si="546">IF(OR(B4999="",C4999=""),"",F4999+G4999)</f>
        <v/>
      </c>
      <c r="I4999" s="31" t="str">
        <f>IF(OR(B4999="",C4999=""),"",IFERROR(E4999*IF(E4999="",0,VLOOKUP(C4999,'📦 Precios Proforma'!$B$5:$D$104,IF(D4999="DIA",2,3),FALSE)),0))</f>
        <v/>
      </c>
      <c r="J4999" s="31" t="str">
        <f t="shared" ref="J4999:J5006" si="547">IF(OR(B4999="",C4999=""),"",IF(D4999="DIA",H4999*1.01,H4999*1.35))</f>
        <v/>
      </c>
      <c r="K4999" s="31" t="str">
        <f t="shared" ref="K4999:K5006" si="548">IF(OR(B4999="",C4999=""),"",I4999+J4999)</f>
        <v/>
      </c>
      <c r="L4999" s="31" t="str">
        <f>IF(OR(B4999="",C4999=""),"",IFERROR(E4999 / SUMIFS('📅 Resumen Diario'!$D$5:$D$504, '📅 Resumen Diario'!$B$5:$B$504, B4999, '📅 Resumen Diario'!$C$5:$C$504, D4999) * SUMIFS('📅 Resumen Diario'!$K$5:$K$504, '📅 Resumen Diario'!$B$5:$B$504, B4999, '📅 Resumen Diario'!$C$5:$C$504, D4999), 0))</f>
        <v/>
      </c>
      <c r="M4999" s="31" t="str">
        <f t="shared" ref="M4999:M5006" si="549">IF(OR(B4999="",C4999=""),"",H4999*0.09)</f>
        <v/>
      </c>
      <c r="N4999" s="31" t="str">
        <f t="shared" ref="N4999:N5006" si="550">IF(OR(B4999="",C4999=""),"",L4999+M4999)</f>
        <v/>
      </c>
      <c r="O4999" s="31"/>
      <c r="P4999" s="32" t="str">
        <f t="shared" ref="P4999:P5006" si="551">IF(OR(B4999="",C4999=""),"",IF(K4999=0, 0, O4999/K4999))</f>
        <v/>
      </c>
      <c r="Q4999" s="33" t="str">
        <f t="shared" ref="Q4999:Q5006" si="552">IF(B4999="","",IF(ISNUMBER(B4999),YEAR(B4999)&amp;"-"&amp;IF(MONTH(B4999)&lt;10,"0","")&amp;MONTH(B4999),LEFT(B4999,7)))</f>
        <v/>
      </c>
    </row>
    <row r="5000" spans="2:17" ht="18" customHeight="1" x14ac:dyDescent="0.3">
      <c r="B5000" s="26"/>
      <c r="C5000" s="17"/>
      <c r="D5000" s="27"/>
      <c r="E5000" s="18"/>
      <c r="F5000" s="18"/>
      <c r="G5000" s="18"/>
      <c r="H5000" s="30" t="str">
        <f>IF(OR(B5000="",C5000=""),"",F5000+G5000)</f>
        <v/>
      </c>
      <c r="I5000" s="31" t="str">
        <f>IF(OR(B5000="",C5000=""),"",IFERROR(E5000*IF(E5000="",0,VLOOKUP(C5000,'📦 Precios Proforma'!$B$5:$D$104,IF(D5000="DIA",2,3),FALSE)),0))</f>
        <v/>
      </c>
      <c r="J5000" s="31" t="str">
        <f>IF(OR(B5000="",C5000=""),"",IF(D5000="DIA",H5000*1.01,H5000*1.35))</f>
        <v/>
      </c>
      <c r="K5000" s="31" t="str">
        <f>IF(OR(B5000="",C5000=""),"",I5000+J5000)</f>
        <v/>
      </c>
      <c r="L5000" s="31" t="str">
        <f>IF(OR(B5000="",C5000=""),"",IFERROR(E5000 / SUMIFS('📅 Resumen Diario'!$D$5:$D$504, '📅 Resumen Diario'!$B$5:$B$504, B5000, '📅 Resumen Diario'!$C$5:$C$504, D5000) * SUMIFS('📅 Resumen Diario'!$K$5:$K$504, '📅 Resumen Diario'!$B$5:$B$504, B5000, '📅 Resumen Diario'!$C$5:$C$504, D5000), 0))</f>
        <v/>
      </c>
      <c r="M5000" s="31" t="str">
        <f>IF(OR(B5000="",C5000=""),"",H5000*0.09)</f>
        <v/>
      </c>
      <c r="N5000" s="31" t="str">
        <f>IF(OR(B5000="",C5000=""),"",L5000+M5000)</f>
        <v/>
      </c>
      <c r="O5000" s="31" t="str">
        <f>IF(OR(B5000="",C5000=""),"",K5000-N5000 + IFERROR(E5000 / SUMIFS('📅 Resumen Diario'!$D$5:$D$504, '📅 Resumen Diario'!$B$5:$B$504, B5000, '📅 Resumen Diario'!$C$5:$C$504, D5000) * (SUMIFS('📋 Detalle Diario'!$E$5:$E$489, '📋 Detalle Diario'!$B$5:$B$489, B5000, '📋 Detalle Diario'!$C$5:$C$489, D5000) * 135 + SUMIFS('📋 Detalle Diario'!$I$5:$I$489, '📋 Detalle Diario'!$B$5:$B$489, B5000, '📋 Detalle Diario'!$C$5:$C$489, D5000) * 200), 0))</f>
        <v/>
      </c>
      <c r="P5000" s="32" t="str">
        <f>IF(OR(B5000="",C5000=""),"",IF(K5000=0, 0, O5000/K5000))</f>
        <v/>
      </c>
      <c r="Q5000" s="33" t="str">
        <f>IF(B5000="","",IF(ISNUMBER(B5000),YEAR(B5000)&amp;"-"&amp;IF(MONTH(B5000)&lt;10,"0","")&amp;MONTH(B5000),LEFT(B5000,7)))</f>
        <v/>
      </c>
    </row>
    <row r="5001" spans="2:17" ht="18" customHeight="1" x14ac:dyDescent="0.3">
      <c r="B5001" s="26"/>
      <c r="C5001" s="28"/>
      <c r="D5001" s="27"/>
      <c r="E5001" s="29"/>
      <c r="F5001" s="29"/>
      <c r="G5001" s="29"/>
      <c r="H5001" s="30" t="str">
        <f t="shared" si="546"/>
        <v/>
      </c>
      <c r="I5001" s="31" t="str">
        <f>IF(OR(B5001="",C5001=""),"",IFERROR(D5001*IF(D5001="",0,VLOOKUP(C5001,'📦 Precios Proforma'!$A$3:$C$100,IF(D5001="DIA",2,3),FALSE)),0))</f>
        <v/>
      </c>
      <c r="J5001" s="31" t="str">
        <f t="shared" si="547"/>
        <v/>
      </c>
      <c r="K5001" s="31" t="str">
        <f t="shared" si="548"/>
        <v/>
      </c>
      <c r="L5001" s="31" t="str">
        <f>IF(OR(B5001="",C5001=""),"",IFERROR(D5001*(IF(D5001="DIA",'⚙️ Supuestos'!$B$25,'⚙️ Supuestos'!$B$32)/SUMIFS($D$7:$D$5007,$B$7:$B$5007,B5001,$C$7:$C$5007,C5001)),0))</f>
        <v/>
      </c>
      <c r="M5001" s="31" t="str">
        <f t="shared" si="549"/>
        <v/>
      </c>
      <c r="N5001" s="31" t="str">
        <f t="shared" si="550"/>
        <v/>
      </c>
      <c r="O5001" s="31"/>
      <c r="P5001" s="32" t="str">
        <f t="shared" si="551"/>
        <v/>
      </c>
      <c r="Q5001" s="33" t="str">
        <f t="shared" si="552"/>
        <v/>
      </c>
    </row>
    <row r="5002" spans="2:17" ht="18" customHeight="1" x14ac:dyDescent="0.3">
      <c r="B5002" s="26"/>
      <c r="C5002" s="17"/>
      <c r="D5002" s="27"/>
      <c r="E5002" s="18"/>
      <c r="F5002" s="18"/>
      <c r="G5002" s="18"/>
      <c r="H5002" s="30" t="str">
        <f t="shared" si="546"/>
        <v/>
      </c>
      <c r="I5002" s="31" t="str">
        <f>IF(OR(B5002="",C5002=""),"",IFERROR(D5002*IF(D5002="",0,VLOOKUP(C5002,'📦 Precios Proforma'!$A$3:$C$100,IF(D5002="DIA",2,3),FALSE)),0))</f>
        <v/>
      </c>
      <c r="J5002" s="31" t="str">
        <f t="shared" si="547"/>
        <v/>
      </c>
      <c r="K5002" s="31" t="str">
        <f t="shared" si="548"/>
        <v/>
      </c>
      <c r="L5002" s="31" t="str">
        <f>IF(OR(B5002="",C5002=""),"",IFERROR(D5002*(IF(D5002="DIA",'⚙️ Supuestos'!$B$25,'⚙️ Supuestos'!$B$32)/SUMIFS($D$7:$D$5007,$B$7:$B$5007,B5002,$C$7:$C$5007,C5002)),0))</f>
        <v/>
      </c>
      <c r="M5002" s="31" t="str">
        <f t="shared" si="549"/>
        <v/>
      </c>
      <c r="N5002" s="31" t="str">
        <f t="shared" si="550"/>
        <v/>
      </c>
      <c r="O5002" s="31"/>
      <c r="P5002" s="32" t="str">
        <f t="shared" si="551"/>
        <v/>
      </c>
      <c r="Q5002" s="33" t="str">
        <f t="shared" si="552"/>
        <v/>
      </c>
    </row>
    <row r="5003" spans="2:17" ht="18" customHeight="1" x14ac:dyDescent="0.3">
      <c r="B5003" s="26"/>
      <c r="C5003" s="28"/>
      <c r="D5003" s="27"/>
      <c r="E5003" s="29"/>
      <c r="F5003" s="29"/>
      <c r="G5003" s="29"/>
      <c r="H5003" s="30" t="str">
        <f t="shared" si="546"/>
        <v/>
      </c>
      <c r="I5003" s="31" t="str">
        <f>IF(OR(B5003="",C5003=""),"",IFERROR(D5003*IF(D5003="",0,VLOOKUP(C5003,'📦 Precios Proforma'!$A$3:$C$100,IF(D5003="DIA",2,3),FALSE)),0))</f>
        <v/>
      </c>
      <c r="J5003" s="31" t="str">
        <f t="shared" si="547"/>
        <v/>
      </c>
      <c r="K5003" s="31" t="str">
        <f t="shared" si="548"/>
        <v/>
      </c>
      <c r="L5003" s="31" t="str">
        <f>IF(OR(B5003="",C5003=""),"",IFERROR(D5003*(IF(D5003="DIA",'⚙️ Supuestos'!$B$25,'⚙️ Supuestos'!$B$32)/SUMIFS($D$7:$D$5007,$B$7:$B$5007,B5003,$C$7:$C$5007,C5003)),0))</f>
        <v/>
      </c>
      <c r="M5003" s="31" t="str">
        <f t="shared" si="549"/>
        <v/>
      </c>
      <c r="N5003" s="31" t="str">
        <f t="shared" si="550"/>
        <v/>
      </c>
      <c r="O5003" s="31"/>
      <c r="P5003" s="32" t="str">
        <f t="shared" si="551"/>
        <v/>
      </c>
      <c r="Q5003" s="33" t="str">
        <f t="shared" si="552"/>
        <v/>
      </c>
    </row>
    <row r="5004" spans="2:17" ht="18" customHeight="1" x14ac:dyDescent="0.3">
      <c r="B5004" s="26"/>
      <c r="C5004" s="17"/>
      <c r="D5004" s="27"/>
      <c r="E5004" s="18"/>
      <c r="F5004" s="18"/>
      <c r="G5004" s="18"/>
      <c r="H5004" s="30" t="str">
        <f t="shared" si="546"/>
        <v/>
      </c>
      <c r="I5004" s="31" t="str">
        <f>IF(OR(B5004="",C5004=""),"",IFERROR(D5004*IF(D5004="",0,VLOOKUP(C5004,'📦 Precios Proforma'!$A$3:$C$100,IF(D5004="DIA",2,3),FALSE)),0))</f>
        <v/>
      </c>
      <c r="J5004" s="31" t="str">
        <f t="shared" si="547"/>
        <v/>
      </c>
      <c r="K5004" s="31" t="str">
        <f t="shared" si="548"/>
        <v/>
      </c>
      <c r="L5004" s="31" t="str">
        <f>IF(OR(B5004="",C5004=""),"",IFERROR(D5004*(IF(D5004="DIA",'⚙️ Supuestos'!$B$25,'⚙️ Supuestos'!$B$32)/SUMIFS($D$7:$D$5007,$B$7:$B$5007,B5004,$C$7:$C$5007,C5004)),0))</f>
        <v/>
      </c>
      <c r="M5004" s="31" t="str">
        <f t="shared" si="549"/>
        <v/>
      </c>
      <c r="N5004" s="31" t="str">
        <f t="shared" si="550"/>
        <v/>
      </c>
      <c r="O5004" s="31"/>
      <c r="P5004" s="32" t="str">
        <f t="shared" si="551"/>
        <v/>
      </c>
      <c r="Q5004" s="33" t="str">
        <f t="shared" si="552"/>
        <v/>
      </c>
    </row>
    <row r="5005" spans="2:17" ht="18" customHeight="1" x14ac:dyDescent="0.3">
      <c r="B5005" s="26"/>
      <c r="C5005" s="28"/>
      <c r="D5005" s="27"/>
      <c r="E5005" s="29"/>
      <c r="F5005" s="29"/>
      <c r="G5005" s="29"/>
      <c r="H5005" s="30" t="str">
        <f t="shared" si="546"/>
        <v/>
      </c>
      <c r="I5005" s="31" t="str">
        <f>IF(OR(B5005="",C5005=""),"",IFERROR(D5005*IF(D5005="",0,VLOOKUP(C5005,'📦 Precios Proforma'!$A$3:$C$100,IF(D5005="DIA",2,3),FALSE)),0))</f>
        <v/>
      </c>
      <c r="J5005" s="31" t="str">
        <f t="shared" si="547"/>
        <v/>
      </c>
      <c r="K5005" s="31" t="str">
        <f t="shared" si="548"/>
        <v/>
      </c>
      <c r="L5005" s="31" t="str">
        <f>IF(OR(B5005="",C5005=""),"",IFERROR(D5005*(IF(D5005="DIA",'⚙️ Supuestos'!$B$25,'⚙️ Supuestos'!$B$32)/SUMIFS($D$7:$D$5007,$B$7:$B$5007,B5005,$C$7:$C$5007,C5005)),0))</f>
        <v/>
      </c>
      <c r="M5005" s="31" t="str">
        <f t="shared" si="549"/>
        <v/>
      </c>
      <c r="N5005" s="31" t="str">
        <f t="shared" si="550"/>
        <v/>
      </c>
      <c r="O5005" s="31"/>
      <c r="P5005" s="32" t="str">
        <f t="shared" si="551"/>
        <v/>
      </c>
      <c r="Q5005" s="33" t="str">
        <f t="shared" si="552"/>
        <v/>
      </c>
    </row>
    <row r="5006" spans="2:17" ht="18" customHeight="1" x14ac:dyDescent="0.3">
      <c r="B5006" s="26"/>
      <c r="C5006" s="17"/>
      <c r="D5006" s="27"/>
      <c r="E5006" s="18"/>
      <c r="F5006" s="18"/>
      <c r="G5006" s="18"/>
      <c r="H5006" s="30" t="str">
        <f t="shared" si="546"/>
        <v/>
      </c>
      <c r="I5006" s="31" t="str">
        <f>IF(OR(B5006="",C5006=""),"",IFERROR(D5006*IF(D5006="",0,VLOOKUP(C5006,'📦 Precios Proforma'!$A$3:$C$100,IF(D5006="DIA",2,3),FALSE)),0))</f>
        <v/>
      </c>
      <c r="J5006" s="31" t="str">
        <f t="shared" si="547"/>
        <v/>
      </c>
      <c r="K5006" s="31" t="str">
        <f t="shared" si="548"/>
        <v/>
      </c>
      <c r="L5006" s="31" t="str">
        <f>IF(OR(B5006="",C5006=""),"",IFERROR(D5006*(IF(D5006="DIA",'⚙️ Supuestos'!$B$25,'⚙️ Supuestos'!$B$32)/SUMIFS($D$7:$D$5007,$B$7:$B$5007,B5006,$C$7:$C$5007,C5006)),0))</f>
        <v/>
      </c>
      <c r="M5006" s="31" t="str">
        <f t="shared" si="549"/>
        <v/>
      </c>
      <c r="N5006" s="31" t="str">
        <f t="shared" si="550"/>
        <v/>
      </c>
      <c r="O5006" s="31"/>
      <c r="P5006" s="32" t="str">
        <f t="shared" si="551"/>
        <v/>
      </c>
      <c r="Q5006" s="33" t="str">
        <f t="shared" si="552"/>
        <v/>
      </c>
    </row>
  </sheetData>
  <mergeCells count="4">
    <mergeCell ref="B1:P1"/>
    <mergeCell ref="B2:P2"/>
    <mergeCell ref="B3:P3"/>
    <mergeCell ref="B6:P6"/>
  </mergeCells>
  <conditionalFormatting sqref="O7:O500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004"/>
  <sheetViews>
    <sheetView showGridLines="0" zoomScaleNormal="100" workbookViewId="0">
      <pane xSplit="1" ySplit="4" topLeftCell="B5" activePane="bottomRight" state="frozen"/>
      <selection pane="topRight"/>
      <selection pane="bottomLeft"/>
      <selection pane="bottomRight" activeCell="H7" sqref="H7"/>
    </sheetView>
  </sheetViews>
  <sheetFormatPr baseColWidth="10" defaultColWidth="8.88671875" defaultRowHeight="14.4" customHeight="1" x14ac:dyDescent="0.3"/>
  <cols>
    <col min="1" max="1" width="3" customWidth="1"/>
    <col min="2" max="2" width="12" customWidth="1"/>
    <col min="3" max="3" width="10" customWidth="1"/>
    <col min="4" max="4" width="32" customWidth="1"/>
    <col min="5" max="7" width="10" customWidth="1"/>
    <col min="8" max="8" width="12" customWidth="1"/>
  </cols>
  <sheetData>
    <row r="1" spans="2:8" ht="34.950000000000003" customHeight="1" x14ac:dyDescent="0.3">
      <c r="B1" s="77" t="s">
        <v>174</v>
      </c>
      <c r="C1" s="72"/>
      <c r="D1" s="72"/>
      <c r="E1" s="72"/>
      <c r="F1" s="72"/>
      <c r="G1" s="72"/>
      <c r="H1" s="72"/>
    </row>
    <row r="2" spans="2:8" ht="28.05" customHeight="1" x14ac:dyDescent="0.3">
      <c r="B2" s="79" t="s">
        <v>175</v>
      </c>
      <c r="C2" s="72"/>
      <c r="D2" s="72"/>
      <c r="E2" s="72"/>
      <c r="F2" s="72"/>
      <c r="G2" s="72"/>
      <c r="H2" s="72"/>
    </row>
    <row r="3" spans="2:8" ht="4.05" customHeight="1" x14ac:dyDescent="0.25">
      <c r="B3" s="1"/>
      <c r="C3" s="1"/>
      <c r="D3" s="1"/>
      <c r="E3" s="1"/>
      <c r="F3" s="1"/>
      <c r="G3" s="1"/>
      <c r="H3" s="1"/>
    </row>
    <row r="4" spans="2:8" ht="30" customHeight="1" x14ac:dyDescent="0.25">
      <c r="B4" s="16" t="s">
        <v>52</v>
      </c>
      <c r="C4" s="16" t="s">
        <v>176</v>
      </c>
      <c r="D4" s="16" t="s">
        <v>177</v>
      </c>
      <c r="E4" s="16" t="s">
        <v>178</v>
      </c>
      <c r="F4" s="16" t="s">
        <v>179</v>
      </c>
      <c r="G4" s="16" t="s">
        <v>180</v>
      </c>
      <c r="H4" s="16" t="s">
        <v>181</v>
      </c>
    </row>
    <row r="5" spans="2:8" ht="18" customHeight="1" x14ac:dyDescent="0.25">
      <c r="B5" s="26" t="s">
        <v>104</v>
      </c>
      <c r="C5" s="27">
        <v>3342</v>
      </c>
      <c r="D5" s="28" t="s">
        <v>182</v>
      </c>
      <c r="E5" s="36" t="s">
        <v>183</v>
      </c>
      <c r="F5" s="36" t="s">
        <v>184</v>
      </c>
      <c r="G5" s="30">
        <v>7</v>
      </c>
      <c r="H5" s="37">
        <v>0</v>
      </c>
    </row>
    <row r="6" spans="2:8" ht="18" customHeight="1" x14ac:dyDescent="0.25">
      <c r="B6" s="26" t="s">
        <v>104</v>
      </c>
      <c r="C6" s="27">
        <v>3350</v>
      </c>
      <c r="D6" s="17" t="s">
        <v>185</v>
      </c>
      <c r="E6" s="38" t="s">
        <v>183</v>
      </c>
      <c r="F6" s="38" t="s">
        <v>184</v>
      </c>
      <c r="G6" s="30">
        <v>7</v>
      </c>
      <c r="H6" s="39">
        <v>0</v>
      </c>
    </row>
    <row r="7" spans="2:8" ht="18" customHeight="1" x14ac:dyDescent="0.25">
      <c r="B7" s="26" t="s">
        <v>104</v>
      </c>
      <c r="C7" s="27">
        <v>3374</v>
      </c>
      <c r="D7" s="28" t="s">
        <v>186</v>
      </c>
      <c r="E7" s="36" t="s">
        <v>187</v>
      </c>
      <c r="F7" s="36" t="s">
        <v>188</v>
      </c>
      <c r="G7" s="30">
        <v>8</v>
      </c>
      <c r="H7" s="37">
        <v>0</v>
      </c>
    </row>
    <row r="8" spans="2:8" ht="18" customHeight="1" x14ac:dyDescent="0.25">
      <c r="B8" s="26" t="s">
        <v>104</v>
      </c>
      <c r="C8" s="27">
        <v>3337</v>
      </c>
      <c r="D8" s="17" t="s">
        <v>189</v>
      </c>
      <c r="E8" s="38" t="s">
        <v>183</v>
      </c>
      <c r="F8" s="38" t="s">
        <v>184</v>
      </c>
      <c r="G8" s="30">
        <v>7</v>
      </c>
      <c r="H8" s="39">
        <v>0</v>
      </c>
    </row>
    <row r="9" spans="2:8" ht="18" customHeight="1" x14ac:dyDescent="0.25">
      <c r="B9" s="26" t="s">
        <v>104</v>
      </c>
      <c r="C9" s="27">
        <v>3353</v>
      </c>
      <c r="D9" s="28" t="s">
        <v>190</v>
      </c>
      <c r="E9" s="36" t="s">
        <v>183</v>
      </c>
      <c r="F9" s="36" t="s">
        <v>184</v>
      </c>
      <c r="G9" s="30">
        <v>7</v>
      </c>
      <c r="H9" s="37">
        <v>0</v>
      </c>
    </row>
    <row r="10" spans="2:8" ht="18" customHeight="1" x14ac:dyDescent="0.25">
      <c r="B10" s="26" t="s">
        <v>104</v>
      </c>
      <c r="C10" s="27">
        <v>3339</v>
      </c>
      <c r="D10" s="17" t="s">
        <v>191</v>
      </c>
      <c r="E10" s="38" t="s">
        <v>187</v>
      </c>
      <c r="F10" s="38" t="s">
        <v>188</v>
      </c>
      <c r="G10" s="30">
        <v>8</v>
      </c>
      <c r="H10" s="39">
        <v>0</v>
      </c>
    </row>
    <row r="11" spans="2:8" ht="18" customHeight="1" x14ac:dyDescent="0.25">
      <c r="B11" s="26" t="s">
        <v>104</v>
      </c>
      <c r="C11" s="27">
        <v>3349</v>
      </c>
      <c r="D11" s="28" t="s">
        <v>192</v>
      </c>
      <c r="E11" s="36" t="s">
        <v>187</v>
      </c>
      <c r="F11" s="36" t="s">
        <v>188</v>
      </c>
      <c r="G11" s="30">
        <v>8</v>
      </c>
      <c r="H11" s="37">
        <v>0</v>
      </c>
    </row>
    <row r="12" spans="2:8" ht="18" customHeight="1" x14ac:dyDescent="0.25">
      <c r="B12" s="26" t="s">
        <v>104</v>
      </c>
      <c r="C12" s="27">
        <v>3338</v>
      </c>
      <c r="D12" s="17" t="s">
        <v>193</v>
      </c>
      <c r="E12" s="38" t="s">
        <v>187</v>
      </c>
      <c r="F12" s="38" t="s">
        <v>188</v>
      </c>
      <c r="G12" s="30">
        <v>8</v>
      </c>
      <c r="H12" s="39">
        <v>0</v>
      </c>
    </row>
    <row r="13" spans="2:8" ht="18" customHeight="1" x14ac:dyDescent="0.25">
      <c r="B13" s="26" t="s">
        <v>104</v>
      </c>
      <c r="C13" s="27">
        <v>3343</v>
      </c>
      <c r="D13" s="28" t="s">
        <v>194</v>
      </c>
      <c r="E13" s="36" t="s">
        <v>187</v>
      </c>
      <c r="F13" s="36" t="s">
        <v>188</v>
      </c>
      <c r="G13" s="30">
        <v>8</v>
      </c>
      <c r="H13" s="37">
        <v>0</v>
      </c>
    </row>
    <row r="14" spans="2:8" ht="18" customHeight="1" x14ac:dyDescent="0.25">
      <c r="B14" s="26" t="s">
        <v>104</v>
      </c>
      <c r="C14" s="27">
        <v>3346</v>
      </c>
      <c r="D14" s="17" t="s">
        <v>195</v>
      </c>
      <c r="E14" s="38" t="s">
        <v>183</v>
      </c>
      <c r="F14" s="38" t="s">
        <v>184</v>
      </c>
      <c r="G14" s="30">
        <v>7</v>
      </c>
      <c r="H14" s="39">
        <v>0</v>
      </c>
    </row>
    <row r="15" spans="2:8" ht="18" customHeight="1" x14ac:dyDescent="0.25">
      <c r="B15" s="26" t="s">
        <v>104</v>
      </c>
      <c r="C15" s="27">
        <v>3336</v>
      </c>
      <c r="D15" s="28" t="s">
        <v>196</v>
      </c>
      <c r="E15" s="36" t="s">
        <v>187</v>
      </c>
      <c r="F15" s="36" t="s">
        <v>188</v>
      </c>
      <c r="G15" s="30">
        <v>8</v>
      </c>
      <c r="H15" s="37">
        <v>0</v>
      </c>
    </row>
    <row r="16" spans="2:8" ht="18" customHeight="1" x14ac:dyDescent="0.25">
      <c r="B16" s="26" t="s">
        <v>104</v>
      </c>
      <c r="C16" s="27">
        <v>3340</v>
      </c>
      <c r="D16" s="17" t="s">
        <v>197</v>
      </c>
      <c r="E16" s="38" t="s">
        <v>183</v>
      </c>
      <c r="F16" s="38" t="s">
        <v>184</v>
      </c>
      <c r="G16" s="30">
        <v>7</v>
      </c>
      <c r="H16" s="39">
        <v>0</v>
      </c>
    </row>
    <row r="17" spans="2:8" ht="18" customHeight="1" x14ac:dyDescent="0.25">
      <c r="B17" s="26" t="s">
        <v>104</v>
      </c>
      <c r="C17" s="27">
        <v>3355</v>
      </c>
      <c r="D17" s="28" t="s">
        <v>198</v>
      </c>
      <c r="E17" s="36" t="s">
        <v>187</v>
      </c>
      <c r="F17" s="36" t="s">
        <v>188</v>
      </c>
      <c r="G17" s="30">
        <v>8</v>
      </c>
      <c r="H17" s="37">
        <v>0</v>
      </c>
    </row>
    <row r="18" spans="2:8" ht="18" customHeight="1" x14ac:dyDescent="0.25">
      <c r="B18" s="26" t="s">
        <v>104</v>
      </c>
      <c r="C18" s="27">
        <v>3351</v>
      </c>
      <c r="D18" s="17" t="s">
        <v>199</v>
      </c>
      <c r="E18" s="38" t="s">
        <v>183</v>
      </c>
      <c r="F18" s="38" t="s">
        <v>184</v>
      </c>
      <c r="G18" s="30">
        <v>7</v>
      </c>
      <c r="H18" s="39">
        <v>0</v>
      </c>
    </row>
    <row r="19" spans="2:8" ht="18" customHeight="1" x14ac:dyDescent="0.25">
      <c r="B19" s="26" t="s">
        <v>105</v>
      </c>
      <c r="C19" s="27">
        <v>3350</v>
      </c>
      <c r="D19" s="28" t="s">
        <v>185</v>
      </c>
      <c r="E19" s="36" t="s">
        <v>183</v>
      </c>
      <c r="F19" s="36" t="s">
        <v>184</v>
      </c>
      <c r="G19" s="30">
        <v>7</v>
      </c>
      <c r="H19" s="37">
        <v>0.5</v>
      </c>
    </row>
    <row r="20" spans="2:8" ht="18" customHeight="1" x14ac:dyDescent="0.25">
      <c r="B20" s="26" t="s">
        <v>105</v>
      </c>
      <c r="C20" s="27">
        <v>3374</v>
      </c>
      <c r="D20" s="17" t="s">
        <v>186</v>
      </c>
      <c r="E20" s="38" t="s">
        <v>187</v>
      </c>
      <c r="F20" s="38" t="s">
        <v>188</v>
      </c>
      <c r="G20" s="30">
        <v>8</v>
      </c>
      <c r="H20" s="39">
        <v>0</v>
      </c>
    </row>
    <row r="21" spans="2:8" ht="18" customHeight="1" x14ac:dyDescent="0.25">
      <c r="B21" s="26" t="s">
        <v>105</v>
      </c>
      <c r="C21" s="27">
        <v>3337</v>
      </c>
      <c r="D21" s="28" t="s">
        <v>189</v>
      </c>
      <c r="E21" s="36" t="s">
        <v>183</v>
      </c>
      <c r="F21" s="36" t="s">
        <v>184</v>
      </c>
      <c r="G21" s="30">
        <v>7</v>
      </c>
      <c r="H21" s="37">
        <v>0.5</v>
      </c>
    </row>
    <row r="22" spans="2:8" ht="18" customHeight="1" x14ac:dyDescent="0.25">
      <c r="B22" s="26" t="s">
        <v>105</v>
      </c>
      <c r="C22" s="27">
        <v>3353</v>
      </c>
      <c r="D22" s="17" t="s">
        <v>190</v>
      </c>
      <c r="E22" s="38" t="s">
        <v>183</v>
      </c>
      <c r="F22" s="38" t="s">
        <v>184</v>
      </c>
      <c r="G22" s="30">
        <v>7</v>
      </c>
      <c r="H22" s="39">
        <v>0.5</v>
      </c>
    </row>
    <row r="23" spans="2:8" ht="18" customHeight="1" x14ac:dyDescent="0.25">
      <c r="B23" s="26" t="s">
        <v>105</v>
      </c>
      <c r="C23" s="27">
        <v>3339</v>
      </c>
      <c r="D23" s="28" t="s">
        <v>191</v>
      </c>
      <c r="E23" s="36" t="s">
        <v>187</v>
      </c>
      <c r="F23" s="36" t="s">
        <v>188</v>
      </c>
      <c r="G23" s="30">
        <v>8</v>
      </c>
      <c r="H23" s="37">
        <v>0</v>
      </c>
    </row>
    <row r="24" spans="2:8" ht="18" customHeight="1" x14ac:dyDescent="0.25">
      <c r="B24" s="26" t="s">
        <v>105</v>
      </c>
      <c r="C24" s="27">
        <v>3349</v>
      </c>
      <c r="D24" s="17" t="s">
        <v>192</v>
      </c>
      <c r="E24" s="38" t="s">
        <v>187</v>
      </c>
      <c r="F24" s="38" t="s">
        <v>188</v>
      </c>
      <c r="G24" s="30">
        <v>8</v>
      </c>
      <c r="H24" s="39">
        <v>0</v>
      </c>
    </row>
    <row r="25" spans="2:8" ht="18" customHeight="1" x14ac:dyDescent="0.25">
      <c r="B25" s="26" t="s">
        <v>105</v>
      </c>
      <c r="C25" s="27">
        <v>3338</v>
      </c>
      <c r="D25" s="28" t="s">
        <v>193</v>
      </c>
      <c r="E25" s="36" t="s">
        <v>187</v>
      </c>
      <c r="F25" s="36" t="s">
        <v>188</v>
      </c>
      <c r="G25" s="30">
        <v>8</v>
      </c>
      <c r="H25" s="37">
        <v>0</v>
      </c>
    </row>
    <row r="26" spans="2:8" ht="18" customHeight="1" x14ac:dyDescent="0.25">
      <c r="B26" s="26" t="s">
        <v>105</v>
      </c>
      <c r="C26" s="27">
        <v>3343</v>
      </c>
      <c r="D26" s="17" t="s">
        <v>194</v>
      </c>
      <c r="E26" s="38" t="s">
        <v>187</v>
      </c>
      <c r="F26" s="38" t="s">
        <v>188</v>
      </c>
      <c r="G26" s="30">
        <v>8</v>
      </c>
      <c r="H26" s="39">
        <v>0</v>
      </c>
    </row>
    <row r="27" spans="2:8" ht="18" customHeight="1" x14ac:dyDescent="0.25">
      <c r="B27" s="26" t="s">
        <v>105</v>
      </c>
      <c r="C27" s="27">
        <v>3346</v>
      </c>
      <c r="D27" s="28" t="s">
        <v>195</v>
      </c>
      <c r="E27" s="36" t="s">
        <v>183</v>
      </c>
      <c r="F27" s="36" t="s">
        <v>184</v>
      </c>
      <c r="G27" s="30">
        <v>7</v>
      </c>
      <c r="H27" s="37">
        <v>0.5</v>
      </c>
    </row>
    <row r="28" spans="2:8" ht="18" customHeight="1" x14ac:dyDescent="0.25">
      <c r="B28" s="26" t="s">
        <v>105</v>
      </c>
      <c r="C28" s="27">
        <v>3336</v>
      </c>
      <c r="D28" s="17" t="s">
        <v>196</v>
      </c>
      <c r="E28" s="38" t="s">
        <v>187</v>
      </c>
      <c r="F28" s="38" t="s">
        <v>188</v>
      </c>
      <c r="G28" s="30">
        <v>8</v>
      </c>
      <c r="H28" s="39">
        <v>0</v>
      </c>
    </row>
    <row r="29" spans="2:8" ht="18" customHeight="1" x14ac:dyDescent="0.3">
      <c r="B29" s="26" t="s">
        <v>105</v>
      </c>
      <c r="C29" s="27">
        <v>3340</v>
      </c>
      <c r="D29" s="28" t="s">
        <v>197</v>
      </c>
      <c r="E29" s="36" t="s">
        <v>183</v>
      </c>
      <c r="F29" s="36" t="s">
        <v>184</v>
      </c>
      <c r="G29" s="30">
        <v>7</v>
      </c>
      <c r="H29" s="37">
        <v>0.5</v>
      </c>
    </row>
    <row r="30" spans="2:8" ht="18" customHeight="1" x14ac:dyDescent="0.3">
      <c r="B30" s="26" t="s">
        <v>105</v>
      </c>
      <c r="C30" s="27">
        <v>3351</v>
      </c>
      <c r="D30" s="17" t="s">
        <v>199</v>
      </c>
      <c r="E30" s="38" t="s">
        <v>183</v>
      </c>
      <c r="F30" s="38" t="s">
        <v>184</v>
      </c>
      <c r="G30" s="30">
        <v>7</v>
      </c>
      <c r="H30" s="39">
        <v>0.5</v>
      </c>
    </row>
    <row r="31" spans="2:8" ht="18" customHeight="1" x14ac:dyDescent="0.3">
      <c r="B31" s="26" t="s">
        <v>106</v>
      </c>
      <c r="C31" s="27">
        <v>3342</v>
      </c>
      <c r="D31" s="28" t="s">
        <v>182</v>
      </c>
      <c r="E31" s="36" t="s">
        <v>183</v>
      </c>
      <c r="F31" s="36" t="s">
        <v>200</v>
      </c>
      <c r="G31" s="30">
        <v>7</v>
      </c>
      <c r="H31" s="37">
        <v>1.5</v>
      </c>
    </row>
    <row r="32" spans="2:8" ht="18" customHeight="1" x14ac:dyDescent="0.3">
      <c r="B32" s="26" t="s">
        <v>106</v>
      </c>
      <c r="C32" s="27">
        <v>3350</v>
      </c>
      <c r="D32" s="17" t="s">
        <v>185</v>
      </c>
      <c r="E32" s="38" t="s">
        <v>183</v>
      </c>
      <c r="F32" s="38" t="s">
        <v>200</v>
      </c>
      <c r="G32" s="30">
        <v>7</v>
      </c>
      <c r="H32" s="39">
        <v>1.5</v>
      </c>
    </row>
    <row r="33" spans="2:8" ht="18" customHeight="1" x14ac:dyDescent="0.3">
      <c r="B33" s="26" t="s">
        <v>106</v>
      </c>
      <c r="C33" s="27">
        <v>3374</v>
      </c>
      <c r="D33" s="28" t="s">
        <v>186</v>
      </c>
      <c r="E33" s="36" t="s">
        <v>187</v>
      </c>
      <c r="F33" s="36" t="s">
        <v>188</v>
      </c>
      <c r="G33" s="30">
        <v>8</v>
      </c>
      <c r="H33" s="37">
        <v>0</v>
      </c>
    </row>
    <row r="34" spans="2:8" ht="18" customHeight="1" x14ac:dyDescent="0.3">
      <c r="B34" s="26" t="s">
        <v>106</v>
      </c>
      <c r="C34" s="27">
        <v>3337</v>
      </c>
      <c r="D34" s="17" t="s">
        <v>189</v>
      </c>
      <c r="E34" s="38" t="s">
        <v>183</v>
      </c>
      <c r="F34" s="38" t="s">
        <v>200</v>
      </c>
      <c r="G34" s="30">
        <v>7</v>
      </c>
      <c r="H34" s="39">
        <v>1.5</v>
      </c>
    </row>
    <row r="35" spans="2:8" ht="18" customHeight="1" x14ac:dyDescent="0.3">
      <c r="B35" s="26" t="s">
        <v>106</v>
      </c>
      <c r="C35" s="27">
        <v>3353</v>
      </c>
      <c r="D35" s="28" t="s">
        <v>190</v>
      </c>
      <c r="E35" s="36" t="s">
        <v>183</v>
      </c>
      <c r="F35" s="36" t="s">
        <v>200</v>
      </c>
      <c r="G35" s="30">
        <v>7</v>
      </c>
      <c r="H35" s="37">
        <v>1.5</v>
      </c>
    </row>
    <row r="36" spans="2:8" ht="18" customHeight="1" x14ac:dyDescent="0.3">
      <c r="B36" s="26" t="s">
        <v>106</v>
      </c>
      <c r="C36" s="27">
        <v>3339</v>
      </c>
      <c r="D36" s="17" t="s">
        <v>191</v>
      </c>
      <c r="E36" s="38" t="s">
        <v>187</v>
      </c>
      <c r="F36" s="38" t="s">
        <v>188</v>
      </c>
      <c r="G36" s="30">
        <v>8</v>
      </c>
      <c r="H36" s="39">
        <v>0</v>
      </c>
    </row>
    <row r="37" spans="2:8" ht="18" customHeight="1" x14ac:dyDescent="0.3">
      <c r="B37" s="26" t="s">
        <v>106</v>
      </c>
      <c r="C37" s="27">
        <v>3349</v>
      </c>
      <c r="D37" s="28" t="s">
        <v>192</v>
      </c>
      <c r="E37" s="36" t="s">
        <v>187</v>
      </c>
      <c r="F37" s="36" t="s">
        <v>188</v>
      </c>
      <c r="G37" s="30">
        <v>8</v>
      </c>
      <c r="H37" s="37">
        <v>0</v>
      </c>
    </row>
    <row r="38" spans="2:8" ht="18" customHeight="1" x14ac:dyDescent="0.3">
      <c r="B38" s="26" t="s">
        <v>106</v>
      </c>
      <c r="C38" s="27">
        <v>3338</v>
      </c>
      <c r="D38" s="17" t="s">
        <v>193</v>
      </c>
      <c r="E38" s="38" t="s">
        <v>187</v>
      </c>
      <c r="F38" s="38" t="s">
        <v>188</v>
      </c>
      <c r="G38" s="30">
        <v>8</v>
      </c>
      <c r="H38" s="39">
        <v>0</v>
      </c>
    </row>
    <row r="39" spans="2:8" ht="18" customHeight="1" x14ac:dyDescent="0.3">
      <c r="B39" s="26" t="s">
        <v>106</v>
      </c>
      <c r="C39" s="27">
        <v>3343</v>
      </c>
      <c r="D39" s="28" t="s">
        <v>194</v>
      </c>
      <c r="E39" s="36" t="s">
        <v>187</v>
      </c>
      <c r="F39" s="36" t="s">
        <v>188</v>
      </c>
      <c r="G39" s="30">
        <v>8</v>
      </c>
      <c r="H39" s="37">
        <v>0</v>
      </c>
    </row>
    <row r="40" spans="2:8" ht="18" customHeight="1" x14ac:dyDescent="0.3">
      <c r="B40" s="26" t="s">
        <v>106</v>
      </c>
      <c r="C40" s="27">
        <v>3346</v>
      </c>
      <c r="D40" s="17" t="s">
        <v>195</v>
      </c>
      <c r="E40" s="38" t="s">
        <v>183</v>
      </c>
      <c r="F40" s="38" t="s">
        <v>200</v>
      </c>
      <c r="G40" s="30">
        <v>7</v>
      </c>
      <c r="H40" s="39">
        <v>1.5</v>
      </c>
    </row>
    <row r="41" spans="2:8" ht="18" customHeight="1" x14ac:dyDescent="0.3">
      <c r="B41" s="26" t="s">
        <v>106</v>
      </c>
      <c r="C41" s="27">
        <v>3336</v>
      </c>
      <c r="D41" s="28" t="s">
        <v>196</v>
      </c>
      <c r="E41" s="36" t="s">
        <v>187</v>
      </c>
      <c r="F41" s="36" t="s">
        <v>188</v>
      </c>
      <c r="G41" s="30">
        <v>8</v>
      </c>
      <c r="H41" s="37">
        <v>0</v>
      </c>
    </row>
    <row r="42" spans="2:8" ht="18" customHeight="1" x14ac:dyDescent="0.3">
      <c r="B42" s="26" t="s">
        <v>106</v>
      </c>
      <c r="C42" s="27">
        <v>3340</v>
      </c>
      <c r="D42" s="17" t="s">
        <v>197</v>
      </c>
      <c r="E42" s="38" t="s">
        <v>183</v>
      </c>
      <c r="F42" s="38" t="s">
        <v>200</v>
      </c>
      <c r="G42" s="30">
        <v>7</v>
      </c>
      <c r="H42" s="39">
        <v>1.5</v>
      </c>
    </row>
    <row r="43" spans="2:8" ht="18" customHeight="1" x14ac:dyDescent="0.3">
      <c r="B43" s="26" t="s">
        <v>106</v>
      </c>
      <c r="C43" s="27">
        <v>3355</v>
      </c>
      <c r="D43" s="28" t="s">
        <v>198</v>
      </c>
      <c r="E43" s="36" t="s">
        <v>187</v>
      </c>
      <c r="F43" s="36" t="s">
        <v>188</v>
      </c>
      <c r="G43" s="30">
        <v>8</v>
      </c>
      <c r="H43" s="37">
        <v>0</v>
      </c>
    </row>
    <row r="44" spans="2:8" ht="18" customHeight="1" x14ac:dyDescent="0.3">
      <c r="B44" s="26" t="s">
        <v>106</v>
      </c>
      <c r="C44" s="27">
        <v>3351</v>
      </c>
      <c r="D44" s="17" t="s">
        <v>199</v>
      </c>
      <c r="E44" s="38" t="s">
        <v>183</v>
      </c>
      <c r="F44" s="38" t="s">
        <v>200</v>
      </c>
      <c r="G44" s="30">
        <v>7</v>
      </c>
      <c r="H44" s="39">
        <v>1.5</v>
      </c>
    </row>
    <row r="45" spans="2:8" ht="18" customHeight="1" x14ac:dyDescent="0.3">
      <c r="B45" s="26" t="s">
        <v>107</v>
      </c>
      <c r="C45" s="27">
        <v>3342</v>
      </c>
      <c r="D45" s="28" t="s">
        <v>182</v>
      </c>
      <c r="E45" s="36" t="s">
        <v>183</v>
      </c>
      <c r="F45" s="36" t="s">
        <v>184</v>
      </c>
      <c r="G45" s="30">
        <v>7</v>
      </c>
      <c r="H45" s="37">
        <v>0.5</v>
      </c>
    </row>
    <row r="46" spans="2:8" ht="18" customHeight="1" x14ac:dyDescent="0.3">
      <c r="B46" s="26" t="s">
        <v>107</v>
      </c>
      <c r="C46" s="27">
        <v>3350</v>
      </c>
      <c r="D46" s="17" t="s">
        <v>185</v>
      </c>
      <c r="E46" s="38" t="s">
        <v>183</v>
      </c>
      <c r="F46" s="38" t="s">
        <v>184</v>
      </c>
      <c r="G46" s="30">
        <v>7</v>
      </c>
      <c r="H46" s="39">
        <v>0.5</v>
      </c>
    </row>
    <row r="47" spans="2:8" ht="18" customHeight="1" x14ac:dyDescent="0.3">
      <c r="B47" s="26" t="s">
        <v>107</v>
      </c>
      <c r="C47" s="27">
        <v>3374</v>
      </c>
      <c r="D47" s="28" t="s">
        <v>186</v>
      </c>
      <c r="E47" s="36" t="s">
        <v>187</v>
      </c>
      <c r="F47" s="36" t="s">
        <v>188</v>
      </c>
      <c r="G47" s="30">
        <v>8</v>
      </c>
      <c r="H47" s="37">
        <v>0</v>
      </c>
    </row>
    <row r="48" spans="2:8" ht="18" customHeight="1" x14ac:dyDescent="0.3">
      <c r="B48" s="26" t="s">
        <v>107</v>
      </c>
      <c r="C48" s="27">
        <v>3369</v>
      </c>
      <c r="D48" s="17" t="s">
        <v>201</v>
      </c>
      <c r="E48" s="38" t="s">
        <v>187</v>
      </c>
      <c r="F48" s="38" t="s">
        <v>188</v>
      </c>
      <c r="G48" s="30">
        <v>8</v>
      </c>
      <c r="H48" s="39">
        <v>0</v>
      </c>
    </row>
    <row r="49" spans="2:8" ht="18" customHeight="1" x14ac:dyDescent="0.3">
      <c r="B49" s="26" t="s">
        <v>107</v>
      </c>
      <c r="C49" s="27">
        <v>3337</v>
      </c>
      <c r="D49" s="28" t="s">
        <v>189</v>
      </c>
      <c r="E49" s="36" t="s">
        <v>183</v>
      </c>
      <c r="F49" s="36" t="s">
        <v>184</v>
      </c>
      <c r="G49" s="30">
        <v>7</v>
      </c>
      <c r="H49" s="37">
        <v>0.5</v>
      </c>
    </row>
    <row r="50" spans="2:8" ht="18" customHeight="1" x14ac:dyDescent="0.3">
      <c r="B50" s="26" t="s">
        <v>107</v>
      </c>
      <c r="C50" s="27">
        <v>3353</v>
      </c>
      <c r="D50" s="17" t="s">
        <v>190</v>
      </c>
      <c r="E50" s="38" t="s">
        <v>183</v>
      </c>
      <c r="F50" s="38" t="s">
        <v>184</v>
      </c>
      <c r="G50" s="30">
        <v>7</v>
      </c>
      <c r="H50" s="39">
        <v>0.5</v>
      </c>
    </row>
    <row r="51" spans="2:8" ht="18" customHeight="1" x14ac:dyDescent="0.3">
      <c r="B51" s="26" t="s">
        <v>107</v>
      </c>
      <c r="C51" s="27">
        <v>3339</v>
      </c>
      <c r="D51" s="28" t="s">
        <v>191</v>
      </c>
      <c r="E51" s="36" t="s">
        <v>187</v>
      </c>
      <c r="F51" s="36" t="s">
        <v>188</v>
      </c>
      <c r="G51" s="30">
        <v>8</v>
      </c>
      <c r="H51" s="37">
        <v>0</v>
      </c>
    </row>
    <row r="52" spans="2:8" ht="18" customHeight="1" x14ac:dyDescent="0.3">
      <c r="B52" s="26" t="s">
        <v>107</v>
      </c>
      <c r="C52" s="27">
        <v>3349</v>
      </c>
      <c r="D52" s="17" t="s">
        <v>192</v>
      </c>
      <c r="E52" s="38" t="s">
        <v>187</v>
      </c>
      <c r="F52" s="38" t="s">
        <v>188</v>
      </c>
      <c r="G52" s="30">
        <v>8</v>
      </c>
      <c r="H52" s="39">
        <v>0</v>
      </c>
    </row>
    <row r="53" spans="2:8" ht="18" customHeight="1" x14ac:dyDescent="0.3">
      <c r="B53" s="26" t="s">
        <v>107</v>
      </c>
      <c r="C53" s="27">
        <v>3338</v>
      </c>
      <c r="D53" s="28" t="s">
        <v>193</v>
      </c>
      <c r="E53" s="36" t="s">
        <v>187</v>
      </c>
      <c r="F53" s="36" t="s">
        <v>188</v>
      </c>
      <c r="G53" s="30">
        <v>8</v>
      </c>
      <c r="H53" s="37">
        <v>0</v>
      </c>
    </row>
    <row r="54" spans="2:8" ht="18" customHeight="1" x14ac:dyDescent="0.3">
      <c r="B54" s="26" t="s">
        <v>107</v>
      </c>
      <c r="C54" s="27">
        <v>3343</v>
      </c>
      <c r="D54" s="17" t="s">
        <v>194</v>
      </c>
      <c r="E54" s="38" t="s">
        <v>187</v>
      </c>
      <c r="F54" s="38" t="s">
        <v>188</v>
      </c>
      <c r="G54" s="30">
        <v>8</v>
      </c>
      <c r="H54" s="39">
        <v>0</v>
      </c>
    </row>
    <row r="55" spans="2:8" ht="18" customHeight="1" x14ac:dyDescent="0.3">
      <c r="B55" s="26" t="s">
        <v>107</v>
      </c>
      <c r="C55" s="27">
        <v>3346</v>
      </c>
      <c r="D55" s="28" t="s">
        <v>195</v>
      </c>
      <c r="E55" s="36" t="s">
        <v>183</v>
      </c>
      <c r="F55" s="36" t="s">
        <v>184</v>
      </c>
      <c r="G55" s="30">
        <v>7</v>
      </c>
      <c r="H55" s="37">
        <v>0.5</v>
      </c>
    </row>
    <row r="56" spans="2:8" ht="18" customHeight="1" x14ac:dyDescent="0.3">
      <c r="B56" s="26" t="s">
        <v>107</v>
      </c>
      <c r="C56" s="27">
        <v>3336</v>
      </c>
      <c r="D56" s="17" t="s">
        <v>196</v>
      </c>
      <c r="E56" s="38" t="s">
        <v>187</v>
      </c>
      <c r="F56" s="38" t="s">
        <v>188</v>
      </c>
      <c r="G56" s="30">
        <v>8</v>
      </c>
      <c r="H56" s="39">
        <v>0</v>
      </c>
    </row>
    <row r="57" spans="2:8" ht="18" customHeight="1" x14ac:dyDescent="0.3">
      <c r="B57" s="26" t="s">
        <v>107</v>
      </c>
      <c r="C57" s="27">
        <v>3340</v>
      </c>
      <c r="D57" s="28" t="s">
        <v>197</v>
      </c>
      <c r="E57" s="36" t="s">
        <v>183</v>
      </c>
      <c r="F57" s="36" t="s">
        <v>184</v>
      </c>
      <c r="G57" s="30">
        <v>7</v>
      </c>
      <c r="H57" s="37">
        <v>0.5</v>
      </c>
    </row>
    <row r="58" spans="2:8" ht="18" customHeight="1" x14ac:dyDescent="0.3">
      <c r="B58" s="26" t="s">
        <v>107</v>
      </c>
      <c r="C58" s="27">
        <v>3355</v>
      </c>
      <c r="D58" s="17" t="s">
        <v>198</v>
      </c>
      <c r="E58" s="38" t="s">
        <v>187</v>
      </c>
      <c r="F58" s="38" t="s">
        <v>188</v>
      </c>
      <c r="G58" s="30">
        <v>8</v>
      </c>
      <c r="H58" s="39">
        <v>0</v>
      </c>
    </row>
    <row r="59" spans="2:8" ht="18" customHeight="1" x14ac:dyDescent="0.3">
      <c r="B59" s="26" t="s">
        <v>107</v>
      </c>
      <c r="C59" s="27">
        <v>3351</v>
      </c>
      <c r="D59" s="28" t="s">
        <v>199</v>
      </c>
      <c r="E59" s="36" t="s">
        <v>183</v>
      </c>
      <c r="F59" s="36" t="s">
        <v>184</v>
      </c>
      <c r="G59" s="30">
        <v>7</v>
      </c>
      <c r="H59" s="37">
        <v>0.5</v>
      </c>
    </row>
    <row r="60" spans="2:8" ht="18" customHeight="1" x14ac:dyDescent="0.3">
      <c r="B60" s="26" t="s">
        <v>108</v>
      </c>
      <c r="C60" s="27">
        <v>3342</v>
      </c>
      <c r="D60" s="17" t="s">
        <v>182</v>
      </c>
      <c r="E60" s="38" t="s">
        <v>183</v>
      </c>
      <c r="F60" s="38" t="s">
        <v>184</v>
      </c>
      <c r="G60" s="30">
        <v>7</v>
      </c>
      <c r="H60" s="39">
        <v>0.5</v>
      </c>
    </row>
    <row r="61" spans="2:8" ht="18" customHeight="1" x14ac:dyDescent="0.3">
      <c r="B61" s="26" t="s">
        <v>108</v>
      </c>
      <c r="C61" s="27">
        <v>3350</v>
      </c>
      <c r="D61" s="28" t="s">
        <v>185</v>
      </c>
      <c r="E61" s="36" t="s">
        <v>183</v>
      </c>
      <c r="F61" s="36" t="s">
        <v>184</v>
      </c>
      <c r="G61" s="30">
        <v>7</v>
      </c>
      <c r="H61" s="37">
        <v>0.5</v>
      </c>
    </row>
    <row r="62" spans="2:8" ht="18" customHeight="1" x14ac:dyDescent="0.3">
      <c r="B62" s="26" t="s">
        <v>108</v>
      </c>
      <c r="C62" s="27">
        <v>3374</v>
      </c>
      <c r="D62" s="17" t="s">
        <v>186</v>
      </c>
      <c r="E62" s="38" t="s">
        <v>187</v>
      </c>
      <c r="F62" s="38" t="s">
        <v>188</v>
      </c>
      <c r="G62" s="30">
        <v>8</v>
      </c>
      <c r="H62" s="39">
        <v>0</v>
      </c>
    </row>
    <row r="63" spans="2:8" ht="18" customHeight="1" x14ac:dyDescent="0.3">
      <c r="B63" s="26" t="s">
        <v>108</v>
      </c>
      <c r="C63" s="27">
        <v>3369</v>
      </c>
      <c r="D63" s="28" t="s">
        <v>201</v>
      </c>
      <c r="E63" s="36" t="s">
        <v>187</v>
      </c>
      <c r="F63" s="36" t="s">
        <v>188</v>
      </c>
      <c r="G63" s="30">
        <v>8</v>
      </c>
      <c r="H63" s="37">
        <v>0</v>
      </c>
    </row>
    <row r="64" spans="2:8" ht="18" customHeight="1" x14ac:dyDescent="0.3">
      <c r="B64" s="26" t="s">
        <v>108</v>
      </c>
      <c r="C64" s="27">
        <v>3337</v>
      </c>
      <c r="D64" s="17" t="s">
        <v>189</v>
      </c>
      <c r="E64" s="38" t="s">
        <v>183</v>
      </c>
      <c r="F64" s="38" t="s">
        <v>184</v>
      </c>
      <c r="G64" s="30">
        <v>7</v>
      </c>
      <c r="H64" s="39">
        <v>0.5</v>
      </c>
    </row>
    <row r="65" spans="2:8" ht="18" customHeight="1" x14ac:dyDescent="0.3">
      <c r="B65" s="26" t="s">
        <v>108</v>
      </c>
      <c r="C65" s="27">
        <v>3353</v>
      </c>
      <c r="D65" s="28" t="s">
        <v>190</v>
      </c>
      <c r="E65" s="36" t="s">
        <v>183</v>
      </c>
      <c r="F65" s="36" t="s">
        <v>184</v>
      </c>
      <c r="G65" s="30">
        <v>7</v>
      </c>
      <c r="H65" s="37">
        <v>0.5</v>
      </c>
    </row>
    <row r="66" spans="2:8" ht="18" customHeight="1" x14ac:dyDescent="0.3">
      <c r="B66" s="26" t="s">
        <v>108</v>
      </c>
      <c r="C66" s="27">
        <v>3339</v>
      </c>
      <c r="D66" s="17" t="s">
        <v>191</v>
      </c>
      <c r="E66" s="38" t="s">
        <v>187</v>
      </c>
      <c r="F66" s="38" t="s">
        <v>188</v>
      </c>
      <c r="G66" s="30">
        <v>8</v>
      </c>
      <c r="H66" s="39">
        <v>0</v>
      </c>
    </row>
    <row r="67" spans="2:8" ht="18" customHeight="1" x14ac:dyDescent="0.3">
      <c r="B67" s="26" t="s">
        <v>108</v>
      </c>
      <c r="C67" s="27">
        <v>3349</v>
      </c>
      <c r="D67" s="28" t="s">
        <v>192</v>
      </c>
      <c r="E67" s="36" t="s">
        <v>187</v>
      </c>
      <c r="F67" s="36" t="s">
        <v>188</v>
      </c>
      <c r="G67" s="30">
        <v>8</v>
      </c>
      <c r="H67" s="37">
        <v>0</v>
      </c>
    </row>
    <row r="68" spans="2:8" ht="18" customHeight="1" x14ac:dyDescent="0.3">
      <c r="B68" s="26" t="s">
        <v>108</v>
      </c>
      <c r="C68" s="27">
        <v>3338</v>
      </c>
      <c r="D68" s="17" t="s">
        <v>193</v>
      </c>
      <c r="E68" s="38" t="s">
        <v>187</v>
      </c>
      <c r="F68" s="38" t="s">
        <v>188</v>
      </c>
      <c r="G68" s="30">
        <v>8</v>
      </c>
      <c r="H68" s="39">
        <v>0</v>
      </c>
    </row>
    <row r="69" spans="2:8" ht="18" customHeight="1" x14ac:dyDescent="0.3">
      <c r="B69" s="26" t="s">
        <v>108</v>
      </c>
      <c r="C69" s="27">
        <v>3343</v>
      </c>
      <c r="D69" s="28" t="s">
        <v>194</v>
      </c>
      <c r="E69" s="36" t="s">
        <v>187</v>
      </c>
      <c r="F69" s="36" t="s">
        <v>188</v>
      </c>
      <c r="G69" s="30">
        <v>8</v>
      </c>
      <c r="H69" s="37">
        <v>0</v>
      </c>
    </row>
    <row r="70" spans="2:8" ht="18" customHeight="1" x14ac:dyDescent="0.3">
      <c r="B70" s="26" t="s">
        <v>108</v>
      </c>
      <c r="C70" s="27">
        <v>3346</v>
      </c>
      <c r="D70" s="17" t="s">
        <v>195</v>
      </c>
      <c r="E70" s="38" t="s">
        <v>183</v>
      </c>
      <c r="F70" s="38" t="s">
        <v>184</v>
      </c>
      <c r="G70" s="30">
        <v>7</v>
      </c>
      <c r="H70" s="39">
        <v>0.5</v>
      </c>
    </row>
    <row r="71" spans="2:8" ht="18" customHeight="1" x14ac:dyDescent="0.3">
      <c r="B71" s="26" t="s">
        <v>108</v>
      </c>
      <c r="C71" s="27">
        <v>3336</v>
      </c>
      <c r="D71" s="28" t="s">
        <v>196</v>
      </c>
      <c r="E71" s="36" t="s">
        <v>187</v>
      </c>
      <c r="F71" s="36" t="s">
        <v>188</v>
      </c>
      <c r="G71" s="30">
        <v>8</v>
      </c>
      <c r="H71" s="37">
        <v>0</v>
      </c>
    </row>
    <row r="72" spans="2:8" ht="18" customHeight="1" x14ac:dyDescent="0.3">
      <c r="B72" s="26" t="s">
        <v>108</v>
      </c>
      <c r="C72" s="27">
        <v>3340</v>
      </c>
      <c r="D72" s="17" t="s">
        <v>197</v>
      </c>
      <c r="E72" s="38" t="s">
        <v>183</v>
      </c>
      <c r="F72" s="38" t="s">
        <v>184</v>
      </c>
      <c r="G72" s="30">
        <v>7</v>
      </c>
      <c r="H72" s="39">
        <v>0.5</v>
      </c>
    </row>
    <row r="73" spans="2:8" ht="18" customHeight="1" x14ac:dyDescent="0.3">
      <c r="B73" s="26" t="s">
        <v>108</v>
      </c>
      <c r="C73" s="27">
        <v>3355</v>
      </c>
      <c r="D73" s="28" t="s">
        <v>198</v>
      </c>
      <c r="E73" s="36" t="s">
        <v>187</v>
      </c>
      <c r="F73" s="36" t="s">
        <v>188</v>
      </c>
      <c r="G73" s="30">
        <v>8</v>
      </c>
      <c r="H73" s="37">
        <v>0</v>
      </c>
    </row>
    <row r="74" spans="2:8" ht="18" customHeight="1" x14ac:dyDescent="0.3">
      <c r="B74" s="26" t="s">
        <v>108</v>
      </c>
      <c r="C74" s="27">
        <v>3351</v>
      </c>
      <c r="D74" s="17" t="s">
        <v>199</v>
      </c>
      <c r="E74" s="38" t="s">
        <v>183</v>
      </c>
      <c r="F74" s="38" t="s">
        <v>184</v>
      </c>
      <c r="G74" s="30">
        <v>7</v>
      </c>
      <c r="H74" s="39">
        <v>0.5</v>
      </c>
    </row>
    <row r="75" spans="2:8" ht="18" customHeight="1" x14ac:dyDescent="0.3">
      <c r="B75" s="26" t="s">
        <v>109</v>
      </c>
      <c r="C75" s="27">
        <v>3374</v>
      </c>
      <c r="D75" s="28" t="s">
        <v>186</v>
      </c>
      <c r="E75" s="36" t="s">
        <v>183</v>
      </c>
      <c r="F75" s="36" t="s">
        <v>184</v>
      </c>
      <c r="G75" s="30">
        <v>7</v>
      </c>
      <c r="H75" s="37">
        <v>0</v>
      </c>
    </row>
    <row r="76" spans="2:8" ht="18" customHeight="1" x14ac:dyDescent="0.3">
      <c r="B76" s="26" t="s">
        <v>109</v>
      </c>
      <c r="C76" s="27">
        <v>3374</v>
      </c>
      <c r="D76" s="17" t="s">
        <v>186</v>
      </c>
      <c r="E76" s="38" t="s">
        <v>187</v>
      </c>
      <c r="F76" s="38" t="s">
        <v>188</v>
      </c>
      <c r="G76" s="30">
        <v>8</v>
      </c>
      <c r="H76" s="39">
        <v>0</v>
      </c>
    </row>
    <row r="77" spans="2:8" ht="18" customHeight="1" x14ac:dyDescent="0.3">
      <c r="B77" s="26" t="s">
        <v>109</v>
      </c>
      <c r="C77" s="27">
        <v>3369</v>
      </c>
      <c r="D77" s="28" t="s">
        <v>201</v>
      </c>
      <c r="E77" s="36" t="s">
        <v>183</v>
      </c>
      <c r="F77" s="36" t="s">
        <v>184</v>
      </c>
      <c r="G77" s="30">
        <v>7</v>
      </c>
      <c r="H77" s="37">
        <v>0</v>
      </c>
    </row>
    <row r="78" spans="2:8" ht="18" customHeight="1" x14ac:dyDescent="0.3">
      <c r="B78" s="26" t="s">
        <v>109</v>
      </c>
      <c r="C78" s="27">
        <v>3369</v>
      </c>
      <c r="D78" s="17" t="s">
        <v>201</v>
      </c>
      <c r="E78" s="38" t="s">
        <v>187</v>
      </c>
      <c r="F78" s="38" t="s">
        <v>188</v>
      </c>
      <c r="G78" s="30">
        <v>8</v>
      </c>
      <c r="H78" s="39">
        <v>0</v>
      </c>
    </row>
    <row r="79" spans="2:8" ht="18" customHeight="1" x14ac:dyDescent="0.3">
      <c r="B79" s="26" t="s">
        <v>109</v>
      </c>
      <c r="C79" s="27">
        <v>3339</v>
      </c>
      <c r="D79" s="28" t="s">
        <v>191</v>
      </c>
      <c r="E79" s="36" t="s">
        <v>183</v>
      </c>
      <c r="F79" s="36" t="s">
        <v>184</v>
      </c>
      <c r="G79" s="30">
        <v>7</v>
      </c>
      <c r="H79" s="37">
        <v>0</v>
      </c>
    </row>
    <row r="80" spans="2:8" ht="18" customHeight="1" x14ac:dyDescent="0.3">
      <c r="B80" s="26" t="s">
        <v>109</v>
      </c>
      <c r="C80" s="27">
        <v>3339</v>
      </c>
      <c r="D80" s="17" t="s">
        <v>191</v>
      </c>
      <c r="E80" s="38" t="s">
        <v>187</v>
      </c>
      <c r="F80" s="38" t="s">
        <v>188</v>
      </c>
      <c r="G80" s="30">
        <v>8</v>
      </c>
      <c r="H80" s="39">
        <v>0</v>
      </c>
    </row>
    <row r="81" spans="2:8" ht="18" customHeight="1" x14ac:dyDescent="0.3">
      <c r="B81" s="26" t="s">
        <v>109</v>
      </c>
      <c r="C81" s="27">
        <v>3349</v>
      </c>
      <c r="D81" s="28" t="s">
        <v>192</v>
      </c>
      <c r="E81" s="36" t="s">
        <v>183</v>
      </c>
      <c r="F81" s="36" t="s">
        <v>184</v>
      </c>
      <c r="G81" s="30">
        <v>7</v>
      </c>
      <c r="H81" s="37">
        <v>0</v>
      </c>
    </row>
    <row r="82" spans="2:8" ht="18" customHeight="1" x14ac:dyDescent="0.3">
      <c r="B82" s="26" t="s">
        <v>109</v>
      </c>
      <c r="C82" s="27">
        <v>3349</v>
      </c>
      <c r="D82" s="17" t="s">
        <v>192</v>
      </c>
      <c r="E82" s="38" t="s">
        <v>187</v>
      </c>
      <c r="F82" s="38" t="s">
        <v>188</v>
      </c>
      <c r="G82" s="30">
        <v>8</v>
      </c>
      <c r="H82" s="39">
        <v>0</v>
      </c>
    </row>
    <row r="83" spans="2:8" ht="18" customHeight="1" x14ac:dyDescent="0.3">
      <c r="B83" s="26" t="s">
        <v>109</v>
      </c>
      <c r="C83" s="27">
        <v>3338</v>
      </c>
      <c r="D83" s="28" t="s">
        <v>193</v>
      </c>
      <c r="E83" s="36" t="s">
        <v>187</v>
      </c>
      <c r="F83" s="36" t="s">
        <v>188</v>
      </c>
      <c r="G83" s="30">
        <v>8</v>
      </c>
      <c r="H83" s="37">
        <v>0</v>
      </c>
    </row>
    <row r="84" spans="2:8" ht="18" customHeight="1" x14ac:dyDescent="0.3">
      <c r="B84" s="26" t="s">
        <v>109</v>
      </c>
      <c r="C84" s="27">
        <v>3338</v>
      </c>
      <c r="D84" s="17" t="s">
        <v>193</v>
      </c>
      <c r="E84" s="38" t="s">
        <v>183</v>
      </c>
      <c r="F84" s="38" t="s">
        <v>184</v>
      </c>
      <c r="G84" s="30">
        <v>7</v>
      </c>
      <c r="H84" s="39">
        <v>0</v>
      </c>
    </row>
    <row r="85" spans="2:8" ht="18" customHeight="1" x14ac:dyDescent="0.3">
      <c r="B85" s="26" t="s">
        <v>109</v>
      </c>
      <c r="C85" s="27">
        <v>3343</v>
      </c>
      <c r="D85" s="28" t="s">
        <v>194</v>
      </c>
      <c r="E85" s="36" t="s">
        <v>183</v>
      </c>
      <c r="F85" s="36" t="s">
        <v>184</v>
      </c>
      <c r="G85" s="30">
        <v>7</v>
      </c>
      <c r="H85" s="37">
        <v>0</v>
      </c>
    </row>
    <row r="86" spans="2:8" ht="18" customHeight="1" x14ac:dyDescent="0.3">
      <c r="B86" s="26" t="s">
        <v>109</v>
      </c>
      <c r="C86" s="27">
        <v>3343</v>
      </c>
      <c r="D86" s="17" t="s">
        <v>194</v>
      </c>
      <c r="E86" s="38" t="s">
        <v>187</v>
      </c>
      <c r="F86" s="38" t="s">
        <v>188</v>
      </c>
      <c r="G86" s="30">
        <v>8</v>
      </c>
      <c r="H86" s="39">
        <v>0</v>
      </c>
    </row>
    <row r="87" spans="2:8" ht="18" customHeight="1" x14ac:dyDescent="0.3">
      <c r="B87" s="26" t="s">
        <v>109</v>
      </c>
      <c r="C87" s="27">
        <v>3336</v>
      </c>
      <c r="D87" s="28" t="s">
        <v>196</v>
      </c>
      <c r="E87" s="36" t="s">
        <v>187</v>
      </c>
      <c r="F87" s="36" t="s">
        <v>188</v>
      </c>
      <c r="G87" s="30">
        <v>8</v>
      </c>
      <c r="H87" s="37">
        <v>0</v>
      </c>
    </row>
    <row r="88" spans="2:8" ht="18" customHeight="1" x14ac:dyDescent="0.3">
      <c r="B88" s="26" t="s">
        <v>109</v>
      </c>
      <c r="C88" s="27">
        <v>3336</v>
      </c>
      <c r="D88" s="17" t="s">
        <v>196</v>
      </c>
      <c r="E88" s="38" t="s">
        <v>183</v>
      </c>
      <c r="F88" s="38" t="s">
        <v>184</v>
      </c>
      <c r="G88" s="30">
        <v>7</v>
      </c>
      <c r="H88" s="39">
        <v>0</v>
      </c>
    </row>
    <row r="89" spans="2:8" ht="18" customHeight="1" x14ac:dyDescent="0.3">
      <c r="B89" s="26" t="s">
        <v>109</v>
      </c>
      <c r="C89" s="27">
        <v>3355</v>
      </c>
      <c r="D89" s="28" t="s">
        <v>198</v>
      </c>
      <c r="E89" s="36" t="s">
        <v>187</v>
      </c>
      <c r="F89" s="36" t="s">
        <v>188</v>
      </c>
      <c r="G89" s="30">
        <v>8</v>
      </c>
      <c r="H89" s="37">
        <v>0</v>
      </c>
    </row>
    <row r="90" spans="2:8" ht="18" customHeight="1" x14ac:dyDescent="0.3">
      <c r="B90" s="26" t="s">
        <v>109</v>
      </c>
      <c r="C90" s="27">
        <v>3355</v>
      </c>
      <c r="D90" s="17" t="s">
        <v>198</v>
      </c>
      <c r="E90" s="38" t="s">
        <v>183</v>
      </c>
      <c r="F90" s="38" t="s">
        <v>184</v>
      </c>
      <c r="G90" s="30">
        <v>7</v>
      </c>
      <c r="H90" s="39">
        <v>0</v>
      </c>
    </row>
    <row r="91" spans="2:8" ht="18" customHeight="1" x14ac:dyDescent="0.3">
      <c r="B91" s="26" t="s">
        <v>111</v>
      </c>
      <c r="C91" s="27">
        <v>3342</v>
      </c>
      <c r="D91" s="28" t="s">
        <v>182</v>
      </c>
      <c r="E91" s="36" t="s">
        <v>187</v>
      </c>
      <c r="F91" s="36" t="s">
        <v>188</v>
      </c>
      <c r="G91" s="30">
        <v>8</v>
      </c>
      <c r="H91" s="37">
        <v>0</v>
      </c>
    </row>
    <row r="92" spans="2:8" ht="18" customHeight="1" x14ac:dyDescent="0.3">
      <c r="B92" s="26" t="s">
        <v>111</v>
      </c>
      <c r="C92" s="27">
        <v>3350</v>
      </c>
      <c r="D92" s="17" t="s">
        <v>185</v>
      </c>
      <c r="E92" s="38" t="s">
        <v>187</v>
      </c>
      <c r="F92" s="38" t="s">
        <v>188</v>
      </c>
      <c r="G92" s="30">
        <v>8</v>
      </c>
      <c r="H92" s="39">
        <v>0</v>
      </c>
    </row>
    <row r="93" spans="2:8" ht="18" customHeight="1" x14ac:dyDescent="0.3">
      <c r="B93" s="26" t="s">
        <v>111</v>
      </c>
      <c r="C93" s="27">
        <v>3374</v>
      </c>
      <c r="D93" s="28" t="s">
        <v>186</v>
      </c>
      <c r="E93" s="36" t="s">
        <v>183</v>
      </c>
      <c r="F93" s="36" t="s">
        <v>184</v>
      </c>
      <c r="G93" s="30">
        <v>7</v>
      </c>
      <c r="H93" s="37">
        <v>0</v>
      </c>
    </row>
    <row r="94" spans="2:8" ht="18" customHeight="1" x14ac:dyDescent="0.3">
      <c r="B94" s="26" t="s">
        <v>111</v>
      </c>
      <c r="C94" s="27">
        <v>3369</v>
      </c>
      <c r="D94" s="17" t="s">
        <v>201</v>
      </c>
      <c r="E94" s="38" t="s">
        <v>183</v>
      </c>
      <c r="F94" s="38" t="s">
        <v>184</v>
      </c>
      <c r="G94" s="30">
        <v>7</v>
      </c>
      <c r="H94" s="39">
        <v>0</v>
      </c>
    </row>
    <row r="95" spans="2:8" ht="18" customHeight="1" x14ac:dyDescent="0.3">
      <c r="B95" s="26" t="s">
        <v>111</v>
      </c>
      <c r="C95" s="27">
        <v>3337</v>
      </c>
      <c r="D95" s="28" t="s">
        <v>189</v>
      </c>
      <c r="E95" s="36" t="s">
        <v>187</v>
      </c>
      <c r="F95" s="36" t="s">
        <v>188</v>
      </c>
      <c r="G95" s="30">
        <v>8</v>
      </c>
      <c r="H95" s="37">
        <v>0</v>
      </c>
    </row>
    <row r="96" spans="2:8" ht="18" customHeight="1" x14ac:dyDescent="0.3">
      <c r="B96" s="26" t="s">
        <v>111</v>
      </c>
      <c r="C96" s="27">
        <v>3353</v>
      </c>
      <c r="D96" s="17" t="s">
        <v>190</v>
      </c>
      <c r="E96" s="38" t="s">
        <v>187</v>
      </c>
      <c r="F96" s="38" t="s">
        <v>188</v>
      </c>
      <c r="G96" s="30">
        <v>8</v>
      </c>
      <c r="H96" s="39">
        <v>0</v>
      </c>
    </row>
    <row r="97" spans="2:8" ht="18" customHeight="1" x14ac:dyDescent="0.3">
      <c r="B97" s="26" t="s">
        <v>111</v>
      </c>
      <c r="C97" s="27">
        <v>3339</v>
      </c>
      <c r="D97" s="28" t="s">
        <v>191</v>
      </c>
      <c r="E97" s="36" t="s">
        <v>183</v>
      </c>
      <c r="F97" s="36" t="s">
        <v>184</v>
      </c>
      <c r="G97" s="30">
        <v>7</v>
      </c>
      <c r="H97" s="37">
        <v>0</v>
      </c>
    </row>
    <row r="98" spans="2:8" ht="18" customHeight="1" x14ac:dyDescent="0.3">
      <c r="B98" s="26" t="s">
        <v>111</v>
      </c>
      <c r="C98" s="27">
        <v>3349</v>
      </c>
      <c r="D98" s="17" t="s">
        <v>192</v>
      </c>
      <c r="E98" s="38" t="s">
        <v>183</v>
      </c>
      <c r="F98" s="38" t="s">
        <v>184</v>
      </c>
      <c r="G98" s="30">
        <v>7</v>
      </c>
      <c r="H98" s="39">
        <v>0</v>
      </c>
    </row>
    <row r="99" spans="2:8" ht="18" customHeight="1" x14ac:dyDescent="0.3">
      <c r="B99" s="26" t="s">
        <v>111</v>
      </c>
      <c r="C99" s="27">
        <v>3338</v>
      </c>
      <c r="D99" s="28" t="s">
        <v>193</v>
      </c>
      <c r="E99" s="36" t="s">
        <v>183</v>
      </c>
      <c r="F99" s="36" t="s">
        <v>184</v>
      </c>
      <c r="G99" s="30">
        <v>7</v>
      </c>
      <c r="H99" s="37">
        <v>0</v>
      </c>
    </row>
    <row r="100" spans="2:8" ht="18" customHeight="1" x14ac:dyDescent="0.3">
      <c r="B100" s="26" t="s">
        <v>111</v>
      </c>
      <c r="C100" s="27">
        <v>3343</v>
      </c>
      <c r="D100" s="17" t="s">
        <v>194</v>
      </c>
      <c r="E100" s="38" t="s">
        <v>183</v>
      </c>
      <c r="F100" s="38" t="s">
        <v>184</v>
      </c>
      <c r="G100" s="30">
        <v>7</v>
      </c>
      <c r="H100" s="39">
        <v>0</v>
      </c>
    </row>
    <row r="101" spans="2:8" ht="18" customHeight="1" x14ac:dyDescent="0.3">
      <c r="B101" s="26" t="s">
        <v>111</v>
      </c>
      <c r="C101" s="27">
        <v>3346</v>
      </c>
      <c r="D101" s="28" t="s">
        <v>195</v>
      </c>
      <c r="E101" s="36" t="s">
        <v>187</v>
      </c>
      <c r="F101" s="36" t="s">
        <v>188</v>
      </c>
      <c r="G101" s="30">
        <v>8</v>
      </c>
      <c r="H101" s="37">
        <v>0</v>
      </c>
    </row>
    <row r="102" spans="2:8" ht="18" customHeight="1" x14ac:dyDescent="0.3">
      <c r="B102" s="26" t="s">
        <v>111</v>
      </c>
      <c r="C102" s="27">
        <v>3336</v>
      </c>
      <c r="D102" s="17" t="s">
        <v>196</v>
      </c>
      <c r="E102" s="38" t="s">
        <v>183</v>
      </c>
      <c r="F102" s="38" t="s">
        <v>184</v>
      </c>
      <c r="G102" s="30">
        <v>7</v>
      </c>
      <c r="H102" s="39">
        <v>0</v>
      </c>
    </row>
    <row r="103" spans="2:8" ht="18" customHeight="1" x14ac:dyDescent="0.3">
      <c r="B103" s="26" t="s">
        <v>111</v>
      </c>
      <c r="C103" s="27">
        <v>3340</v>
      </c>
      <c r="D103" s="28" t="s">
        <v>197</v>
      </c>
      <c r="E103" s="36" t="s">
        <v>187</v>
      </c>
      <c r="F103" s="36" t="s">
        <v>188</v>
      </c>
      <c r="G103" s="30">
        <v>8</v>
      </c>
      <c r="H103" s="37">
        <v>0</v>
      </c>
    </row>
    <row r="104" spans="2:8" ht="18" customHeight="1" x14ac:dyDescent="0.3">
      <c r="B104" s="26" t="s">
        <v>111</v>
      </c>
      <c r="C104" s="27">
        <v>3355</v>
      </c>
      <c r="D104" s="17" t="s">
        <v>198</v>
      </c>
      <c r="E104" s="38" t="s">
        <v>183</v>
      </c>
      <c r="F104" s="38" t="s">
        <v>184</v>
      </c>
      <c r="G104" s="30">
        <v>7</v>
      </c>
      <c r="H104" s="39">
        <v>0</v>
      </c>
    </row>
    <row r="105" spans="2:8" ht="18" customHeight="1" x14ac:dyDescent="0.3">
      <c r="B105" s="26" t="s">
        <v>111</v>
      </c>
      <c r="C105" s="27">
        <v>3351</v>
      </c>
      <c r="D105" s="28" t="s">
        <v>199</v>
      </c>
      <c r="E105" s="36" t="s">
        <v>187</v>
      </c>
      <c r="F105" s="36" t="s">
        <v>188</v>
      </c>
      <c r="G105" s="30">
        <v>8</v>
      </c>
      <c r="H105" s="37">
        <v>0</v>
      </c>
    </row>
    <row r="106" spans="2:8" ht="18" customHeight="1" x14ac:dyDescent="0.3">
      <c r="B106" s="26" t="s">
        <v>112</v>
      </c>
      <c r="C106" s="27">
        <v>3342</v>
      </c>
      <c r="D106" s="17" t="s">
        <v>182</v>
      </c>
      <c r="E106" s="38" t="s">
        <v>187</v>
      </c>
      <c r="F106" s="38" t="s">
        <v>188</v>
      </c>
      <c r="G106" s="30">
        <v>8</v>
      </c>
      <c r="H106" s="39">
        <v>0</v>
      </c>
    </row>
    <row r="107" spans="2:8" ht="18" customHeight="1" x14ac:dyDescent="0.3">
      <c r="B107" s="26" t="s">
        <v>112</v>
      </c>
      <c r="C107" s="27">
        <v>3350</v>
      </c>
      <c r="D107" s="28" t="s">
        <v>185</v>
      </c>
      <c r="E107" s="36" t="s">
        <v>187</v>
      </c>
      <c r="F107" s="36" t="s">
        <v>188</v>
      </c>
      <c r="G107" s="30">
        <v>8</v>
      </c>
      <c r="H107" s="37">
        <v>0</v>
      </c>
    </row>
    <row r="108" spans="2:8" ht="18" customHeight="1" x14ac:dyDescent="0.3">
      <c r="B108" s="26" t="s">
        <v>112</v>
      </c>
      <c r="C108" s="27">
        <v>3374</v>
      </c>
      <c r="D108" s="17" t="s">
        <v>186</v>
      </c>
      <c r="E108" s="38" t="s">
        <v>183</v>
      </c>
      <c r="F108" s="38" t="s">
        <v>184</v>
      </c>
      <c r="G108" s="30">
        <v>7</v>
      </c>
      <c r="H108" s="39">
        <v>0</v>
      </c>
    </row>
    <row r="109" spans="2:8" ht="18" customHeight="1" x14ac:dyDescent="0.3">
      <c r="B109" s="26" t="s">
        <v>112</v>
      </c>
      <c r="C109" s="27">
        <v>3369</v>
      </c>
      <c r="D109" s="28" t="s">
        <v>201</v>
      </c>
      <c r="E109" s="36" t="s">
        <v>183</v>
      </c>
      <c r="F109" s="36" t="s">
        <v>184</v>
      </c>
      <c r="G109" s="30">
        <v>7</v>
      </c>
      <c r="H109" s="37">
        <v>0</v>
      </c>
    </row>
    <row r="110" spans="2:8" ht="18" customHeight="1" x14ac:dyDescent="0.3">
      <c r="B110" s="26" t="s">
        <v>112</v>
      </c>
      <c r="C110" s="27">
        <v>3337</v>
      </c>
      <c r="D110" s="17" t="s">
        <v>189</v>
      </c>
      <c r="E110" s="38" t="s">
        <v>187</v>
      </c>
      <c r="F110" s="38" t="s">
        <v>188</v>
      </c>
      <c r="G110" s="30">
        <v>8</v>
      </c>
      <c r="H110" s="39">
        <v>0</v>
      </c>
    </row>
    <row r="111" spans="2:8" ht="18" customHeight="1" x14ac:dyDescent="0.3">
      <c r="B111" s="26" t="s">
        <v>112</v>
      </c>
      <c r="C111" s="27">
        <v>3353</v>
      </c>
      <c r="D111" s="28" t="s">
        <v>190</v>
      </c>
      <c r="E111" s="36" t="s">
        <v>187</v>
      </c>
      <c r="F111" s="36" t="s">
        <v>188</v>
      </c>
      <c r="G111" s="30">
        <v>8</v>
      </c>
      <c r="H111" s="37">
        <v>0</v>
      </c>
    </row>
    <row r="112" spans="2:8" ht="18" customHeight="1" x14ac:dyDescent="0.3">
      <c r="B112" s="26" t="s">
        <v>112</v>
      </c>
      <c r="C112" s="27">
        <v>3339</v>
      </c>
      <c r="D112" s="17" t="s">
        <v>191</v>
      </c>
      <c r="E112" s="38" t="s">
        <v>183</v>
      </c>
      <c r="F112" s="38" t="s">
        <v>184</v>
      </c>
      <c r="G112" s="30">
        <v>7</v>
      </c>
      <c r="H112" s="39">
        <v>0</v>
      </c>
    </row>
    <row r="113" spans="2:8" ht="18" customHeight="1" x14ac:dyDescent="0.3">
      <c r="B113" s="26" t="s">
        <v>112</v>
      </c>
      <c r="C113" s="27">
        <v>3338</v>
      </c>
      <c r="D113" s="28" t="s">
        <v>193</v>
      </c>
      <c r="E113" s="36" t="s">
        <v>183</v>
      </c>
      <c r="F113" s="36" t="s">
        <v>184</v>
      </c>
      <c r="G113" s="30">
        <v>7</v>
      </c>
      <c r="H113" s="37">
        <v>0</v>
      </c>
    </row>
    <row r="114" spans="2:8" ht="18" customHeight="1" x14ac:dyDescent="0.3">
      <c r="B114" s="26" t="s">
        <v>112</v>
      </c>
      <c r="C114" s="27">
        <v>3343</v>
      </c>
      <c r="D114" s="17" t="s">
        <v>194</v>
      </c>
      <c r="E114" s="38" t="s">
        <v>183</v>
      </c>
      <c r="F114" s="38" t="s">
        <v>184</v>
      </c>
      <c r="G114" s="30">
        <v>7</v>
      </c>
      <c r="H114" s="39">
        <v>0</v>
      </c>
    </row>
    <row r="115" spans="2:8" ht="18" customHeight="1" x14ac:dyDescent="0.3">
      <c r="B115" s="26" t="s">
        <v>112</v>
      </c>
      <c r="C115" s="27">
        <v>3346</v>
      </c>
      <c r="D115" s="28" t="s">
        <v>195</v>
      </c>
      <c r="E115" s="36" t="s">
        <v>187</v>
      </c>
      <c r="F115" s="36" t="s">
        <v>188</v>
      </c>
      <c r="G115" s="30">
        <v>8</v>
      </c>
      <c r="H115" s="37">
        <v>0</v>
      </c>
    </row>
    <row r="116" spans="2:8" ht="18" customHeight="1" x14ac:dyDescent="0.3">
      <c r="B116" s="26" t="s">
        <v>112</v>
      </c>
      <c r="C116" s="27">
        <v>3336</v>
      </c>
      <c r="D116" s="17" t="s">
        <v>196</v>
      </c>
      <c r="E116" s="38" t="s">
        <v>183</v>
      </c>
      <c r="F116" s="38" t="s">
        <v>184</v>
      </c>
      <c r="G116" s="30">
        <v>7</v>
      </c>
      <c r="H116" s="39">
        <v>0</v>
      </c>
    </row>
    <row r="117" spans="2:8" ht="18" customHeight="1" x14ac:dyDescent="0.3">
      <c r="B117" s="26" t="s">
        <v>112</v>
      </c>
      <c r="C117" s="27">
        <v>3340</v>
      </c>
      <c r="D117" s="28" t="s">
        <v>197</v>
      </c>
      <c r="E117" s="36" t="s">
        <v>187</v>
      </c>
      <c r="F117" s="36" t="s">
        <v>188</v>
      </c>
      <c r="G117" s="30">
        <v>8</v>
      </c>
      <c r="H117" s="37">
        <v>0</v>
      </c>
    </row>
    <row r="118" spans="2:8" ht="18" customHeight="1" x14ac:dyDescent="0.3">
      <c r="B118" s="26" t="s">
        <v>112</v>
      </c>
      <c r="C118" s="27">
        <v>3355</v>
      </c>
      <c r="D118" s="17" t="s">
        <v>198</v>
      </c>
      <c r="E118" s="38" t="s">
        <v>183</v>
      </c>
      <c r="F118" s="38" t="s">
        <v>184</v>
      </c>
      <c r="G118" s="30">
        <v>7</v>
      </c>
      <c r="H118" s="39">
        <v>0</v>
      </c>
    </row>
    <row r="119" spans="2:8" ht="18" customHeight="1" x14ac:dyDescent="0.3">
      <c r="B119" s="26" t="s">
        <v>112</v>
      </c>
      <c r="C119" s="27">
        <v>3351</v>
      </c>
      <c r="D119" s="28" t="s">
        <v>199</v>
      </c>
      <c r="E119" s="36" t="s">
        <v>187</v>
      </c>
      <c r="F119" s="36" t="s">
        <v>188</v>
      </c>
      <c r="G119" s="30">
        <v>8</v>
      </c>
      <c r="H119" s="37">
        <v>0</v>
      </c>
    </row>
    <row r="120" spans="2:8" ht="18" customHeight="1" x14ac:dyDescent="0.3">
      <c r="B120" s="26" t="s">
        <v>113</v>
      </c>
      <c r="C120" s="27">
        <v>3342</v>
      </c>
      <c r="D120" s="17" t="s">
        <v>182</v>
      </c>
      <c r="E120" s="38" t="s">
        <v>187</v>
      </c>
      <c r="F120" s="38" t="s">
        <v>188</v>
      </c>
      <c r="G120" s="30">
        <v>8</v>
      </c>
      <c r="H120" s="39">
        <v>0</v>
      </c>
    </row>
    <row r="121" spans="2:8" ht="18" customHeight="1" x14ac:dyDescent="0.3">
      <c r="B121" s="26" t="s">
        <v>113</v>
      </c>
      <c r="C121" s="27">
        <v>3350</v>
      </c>
      <c r="D121" s="28" t="s">
        <v>185</v>
      </c>
      <c r="E121" s="36" t="s">
        <v>187</v>
      </c>
      <c r="F121" s="36" t="s">
        <v>188</v>
      </c>
      <c r="G121" s="30">
        <v>8</v>
      </c>
      <c r="H121" s="37">
        <v>0</v>
      </c>
    </row>
    <row r="122" spans="2:8" ht="18" customHeight="1" x14ac:dyDescent="0.3">
      <c r="B122" s="26" t="s">
        <v>113</v>
      </c>
      <c r="C122" s="27">
        <v>3374</v>
      </c>
      <c r="D122" s="17" t="s">
        <v>186</v>
      </c>
      <c r="E122" s="38" t="s">
        <v>183</v>
      </c>
      <c r="F122" s="38" t="s">
        <v>184</v>
      </c>
      <c r="G122" s="30">
        <v>7</v>
      </c>
      <c r="H122" s="39">
        <v>0</v>
      </c>
    </row>
    <row r="123" spans="2:8" ht="18" customHeight="1" x14ac:dyDescent="0.3">
      <c r="B123" s="26" t="s">
        <v>113</v>
      </c>
      <c r="C123" s="27">
        <v>3369</v>
      </c>
      <c r="D123" s="28" t="s">
        <v>201</v>
      </c>
      <c r="E123" s="36" t="s">
        <v>183</v>
      </c>
      <c r="F123" s="36" t="s">
        <v>184</v>
      </c>
      <c r="G123" s="30">
        <v>7</v>
      </c>
      <c r="H123" s="37">
        <v>0</v>
      </c>
    </row>
    <row r="124" spans="2:8" ht="18" customHeight="1" x14ac:dyDescent="0.3">
      <c r="B124" s="26" t="s">
        <v>113</v>
      </c>
      <c r="C124" s="27">
        <v>3337</v>
      </c>
      <c r="D124" s="17" t="s">
        <v>189</v>
      </c>
      <c r="E124" s="38" t="s">
        <v>187</v>
      </c>
      <c r="F124" s="38" t="s">
        <v>188</v>
      </c>
      <c r="G124" s="30">
        <v>8</v>
      </c>
      <c r="H124" s="39">
        <v>0</v>
      </c>
    </row>
    <row r="125" spans="2:8" ht="18" customHeight="1" x14ac:dyDescent="0.3">
      <c r="B125" s="26" t="s">
        <v>113</v>
      </c>
      <c r="C125" s="27">
        <v>3353</v>
      </c>
      <c r="D125" s="28" t="s">
        <v>190</v>
      </c>
      <c r="E125" s="36" t="s">
        <v>187</v>
      </c>
      <c r="F125" s="36" t="s">
        <v>188</v>
      </c>
      <c r="G125" s="30">
        <v>8</v>
      </c>
      <c r="H125" s="37">
        <v>0</v>
      </c>
    </row>
    <row r="126" spans="2:8" ht="18" customHeight="1" x14ac:dyDescent="0.3">
      <c r="B126" s="26" t="s">
        <v>113</v>
      </c>
      <c r="C126" s="27">
        <v>3339</v>
      </c>
      <c r="D126" s="17" t="s">
        <v>191</v>
      </c>
      <c r="E126" s="38" t="s">
        <v>183</v>
      </c>
      <c r="F126" s="38" t="s">
        <v>184</v>
      </c>
      <c r="G126" s="30">
        <v>7</v>
      </c>
      <c r="H126" s="39">
        <v>0</v>
      </c>
    </row>
    <row r="127" spans="2:8" ht="18" customHeight="1" x14ac:dyDescent="0.3">
      <c r="B127" s="26" t="s">
        <v>113</v>
      </c>
      <c r="C127" s="27">
        <v>3349</v>
      </c>
      <c r="D127" s="28" t="s">
        <v>192</v>
      </c>
      <c r="E127" s="36" t="s">
        <v>183</v>
      </c>
      <c r="F127" s="36" t="s">
        <v>184</v>
      </c>
      <c r="G127" s="30">
        <v>7</v>
      </c>
      <c r="H127" s="37">
        <v>0</v>
      </c>
    </row>
    <row r="128" spans="2:8" ht="18" customHeight="1" x14ac:dyDescent="0.3">
      <c r="B128" s="26" t="s">
        <v>113</v>
      </c>
      <c r="C128" s="27">
        <v>3338</v>
      </c>
      <c r="D128" s="17" t="s">
        <v>193</v>
      </c>
      <c r="E128" s="38" t="s">
        <v>183</v>
      </c>
      <c r="F128" s="38" t="s">
        <v>184</v>
      </c>
      <c r="G128" s="30">
        <v>7</v>
      </c>
      <c r="H128" s="39">
        <v>0</v>
      </c>
    </row>
    <row r="129" spans="2:8" ht="18" customHeight="1" x14ac:dyDescent="0.3">
      <c r="B129" s="26" t="s">
        <v>113</v>
      </c>
      <c r="C129" s="27">
        <v>3343</v>
      </c>
      <c r="D129" s="28" t="s">
        <v>194</v>
      </c>
      <c r="E129" s="36" t="s">
        <v>183</v>
      </c>
      <c r="F129" s="36" t="s">
        <v>184</v>
      </c>
      <c r="G129" s="30">
        <v>7</v>
      </c>
      <c r="H129" s="37">
        <v>0</v>
      </c>
    </row>
    <row r="130" spans="2:8" ht="18" customHeight="1" x14ac:dyDescent="0.3">
      <c r="B130" s="26" t="s">
        <v>113</v>
      </c>
      <c r="C130" s="27">
        <v>3063</v>
      </c>
      <c r="D130" s="17" t="s">
        <v>202</v>
      </c>
      <c r="E130" s="38" t="s">
        <v>187</v>
      </c>
      <c r="F130" s="38" t="s">
        <v>188</v>
      </c>
      <c r="G130" s="30">
        <v>8</v>
      </c>
      <c r="H130" s="39">
        <v>0</v>
      </c>
    </row>
    <row r="131" spans="2:8" ht="18" customHeight="1" x14ac:dyDescent="0.3">
      <c r="B131" s="26" t="s">
        <v>113</v>
      </c>
      <c r="C131" s="27">
        <v>3346</v>
      </c>
      <c r="D131" s="28" t="s">
        <v>195</v>
      </c>
      <c r="E131" s="36" t="s">
        <v>187</v>
      </c>
      <c r="F131" s="36" t="s">
        <v>188</v>
      </c>
      <c r="G131" s="30">
        <v>8</v>
      </c>
      <c r="H131" s="37">
        <v>0</v>
      </c>
    </row>
    <row r="132" spans="2:8" ht="18" customHeight="1" x14ac:dyDescent="0.3">
      <c r="B132" s="26" t="s">
        <v>113</v>
      </c>
      <c r="C132" s="27">
        <v>3336</v>
      </c>
      <c r="D132" s="17" t="s">
        <v>196</v>
      </c>
      <c r="E132" s="38" t="s">
        <v>183</v>
      </c>
      <c r="F132" s="38" t="s">
        <v>184</v>
      </c>
      <c r="G132" s="30">
        <v>7</v>
      </c>
      <c r="H132" s="39">
        <v>0</v>
      </c>
    </row>
    <row r="133" spans="2:8" ht="18" customHeight="1" x14ac:dyDescent="0.3">
      <c r="B133" s="26" t="s">
        <v>113</v>
      </c>
      <c r="C133" s="27">
        <v>3340</v>
      </c>
      <c r="D133" s="28" t="s">
        <v>197</v>
      </c>
      <c r="E133" s="36" t="s">
        <v>187</v>
      </c>
      <c r="F133" s="36" t="s">
        <v>188</v>
      </c>
      <c r="G133" s="30">
        <v>8</v>
      </c>
      <c r="H133" s="37">
        <v>0</v>
      </c>
    </row>
    <row r="134" spans="2:8" ht="18" customHeight="1" x14ac:dyDescent="0.3">
      <c r="B134" s="26" t="s">
        <v>113</v>
      </c>
      <c r="C134" s="27">
        <v>3355</v>
      </c>
      <c r="D134" s="17" t="s">
        <v>198</v>
      </c>
      <c r="E134" s="38" t="s">
        <v>183</v>
      </c>
      <c r="F134" s="38" t="s">
        <v>184</v>
      </c>
      <c r="G134" s="30">
        <v>7</v>
      </c>
      <c r="H134" s="39">
        <v>0</v>
      </c>
    </row>
    <row r="135" spans="2:8" ht="18" customHeight="1" x14ac:dyDescent="0.3">
      <c r="B135" s="26" t="s">
        <v>113</v>
      </c>
      <c r="C135" s="27">
        <v>3351</v>
      </c>
      <c r="D135" s="28" t="s">
        <v>199</v>
      </c>
      <c r="E135" s="36" t="s">
        <v>187</v>
      </c>
      <c r="F135" s="36" t="s">
        <v>188</v>
      </c>
      <c r="G135" s="30">
        <v>8</v>
      </c>
      <c r="H135" s="37">
        <v>0</v>
      </c>
    </row>
    <row r="136" spans="2:8" ht="18" customHeight="1" x14ac:dyDescent="0.3">
      <c r="B136" s="26" t="s">
        <v>114</v>
      </c>
      <c r="C136" s="27">
        <v>3342</v>
      </c>
      <c r="D136" s="17" t="s">
        <v>182</v>
      </c>
      <c r="E136" s="38" t="s">
        <v>187</v>
      </c>
      <c r="F136" s="38" t="s">
        <v>203</v>
      </c>
      <c r="G136" s="30">
        <v>8</v>
      </c>
      <c r="H136" s="39">
        <v>4.5</v>
      </c>
    </row>
    <row r="137" spans="2:8" ht="18" customHeight="1" x14ac:dyDescent="0.3">
      <c r="B137" s="26" t="s">
        <v>114</v>
      </c>
      <c r="C137" s="27">
        <v>3350</v>
      </c>
      <c r="D137" s="28" t="s">
        <v>185</v>
      </c>
      <c r="E137" s="36" t="s">
        <v>187</v>
      </c>
      <c r="F137" s="36" t="s">
        <v>203</v>
      </c>
      <c r="G137" s="30">
        <v>8</v>
      </c>
      <c r="H137" s="37">
        <v>4.5</v>
      </c>
    </row>
    <row r="138" spans="2:8" ht="18" customHeight="1" x14ac:dyDescent="0.3">
      <c r="B138" s="26" t="s">
        <v>114</v>
      </c>
      <c r="C138" s="27">
        <v>3374</v>
      </c>
      <c r="D138" s="17" t="s">
        <v>186</v>
      </c>
      <c r="E138" s="38" t="s">
        <v>183</v>
      </c>
      <c r="F138" s="38" t="s">
        <v>184</v>
      </c>
      <c r="G138" s="30">
        <v>7</v>
      </c>
      <c r="H138" s="39">
        <v>0</v>
      </c>
    </row>
    <row r="139" spans="2:8" ht="18" customHeight="1" x14ac:dyDescent="0.3">
      <c r="B139" s="26" t="s">
        <v>114</v>
      </c>
      <c r="C139" s="27">
        <v>3369</v>
      </c>
      <c r="D139" s="28" t="s">
        <v>201</v>
      </c>
      <c r="E139" s="36" t="s">
        <v>183</v>
      </c>
      <c r="F139" s="36" t="s">
        <v>184</v>
      </c>
      <c r="G139" s="30">
        <v>7</v>
      </c>
      <c r="H139" s="37">
        <v>0</v>
      </c>
    </row>
    <row r="140" spans="2:8" ht="18" customHeight="1" x14ac:dyDescent="0.3">
      <c r="B140" s="26" t="s">
        <v>114</v>
      </c>
      <c r="C140" s="27">
        <v>3337</v>
      </c>
      <c r="D140" s="17" t="s">
        <v>189</v>
      </c>
      <c r="E140" s="38" t="s">
        <v>187</v>
      </c>
      <c r="F140" s="38" t="s">
        <v>203</v>
      </c>
      <c r="G140" s="30">
        <v>8</v>
      </c>
      <c r="H140" s="39">
        <v>4.5</v>
      </c>
    </row>
    <row r="141" spans="2:8" ht="18" customHeight="1" x14ac:dyDescent="0.3">
      <c r="B141" s="26" t="s">
        <v>114</v>
      </c>
      <c r="C141" s="27">
        <v>3353</v>
      </c>
      <c r="D141" s="28" t="s">
        <v>190</v>
      </c>
      <c r="E141" s="36" t="s">
        <v>187</v>
      </c>
      <c r="F141" s="36" t="s">
        <v>203</v>
      </c>
      <c r="G141" s="30">
        <v>8</v>
      </c>
      <c r="H141" s="37">
        <v>4.5</v>
      </c>
    </row>
    <row r="142" spans="2:8" ht="18" customHeight="1" x14ac:dyDescent="0.3">
      <c r="B142" s="26" t="s">
        <v>114</v>
      </c>
      <c r="C142" s="27">
        <v>3339</v>
      </c>
      <c r="D142" s="17" t="s">
        <v>191</v>
      </c>
      <c r="E142" s="38" t="s">
        <v>183</v>
      </c>
      <c r="F142" s="38" t="s">
        <v>184</v>
      </c>
      <c r="G142" s="30">
        <v>7</v>
      </c>
      <c r="H142" s="39">
        <v>0</v>
      </c>
    </row>
    <row r="143" spans="2:8" ht="18" customHeight="1" x14ac:dyDescent="0.3">
      <c r="B143" s="26" t="s">
        <v>114</v>
      </c>
      <c r="C143" s="27">
        <v>3349</v>
      </c>
      <c r="D143" s="28" t="s">
        <v>192</v>
      </c>
      <c r="E143" s="36" t="s">
        <v>183</v>
      </c>
      <c r="F143" s="36" t="s">
        <v>184</v>
      </c>
      <c r="G143" s="30">
        <v>7</v>
      </c>
      <c r="H143" s="37">
        <v>0</v>
      </c>
    </row>
    <row r="144" spans="2:8" ht="18" customHeight="1" x14ac:dyDescent="0.3">
      <c r="B144" s="26" t="s">
        <v>114</v>
      </c>
      <c r="C144" s="27">
        <v>3338</v>
      </c>
      <c r="D144" s="17" t="s">
        <v>193</v>
      </c>
      <c r="E144" s="38" t="s">
        <v>183</v>
      </c>
      <c r="F144" s="38" t="s">
        <v>184</v>
      </c>
      <c r="G144" s="30">
        <v>7</v>
      </c>
      <c r="H144" s="39">
        <v>0</v>
      </c>
    </row>
    <row r="145" spans="2:8" ht="18" customHeight="1" x14ac:dyDescent="0.3">
      <c r="B145" s="26" t="s">
        <v>114</v>
      </c>
      <c r="C145" s="27">
        <v>3343</v>
      </c>
      <c r="D145" s="28" t="s">
        <v>194</v>
      </c>
      <c r="E145" s="36" t="s">
        <v>183</v>
      </c>
      <c r="F145" s="36" t="s">
        <v>184</v>
      </c>
      <c r="G145" s="30">
        <v>7</v>
      </c>
      <c r="H145" s="37">
        <v>0</v>
      </c>
    </row>
    <row r="146" spans="2:8" ht="18" customHeight="1" x14ac:dyDescent="0.3">
      <c r="B146" s="26" t="s">
        <v>114</v>
      </c>
      <c r="C146" s="27">
        <v>3063</v>
      </c>
      <c r="D146" s="17" t="s">
        <v>202</v>
      </c>
      <c r="E146" s="38" t="s">
        <v>187</v>
      </c>
      <c r="F146" s="38" t="s">
        <v>203</v>
      </c>
      <c r="G146" s="30">
        <v>8</v>
      </c>
      <c r="H146" s="39">
        <v>4.5</v>
      </c>
    </row>
    <row r="147" spans="2:8" ht="18" customHeight="1" x14ac:dyDescent="0.3">
      <c r="B147" s="26" t="s">
        <v>114</v>
      </c>
      <c r="C147" s="27">
        <v>3346</v>
      </c>
      <c r="D147" s="28" t="s">
        <v>195</v>
      </c>
      <c r="E147" s="36" t="s">
        <v>187</v>
      </c>
      <c r="F147" s="36" t="s">
        <v>188</v>
      </c>
      <c r="G147" s="30">
        <v>8</v>
      </c>
      <c r="H147" s="37">
        <v>0</v>
      </c>
    </row>
    <row r="148" spans="2:8" ht="18" customHeight="1" x14ac:dyDescent="0.3">
      <c r="B148" s="26" t="s">
        <v>114</v>
      </c>
      <c r="C148" s="27">
        <v>3336</v>
      </c>
      <c r="D148" s="17" t="s">
        <v>196</v>
      </c>
      <c r="E148" s="38" t="s">
        <v>183</v>
      </c>
      <c r="F148" s="38" t="s">
        <v>184</v>
      </c>
      <c r="G148" s="30">
        <v>7</v>
      </c>
      <c r="H148" s="39">
        <v>0</v>
      </c>
    </row>
    <row r="149" spans="2:8" ht="18" customHeight="1" x14ac:dyDescent="0.3">
      <c r="B149" s="26" t="s">
        <v>114</v>
      </c>
      <c r="C149" s="27">
        <v>3340</v>
      </c>
      <c r="D149" s="28" t="s">
        <v>197</v>
      </c>
      <c r="E149" s="36" t="s">
        <v>187</v>
      </c>
      <c r="F149" s="36" t="s">
        <v>203</v>
      </c>
      <c r="G149" s="30">
        <v>8</v>
      </c>
      <c r="H149" s="37">
        <v>4.5</v>
      </c>
    </row>
    <row r="150" spans="2:8" ht="18" customHeight="1" x14ac:dyDescent="0.3">
      <c r="B150" s="26" t="s">
        <v>114</v>
      </c>
      <c r="C150" s="27">
        <v>3355</v>
      </c>
      <c r="D150" s="17" t="s">
        <v>198</v>
      </c>
      <c r="E150" s="38" t="s">
        <v>183</v>
      </c>
      <c r="F150" s="38" t="s">
        <v>184</v>
      </c>
      <c r="G150" s="30">
        <v>7</v>
      </c>
      <c r="H150" s="39">
        <v>0</v>
      </c>
    </row>
    <row r="151" spans="2:8" ht="18" customHeight="1" x14ac:dyDescent="0.3">
      <c r="B151" s="26" t="s">
        <v>114</v>
      </c>
      <c r="C151" s="27">
        <v>3351</v>
      </c>
      <c r="D151" s="28" t="s">
        <v>199</v>
      </c>
      <c r="E151" s="36" t="s">
        <v>187</v>
      </c>
      <c r="F151" s="36" t="s">
        <v>203</v>
      </c>
      <c r="G151" s="30">
        <v>8</v>
      </c>
      <c r="H151" s="37">
        <v>4.5</v>
      </c>
    </row>
    <row r="152" spans="2:8" ht="18" customHeight="1" x14ac:dyDescent="0.3">
      <c r="B152" s="26" t="s">
        <v>115</v>
      </c>
      <c r="C152" s="27">
        <v>3342</v>
      </c>
      <c r="D152" s="17" t="s">
        <v>182</v>
      </c>
      <c r="E152" s="38" t="s">
        <v>187</v>
      </c>
      <c r="F152" s="38" t="s">
        <v>188</v>
      </c>
      <c r="G152" s="30">
        <v>8</v>
      </c>
      <c r="H152" s="39">
        <v>0</v>
      </c>
    </row>
    <row r="153" spans="2:8" ht="18" customHeight="1" x14ac:dyDescent="0.3">
      <c r="B153" s="26" t="s">
        <v>115</v>
      </c>
      <c r="C153" s="27">
        <v>3350</v>
      </c>
      <c r="D153" s="28" t="s">
        <v>185</v>
      </c>
      <c r="E153" s="36" t="s">
        <v>187</v>
      </c>
      <c r="F153" s="36" t="s">
        <v>188</v>
      </c>
      <c r="G153" s="30">
        <v>8</v>
      </c>
      <c r="H153" s="37">
        <v>0</v>
      </c>
    </row>
    <row r="154" spans="2:8" ht="18" customHeight="1" x14ac:dyDescent="0.3">
      <c r="B154" s="26" t="s">
        <v>115</v>
      </c>
      <c r="C154" s="27">
        <v>3374</v>
      </c>
      <c r="D154" s="17" t="s">
        <v>186</v>
      </c>
      <c r="E154" s="38" t="s">
        <v>183</v>
      </c>
      <c r="F154" s="38" t="s">
        <v>184</v>
      </c>
      <c r="G154" s="30">
        <v>7</v>
      </c>
      <c r="H154" s="39">
        <v>0</v>
      </c>
    </row>
    <row r="155" spans="2:8" ht="18" customHeight="1" x14ac:dyDescent="0.3">
      <c r="B155" s="26" t="s">
        <v>115</v>
      </c>
      <c r="C155" s="27">
        <v>3369</v>
      </c>
      <c r="D155" s="28" t="s">
        <v>201</v>
      </c>
      <c r="E155" s="36" t="s">
        <v>183</v>
      </c>
      <c r="F155" s="36" t="s">
        <v>184</v>
      </c>
      <c r="G155" s="30">
        <v>7</v>
      </c>
      <c r="H155" s="37">
        <v>0</v>
      </c>
    </row>
    <row r="156" spans="2:8" ht="18" customHeight="1" x14ac:dyDescent="0.3">
      <c r="B156" s="26" t="s">
        <v>115</v>
      </c>
      <c r="C156" s="27">
        <v>3337</v>
      </c>
      <c r="D156" s="17" t="s">
        <v>189</v>
      </c>
      <c r="E156" s="38" t="s">
        <v>187</v>
      </c>
      <c r="F156" s="38" t="s">
        <v>188</v>
      </c>
      <c r="G156" s="30">
        <v>8</v>
      </c>
      <c r="H156" s="39">
        <v>0</v>
      </c>
    </row>
    <row r="157" spans="2:8" ht="18" customHeight="1" x14ac:dyDescent="0.3">
      <c r="B157" s="26" t="s">
        <v>115</v>
      </c>
      <c r="C157" s="27">
        <v>3353</v>
      </c>
      <c r="D157" s="28" t="s">
        <v>190</v>
      </c>
      <c r="E157" s="36" t="s">
        <v>187</v>
      </c>
      <c r="F157" s="36" t="s">
        <v>188</v>
      </c>
      <c r="G157" s="30">
        <v>8</v>
      </c>
      <c r="H157" s="37">
        <v>0</v>
      </c>
    </row>
    <row r="158" spans="2:8" ht="18" customHeight="1" x14ac:dyDescent="0.3">
      <c r="B158" s="26" t="s">
        <v>115</v>
      </c>
      <c r="C158" s="27">
        <v>3339</v>
      </c>
      <c r="D158" s="17" t="s">
        <v>191</v>
      </c>
      <c r="E158" s="38" t="s">
        <v>183</v>
      </c>
      <c r="F158" s="38" t="s">
        <v>184</v>
      </c>
      <c r="G158" s="30">
        <v>7</v>
      </c>
      <c r="H158" s="39">
        <v>0</v>
      </c>
    </row>
    <row r="159" spans="2:8" ht="18" customHeight="1" x14ac:dyDescent="0.3">
      <c r="B159" s="26" t="s">
        <v>115</v>
      </c>
      <c r="C159" s="27">
        <v>3349</v>
      </c>
      <c r="D159" s="28" t="s">
        <v>192</v>
      </c>
      <c r="E159" s="36" t="s">
        <v>183</v>
      </c>
      <c r="F159" s="36" t="s">
        <v>184</v>
      </c>
      <c r="G159" s="30">
        <v>7</v>
      </c>
      <c r="H159" s="37">
        <v>0</v>
      </c>
    </row>
    <row r="160" spans="2:8" ht="18" customHeight="1" x14ac:dyDescent="0.3">
      <c r="B160" s="26" t="s">
        <v>115</v>
      </c>
      <c r="C160" s="27">
        <v>3338</v>
      </c>
      <c r="D160" s="17" t="s">
        <v>193</v>
      </c>
      <c r="E160" s="38" t="s">
        <v>183</v>
      </c>
      <c r="F160" s="38" t="s">
        <v>184</v>
      </c>
      <c r="G160" s="30">
        <v>7</v>
      </c>
      <c r="H160" s="39">
        <v>0</v>
      </c>
    </row>
    <row r="161" spans="2:8" ht="18" customHeight="1" x14ac:dyDescent="0.3">
      <c r="B161" s="26" t="s">
        <v>115</v>
      </c>
      <c r="C161" s="27">
        <v>3063</v>
      </c>
      <c r="D161" s="28" t="s">
        <v>202</v>
      </c>
      <c r="E161" s="36" t="s">
        <v>187</v>
      </c>
      <c r="F161" s="36" t="s">
        <v>188</v>
      </c>
      <c r="G161" s="30">
        <v>8</v>
      </c>
      <c r="H161" s="37">
        <v>0</v>
      </c>
    </row>
    <row r="162" spans="2:8" ht="18" customHeight="1" x14ac:dyDescent="0.3">
      <c r="B162" s="26" t="s">
        <v>115</v>
      </c>
      <c r="C162" s="27">
        <v>3346</v>
      </c>
      <c r="D162" s="17" t="s">
        <v>195</v>
      </c>
      <c r="E162" s="38" t="s">
        <v>187</v>
      </c>
      <c r="F162" s="38" t="s">
        <v>188</v>
      </c>
      <c r="G162" s="30">
        <v>8</v>
      </c>
      <c r="H162" s="39">
        <v>0</v>
      </c>
    </row>
    <row r="163" spans="2:8" ht="18" customHeight="1" x14ac:dyDescent="0.3">
      <c r="B163" s="26" t="s">
        <v>115</v>
      </c>
      <c r="C163" s="27">
        <v>3336</v>
      </c>
      <c r="D163" s="28" t="s">
        <v>196</v>
      </c>
      <c r="E163" s="36" t="s">
        <v>183</v>
      </c>
      <c r="F163" s="36" t="s">
        <v>184</v>
      </c>
      <c r="G163" s="30">
        <v>7</v>
      </c>
      <c r="H163" s="37">
        <v>0</v>
      </c>
    </row>
    <row r="164" spans="2:8" ht="18" customHeight="1" x14ac:dyDescent="0.3">
      <c r="B164" s="26" t="s">
        <v>115</v>
      </c>
      <c r="C164" s="27">
        <v>3340</v>
      </c>
      <c r="D164" s="17" t="s">
        <v>197</v>
      </c>
      <c r="E164" s="38" t="s">
        <v>187</v>
      </c>
      <c r="F164" s="38" t="s">
        <v>188</v>
      </c>
      <c r="G164" s="30">
        <v>8</v>
      </c>
      <c r="H164" s="39">
        <v>0</v>
      </c>
    </row>
    <row r="165" spans="2:8" ht="18" customHeight="1" x14ac:dyDescent="0.3">
      <c r="B165" s="26" t="s">
        <v>115</v>
      </c>
      <c r="C165" s="27">
        <v>3355</v>
      </c>
      <c r="D165" s="28" t="s">
        <v>198</v>
      </c>
      <c r="E165" s="36" t="s">
        <v>183</v>
      </c>
      <c r="F165" s="36" t="s">
        <v>184</v>
      </c>
      <c r="G165" s="30">
        <v>7</v>
      </c>
      <c r="H165" s="37">
        <v>0</v>
      </c>
    </row>
    <row r="166" spans="2:8" ht="18" customHeight="1" x14ac:dyDescent="0.3">
      <c r="B166" s="26" t="s">
        <v>115</v>
      </c>
      <c r="C166" s="27">
        <v>3351</v>
      </c>
      <c r="D166" s="17" t="s">
        <v>199</v>
      </c>
      <c r="E166" s="38" t="s">
        <v>187</v>
      </c>
      <c r="F166" s="38" t="s">
        <v>188</v>
      </c>
      <c r="G166" s="30">
        <v>8</v>
      </c>
      <c r="H166" s="39">
        <v>0</v>
      </c>
    </row>
    <row r="167" spans="2:8" ht="18" customHeight="1" x14ac:dyDescent="0.3">
      <c r="B167" s="26" t="s">
        <v>116</v>
      </c>
      <c r="C167" s="27">
        <v>3342</v>
      </c>
      <c r="D167" s="28" t="s">
        <v>182</v>
      </c>
      <c r="E167" s="36" t="s">
        <v>204</v>
      </c>
      <c r="F167" s="36" t="s">
        <v>205</v>
      </c>
      <c r="G167" s="30">
        <v>8</v>
      </c>
      <c r="H167" s="37">
        <v>5</v>
      </c>
    </row>
    <row r="168" spans="2:8" ht="18" customHeight="1" x14ac:dyDescent="0.3">
      <c r="B168" s="26" t="s">
        <v>116</v>
      </c>
      <c r="C168" s="27">
        <v>3350</v>
      </c>
      <c r="D168" s="17" t="s">
        <v>185</v>
      </c>
      <c r="E168" s="38" t="s">
        <v>204</v>
      </c>
      <c r="F168" s="38" t="s">
        <v>205</v>
      </c>
      <c r="G168" s="30">
        <v>8</v>
      </c>
      <c r="H168" s="39">
        <v>5</v>
      </c>
    </row>
    <row r="169" spans="2:8" ht="18" customHeight="1" x14ac:dyDescent="0.3">
      <c r="B169" s="26" t="s">
        <v>116</v>
      </c>
      <c r="C169" s="27">
        <v>3337</v>
      </c>
      <c r="D169" s="28" t="s">
        <v>189</v>
      </c>
      <c r="E169" s="36" t="s">
        <v>204</v>
      </c>
      <c r="F169" s="36" t="s">
        <v>205</v>
      </c>
      <c r="G169" s="30">
        <v>8</v>
      </c>
      <c r="H169" s="37">
        <v>5</v>
      </c>
    </row>
    <row r="170" spans="2:8" ht="18" customHeight="1" x14ac:dyDescent="0.3">
      <c r="B170" s="26" t="s">
        <v>116</v>
      </c>
      <c r="C170" s="27">
        <v>3353</v>
      </c>
      <c r="D170" s="17" t="s">
        <v>190</v>
      </c>
      <c r="E170" s="38" t="s">
        <v>204</v>
      </c>
      <c r="F170" s="38" t="s">
        <v>205</v>
      </c>
      <c r="G170" s="30">
        <v>8</v>
      </c>
      <c r="H170" s="39">
        <v>5</v>
      </c>
    </row>
    <row r="171" spans="2:8" ht="18" customHeight="1" x14ac:dyDescent="0.3">
      <c r="B171" s="26" t="s">
        <v>116</v>
      </c>
      <c r="C171" s="27">
        <v>3063</v>
      </c>
      <c r="D171" s="28" t="s">
        <v>202</v>
      </c>
      <c r="E171" s="36" t="s">
        <v>204</v>
      </c>
      <c r="F171" s="36" t="s">
        <v>205</v>
      </c>
      <c r="G171" s="30">
        <v>8</v>
      </c>
      <c r="H171" s="37">
        <v>5</v>
      </c>
    </row>
    <row r="172" spans="2:8" ht="18" customHeight="1" x14ac:dyDescent="0.3">
      <c r="B172" s="26" t="s">
        <v>116</v>
      </c>
      <c r="C172" s="27">
        <v>3346</v>
      </c>
      <c r="D172" s="17" t="s">
        <v>195</v>
      </c>
      <c r="E172" s="38" t="s">
        <v>204</v>
      </c>
      <c r="F172" s="38" t="s">
        <v>205</v>
      </c>
      <c r="G172" s="30">
        <v>8</v>
      </c>
      <c r="H172" s="39">
        <v>5</v>
      </c>
    </row>
    <row r="173" spans="2:8" ht="18" customHeight="1" x14ac:dyDescent="0.3">
      <c r="B173" s="26" t="s">
        <v>116</v>
      </c>
      <c r="C173" s="27">
        <v>3340</v>
      </c>
      <c r="D173" s="28" t="s">
        <v>197</v>
      </c>
      <c r="E173" s="36" t="s">
        <v>204</v>
      </c>
      <c r="F173" s="36" t="s">
        <v>205</v>
      </c>
      <c r="G173" s="30">
        <v>8</v>
      </c>
      <c r="H173" s="37">
        <v>5</v>
      </c>
    </row>
    <row r="174" spans="2:8" ht="18" customHeight="1" x14ac:dyDescent="0.3">
      <c r="B174" s="26" t="s">
        <v>116</v>
      </c>
      <c r="C174" s="27">
        <v>3351</v>
      </c>
      <c r="D174" s="17" t="s">
        <v>199</v>
      </c>
      <c r="E174" s="38" t="s">
        <v>204</v>
      </c>
      <c r="F174" s="38" t="s">
        <v>205</v>
      </c>
      <c r="G174" s="30">
        <v>8</v>
      </c>
      <c r="H174" s="39">
        <v>5</v>
      </c>
    </row>
    <row r="175" spans="2:8" ht="18" customHeight="1" x14ac:dyDescent="0.3">
      <c r="B175" s="26"/>
      <c r="C175" s="27"/>
      <c r="D175" s="28"/>
      <c r="E175" s="36"/>
      <c r="F175" s="36"/>
      <c r="G175" s="30" t="str">
        <f t="shared" ref="G175:G196" si="0">IF(OR(B175="",E175=""),"",IF(E175="08:00",8,IF(E175="07:00",8,7)))</f>
        <v/>
      </c>
      <c r="H175" s="37"/>
    </row>
    <row r="176" spans="2:8" ht="18" customHeight="1" x14ac:dyDescent="0.3">
      <c r="B176" s="26"/>
      <c r="C176" s="27"/>
      <c r="D176" s="17"/>
      <c r="E176" s="38"/>
      <c r="F176" s="38"/>
      <c r="G176" s="30" t="str">
        <f t="shared" si="0"/>
        <v/>
      </c>
      <c r="H176" s="39"/>
    </row>
    <row r="177" spans="2:8" ht="18" customHeight="1" x14ac:dyDescent="0.3">
      <c r="B177" s="26"/>
      <c r="C177" s="27"/>
      <c r="D177" s="28"/>
      <c r="E177" s="36"/>
      <c r="F177" s="36"/>
      <c r="G177" s="30" t="str">
        <f t="shared" si="0"/>
        <v/>
      </c>
      <c r="H177" s="37"/>
    </row>
    <row r="178" spans="2:8" ht="18" customHeight="1" x14ac:dyDescent="0.3">
      <c r="B178" s="26"/>
      <c r="C178" s="27"/>
      <c r="D178" s="17"/>
      <c r="E178" s="38"/>
      <c r="F178" s="38"/>
      <c r="G178" s="30" t="str">
        <f t="shared" si="0"/>
        <v/>
      </c>
      <c r="H178" s="39"/>
    </row>
    <row r="179" spans="2:8" ht="18" customHeight="1" x14ac:dyDescent="0.3">
      <c r="B179" s="26"/>
      <c r="C179" s="27"/>
      <c r="D179" s="28"/>
      <c r="E179" s="36"/>
      <c r="F179" s="36"/>
      <c r="G179" s="30" t="str">
        <f t="shared" si="0"/>
        <v/>
      </c>
      <c r="H179" s="37"/>
    </row>
    <row r="180" spans="2:8" ht="18" customHeight="1" x14ac:dyDescent="0.3">
      <c r="B180" s="26"/>
      <c r="C180" s="27"/>
      <c r="D180" s="17"/>
      <c r="E180" s="38"/>
      <c r="F180" s="38"/>
      <c r="G180" s="30" t="str">
        <f t="shared" si="0"/>
        <v/>
      </c>
      <c r="H180" s="39"/>
    </row>
    <row r="181" spans="2:8" ht="18" customHeight="1" x14ac:dyDescent="0.3">
      <c r="B181" s="26"/>
      <c r="C181" s="27"/>
      <c r="D181" s="28"/>
      <c r="E181" s="36"/>
      <c r="F181" s="36"/>
      <c r="G181" s="30" t="str">
        <f t="shared" si="0"/>
        <v/>
      </c>
      <c r="H181" s="37"/>
    </row>
    <row r="182" spans="2:8" ht="18" customHeight="1" x14ac:dyDescent="0.3">
      <c r="B182" s="26"/>
      <c r="C182" s="27"/>
      <c r="D182" s="17"/>
      <c r="E182" s="38"/>
      <c r="F182" s="38"/>
      <c r="G182" s="30" t="str">
        <f t="shared" si="0"/>
        <v/>
      </c>
      <c r="H182" s="39"/>
    </row>
    <row r="183" spans="2:8" ht="18" customHeight="1" x14ac:dyDescent="0.3">
      <c r="B183" s="26"/>
      <c r="C183" s="27"/>
      <c r="D183" s="28"/>
      <c r="E183" s="36"/>
      <c r="F183" s="36"/>
      <c r="G183" s="30" t="str">
        <f t="shared" si="0"/>
        <v/>
      </c>
      <c r="H183" s="37"/>
    </row>
    <row r="184" spans="2:8" ht="18" customHeight="1" x14ac:dyDescent="0.3">
      <c r="B184" s="26"/>
      <c r="C184" s="27"/>
      <c r="D184" s="17"/>
      <c r="E184" s="38"/>
      <c r="F184" s="38"/>
      <c r="G184" s="30" t="str">
        <f t="shared" si="0"/>
        <v/>
      </c>
      <c r="H184" s="39"/>
    </row>
    <row r="185" spans="2:8" ht="18" customHeight="1" x14ac:dyDescent="0.3">
      <c r="B185" s="26"/>
      <c r="C185" s="27"/>
      <c r="D185" s="28"/>
      <c r="E185" s="36"/>
      <c r="F185" s="36"/>
      <c r="G185" s="30" t="str">
        <f t="shared" si="0"/>
        <v/>
      </c>
      <c r="H185" s="37"/>
    </row>
    <row r="186" spans="2:8" ht="18" customHeight="1" x14ac:dyDescent="0.3">
      <c r="B186" s="26"/>
      <c r="C186" s="27"/>
      <c r="D186" s="17"/>
      <c r="E186" s="38"/>
      <c r="F186" s="38"/>
      <c r="G186" s="30" t="str">
        <f t="shared" si="0"/>
        <v/>
      </c>
      <c r="H186" s="39"/>
    </row>
    <row r="187" spans="2:8" ht="18" customHeight="1" x14ac:dyDescent="0.3">
      <c r="B187" s="26"/>
      <c r="C187" s="27"/>
      <c r="D187" s="28"/>
      <c r="E187" s="36"/>
      <c r="F187" s="36"/>
      <c r="G187" s="30" t="str">
        <f t="shared" si="0"/>
        <v/>
      </c>
      <c r="H187" s="37"/>
    </row>
    <row r="188" spans="2:8" ht="18" customHeight="1" x14ac:dyDescent="0.3">
      <c r="B188" s="26"/>
      <c r="C188" s="27"/>
      <c r="D188" s="17"/>
      <c r="E188" s="38"/>
      <c r="F188" s="38"/>
      <c r="G188" s="30" t="str">
        <f t="shared" si="0"/>
        <v/>
      </c>
      <c r="H188" s="39"/>
    </row>
    <row r="189" spans="2:8" ht="18" customHeight="1" x14ac:dyDescent="0.3">
      <c r="B189" s="26"/>
      <c r="C189" s="27"/>
      <c r="D189" s="28"/>
      <c r="E189" s="36"/>
      <c r="F189" s="36"/>
      <c r="G189" s="30" t="str">
        <f t="shared" si="0"/>
        <v/>
      </c>
      <c r="H189" s="37"/>
    </row>
    <row r="190" spans="2:8" ht="18" customHeight="1" x14ac:dyDescent="0.3">
      <c r="B190" s="26"/>
      <c r="C190" s="27"/>
      <c r="D190" s="17"/>
      <c r="E190" s="38"/>
      <c r="F190" s="38"/>
      <c r="G190" s="30" t="str">
        <f t="shared" si="0"/>
        <v/>
      </c>
      <c r="H190" s="39"/>
    </row>
    <row r="191" spans="2:8" ht="18" customHeight="1" x14ac:dyDescent="0.3">
      <c r="B191" s="26"/>
      <c r="C191" s="27"/>
      <c r="D191" s="28"/>
      <c r="E191" s="36"/>
      <c r="F191" s="36"/>
      <c r="G191" s="30" t="str">
        <f t="shared" si="0"/>
        <v/>
      </c>
      <c r="H191" s="37"/>
    </row>
    <row r="192" spans="2:8" ht="18" customHeight="1" x14ac:dyDescent="0.3">
      <c r="B192" s="26"/>
      <c r="C192" s="27"/>
      <c r="D192" s="17"/>
      <c r="E192" s="38"/>
      <c r="F192" s="38"/>
      <c r="G192" s="30" t="str">
        <f t="shared" si="0"/>
        <v/>
      </c>
      <c r="H192" s="39"/>
    </row>
    <row r="193" spans="2:8" ht="18" customHeight="1" x14ac:dyDescent="0.3">
      <c r="B193" s="26"/>
      <c r="C193" s="27"/>
      <c r="D193" s="28"/>
      <c r="E193" s="36"/>
      <c r="F193" s="36"/>
      <c r="G193" s="30" t="str">
        <f t="shared" si="0"/>
        <v/>
      </c>
      <c r="H193" s="37"/>
    </row>
    <row r="194" spans="2:8" ht="18" customHeight="1" x14ac:dyDescent="0.3">
      <c r="B194" s="26"/>
      <c r="C194" s="27"/>
      <c r="D194" s="17"/>
      <c r="E194" s="38"/>
      <c r="F194" s="38"/>
      <c r="G194" s="30" t="str">
        <f t="shared" si="0"/>
        <v/>
      </c>
      <c r="H194" s="39"/>
    </row>
    <row r="195" spans="2:8" ht="18" customHeight="1" x14ac:dyDescent="0.3">
      <c r="B195" s="26"/>
      <c r="C195" s="27"/>
      <c r="D195" s="28"/>
      <c r="E195" s="36"/>
      <c r="F195" s="36"/>
      <c r="G195" s="30" t="str">
        <f t="shared" si="0"/>
        <v/>
      </c>
      <c r="H195" s="37"/>
    </row>
    <row r="196" spans="2:8" ht="18" customHeight="1" x14ac:dyDescent="0.3">
      <c r="B196" s="26"/>
      <c r="C196" s="27"/>
      <c r="D196" s="17"/>
      <c r="E196" s="38"/>
      <c r="F196" s="38"/>
      <c r="G196" s="30" t="str">
        <f t="shared" si="0"/>
        <v/>
      </c>
      <c r="H196" s="39"/>
    </row>
    <row r="197" spans="2:8" ht="18" customHeight="1" x14ac:dyDescent="0.3">
      <c r="B197" s="26"/>
      <c r="C197" s="27"/>
      <c r="D197" s="28"/>
      <c r="E197" s="36"/>
      <c r="F197" s="36"/>
      <c r="G197" s="30" t="str">
        <f t="shared" ref="G197:G260" si="1">IF(OR(B197="",E197=""),"",IF(E197="08:00",8,IF(E197="07:00",8,7)))</f>
        <v/>
      </c>
      <c r="H197" s="37"/>
    </row>
    <row r="198" spans="2:8" ht="18" customHeight="1" x14ac:dyDescent="0.3">
      <c r="B198" s="26"/>
      <c r="C198" s="27"/>
      <c r="D198" s="17"/>
      <c r="E198" s="38"/>
      <c r="F198" s="38"/>
      <c r="G198" s="30" t="str">
        <f t="shared" si="1"/>
        <v/>
      </c>
      <c r="H198" s="39"/>
    </row>
    <row r="199" spans="2:8" ht="18" customHeight="1" x14ac:dyDescent="0.3">
      <c r="B199" s="26"/>
      <c r="C199" s="27"/>
      <c r="D199" s="28"/>
      <c r="E199" s="36"/>
      <c r="F199" s="36"/>
      <c r="G199" s="30" t="str">
        <f t="shared" si="1"/>
        <v/>
      </c>
      <c r="H199" s="37"/>
    </row>
    <row r="200" spans="2:8" ht="18" customHeight="1" x14ac:dyDescent="0.3">
      <c r="B200" s="26"/>
      <c r="C200" s="27"/>
      <c r="D200" s="17"/>
      <c r="E200" s="38"/>
      <c r="F200" s="38"/>
      <c r="G200" s="30" t="str">
        <f t="shared" si="1"/>
        <v/>
      </c>
      <c r="H200" s="39"/>
    </row>
    <row r="201" spans="2:8" ht="18" customHeight="1" x14ac:dyDescent="0.3">
      <c r="B201" s="26"/>
      <c r="C201" s="27"/>
      <c r="D201" s="28"/>
      <c r="E201" s="36"/>
      <c r="F201" s="36"/>
      <c r="G201" s="30" t="str">
        <f t="shared" si="1"/>
        <v/>
      </c>
      <c r="H201" s="37"/>
    </row>
    <row r="202" spans="2:8" ht="18" customHeight="1" x14ac:dyDescent="0.3">
      <c r="B202" s="26"/>
      <c r="C202" s="27"/>
      <c r="D202" s="17"/>
      <c r="E202" s="38"/>
      <c r="F202" s="38"/>
      <c r="G202" s="30" t="str">
        <f t="shared" si="1"/>
        <v/>
      </c>
      <c r="H202" s="39"/>
    </row>
    <row r="203" spans="2:8" ht="18" customHeight="1" x14ac:dyDescent="0.3">
      <c r="B203" s="26"/>
      <c r="C203" s="27"/>
      <c r="D203" s="28"/>
      <c r="E203" s="36"/>
      <c r="F203" s="36"/>
      <c r="G203" s="30" t="str">
        <f t="shared" si="1"/>
        <v/>
      </c>
      <c r="H203" s="37"/>
    </row>
    <row r="204" spans="2:8" ht="18" customHeight="1" x14ac:dyDescent="0.3">
      <c r="B204" s="26"/>
      <c r="C204" s="27"/>
      <c r="D204" s="17"/>
      <c r="E204" s="38"/>
      <c r="F204" s="38"/>
      <c r="G204" s="30" t="str">
        <f t="shared" si="1"/>
        <v/>
      </c>
      <c r="H204" s="39"/>
    </row>
    <row r="205" spans="2:8" ht="18" customHeight="1" x14ac:dyDescent="0.3">
      <c r="B205" s="26"/>
      <c r="C205" s="27"/>
      <c r="D205" s="28"/>
      <c r="E205" s="36"/>
      <c r="F205" s="36"/>
      <c r="G205" s="30" t="str">
        <f t="shared" si="1"/>
        <v/>
      </c>
      <c r="H205" s="37"/>
    </row>
    <row r="206" spans="2:8" ht="18" customHeight="1" x14ac:dyDescent="0.3">
      <c r="B206" s="26"/>
      <c r="C206" s="27"/>
      <c r="D206" s="17"/>
      <c r="E206" s="38"/>
      <c r="F206" s="38"/>
      <c r="G206" s="30" t="str">
        <f t="shared" si="1"/>
        <v/>
      </c>
      <c r="H206" s="39"/>
    </row>
    <row r="207" spans="2:8" ht="18" customHeight="1" x14ac:dyDescent="0.3">
      <c r="B207" s="26"/>
      <c r="C207" s="27"/>
      <c r="D207" s="28"/>
      <c r="E207" s="36"/>
      <c r="F207" s="36"/>
      <c r="G207" s="30" t="str">
        <f t="shared" si="1"/>
        <v/>
      </c>
      <c r="H207" s="37"/>
    </row>
    <row r="208" spans="2:8" ht="18" customHeight="1" x14ac:dyDescent="0.3">
      <c r="B208" s="26"/>
      <c r="C208" s="27"/>
      <c r="D208" s="17"/>
      <c r="E208" s="38"/>
      <c r="F208" s="38"/>
      <c r="G208" s="30" t="str">
        <f t="shared" si="1"/>
        <v/>
      </c>
      <c r="H208" s="39"/>
    </row>
    <row r="209" spans="2:8" ht="18" customHeight="1" x14ac:dyDescent="0.3">
      <c r="B209" s="26"/>
      <c r="C209" s="27"/>
      <c r="D209" s="28"/>
      <c r="E209" s="36"/>
      <c r="F209" s="36"/>
      <c r="G209" s="30" t="str">
        <f t="shared" si="1"/>
        <v/>
      </c>
      <c r="H209" s="37"/>
    </row>
    <row r="210" spans="2:8" ht="18" customHeight="1" x14ac:dyDescent="0.3">
      <c r="B210" s="26"/>
      <c r="C210" s="27"/>
      <c r="D210" s="17"/>
      <c r="E210" s="38"/>
      <c r="F210" s="38"/>
      <c r="G210" s="30" t="str">
        <f t="shared" si="1"/>
        <v/>
      </c>
      <c r="H210" s="39"/>
    </row>
    <row r="211" spans="2:8" ht="18" customHeight="1" x14ac:dyDescent="0.3">
      <c r="B211" s="26"/>
      <c r="C211" s="27"/>
      <c r="D211" s="28"/>
      <c r="E211" s="36"/>
      <c r="F211" s="36"/>
      <c r="G211" s="30" t="str">
        <f t="shared" si="1"/>
        <v/>
      </c>
      <c r="H211" s="37"/>
    </row>
    <row r="212" spans="2:8" ht="18" customHeight="1" x14ac:dyDescent="0.3">
      <c r="B212" s="26"/>
      <c r="C212" s="27"/>
      <c r="D212" s="17"/>
      <c r="E212" s="38"/>
      <c r="F212" s="38"/>
      <c r="G212" s="30" t="str">
        <f t="shared" si="1"/>
        <v/>
      </c>
      <c r="H212" s="39"/>
    </row>
    <row r="213" spans="2:8" ht="18" customHeight="1" x14ac:dyDescent="0.3">
      <c r="B213" s="26"/>
      <c r="C213" s="27"/>
      <c r="D213" s="28"/>
      <c r="E213" s="36"/>
      <c r="F213" s="36"/>
      <c r="G213" s="30" t="str">
        <f t="shared" si="1"/>
        <v/>
      </c>
      <c r="H213" s="37"/>
    </row>
    <row r="214" spans="2:8" ht="18" customHeight="1" x14ac:dyDescent="0.3">
      <c r="B214" s="26"/>
      <c r="C214" s="27"/>
      <c r="D214" s="17"/>
      <c r="E214" s="38"/>
      <c r="F214" s="38"/>
      <c r="G214" s="30" t="str">
        <f t="shared" si="1"/>
        <v/>
      </c>
      <c r="H214" s="39"/>
    </row>
    <row r="215" spans="2:8" ht="18" customHeight="1" x14ac:dyDescent="0.3">
      <c r="B215" s="26"/>
      <c r="C215" s="27"/>
      <c r="D215" s="28"/>
      <c r="E215" s="36"/>
      <c r="F215" s="36"/>
      <c r="G215" s="30" t="str">
        <f t="shared" si="1"/>
        <v/>
      </c>
      <c r="H215" s="37"/>
    </row>
    <row r="216" spans="2:8" ht="18" customHeight="1" x14ac:dyDescent="0.3">
      <c r="B216" s="26"/>
      <c r="C216" s="27"/>
      <c r="D216" s="17"/>
      <c r="E216" s="38"/>
      <c r="F216" s="38"/>
      <c r="G216" s="30" t="str">
        <f t="shared" si="1"/>
        <v/>
      </c>
      <c r="H216" s="39"/>
    </row>
    <row r="217" spans="2:8" ht="18" customHeight="1" x14ac:dyDescent="0.3">
      <c r="B217" s="26"/>
      <c r="C217" s="27"/>
      <c r="D217" s="28"/>
      <c r="E217" s="36"/>
      <c r="F217" s="36"/>
      <c r="G217" s="30" t="str">
        <f t="shared" si="1"/>
        <v/>
      </c>
      <c r="H217" s="37"/>
    </row>
    <row r="218" spans="2:8" ht="18" customHeight="1" x14ac:dyDescent="0.3">
      <c r="B218" s="26"/>
      <c r="C218" s="27"/>
      <c r="D218" s="17"/>
      <c r="E218" s="38"/>
      <c r="F218" s="38"/>
      <c r="G218" s="30" t="str">
        <f t="shared" si="1"/>
        <v/>
      </c>
      <c r="H218" s="39"/>
    </row>
    <row r="219" spans="2:8" ht="18" customHeight="1" x14ac:dyDescent="0.3">
      <c r="B219" s="26"/>
      <c r="C219" s="27"/>
      <c r="D219" s="28"/>
      <c r="E219" s="36"/>
      <c r="F219" s="36"/>
      <c r="G219" s="30" t="str">
        <f t="shared" si="1"/>
        <v/>
      </c>
      <c r="H219" s="37"/>
    </row>
    <row r="220" spans="2:8" ht="18" customHeight="1" x14ac:dyDescent="0.3">
      <c r="B220" s="26"/>
      <c r="C220" s="27"/>
      <c r="D220" s="17"/>
      <c r="E220" s="38"/>
      <c r="F220" s="38"/>
      <c r="G220" s="30" t="str">
        <f t="shared" si="1"/>
        <v/>
      </c>
      <c r="H220" s="39"/>
    </row>
    <row r="221" spans="2:8" ht="18" customHeight="1" x14ac:dyDescent="0.3">
      <c r="B221" s="26"/>
      <c r="C221" s="27"/>
      <c r="D221" s="28"/>
      <c r="E221" s="36"/>
      <c r="F221" s="36"/>
      <c r="G221" s="30" t="str">
        <f t="shared" si="1"/>
        <v/>
      </c>
      <c r="H221" s="37"/>
    </row>
    <row r="222" spans="2:8" ht="18" customHeight="1" x14ac:dyDescent="0.3">
      <c r="B222" s="26"/>
      <c r="C222" s="27"/>
      <c r="D222" s="17"/>
      <c r="E222" s="38"/>
      <c r="F222" s="38"/>
      <c r="G222" s="30" t="str">
        <f t="shared" si="1"/>
        <v/>
      </c>
      <c r="H222" s="39"/>
    </row>
    <row r="223" spans="2:8" ht="18" customHeight="1" x14ac:dyDescent="0.3">
      <c r="B223" s="26"/>
      <c r="C223" s="27"/>
      <c r="D223" s="28"/>
      <c r="E223" s="36"/>
      <c r="F223" s="36"/>
      <c r="G223" s="30" t="str">
        <f t="shared" si="1"/>
        <v/>
      </c>
      <c r="H223" s="37"/>
    </row>
    <row r="224" spans="2:8" ht="18" customHeight="1" x14ac:dyDescent="0.3">
      <c r="B224" s="26"/>
      <c r="C224" s="27"/>
      <c r="D224" s="17"/>
      <c r="E224" s="38"/>
      <c r="F224" s="38"/>
      <c r="G224" s="30" t="str">
        <f t="shared" si="1"/>
        <v/>
      </c>
      <c r="H224" s="39"/>
    </row>
    <row r="225" spans="2:8" ht="18" customHeight="1" x14ac:dyDescent="0.3">
      <c r="B225" s="26"/>
      <c r="C225" s="27"/>
      <c r="D225" s="28"/>
      <c r="E225" s="36"/>
      <c r="F225" s="36"/>
      <c r="G225" s="30" t="str">
        <f t="shared" si="1"/>
        <v/>
      </c>
      <c r="H225" s="37"/>
    </row>
    <row r="226" spans="2:8" ht="18" customHeight="1" x14ac:dyDescent="0.3">
      <c r="B226" s="26"/>
      <c r="C226" s="27"/>
      <c r="D226" s="17"/>
      <c r="E226" s="38"/>
      <c r="F226" s="38"/>
      <c r="G226" s="30" t="str">
        <f t="shared" si="1"/>
        <v/>
      </c>
      <c r="H226" s="39"/>
    </row>
    <row r="227" spans="2:8" ht="18" customHeight="1" x14ac:dyDescent="0.3">
      <c r="B227" s="26"/>
      <c r="C227" s="27"/>
      <c r="D227" s="28"/>
      <c r="E227" s="36"/>
      <c r="F227" s="36"/>
      <c r="G227" s="30" t="str">
        <f t="shared" si="1"/>
        <v/>
      </c>
      <c r="H227" s="37"/>
    </row>
    <row r="228" spans="2:8" ht="18" customHeight="1" x14ac:dyDescent="0.3">
      <c r="B228" s="26"/>
      <c r="C228" s="27"/>
      <c r="D228" s="17"/>
      <c r="E228" s="38"/>
      <c r="F228" s="38"/>
      <c r="G228" s="30" t="str">
        <f t="shared" si="1"/>
        <v/>
      </c>
      <c r="H228" s="39"/>
    </row>
    <row r="229" spans="2:8" ht="18" customHeight="1" x14ac:dyDescent="0.3">
      <c r="B229" s="26"/>
      <c r="C229" s="27"/>
      <c r="D229" s="28"/>
      <c r="E229" s="36"/>
      <c r="F229" s="36"/>
      <c r="G229" s="30" t="str">
        <f t="shared" si="1"/>
        <v/>
      </c>
      <c r="H229" s="37"/>
    </row>
    <row r="230" spans="2:8" ht="18" customHeight="1" x14ac:dyDescent="0.3">
      <c r="B230" s="26"/>
      <c r="C230" s="27"/>
      <c r="D230" s="17"/>
      <c r="E230" s="38"/>
      <c r="F230" s="38"/>
      <c r="G230" s="30" t="str">
        <f t="shared" si="1"/>
        <v/>
      </c>
      <c r="H230" s="39"/>
    </row>
    <row r="231" spans="2:8" ht="18" customHeight="1" x14ac:dyDescent="0.3">
      <c r="B231" s="26"/>
      <c r="C231" s="27"/>
      <c r="D231" s="28"/>
      <c r="E231" s="36"/>
      <c r="F231" s="36"/>
      <c r="G231" s="30" t="str">
        <f t="shared" si="1"/>
        <v/>
      </c>
      <c r="H231" s="37"/>
    </row>
    <row r="232" spans="2:8" ht="18" customHeight="1" x14ac:dyDescent="0.3">
      <c r="B232" s="26"/>
      <c r="C232" s="27"/>
      <c r="D232" s="17"/>
      <c r="E232" s="38"/>
      <c r="F232" s="38"/>
      <c r="G232" s="30" t="str">
        <f t="shared" si="1"/>
        <v/>
      </c>
      <c r="H232" s="39"/>
    </row>
    <row r="233" spans="2:8" ht="18" customHeight="1" x14ac:dyDescent="0.3">
      <c r="B233" s="26"/>
      <c r="C233" s="27"/>
      <c r="D233" s="28"/>
      <c r="E233" s="36"/>
      <c r="F233" s="36"/>
      <c r="G233" s="30" t="str">
        <f t="shared" si="1"/>
        <v/>
      </c>
      <c r="H233" s="37"/>
    </row>
    <row r="234" spans="2:8" ht="18" customHeight="1" x14ac:dyDescent="0.3">
      <c r="B234" s="26"/>
      <c r="C234" s="27"/>
      <c r="D234" s="17"/>
      <c r="E234" s="38"/>
      <c r="F234" s="38"/>
      <c r="G234" s="30" t="str">
        <f t="shared" si="1"/>
        <v/>
      </c>
      <c r="H234" s="39"/>
    </row>
    <row r="235" spans="2:8" ht="18" customHeight="1" x14ac:dyDescent="0.3">
      <c r="B235" s="26"/>
      <c r="C235" s="27"/>
      <c r="D235" s="28"/>
      <c r="E235" s="36"/>
      <c r="F235" s="36"/>
      <c r="G235" s="30" t="str">
        <f t="shared" si="1"/>
        <v/>
      </c>
      <c r="H235" s="37"/>
    </row>
    <row r="236" spans="2:8" ht="18" customHeight="1" x14ac:dyDescent="0.3">
      <c r="B236" s="26"/>
      <c r="C236" s="27"/>
      <c r="D236" s="17"/>
      <c r="E236" s="38"/>
      <c r="F236" s="38"/>
      <c r="G236" s="30" t="str">
        <f t="shared" si="1"/>
        <v/>
      </c>
      <c r="H236" s="39"/>
    </row>
    <row r="237" spans="2:8" ht="18" customHeight="1" x14ac:dyDescent="0.3">
      <c r="B237" s="26"/>
      <c r="C237" s="27"/>
      <c r="D237" s="28"/>
      <c r="E237" s="36"/>
      <c r="F237" s="36"/>
      <c r="G237" s="30" t="str">
        <f t="shared" si="1"/>
        <v/>
      </c>
      <c r="H237" s="37"/>
    </row>
    <row r="238" spans="2:8" ht="18" customHeight="1" x14ac:dyDescent="0.3">
      <c r="B238" s="26"/>
      <c r="C238" s="27"/>
      <c r="D238" s="17"/>
      <c r="E238" s="38"/>
      <c r="F238" s="38"/>
      <c r="G238" s="30" t="str">
        <f t="shared" si="1"/>
        <v/>
      </c>
      <c r="H238" s="39"/>
    </row>
    <row r="239" spans="2:8" ht="18" customHeight="1" x14ac:dyDescent="0.3">
      <c r="B239" s="26"/>
      <c r="C239" s="27"/>
      <c r="D239" s="28"/>
      <c r="E239" s="36"/>
      <c r="F239" s="36"/>
      <c r="G239" s="30" t="str">
        <f t="shared" si="1"/>
        <v/>
      </c>
      <c r="H239" s="37"/>
    </row>
    <row r="240" spans="2:8" ht="18" customHeight="1" x14ac:dyDescent="0.3">
      <c r="B240" s="26"/>
      <c r="C240" s="27"/>
      <c r="D240" s="17"/>
      <c r="E240" s="38"/>
      <c r="F240" s="38"/>
      <c r="G240" s="30" t="str">
        <f t="shared" si="1"/>
        <v/>
      </c>
      <c r="H240" s="39"/>
    </row>
    <row r="241" spans="2:8" ht="18" customHeight="1" x14ac:dyDescent="0.3">
      <c r="B241" s="26"/>
      <c r="C241" s="27"/>
      <c r="D241" s="28"/>
      <c r="E241" s="36"/>
      <c r="F241" s="36"/>
      <c r="G241" s="30" t="str">
        <f t="shared" si="1"/>
        <v/>
      </c>
      <c r="H241" s="37"/>
    </row>
    <row r="242" spans="2:8" ht="18" customHeight="1" x14ac:dyDescent="0.3">
      <c r="B242" s="26"/>
      <c r="C242" s="27"/>
      <c r="D242" s="17"/>
      <c r="E242" s="38"/>
      <c r="F242" s="38"/>
      <c r="G242" s="30" t="str">
        <f t="shared" si="1"/>
        <v/>
      </c>
      <c r="H242" s="39"/>
    </row>
    <row r="243" spans="2:8" ht="18" customHeight="1" x14ac:dyDescent="0.3">
      <c r="B243" s="26"/>
      <c r="C243" s="27"/>
      <c r="D243" s="28"/>
      <c r="E243" s="36"/>
      <c r="F243" s="36"/>
      <c r="G243" s="30" t="str">
        <f t="shared" si="1"/>
        <v/>
      </c>
      <c r="H243" s="37"/>
    </row>
    <row r="244" spans="2:8" ht="18" customHeight="1" x14ac:dyDescent="0.3">
      <c r="B244" s="26"/>
      <c r="C244" s="27"/>
      <c r="D244" s="17"/>
      <c r="E244" s="38"/>
      <c r="F244" s="38"/>
      <c r="G244" s="30" t="str">
        <f t="shared" si="1"/>
        <v/>
      </c>
      <c r="H244" s="39"/>
    </row>
    <row r="245" spans="2:8" ht="18" customHeight="1" x14ac:dyDescent="0.3">
      <c r="B245" s="26"/>
      <c r="C245" s="27"/>
      <c r="D245" s="28"/>
      <c r="E245" s="36"/>
      <c r="F245" s="36"/>
      <c r="G245" s="30" t="str">
        <f t="shared" si="1"/>
        <v/>
      </c>
      <c r="H245" s="37"/>
    </row>
    <row r="246" spans="2:8" ht="18" customHeight="1" x14ac:dyDescent="0.3">
      <c r="B246" s="26"/>
      <c r="C246" s="27"/>
      <c r="D246" s="17"/>
      <c r="E246" s="38"/>
      <c r="F246" s="38"/>
      <c r="G246" s="30" t="str">
        <f t="shared" si="1"/>
        <v/>
      </c>
      <c r="H246" s="39"/>
    </row>
    <row r="247" spans="2:8" ht="18" customHeight="1" x14ac:dyDescent="0.3">
      <c r="B247" s="26"/>
      <c r="C247" s="27"/>
      <c r="D247" s="28"/>
      <c r="E247" s="36"/>
      <c r="F247" s="36"/>
      <c r="G247" s="30" t="str">
        <f t="shared" si="1"/>
        <v/>
      </c>
      <c r="H247" s="37"/>
    </row>
    <row r="248" spans="2:8" ht="18" customHeight="1" x14ac:dyDescent="0.3">
      <c r="B248" s="26"/>
      <c r="C248" s="27"/>
      <c r="D248" s="17"/>
      <c r="E248" s="38"/>
      <c r="F248" s="38"/>
      <c r="G248" s="30" t="str">
        <f t="shared" si="1"/>
        <v/>
      </c>
      <c r="H248" s="39"/>
    </row>
    <row r="249" spans="2:8" ht="18" customHeight="1" x14ac:dyDescent="0.3">
      <c r="B249" s="26"/>
      <c r="C249" s="27"/>
      <c r="D249" s="28"/>
      <c r="E249" s="36"/>
      <c r="F249" s="36"/>
      <c r="G249" s="30" t="str">
        <f t="shared" si="1"/>
        <v/>
      </c>
      <c r="H249" s="37"/>
    </row>
    <row r="250" spans="2:8" ht="18" customHeight="1" x14ac:dyDescent="0.3">
      <c r="B250" s="26"/>
      <c r="C250" s="27"/>
      <c r="D250" s="17"/>
      <c r="E250" s="38"/>
      <c r="F250" s="38"/>
      <c r="G250" s="30" t="str">
        <f t="shared" si="1"/>
        <v/>
      </c>
      <c r="H250" s="39"/>
    </row>
    <row r="251" spans="2:8" ht="18" customHeight="1" x14ac:dyDescent="0.3">
      <c r="B251" s="26"/>
      <c r="C251" s="27"/>
      <c r="D251" s="28"/>
      <c r="E251" s="36"/>
      <c r="F251" s="36"/>
      <c r="G251" s="30" t="str">
        <f t="shared" si="1"/>
        <v/>
      </c>
      <c r="H251" s="37"/>
    </row>
    <row r="252" spans="2:8" ht="18" customHeight="1" x14ac:dyDescent="0.3">
      <c r="B252" s="26"/>
      <c r="C252" s="27"/>
      <c r="D252" s="17"/>
      <c r="E252" s="38"/>
      <c r="F252" s="38"/>
      <c r="G252" s="30" t="str">
        <f t="shared" si="1"/>
        <v/>
      </c>
      <c r="H252" s="39"/>
    </row>
    <row r="253" spans="2:8" ht="18" customHeight="1" x14ac:dyDescent="0.3">
      <c r="B253" s="26"/>
      <c r="C253" s="27"/>
      <c r="D253" s="28"/>
      <c r="E253" s="36"/>
      <c r="F253" s="36"/>
      <c r="G253" s="30" t="str">
        <f t="shared" si="1"/>
        <v/>
      </c>
      <c r="H253" s="37"/>
    </row>
    <row r="254" spans="2:8" ht="18" customHeight="1" x14ac:dyDescent="0.3">
      <c r="B254" s="26"/>
      <c r="C254" s="27"/>
      <c r="D254" s="17"/>
      <c r="E254" s="38"/>
      <c r="F254" s="38"/>
      <c r="G254" s="30" t="str">
        <f t="shared" si="1"/>
        <v/>
      </c>
      <c r="H254" s="39"/>
    </row>
    <row r="255" spans="2:8" ht="18" customHeight="1" x14ac:dyDescent="0.3">
      <c r="B255" s="26"/>
      <c r="C255" s="27"/>
      <c r="D255" s="28"/>
      <c r="E255" s="36"/>
      <c r="F255" s="36"/>
      <c r="G255" s="30" t="str">
        <f t="shared" si="1"/>
        <v/>
      </c>
      <c r="H255" s="37"/>
    </row>
    <row r="256" spans="2:8" ht="18" customHeight="1" x14ac:dyDescent="0.3">
      <c r="B256" s="26"/>
      <c r="C256" s="27"/>
      <c r="D256" s="17"/>
      <c r="E256" s="38"/>
      <c r="F256" s="38"/>
      <c r="G256" s="30" t="str">
        <f t="shared" si="1"/>
        <v/>
      </c>
      <c r="H256" s="39"/>
    </row>
    <row r="257" spans="2:8" ht="18" customHeight="1" x14ac:dyDescent="0.3">
      <c r="B257" s="26"/>
      <c r="C257" s="27"/>
      <c r="D257" s="28"/>
      <c r="E257" s="36"/>
      <c r="F257" s="36"/>
      <c r="G257" s="30" t="str">
        <f t="shared" si="1"/>
        <v/>
      </c>
      <c r="H257" s="37"/>
    </row>
    <row r="258" spans="2:8" ht="18" customHeight="1" x14ac:dyDescent="0.3">
      <c r="B258" s="26"/>
      <c r="C258" s="27"/>
      <c r="D258" s="17"/>
      <c r="E258" s="38"/>
      <c r="F258" s="38"/>
      <c r="G258" s="30" t="str">
        <f t="shared" si="1"/>
        <v/>
      </c>
      <c r="H258" s="39"/>
    </row>
    <row r="259" spans="2:8" ht="18" customHeight="1" x14ac:dyDescent="0.3">
      <c r="B259" s="26"/>
      <c r="C259" s="27"/>
      <c r="D259" s="28"/>
      <c r="E259" s="36"/>
      <c r="F259" s="36"/>
      <c r="G259" s="30" t="str">
        <f t="shared" si="1"/>
        <v/>
      </c>
      <c r="H259" s="37"/>
    </row>
    <row r="260" spans="2:8" ht="18" customHeight="1" x14ac:dyDescent="0.3">
      <c r="B260" s="26"/>
      <c r="C260" s="27"/>
      <c r="D260" s="17"/>
      <c r="E260" s="38"/>
      <c r="F260" s="38"/>
      <c r="G260" s="30" t="str">
        <f t="shared" si="1"/>
        <v/>
      </c>
      <c r="H260" s="39"/>
    </row>
    <row r="261" spans="2:8" ht="18" customHeight="1" x14ac:dyDescent="0.3">
      <c r="B261" s="26"/>
      <c r="C261" s="27"/>
      <c r="D261" s="28"/>
      <c r="E261" s="36"/>
      <c r="F261" s="36"/>
      <c r="G261" s="30" t="str">
        <f t="shared" ref="G261:G324" si="2">IF(OR(B261="",E261=""),"",IF(E261="08:00",8,IF(E261="07:00",8,7)))</f>
        <v/>
      </c>
      <c r="H261" s="37"/>
    </row>
    <row r="262" spans="2:8" ht="18" customHeight="1" x14ac:dyDescent="0.3">
      <c r="B262" s="26"/>
      <c r="C262" s="27"/>
      <c r="D262" s="17"/>
      <c r="E262" s="38"/>
      <c r="F262" s="38"/>
      <c r="G262" s="30" t="str">
        <f t="shared" si="2"/>
        <v/>
      </c>
      <c r="H262" s="39"/>
    </row>
    <row r="263" spans="2:8" ht="18" customHeight="1" x14ac:dyDescent="0.3">
      <c r="B263" s="26"/>
      <c r="C263" s="27"/>
      <c r="D263" s="28"/>
      <c r="E263" s="36"/>
      <c r="F263" s="36"/>
      <c r="G263" s="30" t="str">
        <f t="shared" si="2"/>
        <v/>
      </c>
      <c r="H263" s="37"/>
    </row>
    <row r="264" spans="2:8" ht="18" customHeight="1" x14ac:dyDescent="0.3">
      <c r="B264" s="26"/>
      <c r="C264" s="27"/>
      <c r="D264" s="17"/>
      <c r="E264" s="38"/>
      <c r="F264" s="38"/>
      <c r="G264" s="30" t="str">
        <f t="shared" si="2"/>
        <v/>
      </c>
      <c r="H264" s="39"/>
    </row>
    <row r="265" spans="2:8" ht="18" customHeight="1" x14ac:dyDescent="0.3">
      <c r="B265" s="26"/>
      <c r="C265" s="27"/>
      <c r="D265" s="28"/>
      <c r="E265" s="36"/>
      <c r="F265" s="36"/>
      <c r="G265" s="30" t="str">
        <f t="shared" si="2"/>
        <v/>
      </c>
      <c r="H265" s="37"/>
    </row>
    <row r="266" spans="2:8" ht="18" customHeight="1" x14ac:dyDescent="0.3">
      <c r="B266" s="26"/>
      <c r="C266" s="27"/>
      <c r="D266" s="17"/>
      <c r="E266" s="38"/>
      <c r="F266" s="38"/>
      <c r="G266" s="30" t="str">
        <f t="shared" si="2"/>
        <v/>
      </c>
      <c r="H266" s="39"/>
    </row>
    <row r="267" spans="2:8" ht="18" customHeight="1" x14ac:dyDescent="0.3">
      <c r="B267" s="26"/>
      <c r="C267" s="27"/>
      <c r="D267" s="28"/>
      <c r="E267" s="36"/>
      <c r="F267" s="36"/>
      <c r="G267" s="30" t="str">
        <f t="shared" si="2"/>
        <v/>
      </c>
      <c r="H267" s="37"/>
    </row>
    <row r="268" spans="2:8" ht="18" customHeight="1" x14ac:dyDescent="0.3">
      <c r="B268" s="26"/>
      <c r="C268" s="27"/>
      <c r="D268" s="17"/>
      <c r="E268" s="38"/>
      <c r="F268" s="38"/>
      <c r="G268" s="30" t="str">
        <f t="shared" si="2"/>
        <v/>
      </c>
      <c r="H268" s="39"/>
    </row>
    <row r="269" spans="2:8" ht="18" customHeight="1" x14ac:dyDescent="0.3">
      <c r="B269" s="26"/>
      <c r="C269" s="27"/>
      <c r="D269" s="28"/>
      <c r="E269" s="36"/>
      <c r="F269" s="36"/>
      <c r="G269" s="30" t="str">
        <f t="shared" si="2"/>
        <v/>
      </c>
      <c r="H269" s="37"/>
    </row>
    <row r="270" spans="2:8" ht="18" customHeight="1" x14ac:dyDescent="0.3">
      <c r="B270" s="26"/>
      <c r="C270" s="27"/>
      <c r="D270" s="17"/>
      <c r="E270" s="38"/>
      <c r="F270" s="38"/>
      <c r="G270" s="30" t="str">
        <f t="shared" si="2"/>
        <v/>
      </c>
      <c r="H270" s="39"/>
    </row>
    <row r="271" spans="2:8" ht="18" customHeight="1" x14ac:dyDescent="0.3">
      <c r="B271" s="26"/>
      <c r="C271" s="27"/>
      <c r="D271" s="28"/>
      <c r="E271" s="36"/>
      <c r="F271" s="36"/>
      <c r="G271" s="30" t="str">
        <f t="shared" si="2"/>
        <v/>
      </c>
      <c r="H271" s="37"/>
    </row>
    <row r="272" spans="2:8" ht="18" customHeight="1" x14ac:dyDescent="0.3">
      <c r="B272" s="26"/>
      <c r="C272" s="27"/>
      <c r="D272" s="17"/>
      <c r="E272" s="38"/>
      <c r="F272" s="38"/>
      <c r="G272" s="30" t="str">
        <f t="shared" si="2"/>
        <v/>
      </c>
      <c r="H272" s="39"/>
    </row>
    <row r="273" spans="2:8" ht="18" customHeight="1" x14ac:dyDescent="0.3">
      <c r="B273" s="26"/>
      <c r="C273" s="27"/>
      <c r="D273" s="28"/>
      <c r="E273" s="36"/>
      <c r="F273" s="36"/>
      <c r="G273" s="30" t="str">
        <f t="shared" si="2"/>
        <v/>
      </c>
      <c r="H273" s="37"/>
    </row>
    <row r="274" spans="2:8" ht="18" customHeight="1" x14ac:dyDescent="0.3">
      <c r="B274" s="26"/>
      <c r="C274" s="27"/>
      <c r="D274" s="17"/>
      <c r="E274" s="38"/>
      <c r="F274" s="38"/>
      <c r="G274" s="30" t="str">
        <f t="shared" si="2"/>
        <v/>
      </c>
      <c r="H274" s="39"/>
    </row>
    <row r="275" spans="2:8" ht="18" customHeight="1" x14ac:dyDescent="0.3">
      <c r="B275" s="26"/>
      <c r="C275" s="27"/>
      <c r="D275" s="28"/>
      <c r="E275" s="36"/>
      <c r="F275" s="36"/>
      <c r="G275" s="30" t="str">
        <f t="shared" si="2"/>
        <v/>
      </c>
      <c r="H275" s="37"/>
    </row>
    <row r="276" spans="2:8" ht="18" customHeight="1" x14ac:dyDescent="0.3">
      <c r="B276" s="26"/>
      <c r="C276" s="27"/>
      <c r="D276" s="17"/>
      <c r="E276" s="38"/>
      <c r="F276" s="38"/>
      <c r="G276" s="30" t="str">
        <f t="shared" si="2"/>
        <v/>
      </c>
      <c r="H276" s="39"/>
    </row>
    <row r="277" spans="2:8" ht="18" customHeight="1" x14ac:dyDescent="0.3">
      <c r="B277" s="26"/>
      <c r="C277" s="27"/>
      <c r="D277" s="28"/>
      <c r="E277" s="36"/>
      <c r="F277" s="36"/>
      <c r="G277" s="30" t="str">
        <f t="shared" si="2"/>
        <v/>
      </c>
      <c r="H277" s="37"/>
    </row>
    <row r="278" spans="2:8" ht="18" customHeight="1" x14ac:dyDescent="0.3">
      <c r="B278" s="26"/>
      <c r="C278" s="27"/>
      <c r="D278" s="17"/>
      <c r="E278" s="38"/>
      <c r="F278" s="38"/>
      <c r="G278" s="30" t="str">
        <f t="shared" si="2"/>
        <v/>
      </c>
      <c r="H278" s="39"/>
    </row>
    <row r="279" spans="2:8" ht="18" customHeight="1" x14ac:dyDescent="0.3">
      <c r="B279" s="26"/>
      <c r="C279" s="27"/>
      <c r="D279" s="28"/>
      <c r="E279" s="36"/>
      <c r="F279" s="36"/>
      <c r="G279" s="30" t="str">
        <f t="shared" si="2"/>
        <v/>
      </c>
      <c r="H279" s="37"/>
    </row>
    <row r="280" spans="2:8" ht="18" customHeight="1" x14ac:dyDescent="0.3">
      <c r="B280" s="26"/>
      <c r="C280" s="27"/>
      <c r="D280" s="17"/>
      <c r="E280" s="38"/>
      <c r="F280" s="38"/>
      <c r="G280" s="30" t="str">
        <f t="shared" si="2"/>
        <v/>
      </c>
      <c r="H280" s="39"/>
    </row>
    <row r="281" spans="2:8" ht="18" customHeight="1" x14ac:dyDescent="0.3">
      <c r="B281" s="26"/>
      <c r="C281" s="27"/>
      <c r="D281" s="28"/>
      <c r="E281" s="36"/>
      <c r="F281" s="36"/>
      <c r="G281" s="30" t="str">
        <f t="shared" si="2"/>
        <v/>
      </c>
      <c r="H281" s="37"/>
    </row>
    <row r="282" spans="2:8" ht="18" customHeight="1" x14ac:dyDescent="0.3">
      <c r="B282" s="26"/>
      <c r="C282" s="27"/>
      <c r="D282" s="17"/>
      <c r="E282" s="38"/>
      <c r="F282" s="38"/>
      <c r="G282" s="30" t="str">
        <f t="shared" si="2"/>
        <v/>
      </c>
      <c r="H282" s="39"/>
    </row>
    <row r="283" spans="2:8" ht="18" customHeight="1" x14ac:dyDescent="0.3">
      <c r="B283" s="26"/>
      <c r="C283" s="27"/>
      <c r="D283" s="28"/>
      <c r="E283" s="36"/>
      <c r="F283" s="36"/>
      <c r="G283" s="30" t="str">
        <f t="shared" si="2"/>
        <v/>
      </c>
      <c r="H283" s="37"/>
    </row>
    <row r="284" spans="2:8" ht="18" customHeight="1" x14ac:dyDescent="0.3">
      <c r="B284" s="26"/>
      <c r="C284" s="27"/>
      <c r="D284" s="17"/>
      <c r="E284" s="38"/>
      <c r="F284" s="38"/>
      <c r="G284" s="30" t="str">
        <f t="shared" si="2"/>
        <v/>
      </c>
      <c r="H284" s="39"/>
    </row>
    <row r="285" spans="2:8" ht="18" customHeight="1" x14ac:dyDescent="0.3">
      <c r="B285" s="26"/>
      <c r="C285" s="27"/>
      <c r="D285" s="28"/>
      <c r="E285" s="36"/>
      <c r="F285" s="36"/>
      <c r="G285" s="30" t="str">
        <f t="shared" si="2"/>
        <v/>
      </c>
      <c r="H285" s="37"/>
    </row>
    <row r="286" spans="2:8" ht="18" customHeight="1" x14ac:dyDescent="0.3">
      <c r="B286" s="26"/>
      <c r="C286" s="27"/>
      <c r="D286" s="17"/>
      <c r="E286" s="38"/>
      <c r="F286" s="38"/>
      <c r="G286" s="30" t="str">
        <f t="shared" si="2"/>
        <v/>
      </c>
      <c r="H286" s="39"/>
    </row>
    <row r="287" spans="2:8" ht="18" customHeight="1" x14ac:dyDescent="0.3">
      <c r="B287" s="26"/>
      <c r="C287" s="27"/>
      <c r="D287" s="28"/>
      <c r="E287" s="36"/>
      <c r="F287" s="36"/>
      <c r="G287" s="30" t="str">
        <f t="shared" si="2"/>
        <v/>
      </c>
      <c r="H287" s="37"/>
    </row>
    <row r="288" spans="2:8" ht="18" customHeight="1" x14ac:dyDescent="0.3">
      <c r="B288" s="26"/>
      <c r="C288" s="27"/>
      <c r="D288" s="17"/>
      <c r="E288" s="38"/>
      <c r="F288" s="38"/>
      <c r="G288" s="30" t="str">
        <f t="shared" si="2"/>
        <v/>
      </c>
      <c r="H288" s="39"/>
    </row>
    <row r="289" spans="2:8" ht="18" customHeight="1" x14ac:dyDescent="0.3">
      <c r="B289" s="26"/>
      <c r="C289" s="27"/>
      <c r="D289" s="28"/>
      <c r="E289" s="36"/>
      <c r="F289" s="36"/>
      <c r="G289" s="30" t="str">
        <f t="shared" si="2"/>
        <v/>
      </c>
      <c r="H289" s="37"/>
    </row>
    <row r="290" spans="2:8" ht="18" customHeight="1" x14ac:dyDescent="0.3">
      <c r="B290" s="26"/>
      <c r="C290" s="27"/>
      <c r="D290" s="17"/>
      <c r="E290" s="38"/>
      <c r="F290" s="38"/>
      <c r="G290" s="30" t="str">
        <f t="shared" si="2"/>
        <v/>
      </c>
      <c r="H290" s="39"/>
    </row>
    <row r="291" spans="2:8" ht="18" customHeight="1" x14ac:dyDescent="0.3">
      <c r="B291" s="26"/>
      <c r="C291" s="27"/>
      <c r="D291" s="28"/>
      <c r="E291" s="36"/>
      <c r="F291" s="36"/>
      <c r="G291" s="30" t="str">
        <f t="shared" si="2"/>
        <v/>
      </c>
      <c r="H291" s="37"/>
    </row>
    <row r="292" spans="2:8" ht="18" customHeight="1" x14ac:dyDescent="0.3">
      <c r="B292" s="26"/>
      <c r="C292" s="27"/>
      <c r="D292" s="17"/>
      <c r="E292" s="38"/>
      <c r="F292" s="38"/>
      <c r="G292" s="30" t="str">
        <f t="shared" si="2"/>
        <v/>
      </c>
      <c r="H292" s="39"/>
    </row>
    <row r="293" spans="2:8" ht="18" customHeight="1" x14ac:dyDescent="0.3">
      <c r="B293" s="26"/>
      <c r="C293" s="27"/>
      <c r="D293" s="28"/>
      <c r="E293" s="36"/>
      <c r="F293" s="36"/>
      <c r="G293" s="30" t="str">
        <f t="shared" si="2"/>
        <v/>
      </c>
      <c r="H293" s="37"/>
    </row>
    <row r="294" spans="2:8" ht="18" customHeight="1" x14ac:dyDescent="0.3">
      <c r="B294" s="26"/>
      <c r="C294" s="27"/>
      <c r="D294" s="17"/>
      <c r="E294" s="38"/>
      <c r="F294" s="38"/>
      <c r="G294" s="30" t="str">
        <f t="shared" si="2"/>
        <v/>
      </c>
      <c r="H294" s="39"/>
    </row>
    <row r="295" spans="2:8" ht="18" customHeight="1" x14ac:dyDescent="0.3">
      <c r="B295" s="26"/>
      <c r="C295" s="27"/>
      <c r="D295" s="28"/>
      <c r="E295" s="36"/>
      <c r="F295" s="36"/>
      <c r="G295" s="30" t="str">
        <f t="shared" si="2"/>
        <v/>
      </c>
      <c r="H295" s="37"/>
    </row>
    <row r="296" spans="2:8" ht="18" customHeight="1" x14ac:dyDescent="0.3">
      <c r="B296" s="26"/>
      <c r="C296" s="27"/>
      <c r="D296" s="17"/>
      <c r="E296" s="38"/>
      <c r="F296" s="38"/>
      <c r="G296" s="30" t="str">
        <f t="shared" si="2"/>
        <v/>
      </c>
      <c r="H296" s="39"/>
    </row>
    <row r="297" spans="2:8" ht="18" customHeight="1" x14ac:dyDescent="0.3">
      <c r="B297" s="26"/>
      <c r="C297" s="27"/>
      <c r="D297" s="28"/>
      <c r="E297" s="36"/>
      <c r="F297" s="36"/>
      <c r="G297" s="30" t="str">
        <f t="shared" si="2"/>
        <v/>
      </c>
      <c r="H297" s="37"/>
    </row>
    <row r="298" spans="2:8" ht="18" customHeight="1" x14ac:dyDescent="0.3">
      <c r="B298" s="26"/>
      <c r="C298" s="27"/>
      <c r="D298" s="17"/>
      <c r="E298" s="38"/>
      <c r="F298" s="38"/>
      <c r="G298" s="30" t="str">
        <f t="shared" si="2"/>
        <v/>
      </c>
      <c r="H298" s="39"/>
    </row>
    <row r="299" spans="2:8" ht="18" customHeight="1" x14ac:dyDescent="0.3">
      <c r="B299" s="26"/>
      <c r="C299" s="27"/>
      <c r="D299" s="28"/>
      <c r="E299" s="36"/>
      <c r="F299" s="36"/>
      <c r="G299" s="30" t="str">
        <f t="shared" si="2"/>
        <v/>
      </c>
      <c r="H299" s="37"/>
    </row>
    <row r="300" spans="2:8" ht="18" customHeight="1" x14ac:dyDescent="0.3">
      <c r="B300" s="26"/>
      <c r="C300" s="27"/>
      <c r="D300" s="17"/>
      <c r="E300" s="38"/>
      <c r="F300" s="38"/>
      <c r="G300" s="30" t="str">
        <f t="shared" si="2"/>
        <v/>
      </c>
      <c r="H300" s="39"/>
    </row>
    <row r="301" spans="2:8" ht="18" customHeight="1" x14ac:dyDescent="0.3">
      <c r="B301" s="26"/>
      <c r="C301" s="27"/>
      <c r="D301" s="28"/>
      <c r="E301" s="36"/>
      <c r="F301" s="36"/>
      <c r="G301" s="30" t="str">
        <f t="shared" si="2"/>
        <v/>
      </c>
      <c r="H301" s="37"/>
    </row>
    <row r="302" spans="2:8" ht="18" customHeight="1" x14ac:dyDescent="0.3">
      <c r="B302" s="26"/>
      <c r="C302" s="27"/>
      <c r="D302" s="17"/>
      <c r="E302" s="38"/>
      <c r="F302" s="38"/>
      <c r="G302" s="30" t="str">
        <f t="shared" si="2"/>
        <v/>
      </c>
      <c r="H302" s="39"/>
    </row>
    <row r="303" spans="2:8" ht="18" customHeight="1" x14ac:dyDescent="0.3">
      <c r="B303" s="26"/>
      <c r="C303" s="27"/>
      <c r="D303" s="28"/>
      <c r="E303" s="36"/>
      <c r="F303" s="36"/>
      <c r="G303" s="30" t="str">
        <f t="shared" si="2"/>
        <v/>
      </c>
      <c r="H303" s="37"/>
    </row>
    <row r="304" spans="2:8" ht="18" customHeight="1" x14ac:dyDescent="0.3">
      <c r="B304" s="26"/>
      <c r="C304" s="27"/>
      <c r="D304" s="17"/>
      <c r="E304" s="38"/>
      <c r="F304" s="38"/>
      <c r="G304" s="30" t="str">
        <f t="shared" si="2"/>
        <v/>
      </c>
      <c r="H304" s="39"/>
    </row>
    <row r="305" spans="2:8" ht="18" customHeight="1" x14ac:dyDescent="0.3">
      <c r="B305" s="26"/>
      <c r="C305" s="27"/>
      <c r="D305" s="28"/>
      <c r="E305" s="36"/>
      <c r="F305" s="36"/>
      <c r="G305" s="30" t="str">
        <f t="shared" si="2"/>
        <v/>
      </c>
      <c r="H305" s="37"/>
    </row>
    <row r="306" spans="2:8" ht="18" customHeight="1" x14ac:dyDescent="0.3">
      <c r="B306" s="26"/>
      <c r="C306" s="27"/>
      <c r="D306" s="17"/>
      <c r="E306" s="38"/>
      <c r="F306" s="38"/>
      <c r="G306" s="30" t="str">
        <f t="shared" si="2"/>
        <v/>
      </c>
      <c r="H306" s="39"/>
    </row>
    <row r="307" spans="2:8" ht="18" customHeight="1" x14ac:dyDescent="0.3">
      <c r="B307" s="26"/>
      <c r="C307" s="27"/>
      <c r="D307" s="28"/>
      <c r="E307" s="36"/>
      <c r="F307" s="36"/>
      <c r="G307" s="30" t="str">
        <f t="shared" si="2"/>
        <v/>
      </c>
      <c r="H307" s="37"/>
    </row>
    <row r="308" spans="2:8" ht="18" customHeight="1" x14ac:dyDescent="0.3">
      <c r="B308" s="26"/>
      <c r="C308" s="27"/>
      <c r="D308" s="17"/>
      <c r="E308" s="38"/>
      <c r="F308" s="38"/>
      <c r="G308" s="30" t="str">
        <f t="shared" si="2"/>
        <v/>
      </c>
      <c r="H308" s="39"/>
    </row>
    <row r="309" spans="2:8" ht="18" customHeight="1" x14ac:dyDescent="0.3">
      <c r="B309" s="26"/>
      <c r="C309" s="27"/>
      <c r="D309" s="28"/>
      <c r="E309" s="36"/>
      <c r="F309" s="36"/>
      <c r="G309" s="30" t="str">
        <f t="shared" si="2"/>
        <v/>
      </c>
      <c r="H309" s="37"/>
    </row>
    <row r="310" spans="2:8" ht="18" customHeight="1" x14ac:dyDescent="0.3">
      <c r="B310" s="26"/>
      <c r="C310" s="27"/>
      <c r="D310" s="17"/>
      <c r="E310" s="38"/>
      <c r="F310" s="38"/>
      <c r="G310" s="30" t="str">
        <f t="shared" si="2"/>
        <v/>
      </c>
      <c r="H310" s="39"/>
    </row>
    <row r="311" spans="2:8" ht="18" customHeight="1" x14ac:dyDescent="0.3">
      <c r="B311" s="26"/>
      <c r="C311" s="27"/>
      <c r="D311" s="28"/>
      <c r="E311" s="36"/>
      <c r="F311" s="36"/>
      <c r="G311" s="30" t="str">
        <f t="shared" si="2"/>
        <v/>
      </c>
      <c r="H311" s="37"/>
    </row>
    <row r="312" spans="2:8" ht="18" customHeight="1" x14ac:dyDescent="0.3">
      <c r="B312" s="26"/>
      <c r="C312" s="27"/>
      <c r="D312" s="17"/>
      <c r="E312" s="38"/>
      <c r="F312" s="38"/>
      <c r="G312" s="30" t="str">
        <f t="shared" si="2"/>
        <v/>
      </c>
      <c r="H312" s="39"/>
    </row>
    <row r="313" spans="2:8" ht="18" customHeight="1" x14ac:dyDescent="0.3">
      <c r="B313" s="26"/>
      <c r="C313" s="27"/>
      <c r="D313" s="28"/>
      <c r="E313" s="36"/>
      <c r="F313" s="36"/>
      <c r="G313" s="30" t="str">
        <f t="shared" si="2"/>
        <v/>
      </c>
      <c r="H313" s="37"/>
    </row>
    <row r="314" spans="2:8" ht="18" customHeight="1" x14ac:dyDescent="0.3">
      <c r="B314" s="26"/>
      <c r="C314" s="27"/>
      <c r="D314" s="17"/>
      <c r="E314" s="38"/>
      <c r="F314" s="38"/>
      <c r="G314" s="30" t="str">
        <f t="shared" si="2"/>
        <v/>
      </c>
      <c r="H314" s="39"/>
    </row>
    <row r="315" spans="2:8" ht="18" customHeight="1" x14ac:dyDescent="0.3">
      <c r="B315" s="26"/>
      <c r="C315" s="27"/>
      <c r="D315" s="28"/>
      <c r="E315" s="36"/>
      <c r="F315" s="36"/>
      <c r="G315" s="30" t="str">
        <f t="shared" si="2"/>
        <v/>
      </c>
      <c r="H315" s="37"/>
    </row>
    <row r="316" spans="2:8" ht="18" customHeight="1" x14ac:dyDescent="0.3">
      <c r="B316" s="26"/>
      <c r="C316" s="27"/>
      <c r="D316" s="17"/>
      <c r="E316" s="38"/>
      <c r="F316" s="38"/>
      <c r="G316" s="30" t="str">
        <f t="shared" si="2"/>
        <v/>
      </c>
      <c r="H316" s="39"/>
    </row>
    <row r="317" spans="2:8" ht="18" customHeight="1" x14ac:dyDescent="0.3">
      <c r="B317" s="26"/>
      <c r="C317" s="27"/>
      <c r="D317" s="28"/>
      <c r="E317" s="36"/>
      <c r="F317" s="36"/>
      <c r="G317" s="30" t="str">
        <f t="shared" si="2"/>
        <v/>
      </c>
      <c r="H317" s="37"/>
    </row>
    <row r="318" spans="2:8" ht="18" customHeight="1" x14ac:dyDescent="0.3">
      <c r="B318" s="26"/>
      <c r="C318" s="27"/>
      <c r="D318" s="17"/>
      <c r="E318" s="38"/>
      <c r="F318" s="38"/>
      <c r="G318" s="30" t="str">
        <f t="shared" si="2"/>
        <v/>
      </c>
      <c r="H318" s="39"/>
    </row>
    <row r="319" spans="2:8" ht="18" customHeight="1" x14ac:dyDescent="0.3">
      <c r="B319" s="26"/>
      <c r="C319" s="27"/>
      <c r="D319" s="28"/>
      <c r="E319" s="36"/>
      <c r="F319" s="36"/>
      <c r="G319" s="30" t="str">
        <f t="shared" si="2"/>
        <v/>
      </c>
      <c r="H319" s="37"/>
    </row>
    <row r="320" spans="2:8" ht="18" customHeight="1" x14ac:dyDescent="0.3">
      <c r="B320" s="26"/>
      <c r="C320" s="27"/>
      <c r="D320" s="17"/>
      <c r="E320" s="38"/>
      <c r="F320" s="38"/>
      <c r="G320" s="30" t="str">
        <f t="shared" si="2"/>
        <v/>
      </c>
      <c r="H320" s="39"/>
    </row>
    <row r="321" spans="2:8" ht="18" customHeight="1" x14ac:dyDescent="0.3">
      <c r="B321" s="26"/>
      <c r="C321" s="27"/>
      <c r="D321" s="28"/>
      <c r="E321" s="36"/>
      <c r="F321" s="36"/>
      <c r="G321" s="30" t="str">
        <f t="shared" si="2"/>
        <v/>
      </c>
      <c r="H321" s="37"/>
    </row>
    <row r="322" spans="2:8" ht="18" customHeight="1" x14ac:dyDescent="0.3">
      <c r="B322" s="26"/>
      <c r="C322" s="27"/>
      <c r="D322" s="17"/>
      <c r="E322" s="38"/>
      <c r="F322" s="38"/>
      <c r="G322" s="30" t="str">
        <f t="shared" si="2"/>
        <v/>
      </c>
      <c r="H322" s="39"/>
    </row>
    <row r="323" spans="2:8" ht="18" customHeight="1" x14ac:dyDescent="0.3">
      <c r="B323" s="26"/>
      <c r="C323" s="27"/>
      <c r="D323" s="28"/>
      <c r="E323" s="36"/>
      <c r="F323" s="36"/>
      <c r="G323" s="30" t="str">
        <f t="shared" si="2"/>
        <v/>
      </c>
      <c r="H323" s="37"/>
    </row>
    <row r="324" spans="2:8" ht="18" customHeight="1" x14ac:dyDescent="0.3">
      <c r="B324" s="26"/>
      <c r="C324" s="27"/>
      <c r="D324" s="17"/>
      <c r="E324" s="38"/>
      <c r="F324" s="38"/>
      <c r="G324" s="30" t="str">
        <f t="shared" si="2"/>
        <v/>
      </c>
      <c r="H324" s="39"/>
    </row>
    <row r="325" spans="2:8" ht="18" customHeight="1" x14ac:dyDescent="0.3">
      <c r="B325" s="26"/>
      <c r="C325" s="27"/>
      <c r="D325" s="28"/>
      <c r="E325" s="36"/>
      <c r="F325" s="36"/>
      <c r="G325" s="30" t="str">
        <f t="shared" ref="G325:G388" si="3">IF(OR(B325="",E325=""),"",IF(E325="08:00",8,IF(E325="07:00",8,7)))</f>
        <v/>
      </c>
      <c r="H325" s="37"/>
    </row>
    <row r="326" spans="2:8" ht="18" customHeight="1" x14ac:dyDescent="0.3">
      <c r="B326" s="26"/>
      <c r="C326" s="27"/>
      <c r="D326" s="17"/>
      <c r="E326" s="38"/>
      <c r="F326" s="38"/>
      <c r="G326" s="30" t="str">
        <f t="shared" si="3"/>
        <v/>
      </c>
      <c r="H326" s="39"/>
    </row>
    <row r="327" spans="2:8" ht="18" customHeight="1" x14ac:dyDescent="0.3">
      <c r="B327" s="26"/>
      <c r="C327" s="27"/>
      <c r="D327" s="28"/>
      <c r="E327" s="36"/>
      <c r="F327" s="36"/>
      <c r="G327" s="30" t="str">
        <f t="shared" si="3"/>
        <v/>
      </c>
      <c r="H327" s="37"/>
    </row>
    <row r="328" spans="2:8" ht="18" customHeight="1" x14ac:dyDescent="0.3">
      <c r="B328" s="26"/>
      <c r="C328" s="27"/>
      <c r="D328" s="17"/>
      <c r="E328" s="38"/>
      <c r="F328" s="38"/>
      <c r="G328" s="30" t="str">
        <f t="shared" si="3"/>
        <v/>
      </c>
      <c r="H328" s="39"/>
    </row>
    <row r="329" spans="2:8" ht="18" customHeight="1" x14ac:dyDescent="0.3">
      <c r="B329" s="26"/>
      <c r="C329" s="27"/>
      <c r="D329" s="28"/>
      <c r="E329" s="36"/>
      <c r="F329" s="36"/>
      <c r="G329" s="30" t="str">
        <f t="shared" si="3"/>
        <v/>
      </c>
      <c r="H329" s="37"/>
    </row>
    <row r="330" spans="2:8" ht="18" customHeight="1" x14ac:dyDescent="0.3">
      <c r="B330" s="26"/>
      <c r="C330" s="27"/>
      <c r="D330" s="17"/>
      <c r="E330" s="38"/>
      <c r="F330" s="38"/>
      <c r="G330" s="30" t="str">
        <f t="shared" si="3"/>
        <v/>
      </c>
      <c r="H330" s="39"/>
    </row>
    <row r="331" spans="2:8" ht="18" customHeight="1" x14ac:dyDescent="0.3">
      <c r="B331" s="26"/>
      <c r="C331" s="27"/>
      <c r="D331" s="28"/>
      <c r="E331" s="36"/>
      <c r="F331" s="36"/>
      <c r="G331" s="30" t="str">
        <f t="shared" si="3"/>
        <v/>
      </c>
      <c r="H331" s="37"/>
    </row>
    <row r="332" spans="2:8" ht="18" customHeight="1" x14ac:dyDescent="0.3">
      <c r="B332" s="26"/>
      <c r="C332" s="27"/>
      <c r="D332" s="17"/>
      <c r="E332" s="38"/>
      <c r="F332" s="38"/>
      <c r="G332" s="30" t="str">
        <f t="shared" si="3"/>
        <v/>
      </c>
      <c r="H332" s="39"/>
    </row>
    <row r="333" spans="2:8" ht="18" customHeight="1" x14ac:dyDescent="0.3">
      <c r="B333" s="26"/>
      <c r="C333" s="27"/>
      <c r="D333" s="28"/>
      <c r="E333" s="36"/>
      <c r="F333" s="36"/>
      <c r="G333" s="30" t="str">
        <f t="shared" si="3"/>
        <v/>
      </c>
      <c r="H333" s="37"/>
    </row>
    <row r="334" spans="2:8" ht="18" customHeight="1" x14ac:dyDescent="0.3">
      <c r="B334" s="26"/>
      <c r="C334" s="27"/>
      <c r="D334" s="17"/>
      <c r="E334" s="38"/>
      <c r="F334" s="38"/>
      <c r="G334" s="30" t="str">
        <f t="shared" si="3"/>
        <v/>
      </c>
      <c r="H334" s="39"/>
    </row>
    <row r="335" spans="2:8" ht="18" customHeight="1" x14ac:dyDescent="0.3">
      <c r="B335" s="26"/>
      <c r="C335" s="27"/>
      <c r="D335" s="28"/>
      <c r="E335" s="36"/>
      <c r="F335" s="36"/>
      <c r="G335" s="30" t="str">
        <f t="shared" si="3"/>
        <v/>
      </c>
      <c r="H335" s="37"/>
    </row>
    <row r="336" spans="2:8" ht="18" customHeight="1" x14ac:dyDescent="0.3">
      <c r="B336" s="26"/>
      <c r="C336" s="27"/>
      <c r="D336" s="17"/>
      <c r="E336" s="38"/>
      <c r="F336" s="38"/>
      <c r="G336" s="30" t="str">
        <f t="shared" si="3"/>
        <v/>
      </c>
      <c r="H336" s="39"/>
    </row>
    <row r="337" spans="2:8" ht="18" customHeight="1" x14ac:dyDescent="0.3">
      <c r="B337" s="26"/>
      <c r="C337" s="27"/>
      <c r="D337" s="28"/>
      <c r="E337" s="36"/>
      <c r="F337" s="36"/>
      <c r="G337" s="30" t="str">
        <f t="shared" si="3"/>
        <v/>
      </c>
      <c r="H337" s="37"/>
    </row>
    <row r="338" spans="2:8" ht="18" customHeight="1" x14ac:dyDescent="0.3">
      <c r="B338" s="26"/>
      <c r="C338" s="27"/>
      <c r="D338" s="17"/>
      <c r="E338" s="38"/>
      <c r="F338" s="38"/>
      <c r="G338" s="30" t="str">
        <f t="shared" si="3"/>
        <v/>
      </c>
      <c r="H338" s="39"/>
    </row>
    <row r="339" spans="2:8" ht="18" customHeight="1" x14ac:dyDescent="0.3">
      <c r="B339" s="26"/>
      <c r="C339" s="27"/>
      <c r="D339" s="28"/>
      <c r="E339" s="36"/>
      <c r="F339" s="36"/>
      <c r="G339" s="30" t="str">
        <f t="shared" si="3"/>
        <v/>
      </c>
      <c r="H339" s="37"/>
    </row>
    <row r="340" spans="2:8" ht="18" customHeight="1" x14ac:dyDescent="0.3">
      <c r="B340" s="26"/>
      <c r="C340" s="27"/>
      <c r="D340" s="17"/>
      <c r="E340" s="38"/>
      <c r="F340" s="38"/>
      <c r="G340" s="30" t="str">
        <f t="shared" si="3"/>
        <v/>
      </c>
      <c r="H340" s="39"/>
    </row>
    <row r="341" spans="2:8" ht="18" customHeight="1" x14ac:dyDescent="0.3">
      <c r="B341" s="26"/>
      <c r="C341" s="27"/>
      <c r="D341" s="28"/>
      <c r="E341" s="36"/>
      <c r="F341" s="36"/>
      <c r="G341" s="30" t="str">
        <f t="shared" si="3"/>
        <v/>
      </c>
      <c r="H341" s="37"/>
    </row>
    <row r="342" spans="2:8" ht="18" customHeight="1" x14ac:dyDescent="0.3">
      <c r="B342" s="26"/>
      <c r="C342" s="27"/>
      <c r="D342" s="17"/>
      <c r="E342" s="38"/>
      <c r="F342" s="38"/>
      <c r="G342" s="30" t="str">
        <f t="shared" si="3"/>
        <v/>
      </c>
      <c r="H342" s="39"/>
    </row>
    <row r="343" spans="2:8" ht="18" customHeight="1" x14ac:dyDescent="0.3">
      <c r="B343" s="26"/>
      <c r="C343" s="27"/>
      <c r="D343" s="28"/>
      <c r="E343" s="36"/>
      <c r="F343" s="36"/>
      <c r="G343" s="30" t="str">
        <f t="shared" si="3"/>
        <v/>
      </c>
      <c r="H343" s="37"/>
    </row>
    <row r="344" spans="2:8" ht="18" customHeight="1" x14ac:dyDescent="0.3">
      <c r="B344" s="26"/>
      <c r="C344" s="27"/>
      <c r="D344" s="17"/>
      <c r="E344" s="38"/>
      <c r="F344" s="38"/>
      <c r="G344" s="30" t="str">
        <f t="shared" si="3"/>
        <v/>
      </c>
      <c r="H344" s="39"/>
    </row>
    <row r="345" spans="2:8" ht="18" customHeight="1" x14ac:dyDescent="0.3">
      <c r="B345" s="26"/>
      <c r="C345" s="27"/>
      <c r="D345" s="28"/>
      <c r="E345" s="36"/>
      <c r="F345" s="36"/>
      <c r="G345" s="30" t="str">
        <f t="shared" si="3"/>
        <v/>
      </c>
      <c r="H345" s="37"/>
    </row>
    <row r="346" spans="2:8" ht="18" customHeight="1" x14ac:dyDescent="0.3">
      <c r="B346" s="26"/>
      <c r="C346" s="27"/>
      <c r="D346" s="17"/>
      <c r="E346" s="38"/>
      <c r="F346" s="38"/>
      <c r="G346" s="30" t="str">
        <f t="shared" si="3"/>
        <v/>
      </c>
      <c r="H346" s="39"/>
    </row>
    <row r="347" spans="2:8" ht="18" customHeight="1" x14ac:dyDescent="0.3">
      <c r="B347" s="26"/>
      <c r="C347" s="27"/>
      <c r="D347" s="28"/>
      <c r="E347" s="36"/>
      <c r="F347" s="36"/>
      <c r="G347" s="30" t="str">
        <f t="shared" si="3"/>
        <v/>
      </c>
      <c r="H347" s="37"/>
    </row>
    <row r="348" spans="2:8" ht="18" customHeight="1" x14ac:dyDescent="0.3">
      <c r="B348" s="26"/>
      <c r="C348" s="27"/>
      <c r="D348" s="17"/>
      <c r="E348" s="38"/>
      <c r="F348" s="38"/>
      <c r="G348" s="30" t="str">
        <f t="shared" si="3"/>
        <v/>
      </c>
      <c r="H348" s="39"/>
    </row>
    <row r="349" spans="2:8" ht="18" customHeight="1" x14ac:dyDescent="0.3">
      <c r="B349" s="26"/>
      <c r="C349" s="27"/>
      <c r="D349" s="28"/>
      <c r="E349" s="36"/>
      <c r="F349" s="36"/>
      <c r="G349" s="30" t="str">
        <f t="shared" si="3"/>
        <v/>
      </c>
      <c r="H349" s="37"/>
    </row>
    <row r="350" spans="2:8" ht="18" customHeight="1" x14ac:dyDescent="0.3">
      <c r="B350" s="26"/>
      <c r="C350" s="27"/>
      <c r="D350" s="17"/>
      <c r="E350" s="38"/>
      <c r="F350" s="38"/>
      <c r="G350" s="30" t="str">
        <f t="shared" si="3"/>
        <v/>
      </c>
      <c r="H350" s="39"/>
    </row>
    <row r="351" spans="2:8" ht="18" customHeight="1" x14ac:dyDescent="0.3">
      <c r="B351" s="26"/>
      <c r="C351" s="27"/>
      <c r="D351" s="28"/>
      <c r="E351" s="36"/>
      <c r="F351" s="36"/>
      <c r="G351" s="30" t="str">
        <f t="shared" si="3"/>
        <v/>
      </c>
      <c r="H351" s="37"/>
    </row>
    <row r="352" spans="2:8" ht="18" customHeight="1" x14ac:dyDescent="0.3">
      <c r="B352" s="26"/>
      <c r="C352" s="27"/>
      <c r="D352" s="17"/>
      <c r="E352" s="38"/>
      <c r="F352" s="38"/>
      <c r="G352" s="30" t="str">
        <f t="shared" si="3"/>
        <v/>
      </c>
      <c r="H352" s="39"/>
    </row>
    <row r="353" spans="2:8" ht="18" customHeight="1" x14ac:dyDescent="0.3">
      <c r="B353" s="26"/>
      <c r="C353" s="27"/>
      <c r="D353" s="28"/>
      <c r="E353" s="36"/>
      <c r="F353" s="36"/>
      <c r="G353" s="30" t="str">
        <f t="shared" si="3"/>
        <v/>
      </c>
      <c r="H353" s="37"/>
    </row>
    <row r="354" spans="2:8" ht="18" customHeight="1" x14ac:dyDescent="0.3">
      <c r="B354" s="26"/>
      <c r="C354" s="27"/>
      <c r="D354" s="17"/>
      <c r="E354" s="38"/>
      <c r="F354" s="38"/>
      <c r="G354" s="30" t="str">
        <f t="shared" si="3"/>
        <v/>
      </c>
      <c r="H354" s="39"/>
    </row>
    <row r="355" spans="2:8" ht="18" customHeight="1" x14ac:dyDescent="0.3">
      <c r="B355" s="26"/>
      <c r="C355" s="27"/>
      <c r="D355" s="28"/>
      <c r="E355" s="36"/>
      <c r="F355" s="36"/>
      <c r="G355" s="30" t="str">
        <f t="shared" si="3"/>
        <v/>
      </c>
      <c r="H355" s="37"/>
    </row>
    <row r="356" spans="2:8" ht="18" customHeight="1" x14ac:dyDescent="0.3">
      <c r="B356" s="26"/>
      <c r="C356" s="27"/>
      <c r="D356" s="17"/>
      <c r="E356" s="38"/>
      <c r="F356" s="38"/>
      <c r="G356" s="30" t="str">
        <f t="shared" si="3"/>
        <v/>
      </c>
      <c r="H356" s="39"/>
    </row>
    <row r="357" spans="2:8" ht="18" customHeight="1" x14ac:dyDescent="0.3">
      <c r="B357" s="26"/>
      <c r="C357" s="27"/>
      <c r="D357" s="28"/>
      <c r="E357" s="36"/>
      <c r="F357" s="36"/>
      <c r="G357" s="30" t="str">
        <f t="shared" si="3"/>
        <v/>
      </c>
      <c r="H357" s="37"/>
    </row>
    <row r="358" spans="2:8" ht="18" customHeight="1" x14ac:dyDescent="0.3">
      <c r="B358" s="26"/>
      <c r="C358" s="27"/>
      <c r="D358" s="17"/>
      <c r="E358" s="38"/>
      <c r="F358" s="38"/>
      <c r="G358" s="30" t="str">
        <f t="shared" si="3"/>
        <v/>
      </c>
      <c r="H358" s="39"/>
    </row>
    <row r="359" spans="2:8" ht="18" customHeight="1" x14ac:dyDescent="0.3">
      <c r="B359" s="26"/>
      <c r="C359" s="27"/>
      <c r="D359" s="28"/>
      <c r="E359" s="36"/>
      <c r="F359" s="36"/>
      <c r="G359" s="30" t="str">
        <f t="shared" si="3"/>
        <v/>
      </c>
      <c r="H359" s="37"/>
    </row>
    <row r="360" spans="2:8" ht="18" customHeight="1" x14ac:dyDescent="0.3">
      <c r="B360" s="26"/>
      <c r="C360" s="27"/>
      <c r="D360" s="17"/>
      <c r="E360" s="38"/>
      <c r="F360" s="38"/>
      <c r="G360" s="30" t="str">
        <f t="shared" si="3"/>
        <v/>
      </c>
      <c r="H360" s="39"/>
    </row>
    <row r="361" spans="2:8" ht="18" customHeight="1" x14ac:dyDescent="0.3">
      <c r="B361" s="26"/>
      <c r="C361" s="27"/>
      <c r="D361" s="28"/>
      <c r="E361" s="36"/>
      <c r="F361" s="36"/>
      <c r="G361" s="30" t="str">
        <f t="shared" si="3"/>
        <v/>
      </c>
      <c r="H361" s="37"/>
    </row>
    <row r="362" spans="2:8" ht="18" customHeight="1" x14ac:dyDescent="0.3">
      <c r="B362" s="26"/>
      <c r="C362" s="27"/>
      <c r="D362" s="17"/>
      <c r="E362" s="38"/>
      <c r="F362" s="38"/>
      <c r="G362" s="30" t="str">
        <f t="shared" si="3"/>
        <v/>
      </c>
      <c r="H362" s="39"/>
    </row>
    <row r="363" spans="2:8" ht="18" customHeight="1" x14ac:dyDescent="0.3">
      <c r="B363" s="26"/>
      <c r="C363" s="27"/>
      <c r="D363" s="28"/>
      <c r="E363" s="36"/>
      <c r="F363" s="36"/>
      <c r="G363" s="30" t="str">
        <f t="shared" si="3"/>
        <v/>
      </c>
      <c r="H363" s="37"/>
    </row>
    <row r="364" spans="2:8" ht="18" customHeight="1" x14ac:dyDescent="0.3">
      <c r="B364" s="26"/>
      <c r="C364" s="27"/>
      <c r="D364" s="17"/>
      <c r="E364" s="38"/>
      <c r="F364" s="38"/>
      <c r="G364" s="30" t="str">
        <f t="shared" si="3"/>
        <v/>
      </c>
      <c r="H364" s="39"/>
    </row>
    <row r="365" spans="2:8" ht="18" customHeight="1" x14ac:dyDescent="0.3">
      <c r="B365" s="26"/>
      <c r="C365" s="27"/>
      <c r="D365" s="28"/>
      <c r="E365" s="36"/>
      <c r="F365" s="36"/>
      <c r="G365" s="30" t="str">
        <f t="shared" si="3"/>
        <v/>
      </c>
      <c r="H365" s="37"/>
    </row>
    <row r="366" spans="2:8" ht="18" customHeight="1" x14ac:dyDescent="0.3">
      <c r="B366" s="26"/>
      <c r="C366" s="27"/>
      <c r="D366" s="17"/>
      <c r="E366" s="38"/>
      <c r="F366" s="38"/>
      <c r="G366" s="30" t="str">
        <f t="shared" si="3"/>
        <v/>
      </c>
      <c r="H366" s="39"/>
    </row>
    <row r="367" spans="2:8" ht="18" customHeight="1" x14ac:dyDescent="0.3">
      <c r="B367" s="26"/>
      <c r="C367" s="27"/>
      <c r="D367" s="28"/>
      <c r="E367" s="36"/>
      <c r="F367" s="36"/>
      <c r="G367" s="30" t="str">
        <f t="shared" si="3"/>
        <v/>
      </c>
      <c r="H367" s="37"/>
    </row>
    <row r="368" spans="2:8" ht="18" customHeight="1" x14ac:dyDescent="0.3">
      <c r="B368" s="26"/>
      <c r="C368" s="27"/>
      <c r="D368" s="17"/>
      <c r="E368" s="38"/>
      <c r="F368" s="38"/>
      <c r="G368" s="30" t="str">
        <f t="shared" si="3"/>
        <v/>
      </c>
      <c r="H368" s="39"/>
    </row>
    <row r="369" spans="2:8" ht="18" customHeight="1" x14ac:dyDescent="0.3">
      <c r="B369" s="26"/>
      <c r="C369" s="27"/>
      <c r="D369" s="28"/>
      <c r="E369" s="36"/>
      <c r="F369" s="36"/>
      <c r="G369" s="30" t="str">
        <f t="shared" si="3"/>
        <v/>
      </c>
      <c r="H369" s="37"/>
    </row>
    <row r="370" spans="2:8" ht="18" customHeight="1" x14ac:dyDescent="0.3">
      <c r="B370" s="26"/>
      <c r="C370" s="27"/>
      <c r="D370" s="17"/>
      <c r="E370" s="38"/>
      <c r="F370" s="38"/>
      <c r="G370" s="30" t="str">
        <f t="shared" si="3"/>
        <v/>
      </c>
      <c r="H370" s="39"/>
    </row>
    <row r="371" spans="2:8" ht="18" customHeight="1" x14ac:dyDescent="0.3">
      <c r="B371" s="26"/>
      <c r="C371" s="27"/>
      <c r="D371" s="28"/>
      <c r="E371" s="36"/>
      <c r="F371" s="36"/>
      <c r="G371" s="30" t="str">
        <f t="shared" si="3"/>
        <v/>
      </c>
      <c r="H371" s="37"/>
    </row>
    <row r="372" spans="2:8" ht="18" customHeight="1" x14ac:dyDescent="0.3">
      <c r="B372" s="26"/>
      <c r="C372" s="27"/>
      <c r="D372" s="17"/>
      <c r="E372" s="38"/>
      <c r="F372" s="38"/>
      <c r="G372" s="30" t="str">
        <f t="shared" si="3"/>
        <v/>
      </c>
      <c r="H372" s="39"/>
    </row>
    <row r="373" spans="2:8" ht="18" customHeight="1" x14ac:dyDescent="0.3">
      <c r="B373" s="26"/>
      <c r="C373" s="27"/>
      <c r="D373" s="28"/>
      <c r="E373" s="36"/>
      <c r="F373" s="36"/>
      <c r="G373" s="30" t="str">
        <f t="shared" si="3"/>
        <v/>
      </c>
      <c r="H373" s="37"/>
    </row>
    <row r="374" spans="2:8" ht="18" customHeight="1" x14ac:dyDescent="0.3">
      <c r="B374" s="26"/>
      <c r="C374" s="27"/>
      <c r="D374" s="17"/>
      <c r="E374" s="38"/>
      <c r="F374" s="38"/>
      <c r="G374" s="30" t="str">
        <f t="shared" si="3"/>
        <v/>
      </c>
      <c r="H374" s="39"/>
    </row>
    <row r="375" spans="2:8" ht="18" customHeight="1" x14ac:dyDescent="0.3">
      <c r="B375" s="26"/>
      <c r="C375" s="27"/>
      <c r="D375" s="28"/>
      <c r="E375" s="36"/>
      <c r="F375" s="36"/>
      <c r="G375" s="30" t="str">
        <f t="shared" si="3"/>
        <v/>
      </c>
      <c r="H375" s="37"/>
    </row>
    <row r="376" spans="2:8" ht="18" customHeight="1" x14ac:dyDescent="0.3">
      <c r="B376" s="26"/>
      <c r="C376" s="27"/>
      <c r="D376" s="17"/>
      <c r="E376" s="38"/>
      <c r="F376" s="38"/>
      <c r="G376" s="30" t="str">
        <f t="shared" si="3"/>
        <v/>
      </c>
      <c r="H376" s="39"/>
    </row>
    <row r="377" spans="2:8" ht="18" customHeight="1" x14ac:dyDescent="0.3">
      <c r="B377" s="26"/>
      <c r="C377" s="27"/>
      <c r="D377" s="28"/>
      <c r="E377" s="36"/>
      <c r="F377" s="36"/>
      <c r="G377" s="30" t="str">
        <f t="shared" si="3"/>
        <v/>
      </c>
      <c r="H377" s="37"/>
    </row>
    <row r="378" spans="2:8" ht="18" customHeight="1" x14ac:dyDescent="0.3">
      <c r="B378" s="26"/>
      <c r="C378" s="27"/>
      <c r="D378" s="17"/>
      <c r="E378" s="38"/>
      <c r="F378" s="38"/>
      <c r="G378" s="30" t="str">
        <f t="shared" si="3"/>
        <v/>
      </c>
      <c r="H378" s="39"/>
    </row>
    <row r="379" spans="2:8" ht="18" customHeight="1" x14ac:dyDescent="0.3">
      <c r="B379" s="26"/>
      <c r="C379" s="27"/>
      <c r="D379" s="28"/>
      <c r="E379" s="36"/>
      <c r="F379" s="36"/>
      <c r="G379" s="30" t="str">
        <f t="shared" si="3"/>
        <v/>
      </c>
      <c r="H379" s="37"/>
    </row>
    <row r="380" spans="2:8" ht="18" customHeight="1" x14ac:dyDescent="0.3">
      <c r="B380" s="26"/>
      <c r="C380" s="27"/>
      <c r="D380" s="17"/>
      <c r="E380" s="38"/>
      <c r="F380" s="38"/>
      <c r="G380" s="30" t="str">
        <f t="shared" si="3"/>
        <v/>
      </c>
      <c r="H380" s="39"/>
    </row>
    <row r="381" spans="2:8" ht="18" customHeight="1" x14ac:dyDescent="0.3">
      <c r="B381" s="26"/>
      <c r="C381" s="27"/>
      <c r="D381" s="28"/>
      <c r="E381" s="36"/>
      <c r="F381" s="36"/>
      <c r="G381" s="30" t="str">
        <f t="shared" si="3"/>
        <v/>
      </c>
      <c r="H381" s="37"/>
    </row>
    <row r="382" spans="2:8" ht="18" customHeight="1" x14ac:dyDescent="0.3">
      <c r="B382" s="26"/>
      <c r="C382" s="27"/>
      <c r="D382" s="17"/>
      <c r="E382" s="38"/>
      <c r="F382" s="38"/>
      <c r="G382" s="30" t="str">
        <f t="shared" si="3"/>
        <v/>
      </c>
      <c r="H382" s="39"/>
    </row>
    <row r="383" spans="2:8" ht="18" customHeight="1" x14ac:dyDescent="0.3">
      <c r="B383" s="26"/>
      <c r="C383" s="27"/>
      <c r="D383" s="28"/>
      <c r="E383" s="36"/>
      <c r="F383" s="36"/>
      <c r="G383" s="30" t="str">
        <f t="shared" si="3"/>
        <v/>
      </c>
      <c r="H383" s="37"/>
    </row>
    <row r="384" spans="2:8" ht="18" customHeight="1" x14ac:dyDescent="0.3">
      <c r="B384" s="26"/>
      <c r="C384" s="27"/>
      <c r="D384" s="17"/>
      <c r="E384" s="38"/>
      <c r="F384" s="38"/>
      <c r="G384" s="30" t="str">
        <f t="shared" si="3"/>
        <v/>
      </c>
      <c r="H384" s="39"/>
    </row>
    <row r="385" spans="2:8" ht="18" customHeight="1" x14ac:dyDescent="0.3">
      <c r="B385" s="26"/>
      <c r="C385" s="27"/>
      <c r="D385" s="28"/>
      <c r="E385" s="36"/>
      <c r="F385" s="36"/>
      <c r="G385" s="30" t="str">
        <f t="shared" si="3"/>
        <v/>
      </c>
      <c r="H385" s="37"/>
    </row>
    <row r="386" spans="2:8" ht="18" customHeight="1" x14ac:dyDescent="0.3">
      <c r="B386" s="26"/>
      <c r="C386" s="27"/>
      <c r="D386" s="17"/>
      <c r="E386" s="38"/>
      <c r="F386" s="38"/>
      <c r="G386" s="30" t="str">
        <f t="shared" si="3"/>
        <v/>
      </c>
      <c r="H386" s="39"/>
    </row>
    <row r="387" spans="2:8" ht="18" customHeight="1" x14ac:dyDescent="0.3">
      <c r="B387" s="26"/>
      <c r="C387" s="27"/>
      <c r="D387" s="28"/>
      <c r="E387" s="36"/>
      <c r="F387" s="36"/>
      <c r="G387" s="30" t="str">
        <f t="shared" si="3"/>
        <v/>
      </c>
      <c r="H387" s="37"/>
    </row>
    <row r="388" spans="2:8" ht="18" customHeight="1" x14ac:dyDescent="0.3">
      <c r="B388" s="26"/>
      <c r="C388" s="27"/>
      <c r="D388" s="17"/>
      <c r="E388" s="38"/>
      <c r="F388" s="38"/>
      <c r="G388" s="30" t="str">
        <f t="shared" si="3"/>
        <v/>
      </c>
      <c r="H388" s="39"/>
    </row>
    <row r="389" spans="2:8" ht="18" customHeight="1" x14ac:dyDescent="0.3">
      <c r="B389" s="26"/>
      <c r="C389" s="27"/>
      <c r="D389" s="28"/>
      <c r="E389" s="36"/>
      <c r="F389" s="36"/>
      <c r="G389" s="30" t="str">
        <f t="shared" ref="G389:G452" si="4">IF(OR(B389="",E389=""),"",IF(E389="08:00",8,IF(E389="07:00",8,7)))</f>
        <v/>
      </c>
      <c r="H389" s="37"/>
    </row>
    <row r="390" spans="2:8" ht="18" customHeight="1" x14ac:dyDescent="0.3">
      <c r="B390" s="26"/>
      <c r="C390" s="27"/>
      <c r="D390" s="17"/>
      <c r="E390" s="38"/>
      <c r="F390" s="38"/>
      <c r="G390" s="30" t="str">
        <f t="shared" si="4"/>
        <v/>
      </c>
      <c r="H390" s="39"/>
    </row>
    <row r="391" spans="2:8" ht="18" customHeight="1" x14ac:dyDescent="0.3">
      <c r="B391" s="26"/>
      <c r="C391" s="27"/>
      <c r="D391" s="28"/>
      <c r="E391" s="36"/>
      <c r="F391" s="36"/>
      <c r="G391" s="30" t="str">
        <f t="shared" si="4"/>
        <v/>
      </c>
      <c r="H391" s="37"/>
    </row>
    <row r="392" spans="2:8" ht="18" customHeight="1" x14ac:dyDescent="0.3">
      <c r="B392" s="26"/>
      <c r="C392" s="27"/>
      <c r="D392" s="17"/>
      <c r="E392" s="38"/>
      <c r="F392" s="38"/>
      <c r="G392" s="30" t="str">
        <f t="shared" si="4"/>
        <v/>
      </c>
      <c r="H392" s="39"/>
    </row>
    <row r="393" spans="2:8" ht="18" customHeight="1" x14ac:dyDescent="0.3">
      <c r="B393" s="26"/>
      <c r="C393" s="27"/>
      <c r="D393" s="28"/>
      <c r="E393" s="36"/>
      <c r="F393" s="36"/>
      <c r="G393" s="30" t="str">
        <f t="shared" si="4"/>
        <v/>
      </c>
      <c r="H393" s="37"/>
    </row>
    <row r="394" spans="2:8" ht="18" customHeight="1" x14ac:dyDescent="0.3">
      <c r="B394" s="26"/>
      <c r="C394" s="27"/>
      <c r="D394" s="17"/>
      <c r="E394" s="38"/>
      <c r="F394" s="38"/>
      <c r="G394" s="30" t="str">
        <f t="shared" si="4"/>
        <v/>
      </c>
      <c r="H394" s="39"/>
    </row>
    <row r="395" spans="2:8" ht="18" customHeight="1" x14ac:dyDescent="0.3">
      <c r="B395" s="26"/>
      <c r="C395" s="27"/>
      <c r="D395" s="28"/>
      <c r="E395" s="36"/>
      <c r="F395" s="36"/>
      <c r="G395" s="30" t="str">
        <f t="shared" si="4"/>
        <v/>
      </c>
      <c r="H395" s="37"/>
    </row>
    <row r="396" spans="2:8" ht="18" customHeight="1" x14ac:dyDescent="0.3">
      <c r="B396" s="26"/>
      <c r="C396" s="27"/>
      <c r="D396" s="17"/>
      <c r="E396" s="38"/>
      <c r="F396" s="38"/>
      <c r="G396" s="30" t="str">
        <f t="shared" si="4"/>
        <v/>
      </c>
      <c r="H396" s="39"/>
    </row>
    <row r="397" spans="2:8" ht="18" customHeight="1" x14ac:dyDescent="0.3">
      <c r="B397" s="26"/>
      <c r="C397" s="27"/>
      <c r="D397" s="28"/>
      <c r="E397" s="36"/>
      <c r="F397" s="36"/>
      <c r="G397" s="30" t="str">
        <f t="shared" si="4"/>
        <v/>
      </c>
      <c r="H397" s="37"/>
    </row>
    <row r="398" spans="2:8" ht="18" customHeight="1" x14ac:dyDescent="0.3">
      <c r="B398" s="26"/>
      <c r="C398" s="27"/>
      <c r="D398" s="17"/>
      <c r="E398" s="38"/>
      <c r="F398" s="38"/>
      <c r="G398" s="30" t="str">
        <f t="shared" si="4"/>
        <v/>
      </c>
      <c r="H398" s="39"/>
    </row>
    <row r="399" spans="2:8" ht="18" customHeight="1" x14ac:dyDescent="0.3">
      <c r="B399" s="26"/>
      <c r="C399" s="27"/>
      <c r="D399" s="28"/>
      <c r="E399" s="36"/>
      <c r="F399" s="36"/>
      <c r="G399" s="30" t="str">
        <f t="shared" si="4"/>
        <v/>
      </c>
      <c r="H399" s="37"/>
    </row>
    <row r="400" spans="2:8" ht="18" customHeight="1" x14ac:dyDescent="0.3">
      <c r="B400" s="26"/>
      <c r="C400" s="27"/>
      <c r="D400" s="17"/>
      <c r="E400" s="38"/>
      <c r="F400" s="38"/>
      <c r="G400" s="30" t="str">
        <f t="shared" si="4"/>
        <v/>
      </c>
      <c r="H400" s="39"/>
    </row>
    <row r="401" spans="2:8" ht="18" customHeight="1" x14ac:dyDescent="0.3">
      <c r="B401" s="26"/>
      <c r="C401" s="27"/>
      <c r="D401" s="28"/>
      <c r="E401" s="36"/>
      <c r="F401" s="36"/>
      <c r="G401" s="30" t="str">
        <f t="shared" si="4"/>
        <v/>
      </c>
      <c r="H401" s="37"/>
    </row>
    <row r="402" spans="2:8" ht="18" customHeight="1" x14ac:dyDescent="0.3">
      <c r="B402" s="26"/>
      <c r="C402" s="27"/>
      <c r="D402" s="17"/>
      <c r="E402" s="38"/>
      <c r="F402" s="38"/>
      <c r="G402" s="30" t="str">
        <f t="shared" si="4"/>
        <v/>
      </c>
      <c r="H402" s="39"/>
    </row>
    <row r="403" spans="2:8" ht="18" customHeight="1" x14ac:dyDescent="0.3">
      <c r="B403" s="26"/>
      <c r="C403" s="27"/>
      <c r="D403" s="28"/>
      <c r="E403" s="36"/>
      <c r="F403" s="36"/>
      <c r="G403" s="30" t="str">
        <f t="shared" si="4"/>
        <v/>
      </c>
      <c r="H403" s="37"/>
    </row>
    <row r="404" spans="2:8" ht="18" customHeight="1" x14ac:dyDescent="0.3">
      <c r="B404" s="26"/>
      <c r="C404" s="27"/>
      <c r="D404" s="17"/>
      <c r="E404" s="38"/>
      <c r="F404" s="38"/>
      <c r="G404" s="30" t="str">
        <f t="shared" si="4"/>
        <v/>
      </c>
      <c r="H404" s="39"/>
    </row>
    <row r="405" spans="2:8" ht="18" customHeight="1" x14ac:dyDescent="0.3">
      <c r="B405" s="26"/>
      <c r="C405" s="27"/>
      <c r="D405" s="28"/>
      <c r="E405" s="36"/>
      <c r="F405" s="36"/>
      <c r="G405" s="30" t="str">
        <f t="shared" si="4"/>
        <v/>
      </c>
      <c r="H405" s="37"/>
    </row>
    <row r="406" spans="2:8" ht="18" customHeight="1" x14ac:dyDescent="0.3">
      <c r="B406" s="26"/>
      <c r="C406" s="27"/>
      <c r="D406" s="17"/>
      <c r="E406" s="38"/>
      <c r="F406" s="38"/>
      <c r="G406" s="30" t="str">
        <f t="shared" si="4"/>
        <v/>
      </c>
      <c r="H406" s="39"/>
    </row>
    <row r="407" spans="2:8" ht="18" customHeight="1" x14ac:dyDescent="0.3">
      <c r="B407" s="26"/>
      <c r="C407" s="27"/>
      <c r="D407" s="28"/>
      <c r="E407" s="36"/>
      <c r="F407" s="36"/>
      <c r="G407" s="30" t="str">
        <f t="shared" si="4"/>
        <v/>
      </c>
      <c r="H407" s="37"/>
    </row>
    <row r="408" spans="2:8" ht="18" customHeight="1" x14ac:dyDescent="0.3">
      <c r="B408" s="26"/>
      <c r="C408" s="27"/>
      <c r="D408" s="17"/>
      <c r="E408" s="38"/>
      <c r="F408" s="38"/>
      <c r="G408" s="30" t="str">
        <f t="shared" si="4"/>
        <v/>
      </c>
      <c r="H408" s="39"/>
    </row>
    <row r="409" spans="2:8" ht="18" customHeight="1" x14ac:dyDescent="0.3">
      <c r="B409" s="26"/>
      <c r="C409" s="27"/>
      <c r="D409" s="28"/>
      <c r="E409" s="36"/>
      <c r="F409" s="36"/>
      <c r="G409" s="30" t="str">
        <f t="shared" si="4"/>
        <v/>
      </c>
      <c r="H409" s="37"/>
    </row>
    <row r="410" spans="2:8" ht="18" customHeight="1" x14ac:dyDescent="0.3">
      <c r="B410" s="26"/>
      <c r="C410" s="27"/>
      <c r="D410" s="17"/>
      <c r="E410" s="38"/>
      <c r="F410" s="38"/>
      <c r="G410" s="30" t="str">
        <f t="shared" si="4"/>
        <v/>
      </c>
      <c r="H410" s="39"/>
    </row>
    <row r="411" spans="2:8" ht="18" customHeight="1" x14ac:dyDescent="0.3">
      <c r="B411" s="26"/>
      <c r="C411" s="27"/>
      <c r="D411" s="28"/>
      <c r="E411" s="36"/>
      <c r="F411" s="36"/>
      <c r="G411" s="30" t="str">
        <f t="shared" si="4"/>
        <v/>
      </c>
      <c r="H411" s="37"/>
    </row>
    <row r="412" spans="2:8" ht="18" customHeight="1" x14ac:dyDescent="0.3">
      <c r="B412" s="26"/>
      <c r="C412" s="27"/>
      <c r="D412" s="17"/>
      <c r="E412" s="38"/>
      <c r="F412" s="38"/>
      <c r="G412" s="30" t="str">
        <f t="shared" si="4"/>
        <v/>
      </c>
      <c r="H412" s="39"/>
    </row>
    <row r="413" spans="2:8" ht="18" customHeight="1" x14ac:dyDescent="0.3">
      <c r="B413" s="26"/>
      <c r="C413" s="27"/>
      <c r="D413" s="28"/>
      <c r="E413" s="36"/>
      <c r="F413" s="36"/>
      <c r="G413" s="30" t="str">
        <f t="shared" si="4"/>
        <v/>
      </c>
      <c r="H413" s="37"/>
    </row>
    <row r="414" spans="2:8" ht="18" customHeight="1" x14ac:dyDescent="0.3">
      <c r="B414" s="26"/>
      <c r="C414" s="27"/>
      <c r="D414" s="17"/>
      <c r="E414" s="38"/>
      <c r="F414" s="38"/>
      <c r="G414" s="30" t="str">
        <f t="shared" si="4"/>
        <v/>
      </c>
      <c r="H414" s="39"/>
    </row>
    <row r="415" spans="2:8" ht="18" customHeight="1" x14ac:dyDescent="0.3">
      <c r="B415" s="26"/>
      <c r="C415" s="27"/>
      <c r="D415" s="28"/>
      <c r="E415" s="36"/>
      <c r="F415" s="36"/>
      <c r="G415" s="30" t="str">
        <f t="shared" si="4"/>
        <v/>
      </c>
      <c r="H415" s="37"/>
    </row>
    <row r="416" spans="2:8" ht="18" customHeight="1" x14ac:dyDescent="0.3">
      <c r="B416" s="26"/>
      <c r="C416" s="27"/>
      <c r="D416" s="17"/>
      <c r="E416" s="38"/>
      <c r="F416" s="38"/>
      <c r="G416" s="30" t="str">
        <f t="shared" si="4"/>
        <v/>
      </c>
      <c r="H416" s="39"/>
    </row>
    <row r="417" spans="2:8" ht="18" customHeight="1" x14ac:dyDescent="0.3">
      <c r="B417" s="26"/>
      <c r="C417" s="27"/>
      <c r="D417" s="28"/>
      <c r="E417" s="36"/>
      <c r="F417" s="36"/>
      <c r="G417" s="30" t="str">
        <f t="shared" si="4"/>
        <v/>
      </c>
      <c r="H417" s="37"/>
    </row>
    <row r="418" spans="2:8" ht="18" customHeight="1" x14ac:dyDescent="0.3">
      <c r="B418" s="26"/>
      <c r="C418" s="27"/>
      <c r="D418" s="17"/>
      <c r="E418" s="38"/>
      <c r="F418" s="38"/>
      <c r="G418" s="30" t="str">
        <f t="shared" si="4"/>
        <v/>
      </c>
      <c r="H418" s="39"/>
    </row>
    <row r="419" spans="2:8" ht="18" customHeight="1" x14ac:dyDescent="0.3">
      <c r="B419" s="26"/>
      <c r="C419" s="27"/>
      <c r="D419" s="28"/>
      <c r="E419" s="36"/>
      <c r="F419" s="36"/>
      <c r="G419" s="30" t="str">
        <f t="shared" si="4"/>
        <v/>
      </c>
      <c r="H419" s="37"/>
    </row>
    <row r="420" spans="2:8" ht="18" customHeight="1" x14ac:dyDescent="0.3">
      <c r="B420" s="26"/>
      <c r="C420" s="27"/>
      <c r="D420" s="17"/>
      <c r="E420" s="38"/>
      <c r="F420" s="38"/>
      <c r="G420" s="30" t="str">
        <f t="shared" si="4"/>
        <v/>
      </c>
      <c r="H420" s="39"/>
    </row>
    <row r="421" spans="2:8" ht="18" customHeight="1" x14ac:dyDescent="0.3">
      <c r="B421" s="26"/>
      <c r="C421" s="27"/>
      <c r="D421" s="28"/>
      <c r="E421" s="36"/>
      <c r="F421" s="36"/>
      <c r="G421" s="30" t="str">
        <f t="shared" si="4"/>
        <v/>
      </c>
      <c r="H421" s="37"/>
    </row>
    <row r="422" spans="2:8" ht="18" customHeight="1" x14ac:dyDescent="0.3">
      <c r="B422" s="26"/>
      <c r="C422" s="27"/>
      <c r="D422" s="17"/>
      <c r="E422" s="38"/>
      <c r="F422" s="38"/>
      <c r="G422" s="30" t="str">
        <f t="shared" si="4"/>
        <v/>
      </c>
      <c r="H422" s="39"/>
    </row>
    <row r="423" spans="2:8" ht="18" customHeight="1" x14ac:dyDescent="0.3">
      <c r="B423" s="26"/>
      <c r="C423" s="27"/>
      <c r="D423" s="28"/>
      <c r="E423" s="36"/>
      <c r="F423" s="36"/>
      <c r="G423" s="30" t="str">
        <f t="shared" si="4"/>
        <v/>
      </c>
      <c r="H423" s="37"/>
    </row>
    <row r="424" spans="2:8" ht="18" customHeight="1" x14ac:dyDescent="0.3">
      <c r="B424" s="26"/>
      <c r="C424" s="27"/>
      <c r="D424" s="17"/>
      <c r="E424" s="38"/>
      <c r="F424" s="38"/>
      <c r="G424" s="30" t="str">
        <f t="shared" si="4"/>
        <v/>
      </c>
      <c r="H424" s="39"/>
    </row>
    <row r="425" spans="2:8" ht="18" customHeight="1" x14ac:dyDescent="0.3">
      <c r="B425" s="26"/>
      <c r="C425" s="27"/>
      <c r="D425" s="28"/>
      <c r="E425" s="36"/>
      <c r="F425" s="36"/>
      <c r="G425" s="30" t="str">
        <f t="shared" si="4"/>
        <v/>
      </c>
      <c r="H425" s="37"/>
    </row>
    <row r="426" spans="2:8" ht="18" customHeight="1" x14ac:dyDescent="0.3">
      <c r="B426" s="26"/>
      <c r="C426" s="27"/>
      <c r="D426" s="17"/>
      <c r="E426" s="38"/>
      <c r="F426" s="38"/>
      <c r="G426" s="30" t="str">
        <f t="shared" si="4"/>
        <v/>
      </c>
      <c r="H426" s="39"/>
    </row>
    <row r="427" spans="2:8" ht="18" customHeight="1" x14ac:dyDescent="0.3">
      <c r="B427" s="26"/>
      <c r="C427" s="27"/>
      <c r="D427" s="28"/>
      <c r="E427" s="36"/>
      <c r="F427" s="36"/>
      <c r="G427" s="30" t="str">
        <f t="shared" si="4"/>
        <v/>
      </c>
      <c r="H427" s="37"/>
    </row>
    <row r="428" spans="2:8" ht="18" customHeight="1" x14ac:dyDescent="0.3">
      <c r="B428" s="26"/>
      <c r="C428" s="27"/>
      <c r="D428" s="17"/>
      <c r="E428" s="38"/>
      <c r="F428" s="38"/>
      <c r="G428" s="30" t="str">
        <f t="shared" si="4"/>
        <v/>
      </c>
      <c r="H428" s="39"/>
    </row>
    <row r="429" spans="2:8" ht="18" customHeight="1" x14ac:dyDescent="0.3">
      <c r="B429" s="26"/>
      <c r="C429" s="27"/>
      <c r="D429" s="28"/>
      <c r="E429" s="36"/>
      <c r="F429" s="36"/>
      <c r="G429" s="30" t="str">
        <f t="shared" si="4"/>
        <v/>
      </c>
      <c r="H429" s="37"/>
    </row>
    <row r="430" spans="2:8" ht="18" customHeight="1" x14ac:dyDescent="0.3">
      <c r="B430" s="26"/>
      <c r="C430" s="27"/>
      <c r="D430" s="17"/>
      <c r="E430" s="38"/>
      <c r="F430" s="38"/>
      <c r="G430" s="30" t="str">
        <f t="shared" si="4"/>
        <v/>
      </c>
      <c r="H430" s="39"/>
    </row>
    <row r="431" spans="2:8" ht="18" customHeight="1" x14ac:dyDescent="0.3">
      <c r="B431" s="26"/>
      <c r="C431" s="27"/>
      <c r="D431" s="28"/>
      <c r="E431" s="36"/>
      <c r="F431" s="36"/>
      <c r="G431" s="30" t="str">
        <f t="shared" si="4"/>
        <v/>
      </c>
      <c r="H431" s="37"/>
    </row>
    <row r="432" spans="2:8" ht="18" customHeight="1" x14ac:dyDescent="0.3">
      <c r="B432" s="26"/>
      <c r="C432" s="27"/>
      <c r="D432" s="17"/>
      <c r="E432" s="38"/>
      <c r="F432" s="38"/>
      <c r="G432" s="30" t="str">
        <f t="shared" si="4"/>
        <v/>
      </c>
      <c r="H432" s="39"/>
    </row>
    <row r="433" spans="2:8" ht="18" customHeight="1" x14ac:dyDescent="0.3">
      <c r="B433" s="26"/>
      <c r="C433" s="27"/>
      <c r="D433" s="28"/>
      <c r="E433" s="36"/>
      <c r="F433" s="36"/>
      <c r="G433" s="30" t="str">
        <f t="shared" si="4"/>
        <v/>
      </c>
      <c r="H433" s="37"/>
    </row>
    <row r="434" spans="2:8" ht="18" customHeight="1" x14ac:dyDescent="0.3">
      <c r="B434" s="26"/>
      <c r="C434" s="27"/>
      <c r="D434" s="17"/>
      <c r="E434" s="38"/>
      <c r="F434" s="38"/>
      <c r="G434" s="30" t="str">
        <f t="shared" si="4"/>
        <v/>
      </c>
      <c r="H434" s="39"/>
    </row>
    <row r="435" spans="2:8" ht="18" customHeight="1" x14ac:dyDescent="0.3">
      <c r="B435" s="26"/>
      <c r="C435" s="27"/>
      <c r="D435" s="28"/>
      <c r="E435" s="36"/>
      <c r="F435" s="36"/>
      <c r="G435" s="30" t="str">
        <f t="shared" si="4"/>
        <v/>
      </c>
      <c r="H435" s="37"/>
    </row>
    <row r="436" spans="2:8" ht="18" customHeight="1" x14ac:dyDescent="0.3">
      <c r="B436" s="26"/>
      <c r="C436" s="27"/>
      <c r="D436" s="17"/>
      <c r="E436" s="38"/>
      <c r="F436" s="38"/>
      <c r="G436" s="30" t="str">
        <f t="shared" si="4"/>
        <v/>
      </c>
      <c r="H436" s="39"/>
    </row>
    <row r="437" spans="2:8" ht="18" customHeight="1" x14ac:dyDescent="0.3">
      <c r="B437" s="26"/>
      <c r="C437" s="27"/>
      <c r="D437" s="28"/>
      <c r="E437" s="36"/>
      <c r="F437" s="36"/>
      <c r="G437" s="30" t="str">
        <f t="shared" si="4"/>
        <v/>
      </c>
      <c r="H437" s="37"/>
    </row>
    <row r="438" spans="2:8" ht="18" customHeight="1" x14ac:dyDescent="0.3">
      <c r="B438" s="26"/>
      <c r="C438" s="27"/>
      <c r="D438" s="17"/>
      <c r="E438" s="38"/>
      <c r="F438" s="38"/>
      <c r="G438" s="30" t="str">
        <f t="shared" si="4"/>
        <v/>
      </c>
      <c r="H438" s="39"/>
    </row>
    <row r="439" spans="2:8" ht="18" customHeight="1" x14ac:dyDescent="0.3">
      <c r="B439" s="26"/>
      <c r="C439" s="27"/>
      <c r="D439" s="28"/>
      <c r="E439" s="36"/>
      <c r="F439" s="36"/>
      <c r="G439" s="30" t="str">
        <f t="shared" si="4"/>
        <v/>
      </c>
      <c r="H439" s="37"/>
    </row>
    <row r="440" spans="2:8" ht="18" customHeight="1" x14ac:dyDescent="0.3">
      <c r="B440" s="26"/>
      <c r="C440" s="27"/>
      <c r="D440" s="17"/>
      <c r="E440" s="38"/>
      <c r="F440" s="38"/>
      <c r="G440" s="30" t="str">
        <f t="shared" si="4"/>
        <v/>
      </c>
      <c r="H440" s="39"/>
    </row>
    <row r="441" spans="2:8" ht="18" customHeight="1" x14ac:dyDescent="0.3">
      <c r="B441" s="26"/>
      <c r="C441" s="27"/>
      <c r="D441" s="28"/>
      <c r="E441" s="36"/>
      <c r="F441" s="36"/>
      <c r="G441" s="30" t="str">
        <f t="shared" si="4"/>
        <v/>
      </c>
      <c r="H441" s="37"/>
    </row>
    <row r="442" spans="2:8" ht="18" customHeight="1" x14ac:dyDescent="0.3">
      <c r="B442" s="26"/>
      <c r="C442" s="27"/>
      <c r="D442" s="17"/>
      <c r="E442" s="38"/>
      <c r="F442" s="38"/>
      <c r="G442" s="30" t="str">
        <f t="shared" si="4"/>
        <v/>
      </c>
      <c r="H442" s="39"/>
    </row>
    <row r="443" spans="2:8" ht="18" customHeight="1" x14ac:dyDescent="0.3">
      <c r="B443" s="26"/>
      <c r="C443" s="27"/>
      <c r="D443" s="28"/>
      <c r="E443" s="36"/>
      <c r="F443" s="36"/>
      <c r="G443" s="30" t="str">
        <f t="shared" si="4"/>
        <v/>
      </c>
      <c r="H443" s="37"/>
    </row>
    <row r="444" spans="2:8" ht="18" customHeight="1" x14ac:dyDescent="0.3">
      <c r="B444" s="26"/>
      <c r="C444" s="27"/>
      <c r="D444" s="17"/>
      <c r="E444" s="38"/>
      <c r="F444" s="38"/>
      <c r="G444" s="30" t="str">
        <f t="shared" si="4"/>
        <v/>
      </c>
      <c r="H444" s="39"/>
    </row>
    <row r="445" spans="2:8" ht="18" customHeight="1" x14ac:dyDescent="0.3">
      <c r="B445" s="26"/>
      <c r="C445" s="27"/>
      <c r="D445" s="28"/>
      <c r="E445" s="36"/>
      <c r="F445" s="36"/>
      <c r="G445" s="30" t="str">
        <f t="shared" si="4"/>
        <v/>
      </c>
      <c r="H445" s="37"/>
    </row>
    <row r="446" spans="2:8" ht="18" customHeight="1" x14ac:dyDescent="0.3">
      <c r="B446" s="26"/>
      <c r="C446" s="27"/>
      <c r="D446" s="17"/>
      <c r="E446" s="38"/>
      <c r="F446" s="38"/>
      <c r="G446" s="30" t="str">
        <f t="shared" si="4"/>
        <v/>
      </c>
      <c r="H446" s="39"/>
    </row>
    <row r="447" spans="2:8" ht="18" customHeight="1" x14ac:dyDescent="0.3">
      <c r="B447" s="26"/>
      <c r="C447" s="27"/>
      <c r="D447" s="28"/>
      <c r="E447" s="36"/>
      <c r="F447" s="36"/>
      <c r="G447" s="30" t="str">
        <f t="shared" si="4"/>
        <v/>
      </c>
      <c r="H447" s="37"/>
    </row>
    <row r="448" spans="2:8" ht="18" customHeight="1" x14ac:dyDescent="0.3">
      <c r="B448" s="26"/>
      <c r="C448" s="27"/>
      <c r="D448" s="17"/>
      <c r="E448" s="38"/>
      <c r="F448" s="38"/>
      <c r="G448" s="30" t="str">
        <f t="shared" si="4"/>
        <v/>
      </c>
      <c r="H448" s="39"/>
    </row>
    <row r="449" spans="2:8" ht="18" customHeight="1" x14ac:dyDescent="0.3">
      <c r="B449" s="26"/>
      <c r="C449" s="27"/>
      <c r="D449" s="28"/>
      <c r="E449" s="36"/>
      <c r="F449" s="36"/>
      <c r="G449" s="30" t="str">
        <f t="shared" si="4"/>
        <v/>
      </c>
      <c r="H449" s="37"/>
    </row>
    <row r="450" spans="2:8" ht="18" customHeight="1" x14ac:dyDescent="0.3">
      <c r="B450" s="26"/>
      <c r="C450" s="27"/>
      <c r="D450" s="17"/>
      <c r="E450" s="38"/>
      <c r="F450" s="38"/>
      <c r="G450" s="30" t="str">
        <f t="shared" si="4"/>
        <v/>
      </c>
      <c r="H450" s="39"/>
    </row>
    <row r="451" spans="2:8" ht="18" customHeight="1" x14ac:dyDescent="0.3">
      <c r="B451" s="26"/>
      <c r="C451" s="27"/>
      <c r="D451" s="28"/>
      <c r="E451" s="36"/>
      <c r="F451" s="36"/>
      <c r="G451" s="30" t="str">
        <f t="shared" si="4"/>
        <v/>
      </c>
      <c r="H451" s="37"/>
    </row>
    <row r="452" spans="2:8" ht="18" customHeight="1" x14ac:dyDescent="0.3">
      <c r="B452" s="26"/>
      <c r="C452" s="27"/>
      <c r="D452" s="17"/>
      <c r="E452" s="38"/>
      <c r="F452" s="38"/>
      <c r="G452" s="30" t="str">
        <f t="shared" si="4"/>
        <v/>
      </c>
      <c r="H452" s="39"/>
    </row>
    <row r="453" spans="2:8" ht="18" customHeight="1" x14ac:dyDescent="0.3">
      <c r="B453" s="26"/>
      <c r="C453" s="27"/>
      <c r="D453" s="28"/>
      <c r="E453" s="36"/>
      <c r="F453" s="36"/>
      <c r="G453" s="30" t="str">
        <f t="shared" ref="G453:G516" si="5">IF(OR(B453="",E453=""),"",IF(E453="08:00",8,IF(E453="07:00",8,7)))</f>
        <v/>
      </c>
      <c r="H453" s="37"/>
    </row>
    <row r="454" spans="2:8" ht="18" customHeight="1" x14ac:dyDescent="0.3">
      <c r="B454" s="26"/>
      <c r="C454" s="27"/>
      <c r="D454" s="17"/>
      <c r="E454" s="38"/>
      <c r="F454" s="38"/>
      <c r="G454" s="30" t="str">
        <f t="shared" si="5"/>
        <v/>
      </c>
      <c r="H454" s="39"/>
    </row>
    <row r="455" spans="2:8" ht="18" customHeight="1" x14ac:dyDescent="0.3">
      <c r="B455" s="26"/>
      <c r="C455" s="27"/>
      <c r="D455" s="28"/>
      <c r="E455" s="36"/>
      <c r="F455" s="36"/>
      <c r="G455" s="30" t="str">
        <f t="shared" si="5"/>
        <v/>
      </c>
      <c r="H455" s="37"/>
    </row>
    <row r="456" spans="2:8" ht="18" customHeight="1" x14ac:dyDescent="0.3">
      <c r="B456" s="26"/>
      <c r="C456" s="27"/>
      <c r="D456" s="17"/>
      <c r="E456" s="38"/>
      <c r="F456" s="38"/>
      <c r="G456" s="30" t="str">
        <f t="shared" si="5"/>
        <v/>
      </c>
      <c r="H456" s="39"/>
    </row>
    <row r="457" spans="2:8" ht="18" customHeight="1" x14ac:dyDescent="0.3">
      <c r="B457" s="26"/>
      <c r="C457" s="27"/>
      <c r="D457" s="28"/>
      <c r="E457" s="36"/>
      <c r="F457" s="36"/>
      <c r="G457" s="30" t="str">
        <f t="shared" si="5"/>
        <v/>
      </c>
      <c r="H457" s="37"/>
    </row>
    <row r="458" spans="2:8" ht="18" customHeight="1" x14ac:dyDescent="0.3">
      <c r="B458" s="26"/>
      <c r="C458" s="27"/>
      <c r="D458" s="17"/>
      <c r="E458" s="38"/>
      <c r="F458" s="38"/>
      <c r="G458" s="30" t="str">
        <f t="shared" si="5"/>
        <v/>
      </c>
      <c r="H458" s="39"/>
    </row>
    <row r="459" spans="2:8" ht="18" customHeight="1" x14ac:dyDescent="0.3">
      <c r="B459" s="26"/>
      <c r="C459" s="27"/>
      <c r="D459" s="28"/>
      <c r="E459" s="36"/>
      <c r="F459" s="36"/>
      <c r="G459" s="30" t="str">
        <f t="shared" si="5"/>
        <v/>
      </c>
      <c r="H459" s="37"/>
    </row>
    <row r="460" spans="2:8" ht="18" customHeight="1" x14ac:dyDescent="0.3">
      <c r="B460" s="26"/>
      <c r="C460" s="27"/>
      <c r="D460" s="17"/>
      <c r="E460" s="38"/>
      <c r="F460" s="38"/>
      <c r="G460" s="30" t="str">
        <f t="shared" si="5"/>
        <v/>
      </c>
      <c r="H460" s="39"/>
    </row>
    <row r="461" spans="2:8" ht="18" customHeight="1" x14ac:dyDescent="0.3">
      <c r="B461" s="26"/>
      <c r="C461" s="27"/>
      <c r="D461" s="28"/>
      <c r="E461" s="36"/>
      <c r="F461" s="36"/>
      <c r="G461" s="30" t="str">
        <f t="shared" si="5"/>
        <v/>
      </c>
      <c r="H461" s="37"/>
    </row>
    <row r="462" spans="2:8" ht="18" customHeight="1" x14ac:dyDescent="0.3">
      <c r="B462" s="26"/>
      <c r="C462" s="27"/>
      <c r="D462" s="17"/>
      <c r="E462" s="38"/>
      <c r="F462" s="38"/>
      <c r="G462" s="30" t="str">
        <f t="shared" si="5"/>
        <v/>
      </c>
      <c r="H462" s="39"/>
    </row>
    <row r="463" spans="2:8" ht="18" customHeight="1" x14ac:dyDescent="0.3">
      <c r="B463" s="26"/>
      <c r="C463" s="27"/>
      <c r="D463" s="28"/>
      <c r="E463" s="36"/>
      <c r="F463" s="36"/>
      <c r="G463" s="30" t="str">
        <f t="shared" si="5"/>
        <v/>
      </c>
      <c r="H463" s="37"/>
    </row>
    <row r="464" spans="2:8" ht="18" customHeight="1" x14ac:dyDescent="0.3">
      <c r="B464" s="26"/>
      <c r="C464" s="27"/>
      <c r="D464" s="17"/>
      <c r="E464" s="38"/>
      <c r="F464" s="38"/>
      <c r="G464" s="30" t="str">
        <f t="shared" si="5"/>
        <v/>
      </c>
      <c r="H464" s="39"/>
    </row>
    <row r="465" spans="2:8" ht="18" customHeight="1" x14ac:dyDescent="0.3">
      <c r="B465" s="26"/>
      <c r="C465" s="27"/>
      <c r="D465" s="28"/>
      <c r="E465" s="36"/>
      <c r="F465" s="36"/>
      <c r="G465" s="30" t="str">
        <f t="shared" si="5"/>
        <v/>
      </c>
      <c r="H465" s="37"/>
    </row>
    <row r="466" spans="2:8" ht="18" customHeight="1" x14ac:dyDescent="0.3">
      <c r="B466" s="26"/>
      <c r="C466" s="27"/>
      <c r="D466" s="17"/>
      <c r="E466" s="38"/>
      <c r="F466" s="38"/>
      <c r="G466" s="30" t="str">
        <f t="shared" si="5"/>
        <v/>
      </c>
      <c r="H466" s="39"/>
    </row>
    <row r="467" spans="2:8" ht="18" customHeight="1" x14ac:dyDescent="0.3">
      <c r="B467" s="26"/>
      <c r="C467" s="27"/>
      <c r="D467" s="28"/>
      <c r="E467" s="36"/>
      <c r="F467" s="36"/>
      <c r="G467" s="30" t="str">
        <f t="shared" si="5"/>
        <v/>
      </c>
      <c r="H467" s="37"/>
    </row>
    <row r="468" spans="2:8" ht="18" customHeight="1" x14ac:dyDescent="0.3">
      <c r="B468" s="26"/>
      <c r="C468" s="27"/>
      <c r="D468" s="17"/>
      <c r="E468" s="38"/>
      <c r="F468" s="38"/>
      <c r="G468" s="30" t="str">
        <f t="shared" si="5"/>
        <v/>
      </c>
      <c r="H468" s="39"/>
    </row>
    <row r="469" spans="2:8" ht="18" customHeight="1" x14ac:dyDescent="0.3">
      <c r="B469" s="26"/>
      <c r="C469" s="27"/>
      <c r="D469" s="28"/>
      <c r="E469" s="36"/>
      <c r="F469" s="36"/>
      <c r="G469" s="30" t="str">
        <f t="shared" si="5"/>
        <v/>
      </c>
      <c r="H469" s="37"/>
    </row>
    <row r="470" spans="2:8" ht="18" customHeight="1" x14ac:dyDescent="0.3">
      <c r="B470" s="26"/>
      <c r="C470" s="27"/>
      <c r="D470" s="17"/>
      <c r="E470" s="38"/>
      <c r="F470" s="38"/>
      <c r="G470" s="30" t="str">
        <f t="shared" si="5"/>
        <v/>
      </c>
      <c r="H470" s="39"/>
    </row>
    <row r="471" spans="2:8" ht="18" customHeight="1" x14ac:dyDescent="0.3">
      <c r="B471" s="26"/>
      <c r="C471" s="27"/>
      <c r="D471" s="28"/>
      <c r="E471" s="36"/>
      <c r="F471" s="36"/>
      <c r="G471" s="30" t="str">
        <f t="shared" si="5"/>
        <v/>
      </c>
      <c r="H471" s="37"/>
    </row>
    <row r="472" spans="2:8" ht="18" customHeight="1" x14ac:dyDescent="0.3">
      <c r="B472" s="26"/>
      <c r="C472" s="27"/>
      <c r="D472" s="17"/>
      <c r="E472" s="38"/>
      <c r="F472" s="38"/>
      <c r="G472" s="30" t="str">
        <f t="shared" si="5"/>
        <v/>
      </c>
      <c r="H472" s="39"/>
    </row>
    <row r="473" spans="2:8" ht="18" customHeight="1" x14ac:dyDescent="0.3">
      <c r="B473" s="26"/>
      <c r="C473" s="27"/>
      <c r="D473" s="28"/>
      <c r="E473" s="36"/>
      <c r="F473" s="36"/>
      <c r="G473" s="30" t="str">
        <f t="shared" si="5"/>
        <v/>
      </c>
      <c r="H473" s="37"/>
    </row>
    <row r="474" spans="2:8" ht="18" customHeight="1" x14ac:dyDescent="0.3">
      <c r="B474" s="26"/>
      <c r="C474" s="27"/>
      <c r="D474" s="17"/>
      <c r="E474" s="38"/>
      <c r="F474" s="38"/>
      <c r="G474" s="30" t="str">
        <f t="shared" si="5"/>
        <v/>
      </c>
      <c r="H474" s="39"/>
    </row>
    <row r="475" spans="2:8" ht="18" customHeight="1" x14ac:dyDescent="0.3">
      <c r="B475" s="26"/>
      <c r="C475" s="27"/>
      <c r="D475" s="28"/>
      <c r="E475" s="36"/>
      <c r="F475" s="36"/>
      <c r="G475" s="30" t="str">
        <f t="shared" si="5"/>
        <v/>
      </c>
      <c r="H475" s="37"/>
    </row>
    <row r="476" spans="2:8" ht="18" customHeight="1" x14ac:dyDescent="0.3">
      <c r="B476" s="26"/>
      <c r="C476" s="27"/>
      <c r="D476" s="17"/>
      <c r="E476" s="38"/>
      <c r="F476" s="38"/>
      <c r="G476" s="30" t="str">
        <f t="shared" si="5"/>
        <v/>
      </c>
      <c r="H476" s="39"/>
    </row>
    <row r="477" spans="2:8" ht="18" customHeight="1" x14ac:dyDescent="0.3">
      <c r="B477" s="26"/>
      <c r="C477" s="27"/>
      <c r="D477" s="28"/>
      <c r="E477" s="36"/>
      <c r="F477" s="36"/>
      <c r="G477" s="30" t="str">
        <f t="shared" si="5"/>
        <v/>
      </c>
      <c r="H477" s="37"/>
    </row>
    <row r="478" spans="2:8" ht="18" customHeight="1" x14ac:dyDescent="0.3">
      <c r="B478" s="26"/>
      <c r="C478" s="27"/>
      <c r="D478" s="17"/>
      <c r="E478" s="38"/>
      <c r="F478" s="38"/>
      <c r="G478" s="30" t="str">
        <f t="shared" si="5"/>
        <v/>
      </c>
      <c r="H478" s="39"/>
    </row>
    <row r="479" spans="2:8" ht="18" customHeight="1" x14ac:dyDescent="0.3">
      <c r="B479" s="26"/>
      <c r="C479" s="27"/>
      <c r="D479" s="28"/>
      <c r="E479" s="36"/>
      <c r="F479" s="36"/>
      <c r="G479" s="30" t="str">
        <f t="shared" si="5"/>
        <v/>
      </c>
      <c r="H479" s="37"/>
    </row>
    <row r="480" spans="2:8" ht="18" customHeight="1" x14ac:dyDescent="0.3">
      <c r="B480" s="26"/>
      <c r="C480" s="27"/>
      <c r="D480" s="17"/>
      <c r="E480" s="38"/>
      <c r="F480" s="38"/>
      <c r="G480" s="30" t="str">
        <f t="shared" si="5"/>
        <v/>
      </c>
      <c r="H480" s="39"/>
    </row>
    <row r="481" spans="2:8" ht="18" customHeight="1" x14ac:dyDescent="0.3">
      <c r="B481" s="26"/>
      <c r="C481" s="27"/>
      <c r="D481" s="28"/>
      <c r="E481" s="36"/>
      <c r="F481" s="36"/>
      <c r="G481" s="30" t="str">
        <f t="shared" si="5"/>
        <v/>
      </c>
      <c r="H481" s="37"/>
    </row>
    <row r="482" spans="2:8" ht="18" customHeight="1" x14ac:dyDescent="0.3">
      <c r="B482" s="26"/>
      <c r="C482" s="27"/>
      <c r="D482" s="17"/>
      <c r="E482" s="38"/>
      <c r="F482" s="38"/>
      <c r="G482" s="30" t="str">
        <f t="shared" si="5"/>
        <v/>
      </c>
      <c r="H482" s="39"/>
    </row>
    <row r="483" spans="2:8" ht="18" customHeight="1" x14ac:dyDescent="0.3">
      <c r="B483" s="26"/>
      <c r="C483" s="27"/>
      <c r="D483" s="28"/>
      <c r="E483" s="36"/>
      <c r="F483" s="36"/>
      <c r="G483" s="30" t="str">
        <f t="shared" si="5"/>
        <v/>
      </c>
      <c r="H483" s="37"/>
    </row>
    <row r="484" spans="2:8" ht="18" customHeight="1" x14ac:dyDescent="0.3">
      <c r="B484" s="26"/>
      <c r="C484" s="27"/>
      <c r="D484" s="17"/>
      <c r="E484" s="38"/>
      <c r="F484" s="38"/>
      <c r="G484" s="30" t="str">
        <f t="shared" si="5"/>
        <v/>
      </c>
      <c r="H484" s="39"/>
    </row>
    <row r="485" spans="2:8" ht="18" customHeight="1" x14ac:dyDescent="0.3">
      <c r="B485" s="26"/>
      <c r="C485" s="27"/>
      <c r="D485" s="28"/>
      <c r="E485" s="36"/>
      <c r="F485" s="36"/>
      <c r="G485" s="30" t="str">
        <f t="shared" si="5"/>
        <v/>
      </c>
      <c r="H485" s="37"/>
    </row>
    <row r="486" spans="2:8" ht="18" customHeight="1" x14ac:dyDescent="0.3">
      <c r="B486" s="26"/>
      <c r="C486" s="27"/>
      <c r="D486" s="17"/>
      <c r="E486" s="38"/>
      <c r="F486" s="38"/>
      <c r="G486" s="30" t="str">
        <f t="shared" si="5"/>
        <v/>
      </c>
      <c r="H486" s="39"/>
    </row>
    <row r="487" spans="2:8" ht="18" customHeight="1" x14ac:dyDescent="0.3">
      <c r="B487" s="26"/>
      <c r="C487" s="27"/>
      <c r="D487" s="28"/>
      <c r="E487" s="36"/>
      <c r="F487" s="36"/>
      <c r="G487" s="30" t="str">
        <f t="shared" si="5"/>
        <v/>
      </c>
      <c r="H487" s="37"/>
    </row>
    <row r="488" spans="2:8" ht="18" customHeight="1" x14ac:dyDescent="0.3">
      <c r="B488" s="26"/>
      <c r="C488" s="27"/>
      <c r="D488" s="17"/>
      <c r="E488" s="38"/>
      <c r="F488" s="38"/>
      <c r="G488" s="30" t="str">
        <f t="shared" si="5"/>
        <v/>
      </c>
      <c r="H488" s="39"/>
    </row>
    <row r="489" spans="2:8" ht="18" customHeight="1" x14ac:dyDescent="0.3">
      <c r="B489" s="26"/>
      <c r="C489" s="27"/>
      <c r="D489" s="28"/>
      <c r="E489" s="36"/>
      <c r="F489" s="36"/>
      <c r="G489" s="30" t="str">
        <f t="shared" si="5"/>
        <v/>
      </c>
      <c r="H489" s="37"/>
    </row>
    <row r="490" spans="2:8" ht="18" customHeight="1" x14ac:dyDescent="0.3">
      <c r="B490" s="26"/>
      <c r="C490" s="27"/>
      <c r="D490" s="17"/>
      <c r="E490" s="38"/>
      <c r="F490" s="38"/>
      <c r="G490" s="30" t="str">
        <f t="shared" si="5"/>
        <v/>
      </c>
      <c r="H490" s="39"/>
    </row>
    <row r="491" spans="2:8" ht="18" customHeight="1" x14ac:dyDescent="0.3">
      <c r="B491" s="26"/>
      <c r="C491" s="27"/>
      <c r="D491" s="28"/>
      <c r="E491" s="36"/>
      <c r="F491" s="36"/>
      <c r="G491" s="30" t="str">
        <f t="shared" si="5"/>
        <v/>
      </c>
      <c r="H491" s="37"/>
    </row>
    <row r="492" spans="2:8" ht="18" customHeight="1" x14ac:dyDescent="0.3">
      <c r="B492" s="26"/>
      <c r="C492" s="27"/>
      <c r="D492" s="17"/>
      <c r="E492" s="38"/>
      <c r="F492" s="38"/>
      <c r="G492" s="30" t="str">
        <f t="shared" si="5"/>
        <v/>
      </c>
      <c r="H492" s="39"/>
    </row>
    <row r="493" spans="2:8" ht="18" customHeight="1" x14ac:dyDescent="0.3">
      <c r="B493" s="26"/>
      <c r="C493" s="27"/>
      <c r="D493" s="28"/>
      <c r="E493" s="36"/>
      <c r="F493" s="36"/>
      <c r="G493" s="30" t="str">
        <f t="shared" si="5"/>
        <v/>
      </c>
      <c r="H493" s="37"/>
    </row>
    <row r="494" spans="2:8" ht="18" customHeight="1" x14ac:dyDescent="0.3">
      <c r="B494" s="26"/>
      <c r="C494" s="27"/>
      <c r="D494" s="17"/>
      <c r="E494" s="38"/>
      <c r="F494" s="38"/>
      <c r="G494" s="30" t="str">
        <f t="shared" si="5"/>
        <v/>
      </c>
      <c r="H494" s="39"/>
    </row>
    <row r="495" spans="2:8" ht="18" customHeight="1" x14ac:dyDescent="0.3">
      <c r="B495" s="26"/>
      <c r="C495" s="27"/>
      <c r="D495" s="28"/>
      <c r="E495" s="36"/>
      <c r="F495" s="36"/>
      <c r="G495" s="30" t="str">
        <f t="shared" si="5"/>
        <v/>
      </c>
      <c r="H495" s="37"/>
    </row>
    <row r="496" spans="2:8" ht="18" customHeight="1" x14ac:dyDescent="0.3">
      <c r="B496" s="26"/>
      <c r="C496" s="27"/>
      <c r="D496" s="17"/>
      <c r="E496" s="38"/>
      <c r="F496" s="38"/>
      <c r="G496" s="30" t="str">
        <f t="shared" si="5"/>
        <v/>
      </c>
      <c r="H496" s="39"/>
    </row>
    <row r="497" spans="2:8" ht="18" customHeight="1" x14ac:dyDescent="0.3">
      <c r="B497" s="26"/>
      <c r="C497" s="27"/>
      <c r="D497" s="28"/>
      <c r="E497" s="36"/>
      <c r="F497" s="36"/>
      <c r="G497" s="30" t="str">
        <f t="shared" si="5"/>
        <v/>
      </c>
      <c r="H497" s="37"/>
    </row>
    <row r="498" spans="2:8" ht="18" customHeight="1" x14ac:dyDescent="0.3">
      <c r="B498" s="26"/>
      <c r="C498" s="27"/>
      <c r="D498" s="17"/>
      <c r="E498" s="38"/>
      <c r="F498" s="38"/>
      <c r="G498" s="30" t="str">
        <f t="shared" si="5"/>
        <v/>
      </c>
      <c r="H498" s="39"/>
    </row>
    <row r="499" spans="2:8" ht="18" customHeight="1" x14ac:dyDescent="0.3">
      <c r="B499" s="26"/>
      <c r="C499" s="27"/>
      <c r="D499" s="28"/>
      <c r="E499" s="36"/>
      <c r="F499" s="36"/>
      <c r="G499" s="30" t="str">
        <f t="shared" si="5"/>
        <v/>
      </c>
      <c r="H499" s="37"/>
    </row>
    <row r="500" spans="2:8" ht="18" customHeight="1" x14ac:dyDescent="0.3">
      <c r="B500" s="26"/>
      <c r="C500" s="27"/>
      <c r="D500" s="17"/>
      <c r="E500" s="38"/>
      <c r="F500" s="38"/>
      <c r="G500" s="30" t="str">
        <f t="shared" si="5"/>
        <v/>
      </c>
      <c r="H500" s="39"/>
    </row>
    <row r="501" spans="2:8" ht="18" customHeight="1" x14ac:dyDescent="0.3">
      <c r="B501" s="26"/>
      <c r="C501" s="27"/>
      <c r="D501" s="28"/>
      <c r="E501" s="36"/>
      <c r="F501" s="36"/>
      <c r="G501" s="30" t="str">
        <f t="shared" si="5"/>
        <v/>
      </c>
      <c r="H501" s="37"/>
    </row>
    <row r="502" spans="2:8" ht="18" customHeight="1" x14ac:dyDescent="0.3">
      <c r="B502" s="26"/>
      <c r="C502" s="27"/>
      <c r="D502" s="17"/>
      <c r="E502" s="38"/>
      <c r="F502" s="38"/>
      <c r="G502" s="30" t="str">
        <f t="shared" si="5"/>
        <v/>
      </c>
      <c r="H502" s="39"/>
    </row>
    <row r="503" spans="2:8" ht="18" customHeight="1" x14ac:dyDescent="0.3">
      <c r="B503" s="26"/>
      <c r="C503" s="27"/>
      <c r="D503" s="28"/>
      <c r="E503" s="36"/>
      <c r="F503" s="36"/>
      <c r="G503" s="30" t="str">
        <f t="shared" si="5"/>
        <v/>
      </c>
      <c r="H503" s="37"/>
    </row>
    <row r="504" spans="2:8" ht="18" customHeight="1" x14ac:dyDescent="0.3">
      <c r="B504" s="26"/>
      <c r="C504" s="27"/>
      <c r="D504" s="17"/>
      <c r="E504" s="38"/>
      <c r="F504" s="38"/>
      <c r="G504" s="30" t="str">
        <f t="shared" si="5"/>
        <v/>
      </c>
      <c r="H504" s="39"/>
    </row>
    <row r="505" spans="2:8" ht="18" customHeight="1" x14ac:dyDescent="0.3">
      <c r="B505" s="26"/>
      <c r="C505" s="27"/>
      <c r="D505" s="28"/>
      <c r="E505" s="36"/>
      <c r="F505" s="36"/>
      <c r="G505" s="30" t="str">
        <f t="shared" si="5"/>
        <v/>
      </c>
      <c r="H505" s="37"/>
    </row>
    <row r="506" spans="2:8" ht="18" customHeight="1" x14ac:dyDescent="0.3">
      <c r="B506" s="26"/>
      <c r="C506" s="27"/>
      <c r="D506" s="17"/>
      <c r="E506" s="38"/>
      <c r="F506" s="38"/>
      <c r="G506" s="30" t="str">
        <f t="shared" si="5"/>
        <v/>
      </c>
      <c r="H506" s="39"/>
    </row>
    <row r="507" spans="2:8" ht="18" customHeight="1" x14ac:dyDescent="0.3">
      <c r="B507" s="26"/>
      <c r="C507" s="27"/>
      <c r="D507" s="28"/>
      <c r="E507" s="36"/>
      <c r="F507" s="36"/>
      <c r="G507" s="30" t="str">
        <f t="shared" si="5"/>
        <v/>
      </c>
      <c r="H507" s="37"/>
    </row>
    <row r="508" spans="2:8" ht="18" customHeight="1" x14ac:dyDescent="0.3">
      <c r="B508" s="26"/>
      <c r="C508" s="27"/>
      <c r="D508" s="17"/>
      <c r="E508" s="38"/>
      <c r="F508" s="38"/>
      <c r="G508" s="30" t="str">
        <f t="shared" si="5"/>
        <v/>
      </c>
      <c r="H508" s="39"/>
    </row>
    <row r="509" spans="2:8" ht="18" customHeight="1" x14ac:dyDescent="0.3">
      <c r="B509" s="26"/>
      <c r="C509" s="27"/>
      <c r="D509" s="28"/>
      <c r="E509" s="36"/>
      <c r="F509" s="36"/>
      <c r="G509" s="30" t="str">
        <f t="shared" si="5"/>
        <v/>
      </c>
      <c r="H509" s="37"/>
    </row>
    <row r="510" spans="2:8" ht="18" customHeight="1" x14ac:dyDescent="0.3">
      <c r="B510" s="26"/>
      <c r="C510" s="27"/>
      <c r="D510" s="17"/>
      <c r="E510" s="38"/>
      <c r="F510" s="38"/>
      <c r="G510" s="30" t="str">
        <f t="shared" si="5"/>
        <v/>
      </c>
      <c r="H510" s="39"/>
    </row>
    <row r="511" spans="2:8" ht="18" customHeight="1" x14ac:dyDescent="0.3">
      <c r="B511" s="26"/>
      <c r="C511" s="27"/>
      <c r="D511" s="28"/>
      <c r="E511" s="36"/>
      <c r="F511" s="36"/>
      <c r="G511" s="30" t="str">
        <f t="shared" si="5"/>
        <v/>
      </c>
      <c r="H511" s="37"/>
    </row>
    <row r="512" spans="2:8" ht="18" customHeight="1" x14ac:dyDescent="0.3">
      <c r="B512" s="26"/>
      <c r="C512" s="27"/>
      <c r="D512" s="17"/>
      <c r="E512" s="38"/>
      <c r="F512" s="38"/>
      <c r="G512" s="30" t="str">
        <f t="shared" si="5"/>
        <v/>
      </c>
      <c r="H512" s="39"/>
    </row>
    <row r="513" spans="2:8" ht="18" customHeight="1" x14ac:dyDescent="0.3">
      <c r="B513" s="26"/>
      <c r="C513" s="27"/>
      <c r="D513" s="28"/>
      <c r="E513" s="36"/>
      <c r="F513" s="36"/>
      <c r="G513" s="30" t="str">
        <f t="shared" si="5"/>
        <v/>
      </c>
      <c r="H513" s="37"/>
    </row>
    <row r="514" spans="2:8" ht="18" customHeight="1" x14ac:dyDescent="0.3">
      <c r="B514" s="26"/>
      <c r="C514" s="27"/>
      <c r="D514" s="17"/>
      <c r="E514" s="38"/>
      <c r="F514" s="38"/>
      <c r="G514" s="30" t="str">
        <f t="shared" si="5"/>
        <v/>
      </c>
      <c r="H514" s="39"/>
    </row>
    <row r="515" spans="2:8" ht="18" customHeight="1" x14ac:dyDescent="0.3">
      <c r="B515" s="26"/>
      <c r="C515" s="27"/>
      <c r="D515" s="28"/>
      <c r="E515" s="36"/>
      <c r="F515" s="36"/>
      <c r="G515" s="30" t="str">
        <f t="shared" si="5"/>
        <v/>
      </c>
      <c r="H515" s="37"/>
    </row>
    <row r="516" spans="2:8" ht="18" customHeight="1" x14ac:dyDescent="0.3">
      <c r="B516" s="26"/>
      <c r="C516" s="27"/>
      <c r="D516" s="17"/>
      <c r="E516" s="38"/>
      <c r="F516" s="38"/>
      <c r="G516" s="30" t="str">
        <f t="shared" si="5"/>
        <v/>
      </c>
      <c r="H516" s="39"/>
    </row>
    <row r="517" spans="2:8" ht="18" customHeight="1" x14ac:dyDescent="0.3">
      <c r="B517" s="26"/>
      <c r="C517" s="27"/>
      <c r="D517" s="28"/>
      <c r="E517" s="36"/>
      <c r="F517" s="36"/>
      <c r="G517" s="30" t="str">
        <f t="shared" ref="G517:G580" si="6">IF(OR(B517="",E517=""),"",IF(E517="08:00",8,IF(E517="07:00",8,7)))</f>
        <v/>
      </c>
      <c r="H517" s="37"/>
    </row>
    <row r="518" spans="2:8" ht="18" customHeight="1" x14ac:dyDescent="0.3">
      <c r="B518" s="26"/>
      <c r="C518" s="27"/>
      <c r="D518" s="17"/>
      <c r="E518" s="38"/>
      <c r="F518" s="38"/>
      <c r="G518" s="30" t="str">
        <f t="shared" si="6"/>
        <v/>
      </c>
      <c r="H518" s="39"/>
    </row>
    <row r="519" spans="2:8" ht="18" customHeight="1" x14ac:dyDescent="0.3">
      <c r="B519" s="26"/>
      <c r="C519" s="27"/>
      <c r="D519" s="28"/>
      <c r="E519" s="36"/>
      <c r="F519" s="36"/>
      <c r="G519" s="30" t="str">
        <f t="shared" si="6"/>
        <v/>
      </c>
      <c r="H519" s="37"/>
    </row>
    <row r="520" spans="2:8" ht="18" customHeight="1" x14ac:dyDescent="0.3">
      <c r="B520" s="26"/>
      <c r="C520" s="27"/>
      <c r="D520" s="17"/>
      <c r="E520" s="38"/>
      <c r="F520" s="38"/>
      <c r="G520" s="30" t="str">
        <f t="shared" si="6"/>
        <v/>
      </c>
      <c r="H520" s="39"/>
    </row>
    <row r="521" spans="2:8" ht="18" customHeight="1" x14ac:dyDescent="0.3">
      <c r="B521" s="26"/>
      <c r="C521" s="27"/>
      <c r="D521" s="28"/>
      <c r="E521" s="36"/>
      <c r="F521" s="36"/>
      <c r="G521" s="30" t="str">
        <f t="shared" si="6"/>
        <v/>
      </c>
      <c r="H521" s="37"/>
    </row>
    <row r="522" spans="2:8" ht="18" customHeight="1" x14ac:dyDescent="0.3">
      <c r="B522" s="26"/>
      <c r="C522" s="27"/>
      <c r="D522" s="17"/>
      <c r="E522" s="38"/>
      <c r="F522" s="38"/>
      <c r="G522" s="30" t="str">
        <f t="shared" si="6"/>
        <v/>
      </c>
      <c r="H522" s="39"/>
    </row>
    <row r="523" spans="2:8" ht="18" customHeight="1" x14ac:dyDescent="0.3">
      <c r="B523" s="26"/>
      <c r="C523" s="27"/>
      <c r="D523" s="28"/>
      <c r="E523" s="36"/>
      <c r="F523" s="36"/>
      <c r="G523" s="30" t="str">
        <f t="shared" si="6"/>
        <v/>
      </c>
      <c r="H523" s="37"/>
    </row>
    <row r="524" spans="2:8" ht="18" customHeight="1" x14ac:dyDescent="0.3">
      <c r="B524" s="26"/>
      <c r="C524" s="27"/>
      <c r="D524" s="17"/>
      <c r="E524" s="38"/>
      <c r="F524" s="38"/>
      <c r="G524" s="30" t="str">
        <f t="shared" si="6"/>
        <v/>
      </c>
      <c r="H524" s="39"/>
    </row>
    <row r="525" spans="2:8" ht="18" customHeight="1" x14ac:dyDescent="0.3">
      <c r="B525" s="26"/>
      <c r="C525" s="27"/>
      <c r="D525" s="28"/>
      <c r="E525" s="36"/>
      <c r="F525" s="36"/>
      <c r="G525" s="30" t="str">
        <f t="shared" si="6"/>
        <v/>
      </c>
      <c r="H525" s="37"/>
    </row>
    <row r="526" spans="2:8" ht="18" customHeight="1" x14ac:dyDescent="0.3">
      <c r="B526" s="26"/>
      <c r="C526" s="27"/>
      <c r="D526" s="17"/>
      <c r="E526" s="38"/>
      <c r="F526" s="38"/>
      <c r="G526" s="30" t="str">
        <f t="shared" si="6"/>
        <v/>
      </c>
      <c r="H526" s="39"/>
    </row>
    <row r="527" spans="2:8" ht="18" customHeight="1" x14ac:dyDescent="0.3">
      <c r="B527" s="26"/>
      <c r="C527" s="27"/>
      <c r="D527" s="28"/>
      <c r="E527" s="36"/>
      <c r="F527" s="36"/>
      <c r="G527" s="30" t="str">
        <f t="shared" si="6"/>
        <v/>
      </c>
      <c r="H527" s="37"/>
    </row>
    <row r="528" spans="2:8" ht="18" customHeight="1" x14ac:dyDescent="0.3">
      <c r="B528" s="26"/>
      <c r="C528" s="27"/>
      <c r="D528" s="17"/>
      <c r="E528" s="38"/>
      <c r="F528" s="38"/>
      <c r="G528" s="30" t="str">
        <f t="shared" si="6"/>
        <v/>
      </c>
      <c r="H528" s="39"/>
    </row>
    <row r="529" spans="2:8" ht="18" customHeight="1" x14ac:dyDescent="0.3">
      <c r="B529" s="26"/>
      <c r="C529" s="27"/>
      <c r="D529" s="28"/>
      <c r="E529" s="36"/>
      <c r="F529" s="36"/>
      <c r="G529" s="30" t="str">
        <f t="shared" si="6"/>
        <v/>
      </c>
      <c r="H529" s="37"/>
    </row>
    <row r="530" spans="2:8" ht="18" customHeight="1" x14ac:dyDescent="0.3">
      <c r="B530" s="26"/>
      <c r="C530" s="27"/>
      <c r="D530" s="17"/>
      <c r="E530" s="38"/>
      <c r="F530" s="38"/>
      <c r="G530" s="30" t="str">
        <f t="shared" si="6"/>
        <v/>
      </c>
      <c r="H530" s="39"/>
    </row>
    <row r="531" spans="2:8" ht="18" customHeight="1" x14ac:dyDescent="0.3">
      <c r="B531" s="26"/>
      <c r="C531" s="27"/>
      <c r="D531" s="28"/>
      <c r="E531" s="36"/>
      <c r="F531" s="36"/>
      <c r="G531" s="30" t="str">
        <f t="shared" si="6"/>
        <v/>
      </c>
      <c r="H531" s="37"/>
    </row>
    <row r="532" spans="2:8" ht="18" customHeight="1" x14ac:dyDescent="0.3">
      <c r="B532" s="26"/>
      <c r="C532" s="27"/>
      <c r="D532" s="17"/>
      <c r="E532" s="38"/>
      <c r="F532" s="38"/>
      <c r="G532" s="30" t="str">
        <f t="shared" si="6"/>
        <v/>
      </c>
      <c r="H532" s="39"/>
    </row>
    <row r="533" spans="2:8" ht="18" customHeight="1" x14ac:dyDescent="0.3">
      <c r="B533" s="26"/>
      <c r="C533" s="27"/>
      <c r="D533" s="28"/>
      <c r="E533" s="36"/>
      <c r="F533" s="36"/>
      <c r="G533" s="30" t="str">
        <f t="shared" si="6"/>
        <v/>
      </c>
      <c r="H533" s="37"/>
    </row>
    <row r="534" spans="2:8" ht="18" customHeight="1" x14ac:dyDescent="0.3">
      <c r="B534" s="26"/>
      <c r="C534" s="27"/>
      <c r="D534" s="17"/>
      <c r="E534" s="38"/>
      <c r="F534" s="38"/>
      <c r="G534" s="30" t="str">
        <f t="shared" si="6"/>
        <v/>
      </c>
      <c r="H534" s="39"/>
    </row>
    <row r="535" spans="2:8" ht="18" customHeight="1" x14ac:dyDescent="0.3">
      <c r="B535" s="26"/>
      <c r="C535" s="27"/>
      <c r="D535" s="28"/>
      <c r="E535" s="36"/>
      <c r="F535" s="36"/>
      <c r="G535" s="30" t="str">
        <f t="shared" si="6"/>
        <v/>
      </c>
      <c r="H535" s="37"/>
    </row>
    <row r="536" spans="2:8" ht="18" customHeight="1" x14ac:dyDescent="0.3">
      <c r="B536" s="26"/>
      <c r="C536" s="27"/>
      <c r="D536" s="17"/>
      <c r="E536" s="38"/>
      <c r="F536" s="38"/>
      <c r="G536" s="30" t="str">
        <f t="shared" si="6"/>
        <v/>
      </c>
      <c r="H536" s="39"/>
    </row>
    <row r="537" spans="2:8" ht="18" customHeight="1" x14ac:dyDescent="0.3">
      <c r="B537" s="26"/>
      <c r="C537" s="27"/>
      <c r="D537" s="28"/>
      <c r="E537" s="36"/>
      <c r="F537" s="36"/>
      <c r="G537" s="30" t="str">
        <f t="shared" si="6"/>
        <v/>
      </c>
      <c r="H537" s="37"/>
    </row>
    <row r="538" spans="2:8" ht="18" customHeight="1" x14ac:dyDescent="0.3">
      <c r="B538" s="26"/>
      <c r="C538" s="27"/>
      <c r="D538" s="17"/>
      <c r="E538" s="38"/>
      <c r="F538" s="38"/>
      <c r="G538" s="30" t="str">
        <f t="shared" si="6"/>
        <v/>
      </c>
      <c r="H538" s="39"/>
    </row>
    <row r="539" spans="2:8" ht="18" customHeight="1" x14ac:dyDescent="0.3">
      <c r="B539" s="26"/>
      <c r="C539" s="27"/>
      <c r="D539" s="28"/>
      <c r="E539" s="36"/>
      <c r="F539" s="36"/>
      <c r="G539" s="30" t="str">
        <f t="shared" si="6"/>
        <v/>
      </c>
      <c r="H539" s="37"/>
    </row>
    <row r="540" spans="2:8" ht="18" customHeight="1" x14ac:dyDescent="0.3">
      <c r="B540" s="26"/>
      <c r="C540" s="27"/>
      <c r="D540" s="17"/>
      <c r="E540" s="38"/>
      <c r="F540" s="38"/>
      <c r="G540" s="30" t="str">
        <f t="shared" si="6"/>
        <v/>
      </c>
      <c r="H540" s="39"/>
    </row>
    <row r="541" spans="2:8" ht="18" customHeight="1" x14ac:dyDescent="0.3">
      <c r="B541" s="26"/>
      <c r="C541" s="27"/>
      <c r="D541" s="28"/>
      <c r="E541" s="36"/>
      <c r="F541" s="36"/>
      <c r="G541" s="30" t="str">
        <f t="shared" si="6"/>
        <v/>
      </c>
      <c r="H541" s="37"/>
    </row>
    <row r="542" spans="2:8" ht="18" customHeight="1" x14ac:dyDescent="0.3">
      <c r="B542" s="26"/>
      <c r="C542" s="27"/>
      <c r="D542" s="17"/>
      <c r="E542" s="38"/>
      <c r="F542" s="38"/>
      <c r="G542" s="30" t="str">
        <f t="shared" si="6"/>
        <v/>
      </c>
      <c r="H542" s="39"/>
    </row>
    <row r="543" spans="2:8" ht="18" customHeight="1" x14ac:dyDescent="0.3">
      <c r="B543" s="26"/>
      <c r="C543" s="27"/>
      <c r="D543" s="28"/>
      <c r="E543" s="36"/>
      <c r="F543" s="36"/>
      <c r="G543" s="30" t="str">
        <f t="shared" si="6"/>
        <v/>
      </c>
      <c r="H543" s="37"/>
    </row>
    <row r="544" spans="2:8" ht="18" customHeight="1" x14ac:dyDescent="0.3">
      <c r="B544" s="26"/>
      <c r="C544" s="27"/>
      <c r="D544" s="17"/>
      <c r="E544" s="38"/>
      <c r="F544" s="38"/>
      <c r="G544" s="30" t="str">
        <f t="shared" si="6"/>
        <v/>
      </c>
      <c r="H544" s="39"/>
    </row>
    <row r="545" spans="2:8" ht="18" customHeight="1" x14ac:dyDescent="0.3">
      <c r="B545" s="26"/>
      <c r="C545" s="27"/>
      <c r="D545" s="28"/>
      <c r="E545" s="36"/>
      <c r="F545" s="36"/>
      <c r="G545" s="30" t="str">
        <f t="shared" si="6"/>
        <v/>
      </c>
      <c r="H545" s="37"/>
    </row>
    <row r="546" spans="2:8" ht="18" customHeight="1" x14ac:dyDescent="0.3">
      <c r="B546" s="26"/>
      <c r="C546" s="27"/>
      <c r="D546" s="17"/>
      <c r="E546" s="38"/>
      <c r="F546" s="38"/>
      <c r="G546" s="30" t="str">
        <f t="shared" si="6"/>
        <v/>
      </c>
      <c r="H546" s="39"/>
    </row>
    <row r="547" spans="2:8" ht="18" customHeight="1" x14ac:dyDescent="0.3">
      <c r="B547" s="26"/>
      <c r="C547" s="27"/>
      <c r="D547" s="28"/>
      <c r="E547" s="36"/>
      <c r="F547" s="36"/>
      <c r="G547" s="30" t="str">
        <f t="shared" si="6"/>
        <v/>
      </c>
      <c r="H547" s="37"/>
    </row>
    <row r="548" spans="2:8" ht="18" customHeight="1" x14ac:dyDescent="0.3">
      <c r="B548" s="26"/>
      <c r="C548" s="27"/>
      <c r="D548" s="17"/>
      <c r="E548" s="38"/>
      <c r="F548" s="38"/>
      <c r="G548" s="30" t="str">
        <f t="shared" si="6"/>
        <v/>
      </c>
      <c r="H548" s="39"/>
    </row>
    <row r="549" spans="2:8" ht="18" customHeight="1" x14ac:dyDescent="0.3">
      <c r="B549" s="26"/>
      <c r="C549" s="27"/>
      <c r="D549" s="28"/>
      <c r="E549" s="36"/>
      <c r="F549" s="36"/>
      <c r="G549" s="30" t="str">
        <f t="shared" si="6"/>
        <v/>
      </c>
      <c r="H549" s="37"/>
    </row>
    <row r="550" spans="2:8" ht="18" customHeight="1" x14ac:dyDescent="0.3">
      <c r="B550" s="26"/>
      <c r="C550" s="27"/>
      <c r="D550" s="17"/>
      <c r="E550" s="38"/>
      <c r="F550" s="38"/>
      <c r="G550" s="30" t="str">
        <f t="shared" si="6"/>
        <v/>
      </c>
      <c r="H550" s="39"/>
    </row>
    <row r="551" spans="2:8" ht="18" customHeight="1" x14ac:dyDescent="0.3">
      <c r="B551" s="26"/>
      <c r="C551" s="27"/>
      <c r="D551" s="28"/>
      <c r="E551" s="36"/>
      <c r="F551" s="36"/>
      <c r="G551" s="30" t="str">
        <f t="shared" si="6"/>
        <v/>
      </c>
      <c r="H551" s="37"/>
    </row>
    <row r="552" spans="2:8" ht="18" customHeight="1" x14ac:dyDescent="0.3">
      <c r="B552" s="26"/>
      <c r="C552" s="27"/>
      <c r="D552" s="17"/>
      <c r="E552" s="38"/>
      <c r="F552" s="38"/>
      <c r="G552" s="30" t="str">
        <f t="shared" si="6"/>
        <v/>
      </c>
      <c r="H552" s="39"/>
    </row>
    <row r="553" spans="2:8" ht="18" customHeight="1" x14ac:dyDescent="0.3">
      <c r="B553" s="26"/>
      <c r="C553" s="27"/>
      <c r="D553" s="28"/>
      <c r="E553" s="36"/>
      <c r="F553" s="36"/>
      <c r="G553" s="30" t="str">
        <f t="shared" si="6"/>
        <v/>
      </c>
      <c r="H553" s="37"/>
    </row>
    <row r="554" spans="2:8" ht="18" customHeight="1" x14ac:dyDescent="0.3">
      <c r="B554" s="26"/>
      <c r="C554" s="27"/>
      <c r="D554" s="17"/>
      <c r="E554" s="38"/>
      <c r="F554" s="38"/>
      <c r="G554" s="30" t="str">
        <f t="shared" si="6"/>
        <v/>
      </c>
      <c r="H554" s="39"/>
    </row>
    <row r="555" spans="2:8" ht="18" customHeight="1" x14ac:dyDescent="0.3">
      <c r="B555" s="26"/>
      <c r="C555" s="27"/>
      <c r="D555" s="28"/>
      <c r="E555" s="36"/>
      <c r="F555" s="36"/>
      <c r="G555" s="30" t="str">
        <f t="shared" si="6"/>
        <v/>
      </c>
      <c r="H555" s="37"/>
    </row>
    <row r="556" spans="2:8" ht="18" customHeight="1" x14ac:dyDescent="0.3">
      <c r="B556" s="26"/>
      <c r="C556" s="27"/>
      <c r="D556" s="17"/>
      <c r="E556" s="38"/>
      <c r="F556" s="38"/>
      <c r="G556" s="30" t="str">
        <f t="shared" si="6"/>
        <v/>
      </c>
      <c r="H556" s="39"/>
    </row>
    <row r="557" spans="2:8" ht="18" customHeight="1" x14ac:dyDescent="0.3">
      <c r="B557" s="26"/>
      <c r="C557" s="27"/>
      <c r="D557" s="28"/>
      <c r="E557" s="36"/>
      <c r="F557" s="36"/>
      <c r="G557" s="30" t="str">
        <f t="shared" si="6"/>
        <v/>
      </c>
      <c r="H557" s="37"/>
    </row>
    <row r="558" spans="2:8" ht="18" customHeight="1" x14ac:dyDescent="0.3">
      <c r="B558" s="26"/>
      <c r="C558" s="27"/>
      <c r="D558" s="17"/>
      <c r="E558" s="38"/>
      <c r="F558" s="38"/>
      <c r="G558" s="30" t="str">
        <f t="shared" si="6"/>
        <v/>
      </c>
      <c r="H558" s="39"/>
    </row>
    <row r="559" spans="2:8" ht="18" customHeight="1" x14ac:dyDescent="0.3">
      <c r="B559" s="26"/>
      <c r="C559" s="27"/>
      <c r="D559" s="28"/>
      <c r="E559" s="36"/>
      <c r="F559" s="36"/>
      <c r="G559" s="30" t="str">
        <f t="shared" si="6"/>
        <v/>
      </c>
      <c r="H559" s="37"/>
    </row>
    <row r="560" spans="2:8" ht="18" customHeight="1" x14ac:dyDescent="0.3">
      <c r="B560" s="26"/>
      <c r="C560" s="27"/>
      <c r="D560" s="17"/>
      <c r="E560" s="38"/>
      <c r="F560" s="38"/>
      <c r="G560" s="30" t="str">
        <f t="shared" si="6"/>
        <v/>
      </c>
      <c r="H560" s="39"/>
    </row>
    <row r="561" spans="2:8" ht="18" customHeight="1" x14ac:dyDescent="0.3">
      <c r="B561" s="26"/>
      <c r="C561" s="27"/>
      <c r="D561" s="28"/>
      <c r="E561" s="36"/>
      <c r="F561" s="36"/>
      <c r="G561" s="30" t="str">
        <f t="shared" si="6"/>
        <v/>
      </c>
      <c r="H561" s="37"/>
    </row>
    <row r="562" spans="2:8" ht="18" customHeight="1" x14ac:dyDescent="0.3">
      <c r="B562" s="26"/>
      <c r="C562" s="27"/>
      <c r="D562" s="17"/>
      <c r="E562" s="38"/>
      <c r="F562" s="38"/>
      <c r="G562" s="30" t="str">
        <f t="shared" si="6"/>
        <v/>
      </c>
      <c r="H562" s="39"/>
    </row>
    <row r="563" spans="2:8" ht="18" customHeight="1" x14ac:dyDescent="0.3">
      <c r="B563" s="26"/>
      <c r="C563" s="27"/>
      <c r="D563" s="28"/>
      <c r="E563" s="36"/>
      <c r="F563" s="36"/>
      <c r="G563" s="30" t="str">
        <f t="shared" si="6"/>
        <v/>
      </c>
      <c r="H563" s="37"/>
    </row>
    <row r="564" spans="2:8" ht="18" customHeight="1" x14ac:dyDescent="0.3">
      <c r="B564" s="26"/>
      <c r="C564" s="27"/>
      <c r="D564" s="17"/>
      <c r="E564" s="38"/>
      <c r="F564" s="38"/>
      <c r="G564" s="30" t="str">
        <f t="shared" si="6"/>
        <v/>
      </c>
      <c r="H564" s="39"/>
    </row>
    <row r="565" spans="2:8" ht="18" customHeight="1" x14ac:dyDescent="0.3">
      <c r="B565" s="26"/>
      <c r="C565" s="27"/>
      <c r="D565" s="28"/>
      <c r="E565" s="36"/>
      <c r="F565" s="36"/>
      <c r="G565" s="30" t="str">
        <f t="shared" si="6"/>
        <v/>
      </c>
      <c r="H565" s="37"/>
    </row>
    <row r="566" spans="2:8" ht="18" customHeight="1" x14ac:dyDescent="0.3">
      <c r="B566" s="26"/>
      <c r="C566" s="27"/>
      <c r="D566" s="17"/>
      <c r="E566" s="38"/>
      <c r="F566" s="38"/>
      <c r="G566" s="30" t="str">
        <f t="shared" si="6"/>
        <v/>
      </c>
      <c r="H566" s="39"/>
    </row>
    <row r="567" spans="2:8" ht="18" customHeight="1" x14ac:dyDescent="0.3">
      <c r="B567" s="26"/>
      <c r="C567" s="27"/>
      <c r="D567" s="28"/>
      <c r="E567" s="36"/>
      <c r="F567" s="36"/>
      <c r="G567" s="30" t="str">
        <f t="shared" si="6"/>
        <v/>
      </c>
      <c r="H567" s="37"/>
    </row>
    <row r="568" spans="2:8" ht="18" customHeight="1" x14ac:dyDescent="0.3">
      <c r="B568" s="26"/>
      <c r="C568" s="27"/>
      <c r="D568" s="17"/>
      <c r="E568" s="38"/>
      <c r="F568" s="38"/>
      <c r="G568" s="30" t="str">
        <f t="shared" si="6"/>
        <v/>
      </c>
      <c r="H568" s="39"/>
    </row>
    <row r="569" spans="2:8" ht="18" customHeight="1" x14ac:dyDescent="0.3">
      <c r="B569" s="26"/>
      <c r="C569" s="27"/>
      <c r="D569" s="28"/>
      <c r="E569" s="36"/>
      <c r="F569" s="36"/>
      <c r="G569" s="30" t="str">
        <f t="shared" si="6"/>
        <v/>
      </c>
      <c r="H569" s="37"/>
    </row>
    <row r="570" spans="2:8" ht="18" customHeight="1" x14ac:dyDescent="0.3">
      <c r="B570" s="26"/>
      <c r="C570" s="27"/>
      <c r="D570" s="17"/>
      <c r="E570" s="38"/>
      <c r="F570" s="38"/>
      <c r="G570" s="30" t="str">
        <f t="shared" si="6"/>
        <v/>
      </c>
      <c r="H570" s="39"/>
    </row>
    <row r="571" spans="2:8" ht="18" customHeight="1" x14ac:dyDescent="0.3">
      <c r="B571" s="26"/>
      <c r="C571" s="27"/>
      <c r="D571" s="28"/>
      <c r="E571" s="36"/>
      <c r="F571" s="36"/>
      <c r="G571" s="30" t="str">
        <f t="shared" si="6"/>
        <v/>
      </c>
      <c r="H571" s="37"/>
    </row>
    <row r="572" spans="2:8" ht="18" customHeight="1" x14ac:dyDescent="0.3">
      <c r="B572" s="26"/>
      <c r="C572" s="27"/>
      <c r="D572" s="17"/>
      <c r="E572" s="38"/>
      <c r="F572" s="38"/>
      <c r="G572" s="30" t="str">
        <f t="shared" si="6"/>
        <v/>
      </c>
      <c r="H572" s="39"/>
    </row>
    <row r="573" spans="2:8" ht="18" customHeight="1" x14ac:dyDescent="0.3">
      <c r="B573" s="26"/>
      <c r="C573" s="27"/>
      <c r="D573" s="28"/>
      <c r="E573" s="36"/>
      <c r="F573" s="36"/>
      <c r="G573" s="30" t="str">
        <f t="shared" si="6"/>
        <v/>
      </c>
      <c r="H573" s="37"/>
    </row>
    <row r="574" spans="2:8" ht="18" customHeight="1" x14ac:dyDescent="0.3">
      <c r="B574" s="26"/>
      <c r="C574" s="27"/>
      <c r="D574" s="17"/>
      <c r="E574" s="38"/>
      <c r="F574" s="38"/>
      <c r="G574" s="30" t="str">
        <f t="shared" si="6"/>
        <v/>
      </c>
      <c r="H574" s="39"/>
    </row>
    <row r="575" spans="2:8" ht="18" customHeight="1" x14ac:dyDescent="0.3">
      <c r="B575" s="26"/>
      <c r="C575" s="27"/>
      <c r="D575" s="28"/>
      <c r="E575" s="36"/>
      <c r="F575" s="36"/>
      <c r="G575" s="30" t="str">
        <f t="shared" si="6"/>
        <v/>
      </c>
      <c r="H575" s="37"/>
    </row>
    <row r="576" spans="2:8" ht="18" customHeight="1" x14ac:dyDescent="0.3">
      <c r="B576" s="26"/>
      <c r="C576" s="27"/>
      <c r="D576" s="17"/>
      <c r="E576" s="38"/>
      <c r="F576" s="38"/>
      <c r="G576" s="30" t="str">
        <f t="shared" si="6"/>
        <v/>
      </c>
      <c r="H576" s="39"/>
    </row>
    <row r="577" spans="2:8" ht="18" customHeight="1" x14ac:dyDescent="0.3">
      <c r="B577" s="26"/>
      <c r="C577" s="27"/>
      <c r="D577" s="28"/>
      <c r="E577" s="36"/>
      <c r="F577" s="36"/>
      <c r="G577" s="30" t="str">
        <f t="shared" si="6"/>
        <v/>
      </c>
      <c r="H577" s="37"/>
    </row>
    <row r="578" spans="2:8" ht="18" customHeight="1" x14ac:dyDescent="0.3">
      <c r="B578" s="26"/>
      <c r="C578" s="27"/>
      <c r="D578" s="17"/>
      <c r="E578" s="38"/>
      <c r="F578" s="38"/>
      <c r="G578" s="30" t="str">
        <f t="shared" si="6"/>
        <v/>
      </c>
      <c r="H578" s="39"/>
    </row>
    <row r="579" spans="2:8" ht="18" customHeight="1" x14ac:dyDescent="0.3">
      <c r="B579" s="26"/>
      <c r="C579" s="27"/>
      <c r="D579" s="28"/>
      <c r="E579" s="36"/>
      <c r="F579" s="36"/>
      <c r="G579" s="30" t="str">
        <f t="shared" si="6"/>
        <v/>
      </c>
      <c r="H579" s="37"/>
    </row>
    <row r="580" spans="2:8" ht="18" customHeight="1" x14ac:dyDescent="0.3">
      <c r="B580" s="26"/>
      <c r="C580" s="27"/>
      <c r="D580" s="17"/>
      <c r="E580" s="38"/>
      <c r="F580" s="38"/>
      <c r="G580" s="30" t="str">
        <f t="shared" si="6"/>
        <v/>
      </c>
      <c r="H580" s="39"/>
    </row>
    <row r="581" spans="2:8" ht="18" customHeight="1" x14ac:dyDescent="0.3">
      <c r="B581" s="26"/>
      <c r="C581" s="27"/>
      <c r="D581" s="28"/>
      <c r="E581" s="36"/>
      <c r="F581" s="36"/>
      <c r="G581" s="30" t="str">
        <f t="shared" ref="G581:G644" si="7">IF(OR(B581="",E581=""),"",IF(E581="08:00",8,IF(E581="07:00",8,7)))</f>
        <v/>
      </c>
      <c r="H581" s="37"/>
    </row>
    <row r="582" spans="2:8" ht="18" customHeight="1" x14ac:dyDescent="0.3">
      <c r="B582" s="26"/>
      <c r="C582" s="27"/>
      <c r="D582" s="17"/>
      <c r="E582" s="38"/>
      <c r="F582" s="38"/>
      <c r="G582" s="30" t="str">
        <f t="shared" si="7"/>
        <v/>
      </c>
      <c r="H582" s="39"/>
    </row>
    <row r="583" spans="2:8" ht="18" customHeight="1" x14ac:dyDescent="0.3">
      <c r="B583" s="26"/>
      <c r="C583" s="27"/>
      <c r="D583" s="28"/>
      <c r="E583" s="36"/>
      <c r="F583" s="36"/>
      <c r="G583" s="30" t="str">
        <f t="shared" si="7"/>
        <v/>
      </c>
      <c r="H583" s="37"/>
    </row>
    <row r="584" spans="2:8" ht="18" customHeight="1" x14ac:dyDescent="0.3">
      <c r="B584" s="26"/>
      <c r="C584" s="27"/>
      <c r="D584" s="17"/>
      <c r="E584" s="38"/>
      <c r="F584" s="38"/>
      <c r="G584" s="30" t="str">
        <f t="shared" si="7"/>
        <v/>
      </c>
      <c r="H584" s="39"/>
    </row>
    <row r="585" spans="2:8" ht="18" customHeight="1" x14ac:dyDescent="0.3">
      <c r="B585" s="26"/>
      <c r="C585" s="27"/>
      <c r="D585" s="28"/>
      <c r="E585" s="36"/>
      <c r="F585" s="36"/>
      <c r="G585" s="30" t="str">
        <f t="shared" si="7"/>
        <v/>
      </c>
      <c r="H585" s="37"/>
    </row>
    <row r="586" spans="2:8" ht="18" customHeight="1" x14ac:dyDescent="0.3">
      <c r="B586" s="26"/>
      <c r="C586" s="27"/>
      <c r="D586" s="17"/>
      <c r="E586" s="38"/>
      <c r="F586" s="38"/>
      <c r="G586" s="30" t="str">
        <f t="shared" si="7"/>
        <v/>
      </c>
      <c r="H586" s="39"/>
    </row>
    <row r="587" spans="2:8" ht="18" customHeight="1" x14ac:dyDescent="0.3">
      <c r="B587" s="26"/>
      <c r="C587" s="27"/>
      <c r="D587" s="28"/>
      <c r="E587" s="36"/>
      <c r="F587" s="36"/>
      <c r="G587" s="30" t="str">
        <f t="shared" si="7"/>
        <v/>
      </c>
      <c r="H587" s="37"/>
    </row>
    <row r="588" spans="2:8" ht="18" customHeight="1" x14ac:dyDescent="0.3">
      <c r="B588" s="26"/>
      <c r="C588" s="27"/>
      <c r="D588" s="17"/>
      <c r="E588" s="38"/>
      <c r="F588" s="38"/>
      <c r="G588" s="30" t="str">
        <f t="shared" si="7"/>
        <v/>
      </c>
      <c r="H588" s="39"/>
    </row>
    <row r="589" spans="2:8" ht="18" customHeight="1" x14ac:dyDescent="0.3">
      <c r="B589" s="26"/>
      <c r="C589" s="27"/>
      <c r="D589" s="28"/>
      <c r="E589" s="36"/>
      <c r="F589" s="36"/>
      <c r="G589" s="30" t="str">
        <f t="shared" si="7"/>
        <v/>
      </c>
      <c r="H589" s="37"/>
    </row>
    <row r="590" spans="2:8" ht="18" customHeight="1" x14ac:dyDescent="0.3">
      <c r="B590" s="26"/>
      <c r="C590" s="27"/>
      <c r="D590" s="17"/>
      <c r="E590" s="38"/>
      <c r="F590" s="38"/>
      <c r="G590" s="30" t="str">
        <f t="shared" si="7"/>
        <v/>
      </c>
      <c r="H590" s="39"/>
    </row>
    <row r="591" spans="2:8" ht="18" customHeight="1" x14ac:dyDescent="0.3">
      <c r="B591" s="26"/>
      <c r="C591" s="27"/>
      <c r="D591" s="28"/>
      <c r="E591" s="36"/>
      <c r="F591" s="36"/>
      <c r="G591" s="30" t="str">
        <f t="shared" si="7"/>
        <v/>
      </c>
      <c r="H591" s="37"/>
    </row>
    <row r="592" spans="2:8" ht="18" customHeight="1" x14ac:dyDescent="0.3">
      <c r="B592" s="26"/>
      <c r="C592" s="27"/>
      <c r="D592" s="17"/>
      <c r="E592" s="38"/>
      <c r="F592" s="38"/>
      <c r="G592" s="30" t="str">
        <f t="shared" si="7"/>
        <v/>
      </c>
      <c r="H592" s="39"/>
    </row>
    <row r="593" spans="2:8" ht="18" customHeight="1" x14ac:dyDescent="0.3">
      <c r="B593" s="26"/>
      <c r="C593" s="27"/>
      <c r="D593" s="28"/>
      <c r="E593" s="36"/>
      <c r="F593" s="36"/>
      <c r="G593" s="30" t="str">
        <f t="shared" si="7"/>
        <v/>
      </c>
      <c r="H593" s="37"/>
    </row>
    <row r="594" spans="2:8" ht="18" customHeight="1" x14ac:dyDescent="0.3">
      <c r="B594" s="26"/>
      <c r="C594" s="27"/>
      <c r="D594" s="17"/>
      <c r="E594" s="38"/>
      <c r="F594" s="38"/>
      <c r="G594" s="30" t="str">
        <f t="shared" si="7"/>
        <v/>
      </c>
      <c r="H594" s="39"/>
    </row>
    <row r="595" spans="2:8" ht="18" customHeight="1" x14ac:dyDescent="0.3">
      <c r="B595" s="26"/>
      <c r="C595" s="27"/>
      <c r="D595" s="28"/>
      <c r="E595" s="36"/>
      <c r="F595" s="36"/>
      <c r="G595" s="30" t="str">
        <f t="shared" si="7"/>
        <v/>
      </c>
      <c r="H595" s="37"/>
    </row>
    <row r="596" spans="2:8" ht="18" customHeight="1" x14ac:dyDescent="0.3">
      <c r="B596" s="26"/>
      <c r="C596" s="27"/>
      <c r="D596" s="17"/>
      <c r="E596" s="38"/>
      <c r="F596" s="38"/>
      <c r="G596" s="30" t="str">
        <f t="shared" si="7"/>
        <v/>
      </c>
      <c r="H596" s="39"/>
    </row>
    <row r="597" spans="2:8" ht="18" customHeight="1" x14ac:dyDescent="0.3">
      <c r="B597" s="26"/>
      <c r="C597" s="27"/>
      <c r="D597" s="28"/>
      <c r="E597" s="36"/>
      <c r="F597" s="36"/>
      <c r="G597" s="30" t="str">
        <f t="shared" si="7"/>
        <v/>
      </c>
      <c r="H597" s="37"/>
    </row>
    <row r="598" spans="2:8" ht="18" customHeight="1" x14ac:dyDescent="0.3">
      <c r="B598" s="26"/>
      <c r="C598" s="27"/>
      <c r="D598" s="17"/>
      <c r="E598" s="38"/>
      <c r="F598" s="38"/>
      <c r="G598" s="30" t="str">
        <f t="shared" si="7"/>
        <v/>
      </c>
      <c r="H598" s="39"/>
    </row>
    <row r="599" spans="2:8" ht="18" customHeight="1" x14ac:dyDescent="0.3">
      <c r="B599" s="26"/>
      <c r="C599" s="27"/>
      <c r="D599" s="28"/>
      <c r="E599" s="36"/>
      <c r="F599" s="36"/>
      <c r="G599" s="30" t="str">
        <f t="shared" si="7"/>
        <v/>
      </c>
      <c r="H599" s="37"/>
    </row>
    <row r="600" spans="2:8" ht="18" customHeight="1" x14ac:dyDescent="0.3">
      <c r="B600" s="26"/>
      <c r="C600" s="27"/>
      <c r="D600" s="17"/>
      <c r="E600" s="38"/>
      <c r="F600" s="38"/>
      <c r="G600" s="30" t="str">
        <f t="shared" si="7"/>
        <v/>
      </c>
      <c r="H600" s="39"/>
    </row>
    <row r="601" spans="2:8" ht="18" customHeight="1" x14ac:dyDescent="0.3">
      <c r="B601" s="26"/>
      <c r="C601" s="27"/>
      <c r="D601" s="28"/>
      <c r="E601" s="36"/>
      <c r="F601" s="36"/>
      <c r="G601" s="30" t="str">
        <f t="shared" si="7"/>
        <v/>
      </c>
      <c r="H601" s="37"/>
    </row>
    <row r="602" spans="2:8" ht="18" customHeight="1" x14ac:dyDescent="0.3">
      <c r="B602" s="26"/>
      <c r="C602" s="27"/>
      <c r="D602" s="17"/>
      <c r="E602" s="38"/>
      <c r="F602" s="38"/>
      <c r="G602" s="30" t="str">
        <f t="shared" si="7"/>
        <v/>
      </c>
      <c r="H602" s="39"/>
    </row>
    <row r="603" spans="2:8" ht="18" customHeight="1" x14ac:dyDescent="0.3">
      <c r="B603" s="26"/>
      <c r="C603" s="27"/>
      <c r="D603" s="28"/>
      <c r="E603" s="36"/>
      <c r="F603" s="36"/>
      <c r="G603" s="30" t="str">
        <f t="shared" si="7"/>
        <v/>
      </c>
      <c r="H603" s="37"/>
    </row>
    <row r="604" spans="2:8" ht="18" customHeight="1" x14ac:dyDescent="0.3">
      <c r="B604" s="26"/>
      <c r="C604" s="27"/>
      <c r="D604" s="17"/>
      <c r="E604" s="38"/>
      <c r="F604" s="38"/>
      <c r="G604" s="30" t="str">
        <f t="shared" si="7"/>
        <v/>
      </c>
      <c r="H604" s="39"/>
    </row>
    <row r="605" spans="2:8" ht="18" customHeight="1" x14ac:dyDescent="0.3">
      <c r="B605" s="26"/>
      <c r="C605" s="27"/>
      <c r="D605" s="28"/>
      <c r="E605" s="36"/>
      <c r="F605" s="36"/>
      <c r="G605" s="30" t="str">
        <f t="shared" si="7"/>
        <v/>
      </c>
      <c r="H605" s="37"/>
    </row>
    <row r="606" spans="2:8" ht="18" customHeight="1" x14ac:dyDescent="0.3">
      <c r="B606" s="26"/>
      <c r="C606" s="27"/>
      <c r="D606" s="17"/>
      <c r="E606" s="38"/>
      <c r="F606" s="38"/>
      <c r="G606" s="30" t="str">
        <f t="shared" si="7"/>
        <v/>
      </c>
      <c r="H606" s="39"/>
    </row>
    <row r="607" spans="2:8" ht="18" customHeight="1" x14ac:dyDescent="0.3">
      <c r="B607" s="26"/>
      <c r="C607" s="27"/>
      <c r="D607" s="28"/>
      <c r="E607" s="36"/>
      <c r="F607" s="36"/>
      <c r="G607" s="30" t="str">
        <f t="shared" si="7"/>
        <v/>
      </c>
      <c r="H607" s="37"/>
    </row>
    <row r="608" spans="2:8" ht="18" customHeight="1" x14ac:dyDescent="0.3">
      <c r="B608" s="26"/>
      <c r="C608" s="27"/>
      <c r="D608" s="17"/>
      <c r="E608" s="38"/>
      <c r="F608" s="38"/>
      <c r="G608" s="30" t="str">
        <f t="shared" si="7"/>
        <v/>
      </c>
      <c r="H608" s="39"/>
    </row>
    <row r="609" spans="2:8" ht="18" customHeight="1" x14ac:dyDescent="0.3">
      <c r="B609" s="26"/>
      <c r="C609" s="27"/>
      <c r="D609" s="28"/>
      <c r="E609" s="36"/>
      <c r="F609" s="36"/>
      <c r="G609" s="30" t="str">
        <f t="shared" si="7"/>
        <v/>
      </c>
      <c r="H609" s="37"/>
    </row>
    <row r="610" spans="2:8" ht="18" customHeight="1" x14ac:dyDescent="0.3">
      <c r="B610" s="26"/>
      <c r="C610" s="27"/>
      <c r="D610" s="17"/>
      <c r="E610" s="38"/>
      <c r="F610" s="38"/>
      <c r="G610" s="30" t="str">
        <f t="shared" si="7"/>
        <v/>
      </c>
      <c r="H610" s="39"/>
    </row>
    <row r="611" spans="2:8" ht="18" customHeight="1" x14ac:dyDescent="0.3">
      <c r="B611" s="26"/>
      <c r="C611" s="27"/>
      <c r="D611" s="28"/>
      <c r="E611" s="36"/>
      <c r="F611" s="36"/>
      <c r="G611" s="30" t="str">
        <f t="shared" si="7"/>
        <v/>
      </c>
      <c r="H611" s="37"/>
    </row>
    <row r="612" spans="2:8" ht="18" customHeight="1" x14ac:dyDescent="0.3">
      <c r="B612" s="26"/>
      <c r="C612" s="27"/>
      <c r="D612" s="17"/>
      <c r="E612" s="38"/>
      <c r="F612" s="38"/>
      <c r="G612" s="30" t="str">
        <f t="shared" si="7"/>
        <v/>
      </c>
      <c r="H612" s="39"/>
    </row>
    <row r="613" spans="2:8" ht="18" customHeight="1" x14ac:dyDescent="0.3">
      <c r="B613" s="26"/>
      <c r="C613" s="27"/>
      <c r="D613" s="28"/>
      <c r="E613" s="36"/>
      <c r="F613" s="36"/>
      <c r="G613" s="30" t="str">
        <f t="shared" si="7"/>
        <v/>
      </c>
      <c r="H613" s="37"/>
    </row>
    <row r="614" spans="2:8" ht="18" customHeight="1" x14ac:dyDescent="0.3">
      <c r="B614" s="26"/>
      <c r="C614" s="27"/>
      <c r="D614" s="17"/>
      <c r="E614" s="38"/>
      <c r="F614" s="38"/>
      <c r="G614" s="30" t="str">
        <f t="shared" si="7"/>
        <v/>
      </c>
      <c r="H614" s="39"/>
    </row>
    <row r="615" spans="2:8" ht="18" customHeight="1" x14ac:dyDescent="0.3">
      <c r="B615" s="26"/>
      <c r="C615" s="27"/>
      <c r="D615" s="28"/>
      <c r="E615" s="36"/>
      <c r="F615" s="36"/>
      <c r="G615" s="30" t="str">
        <f t="shared" si="7"/>
        <v/>
      </c>
      <c r="H615" s="37"/>
    </row>
    <row r="616" spans="2:8" ht="18" customHeight="1" x14ac:dyDescent="0.3">
      <c r="B616" s="26"/>
      <c r="C616" s="27"/>
      <c r="D616" s="17"/>
      <c r="E616" s="38"/>
      <c r="F616" s="38"/>
      <c r="G616" s="30" t="str">
        <f t="shared" si="7"/>
        <v/>
      </c>
      <c r="H616" s="39"/>
    </row>
    <row r="617" spans="2:8" ht="18" customHeight="1" x14ac:dyDescent="0.3">
      <c r="B617" s="26"/>
      <c r="C617" s="27"/>
      <c r="D617" s="28"/>
      <c r="E617" s="36"/>
      <c r="F617" s="36"/>
      <c r="G617" s="30" t="str">
        <f t="shared" si="7"/>
        <v/>
      </c>
      <c r="H617" s="37"/>
    </row>
    <row r="618" spans="2:8" ht="18" customHeight="1" x14ac:dyDescent="0.3">
      <c r="B618" s="26"/>
      <c r="C618" s="27"/>
      <c r="D618" s="17"/>
      <c r="E618" s="38"/>
      <c r="F618" s="38"/>
      <c r="G618" s="30" t="str">
        <f t="shared" si="7"/>
        <v/>
      </c>
      <c r="H618" s="39"/>
    </row>
    <row r="619" spans="2:8" ht="18" customHeight="1" x14ac:dyDescent="0.3">
      <c r="B619" s="26"/>
      <c r="C619" s="27"/>
      <c r="D619" s="28"/>
      <c r="E619" s="36"/>
      <c r="F619" s="36"/>
      <c r="G619" s="30" t="str">
        <f t="shared" si="7"/>
        <v/>
      </c>
      <c r="H619" s="37"/>
    </row>
    <row r="620" spans="2:8" ht="18" customHeight="1" x14ac:dyDescent="0.3">
      <c r="B620" s="26"/>
      <c r="C620" s="27"/>
      <c r="D620" s="17"/>
      <c r="E620" s="38"/>
      <c r="F620" s="38"/>
      <c r="G620" s="30" t="str">
        <f t="shared" si="7"/>
        <v/>
      </c>
      <c r="H620" s="39"/>
    </row>
    <row r="621" spans="2:8" ht="18" customHeight="1" x14ac:dyDescent="0.3">
      <c r="B621" s="26"/>
      <c r="C621" s="27"/>
      <c r="D621" s="28"/>
      <c r="E621" s="36"/>
      <c r="F621" s="36"/>
      <c r="G621" s="30" t="str">
        <f t="shared" si="7"/>
        <v/>
      </c>
      <c r="H621" s="37"/>
    </row>
    <row r="622" spans="2:8" ht="18" customHeight="1" x14ac:dyDescent="0.3">
      <c r="B622" s="26"/>
      <c r="C622" s="27"/>
      <c r="D622" s="17"/>
      <c r="E622" s="38"/>
      <c r="F622" s="38"/>
      <c r="G622" s="30" t="str">
        <f t="shared" si="7"/>
        <v/>
      </c>
      <c r="H622" s="39"/>
    </row>
    <row r="623" spans="2:8" ht="18" customHeight="1" x14ac:dyDescent="0.3">
      <c r="B623" s="26"/>
      <c r="C623" s="27"/>
      <c r="D623" s="28"/>
      <c r="E623" s="36"/>
      <c r="F623" s="36"/>
      <c r="G623" s="30" t="str">
        <f t="shared" si="7"/>
        <v/>
      </c>
      <c r="H623" s="37"/>
    </row>
    <row r="624" spans="2:8" ht="18" customHeight="1" x14ac:dyDescent="0.3">
      <c r="B624" s="26"/>
      <c r="C624" s="27"/>
      <c r="D624" s="17"/>
      <c r="E624" s="38"/>
      <c r="F624" s="38"/>
      <c r="G624" s="30" t="str">
        <f t="shared" si="7"/>
        <v/>
      </c>
      <c r="H624" s="39"/>
    </row>
    <row r="625" spans="2:8" ht="18" customHeight="1" x14ac:dyDescent="0.3">
      <c r="B625" s="26"/>
      <c r="C625" s="27"/>
      <c r="D625" s="28"/>
      <c r="E625" s="36"/>
      <c r="F625" s="36"/>
      <c r="G625" s="30" t="str">
        <f t="shared" si="7"/>
        <v/>
      </c>
      <c r="H625" s="37"/>
    </row>
    <row r="626" spans="2:8" ht="18" customHeight="1" x14ac:dyDescent="0.3">
      <c r="B626" s="26"/>
      <c r="C626" s="27"/>
      <c r="D626" s="17"/>
      <c r="E626" s="38"/>
      <c r="F626" s="38"/>
      <c r="G626" s="30" t="str">
        <f t="shared" si="7"/>
        <v/>
      </c>
      <c r="H626" s="39"/>
    </row>
    <row r="627" spans="2:8" ht="18" customHeight="1" x14ac:dyDescent="0.3">
      <c r="B627" s="26"/>
      <c r="C627" s="27"/>
      <c r="D627" s="28"/>
      <c r="E627" s="36"/>
      <c r="F627" s="36"/>
      <c r="G627" s="30" t="str">
        <f t="shared" si="7"/>
        <v/>
      </c>
      <c r="H627" s="37"/>
    </row>
    <row r="628" spans="2:8" ht="18" customHeight="1" x14ac:dyDescent="0.3">
      <c r="B628" s="26"/>
      <c r="C628" s="27"/>
      <c r="D628" s="17"/>
      <c r="E628" s="38"/>
      <c r="F628" s="38"/>
      <c r="G628" s="30" t="str">
        <f t="shared" si="7"/>
        <v/>
      </c>
      <c r="H628" s="39"/>
    </row>
    <row r="629" spans="2:8" ht="18" customHeight="1" x14ac:dyDescent="0.3">
      <c r="B629" s="26"/>
      <c r="C629" s="27"/>
      <c r="D629" s="28"/>
      <c r="E629" s="36"/>
      <c r="F629" s="36"/>
      <c r="G629" s="30" t="str">
        <f t="shared" si="7"/>
        <v/>
      </c>
      <c r="H629" s="37"/>
    </row>
    <row r="630" spans="2:8" ht="18" customHeight="1" x14ac:dyDescent="0.3">
      <c r="B630" s="26"/>
      <c r="C630" s="27"/>
      <c r="D630" s="17"/>
      <c r="E630" s="38"/>
      <c r="F630" s="38"/>
      <c r="G630" s="30" t="str">
        <f t="shared" si="7"/>
        <v/>
      </c>
      <c r="H630" s="39"/>
    </row>
    <row r="631" spans="2:8" ht="18" customHeight="1" x14ac:dyDescent="0.3">
      <c r="B631" s="26"/>
      <c r="C631" s="27"/>
      <c r="D631" s="28"/>
      <c r="E631" s="36"/>
      <c r="F631" s="36"/>
      <c r="G631" s="30" t="str">
        <f t="shared" si="7"/>
        <v/>
      </c>
      <c r="H631" s="37"/>
    </row>
    <row r="632" spans="2:8" ht="18" customHeight="1" x14ac:dyDescent="0.3">
      <c r="B632" s="26"/>
      <c r="C632" s="27"/>
      <c r="D632" s="17"/>
      <c r="E632" s="38"/>
      <c r="F632" s="38"/>
      <c r="G632" s="30" t="str">
        <f t="shared" si="7"/>
        <v/>
      </c>
      <c r="H632" s="39"/>
    </row>
    <row r="633" spans="2:8" ht="18" customHeight="1" x14ac:dyDescent="0.3">
      <c r="B633" s="26"/>
      <c r="C633" s="27"/>
      <c r="D633" s="28"/>
      <c r="E633" s="36"/>
      <c r="F633" s="36"/>
      <c r="G633" s="30" t="str">
        <f t="shared" si="7"/>
        <v/>
      </c>
      <c r="H633" s="37"/>
    </row>
    <row r="634" spans="2:8" ht="18" customHeight="1" x14ac:dyDescent="0.3">
      <c r="B634" s="26"/>
      <c r="C634" s="27"/>
      <c r="D634" s="17"/>
      <c r="E634" s="38"/>
      <c r="F634" s="38"/>
      <c r="G634" s="30" t="str">
        <f t="shared" si="7"/>
        <v/>
      </c>
      <c r="H634" s="39"/>
    </row>
    <row r="635" spans="2:8" ht="18" customHeight="1" x14ac:dyDescent="0.3">
      <c r="B635" s="26"/>
      <c r="C635" s="27"/>
      <c r="D635" s="28"/>
      <c r="E635" s="36"/>
      <c r="F635" s="36"/>
      <c r="G635" s="30" t="str">
        <f t="shared" si="7"/>
        <v/>
      </c>
      <c r="H635" s="37"/>
    </row>
    <row r="636" spans="2:8" ht="18" customHeight="1" x14ac:dyDescent="0.3">
      <c r="B636" s="26"/>
      <c r="C636" s="27"/>
      <c r="D636" s="17"/>
      <c r="E636" s="38"/>
      <c r="F636" s="38"/>
      <c r="G636" s="30" t="str">
        <f t="shared" si="7"/>
        <v/>
      </c>
      <c r="H636" s="39"/>
    </row>
    <row r="637" spans="2:8" ht="18" customHeight="1" x14ac:dyDescent="0.3">
      <c r="B637" s="26"/>
      <c r="C637" s="27"/>
      <c r="D637" s="28"/>
      <c r="E637" s="36"/>
      <c r="F637" s="36"/>
      <c r="G637" s="30" t="str">
        <f t="shared" si="7"/>
        <v/>
      </c>
      <c r="H637" s="37"/>
    </row>
    <row r="638" spans="2:8" ht="18" customHeight="1" x14ac:dyDescent="0.3">
      <c r="B638" s="26"/>
      <c r="C638" s="27"/>
      <c r="D638" s="17"/>
      <c r="E638" s="38"/>
      <c r="F638" s="38"/>
      <c r="G638" s="30" t="str">
        <f t="shared" si="7"/>
        <v/>
      </c>
      <c r="H638" s="39"/>
    </row>
    <row r="639" spans="2:8" ht="18" customHeight="1" x14ac:dyDescent="0.3">
      <c r="B639" s="26"/>
      <c r="C639" s="27"/>
      <c r="D639" s="28"/>
      <c r="E639" s="36"/>
      <c r="F639" s="36"/>
      <c r="G639" s="30" t="str">
        <f t="shared" si="7"/>
        <v/>
      </c>
      <c r="H639" s="37"/>
    </row>
    <row r="640" spans="2:8" ht="18" customHeight="1" x14ac:dyDescent="0.3">
      <c r="B640" s="26"/>
      <c r="C640" s="27"/>
      <c r="D640" s="17"/>
      <c r="E640" s="38"/>
      <c r="F640" s="38"/>
      <c r="G640" s="30" t="str">
        <f t="shared" si="7"/>
        <v/>
      </c>
      <c r="H640" s="39"/>
    </row>
    <row r="641" spans="2:8" ht="18" customHeight="1" x14ac:dyDescent="0.3">
      <c r="B641" s="26"/>
      <c r="C641" s="27"/>
      <c r="D641" s="28"/>
      <c r="E641" s="36"/>
      <c r="F641" s="36"/>
      <c r="G641" s="30" t="str">
        <f t="shared" si="7"/>
        <v/>
      </c>
      <c r="H641" s="37"/>
    </row>
    <row r="642" spans="2:8" ht="18" customHeight="1" x14ac:dyDescent="0.3">
      <c r="B642" s="26"/>
      <c r="C642" s="27"/>
      <c r="D642" s="17"/>
      <c r="E642" s="38"/>
      <c r="F642" s="38"/>
      <c r="G642" s="30" t="str">
        <f t="shared" si="7"/>
        <v/>
      </c>
      <c r="H642" s="39"/>
    </row>
    <row r="643" spans="2:8" ht="18" customHeight="1" x14ac:dyDescent="0.3">
      <c r="B643" s="26"/>
      <c r="C643" s="27"/>
      <c r="D643" s="28"/>
      <c r="E643" s="36"/>
      <c r="F643" s="36"/>
      <c r="G643" s="30" t="str">
        <f t="shared" si="7"/>
        <v/>
      </c>
      <c r="H643" s="37"/>
    </row>
    <row r="644" spans="2:8" ht="18" customHeight="1" x14ac:dyDescent="0.3">
      <c r="B644" s="26"/>
      <c r="C644" s="27"/>
      <c r="D644" s="17"/>
      <c r="E644" s="38"/>
      <c r="F644" s="38"/>
      <c r="G644" s="30" t="str">
        <f t="shared" si="7"/>
        <v/>
      </c>
      <c r="H644" s="39"/>
    </row>
    <row r="645" spans="2:8" ht="18" customHeight="1" x14ac:dyDescent="0.3">
      <c r="B645" s="26"/>
      <c r="C645" s="27"/>
      <c r="D645" s="28"/>
      <c r="E645" s="36"/>
      <c r="F645" s="36"/>
      <c r="G645" s="30" t="str">
        <f t="shared" ref="G645:G708" si="8">IF(OR(B645="",E645=""),"",IF(E645="08:00",8,IF(E645="07:00",8,7)))</f>
        <v/>
      </c>
      <c r="H645" s="37"/>
    </row>
    <row r="646" spans="2:8" ht="18" customHeight="1" x14ac:dyDescent="0.3">
      <c r="B646" s="26"/>
      <c r="C646" s="27"/>
      <c r="D646" s="17"/>
      <c r="E646" s="38"/>
      <c r="F646" s="38"/>
      <c r="G646" s="30" t="str">
        <f t="shared" si="8"/>
        <v/>
      </c>
      <c r="H646" s="39"/>
    </row>
    <row r="647" spans="2:8" ht="18" customHeight="1" x14ac:dyDescent="0.3">
      <c r="B647" s="26"/>
      <c r="C647" s="27"/>
      <c r="D647" s="28"/>
      <c r="E647" s="36"/>
      <c r="F647" s="36"/>
      <c r="G647" s="30" t="str">
        <f t="shared" si="8"/>
        <v/>
      </c>
      <c r="H647" s="37"/>
    </row>
    <row r="648" spans="2:8" ht="18" customHeight="1" x14ac:dyDescent="0.3">
      <c r="B648" s="26"/>
      <c r="C648" s="27"/>
      <c r="D648" s="17"/>
      <c r="E648" s="38"/>
      <c r="F648" s="38"/>
      <c r="G648" s="30" t="str">
        <f t="shared" si="8"/>
        <v/>
      </c>
      <c r="H648" s="39"/>
    </row>
    <row r="649" spans="2:8" ht="18" customHeight="1" x14ac:dyDescent="0.3">
      <c r="B649" s="26"/>
      <c r="C649" s="27"/>
      <c r="D649" s="28"/>
      <c r="E649" s="36"/>
      <c r="F649" s="36"/>
      <c r="G649" s="30" t="str">
        <f t="shared" si="8"/>
        <v/>
      </c>
      <c r="H649" s="37"/>
    </row>
    <row r="650" spans="2:8" ht="18" customHeight="1" x14ac:dyDescent="0.3">
      <c r="B650" s="26"/>
      <c r="C650" s="27"/>
      <c r="D650" s="17"/>
      <c r="E650" s="38"/>
      <c r="F650" s="38"/>
      <c r="G650" s="30" t="str">
        <f t="shared" si="8"/>
        <v/>
      </c>
      <c r="H650" s="39"/>
    </row>
    <row r="651" spans="2:8" ht="18" customHeight="1" x14ac:dyDescent="0.3">
      <c r="B651" s="26"/>
      <c r="C651" s="27"/>
      <c r="D651" s="28"/>
      <c r="E651" s="36"/>
      <c r="F651" s="36"/>
      <c r="G651" s="30" t="str">
        <f t="shared" si="8"/>
        <v/>
      </c>
      <c r="H651" s="37"/>
    </row>
    <row r="652" spans="2:8" ht="18" customHeight="1" x14ac:dyDescent="0.3">
      <c r="B652" s="26"/>
      <c r="C652" s="27"/>
      <c r="D652" s="17"/>
      <c r="E652" s="38"/>
      <c r="F652" s="38"/>
      <c r="G652" s="30" t="str">
        <f t="shared" si="8"/>
        <v/>
      </c>
      <c r="H652" s="39"/>
    </row>
    <row r="653" spans="2:8" ht="18" customHeight="1" x14ac:dyDescent="0.3">
      <c r="B653" s="26"/>
      <c r="C653" s="27"/>
      <c r="D653" s="28"/>
      <c r="E653" s="36"/>
      <c r="F653" s="36"/>
      <c r="G653" s="30" t="str">
        <f t="shared" si="8"/>
        <v/>
      </c>
      <c r="H653" s="37"/>
    </row>
    <row r="654" spans="2:8" ht="18" customHeight="1" x14ac:dyDescent="0.3">
      <c r="B654" s="26"/>
      <c r="C654" s="27"/>
      <c r="D654" s="17"/>
      <c r="E654" s="38"/>
      <c r="F654" s="38"/>
      <c r="G654" s="30" t="str">
        <f t="shared" si="8"/>
        <v/>
      </c>
      <c r="H654" s="39"/>
    </row>
    <row r="655" spans="2:8" ht="18" customHeight="1" x14ac:dyDescent="0.3">
      <c r="B655" s="26"/>
      <c r="C655" s="27"/>
      <c r="D655" s="28"/>
      <c r="E655" s="36"/>
      <c r="F655" s="36"/>
      <c r="G655" s="30" t="str">
        <f t="shared" si="8"/>
        <v/>
      </c>
      <c r="H655" s="37"/>
    </row>
    <row r="656" spans="2:8" ht="18" customHeight="1" x14ac:dyDescent="0.3">
      <c r="B656" s="26"/>
      <c r="C656" s="27"/>
      <c r="D656" s="17"/>
      <c r="E656" s="38"/>
      <c r="F656" s="38"/>
      <c r="G656" s="30" t="str">
        <f t="shared" si="8"/>
        <v/>
      </c>
      <c r="H656" s="39"/>
    </row>
    <row r="657" spans="2:8" ht="18" customHeight="1" x14ac:dyDescent="0.3">
      <c r="B657" s="26"/>
      <c r="C657" s="27"/>
      <c r="D657" s="28"/>
      <c r="E657" s="36"/>
      <c r="F657" s="36"/>
      <c r="G657" s="30" t="str">
        <f t="shared" si="8"/>
        <v/>
      </c>
      <c r="H657" s="37"/>
    </row>
    <row r="658" spans="2:8" ht="18" customHeight="1" x14ac:dyDescent="0.3">
      <c r="B658" s="26"/>
      <c r="C658" s="27"/>
      <c r="D658" s="17"/>
      <c r="E658" s="38"/>
      <c r="F658" s="38"/>
      <c r="G658" s="30" t="str">
        <f t="shared" si="8"/>
        <v/>
      </c>
      <c r="H658" s="39"/>
    </row>
    <row r="659" spans="2:8" ht="18" customHeight="1" x14ac:dyDescent="0.3">
      <c r="B659" s="26"/>
      <c r="C659" s="27"/>
      <c r="D659" s="28"/>
      <c r="E659" s="36"/>
      <c r="F659" s="36"/>
      <c r="G659" s="30" t="str">
        <f t="shared" si="8"/>
        <v/>
      </c>
      <c r="H659" s="37"/>
    </row>
    <row r="660" spans="2:8" ht="18" customHeight="1" x14ac:dyDescent="0.3">
      <c r="B660" s="26"/>
      <c r="C660" s="27"/>
      <c r="D660" s="17"/>
      <c r="E660" s="38"/>
      <c r="F660" s="38"/>
      <c r="G660" s="30" t="str">
        <f t="shared" si="8"/>
        <v/>
      </c>
      <c r="H660" s="39"/>
    </row>
    <row r="661" spans="2:8" ht="18" customHeight="1" x14ac:dyDescent="0.3">
      <c r="B661" s="26"/>
      <c r="C661" s="27"/>
      <c r="D661" s="28"/>
      <c r="E661" s="36"/>
      <c r="F661" s="36"/>
      <c r="G661" s="30" t="str">
        <f t="shared" si="8"/>
        <v/>
      </c>
      <c r="H661" s="37"/>
    </row>
    <row r="662" spans="2:8" ht="18" customHeight="1" x14ac:dyDescent="0.3">
      <c r="B662" s="26"/>
      <c r="C662" s="27"/>
      <c r="D662" s="17"/>
      <c r="E662" s="38"/>
      <c r="F662" s="38"/>
      <c r="G662" s="30" t="str">
        <f t="shared" si="8"/>
        <v/>
      </c>
      <c r="H662" s="39"/>
    </row>
    <row r="663" spans="2:8" ht="18" customHeight="1" x14ac:dyDescent="0.3">
      <c r="B663" s="26"/>
      <c r="C663" s="27"/>
      <c r="D663" s="28"/>
      <c r="E663" s="36"/>
      <c r="F663" s="36"/>
      <c r="G663" s="30" t="str">
        <f t="shared" si="8"/>
        <v/>
      </c>
      <c r="H663" s="37"/>
    </row>
    <row r="664" spans="2:8" ht="18" customHeight="1" x14ac:dyDescent="0.3">
      <c r="B664" s="26"/>
      <c r="C664" s="27"/>
      <c r="D664" s="17"/>
      <c r="E664" s="38"/>
      <c r="F664" s="38"/>
      <c r="G664" s="30" t="str">
        <f t="shared" si="8"/>
        <v/>
      </c>
      <c r="H664" s="39"/>
    </row>
    <row r="665" spans="2:8" ht="18" customHeight="1" x14ac:dyDescent="0.3">
      <c r="B665" s="26"/>
      <c r="C665" s="27"/>
      <c r="D665" s="28"/>
      <c r="E665" s="36"/>
      <c r="F665" s="36"/>
      <c r="G665" s="30" t="str">
        <f t="shared" si="8"/>
        <v/>
      </c>
      <c r="H665" s="37"/>
    </row>
    <row r="666" spans="2:8" ht="18" customHeight="1" x14ac:dyDescent="0.3">
      <c r="B666" s="26"/>
      <c r="C666" s="27"/>
      <c r="D666" s="17"/>
      <c r="E666" s="38"/>
      <c r="F666" s="38"/>
      <c r="G666" s="30" t="str">
        <f t="shared" si="8"/>
        <v/>
      </c>
      <c r="H666" s="39"/>
    </row>
    <row r="667" spans="2:8" ht="18" customHeight="1" x14ac:dyDescent="0.3">
      <c r="B667" s="26"/>
      <c r="C667" s="27"/>
      <c r="D667" s="28"/>
      <c r="E667" s="36"/>
      <c r="F667" s="36"/>
      <c r="G667" s="30" t="str">
        <f t="shared" si="8"/>
        <v/>
      </c>
      <c r="H667" s="37"/>
    </row>
    <row r="668" spans="2:8" ht="18" customHeight="1" x14ac:dyDescent="0.3">
      <c r="B668" s="26"/>
      <c r="C668" s="27"/>
      <c r="D668" s="17"/>
      <c r="E668" s="38"/>
      <c r="F668" s="38"/>
      <c r="G668" s="30" t="str">
        <f t="shared" si="8"/>
        <v/>
      </c>
      <c r="H668" s="39"/>
    </row>
    <row r="669" spans="2:8" ht="18" customHeight="1" x14ac:dyDescent="0.3">
      <c r="B669" s="26"/>
      <c r="C669" s="27"/>
      <c r="D669" s="28"/>
      <c r="E669" s="36"/>
      <c r="F669" s="36"/>
      <c r="G669" s="30" t="str">
        <f t="shared" si="8"/>
        <v/>
      </c>
      <c r="H669" s="37"/>
    </row>
    <row r="670" spans="2:8" ht="18" customHeight="1" x14ac:dyDescent="0.3">
      <c r="B670" s="26"/>
      <c r="C670" s="27"/>
      <c r="D670" s="17"/>
      <c r="E670" s="38"/>
      <c r="F670" s="38"/>
      <c r="G670" s="30" t="str">
        <f t="shared" si="8"/>
        <v/>
      </c>
      <c r="H670" s="39"/>
    </row>
    <row r="671" spans="2:8" ht="18" customHeight="1" x14ac:dyDescent="0.3">
      <c r="B671" s="26"/>
      <c r="C671" s="27"/>
      <c r="D671" s="28"/>
      <c r="E671" s="36"/>
      <c r="F671" s="36"/>
      <c r="G671" s="30" t="str">
        <f t="shared" si="8"/>
        <v/>
      </c>
      <c r="H671" s="37"/>
    </row>
    <row r="672" spans="2:8" ht="18" customHeight="1" x14ac:dyDescent="0.3">
      <c r="B672" s="26"/>
      <c r="C672" s="27"/>
      <c r="D672" s="17"/>
      <c r="E672" s="38"/>
      <c r="F672" s="38"/>
      <c r="G672" s="30" t="str">
        <f t="shared" si="8"/>
        <v/>
      </c>
      <c r="H672" s="39"/>
    </row>
    <row r="673" spans="2:8" ht="18" customHeight="1" x14ac:dyDescent="0.3">
      <c r="B673" s="26"/>
      <c r="C673" s="27"/>
      <c r="D673" s="28"/>
      <c r="E673" s="36"/>
      <c r="F673" s="36"/>
      <c r="G673" s="30" t="str">
        <f t="shared" si="8"/>
        <v/>
      </c>
      <c r="H673" s="37"/>
    </row>
    <row r="674" spans="2:8" ht="18" customHeight="1" x14ac:dyDescent="0.3">
      <c r="B674" s="26"/>
      <c r="C674" s="27"/>
      <c r="D674" s="17"/>
      <c r="E674" s="38"/>
      <c r="F674" s="38"/>
      <c r="G674" s="30" t="str">
        <f t="shared" si="8"/>
        <v/>
      </c>
      <c r="H674" s="39"/>
    </row>
    <row r="675" spans="2:8" ht="18" customHeight="1" x14ac:dyDescent="0.3">
      <c r="B675" s="26"/>
      <c r="C675" s="27"/>
      <c r="D675" s="28"/>
      <c r="E675" s="36"/>
      <c r="F675" s="36"/>
      <c r="G675" s="30" t="str">
        <f t="shared" si="8"/>
        <v/>
      </c>
      <c r="H675" s="37"/>
    </row>
    <row r="676" spans="2:8" ht="18" customHeight="1" x14ac:dyDescent="0.3">
      <c r="B676" s="26"/>
      <c r="C676" s="27"/>
      <c r="D676" s="17"/>
      <c r="E676" s="38"/>
      <c r="F676" s="38"/>
      <c r="G676" s="30" t="str">
        <f t="shared" si="8"/>
        <v/>
      </c>
      <c r="H676" s="39"/>
    </row>
    <row r="677" spans="2:8" ht="18" customHeight="1" x14ac:dyDescent="0.3">
      <c r="B677" s="26"/>
      <c r="C677" s="27"/>
      <c r="D677" s="28"/>
      <c r="E677" s="36"/>
      <c r="F677" s="36"/>
      <c r="G677" s="30" t="str">
        <f t="shared" si="8"/>
        <v/>
      </c>
      <c r="H677" s="37"/>
    </row>
    <row r="678" spans="2:8" ht="18" customHeight="1" x14ac:dyDescent="0.3">
      <c r="B678" s="26"/>
      <c r="C678" s="27"/>
      <c r="D678" s="17"/>
      <c r="E678" s="38"/>
      <c r="F678" s="38"/>
      <c r="G678" s="30" t="str">
        <f t="shared" si="8"/>
        <v/>
      </c>
      <c r="H678" s="39"/>
    </row>
    <row r="679" spans="2:8" ht="18" customHeight="1" x14ac:dyDescent="0.3">
      <c r="B679" s="26"/>
      <c r="C679" s="27"/>
      <c r="D679" s="28"/>
      <c r="E679" s="36"/>
      <c r="F679" s="36"/>
      <c r="G679" s="30" t="str">
        <f t="shared" si="8"/>
        <v/>
      </c>
      <c r="H679" s="37"/>
    </row>
    <row r="680" spans="2:8" ht="18" customHeight="1" x14ac:dyDescent="0.3">
      <c r="B680" s="26"/>
      <c r="C680" s="27"/>
      <c r="D680" s="17"/>
      <c r="E680" s="38"/>
      <c r="F680" s="38"/>
      <c r="G680" s="30" t="str">
        <f t="shared" si="8"/>
        <v/>
      </c>
      <c r="H680" s="39"/>
    </row>
    <row r="681" spans="2:8" ht="18" customHeight="1" x14ac:dyDescent="0.3">
      <c r="B681" s="26"/>
      <c r="C681" s="27"/>
      <c r="D681" s="28"/>
      <c r="E681" s="36"/>
      <c r="F681" s="36"/>
      <c r="G681" s="30" t="str">
        <f t="shared" si="8"/>
        <v/>
      </c>
      <c r="H681" s="37"/>
    </row>
    <row r="682" spans="2:8" ht="18" customHeight="1" x14ac:dyDescent="0.3">
      <c r="B682" s="26"/>
      <c r="C682" s="27"/>
      <c r="D682" s="17"/>
      <c r="E682" s="38"/>
      <c r="F682" s="38"/>
      <c r="G682" s="30" t="str">
        <f t="shared" si="8"/>
        <v/>
      </c>
      <c r="H682" s="39"/>
    </row>
    <row r="683" spans="2:8" ht="18" customHeight="1" x14ac:dyDescent="0.3">
      <c r="B683" s="26"/>
      <c r="C683" s="27"/>
      <c r="D683" s="28"/>
      <c r="E683" s="36"/>
      <c r="F683" s="36"/>
      <c r="G683" s="30" t="str">
        <f t="shared" si="8"/>
        <v/>
      </c>
      <c r="H683" s="37"/>
    </row>
    <row r="684" spans="2:8" ht="18" customHeight="1" x14ac:dyDescent="0.3">
      <c r="B684" s="26"/>
      <c r="C684" s="27"/>
      <c r="D684" s="17"/>
      <c r="E684" s="38"/>
      <c r="F684" s="38"/>
      <c r="G684" s="30" t="str">
        <f t="shared" si="8"/>
        <v/>
      </c>
      <c r="H684" s="39"/>
    </row>
    <row r="685" spans="2:8" ht="18" customHeight="1" x14ac:dyDescent="0.3">
      <c r="B685" s="26"/>
      <c r="C685" s="27"/>
      <c r="D685" s="28"/>
      <c r="E685" s="36"/>
      <c r="F685" s="36"/>
      <c r="G685" s="30" t="str">
        <f t="shared" si="8"/>
        <v/>
      </c>
      <c r="H685" s="37"/>
    </row>
    <row r="686" spans="2:8" ht="18" customHeight="1" x14ac:dyDescent="0.3">
      <c r="B686" s="26"/>
      <c r="C686" s="27"/>
      <c r="D686" s="17"/>
      <c r="E686" s="38"/>
      <c r="F686" s="38"/>
      <c r="G686" s="30" t="str">
        <f t="shared" si="8"/>
        <v/>
      </c>
      <c r="H686" s="39"/>
    </row>
    <row r="687" spans="2:8" ht="18" customHeight="1" x14ac:dyDescent="0.3">
      <c r="B687" s="26"/>
      <c r="C687" s="27"/>
      <c r="D687" s="28"/>
      <c r="E687" s="36"/>
      <c r="F687" s="36"/>
      <c r="G687" s="30" t="str">
        <f t="shared" si="8"/>
        <v/>
      </c>
      <c r="H687" s="37"/>
    </row>
    <row r="688" spans="2:8" ht="18" customHeight="1" x14ac:dyDescent="0.3">
      <c r="B688" s="26"/>
      <c r="C688" s="27"/>
      <c r="D688" s="17"/>
      <c r="E688" s="38"/>
      <c r="F688" s="38"/>
      <c r="G688" s="30" t="str">
        <f t="shared" si="8"/>
        <v/>
      </c>
      <c r="H688" s="39"/>
    </row>
    <row r="689" spans="2:8" ht="18" customHeight="1" x14ac:dyDescent="0.3">
      <c r="B689" s="26"/>
      <c r="C689" s="27"/>
      <c r="D689" s="28"/>
      <c r="E689" s="36"/>
      <c r="F689" s="36"/>
      <c r="G689" s="30" t="str">
        <f t="shared" si="8"/>
        <v/>
      </c>
      <c r="H689" s="37"/>
    </row>
    <row r="690" spans="2:8" ht="18" customHeight="1" x14ac:dyDescent="0.3">
      <c r="B690" s="26"/>
      <c r="C690" s="27"/>
      <c r="D690" s="17"/>
      <c r="E690" s="38"/>
      <c r="F690" s="38"/>
      <c r="G690" s="30" t="str">
        <f t="shared" si="8"/>
        <v/>
      </c>
      <c r="H690" s="39"/>
    </row>
    <row r="691" spans="2:8" ht="18" customHeight="1" x14ac:dyDescent="0.3">
      <c r="B691" s="26"/>
      <c r="C691" s="27"/>
      <c r="D691" s="28"/>
      <c r="E691" s="36"/>
      <c r="F691" s="36"/>
      <c r="G691" s="30" t="str">
        <f t="shared" si="8"/>
        <v/>
      </c>
      <c r="H691" s="37"/>
    </row>
    <row r="692" spans="2:8" ht="18" customHeight="1" x14ac:dyDescent="0.3">
      <c r="B692" s="26"/>
      <c r="C692" s="27"/>
      <c r="D692" s="17"/>
      <c r="E692" s="38"/>
      <c r="F692" s="38"/>
      <c r="G692" s="30" t="str">
        <f t="shared" si="8"/>
        <v/>
      </c>
      <c r="H692" s="39"/>
    </row>
    <row r="693" spans="2:8" ht="18" customHeight="1" x14ac:dyDescent="0.3">
      <c r="B693" s="26"/>
      <c r="C693" s="27"/>
      <c r="D693" s="28"/>
      <c r="E693" s="36"/>
      <c r="F693" s="36"/>
      <c r="G693" s="30" t="str">
        <f t="shared" si="8"/>
        <v/>
      </c>
      <c r="H693" s="37"/>
    </row>
    <row r="694" spans="2:8" ht="18" customHeight="1" x14ac:dyDescent="0.3">
      <c r="B694" s="26"/>
      <c r="C694" s="27"/>
      <c r="D694" s="17"/>
      <c r="E694" s="38"/>
      <c r="F694" s="38"/>
      <c r="G694" s="30" t="str">
        <f t="shared" si="8"/>
        <v/>
      </c>
      <c r="H694" s="39"/>
    </row>
    <row r="695" spans="2:8" ht="18" customHeight="1" x14ac:dyDescent="0.3">
      <c r="B695" s="26"/>
      <c r="C695" s="27"/>
      <c r="D695" s="28"/>
      <c r="E695" s="36"/>
      <c r="F695" s="36"/>
      <c r="G695" s="30" t="str">
        <f t="shared" si="8"/>
        <v/>
      </c>
      <c r="H695" s="37"/>
    </row>
    <row r="696" spans="2:8" ht="18" customHeight="1" x14ac:dyDescent="0.3">
      <c r="B696" s="26"/>
      <c r="C696" s="27"/>
      <c r="D696" s="17"/>
      <c r="E696" s="38"/>
      <c r="F696" s="38"/>
      <c r="G696" s="30" t="str">
        <f t="shared" si="8"/>
        <v/>
      </c>
      <c r="H696" s="39"/>
    </row>
    <row r="697" spans="2:8" ht="18" customHeight="1" x14ac:dyDescent="0.3">
      <c r="B697" s="26"/>
      <c r="C697" s="27"/>
      <c r="D697" s="28"/>
      <c r="E697" s="36"/>
      <c r="F697" s="36"/>
      <c r="G697" s="30" t="str">
        <f t="shared" si="8"/>
        <v/>
      </c>
      <c r="H697" s="37"/>
    </row>
    <row r="698" spans="2:8" ht="18" customHeight="1" x14ac:dyDescent="0.3">
      <c r="B698" s="26"/>
      <c r="C698" s="27"/>
      <c r="D698" s="17"/>
      <c r="E698" s="38"/>
      <c r="F698" s="38"/>
      <c r="G698" s="30" t="str">
        <f t="shared" si="8"/>
        <v/>
      </c>
      <c r="H698" s="39"/>
    </row>
    <row r="699" spans="2:8" ht="18" customHeight="1" x14ac:dyDescent="0.3">
      <c r="B699" s="26"/>
      <c r="C699" s="27"/>
      <c r="D699" s="28"/>
      <c r="E699" s="36"/>
      <c r="F699" s="36"/>
      <c r="G699" s="30" t="str">
        <f t="shared" si="8"/>
        <v/>
      </c>
      <c r="H699" s="37"/>
    </row>
    <row r="700" spans="2:8" ht="18" customHeight="1" x14ac:dyDescent="0.3">
      <c r="B700" s="26"/>
      <c r="C700" s="27"/>
      <c r="D700" s="17"/>
      <c r="E700" s="38"/>
      <c r="F700" s="38"/>
      <c r="G700" s="30" t="str">
        <f t="shared" si="8"/>
        <v/>
      </c>
      <c r="H700" s="39"/>
    </row>
    <row r="701" spans="2:8" ht="18" customHeight="1" x14ac:dyDescent="0.3">
      <c r="B701" s="26"/>
      <c r="C701" s="27"/>
      <c r="D701" s="28"/>
      <c r="E701" s="36"/>
      <c r="F701" s="36"/>
      <c r="G701" s="30" t="str">
        <f t="shared" si="8"/>
        <v/>
      </c>
      <c r="H701" s="37"/>
    </row>
    <row r="702" spans="2:8" ht="18" customHeight="1" x14ac:dyDescent="0.3">
      <c r="B702" s="26"/>
      <c r="C702" s="27"/>
      <c r="D702" s="17"/>
      <c r="E702" s="38"/>
      <c r="F702" s="38"/>
      <c r="G702" s="30" t="str">
        <f t="shared" si="8"/>
        <v/>
      </c>
      <c r="H702" s="39"/>
    </row>
    <row r="703" spans="2:8" ht="18" customHeight="1" x14ac:dyDescent="0.3">
      <c r="B703" s="26"/>
      <c r="C703" s="27"/>
      <c r="D703" s="28"/>
      <c r="E703" s="36"/>
      <c r="F703" s="36"/>
      <c r="G703" s="30" t="str">
        <f t="shared" si="8"/>
        <v/>
      </c>
      <c r="H703" s="37"/>
    </row>
    <row r="704" spans="2:8" ht="18" customHeight="1" x14ac:dyDescent="0.3">
      <c r="B704" s="26"/>
      <c r="C704" s="27"/>
      <c r="D704" s="17"/>
      <c r="E704" s="38"/>
      <c r="F704" s="38"/>
      <c r="G704" s="30" t="str">
        <f t="shared" si="8"/>
        <v/>
      </c>
      <c r="H704" s="39"/>
    </row>
    <row r="705" spans="2:8" ht="18" customHeight="1" x14ac:dyDescent="0.3">
      <c r="B705" s="26"/>
      <c r="C705" s="27"/>
      <c r="D705" s="28"/>
      <c r="E705" s="36"/>
      <c r="F705" s="36"/>
      <c r="G705" s="30" t="str">
        <f t="shared" si="8"/>
        <v/>
      </c>
      <c r="H705" s="37"/>
    </row>
    <row r="706" spans="2:8" ht="18" customHeight="1" x14ac:dyDescent="0.3">
      <c r="B706" s="26"/>
      <c r="C706" s="27"/>
      <c r="D706" s="17"/>
      <c r="E706" s="38"/>
      <c r="F706" s="38"/>
      <c r="G706" s="30" t="str">
        <f t="shared" si="8"/>
        <v/>
      </c>
      <c r="H706" s="39"/>
    </row>
    <row r="707" spans="2:8" ht="18" customHeight="1" x14ac:dyDescent="0.3">
      <c r="B707" s="26"/>
      <c r="C707" s="27"/>
      <c r="D707" s="28"/>
      <c r="E707" s="36"/>
      <c r="F707" s="36"/>
      <c r="G707" s="30" t="str">
        <f t="shared" si="8"/>
        <v/>
      </c>
      <c r="H707" s="37"/>
    </row>
    <row r="708" spans="2:8" ht="18" customHeight="1" x14ac:dyDescent="0.3">
      <c r="B708" s="26"/>
      <c r="C708" s="27"/>
      <c r="D708" s="17"/>
      <c r="E708" s="38"/>
      <c r="F708" s="38"/>
      <c r="G708" s="30" t="str">
        <f t="shared" si="8"/>
        <v/>
      </c>
      <c r="H708" s="39"/>
    </row>
    <row r="709" spans="2:8" ht="18" customHeight="1" x14ac:dyDescent="0.3">
      <c r="B709" s="26"/>
      <c r="C709" s="27"/>
      <c r="D709" s="28"/>
      <c r="E709" s="36"/>
      <c r="F709" s="36"/>
      <c r="G709" s="30" t="str">
        <f t="shared" ref="G709:G772" si="9">IF(OR(B709="",E709=""),"",IF(E709="08:00",8,IF(E709="07:00",8,7)))</f>
        <v/>
      </c>
      <c r="H709" s="37"/>
    </row>
    <row r="710" spans="2:8" ht="18" customHeight="1" x14ac:dyDescent="0.3">
      <c r="B710" s="26"/>
      <c r="C710" s="27"/>
      <c r="D710" s="17"/>
      <c r="E710" s="38"/>
      <c r="F710" s="38"/>
      <c r="G710" s="30" t="str">
        <f t="shared" si="9"/>
        <v/>
      </c>
      <c r="H710" s="39"/>
    </row>
    <row r="711" spans="2:8" ht="18" customHeight="1" x14ac:dyDescent="0.3">
      <c r="B711" s="26"/>
      <c r="C711" s="27"/>
      <c r="D711" s="28"/>
      <c r="E711" s="36"/>
      <c r="F711" s="36"/>
      <c r="G711" s="30" t="str">
        <f t="shared" si="9"/>
        <v/>
      </c>
      <c r="H711" s="37"/>
    </row>
    <row r="712" spans="2:8" ht="18" customHeight="1" x14ac:dyDescent="0.3">
      <c r="B712" s="26"/>
      <c r="C712" s="27"/>
      <c r="D712" s="17"/>
      <c r="E712" s="38"/>
      <c r="F712" s="38"/>
      <c r="G712" s="30" t="str">
        <f t="shared" si="9"/>
        <v/>
      </c>
      <c r="H712" s="39"/>
    </row>
    <row r="713" spans="2:8" ht="18" customHeight="1" x14ac:dyDescent="0.3">
      <c r="B713" s="26"/>
      <c r="C713" s="27"/>
      <c r="D713" s="28"/>
      <c r="E713" s="36"/>
      <c r="F713" s="36"/>
      <c r="G713" s="30" t="str">
        <f t="shared" si="9"/>
        <v/>
      </c>
      <c r="H713" s="37"/>
    </row>
    <row r="714" spans="2:8" ht="18" customHeight="1" x14ac:dyDescent="0.3">
      <c r="B714" s="26"/>
      <c r="C714" s="27"/>
      <c r="D714" s="17"/>
      <c r="E714" s="38"/>
      <c r="F714" s="38"/>
      <c r="G714" s="30" t="str">
        <f t="shared" si="9"/>
        <v/>
      </c>
      <c r="H714" s="39"/>
    </row>
    <row r="715" spans="2:8" ht="18" customHeight="1" x14ac:dyDescent="0.3">
      <c r="B715" s="26"/>
      <c r="C715" s="27"/>
      <c r="D715" s="28"/>
      <c r="E715" s="36"/>
      <c r="F715" s="36"/>
      <c r="G715" s="30" t="str">
        <f t="shared" si="9"/>
        <v/>
      </c>
      <c r="H715" s="37"/>
    </row>
    <row r="716" spans="2:8" ht="18" customHeight="1" x14ac:dyDescent="0.3">
      <c r="B716" s="26"/>
      <c r="C716" s="27"/>
      <c r="D716" s="17"/>
      <c r="E716" s="38"/>
      <c r="F716" s="38"/>
      <c r="G716" s="30" t="str">
        <f t="shared" si="9"/>
        <v/>
      </c>
      <c r="H716" s="39"/>
    </row>
    <row r="717" spans="2:8" ht="18" customHeight="1" x14ac:dyDescent="0.3">
      <c r="B717" s="26"/>
      <c r="C717" s="27"/>
      <c r="D717" s="28"/>
      <c r="E717" s="36"/>
      <c r="F717" s="36"/>
      <c r="G717" s="30" t="str">
        <f t="shared" si="9"/>
        <v/>
      </c>
      <c r="H717" s="37"/>
    </row>
    <row r="718" spans="2:8" ht="18" customHeight="1" x14ac:dyDescent="0.3">
      <c r="B718" s="26"/>
      <c r="C718" s="27"/>
      <c r="D718" s="17"/>
      <c r="E718" s="38"/>
      <c r="F718" s="38"/>
      <c r="G718" s="30" t="str">
        <f t="shared" si="9"/>
        <v/>
      </c>
      <c r="H718" s="39"/>
    </row>
    <row r="719" spans="2:8" ht="18" customHeight="1" x14ac:dyDescent="0.3">
      <c r="B719" s="26"/>
      <c r="C719" s="27"/>
      <c r="D719" s="28"/>
      <c r="E719" s="36"/>
      <c r="F719" s="36"/>
      <c r="G719" s="30" t="str">
        <f t="shared" si="9"/>
        <v/>
      </c>
      <c r="H719" s="37"/>
    </row>
    <row r="720" spans="2:8" ht="18" customHeight="1" x14ac:dyDescent="0.3">
      <c r="B720" s="26"/>
      <c r="C720" s="27"/>
      <c r="D720" s="17"/>
      <c r="E720" s="38"/>
      <c r="F720" s="38"/>
      <c r="G720" s="30" t="str">
        <f t="shared" si="9"/>
        <v/>
      </c>
      <c r="H720" s="39"/>
    </row>
    <row r="721" spans="2:8" ht="18" customHeight="1" x14ac:dyDescent="0.3">
      <c r="B721" s="26"/>
      <c r="C721" s="27"/>
      <c r="D721" s="28"/>
      <c r="E721" s="36"/>
      <c r="F721" s="36"/>
      <c r="G721" s="30" t="str">
        <f t="shared" si="9"/>
        <v/>
      </c>
      <c r="H721" s="37"/>
    </row>
    <row r="722" spans="2:8" ht="18" customHeight="1" x14ac:dyDescent="0.3">
      <c r="B722" s="26"/>
      <c r="C722" s="27"/>
      <c r="D722" s="17"/>
      <c r="E722" s="38"/>
      <c r="F722" s="38"/>
      <c r="G722" s="30" t="str">
        <f t="shared" si="9"/>
        <v/>
      </c>
      <c r="H722" s="39"/>
    </row>
    <row r="723" spans="2:8" ht="18" customHeight="1" x14ac:dyDescent="0.3">
      <c r="B723" s="26"/>
      <c r="C723" s="27"/>
      <c r="D723" s="28"/>
      <c r="E723" s="36"/>
      <c r="F723" s="36"/>
      <c r="G723" s="30" t="str">
        <f t="shared" si="9"/>
        <v/>
      </c>
      <c r="H723" s="37"/>
    </row>
    <row r="724" spans="2:8" ht="18" customHeight="1" x14ac:dyDescent="0.3">
      <c r="B724" s="26"/>
      <c r="C724" s="27"/>
      <c r="D724" s="17"/>
      <c r="E724" s="38"/>
      <c r="F724" s="38"/>
      <c r="G724" s="30" t="str">
        <f t="shared" si="9"/>
        <v/>
      </c>
      <c r="H724" s="39"/>
    </row>
    <row r="725" spans="2:8" ht="18" customHeight="1" x14ac:dyDescent="0.3">
      <c r="B725" s="26"/>
      <c r="C725" s="27"/>
      <c r="D725" s="28"/>
      <c r="E725" s="36"/>
      <c r="F725" s="36"/>
      <c r="G725" s="30" t="str">
        <f t="shared" si="9"/>
        <v/>
      </c>
      <c r="H725" s="37"/>
    </row>
    <row r="726" spans="2:8" ht="18" customHeight="1" x14ac:dyDescent="0.3">
      <c r="B726" s="26"/>
      <c r="C726" s="27"/>
      <c r="D726" s="17"/>
      <c r="E726" s="38"/>
      <c r="F726" s="38"/>
      <c r="G726" s="30" t="str">
        <f t="shared" si="9"/>
        <v/>
      </c>
      <c r="H726" s="39"/>
    </row>
    <row r="727" spans="2:8" ht="18" customHeight="1" x14ac:dyDescent="0.3">
      <c r="B727" s="26"/>
      <c r="C727" s="27"/>
      <c r="D727" s="28"/>
      <c r="E727" s="36"/>
      <c r="F727" s="36"/>
      <c r="G727" s="30" t="str">
        <f t="shared" si="9"/>
        <v/>
      </c>
      <c r="H727" s="37"/>
    </row>
    <row r="728" spans="2:8" ht="18" customHeight="1" x14ac:dyDescent="0.3">
      <c r="B728" s="26"/>
      <c r="C728" s="27"/>
      <c r="D728" s="17"/>
      <c r="E728" s="38"/>
      <c r="F728" s="38"/>
      <c r="G728" s="30" t="str">
        <f t="shared" si="9"/>
        <v/>
      </c>
      <c r="H728" s="39"/>
    </row>
    <row r="729" spans="2:8" ht="18" customHeight="1" x14ac:dyDescent="0.3">
      <c r="B729" s="26"/>
      <c r="C729" s="27"/>
      <c r="D729" s="28"/>
      <c r="E729" s="36"/>
      <c r="F729" s="36"/>
      <c r="G729" s="30" t="str">
        <f t="shared" si="9"/>
        <v/>
      </c>
      <c r="H729" s="37"/>
    </row>
    <row r="730" spans="2:8" ht="18" customHeight="1" x14ac:dyDescent="0.3">
      <c r="B730" s="26"/>
      <c r="C730" s="27"/>
      <c r="D730" s="17"/>
      <c r="E730" s="38"/>
      <c r="F730" s="38"/>
      <c r="G730" s="30" t="str">
        <f t="shared" si="9"/>
        <v/>
      </c>
      <c r="H730" s="39"/>
    </row>
    <row r="731" spans="2:8" ht="18" customHeight="1" x14ac:dyDescent="0.3">
      <c r="B731" s="26"/>
      <c r="C731" s="27"/>
      <c r="D731" s="28"/>
      <c r="E731" s="36"/>
      <c r="F731" s="36"/>
      <c r="G731" s="30" t="str">
        <f t="shared" si="9"/>
        <v/>
      </c>
      <c r="H731" s="37"/>
    </row>
    <row r="732" spans="2:8" ht="18" customHeight="1" x14ac:dyDescent="0.3">
      <c r="B732" s="26"/>
      <c r="C732" s="27"/>
      <c r="D732" s="17"/>
      <c r="E732" s="38"/>
      <c r="F732" s="38"/>
      <c r="G732" s="30" t="str">
        <f t="shared" si="9"/>
        <v/>
      </c>
      <c r="H732" s="39"/>
    </row>
    <row r="733" spans="2:8" ht="18" customHeight="1" x14ac:dyDescent="0.3">
      <c r="B733" s="26"/>
      <c r="C733" s="27"/>
      <c r="D733" s="28"/>
      <c r="E733" s="36"/>
      <c r="F733" s="36"/>
      <c r="G733" s="30" t="str">
        <f t="shared" si="9"/>
        <v/>
      </c>
      <c r="H733" s="37"/>
    </row>
    <row r="734" spans="2:8" ht="18" customHeight="1" x14ac:dyDescent="0.3">
      <c r="B734" s="26"/>
      <c r="C734" s="27"/>
      <c r="D734" s="17"/>
      <c r="E734" s="38"/>
      <c r="F734" s="38"/>
      <c r="G734" s="30" t="str">
        <f t="shared" si="9"/>
        <v/>
      </c>
      <c r="H734" s="39"/>
    </row>
    <row r="735" spans="2:8" ht="18" customHeight="1" x14ac:dyDescent="0.3">
      <c r="B735" s="26"/>
      <c r="C735" s="27"/>
      <c r="D735" s="28"/>
      <c r="E735" s="36"/>
      <c r="F735" s="36"/>
      <c r="G735" s="30" t="str">
        <f t="shared" si="9"/>
        <v/>
      </c>
      <c r="H735" s="37"/>
    </row>
    <row r="736" spans="2:8" ht="18" customHeight="1" x14ac:dyDescent="0.3">
      <c r="B736" s="26"/>
      <c r="C736" s="27"/>
      <c r="D736" s="17"/>
      <c r="E736" s="38"/>
      <c r="F736" s="38"/>
      <c r="G736" s="30" t="str">
        <f t="shared" si="9"/>
        <v/>
      </c>
      <c r="H736" s="39"/>
    </row>
    <row r="737" spans="2:8" ht="18" customHeight="1" x14ac:dyDescent="0.3">
      <c r="B737" s="26"/>
      <c r="C737" s="27"/>
      <c r="D737" s="28"/>
      <c r="E737" s="36"/>
      <c r="F737" s="36"/>
      <c r="G737" s="30" t="str">
        <f t="shared" si="9"/>
        <v/>
      </c>
      <c r="H737" s="37"/>
    </row>
    <row r="738" spans="2:8" ht="18" customHeight="1" x14ac:dyDescent="0.3">
      <c r="B738" s="26"/>
      <c r="C738" s="27"/>
      <c r="D738" s="17"/>
      <c r="E738" s="38"/>
      <c r="F738" s="38"/>
      <c r="G738" s="30" t="str">
        <f t="shared" si="9"/>
        <v/>
      </c>
      <c r="H738" s="39"/>
    </row>
    <row r="739" spans="2:8" ht="18" customHeight="1" x14ac:dyDescent="0.3">
      <c r="B739" s="26"/>
      <c r="C739" s="27"/>
      <c r="D739" s="28"/>
      <c r="E739" s="36"/>
      <c r="F739" s="36"/>
      <c r="G739" s="30" t="str">
        <f t="shared" si="9"/>
        <v/>
      </c>
      <c r="H739" s="37"/>
    </row>
    <row r="740" spans="2:8" ht="18" customHeight="1" x14ac:dyDescent="0.3">
      <c r="B740" s="26"/>
      <c r="C740" s="27"/>
      <c r="D740" s="17"/>
      <c r="E740" s="38"/>
      <c r="F740" s="38"/>
      <c r="G740" s="30" t="str">
        <f t="shared" si="9"/>
        <v/>
      </c>
      <c r="H740" s="39"/>
    </row>
    <row r="741" spans="2:8" ht="18" customHeight="1" x14ac:dyDescent="0.3">
      <c r="B741" s="26"/>
      <c r="C741" s="27"/>
      <c r="D741" s="28"/>
      <c r="E741" s="36"/>
      <c r="F741" s="36"/>
      <c r="G741" s="30" t="str">
        <f t="shared" si="9"/>
        <v/>
      </c>
      <c r="H741" s="37"/>
    </row>
    <row r="742" spans="2:8" ht="18" customHeight="1" x14ac:dyDescent="0.3">
      <c r="B742" s="26"/>
      <c r="C742" s="27"/>
      <c r="D742" s="17"/>
      <c r="E742" s="38"/>
      <c r="F742" s="38"/>
      <c r="G742" s="30" t="str">
        <f t="shared" si="9"/>
        <v/>
      </c>
      <c r="H742" s="39"/>
    </row>
    <row r="743" spans="2:8" ht="18" customHeight="1" x14ac:dyDescent="0.3">
      <c r="B743" s="26"/>
      <c r="C743" s="27"/>
      <c r="D743" s="28"/>
      <c r="E743" s="36"/>
      <c r="F743" s="36"/>
      <c r="G743" s="30" t="str">
        <f t="shared" si="9"/>
        <v/>
      </c>
      <c r="H743" s="37"/>
    </row>
    <row r="744" spans="2:8" ht="18" customHeight="1" x14ac:dyDescent="0.3">
      <c r="B744" s="26"/>
      <c r="C744" s="27"/>
      <c r="D744" s="17"/>
      <c r="E744" s="38"/>
      <c r="F744" s="38"/>
      <c r="G744" s="30" t="str">
        <f t="shared" si="9"/>
        <v/>
      </c>
      <c r="H744" s="39"/>
    </row>
    <row r="745" spans="2:8" ht="18" customHeight="1" x14ac:dyDescent="0.3">
      <c r="B745" s="26"/>
      <c r="C745" s="27"/>
      <c r="D745" s="28"/>
      <c r="E745" s="36"/>
      <c r="F745" s="36"/>
      <c r="G745" s="30" t="str">
        <f t="shared" si="9"/>
        <v/>
      </c>
      <c r="H745" s="37"/>
    </row>
    <row r="746" spans="2:8" ht="18" customHeight="1" x14ac:dyDescent="0.3">
      <c r="B746" s="26"/>
      <c r="C746" s="27"/>
      <c r="D746" s="17"/>
      <c r="E746" s="38"/>
      <c r="F746" s="38"/>
      <c r="G746" s="30" t="str">
        <f t="shared" si="9"/>
        <v/>
      </c>
      <c r="H746" s="39"/>
    </row>
    <row r="747" spans="2:8" ht="18" customHeight="1" x14ac:dyDescent="0.3">
      <c r="B747" s="26"/>
      <c r="C747" s="27"/>
      <c r="D747" s="28"/>
      <c r="E747" s="36"/>
      <c r="F747" s="36"/>
      <c r="G747" s="30" t="str">
        <f t="shared" si="9"/>
        <v/>
      </c>
      <c r="H747" s="37"/>
    </row>
    <row r="748" spans="2:8" ht="18" customHeight="1" x14ac:dyDescent="0.3">
      <c r="B748" s="26"/>
      <c r="C748" s="27"/>
      <c r="D748" s="17"/>
      <c r="E748" s="38"/>
      <c r="F748" s="38"/>
      <c r="G748" s="30" t="str">
        <f t="shared" si="9"/>
        <v/>
      </c>
      <c r="H748" s="39"/>
    </row>
    <row r="749" spans="2:8" ht="18" customHeight="1" x14ac:dyDescent="0.3">
      <c r="B749" s="26"/>
      <c r="C749" s="27"/>
      <c r="D749" s="28"/>
      <c r="E749" s="36"/>
      <c r="F749" s="36"/>
      <c r="G749" s="30" t="str">
        <f t="shared" si="9"/>
        <v/>
      </c>
      <c r="H749" s="37"/>
    </row>
    <row r="750" spans="2:8" ht="18" customHeight="1" x14ac:dyDescent="0.3">
      <c r="B750" s="26"/>
      <c r="C750" s="27"/>
      <c r="D750" s="17"/>
      <c r="E750" s="38"/>
      <c r="F750" s="38"/>
      <c r="G750" s="30" t="str">
        <f t="shared" si="9"/>
        <v/>
      </c>
      <c r="H750" s="39"/>
    </row>
    <row r="751" spans="2:8" ht="18" customHeight="1" x14ac:dyDescent="0.3">
      <c r="B751" s="26"/>
      <c r="C751" s="27"/>
      <c r="D751" s="28"/>
      <c r="E751" s="36"/>
      <c r="F751" s="36"/>
      <c r="G751" s="30" t="str">
        <f t="shared" si="9"/>
        <v/>
      </c>
      <c r="H751" s="37"/>
    </row>
    <row r="752" spans="2:8" ht="18" customHeight="1" x14ac:dyDescent="0.3">
      <c r="B752" s="26"/>
      <c r="C752" s="27"/>
      <c r="D752" s="17"/>
      <c r="E752" s="38"/>
      <c r="F752" s="38"/>
      <c r="G752" s="30" t="str">
        <f t="shared" si="9"/>
        <v/>
      </c>
      <c r="H752" s="39"/>
    </row>
    <row r="753" spans="2:8" ht="18" customHeight="1" x14ac:dyDescent="0.3">
      <c r="B753" s="26"/>
      <c r="C753" s="27"/>
      <c r="D753" s="28"/>
      <c r="E753" s="36"/>
      <c r="F753" s="36"/>
      <c r="G753" s="30" t="str">
        <f t="shared" si="9"/>
        <v/>
      </c>
      <c r="H753" s="37"/>
    </row>
    <row r="754" spans="2:8" ht="18" customHeight="1" x14ac:dyDescent="0.3">
      <c r="B754" s="26"/>
      <c r="C754" s="27"/>
      <c r="D754" s="17"/>
      <c r="E754" s="38"/>
      <c r="F754" s="38"/>
      <c r="G754" s="30" t="str">
        <f t="shared" si="9"/>
        <v/>
      </c>
      <c r="H754" s="39"/>
    </row>
    <row r="755" spans="2:8" ht="18" customHeight="1" x14ac:dyDescent="0.3">
      <c r="B755" s="26"/>
      <c r="C755" s="27"/>
      <c r="D755" s="28"/>
      <c r="E755" s="36"/>
      <c r="F755" s="36"/>
      <c r="G755" s="30" t="str">
        <f t="shared" si="9"/>
        <v/>
      </c>
      <c r="H755" s="37"/>
    </row>
    <row r="756" spans="2:8" ht="18" customHeight="1" x14ac:dyDescent="0.3">
      <c r="B756" s="26"/>
      <c r="C756" s="27"/>
      <c r="D756" s="17"/>
      <c r="E756" s="38"/>
      <c r="F756" s="38"/>
      <c r="G756" s="30" t="str">
        <f t="shared" si="9"/>
        <v/>
      </c>
      <c r="H756" s="39"/>
    </row>
    <row r="757" spans="2:8" ht="18" customHeight="1" x14ac:dyDescent="0.3">
      <c r="B757" s="26"/>
      <c r="C757" s="27"/>
      <c r="D757" s="28"/>
      <c r="E757" s="36"/>
      <c r="F757" s="36"/>
      <c r="G757" s="30" t="str">
        <f t="shared" si="9"/>
        <v/>
      </c>
      <c r="H757" s="37"/>
    </row>
    <row r="758" spans="2:8" ht="18" customHeight="1" x14ac:dyDescent="0.3">
      <c r="B758" s="26"/>
      <c r="C758" s="27"/>
      <c r="D758" s="17"/>
      <c r="E758" s="38"/>
      <c r="F758" s="38"/>
      <c r="G758" s="30" t="str">
        <f t="shared" si="9"/>
        <v/>
      </c>
      <c r="H758" s="39"/>
    </row>
    <row r="759" spans="2:8" ht="18" customHeight="1" x14ac:dyDescent="0.3">
      <c r="B759" s="26"/>
      <c r="C759" s="27"/>
      <c r="D759" s="28"/>
      <c r="E759" s="36"/>
      <c r="F759" s="36"/>
      <c r="G759" s="30" t="str">
        <f t="shared" si="9"/>
        <v/>
      </c>
      <c r="H759" s="37"/>
    </row>
    <row r="760" spans="2:8" ht="18" customHeight="1" x14ac:dyDescent="0.3">
      <c r="B760" s="26"/>
      <c r="C760" s="27"/>
      <c r="D760" s="17"/>
      <c r="E760" s="38"/>
      <c r="F760" s="38"/>
      <c r="G760" s="30" t="str">
        <f t="shared" si="9"/>
        <v/>
      </c>
      <c r="H760" s="39"/>
    </row>
    <row r="761" spans="2:8" ht="18" customHeight="1" x14ac:dyDescent="0.3">
      <c r="B761" s="26"/>
      <c r="C761" s="27"/>
      <c r="D761" s="28"/>
      <c r="E761" s="36"/>
      <c r="F761" s="36"/>
      <c r="G761" s="30" t="str">
        <f t="shared" si="9"/>
        <v/>
      </c>
      <c r="H761" s="37"/>
    </row>
    <row r="762" spans="2:8" ht="18" customHeight="1" x14ac:dyDescent="0.3">
      <c r="B762" s="26"/>
      <c r="C762" s="27"/>
      <c r="D762" s="17"/>
      <c r="E762" s="38"/>
      <c r="F762" s="38"/>
      <c r="G762" s="30" t="str">
        <f t="shared" si="9"/>
        <v/>
      </c>
      <c r="H762" s="39"/>
    </row>
    <row r="763" spans="2:8" ht="18" customHeight="1" x14ac:dyDescent="0.3">
      <c r="B763" s="26"/>
      <c r="C763" s="27"/>
      <c r="D763" s="28"/>
      <c r="E763" s="36"/>
      <c r="F763" s="36"/>
      <c r="G763" s="30" t="str">
        <f t="shared" si="9"/>
        <v/>
      </c>
      <c r="H763" s="37"/>
    </row>
    <row r="764" spans="2:8" ht="18" customHeight="1" x14ac:dyDescent="0.3">
      <c r="B764" s="26"/>
      <c r="C764" s="27"/>
      <c r="D764" s="17"/>
      <c r="E764" s="38"/>
      <c r="F764" s="38"/>
      <c r="G764" s="30" t="str">
        <f t="shared" si="9"/>
        <v/>
      </c>
      <c r="H764" s="39"/>
    </row>
    <row r="765" spans="2:8" ht="18" customHeight="1" x14ac:dyDescent="0.3">
      <c r="B765" s="26"/>
      <c r="C765" s="27"/>
      <c r="D765" s="28"/>
      <c r="E765" s="36"/>
      <c r="F765" s="36"/>
      <c r="G765" s="30" t="str">
        <f t="shared" si="9"/>
        <v/>
      </c>
      <c r="H765" s="37"/>
    </row>
    <row r="766" spans="2:8" ht="18" customHeight="1" x14ac:dyDescent="0.3">
      <c r="B766" s="26"/>
      <c r="C766" s="27"/>
      <c r="D766" s="17"/>
      <c r="E766" s="38"/>
      <c r="F766" s="38"/>
      <c r="G766" s="30" t="str">
        <f t="shared" si="9"/>
        <v/>
      </c>
      <c r="H766" s="39"/>
    </row>
    <row r="767" spans="2:8" ht="18" customHeight="1" x14ac:dyDescent="0.3">
      <c r="B767" s="26"/>
      <c r="C767" s="27"/>
      <c r="D767" s="28"/>
      <c r="E767" s="36"/>
      <c r="F767" s="36"/>
      <c r="G767" s="30" t="str">
        <f t="shared" si="9"/>
        <v/>
      </c>
      <c r="H767" s="37"/>
    </row>
    <row r="768" spans="2:8" ht="18" customHeight="1" x14ac:dyDescent="0.3">
      <c r="B768" s="26"/>
      <c r="C768" s="27"/>
      <c r="D768" s="17"/>
      <c r="E768" s="38"/>
      <c r="F768" s="38"/>
      <c r="G768" s="30" t="str">
        <f t="shared" si="9"/>
        <v/>
      </c>
      <c r="H768" s="39"/>
    </row>
    <row r="769" spans="2:8" ht="18" customHeight="1" x14ac:dyDescent="0.3">
      <c r="B769" s="26"/>
      <c r="C769" s="27"/>
      <c r="D769" s="28"/>
      <c r="E769" s="36"/>
      <c r="F769" s="36"/>
      <c r="G769" s="30" t="str">
        <f t="shared" si="9"/>
        <v/>
      </c>
      <c r="H769" s="37"/>
    </row>
    <row r="770" spans="2:8" ht="18" customHeight="1" x14ac:dyDescent="0.3">
      <c r="B770" s="26"/>
      <c r="C770" s="27"/>
      <c r="D770" s="17"/>
      <c r="E770" s="38"/>
      <c r="F770" s="38"/>
      <c r="G770" s="30" t="str">
        <f t="shared" si="9"/>
        <v/>
      </c>
      <c r="H770" s="39"/>
    </row>
    <row r="771" spans="2:8" ht="18" customHeight="1" x14ac:dyDescent="0.3">
      <c r="B771" s="26"/>
      <c r="C771" s="27"/>
      <c r="D771" s="28"/>
      <c r="E771" s="36"/>
      <c r="F771" s="36"/>
      <c r="G771" s="30" t="str">
        <f t="shared" si="9"/>
        <v/>
      </c>
      <c r="H771" s="37"/>
    </row>
    <row r="772" spans="2:8" ht="18" customHeight="1" x14ac:dyDescent="0.3">
      <c r="B772" s="26"/>
      <c r="C772" s="27"/>
      <c r="D772" s="17"/>
      <c r="E772" s="38"/>
      <c r="F772" s="38"/>
      <c r="G772" s="30" t="str">
        <f t="shared" si="9"/>
        <v/>
      </c>
      <c r="H772" s="39"/>
    </row>
    <row r="773" spans="2:8" ht="18" customHeight="1" x14ac:dyDescent="0.3">
      <c r="B773" s="26"/>
      <c r="C773" s="27"/>
      <c r="D773" s="28"/>
      <c r="E773" s="36"/>
      <c r="F773" s="36"/>
      <c r="G773" s="30" t="str">
        <f t="shared" ref="G773:G836" si="10">IF(OR(B773="",E773=""),"",IF(E773="08:00",8,IF(E773="07:00",8,7)))</f>
        <v/>
      </c>
      <c r="H773" s="37"/>
    </row>
    <row r="774" spans="2:8" ht="18" customHeight="1" x14ac:dyDescent="0.3">
      <c r="B774" s="26"/>
      <c r="C774" s="27"/>
      <c r="D774" s="17"/>
      <c r="E774" s="38"/>
      <c r="F774" s="38"/>
      <c r="G774" s="30" t="str">
        <f t="shared" si="10"/>
        <v/>
      </c>
      <c r="H774" s="39"/>
    </row>
    <row r="775" spans="2:8" ht="18" customHeight="1" x14ac:dyDescent="0.3">
      <c r="B775" s="26"/>
      <c r="C775" s="27"/>
      <c r="D775" s="28"/>
      <c r="E775" s="36"/>
      <c r="F775" s="36"/>
      <c r="G775" s="30" t="str">
        <f t="shared" si="10"/>
        <v/>
      </c>
      <c r="H775" s="37"/>
    </row>
    <row r="776" spans="2:8" ht="18" customHeight="1" x14ac:dyDescent="0.3">
      <c r="B776" s="26"/>
      <c r="C776" s="27"/>
      <c r="D776" s="17"/>
      <c r="E776" s="38"/>
      <c r="F776" s="38"/>
      <c r="G776" s="30" t="str">
        <f t="shared" si="10"/>
        <v/>
      </c>
      <c r="H776" s="39"/>
    </row>
    <row r="777" spans="2:8" ht="18" customHeight="1" x14ac:dyDescent="0.3">
      <c r="B777" s="26"/>
      <c r="C777" s="27"/>
      <c r="D777" s="28"/>
      <c r="E777" s="36"/>
      <c r="F777" s="36"/>
      <c r="G777" s="30" t="str">
        <f t="shared" si="10"/>
        <v/>
      </c>
      <c r="H777" s="37"/>
    </row>
    <row r="778" spans="2:8" ht="18" customHeight="1" x14ac:dyDescent="0.3">
      <c r="B778" s="26"/>
      <c r="C778" s="27"/>
      <c r="D778" s="17"/>
      <c r="E778" s="38"/>
      <c r="F778" s="38"/>
      <c r="G778" s="30" t="str">
        <f t="shared" si="10"/>
        <v/>
      </c>
      <c r="H778" s="39"/>
    </row>
    <row r="779" spans="2:8" ht="18" customHeight="1" x14ac:dyDescent="0.3">
      <c r="B779" s="26"/>
      <c r="C779" s="27"/>
      <c r="D779" s="28"/>
      <c r="E779" s="36"/>
      <c r="F779" s="36"/>
      <c r="G779" s="30" t="str">
        <f t="shared" si="10"/>
        <v/>
      </c>
      <c r="H779" s="37"/>
    </row>
    <row r="780" spans="2:8" ht="18" customHeight="1" x14ac:dyDescent="0.3">
      <c r="B780" s="26"/>
      <c r="C780" s="27"/>
      <c r="D780" s="17"/>
      <c r="E780" s="38"/>
      <c r="F780" s="38"/>
      <c r="G780" s="30" t="str">
        <f t="shared" si="10"/>
        <v/>
      </c>
      <c r="H780" s="39"/>
    </row>
    <row r="781" spans="2:8" ht="18" customHeight="1" x14ac:dyDescent="0.3">
      <c r="B781" s="26"/>
      <c r="C781" s="27"/>
      <c r="D781" s="28"/>
      <c r="E781" s="36"/>
      <c r="F781" s="36"/>
      <c r="G781" s="30" t="str">
        <f t="shared" si="10"/>
        <v/>
      </c>
      <c r="H781" s="37"/>
    </row>
    <row r="782" spans="2:8" ht="18" customHeight="1" x14ac:dyDescent="0.3">
      <c r="B782" s="26"/>
      <c r="C782" s="27"/>
      <c r="D782" s="17"/>
      <c r="E782" s="38"/>
      <c r="F782" s="38"/>
      <c r="G782" s="30" t="str">
        <f t="shared" si="10"/>
        <v/>
      </c>
      <c r="H782" s="39"/>
    </row>
    <row r="783" spans="2:8" ht="18" customHeight="1" x14ac:dyDescent="0.3">
      <c r="B783" s="26"/>
      <c r="C783" s="27"/>
      <c r="D783" s="28"/>
      <c r="E783" s="36"/>
      <c r="F783" s="36"/>
      <c r="G783" s="30" t="str">
        <f t="shared" si="10"/>
        <v/>
      </c>
      <c r="H783" s="37"/>
    </row>
    <row r="784" spans="2:8" ht="18" customHeight="1" x14ac:dyDescent="0.3">
      <c r="B784" s="26"/>
      <c r="C784" s="27"/>
      <c r="D784" s="17"/>
      <c r="E784" s="38"/>
      <c r="F784" s="38"/>
      <c r="G784" s="30" t="str">
        <f t="shared" si="10"/>
        <v/>
      </c>
      <c r="H784" s="39"/>
    </row>
    <row r="785" spans="2:8" ht="18" customHeight="1" x14ac:dyDescent="0.3">
      <c r="B785" s="26"/>
      <c r="C785" s="27"/>
      <c r="D785" s="28"/>
      <c r="E785" s="36"/>
      <c r="F785" s="36"/>
      <c r="G785" s="30" t="str">
        <f t="shared" si="10"/>
        <v/>
      </c>
      <c r="H785" s="37"/>
    </row>
    <row r="786" spans="2:8" ht="18" customHeight="1" x14ac:dyDescent="0.3">
      <c r="B786" s="26"/>
      <c r="C786" s="27"/>
      <c r="D786" s="17"/>
      <c r="E786" s="38"/>
      <c r="F786" s="38"/>
      <c r="G786" s="30" t="str">
        <f t="shared" si="10"/>
        <v/>
      </c>
      <c r="H786" s="39"/>
    </row>
    <row r="787" spans="2:8" ht="18" customHeight="1" x14ac:dyDescent="0.3">
      <c r="B787" s="26"/>
      <c r="C787" s="27"/>
      <c r="D787" s="28"/>
      <c r="E787" s="36"/>
      <c r="F787" s="36"/>
      <c r="G787" s="30" t="str">
        <f t="shared" si="10"/>
        <v/>
      </c>
      <c r="H787" s="37"/>
    </row>
    <row r="788" spans="2:8" ht="18" customHeight="1" x14ac:dyDescent="0.3">
      <c r="B788" s="26"/>
      <c r="C788" s="27"/>
      <c r="D788" s="17"/>
      <c r="E788" s="38"/>
      <c r="F788" s="38"/>
      <c r="G788" s="30" t="str">
        <f t="shared" si="10"/>
        <v/>
      </c>
      <c r="H788" s="39"/>
    </row>
    <row r="789" spans="2:8" ht="18" customHeight="1" x14ac:dyDescent="0.3">
      <c r="B789" s="26"/>
      <c r="C789" s="27"/>
      <c r="D789" s="28"/>
      <c r="E789" s="36"/>
      <c r="F789" s="36"/>
      <c r="G789" s="30" t="str">
        <f t="shared" si="10"/>
        <v/>
      </c>
      <c r="H789" s="37"/>
    </row>
    <row r="790" spans="2:8" ht="18" customHeight="1" x14ac:dyDescent="0.3">
      <c r="B790" s="26"/>
      <c r="C790" s="27"/>
      <c r="D790" s="17"/>
      <c r="E790" s="38"/>
      <c r="F790" s="38"/>
      <c r="G790" s="30" t="str">
        <f t="shared" si="10"/>
        <v/>
      </c>
      <c r="H790" s="39"/>
    </row>
    <row r="791" spans="2:8" ht="18" customHeight="1" x14ac:dyDescent="0.3">
      <c r="B791" s="26"/>
      <c r="C791" s="27"/>
      <c r="D791" s="28"/>
      <c r="E791" s="36"/>
      <c r="F791" s="36"/>
      <c r="G791" s="30" t="str">
        <f t="shared" si="10"/>
        <v/>
      </c>
      <c r="H791" s="37"/>
    </row>
    <row r="792" spans="2:8" ht="18" customHeight="1" x14ac:dyDescent="0.3">
      <c r="B792" s="26"/>
      <c r="C792" s="27"/>
      <c r="D792" s="17"/>
      <c r="E792" s="38"/>
      <c r="F792" s="38"/>
      <c r="G792" s="30" t="str">
        <f t="shared" si="10"/>
        <v/>
      </c>
      <c r="H792" s="39"/>
    </row>
    <row r="793" spans="2:8" ht="18" customHeight="1" x14ac:dyDescent="0.3">
      <c r="B793" s="26"/>
      <c r="C793" s="27"/>
      <c r="D793" s="28"/>
      <c r="E793" s="36"/>
      <c r="F793" s="36"/>
      <c r="G793" s="30" t="str">
        <f t="shared" si="10"/>
        <v/>
      </c>
      <c r="H793" s="37"/>
    </row>
    <row r="794" spans="2:8" ht="18" customHeight="1" x14ac:dyDescent="0.3">
      <c r="B794" s="26"/>
      <c r="C794" s="27"/>
      <c r="D794" s="17"/>
      <c r="E794" s="38"/>
      <c r="F794" s="38"/>
      <c r="G794" s="30" t="str">
        <f t="shared" si="10"/>
        <v/>
      </c>
      <c r="H794" s="39"/>
    </row>
    <row r="795" spans="2:8" ht="18" customHeight="1" x14ac:dyDescent="0.3">
      <c r="B795" s="26"/>
      <c r="C795" s="27"/>
      <c r="D795" s="28"/>
      <c r="E795" s="36"/>
      <c r="F795" s="36"/>
      <c r="G795" s="30" t="str">
        <f t="shared" si="10"/>
        <v/>
      </c>
      <c r="H795" s="37"/>
    </row>
    <row r="796" spans="2:8" ht="18" customHeight="1" x14ac:dyDescent="0.3">
      <c r="B796" s="26"/>
      <c r="C796" s="27"/>
      <c r="D796" s="17"/>
      <c r="E796" s="38"/>
      <c r="F796" s="38"/>
      <c r="G796" s="30" t="str">
        <f t="shared" si="10"/>
        <v/>
      </c>
      <c r="H796" s="39"/>
    </row>
    <row r="797" spans="2:8" ht="18" customHeight="1" x14ac:dyDescent="0.3">
      <c r="B797" s="26"/>
      <c r="C797" s="27"/>
      <c r="D797" s="28"/>
      <c r="E797" s="36"/>
      <c r="F797" s="36"/>
      <c r="G797" s="30" t="str">
        <f t="shared" si="10"/>
        <v/>
      </c>
      <c r="H797" s="37"/>
    </row>
    <row r="798" spans="2:8" ht="18" customHeight="1" x14ac:dyDescent="0.3">
      <c r="B798" s="26"/>
      <c r="C798" s="27"/>
      <c r="D798" s="17"/>
      <c r="E798" s="38"/>
      <c r="F798" s="38"/>
      <c r="G798" s="30" t="str">
        <f t="shared" si="10"/>
        <v/>
      </c>
      <c r="H798" s="39"/>
    </row>
    <row r="799" spans="2:8" ht="18" customHeight="1" x14ac:dyDescent="0.3">
      <c r="B799" s="26"/>
      <c r="C799" s="27"/>
      <c r="D799" s="28"/>
      <c r="E799" s="36"/>
      <c r="F799" s="36"/>
      <c r="G799" s="30" t="str">
        <f t="shared" si="10"/>
        <v/>
      </c>
      <c r="H799" s="37"/>
    </row>
    <row r="800" spans="2:8" ht="18" customHeight="1" x14ac:dyDescent="0.3">
      <c r="B800" s="26"/>
      <c r="C800" s="27"/>
      <c r="D800" s="17"/>
      <c r="E800" s="38"/>
      <c r="F800" s="38"/>
      <c r="G800" s="30" t="str">
        <f t="shared" si="10"/>
        <v/>
      </c>
      <c r="H800" s="39"/>
    </row>
    <row r="801" spans="2:8" ht="18" customHeight="1" x14ac:dyDescent="0.3">
      <c r="B801" s="26"/>
      <c r="C801" s="27"/>
      <c r="D801" s="28"/>
      <c r="E801" s="36"/>
      <c r="F801" s="36"/>
      <c r="G801" s="30" t="str">
        <f t="shared" si="10"/>
        <v/>
      </c>
      <c r="H801" s="37"/>
    </row>
    <row r="802" spans="2:8" ht="18" customHeight="1" x14ac:dyDescent="0.3">
      <c r="B802" s="26"/>
      <c r="C802" s="27"/>
      <c r="D802" s="17"/>
      <c r="E802" s="38"/>
      <c r="F802" s="38"/>
      <c r="G802" s="30" t="str">
        <f t="shared" si="10"/>
        <v/>
      </c>
      <c r="H802" s="39"/>
    </row>
    <row r="803" spans="2:8" ht="18" customHeight="1" x14ac:dyDescent="0.3">
      <c r="B803" s="26"/>
      <c r="C803" s="27"/>
      <c r="D803" s="28"/>
      <c r="E803" s="36"/>
      <c r="F803" s="36"/>
      <c r="G803" s="30" t="str">
        <f t="shared" si="10"/>
        <v/>
      </c>
      <c r="H803" s="37"/>
    </row>
    <row r="804" spans="2:8" ht="18" customHeight="1" x14ac:dyDescent="0.3">
      <c r="B804" s="26"/>
      <c r="C804" s="27"/>
      <c r="D804" s="17"/>
      <c r="E804" s="38"/>
      <c r="F804" s="38"/>
      <c r="G804" s="30" t="str">
        <f t="shared" si="10"/>
        <v/>
      </c>
      <c r="H804" s="39"/>
    </row>
    <row r="805" spans="2:8" ht="18" customHeight="1" x14ac:dyDescent="0.3">
      <c r="B805" s="26"/>
      <c r="C805" s="27"/>
      <c r="D805" s="28"/>
      <c r="E805" s="36"/>
      <c r="F805" s="36"/>
      <c r="G805" s="30" t="str">
        <f t="shared" si="10"/>
        <v/>
      </c>
      <c r="H805" s="37"/>
    </row>
    <row r="806" spans="2:8" ht="18" customHeight="1" x14ac:dyDescent="0.3">
      <c r="B806" s="26"/>
      <c r="C806" s="27"/>
      <c r="D806" s="17"/>
      <c r="E806" s="38"/>
      <c r="F806" s="38"/>
      <c r="G806" s="30" t="str">
        <f t="shared" si="10"/>
        <v/>
      </c>
      <c r="H806" s="39"/>
    </row>
    <row r="807" spans="2:8" ht="18" customHeight="1" x14ac:dyDescent="0.3">
      <c r="B807" s="26"/>
      <c r="C807" s="27"/>
      <c r="D807" s="28"/>
      <c r="E807" s="36"/>
      <c r="F807" s="36"/>
      <c r="G807" s="30" t="str">
        <f t="shared" si="10"/>
        <v/>
      </c>
      <c r="H807" s="37"/>
    </row>
    <row r="808" spans="2:8" ht="18" customHeight="1" x14ac:dyDescent="0.3">
      <c r="B808" s="26"/>
      <c r="C808" s="27"/>
      <c r="D808" s="17"/>
      <c r="E808" s="38"/>
      <c r="F808" s="38"/>
      <c r="G808" s="30" t="str">
        <f t="shared" si="10"/>
        <v/>
      </c>
      <c r="H808" s="39"/>
    </row>
    <row r="809" spans="2:8" ht="18" customHeight="1" x14ac:dyDescent="0.3">
      <c r="B809" s="26"/>
      <c r="C809" s="27"/>
      <c r="D809" s="28"/>
      <c r="E809" s="36"/>
      <c r="F809" s="36"/>
      <c r="G809" s="30" t="str">
        <f t="shared" si="10"/>
        <v/>
      </c>
      <c r="H809" s="37"/>
    </row>
    <row r="810" spans="2:8" ht="18" customHeight="1" x14ac:dyDescent="0.3">
      <c r="B810" s="26"/>
      <c r="C810" s="27"/>
      <c r="D810" s="17"/>
      <c r="E810" s="38"/>
      <c r="F810" s="38"/>
      <c r="G810" s="30" t="str">
        <f t="shared" si="10"/>
        <v/>
      </c>
      <c r="H810" s="39"/>
    </row>
    <row r="811" spans="2:8" ht="18" customHeight="1" x14ac:dyDescent="0.3">
      <c r="B811" s="26"/>
      <c r="C811" s="27"/>
      <c r="D811" s="28"/>
      <c r="E811" s="36"/>
      <c r="F811" s="36"/>
      <c r="G811" s="30" t="str">
        <f t="shared" si="10"/>
        <v/>
      </c>
      <c r="H811" s="37"/>
    </row>
    <row r="812" spans="2:8" ht="18" customHeight="1" x14ac:dyDescent="0.3">
      <c r="B812" s="26"/>
      <c r="C812" s="27"/>
      <c r="D812" s="17"/>
      <c r="E812" s="38"/>
      <c r="F812" s="38"/>
      <c r="G812" s="30" t="str">
        <f t="shared" si="10"/>
        <v/>
      </c>
      <c r="H812" s="39"/>
    </row>
    <row r="813" spans="2:8" ht="18" customHeight="1" x14ac:dyDescent="0.3">
      <c r="B813" s="26"/>
      <c r="C813" s="27"/>
      <c r="D813" s="28"/>
      <c r="E813" s="36"/>
      <c r="F813" s="36"/>
      <c r="G813" s="30" t="str">
        <f t="shared" si="10"/>
        <v/>
      </c>
      <c r="H813" s="37"/>
    </row>
    <row r="814" spans="2:8" ht="18" customHeight="1" x14ac:dyDescent="0.3">
      <c r="B814" s="26"/>
      <c r="C814" s="27"/>
      <c r="D814" s="17"/>
      <c r="E814" s="38"/>
      <c r="F814" s="38"/>
      <c r="G814" s="30" t="str">
        <f t="shared" si="10"/>
        <v/>
      </c>
      <c r="H814" s="39"/>
    </row>
    <row r="815" spans="2:8" ht="18" customHeight="1" x14ac:dyDescent="0.3">
      <c r="B815" s="26"/>
      <c r="C815" s="27"/>
      <c r="D815" s="28"/>
      <c r="E815" s="36"/>
      <c r="F815" s="36"/>
      <c r="G815" s="30" t="str">
        <f t="shared" si="10"/>
        <v/>
      </c>
      <c r="H815" s="37"/>
    </row>
    <row r="816" spans="2:8" ht="18" customHeight="1" x14ac:dyDescent="0.3">
      <c r="B816" s="26"/>
      <c r="C816" s="27"/>
      <c r="D816" s="17"/>
      <c r="E816" s="38"/>
      <c r="F816" s="38"/>
      <c r="G816" s="30" t="str">
        <f t="shared" si="10"/>
        <v/>
      </c>
      <c r="H816" s="39"/>
    </row>
    <row r="817" spans="2:8" ht="18" customHeight="1" x14ac:dyDescent="0.3">
      <c r="B817" s="26"/>
      <c r="C817" s="27"/>
      <c r="D817" s="28"/>
      <c r="E817" s="36"/>
      <c r="F817" s="36"/>
      <c r="G817" s="30" t="str">
        <f t="shared" si="10"/>
        <v/>
      </c>
      <c r="H817" s="37"/>
    </row>
    <row r="818" spans="2:8" ht="18" customHeight="1" x14ac:dyDescent="0.3">
      <c r="B818" s="26"/>
      <c r="C818" s="27"/>
      <c r="D818" s="17"/>
      <c r="E818" s="38"/>
      <c r="F818" s="38"/>
      <c r="G818" s="30" t="str">
        <f t="shared" si="10"/>
        <v/>
      </c>
      <c r="H818" s="39"/>
    </row>
    <row r="819" spans="2:8" ht="18" customHeight="1" x14ac:dyDescent="0.3">
      <c r="B819" s="26"/>
      <c r="C819" s="27"/>
      <c r="D819" s="28"/>
      <c r="E819" s="36"/>
      <c r="F819" s="36"/>
      <c r="G819" s="30" t="str">
        <f t="shared" si="10"/>
        <v/>
      </c>
      <c r="H819" s="37"/>
    </row>
    <row r="820" spans="2:8" ht="18" customHeight="1" x14ac:dyDescent="0.3">
      <c r="B820" s="26"/>
      <c r="C820" s="27"/>
      <c r="D820" s="17"/>
      <c r="E820" s="38"/>
      <c r="F820" s="38"/>
      <c r="G820" s="30" t="str">
        <f t="shared" si="10"/>
        <v/>
      </c>
      <c r="H820" s="39"/>
    </row>
    <row r="821" spans="2:8" ht="18" customHeight="1" x14ac:dyDescent="0.3">
      <c r="B821" s="26"/>
      <c r="C821" s="27"/>
      <c r="D821" s="28"/>
      <c r="E821" s="36"/>
      <c r="F821" s="36"/>
      <c r="G821" s="30" t="str">
        <f t="shared" si="10"/>
        <v/>
      </c>
      <c r="H821" s="37"/>
    </row>
    <row r="822" spans="2:8" ht="18" customHeight="1" x14ac:dyDescent="0.3">
      <c r="B822" s="26"/>
      <c r="C822" s="27"/>
      <c r="D822" s="17"/>
      <c r="E822" s="38"/>
      <c r="F822" s="38"/>
      <c r="G822" s="30" t="str">
        <f t="shared" si="10"/>
        <v/>
      </c>
      <c r="H822" s="39"/>
    </row>
    <row r="823" spans="2:8" ht="18" customHeight="1" x14ac:dyDescent="0.3">
      <c r="B823" s="26"/>
      <c r="C823" s="27"/>
      <c r="D823" s="28"/>
      <c r="E823" s="36"/>
      <c r="F823" s="36"/>
      <c r="G823" s="30" t="str">
        <f t="shared" si="10"/>
        <v/>
      </c>
      <c r="H823" s="37"/>
    </row>
    <row r="824" spans="2:8" ht="18" customHeight="1" x14ac:dyDescent="0.3">
      <c r="B824" s="26"/>
      <c r="C824" s="27"/>
      <c r="D824" s="17"/>
      <c r="E824" s="38"/>
      <c r="F824" s="38"/>
      <c r="G824" s="30" t="str">
        <f t="shared" si="10"/>
        <v/>
      </c>
      <c r="H824" s="39"/>
    </row>
    <row r="825" spans="2:8" ht="18" customHeight="1" x14ac:dyDescent="0.3">
      <c r="B825" s="26"/>
      <c r="C825" s="27"/>
      <c r="D825" s="28"/>
      <c r="E825" s="36"/>
      <c r="F825" s="36"/>
      <c r="G825" s="30" t="str">
        <f t="shared" si="10"/>
        <v/>
      </c>
      <c r="H825" s="37"/>
    </row>
    <row r="826" spans="2:8" ht="18" customHeight="1" x14ac:dyDescent="0.3">
      <c r="B826" s="26"/>
      <c r="C826" s="27"/>
      <c r="D826" s="17"/>
      <c r="E826" s="38"/>
      <c r="F826" s="38"/>
      <c r="G826" s="30" t="str">
        <f t="shared" si="10"/>
        <v/>
      </c>
      <c r="H826" s="39"/>
    </row>
    <row r="827" spans="2:8" ht="18" customHeight="1" x14ac:dyDescent="0.3">
      <c r="B827" s="26"/>
      <c r="C827" s="27"/>
      <c r="D827" s="28"/>
      <c r="E827" s="36"/>
      <c r="F827" s="36"/>
      <c r="G827" s="30" t="str">
        <f t="shared" si="10"/>
        <v/>
      </c>
      <c r="H827" s="37"/>
    </row>
    <row r="828" spans="2:8" ht="18" customHeight="1" x14ac:dyDescent="0.3">
      <c r="B828" s="26"/>
      <c r="C828" s="27"/>
      <c r="D828" s="17"/>
      <c r="E828" s="38"/>
      <c r="F828" s="38"/>
      <c r="G828" s="30" t="str">
        <f t="shared" si="10"/>
        <v/>
      </c>
      <c r="H828" s="39"/>
    </row>
    <row r="829" spans="2:8" ht="18" customHeight="1" x14ac:dyDescent="0.3">
      <c r="B829" s="26"/>
      <c r="C829" s="27"/>
      <c r="D829" s="28"/>
      <c r="E829" s="36"/>
      <c r="F829" s="36"/>
      <c r="G829" s="30" t="str">
        <f t="shared" si="10"/>
        <v/>
      </c>
      <c r="H829" s="37"/>
    </row>
    <row r="830" spans="2:8" ht="18" customHeight="1" x14ac:dyDescent="0.3">
      <c r="B830" s="26"/>
      <c r="C830" s="27"/>
      <c r="D830" s="17"/>
      <c r="E830" s="38"/>
      <c r="F830" s="38"/>
      <c r="G830" s="30" t="str">
        <f t="shared" si="10"/>
        <v/>
      </c>
      <c r="H830" s="39"/>
    </row>
    <row r="831" spans="2:8" ht="18" customHeight="1" x14ac:dyDescent="0.3">
      <c r="B831" s="26"/>
      <c r="C831" s="27"/>
      <c r="D831" s="28"/>
      <c r="E831" s="36"/>
      <c r="F831" s="36"/>
      <c r="G831" s="30" t="str">
        <f t="shared" si="10"/>
        <v/>
      </c>
      <c r="H831" s="37"/>
    </row>
    <row r="832" spans="2:8" ht="18" customHeight="1" x14ac:dyDescent="0.3">
      <c r="B832" s="26"/>
      <c r="C832" s="27"/>
      <c r="D832" s="17"/>
      <c r="E832" s="38"/>
      <c r="F832" s="38"/>
      <c r="G832" s="30" t="str">
        <f t="shared" si="10"/>
        <v/>
      </c>
      <c r="H832" s="39"/>
    </row>
    <row r="833" spans="2:8" ht="18" customHeight="1" x14ac:dyDescent="0.3">
      <c r="B833" s="26"/>
      <c r="C833" s="27"/>
      <c r="D833" s="28"/>
      <c r="E833" s="36"/>
      <c r="F833" s="36"/>
      <c r="G833" s="30" t="str">
        <f t="shared" si="10"/>
        <v/>
      </c>
      <c r="H833" s="37"/>
    </row>
    <row r="834" spans="2:8" ht="18" customHeight="1" x14ac:dyDescent="0.3">
      <c r="B834" s="26"/>
      <c r="C834" s="27"/>
      <c r="D834" s="17"/>
      <c r="E834" s="38"/>
      <c r="F834" s="38"/>
      <c r="G834" s="30" t="str">
        <f t="shared" si="10"/>
        <v/>
      </c>
      <c r="H834" s="39"/>
    </row>
    <row r="835" spans="2:8" ht="18" customHeight="1" x14ac:dyDescent="0.3">
      <c r="B835" s="26"/>
      <c r="C835" s="27"/>
      <c r="D835" s="28"/>
      <c r="E835" s="36"/>
      <c r="F835" s="36"/>
      <c r="G835" s="30" t="str">
        <f t="shared" si="10"/>
        <v/>
      </c>
      <c r="H835" s="37"/>
    </row>
    <row r="836" spans="2:8" ht="18" customHeight="1" x14ac:dyDescent="0.3">
      <c r="B836" s="26"/>
      <c r="C836" s="27"/>
      <c r="D836" s="17"/>
      <c r="E836" s="38"/>
      <c r="F836" s="38"/>
      <c r="G836" s="30" t="str">
        <f t="shared" si="10"/>
        <v/>
      </c>
      <c r="H836" s="39"/>
    </row>
    <row r="837" spans="2:8" ht="18" customHeight="1" x14ac:dyDescent="0.3">
      <c r="B837" s="26"/>
      <c r="C837" s="27"/>
      <c r="D837" s="28"/>
      <c r="E837" s="36"/>
      <c r="F837" s="36"/>
      <c r="G837" s="30" t="str">
        <f t="shared" ref="G837:G900" si="11">IF(OR(B837="",E837=""),"",IF(E837="08:00",8,IF(E837="07:00",8,7)))</f>
        <v/>
      </c>
      <c r="H837" s="37"/>
    </row>
    <row r="838" spans="2:8" ht="18" customHeight="1" x14ac:dyDescent="0.3">
      <c r="B838" s="26"/>
      <c r="C838" s="27"/>
      <c r="D838" s="17"/>
      <c r="E838" s="38"/>
      <c r="F838" s="38"/>
      <c r="G838" s="30" t="str">
        <f t="shared" si="11"/>
        <v/>
      </c>
      <c r="H838" s="39"/>
    </row>
    <row r="839" spans="2:8" ht="18" customHeight="1" x14ac:dyDescent="0.3">
      <c r="B839" s="26"/>
      <c r="C839" s="27"/>
      <c r="D839" s="28"/>
      <c r="E839" s="36"/>
      <c r="F839" s="36"/>
      <c r="G839" s="30" t="str">
        <f t="shared" si="11"/>
        <v/>
      </c>
      <c r="H839" s="37"/>
    </row>
    <row r="840" spans="2:8" ht="18" customHeight="1" x14ac:dyDescent="0.3">
      <c r="B840" s="26"/>
      <c r="C840" s="27"/>
      <c r="D840" s="17"/>
      <c r="E840" s="38"/>
      <c r="F840" s="38"/>
      <c r="G840" s="30" t="str">
        <f t="shared" si="11"/>
        <v/>
      </c>
      <c r="H840" s="39"/>
    </row>
    <row r="841" spans="2:8" ht="18" customHeight="1" x14ac:dyDescent="0.3">
      <c r="B841" s="26"/>
      <c r="C841" s="27"/>
      <c r="D841" s="28"/>
      <c r="E841" s="36"/>
      <c r="F841" s="36"/>
      <c r="G841" s="30" t="str">
        <f t="shared" si="11"/>
        <v/>
      </c>
      <c r="H841" s="37"/>
    </row>
    <row r="842" spans="2:8" ht="18" customHeight="1" x14ac:dyDescent="0.3">
      <c r="B842" s="26"/>
      <c r="C842" s="27"/>
      <c r="D842" s="17"/>
      <c r="E842" s="38"/>
      <c r="F842" s="38"/>
      <c r="G842" s="30" t="str">
        <f t="shared" si="11"/>
        <v/>
      </c>
      <c r="H842" s="39"/>
    </row>
    <row r="843" spans="2:8" ht="18" customHeight="1" x14ac:dyDescent="0.3">
      <c r="B843" s="26"/>
      <c r="C843" s="27"/>
      <c r="D843" s="28"/>
      <c r="E843" s="36"/>
      <c r="F843" s="36"/>
      <c r="G843" s="30" t="str">
        <f t="shared" si="11"/>
        <v/>
      </c>
      <c r="H843" s="37"/>
    </row>
    <row r="844" spans="2:8" ht="18" customHeight="1" x14ac:dyDescent="0.3">
      <c r="B844" s="26"/>
      <c r="C844" s="27"/>
      <c r="D844" s="17"/>
      <c r="E844" s="38"/>
      <c r="F844" s="38"/>
      <c r="G844" s="30" t="str">
        <f t="shared" si="11"/>
        <v/>
      </c>
      <c r="H844" s="39"/>
    </row>
    <row r="845" spans="2:8" ht="18" customHeight="1" x14ac:dyDescent="0.3">
      <c r="B845" s="26"/>
      <c r="C845" s="27"/>
      <c r="D845" s="28"/>
      <c r="E845" s="36"/>
      <c r="F845" s="36"/>
      <c r="G845" s="30" t="str">
        <f t="shared" si="11"/>
        <v/>
      </c>
      <c r="H845" s="37"/>
    </row>
    <row r="846" spans="2:8" ht="18" customHeight="1" x14ac:dyDescent="0.3">
      <c r="B846" s="26"/>
      <c r="C846" s="27"/>
      <c r="D846" s="17"/>
      <c r="E846" s="38"/>
      <c r="F846" s="38"/>
      <c r="G846" s="30" t="str">
        <f t="shared" si="11"/>
        <v/>
      </c>
      <c r="H846" s="39"/>
    </row>
    <row r="847" spans="2:8" ht="18" customHeight="1" x14ac:dyDescent="0.3">
      <c r="B847" s="26"/>
      <c r="C847" s="27"/>
      <c r="D847" s="28"/>
      <c r="E847" s="36"/>
      <c r="F847" s="36"/>
      <c r="G847" s="30" t="str">
        <f t="shared" si="11"/>
        <v/>
      </c>
      <c r="H847" s="37"/>
    </row>
    <row r="848" spans="2:8" ht="18" customHeight="1" x14ac:dyDescent="0.3">
      <c r="B848" s="26"/>
      <c r="C848" s="27"/>
      <c r="D848" s="17"/>
      <c r="E848" s="38"/>
      <c r="F848" s="38"/>
      <c r="G848" s="30" t="str">
        <f t="shared" si="11"/>
        <v/>
      </c>
      <c r="H848" s="39"/>
    </row>
    <row r="849" spans="2:8" ht="18" customHeight="1" x14ac:dyDescent="0.3">
      <c r="B849" s="26"/>
      <c r="C849" s="27"/>
      <c r="D849" s="28"/>
      <c r="E849" s="36"/>
      <c r="F849" s="36"/>
      <c r="G849" s="30" t="str">
        <f t="shared" si="11"/>
        <v/>
      </c>
      <c r="H849" s="37"/>
    </row>
    <row r="850" spans="2:8" ht="18" customHeight="1" x14ac:dyDescent="0.3">
      <c r="B850" s="26"/>
      <c r="C850" s="27"/>
      <c r="D850" s="17"/>
      <c r="E850" s="38"/>
      <c r="F850" s="38"/>
      <c r="G850" s="30" t="str">
        <f t="shared" si="11"/>
        <v/>
      </c>
      <c r="H850" s="39"/>
    </row>
    <row r="851" spans="2:8" ht="18" customHeight="1" x14ac:dyDescent="0.3">
      <c r="B851" s="26"/>
      <c r="C851" s="27"/>
      <c r="D851" s="28"/>
      <c r="E851" s="36"/>
      <c r="F851" s="36"/>
      <c r="G851" s="30" t="str">
        <f t="shared" si="11"/>
        <v/>
      </c>
      <c r="H851" s="37"/>
    </row>
    <row r="852" spans="2:8" ht="18" customHeight="1" x14ac:dyDescent="0.3">
      <c r="B852" s="26"/>
      <c r="C852" s="27"/>
      <c r="D852" s="17"/>
      <c r="E852" s="38"/>
      <c r="F852" s="38"/>
      <c r="G852" s="30" t="str">
        <f t="shared" si="11"/>
        <v/>
      </c>
      <c r="H852" s="39"/>
    </row>
    <row r="853" spans="2:8" ht="18" customHeight="1" x14ac:dyDescent="0.3">
      <c r="B853" s="26"/>
      <c r="C853" s="27"/>
      <c r="D853" s="28"/>
      <c r="E853" s="36"/>
      <c r="F853" s="36"/>
      <c r="G853" s="30" t="str">
        <f t="shared" si="11"/>
        <v/>
      </c>
      <c r="H853" s="37"/>
    </row>
    <row r="854" spans="2:8" ht="18" customHeight="1" x14ac:dyDescent="0.3">
      <c r="B854" s="26"/>
      <c r="C854" s="27"/>
      <c r="D854" s="17"/>
      <c r="E854" s="38"/>
      <c r="F854" s="38"/>
      <c r="G854" s="30" t="str">
        <f t="shared" si="11"/>
        <v/>
      </c>
      <c r="H854" s="39"/>
    </row>
    <row r="855" spans="2:8" ht="18" customHeight="1" x14ac:dyDescent="0.3">
      <c r="B855" s="26"/>
      <c r="C855" s="27"/>
      <c r="D855" s="28"/>
      <c r="E855" s="36"/>
      <c r="F855" s="36"/>
      <c r="G855" s="30" t="str">
        <f t="shared" si="11"/>
        <v/>
      </c>
      <c r="H855" s="37"/>
    </row>
    <row r="856" spans="2:8" ht="18" customHeight="1" x14ac:dyDescent="0.3">
      <c r="B856" s="26"/>
      <c r="C856" s="27"/>
      <c r="D856" s="17"/>
      <c r="E856" s="38"/>
      <c r="F856" s="38"/>
      <c r="G856" s="30" t="str">
        <f t="shared" si="11"/>
        <v/>
      </c>
      <c r="H856" s="39"/>
    </row>
    <row r="857" spans="2:8" ht="18" customHeight="1" x14ac:dyDescent="0.3">
      <c r="B857" s="26"/>
      <c r="C857" s="27"/>
      <c r="D857" s="28"/>
      <c r="E857" s="36"/>
      <c r="F857" s="36"/>
      <c r="G857" s="30" t="str">
        <f t="shared" si="11"/>
        <v/>
      </c>
      <c r="H857" s="37"/>
    </row>
    <row r="858" spans="2:8" ht="18" customHeight="1" x14ac:dyDescent="0.3">
      <c r="B858" s="26"/>
      <c r="C858" s="27"/>
      <c r="D858" s="17"/>
      <c r="E858" s="38"/>
      <c r="F858" s="38"/>
      <c r="G858" s="30" t="str">
        <f t="shared" si="11"/>
        <v/>
      </c>
      <c r="H858" s="39"/>
    </row>
    <row r="859" spans="2:8" ht="18" customHeight="1" x14ac:dyDescent="0.3">
      <c r="B859" s="26"/>
      <c r="C859" s="27"/>
      <c r="D859" s="28"/>
      <c r="E859" s="36"/>
      <c r="F859" s="36"/>
      <c r="G859" s="30" t="str">
        <f t="shared" si="11"/>
        <v/>
      </c>
      <c r="H859" s="37"/>
    </row>
    <row r="860" spans="2:8" ht="18" customHeight="1" x14ac:dyDescent="0.3">
      <c r="B860" s="26"/>
      <c r="C860" s="27"/>
      <c r="D860" s="17"/>
      <c r="E860" s="38"/>
      <c r="F860" s="38"/>
      <c r="G860" s="30" t="str">
        <f t="shared" si="11"/>
        <v/>
      </c>
      <c r="H860" s="39"/>
    </row>
    <row r="861" spans="2:8" ht="18" customHeight="1" x14ac:dyDescent="0.3">
      <c r="B861" s="26"/>
      <c r="C861" s="27"/>
      <c r="D861" s="28"/>
      <c r="E861" s="36"/>
      <c r="F861" s="36"/>
      <c r="G861" s="30" t="str">
        <f t="shared" si="11"/>
        <v/>
      </c>
      <c r="H861" s="37"/>
    </row>
    <row r="862" spans="2:8" ht="18" customHeight="1" x14ac:dyDescent="0.3">
      <c r="B862" s="26"/>
      <c r="C862" s="27"/>
      <c r="D862" s="17"/>
      <c r="E862" s="38"/>
      <c r="F862" s="38"/>
      <c r="G862" s="30" t="str">
        <f t="shared" si="11"/>
        <v/>
      </c>
      <c r="H862" s="39"/>
    </row>
    <row r="863" spans="2:8" ht="18" customHeight="1" x14ac:dyDescent="0.3">
      <c r="B863" s="26"/>
      <c r="C863" s="27"/>
      <c r="D863" s="28"/>
      <c r="E863" s="36"/>
      <c r="F863" s="36"/>
      <c r="G863" s="30" t="str">
        <f t="shared" si="11"/>
        <v/>
      </c>
      <c r="H863" s="37"/>
    </row>
    <row r="864" spans="2:8" ht="18" customHeight="1" x14ac:dyDescent="0.3">
      <c r="B864" s="26"/>
      <c r="C864" s="27"/>
      <c r="D864" s="17"/>
      <c r="E864" s="38"/>
      <c r="F864" s="38"/>
      <c r="G864" s="30" t="str">
        <f t="shared" si="11"/>
        <v/>
      </c>
      <c r="H864" s="39"/>
    </row>
    <row r="865" spans="2:8" ht="18" customHeight="1" x14ac:dyDescent="0.3">
      <c r="B865" s="26"/>
      <c r="C865" s="27"/>
      <c r="D865" s="28"/>
      <c r="E865" s="36"/>
      <c r="F865" s="36"/>
      <c r="G865" s="30" t="str">
        <f t="shared" si="11"/>
        <v/>
      </c>
      <c r="H865" s="37"/>
    </row>
    <row r="866" spans="2:8" ht="18" customHeight="1" x14ac:dyDescent="0.3">
      <c r="B866" s="26"/>
      <c r="C866" s="27"/>
      <c r="D866" s="17"/>
      <c r="E866" s="38"/>
      <c r="F866" s="38"/>
      <c r="G866" s="30" t="str">
        <f t="shared" si="11"/>
        <v/>
      </c>
      <c r="H866" s="39"/>
    </row>
    <row r="867" spans="2:8" ht="18" customHeight="1" x14ac:dyDescent="0.3">
      <c r="B867" s="26"/>
      <c r="C867" s="27"/>
      <c r="D867" s="28"/>
      <c r="E867" s="36"/>
      <c r="F867" s="36"/>
      <c r="G867" s="30" t="str">
        <f t="shared" si="11"/>
        <v/>
      </c>
      <c r="H867" s="37"/>
    </row>
    <row r="868" spans="2:8" ht="18" customHeight="1" x14ac:dyDescent="0.3">
      <c r="B868" s="26"/>
      <c r="C868" s="27"/>
      <c r="D868" s="17"/>
      <c r="E868" s="38"/>
      <c r="F868" s="38"/>
      <c r="G868" s="30" t="str">
        <f t="shared" si="11"/>
        <v/>
      </c>
      <c r="H868" s="39"/>
    </row>
    <row r="869" spans="2:8" ht="18" customHeight="1" x14ac:dyDescent="0.3">
      <c r="B869" s="26"/>
      <c r="C869" s="27"/>
      <c r="D869" s="28"/>
      <c r="E869" s="36"/>
      <c r="F869" s="36"/>
      <c r="G869" s="30" t="str">
        <f t="shared" si="11"/>
        <v/>
      </c>
      <c r="H869" s="37"/>
    </row>
    <row r="870" spans="2:8" ht="18" customHeight="1" x14ac:dyDescent="0.3">
      <c r="B870" s="26"/>
      <c r="C870" s="27"/>
      <c r="D870" s="17"/>
      <c r="E870" s="38"/>
      <c r="F870" s="38"/>
      <c r="G870" s="30" t="str">
        <f t="shared" si="11"/>
        <v/>
      </c>
      <c r="H870" s="39"/>
    </row>
    <row r="871" spans="2:8" ht="18" customHeight="1" x14ac:dyDescent="0.3">
      <c r="B871" s="26"/>
      <c r="C871" s="27"/>
      <c r="D871" s="28"/>
      <c r="E871" s="36"/>
      <c r="F871" s="36"/>
      <c r="G871" s="30" t="str">
        <f t="shared" si="11"/>
        <v/>
      </c>
      <c r="H871" s="37"/>
    </row>
    <row r="872" spans="2:8" ht="18" customHeight="1" x14ac:dyDescent="0.3">
      <c r="B872" s="26"/>
      <c r="C872" s="27"/>
      <c r="D872" s="17"/>
      <c r="E872" s="38"/>
      <c r="F872" s="38"/>
      <c r="G872" s="30" t="str">
        <f t="shared" si="11"/>
        <v/>
      </c>
      <c r="H872" s="39"/>
    </row>
    <row r="873" spans="2:8" ht="18" customHeight="1" x14ac:dyDescent="0.3">
      <c r="B873" s="26"/>
      <c r="C873" s="27"/>
      <c r="D873" s="28"/>
      <c r="E873" s="36"/>
      <c r="F873" s="36"/>
      <c r="G873" s="30" t="str">
        <f t="shared" si="11"/>
        <v/>
      </c>
      <c r="H873" s="37"/>
    </row>
    <row r="874" spans="2:8" ht="18" customHeight="1" x14ac:dyDescent="0.3">
      <c r="B874" s="26"/>
      <c r="C874" s="27"/>
      <c r="D874" s="17"/>
      <c r="E874" s="38"/>
      <c r="F874" s="38"/>
      <c r="G874" s="30" t="str">
        <f t="shared" si="11"/>
        <v/>
      </c>
      <c r="H874" s="39"/>
    </row>
    <row r="875" spans="2:8" ht="18" customHeight="1" x14ac:dyDescent="0.3">
      <c r="B875" s="26"/>
      <c r="C875" s="27"/>
      <c r="D875" s="28"/>
      <c r="E875" s="36"/>
      <c r="F875" s="36"/>
      <c r="G875" s="30" t="str">
        <f t="shared" si="11"/>
        <v/>
      </c>
      <c r="H875" s="37"/>
    </row>
    <row r="876" spans="2:8" ht="18" customHeight="1" x14ac:dyDescent="0.3">
      <c r="B876" s="26"/>
      <c r="C876" s="27"/>
      <c r="D876" s="17"/>
      <c r="E876" s="38"/>
      <c r="F876" s="38"/>
      <c r="G876" s="30" t="str">
        <f t="shared" si="11"/>
        <v/>
      </c>
      <c r="H876" s="39"/>
    </row>
    <row r="877" spans="2:8" ht="18" customHeight="1" x14ac:dyDescent="0.3">
      <c r="B877" s="26"/>
      <c r="C877" s="27"/>
      <c r="D877" s="28"/>
      <c r="E877" s="36"/>
      <c r="F877" s="36"/>
      <c r="G877" s="30" t="str">
        <f t="shared" si="11"/>
        <v/>
      </c>
      <c r="H877" s="37"/>
    </row>
    <row r="878" spans="2:8" ht="18" customHeight="1" x14ac:dyDescent="0.3">
      <c r="B878" s="26"/>
      <c r="C878" s="27"/>
      <c r="D878" s="17"/>
      <c r="E878" s="38"/>
      <c r="F878" s="38"/>
      <c r="G878" s="30" t="str">
        <f t="shared" si="11"/>
        <v/>
      </c>
      <c r="H878" s="39"/>
    </row>
    <row r="879" spans="2:8" ht="18" customHeight="1" x14ac:dyDescent="0.3">
      <c r="B879" s="26"/>
      <c r="C879" s="27"/>
      <c r="D879" s="28"/>
      <c r="E879" s="36"/>
      <c r="F879" s="36"/>
      <c r="G879" s="30" t="str">
        <f t="shared" si="11"/>
        <v/>
      </c>
      <c r="H879" s="37"/>
    </row>
    <row r="880" spans="2:8" ht="18" customHeight="1" x14ac:dyDescent="0.3">
      <c r="B880" s="26"/>
      <c r="C880" s="27"/>
      <c r="D880" s="17"/>
      <c r="E880" s="38"/>
      <c r="F880" s="38"/>
      <c r="G880" s="30" t="str">
        <f t="shared" si="11"/>
        <v/>
      </c>
      <c r="H880" s="39"/>
    </row>
    <row r="881" spans="2:8" ht="18" customHeight="1" x14ac:dyDescent="0.3">
      <c r="B881" s="26"/>
      <c r="C881" s="27"/>
      <c r="D881" s="28"/>
      <c r="E881" s="36"/>
      <c r="F881" s="36"/>
      <c r="G881" s="30" t="str">
        <f t="shared" si="11"/>
        <v/>
      </c>
      <c r="H881" s="37"/>
    </row>
    <row r="882" spans="2:8" ht="18" customHeight="1" x14ac:dyDescent="0.3">
      <c r="B882" s="26"/>
      <c r="C882" s="27"/>
      <c r="D882" s="17"/>
      <c r="E882" s="38"/>
      <c r="F882" s="38"/>
      <c r="G882" s="30" t="str">
        <f t="shared" si="11"/>
        <v/>
      </c>
      <c r="H882" s="39"/>
    </row>
    <row r="883" spans="2:8" ht="18" customHeight="1" x14ac:dyDescent="0.3">
      <c r="B883" s="26"/>
      <c r="C883" s="27"/>
      <c r="D883" s="28"/>
      <c r="E883" s="36"/>
      <c r="F883" s="36"/>
      <c r="G883" s="30" t="str">
        <f t="shared" si="11"/>
        <v/>
      </c>
      <c r="H883" s="37"/>
    </row>
    <row r="884" spans="2:8" ht="18" customHeight="1" x14ac:dyDescent="0.3">
      <c r="B884" s="26"/>
      <c r="C884" s="27"/>
      <c r="D884" s="17"/>
      <c r="E884" s="38"/>
      <c r="F884" s="38"/>
      <c r="G884" s="30" t="str">
        <f t="shared" si="11"/>
        <v/>
      </c>
      <c r="H884" s="39"/>
    </row>
    <row r="885" spans="2:8" ht="18" customHeight="1" x14ac:dyDescent="0.3">
      <c r="B885" s="26"/>
      <c r="C885" s="27"/>
      <c r="D885" s="28"/>
      <c r="E885" s="36"/>
      <c r="F885" s="36"/>
      <c r="G885" s="30" t="str">
        <f t="shared" si="11"/>
        <v/>
      </c>
      <c r="H885" s="37"/>
    </row>
    <row r="886" spans="2:8" ht="18" customHeight="1" x14ac:dyDescent="0.3">
      <c r="B886" s="26"/>
      <c r="C886" s="27"/>
      <c r="D886" s="17"/>
      <c r="E886" s="38"/>
      <c r="F886" s="38"/>
      <c r="G886" s="30" t="str">
        <f t="shared" si="11"/>
        <v/>
      </c>
      <c r="H886" s="39"/>
    </row>
    <row r="887" spans="2:8" ht="18" customHeight="1" x14ac:dyDescent="0.3">
      <c r="B887" s="26"/>
      <c r="C887" s="27"/>
      <c r="D887" s="28"/>
      <c r="E887" s="36"/>
      <c r="F887" s="36"/>
      <c r="G887" s="30" t="str">
        <f t="shared" si="11"/>
        <v/>
      </c>
      <c r="H887" s="37"/>
    </row>
    <row r="888" spans="2:8" ht="18" customHeight="1" x14ac:dyDescent="0.3">
      <c r="B888" s="26"/>
      <c r="C888" s="27"/>
      <c r="D888" s="17"/>
      <c r="E888" s="38"/>
      <c r="F888" s="38"/>
      <c r="G888" s="30" t="str">
        <f t="shared" si="11"/>
        <v/>
      </c>
      <c r="H888" s="39"/>
    </row>
    <row r="889" spans="2:8" ht="18" customHeight="1" x14ac:dyDescent="0.3">
      <c r="B889" s="26"/>
      <c r="C889" s="27"/>
      <c r="D889" s="28"/>
      <c r="E889" s="36"/>
      <c r="F889" s="36"/>
      <c r="G889" s="30" t="str">
        <f t="shared" si="11"/>
        <v/>
      </c>
      <c r="H889" s="37"/>
    </row>
    <row r="890" spans="2:8" ht="18" customHeight="1" x14ac:dyDescent="0.3">
      <c r="B890" s="26"/>
      <c r="C890" s="27"/>
      <c r="D890" s="17"/>
      <c r="E890" s="38"/>
      <c r="F890" s="38"/>
      <c r="G890" s="30" t="str">
        <f t="shared" si="11"/>
        <v/>
      </c>
      <c r="H890" s="39"/>
    </row>
    <row r="891" spans="2:8" ht="18" customHeight="1" x14ac:dyDescent="0.3">
      <c r="B891" s="26"/>
      <c r="C891" s="27"/>
      <c r="D891" s="28"/>
      <c r="E891" s="36"/>
      <c r="F891" s="36"/>
      <c r="G891" s="30" t="str">
        <f t="shared" si="11"/>
        <v/>
      </c>
      <c r="H891" s="37"/>
    </row>
    <row r="892" spans="2:8" ht="18" customHeight="1" x14ac:dyDescent="0.3">
      <c r="B892" s="26"/>
      <c r="C892" s="27"/>
      <c r="D892" s="17"/>
      <c r="E892" s="38"/>
      <c r="F892" s="38"/>
      <c r="G892" s="30" t="str">
        <f t="shared" si="11"/>
        <v/>
      </c>
      <c r="H892" s="39"/>
    </row>
    <row r="893" spans="2:8" ht="18" customHeight="1" x14ac:dyDescent="0.3">
      <c r="B893" s="26"/>
      <c r="C893" s="27"/>
      <c r="D893" s="28"/>
      <c r="E893" s="36"/>
      <c r="F893" s="36"/>
      <c r="G893" s="30" t="str">
        <f t="shared" si="11"/>
        <v/>
      </c>
      <c r="H893" s="37"/>
    </row>
    <row r="894" spans="2:8" ht="18" customHeight="1" x14ac:dyDescent="0.3">
      <c r="B894" s="26"/>
      <c r="C894" s="27"/>
      <c r="D894" s="17"/>
      <c r="E894" s="38"/>
      <c r="F894" s="38"/>
      <c r="G894" s="30" t="str">
        <f t="shared" si="11"/>
        <v/>
      </c>
      <c r="H894" s="39"/>
    </row>
    <row r="895" spans="2:8" ht="18" customHeight="1" x14ac:dyDescent="0.3">
      <c r="B895" s="26"/>
      <c r="C895" s="27"/>
      <c r="D895" s="28"/>
      <c r="E895" s="36"/>
      <c r="F895" s="36"/>
      <c r="G895" s="30" t="str">
        <f t="shared" si="11"/>
        <v/>
      </c>
      <c r="H895" s="37"/>
    </row>
    <row r="896" spans="2:8" ht="18" customHeight="1" x14ac:dyDescent="0.3">
      <c r="B896" s="26"/>
      <c r="C896" s="27"/>
      <c r="D896" s="17"/>
      <c r="E896" s="38"/>
      <c r="F896" s="38"/>
      <c r="G896" s="30" t="str">
        <f t="shared" si="11"/>
        <v/>
      </c>
      <c r="H896" s="39"/>
    </row>
    <row r="897" spans="2:8" ht="18" customHeight="1" x14ac:dyDescent="0.3">
      <c r="B897" s="26"/>
      <c r="C897" s="27"/>
      <c r="D897" s="28"/>
      <c r="E897" s="36"/>
      <c r="F897" s="36"/>
      <c r="G897" s="30" t="str">
        <f t="shared" si="11"/>
        <v/>
      </c>
      <c r="H897" s="37"/>
    </row>
    <row r="898" spans="2:8" ht="18" customHeight="1" x14ac:dyDescent="0.3">
      <c r="B898" s="26"/>
      <c r="C898" s="27"/>
      <c r="D898" s="17"/>
      <c r="E898" s="38"/>
      <c r="F898" s="38"/>
      <c r="G898" s="30" t="str">
        <f t="shared" si="11"/>
        <v/>
      </c>
      <c r="H898" s="39"/>
    </row>
    <row r="899" spans="2:8" ht="18" customHeight="1" x14ac:dyDescent="0.3">
      <c r="B899" s="26"/>
      <c r="C899" s="27"/>
      <c r="D899" s="28"/>
      <c r="E899" s="36"/>
      <c r="F899" s="36"/>
      <c r="G899" s="30" t="str">
        <f t="shared" si="11"/>
        <v/>
      </c>
      <c r="H899" s="37"/>
    </row>
    <row r="900" spans="2:8" ht="18" customHeight="1" x14ac:dyDescent="0.3">
      <c r="B900" s="26"/>
      <c r="C900" s="27"/>
      <c r="D900" s="17"/>
      <c r="E900" s="38"/>
      <c r="F900" s="38"/>
      <c r="G900" s="30" t="str">
        <f t="shared" si="11"/>
        <v/>
      </c>
      <c r="H900" s="39"/>
    </row>
    <row r="901" spans="2:8" ht="18" customHeight="1" x14ac:dyDescent="0.3">
      <c r="B901" s="26"/>
      <c r="C901" s="27"/>
      <c r="D901" s="28"/>
      <c r="E901" s="36"/>
      <c r="F901" s="36"/>
      <c r="G901" s="30" t="str">
        <f t="shared" ref="G901:G964" si="12">IF(OR(B901="",E901=""),"",IF(E901="08:00",8,IF(E901="07:00",8,7)))</f>
        <v/>
      </c>
      <c r="H901" s="37"/>
    </row>
    <row r="902" spans="2:8" ht="18" customHeight="1" x14ac:dyDescent="0.3">
      <c r="B902" s="26"/>
      <c r="C902" s="27"/>
      <c r="D902" s="17"/>
      <c r="E902" s="38"/>
      <c r="F902" s="38"/>
      <c r="G902" s="30" t="str">
        <f t="shared" si="12"/>
        <v/>
      </c>
      <c r="H902" s="39"/>
    </row>
    <row r="903" spans="2:8" ht="18" customHeight="1" x14ac:dyDescent="0.3">
      <c r="B903" s="26"/>
      <c r="C903" s="27"/>
      <c r="D903" s="28"/>
      <c r="E903" s="36"/>
      <c r="F903" s="36"/>
      <c r="G903" s="30" t="str">
        <f t="shared" si="12"/>
        <v/>
      </c>
      <c r="H903" s="37"/>
    </row>
    <row r="904" spans="2:8" ht="18" customHeight="1" x14ac:dyDescent="0.3">
      <c r="B904" s="26"/>
      <c r="C904" s="27"/>
      <c r="D904" s="17"/>
      <c r="E904" s="38"/>
      <c r="F904" s="38"/>
      <c r="G904" s="30" t="str">
        <f t="shared" si="12"/>
        <v/>
      </c>
      <c r="H904" s="39"/>
    </row>
    <row r="905" spans="2:8" ht="18" customHeight="1" x14ac:dyDescent="0.3">
      <c r="B905" s="26"/>
      <c r="C905" s="27"/>
      <c r="D905" s="28"/>
      <c r="E905" s="36"/>
      <c r="F905" s="36"/>
      <c r="G905" s="30" t="str">
        <f t="shared" si="12"/>
        <v/>
      </c>
      <c r="H905" s="37"/>
    </row>
    <row r="906" spans="2:8" ht="18" customHeight="1" x14ac:dyDescent="0.3">
      <c r="B906" s="26"/>
      <c r="C906" s="27"/>
      <c r="D906" s="17"/>
      <c r="E906" s="38"/>
      <c r="F906" s="38"/>
      <c r="G906" s="30" t="str">
        <f t="shared" si="12"/>
        <v/>
      </c>
      <c r="H906" s="39"/>
    </row>
    <row r="907" spans="2:8" ht="18" customHeight="1" x14ac:dyDescent="0.3">
      <c r="B907" s="26"/>
      <c r="C907" s="27"/>
      <c r="D907" s="28"/>
      <c r="E907" s="36"/>
      <c r="F907" s="36"/>
      <c r="G907" s="30" t="str">
        <f t="shared" si="12"/>
        <v/>
      </c>
      <c r="H907" s="37"/>
    </row>
    <row r="908" spans="2:8" ht="18" customHeight="1" x14ac:dyDescent="0.3">
      <c r="B908" s="26"/>
      <c r="C908" s="27"/>
      <c r="D908" s="17"/>
      <c r="E908" s="38"/>
      <c r="F908" s="38"/>
      <c r="G908" s="30" t="str">
        <f t="shared" si="12"/>
        <v/>
      </c>
      <c r="H908" s="39"/>
    </row>
    <row r="909" spans="2:8" ht="18" customHeight="1" x14ac:dyDescent="0.3">
      <c r="B909" s="26"/>
      <c r="C909" s="27"/>
      <c r="D909" s="28"/>
      <c r="E909" s="36"/>
      <c r="F909" s="36"/>
      <c r="G909" s="30" t="str">
        <f t="shared" si="12"/>
        <v/>
      </c>
      <c r="H909" s="37"/>
    </row>
    <row r="910" spans="2:8" ht="18" customHeight="1" x14ac:dyDescent="0.3">
      <c r="B910" s="26"/>
      <c r="C910" s="27"/>
      <c r="D910" s="17"/>
      <c r="E910" s="38"/>
      <c r="F910" s="38"/>
      <c r="G910" s="30" t="str">
        <f t="shared" si="12"/>
        <v/>
      </c>
      <c r="H910" s="39"/>
    </row>
    <row r="911" spans="2:8" ht="18" customHeight="1" x14ac:dyDescent="0.3">
      <c r="B911" s="26"/>
      <c r="C911" s="27"/>
      <c r="D911" s="28"/>
      <c r="E911" s="36"/>
      <c r="F911" s="36"/>
      <c r="G911" s="30" t="str">
        <f t="shared" si="12"/>
        <v/>
      </c>
      <c r="H911" s="37"/>
    </row>
    <row r="912" spans="2:8" ht="18" customHeight="1" x14ac:dyDescent="0.3">
      <c r="B912" s="26"/>
      <c r="C912" s="27"/>
      <c r="D912" s="17"/>
      <c r="E912" s="38"/>
      <c r="F912" s="38"/>
      <c r="G912" s="30" t="str">
        <f t="shared" si="12"/>
        <v/>
      </c>
      <c r="H912" s="39"/>
    </row>
    <row r="913" spans="2:8" ht="18" customHeight="1" x14ac:dyDescent="0.3">
      <c r="B913" s="26"/>
      <c r="C913" s="27"/>
      <c r="D913" s="28"/>
      <c r="E913" s="36"/>
      <c r="F913" s="36"/>
      <c r="G913" s="30" t="str">
        <f t="shared" si="12"/>
        <v/>
      </c>
      <c r="H913" s="37"/>
    </row>
    <row r="914" spans="2:8" ht="18" customHeight="1" x14ac:dyDescent="0.3">
      <c r="B914" s="26"/>
      <c r="C914" s="27"/>
      <c r="D914" s="17"/>
      <c r="E914" s="38"/>
      <c r="F914" s="38"/>
      <c r="G914" s="30" t="str">
        <f t="shared" si="12"/>
        <v/>
      </c>
      <c r="H914" s="39"/>
    </row>
    <row r="915" spans="2:8" ht="18" customHeight="1" x14ac:dyDescent="0.3">
      <c r="B915" s="26"/>
      <c r="C915" s="27"/>
      <c r="D915" s="28"/>
      <c r="E915" s="36"/>
      <c r="F915" s="36"/>
      <c r="G915" s="30" t="str">
        <f t="shared" si="12"/>
        <v/>
      </c>
      <c r="H915" s="37"/>
    </row>
    <row r="916" spans="2:8" ht="18" customHeight="1" x14ac:dyDescent="0.3">
      <c r="B916" s="26"/>
      <c r="C916" s="27"/>
      <c r="D916" s="17"/>
      <c r="E916" s="38"/>
      <c r="F916" s="38"/>
      <c r="G916" s="30" t="str">
        <f t="shared" si="12"/>
        <v/>
      </c>
      <c r="H916" s="39"/>
    </row>
    <row r="917" spans="2:8" ht="18" customHeight="1" x14ac:dyDescent="0.3">
      <c r="B917" s="26"/>
      <c r="C917" s="27"/>
      <c r="D917" s="28"/>
      <c r="E917" s="36"/>
      <c r="F917" s="36"/>
      <c r="G917" s="30" t="str">
        <f t="shared" si="12"/>
        <v/>
      </c>
      <c r="H917" s="37"/>
    </row>
    <row r="918" spans="2:8" ht="18" customHeight="1" x14ac:dyDescent="0.3">
      <c r="B918" s="26"/>
      <c r="C918" s="27"/>
      <c r="D918" s="17"/>
      <c r="E918" s="38"/>
      <c r="F918" s="38"/>
      <c r="G918" s="30" t="str">
        <f t="shared" si="12"/>
        <v/>
      </c>
      <c r="H918" s="39"/>
    </row>
    <row r="919" spans="2:8" ht="18" customHeight="1" x14ac:dyDescent="0.3">
      <c r="B919" s="26"/>
      <c r="C919" s="27"/>
      <c r="D919" s="28"/>
      <c r="E919" s="36"/>
      <c r="F919" s="36"/>
      <c r="G919" s="30" t="str">
        <f t="shared" si="12"/>
        <v/>
      </c>
      <c r="H919" s="37"/>
    </row>
    <row r="920" spans="2:8" ht="18" customHeight="1" x14ac:dyDescent="0.3">
      <c r="B920" s="26"/>
      <c r="C920" s="27"/>
      <c r="D920" s="17"/>
      <c r="E920" s="38"/>
      <c r="F920" s="38"/>
      <c r="G920" s="30" t="str">
        <f t="shared" si="12"/>
        <v/>
      </c>
      <c r="H920" s="39"/>
    </row>
    <row r="921" spans="2:8" ht="18" customHeight="1" x14ac:dyDescent="0.3">
      <c r="B921" s="26"/>
      <c r="C921" s="27"/>
      <c r="D921" s="28"/>
      <c r="E921" s="36"/>
      <c r="F921" s="36"/>
      <c r="G921" s="30" t="str">
        <f t="shared" si="12"/>
        <v/>
      </c>
      <c r="H921" s="37"/>
    </row>
    <row r="922" spans="2:8" ht="18" customHeight="1" x14ac:dyDescent="0.3">
      <c r="B922" s="26"/>
      <c r="C922" s="27"/>
      <c r="D922" s="17"/>
      <c r="E922" s="38"/>
      <c r="F922" s="38"/>
      <c r="G922" s="30" t="str">
        <f t="shared" si="12"/>
        <v/>
      </c>
      <c r="H922" s="39"/>
    </row>
    <row r="923" spans="2:8" ht="18" customHeight="1" x14ac:dyDescent="0.3">
      <c r="B923" s="26"/>
      <c r="C923" s="27"/>
      <c r="D923" s="28"/>
      <c r="E923" s="36"/>
      <c r="F923" s="36"/>
      <c r="G923" s="30" t="str">
        <f t="shared" si="12"/>
        <v/>
      </c>
      <c r="H923" s="37"/>
    </row>
    <row r="924" spans="2:8" ht="18" customHeight="1" x14ac:dyDescent="0.3">
      <c r="B924" s="26"/>
      <c r="C924" s="27"/>
      <c r="D924" s="17"/>
      <c r="E924" s="38"/>
      <c r="F924" s="38"/>
      <c r="G924" s="30" t="str">
        <f t="shared" si="12"/>
        <v/>
      </c>
      <c r="H924" s="39"/>
    </row>
    <row r="925" spans="2:8" ht="18" customHeight="1" x14ac:dyDescent="0.3">
      <c r="B925" s="26"/>
      <c r="C925" s="27"/>
      <c r="D925" s="28"/>
      <c r="E925" s="36"/>
      <c r="F925" s="36"/>
      <c r="G925" s="30" t="str">
        <f t="shared" si="12"/>
        <v/>
      </c>
      <c r="H925" s="37"/>
    </row>
    <row r="926" spans="2:8" ht="18" customHeight="1" x14ac:dyDescent="0.3">
      <c r="B926" s="26"/>
      <c r="C926" s="27"/>
      <c r="D926" s="17"/>
      <c r="E926" s="38"/>
      <c r="F926" s="38"/>
      <c r="G926" s="30" t="str">
        <f t="shared" si="12"/>
        <v/>
      </c>
      <c r="H926" s="39"/>
    </row>
    <row r="927" spans="2:8" ht="18" customHeight="1" x14ac:dyDescent="0.3">
      <c r="B927" s="26"/>
      <c r="C927" s="27"/>
      <c r="D927" s="28"/>
      <c r="E927" s="36"/>
      <c r="F927" s="36"/>
      <c r="G927" s="30" t="str">
        <f t="shared" si="12"/>
        <v/>
      </c>
      <c r="H927" s="37"/>
    </row>
    <row r="928" spans="2:8" ht="18" customHeight="1" x14ac:dyDescent="0.3">
      <c r="B928" s="26"/>
      <c r="C928" s="27"/>
      <c r="D928" s="17"/>
      <c r="E928" s="38"/>
      <c r="F928" s="38"/>
      <c r="G928" s="30" t="str">
        <f t="shared" si="12"/>
        <v/>
      </c>
      <c r="H928" s="39"/>
    </row>
    <row r="929" spans="2:8" ht="18" customHeight="1" x14ac:dyDescent="0.3">
      <c r="B929" s="26"/>
      <c r="C929" s="27"/>
      <c r="D929" s="28"/>
      <c r="E929" s="36"/>
      <c r="F929" s="36"/>
      <c r="G929" s="30" t="str">
        <f t="shared" si="12"/>
        <v/>
      </c>
      <c r="H929" s="37"/>
    </row>
    <row r="930" spans="2:8" ht="18" customHeight="1" x14ac:dyDescent="0.3">
      <c r="B930" s="26"/>
      <c r="C930" s="27"/>
      <c r="D930" s="17"/>
      <c r="E930" s="38"/>
      <c r="F930" s="38"/>
      <c r="G930" s="30" t="str">
        <f t="shared" si="12"/>
        <v/>
      </c>
      <c r="H930" s="39"/>
    </row>
    <row r="931" spans="2:8" ht="18" customHeight="1" x14ac:dyDescent="0.3">
      <c r="B931" s="26"/>
      <c r="C931" s="27"/>
      <c r="D931" s="28"/>
      <c r="E931" s="36"/>
      <c r="F931" s="36"/>
      <c r="G931" s="30" t="str">
        <f t="shared" si="12"/>
        <v/>
      </c>
      <c r="H931" s="37"/>
    </row>
    <row r="932" spans="2:8" ht="18" customHeight="1" x14ac:dyDescent="0.3">
      <c r="B932" s="26"/>
      <c r="C932" s="27"/>
      <c r="D932" s="17"/>
      <c r="E932" s="38"/>
      <c r="F932" s="38"/>
      <c r="G932" s="30" t="str">
        <f t="shared" si="12"/>
        <v/>
      </c>
      <c r="H932" s="39"/>
    </row>
    <row r="933" spans="2:8" ht="18" customHeight="1" x14ac:dyDescent="0.3">
      <c r="B933" s="26"/>
      <c r="C933" s="27"/>
      <c r="D933" s="28"/>
      <c r="E933" s="36"/>
      <c r="F933" s="36"/>
      <c r="G933" s="30" t="str">
        <f t="shared" si="12"/>
        <v/>
      </c>
      <c r="H933" s="37"/>
    </row>
    <row r="934" spans="2:8" ht="18" customHeight="1" x14ac:dyDescent="0.3">
      <c r="B934" s="26"/>
      <c r="C934" s="27"/>
      <c r="D934" s="17"/>
      <c r="E934" s="38"/>
      <c r="F934" s="38"/>
      <c r="G934" s="30" t="str">
        <f t="shared" si="12"/>
        <v/>
      </c>
      <c r="H934" s="39"/>
    </row>
    <row r="935" spans="2:8" ht="18" customHeight="1" x14ac:dyDescent="0.3">
      <c r="B935" s="26"/>
      <c r="C935" s="27"/>
      <c r="D935" s="28"/>
      <c r="E935" s="36"/>
      <c r="F935" s="36"/>
      <c r="G935" s="30" t="str">
        <f t="shared" si="12"/>
        <v/>
      </c>
      <c r="H935" s="37"/>
    </row>
    <row r="936" spans="2:8" ht="18" customHeight="1" x14ac:dyDescent="0.3">
      <c r="B936" s="26"/>
      <c r="C936" s="27"/>
      <c r="D936" s="17"/>
      <c r="E936" s="38"/>
      <c r="F936" s="38"/>
      <c r="G936" s="30" t="str">
        <f t="shared" si="12"/>
        <v/>
      </c>
      <c r="H936" s="39"/>
    </row>
    <row r="937" spans="2:8" ht="18" customHeight="1" x14ac:dyDescent="0.3">
      <c r="B937" s="26"/>
      <c r="C937" s="27"/>
      <c r="D937" s="28"/>
      <c r="E937" s="36"/>
      <c r="F937" s="36"/>
      <c r="G937" s="30" t="str">
        <f t="shared" si="12"/>
        <v/>
      </c>
      <c r="H937" s="37"/>
    </row>
    <row r="938" spans="2:8" ht="18" customHeight="1" x14ac:dyDescent="0.3">
      <c r="B938" s="26"/>
      <c r="C938" s="27"/>
      <c r="D938" s="17"/>
      <c r="E938" s="38"/>
      <c r="F938" s="38"/>
      <c r="G938" s="30" t="str">
        <f t="shared" si="12"/>
        <v/>
      </c>
      <c r="H938" s="39"/>
    </row>
    <row r="939" spans="2:8" ht="18" customHeight="1" x14ac:dyDescent="0.3">
      <c r="B939" s="26"/>
      <c r="C939" s="27"/>
      <c r="D939" s="28"/>
      <c r="E939" s="36"/>
      <c r="F939" s="36"/>
      <c r="G939" s="30" t="str">
        <f t="shared" si="12"/>
        <v/>
      </c>
      <c r="H939" s="37"/>
    </row>
    <row r="940" spans="2:8" ht="18" customHeight="1" x14ac:dyDescent="0.3">
      <c r="B940" s="26"/>
      <c r="C940" s="27"/>
      <c r="D940" s="17"/>
      <c r="E940" s="38"/>
      <c r="F940" s="38"/>
      <c r="G940" s="30" t="str">
        <f t="shared" si="12"/>
        <v/>
      </c>
      <c r="H940" s="39"/>
    </row>
    <row r="941" spans="2:8" ht="18" customHeight="1" x14ac:dyDescent="0.3">
      <c r="B941" s="26"/>
      <c r="C941" s="27"/>
      <c r="D941" s="28"/>
      <c r="E941" s="36"/>
      <c r="F941" s="36"/>
      <c r="G941" s="30" t="str">
        <f t="shared" si="12"/>
        <v/>
      </c>
      <c r="H941" s="37"/>
    </row>
    <row r="942" spans="2:8" ht="18" customHeight="1" x14ac:dyDescent="0.3">
      <c r="B942" s="26"/>
      <c r="C942" s="27"/>
      <c r="D942" s="17"/>
      <c r="E942" s="38"/>
      <c r="F942" s="38"/>
      <c r="G942" s="30" t="str">
        <f t="shared" si="12"/>
        <v/>
      </c>
      <c r="H942" s="39"/>
    </row>
    <row r="943" spans="2:8" ht="18" customHeight="1" x14ac:dyDescent="0.3">
      <c r="B943" s="26"/>
      <c r="C943" s="27"/>
      <c r="D943" s="28"/>
      <c r="E943" s="36"/>
      <c r="F943" s="36"/>
      <c r="G943" s="30" t="str">
        <f t="shared" si="12"/>
        <v/>
      </c>
      <c r="H943" s="37"/>
    </row>
    <row r="944" spans="2:8" ht="18" customHeight="1" x14ac:dyDescent="0.3">
      <c r="B944" s="26"/>
      <c r="C944" s="27"/>
      <c r="D944" s="17"/>
      <c r="E944" s="38"/>
      <c r="F944" s="38"/>
      <c r="G944" s="30" t="str">
        <f t="shared" si="12"/>
        <v/>
      </c>
      <c r="H944" s="39"/>
    </row>
    <row r="945" spans="2:8" ht="18" customHeight="1" x14ac:dyDescent="0.3">
      <c r="B945" s="26"/>
      <c r="C945" s="27"/>
      <c r="D945" s="28"/>
      <c r="E945" s="36"/>
      <c r="F945" s="36"/>
      <c r="G945" s="30" t="str">
        <f t="shared" si="12"/>
        <v/>
      </c>
      <c r="H945" s="37"/>
    </row>
    <row r="946" spans="2:8" ht="18" customHeight="1" x14ac:dyDescent="0.3">
      <c r="B946" s="26"/>
      <c r="C946" s="27"/>
      <c r="D946" s="17"/>
      <c r="E946" s="38"/>
      <c r="F946" s="38"/>
      <c r="G946" s="30" t="str">
        <f t="shared" si="12"/>
        <v/>
      </c>
      <c r="H946" s="39"/>
    </row>
    <row r="947" spans="2:8" ht="18" customHeight="1" x14ac:dyDescent="0.3">
      <c r="B947" s="26"/>
      <c r="C947" s="27"/>
      <c r="D947" s="28"/>
      <c r="E947" s="36"/>
      <c r="F947" s="36"/>
      <c r="G947" s="30" t="str">
        <f t="shared" si="12"/>
        <v/>
      </c>
      <c r="H947" s="37"/>
    </row>
    <row r="948" spans="2:8" ht="18" customHeight="1" x14ac:dyDescent="0.3">
      <c r="B948" s="26"/>
      <c r="C948" s="27"/>
      <c r="D948" s="17"/>
      <c r="E948" s="38"/>
      <c r="F948" s="38"/>
      <c r="G948" s="30" t="str">
        <f t="shared" si="12"/>
        <v/>
      </c>
      <c r="H948" s="39"/>
    </row>
    <row r="949" spans="2:8" ht="18" customHeight="1" x14ac:dyDescent="0.3">
      <c r="B949" s="26"/>
      <c r="C949" s="27"/>
      <c r="D949" s="28"/>
      <c r="E949" s="36"/>
      <c r="F949" s="36"/>
      <c r="G949" s="30" t="str">
        <f t="shared" si="12"/>
        <v/>
      </c>
      <c r="H949" s="37"/>
    </row>
    <row r="950" spans="2:8" ht="18" customHeight="1" x14ac:dyDescent="0.3">
      <c r="B950" s="26"/>
      <c r="C950" s="27"/>
      <c r="D950" s="17"/>
      <c r="E950" s="38"/>
      <c r="F950" s="38"/>
      <c r="G950" s="30" t="str">
        <f t="shared" si="12"/>
        <v/>
      </c>
      <c r="H950" s="39"/>
    </row>
    <row r="951" spans="2:8" ht="18" customHeight="1" x14ac:dyDescent="0.3">
      <c r="B951" s="26"/>
      <c r="C951" s="27"/>
      <c r="D951" s="28"/>
      <c r="E951" s="36"/>
      <c r="F951" s="36"/>
      <c r="G951" s="30" t="str">
        <f t="shared" si="12"/>
        <v/>
      </c>
      <c r="H951" s="37"/>
    </row>
    <row r="952" spans="2:8" ht="18" customHeight="1" x14ac:dyDescent="0.3">
      <c r="B952" s="26"/>
      <c r="C952" s="27"/>
      <c r="D952" s="17"/>
      <c r="E952" s="38"/>
      <c r="F952" s="38"/>
      <c r="G952" s="30" t="str">
        <f t="shared" si="12"/>
        <v/>
      </c>
      <c r="H952" s="39"/>
    </row>
    <row r="953" spans="2:8" ht="18" customHeight="1" x14ac:dyDescent="0.3">
      <c r="B953" s="26"/>
      <c r="C953" s="27"/>
      <c r="D953" s="28"/>
      <c r="E953" s="36"/>
      <c r="F953" s="36"/>
      <c r="G953" s="30" t="str">
        <f t="shared" si="12"/>
        <v/>
      </c>
      <c r="H953" s="37"/>
    </row>
    <row r="954" spans="2:8" ht="18" customHeight="1" x14ac:dyDescent="0.3">
      <c r="B954" s="26"/>
      <c r="C954" s="27"/>
      <c r="D954" s="17"/>
      <c r="E954" s="38"/>
      <c r="F954" s="38"/>
      <c r="G954" s="30" t="str">
        <f t="shared" si="12"/>
        <v/>
      </c>
      <c r="H954" s="39"/>
    </row>
    <row r="955" spans="2:8" ht="18" customHeight="1" x14ac:dyDescent="0.3">
      <c r="B955" s="26"/>
      <c r="C955" s="27"/>
      <c r="D955" s="28"/>
      <c r="E955" s="36"/>
      <c r="F955" s="36"/>
      <c r="G955" s="30" t="str">
        <f t="shared" si="12"/>
        <v/>
      </c>
      <c r="H955" s="37"/>
    </row>
    <row r="956" spans="2:8" ht="18" customHeight="1" x14ac:dyDescent="0.3">
      <c r="B956" s="26"/>
      <c r="C956" s="27"/>
      <c r="D956" s="17"/>
      <c r="E956" s="38"/>
      <c r="F956" s="38"/>
      <c r="G956" s="30" t="str">
        <f t="shared" si="12"/>
        <v/>
      </c>
      <c r="H956" s="39"/>
    </row>
    <row r="957" spans="2:8" ht="18" customHeight="1" x14ac:dyDescent="0.3">
      <c r="B957" s="26"/>
      <c r="C957" s="27"/>
      <c r="D957" s="28"/>
      <c r="E957" s="36"/>
      <c r="F957" s="36"/>
      <c r="G957" s="30" t="str">
        <f t="shared" si="12"/>
        <v/>
      </c>
      <c r="H957" s="37"/>
    </row>
    <row r="958" spans="2:8" ht="18" customHeight="1" x14ac:dyDescent="0.3">
      <c r="B958" s="26"/>
      <c r="C958" s="27"/>
      <c r="D958" s="17"/>
      <c r="E958" s="38"/>
      <c r="F958" s="38"/>
      <c r="G958" s="30" t="str">
        <f t="shared" si="12"/>
        <v/>
      </c>
      <c r="H958" s="39"/>
    </row>
    <row r="959" spans="2:8" ht="18" customHeight="1" x14ac:dyDescent="0.3">
      <c r="B959" s="26"/>
      <c r="C959" s="27"/>
      <c r="D959" s="28"/>
      <c r="E959" s="36"/>
      <c r="F959" s="36"/>
      <c r="G959" s="30" t="str">
        <f t="shared" si="12"/>
        <v/>
      </c>
      <c r="H959" s="37"/>
    </row>
    <row r="960" spans="2:8" ht="18" customHeight="1" x14ac:dyDescent="0.3">
      <c r="B960" s="26"/>
      <c r="C960" s="27"/>
      <c r="D960" s="17"/>
      <c r="E960" s="38"/>
      <c r="F960" s="38"/>
      <c r="G960" s="30" t="str">
        <f t="shared" si="12"/>
        <v/>
      </c>
      <c r="H960" s="39"/>
    </row>
    <row r="961" spans="2:8" ht="18" customHeight="1" x14ac:dyDescent="0.3">
      <c r="B961" s="26"/>
      <c r="C961" s="27"/>
      <c r="D961" s="28"/>
      <c r="E961" s="36"/>
      <c r="F961" s="36"/>
      <c r="G961" s="30" t="str">
        <f t="shared" si="12"/>
        <v/>
      </c>
      <c r="H961" s="37"/>
    </row>
    <row r="962" spans="2:8" ht="18" customHeight="1" x14ac:dyDescent="0.3">
      <c r="B962" s="26"/>
      <c r="C962" s="27"/>
      <c r="D962" s="17"/>
      <c r="E962" s="38"/>
      <c r="F962" s="38"/>
      <c r="G962" s="30" t="str">
        <f t="shared" si="12"/>
        <v/>
      </c>
      <c r="H962" s="39"/>
    </row>
    <row r="963" spans="2:8" ht="18" customHeight="1" x14ac:dyDescent="0.3">
      <c r="B963" s="26"/>
      <c r="C963" s="27"/>
      <c r="D963" s="28"/>
      <c r="E963" s="36"/>
      <c r="F963" s="36"/>
      <c r="G963" s="30" t="str">
        <f t="shared" si="12"/>
        <v/>
      </c>
      <c r="H963" s="37"/>
    </row>
    <row r="964" spans="2:8" ht="18" customHeight="1" x14ac:dyDescent="0.3">
      <c r="B964" s="26"/>
      <c r="C964" s="27"/>
      <c r="D964" s="17"/>
      <c r="E964" s="38"/>
      <c r="F964" s="38"/>
      <c r="G964" s="30" t="str">
        <f t="shared" si="12"/>
        <v/>
      </c>
      <c r="H964" s="39"/>
    </row>
    <row r="965" spans="2:8" ht="18" customHeight="1" x14ac:dyDescent="0.3">
      <c r="B965" s="26"/>
      <c r="C965" s="27"/>
      <c r="D965" s="28"/>
      <c r="E965" s="36"/>
      <c r="F965" s="36"/>
      <c r="G965" s="30" t="str">
        <f t="shared" ref="G965:G1028" si="13">IF(OR(B965="",E965=""),"",IF(E965="08:00",8,IF(E965="07:00",8,7)))</f>
        <v/>
      </c>
      <c r="H965" s="37"/>
    </row>
    <row r="966" spans="2:8" ht="18" customHeight="1" x14ac:dyDescent="0.3">
      <c r="B966" s="26"/>
      <c r="C966" s="27"/>
      <c r="D966" s="17"/>
      <c r="E966" s="38"/>
      <c r="F966" s="38"/>
      <c r="G966" s="30" t="str">
        <f t="shared" si="13"/>
        <v/>
      </c>
      <c r="H966" s="39"/>
    </row>
    <row r="967" spans="2:8" ht="18" customHeight="1" x14ac:dyDescent="0.3">
      <c r="B967" s="26"/>
      <c r="C967" s="27"/>
      <c r="D967" s="28"/>
      <c r="E967" s="36"/>
      <c r="F967" s="36"/>
      <c r="G967" s="30" t="str">
        <f t="shared" si="13"/>
        <v/>
      </c>
      <c r="H967" s="37"/>
    </row>
    <row r="968" spans="2:8" ht="18" customHeight="1" x14ac:dyDescent="0.3">
      <c r="B968" s="26"/>
      <c r="C968" s="27"/>
      <c r="D968" s="17"/>
      <c r="E968" s="38"/>
      <c r="F968" s="38"/>
      <c r="G968" s="30" t="str">
        <f t="shared" si="13"/>
        <v/>
      </c>
      <c r="H968" s="39"/>
    </row>
    <row r="969" spans="2:8" ht="18" customHeight="1" x14ac:dyDescent="0.3">
      <c r="B969" s="26"/>
      <c r="C969" s="27"/>
      <c r="D969" s="28"/>
      <c r="E969" s="36"/>
      <c r="F969" s="36"/>
      <c r="G969" s="30" t="str">
        <f t="shared" si="13"/>
        <v/>
      </c>
      <c r="H969" s="37"/>
    </row>
    <row r="970" spans="2:8" ht="18" customHeight="1" x14ac:dyDescent="0.3">
      <c r="B970" s="26"/>
      <c r="C970" s="27"/>
      <c r="D970" s="17"/>
      <c r="E970" s="38"/>
      <c r="F970" s="38"/>
      <c r="G970" s="30" t="str">
        <f t="shared" si="13"/>
        <v/>
      </c>
      <c r="H970" s="39"/>
    </row>
    <row r="971" spans="2:8" ht="18" customHeight="1" x14ac:dyDescent="0.3">
      <c r="B971" s="26"/>
      <c r="C971" s="27"/>
      <c r="D971" s="28"/>
      <c r="E971" s="36"/>
      <c r="F971" s="36"/>
      <c r="G971" s="30" t="str">
        <f t="shared" si="13"/>
        <v/>
      </c>
      <c r="H971" s="37"/>
    </row>
    <row r="972" spans="2:8" ht="18" customHeight="1" x14ac:dyDescent="0.3">
      <c r="B972" s="26"/>
      <c r="C972" s="27"/>
      <c r="D972" s="17"/>
      <c r="E972" s="38"/>
      <c r="F972" s="38"/>
      <c r="G972" s="30" t="str">
        <f t="shared" si="13"/>
        <v/>
      </c>
      <c r="H972" s="39"/>
    </row>
    <row r="973" spans="2:8" ht="18" customHeight="1" x14ac:dyDescent="0.3">
      <c r="B973" s="26"/>
      <c r="C973" s="27"/>
      <c r="D973" s="28"/>
      <c r="E973" s="36"/>
      <c r="F973" s="36"/>
      <c r="G973" s="30" t="str">
        <f t="shared" si="13"/>
        <v/>
      </c>
      <c r="H973" s="37"/>
    </row>
    <row r="974" spans="2:8" ht="18" customHeight="1" x14ac:dyDescent="0.3">
      <c r="B974" s="26"/>
      <c r="C974" s="27"/>
      <c r="D974" s="17"/>
      <c r="E974" s="38"/>
      <c r="F974" s="38"/>
      <c r="G974" s="30" t="str">
        <f t="shared" si="13"/>
        <v/>
      </c>
      <c r="H974" s="39"/>
    </row>
    <row r="975" spans="2:8" ht="18" customHeight="1" x14ac:dyDescent="0.3">
      <c r="B975" s="26"/>
      <c r="C975" s="27"/>
      <c r="D975" s="28"/>
      <c r="E975" s="36"/>
      <c r="F975" s="36"/>
      <c r="G975" s="30" t="str">
        <f t="shared" si="13"/>
        <v/>
      </c>
      <c r="H975" s="37"/>
    </row>
    <row r="976" spans="2:8" ht="18" customHeight="1" x14ac:dyDescent="0.3">
      <c r="B976" s="26"/>
      <c r="C976" s="27"/>
      <c r="D976" s="17"/>
      <c r="E976" s="38"/>
      <c r="F976" s="38"/>
      <c r="G976" s="30" t="str">
        <f t="shared" si="13"/>
        <v/>
      </c>
      <c r="H976" s="39"/>
    </row>
    <row r="977" spans="2:8" ht="18" customHeight="1" x14ac:dyDescent="0.3">
      <c r="B977" s="26"/>
      <c r="C977" s="27"/>
      <c r="D977" s="28"/>
      <c r="E977" s="36"/>
      <c r="F977" s="36"/>
      <c r="G977" s="30" t="str">
        <f t="shared" si="13"/>
        <v/>
      </c>
      <c r="H977" s="37"/>
    </row>
    <row r="978" spans="2:8" ht="18" customHeight="1" x14ac:dyDescent="0.3">
      <c r="B978" s="26"/>
      <c r="C978" s="27"/>
      <c r="D978" s="17"/>
      <c r="E978" s="38"/>
      <c r="F978" s="38"/>
      <c r="G978" s="30" t="str">
        <f t="shared" si="13"/>
        <v/>
      </c>
      <c r="H978" s="39"/>
    </row>
    <row r="979" spans="2:8" ht="18" customHeight="1" x14ac:dyDescent="0.3">
      <c r="B979" s="26"/>
      <c r="C979" s="27"/>
      <c r="D979" s="28"/>
      <c r="E979" s="36"/>
      <c r="F979" s="36"/>
      <c r="G979" s="30" t="str">
        <f t="shared" si="13"/>
        <v/>
      </c>
      <c r="H979" s="37"/>
    </row>
    <row r="980" spans="2:8" ht="18" customHeight="1" x14ac:dyDescent="0.3">
      <c r="B980" s="26"/>
      <c r="C980" s="27"/>
      <c r="D980" s="17"/>
      <c r="E980" s="38"/>
      <c r="F980" s="38"/>
      <c r="G980" s="30" t="str">
        <f t="shared" si="13"/>
        <v/>
      </c>
      <c r="H980" s="39"/>
    </row>
    <row r="981" spans="2:8" ht="18" customHeight="1" x14ac:dyDescent="0.3">
      <c r="B981" s="26"/>
      <c r="C981" s="27"/>
      <c r="D981" s="28"/>
      <c r="E981" s="36"/>
      <c r="F981" s="36"/>
      <c r="G981" s="30" t="str">
        <f t="shared" si="13"/>
        <v/>
      </c>
      <c r="H981" s="37"/>
    </row>
    <row r="982" spans="2:8" ht="18" customHeight="1" x14ac:dyDescent="0.3">
      <c r="B982" s="26"/>
      <c r="C982" s="27"/>
      <c r="D982" s="17"/>
      <c r="E982" s="38"/>
      <c r="F982" s="38"/>
      <c r="G982" s="30" t="str">
        <f t="shared" si="13"/>
        <v/>
      </c>
      <c r="H982" s="39"/>
    </row>
    <row r="983" spans="2:8" ht="18" customHeight="1" x14ac:dyDescent="0.3">
      <c r="B983" s="26"/>
      <c r="C983" s="27"/>
      <c r="D983" s="28"/>
      <c r="E983" s="36"/>
      <c r="F983" s="36"/>
      <c r="G983" s="30" t="str">
        <f t="shared" si="13"/>
        <v/>
      </c>
      <c r="H983" s="37"/>
    </row>
    <row r="984" spans="2:8" ht="18" customHeight="1" x14ac:dyDescent="0.3">
      <c r="B984" s="26"/>
      <c r="C984" s="27"/>
      <c r="D984" s="17"/>
      <c r="E984" s="38"/>
      <c r="F984" s="38"/>
      <c r="G984" s="30" t="str">
        <f t="shared" si="13"/>
        <v/>
      </c>
      <c r="H984" s="39"/>
    </row>
    <row r="985" spans="2:8" ht="18" customHeight="1" x14ac:dyDescent="0.3">
      <c r="B985" s="26"/>
      <c r="C985" s="27"/>
      <c r="D985" s="28"/>
      <c r="E985" s="36"/>
      <c r="F985" s="36"/>
      <c r="G985" s="30" t="str">
        <f t="shared" si="13"/>
        <v/>
      </c>
      <c r="H985" s="37"/>
    </row>
    <row r="986" spans="2:8" ht="18" customHeight="1" x14ac:dyDescent="0.3">
      <c r="B986" s="26"/>
      <c r="C986" s="27"/>
      <c r="D986" s="17"/>
      <c r="E986" s="38"/>
      <c r="F986" s="38"/>
      <c r="G986" s="30" t="str">
        <f t="shared" si="13"/>
        <v/>
      </c>
      <c r="H986" s="39"/>
    </row>
    <row r="987" spans="2:8" ht="18" customHeight="1" x14ac:dyDescent="0.3">
      <c r="B987" s="26"/>
      <c r="C987" s="27"/>
      <c r="D987" s="28"/>
      <c r="E987" s="36"/>
      <c r="F987" s="36"/>
      <c r="G987" s="30" t="str">
        <f t="shared" si="13"/>
        <v/>
      </c>
      <c r="H987" s="37"/>
    </row>
    <row r="988" spans="2:8" ht="18" customHeight="1" x14ac:dyDescent="0.3">
      <c r="B988" s="26"/>
      <c r="C988" s="27"/>
      <c r="D988" s="17"/>
      <c r="E988" s="38"/>
      <c r="F988" s="38"/>
      <c r="G988" s="30" t="str">
        <f t="shared" si="13"/>
        <v/>
      </c>
      <c r="H988" s="39"/>
    </row>
    <row r="989" spans="2:8" ht="18" customHeight="1" x14ac:dyDescent="0.3">
      <c r="B989" s="26"/>
      <c r="C989" s="27"/>
      <c r="D989" s="28"/>
      <c r="E989" s="36"/>
      <c r="F989" s="36"/>
      <c r="G989" s="30" t="str">
        <f t="shared" si="13"/>
        <v/>
      </c>
      <c r="H989" s="37"/>
    </row>
    <row r="990" spans="2:8" ht="18" customHeight="1" x14ac:dyDescent="0.3">
      <c r="B990" s="26"/>
      <c r="C990" s="27"/>
      <c r="D990" s="17"/>
      <c r="E990" s="38"/>
      <c r="F990" s="38"/>
      <c r="G990" s="30" t="str">
        <f t="shared" si="13"/>
        <v/>
      </c>
      <c r="H990" s="39"/>
    </row>
    <row r="991" spans="2:8" ht="18" customHeight="1" x14ac:dyDescent="0.3">
      <c r="B991" s="26"/>
      <c r="C991" s="27"/>
      <c r="D991" s="28"/>
      <c r="E991" s="36"/>
      <c r="F991" s="36"/>
      <c r="G991" s="30" t="str">
        <f t="shared" si="13"/>
        <v/>
      </c>
      <c r="H991" s="37"/>
    </row>
    <row r="992" spans="2:8" ht="18" customHeight="1" x14ac:dyDescent="0.3">
      <c r="B992" s="26"/>
      <c r="C992" s="27"/>
      <c r="D992" s="17"/>
      <c r="E992" s="38"/>
      <c r="F992" s="38"/>
      <c r="G992" s="30" t="str">
        <f t="shared" si="13"/>
        <v/>
      </c>
      <c r="H992" s="39"/>
    </row>
    <row r="993" spans="2:8" ht="18" customHeight="1" x14ac:dyDescent="0.3">
      <c r="B993" s="26"/>
      <c r="C993" s="27"/>
      <c r="D993" s="28"/>
      <c r="E993" s="36"/>
      <c r="F993" s="36"/>
      <c r="G993" s="30" t="str">
        <f t="shared" si="13"/>
        <v/>
      </c>
      <c r="H993" s="37"/>
    </row>
    <row r="994" spans="2:8" ht="18" customHeight="1" x14ac:dyDescent="0.3">
      <c r="B994" s="26"/>
      <c r="C994" s="27"/>
      <c r="D994" s="17"/>
      <c r="E994" s="38"/>
      <c r="F994" s="38"/>
      <c r="G994" s="30" t="str">
        <f t="shared" si="13"/>
        <v/>
      </c>
      <c r="H994" s="39"/>
    </row>
    <row r="995" spans="2:8" ht="18" customHeight="1" x14ac:dyDescent="0.3">
      <c r="B995" s="26"/>
      <c r="C995" s="27"/>
      <c r="D995" s="28"/>
      <c r="E995" s="36"/>
      <c r="F995" s="36"/>
      <c r="G995" s="30" t="str">
        <f t="shared" si="13"/>
        <v/>
      </c>
      <c r="H995" s="37"/>
    </row>
    <row r="996" spans="2:8" ht="18" customHeight="1" x14ac:dyDescent="0.3">
      <c r="B996" s="26"/>
      <c r="C996" s="27"/>
      <c r="D996" s="17"/>
      <c r="E996" s="38"/>
      <c r="F996" s="38"/>
      <c r="G996" s="30" t="str">
        <f t="shared" si="13"/>
        <v/>
      </c>
      <c r="H996" s="39"/>
    </row>
    <row r="997" spans="2:8" ht="18" customHeight="1" x14ac:dyDescent="0.3">
      <c r="B997" s="26"/>
      <c r="C997" s="27"/>
      <c r="D997" s="28"/>
      <c r="E997" s="36"/>
      <c r="F997" s="36"/>
      <c r="G997" s="30" t="str">
        <f t="shared" si="13"/>
        <v/>
      </c>
      <c r="H997" s="37"/>
    </row>
    <row r="998" spans="2:8" ht="18" customHeight="1" x14ac:dyDescent="0.3">
      <c r="B998" s="26"/>
      <c r="C998" s="27"/>
      <c r="D998" s="17"/>
      <c r="E998" s="38"/>
      <c r="F998" s="38"/>
      <c r="G998" s="30" t="str">
        <f t="shared" si="13"/>
        <v/>
      </c>
      <c r="H998" s="39"/>
    </row>
    <row r="999" spans="2:8" ht="18" customHeight="1" x14ac:dyDescent="0.3">
      <c r="B999" s="26"/>
      <c r="C999" s="27"/>
      <c r="D999" s="28"/>
      <c r="E999" s="36"/>
      <c r="F999" s="36"/>
      <c r="G999" s="30" t="str">
        <f t="shared" si="13"/>
        <v/>
      </c>
      <c r="H999" s="37"/>
    </row>
    <row r="1000" spans="2:8" ht="18" customHeight="1" x14ac:dyDescent="0.3">
      <c r="B1000" s="26"/>
      <c r="C1000" s="27"/>
      <c r="D1000" s="17"/>
      <c r="E1000" s="38"/>
      <c r="F1000" s="38"/>
      <c r="G1000" s="30" t="str">
        <f t="shared" si="13"/>
        <v/>
      </c>
      <c r="H1000" s="39"/>
    </row>
    <row r="1001" spans="2:8" ht="18" customHeight="1" x14ac:dyDescent="0.3">
      <c r="B1001" s="26"/>
      <c r="C1001" s="27"/>
      <c r="D1001" s="28"/>
      <c r="E1001" s="36"/>
      <c r="F1001" s="36"/>
      <c r="G1001" s="30" t="str">
        <f t="shared" si="13"/>
        <v/>
      </c>
      <c r="H1001" s="37"/>
    </row>
    <row r="1002" spans="2:8" ht="18" customHeight="1" x14ac:dyDescent="0.3">
      <c r="B1002" s="26"/>
      <c r="C1002" s="27"/>
      <c r="D1002" s="17"/>
      <c r="E1002" s="38"/>
      <c r="F1002" s="38"/>
      <c r="G1002" s="30" t="str">
        <f t="shared" si="13"/>
        <v/>
      </c>
      <c r="H1002" s="39"/>
    </row>
    <row r="1003" spans="2:8" ht="18" customHeight="1" x14ac:dyDescent="0.3">
      <c r="B1003" s="26"/>
      <c r="C1003" s="27"/>
      <c r="D1003" s="28"/>
      <c r="E1003" s="36"/>
      <c r="F1003" s="36"/>
      <c r="G1003" s="30" t="str">
        <f t="shared" si="13"/>
        <v/>
      </c>
      <c r="H1003" s="37"/>
    </row>
    <row r="1004" spans="2:8" ht="18" customHeight="1" x14ac:dyDescent="0.3">
      <c r="B1004" s="26"/>
      <c r="C1004" s="27"/>
      <c r="D1004" s="17"/>
      <c r="E1004" s="38"/>
      <c r="F1004" s="38"/>
      <c r="G1004" s="30" t="str">
        <f t="shared" si="13"/>
        <v/>
      </c>
      <c r="H1004" s="39"/>
    </row>
    <row r="1005" spans="2:8" ht="18" customHeight="1" x14ac:dyDescent="0.3">
      <c r="B1005" s="26"/>
      <c r="C1005" s="27"/>
      <c r="D1005" s="28"/>
      <c r="E1005" s="36"/>
      <c r="F1005" s="36"/>
      <c r="G1005" s="30" t="str">
        <f t="shared" si="13"/>
        <v/>
      </c>
      <c r="H1005" s="37"/>
    </row>
    <row r="1006" spans="2:8" ht="18" customHeight="1" x14ac:dyDescent="0.3">
      <c r="B1006" s="26"/>
      <c r="C1006" s="27"/>
      <c r="D1006" s="17"/>
      <c r="E1006" s="38"/>
      <c r="F1006" s="38"/>
      <c r="G1006" s="30" t="str">
        <f t="shared" si="13"/>
        <v/>
      </c>
      <c r="H1006" s="39"/>
    </row>
    <row r="1007" spans="2:8" ht="18" customHeight="1" x14ac:dyDescent="0.3">
      <c r="B1007" s="26"/>
      <c r="C1007" s="27"/>
      <c r="D1007" s="28"/>
      <c r="E1007" s="36"/>
      <c r="F1007" s="36"/>
      <c r="G1007" s="30" t="str">
        <f t="shared" si="13"/>
        <v/>
      </c>
      <c r="H1007" s="37"/>
    </row>
    <row r="1008" spans="2:8" ht="18" customHeight="1" x14ac:dyDescent="0.3">
      <c r="B1008" s="26"/>
      <c r="C1008" s="27"/>
      <c r="D1008" s="17"/>
      <c r="E1008" s="38"/>
      <c r="F1008" s="38"/>
      <c r="G1008" s="30" t="str">
        <f t="shared" si="13"/>
        <v/>
      </c>
      <c r="H1008" s="39"/>
    </row>
    <row r="1009" spans="2:8" ht="18" customHeight="1" x14ac:dyDescent="0.3">
      <c r="B1009" s="26"/>
      <c r="C1009" s="27"/>
      <c r="D1009" s="28"/>
      <c r="E1009" s="36"/>
      <c r="F1009" s="36"/>
      <c r="G1009" s="30" t="str">
        <f t="shared" si="13"/>
        <v/>
      </c>
      <c r="H1009" s="37"/>
    </row>
    <row r="1010" spans="2:8" ht="18" customHeight="1" x14ac:dyDescent="0.3">
      <c r="B1010" s="26"/>
      <c r="C1010" s="27"/>
      <c r="D1010" s="17"/>
      <c r="E1010" s="38"/>
      <c r="F1010" s="38"/>
      <c r="G1010" s="30" t="str">
        <f t="shared" si="13"/>
        <v/>
      </c>
      <c r="H1010" s="39"/>
    </row>
    <row r="1011" spans="2:8" ht="18" customHeight="1" x14ac:dyDescent="0.3">
      <c r="B1011" s="26"/>
      <c r="C1011" s="27"/>
      <c r="D1011" s="28"/>
      <c r="E1011" s="36"/>
      <c r="F1011" s="36"/>
      <c r="G1011" s="30" t="str">
        <f t="shared" si="13"/>
        <v/>
      </c>
      <c r="H1011" s="37"/>
    </row>
    <row r="1012" spans="2:8" ht="18" customHeight="1" x14ac:dyDescent="0.3">
      <c r="B1012" s="26"/>
      <c r="C1012" s="27"/>
      <c r="D1012" s="17"/>
      <c r="E1012" s="38"/>
      <c r="F1012" s="38"/>
      <c r="G1012" s="30" t="str">
        <f t="shared" si="13"/>
        <v/>
      </c>
      <c r="H1012" s="39"/>
    </row>
    <row r="1013" spans="2:8" ht="18" customHeight="1" x14ac:dyDescent="0.3">
      <c r="B1013" s="26"/>
      <c r="C1013" s="27"/>
      <c r="D1013" s="28"/>
      <c r="E1013" s="36"/>
      <c r="F1013" s="36"/>
      <c r="G1013" s="30" t="str">
        <f t="shared" si="13"/>
        <v/>
      </c>
      <c r="H1013" s="37"/>
    </row>
    <row r="1014" spans="2:8" ht="18" customHeight="1" x14ac:dyDescent="0.3">
      <c r="B1014" s="26"/>
      <c r="C1014" s="27"/>
      <c r="D1014" s="17"/>
      <c r="E1014" s="38"/>
      <c r="F1014" s="38"/>
      <c r="G1014" s="30" t="str">
        <f t="shared" si="13"/>
        <v/>
      </c>
      <c r="H1014" s="39"/>
    </row>
    <row r="1015" spans="2:8" ht="18" customHeight="1" x14ac:dyDescent="0.3">
      <c r="B1015" s="26"/>
      <c r="C1015" s="27"/>
      <c r="D1015" s="28"/>
      <c r="E1015" s="36"/>
      <c r="F1015" s="36"/>
      <c r="G1015" s="30" t="str">
        <f t="shared" si="13"/>
        <v/>
      </c>
      <c r="H1015" s="37"/>
    </row>
    <row r="1016" spans="2:8" ht="18" customHeight="1" x14ac:dyDescent="0.3">
      <c r="B1016" s="26"/>
      <c r="C1016" s="27"/>
      <c r="D1016" s="17"/>
      <c r="E1016" s="38"/>
      <c r="F1016" s="38"/>
      <c r="G1016" s="30" t="str">
        <f t="shared" si="13"/>
        <v/>
      </c>
      <c r="H1016" s="39"/>
    </row>
    <row r="1017" spans="2:8" ht="18" customHeight="1" x14ac:dyDescent="0.3">
      <c r="B1017" s="26"/>
      <c r="C1017" s="27"/>
      <c r="D1017" s="28"/>
      <c r="E1017" s="36"/>
      <c r="F1017" s="36"/>
      <c r="G1017" s="30" t="str">
        <f t="shared" si="13"/>
        <v/>
      </c>
      <c r="H1017" s="37"/>
    </row>
    <row r="1018" spans="2:8" ht="18" customHeight="1" x14ac:dyDescent="0.3">
      <c r="B1018" s="26"/>
      <c r="C1018" s="27"/>
      <c r="D1018" s="17"/>
      <c r="E1018" s="38"/>
      <c r="F1018" s="38"/>
      <c r="G1018" s="30" t="str">
        <f t="shared" si="13"/>
        <v/>
      </c>
      <c r="H1018" s="39"/>
    </row>
    <row r="1019" spans="2:8" ht="18" customHeight="1" x14ac:dyDescent="0.3">
      <c r="B1019" s="26"/>
      <c r="C1019" s="27"/>
      <c r="D1019" s="28"/>
      <c r="E1019" s="36"/>
      <c r="F1019" s="36"/>
      <c r="G1019" s="30" t="str">
        <f t="shared" si="13"/>
        <v/>
      </c>
      <c r="H1019" s="37"/>
    </row>
    <row r="1020" spans="2:8" ht="18" customHeight="1" x14ac:dyDescent="0.3">
      <c r="B1020" s="26"/>
      <c r="C1020" s="27"/>
      <c r="D1020" s="17"/>
      <c r="E1020" s="38"/>
      <c r="F1020" s="38"/>
      <c r="G1020" s="30" t="str">
        <f t="shared" si="13"/>
        <v/>
      </c>
      <c r="H1020" s="39"/>
    </row>
    <row r="1021" spans="2:8" ht="18" customHeight="1" x14ac:dyDescent="0.3">
      <c r="B1021" s="26"/>
      <c r="C1021" s="27"/>
      <c r="D1021" s="28"/>
      <c r="E1021" s="36"/>
      <c r="F1021" s="36"/>
      <c r="G1021" s="30" t="str">
        <f t="shared" si="13"/>
        <v/>
      </c>
      <c r="H1021" s="37"/>
    </row>
    <row r="1022" spans="2:8" ht="18" customHeight="1" x14ac:dyDescent="0.3">
      <c r="B1022" s="26"/>
      <c r="C1022" s="27"/>
      <c r="D1022" s="17"/>
      <c r="E1022" s="38"/>
      <c r="F1022" s="38"/>
      <c r="G1022" s="30" t="str">
        <f t="shared" si="13"/>
        <v/>
      </c>
      <c r="H1022" s="39"/>
    </row>
    <row r="1023" spans="2:8" ht="18" customHeight="1" x14ac:dyDescent="0.3">
      <c r="B1023" s="26"/>
      <c r="C1023" s="27"/>
      <c r="D1023" s="28"/>
      <c r="E1023" s="36"/>
      <c r="F1023" s="36"/>
      <c r="G1023" s="30" t="str">
        <f t="shared" si="13"/>
        <v/>
      </c>
      <c r="H1023" s="37"/>
    </row>
    <row r="1024" spans="2:8" ht="18" customHeight="1" x14ac:dyDescent="0.3">
      <c r="B1024" s="26"/>
      <c r="C1024" s="27"/>
      <c r="D1024" s="17"/>
      <c r="E1024" s="38"/>
      <c r="F1024" s="38"/>
      <c r="G1024" s="30" t="str">
        <f t="shared" si="13"/>
        <v/>
      </c>
      <c r="H1024" s="39"/>
    </row>
    <row r="1025" spans="2:8" ht="18" customHeight="1" x14ac:dyDescent="0.3">
      <c r="B1025" s="26"/>
      <c r="C1025" s="27"/>
      <c r="D1025" s="28"/>
      <c r="E1025" s="36"/>
      <c r="F1025" s="36"/>
      <c r="G1025" s="30" t="str">
        <f t="shared" si="13"/>
        <v/>
      </c>
      <c r="H1025" s="37"/>
    </row>
    <row r="1026" spans="2:8" ht="18" customHeight="1" x14ac:dyDescent="0.3">
      <c r="B1026" s="26"/>
      <c r="C1026" s="27"/>
      <c r="D1026" s="17"/>
      <c r="E1026" s="38"/>
      <c r="F1026" s="38"/>
      <c r="G1026" s="30" t="str">
        <f t="shared" si="13"/>
        <v/>
      </c>
      <c r="H1026" s="39"/>
    </row>
    <row r="1027" spans="2:8" ht="18" customHeight="1" x14ac:dyDescent="0.3">
      <c r="B1027" s="26"/>
      <c r="C1027" s="27"/>
      <c r="D1027" s="28"/>
      <c r="E1027" s="36"/>
      <c r="F1027" s="36"/>
      <c r="G1027" s="30" t="str">
        <f t="shared" si="13"/>
        <v/>
      </c>
      <c r="H1027" s="37"/>
    </row>
    <row r="1028" spans="2:8" ht="18" customHeight="1" x14ac:dyDescent="0.3">
      <c r="B1028" s="26"/>
      <c r="C1028" s="27"/>
      <c r="D1028" s="17"/>
      <c r="E1028" s="38"/>
      <c r="F1028" s="38"/>
      <c r="G1028" s="30" t="str">
        <f t="shared" si="13"/>
        <v/>
      </c>
      <c r="H1028" s="39"/>
    </row>
    <row r="1029" spans="2:8" ht="18" customHeight="1" x14ac:dyDescent="0.3">
      <c r="B1029" s="26"/>
      <c r="C1029" s="27"/>
      <c r="D1029" s="28"/>
      <c r="E1029" s="36"/>
      <c r="F1029" s="36"/>
      <c r="G1029" s="30" t="str">
        <f t="shared" ref="G1029:G1092" si="14">IF(OR(B1029="",E1029=""),"",IF(E1029="08:00",8,IF(E1029="07:00",8,7)))</f>
        <v/>
      </c>
      <c r="H1029" s="37"/>
    </row>
    <row r="1030" spans="2:8" ht="18" customHeight="1" x14ac:dyDescent="0.3">
      <c r="B1030" s="26"/>
      <c r="C1030" s="27"/>
      <c r="D1030" s="17"/>
      <c r="E1030" s="38"/>
      <c r="F1030" s="38"/>
      <c r="G1030" s="30" t="str">
        <f t="shared" si="14"/>
        <v/>
      </c>
      <c r="H1030" s="39"/>
    </row>
    <row r="1031" spans="2:8" ht="18" customHeight="1" x14ac:dyDescent="0.3">
      <c r="B1031" s="26"/>
      <c r="C1031" s="27"/>
      <c r="D1031" s="28"/>
      <c r="E1031" s="36"/>
      <c r="F1031" s="36"/>
      <c r="G1031" s="30" t="str">
        <f t="shared" si="14"/>
        <v/>
      </c>
      <c r="H1031" s="37"/>
    </row>
    <row r="1032" spans="2:8" ht="18" customHeight="1" x14ac:dyDescent="0.3">
      <c r="B1032" s="26"/>
      <c r="C1032" s="27"/>
      <c r="D1032" s="17"/>
      <c r="E1032" s="38"/>
      <c r="F1032" s="38"/>
      <c r="G1032" s="30" t="str">
        <f t="shared" si="14"/>
        <v/>
      </c>
      <c r="H1032" s="39"/>
    </row>
    <row r="1033" spans="2:8" ht="18" customHeight="1" x14ac:dyDescent="0.3">
      <c r="B1033" s="26"/>
      <c r="C1033" s="27"/>
      <c r="D1033" s="28"/>
      <c r="E1033" s="36"/>
      <c r="F1033" s="36"/>
      <c r="G1033" s="30" t="str">
        <f t="shared" si="14"/>
        <v/>
      </c>
      <c r="H1033" s="37"/>
    </row>
    <row r="1034" spans="2:8" ht="18" customHeight="1" x14ac:dyDescent="0.3">
      <c r="B1034" s="26"/>
      <c r="C1034" s="27"/>
      <c r="D1034" s="17"/>
      <c r="E1034" s="38"/>
      <c r="F1034" s="38"/>
      <c r="G1034" s="30" t="str">
        <f t="shared" si="14"/>
        <v/>
      </c>
      <c r="H1034" s="39"/>
    </row>
    <row r="1035" spans="2:8" ht="18" customHeight="1" x14ac:dyDescent="0.3">
      <c r="B1035" s="26"/>
      <c r="C1035" s="27"/>
      <c r="D1035" s="28"/>
      <c r="E1035" s="36"/>
      <c r="F1035" s="36"/>
      <c r="G1035" s="30" t="str">
        <f t="shared" si="14"/>
        <v/>
      </c>
      <c r="H1035" s="37"/>
    </row>
    <row r="1036" spans="2:8" ht="18" customHeight="1" x14ac:dyDescent="0.3">
      <c r="B1036" s="26"/>
      <c r="C1036" s="27"/>
      <c r="D1036" s="17"/>
      <c r="E1036" s="38"/>
      <c r="F1036" s="38"/>
      <c r="G1036" s="30" t="str">
        <f t="shared" si="14"/>
        <v/>
      </c>
      <c r="H1036" s="39"/>
    </row>
    <row r="1037" spans="2:8" ht="18" customHeight="1" x14ac:dyDescent="0.3">
      <c r="B1037" s="26"/>
      <c r="C1037" s="27"/>
      <c r="D1037" s="28"/>
      <c r="E1037" s="36"/>
      <c r="F1037" s="36"/>
      <c r="G1037" s="30" t="str">
        <f t="shared" si="14"/>
        <v/>
      </c>
      <c r="H1037" s="37"/>
    </row>
    <row r="1038" spans="2:8" ht="18" customHeight="1" x14ac:dyDescent="0.3">
      <c r="B1038" s="26"/>
      <c r="C1038" s="27"/>
      <c r="D1038" s="17"/>
      <c r="E1038" s="38"/>
      <c r="F1038" s="38"/>
      <c r="G1038" s="30" t="str">
        <f t="shared" si="14"/>
        <v/>
      </c>
      <c r="H1038" s="39"/>
    </row>
    <row r="1039" spans="2:8" ht="18" customHeight="1" x14ac:dyDescent="0.3">
      <c r="B1039" s="26"/>
      <c r="C1039" s="27"/>
      <c r="D1039" s="28"/>
      <c r="E1039" s="36"/>
      <c r="F1039" s="36"/>
      <c r="G1039" s="30" t="str">
        <f t="shared" si="14"/>
        <v/>
      </c>
      <c r="H1039" s="37"/>
    </row>
    <row r="1040" spans="2:8" ht="18" customHeight="1" x14ac:dyDescent="0.3">
      <c r="B1040" s="26"/>
      <c r="C1040" s="27"/>
      <c r="D1040" s="17"/>
      <c r="E1040" s="38"/>
      <c r="F1040" s="38"/>
      <c r="G1040" s="30" t="str">
        <f t="shared" si="14"/>
        <v/>
      </c>
      <c r="H1040" s="39"/>
    </row>
    <row r="1041" spans="2:8" ht="18" customHeight="1" x14ac:dyDescent="0.3">
      <c r="B1041" s="26"/>
      <c r="C1041" s="27"/>
      <c r="D1041" s="28"/>
      <c r="E1041" s="36"/>
      <c r="F1041" s="36"/>
      <c r="G1041" s="30" t="str">
        <f t="shared" si="14"/>
        <v/>
      </c>
      <c r="H1041" s="37"/>
    </row>
    <row r="1042" spans="2:8" ht="18" customHeight="1" x14ac:dyDescent="0.3">
      <c r="B1042" s="26"/>
      <c r="C1042" s="27"/>
      <c r="D1042" s="17"/>
      <c r="E1042" s="38"/>
      <c r="F1042" s="38"/>
      <c r="G1042" s="30" t="str">
        <f t="shared" si="14"/>
        <v/>
      </c>
      <c r="H1042" s="39"/>
    </row>
    <row r="1043" spans="2:8" ht="18" customHeight="1" x14ac:dyDescent="0.3">
      <c r="B1043" s="26"/>
      <c r="C1043" s="27"/>
      <c r="D1043" s="28"/>
      <c r="E1043" s="36"/>
      <c r="F1043" s="36"/>
      <c r="G1043" s="30" t="str">
        <f t="shared" si="14"/>
        <v/>
      </c>
      <c r="H1043" s="37"/>
    </row>
    <row r="1044" spans="2:8" ht="18" customHeight="1" x14ac:dyDescent="0.3">
      <c r="B1044" s="26"/>
      <c r="C1044" s="27"/>
      <c r="D1044" s="17"/>
      <c r="E1044" s="38"/>
      <c r="F1044" s="38"/>
      <c r="G1044" s="30" t="str">
        <f t="shared" si="14"/>
        <v/>
      </c>
      <c r="H1044" s="39"/>
    </row>
    <row r="1045" spans="2:8" ht="18" customHeight="1" x14ac:dyDescent="0.3">
      <c r="B1045" s="26"/>
      <c r="C1045" s="27"/>
      <c r="D1045" s="28"/>
      <c r="E1045" s="36"/>
      <c r="F1045" s="36"/>
      <c r="G1045" s="30" t="str">
        <f t="shared" si="14"/>
        <v/>
      </c>
      <c r="H1045" s="37"/>
    </row>
    <row r="1046" spans="2:8" ht="18" customHeight="1" x14ac:dyDescent="0.3">
      <c r="B1046" s="26"/>
      <c r="C1046" s="27"/>
      <c r="D1046" s="17"/>
      <c r="E1046" s="38"/>
      <c r="F1046" s="38"/>
      <c r="G1046" s="30" t="str">
        <f t="shared" si="14"/>
        <v/>
      </c>
      <c r="H1046" s="39"/>
    </row>
    <row r="1047" spans="2:8" ht="18" customHeight="1" x14ac:dyDescent="0.3">
      <c r="B1047" s="26"/>
      <c r="C1047" s="27"/>
      <c r="D1047" s="28"/>
      <c r="E1047" s="36"/>
      <c r="F1047" s="36"/>
      <c r="G1047" s="30" t="str">
        <f t="shared" si="14"/>
        <v/>
      </c>
      <c r="H1047" s="37"/>
    </row>
    <row r="1048" spans="2:8" ht="18" customHeight="1" x14ac:dyDescent="0.3">
      <c r="B1048" s="26"/>
      <c r="C1048" s="27"/>
      <c r="D1048" s="17"/>
      <c r="E1048" s="38"/>
      <c r="F1048" s="38"/>
      <c r="G1048" s="30" t="str">
        <f t="shared" si="14"/>
        <v/>
      </c>
      <c r="H1048" s="39"/>
    </row>
    <row r="1049" spans="2:8" ht="18" customHeight="1" x14ac:dyDescent="0.3">
      <c r="B1049" s="26"/>
      <c r="C1049" s="27"/>
      <c r="D1049" s="28"/>
      <c r="E1049" s="36"/>
      <c r="F1049" s="36"/>
      <c r="G1049" s="30" t="str">
        <f t="shared" si="14"/>
        <v/>
      </c>
      <c r="H1049" s="37"/>
    </row>
    <row r="1050" spans="2:8" ht="18" customHeight="1" x14ac:dyDescent="0.3">
      <c r="B1050" s="26"/>
      <c r="C1050" s="27"/>
      <c r="D1050" s="17"/>
      <c r="E1050" s="38"/>
      <c r="F1050" s="38"/>
      <c r="G1050" s="30" t="str">
        <f t="shared" si="14"/>
        <v/>
      </c>
      <c r="H1050" s="39"/>
    </row>
    <row r="1051" spans="2:8" ht="18" customHeight="1" x14ac:dyDescent="0.3">
      <c r="B1051" s="26"/>
      <c r="C1051" s="27"/>
      <c r="D1051" s="28"/>
      <c r="E1051" s="36"/>
      <c r="F1051" s="36"/>
      <c r="G1051" s="30" t="str">
        <f t="shared" si="14"/>
        <v/>
      </c>
      <c r="H1051" s="37"/>
    </row>
    <row r="1052" spans="2:8" ht="18" customHeight="1" x14ac:dyDescent="0.3">
      <c r="B1052" s="26"/>
      <c r="C1052" s="27"/>
      <c r="D1052" s="17"/>
      <c r="E1052" s="38"/>
      <c r="F1052" s="38"/>
      <c r="G1052" s="30" t="str">
        <f t="shared" si="14"/>
        <v/>
      </c>
      <c r="H1052" s="39"/>
    </row>
    <row r="1053" spans="2:8" ht="18" customHeight="1" x14ac:dyDescent="0.3">
      <c r="B1053" s="26"/>
      <c r="C1053" s="27"/>
      <c r="D1053" s="28"/>
      <c r="E1053" s="36"/>
      <c r="F1053" s="36"/>
      <c r="G1053" s="30" t="str">
        <f t="shared" si="14"/>
        <v/>
      </c>
      <c r="H1053" s="37"/>
    </row>
    <row r="1054" spans="2:8" ht="18" customHeight="1" x14ac:dyDescent="0.3">
      <c r="B1054" s="26"/>
      <c r="C1054" s="27"/>
      <c r="D1054" s="17"/>
      <c r="E1054" s="38"/>
      <c r="F1054" s="38"/>
      <c r="G1054" s="30" t="str">
        <f t="shared" si="14"/>
        <v/>
      </c>
      <c r="H1054" s="39"/>
    </row>
    <row r="1055" spans="2:8" ht="18" customHeight="1" x14ac:dyDescent="0.3">
      <c r="B1055" s="26"/>
      <c r="C1055" s="27"/>
      <c r="D1055" s="28"/>
      <c r="E1055" s="36"/>
      <c r="F1055" s="36"/>
      <c r="G1055" s="30" t="str">
        <f t="shared" si="14"/>
        <v/>
      </c>
      <c r="H1055" s="37"/>
    </row>
    <row r="1056" spans="2:8" ht="18" customHeight="1" x14ac:dyDescent="0.3">
      <c r="B1056" s="26"/>
      <c r="C1056" s="27"/>
      <c r="D1056" s="17"/>
      <c r="E1056" s="38"/>
      <c r="F1056" s="38"/>
      <c r="G1056" s="30" t="str">
        <f t="shared" si="14"/>
        <v/>
      </c>
      <c r="H1056" s="39"/>
    </row>
    <row r="1057" spans="2:8" ht="18" customHeight="1" x14ac:dyDescent="0.3">
      <c r="B1057" s="26"/>
      <c r="C1057" s="27"/>
      <c r="D1057" s="28"/>
      <c r="E1057" s="36"/>
      <c r="F1057" s="36"/>
      <c r="G1057" s="30" t="str">
        <f t="shared" si="14"/>
        <v/>
      </c>
      <c r="H1057" s="37"/>
    </row>
    <row r="1058" spans="2:8" ht="18" customHeight="1" x14ac:dyDescent="0.3">
      <c r="B1058" s="26"/>
      <c r="C1058" s="27"/>
      <c r="D1058" s="17"/>
      <c r="E1058" s="38"/>
      <c r="F1058" s="38"/>
      <c r="G1058" s="30" t="str">
        <f t="shared" si="14"/>
        <v/>
      </c>
      <c r="H1058" s="39"/>
    </row>
    <row r="1059" spans="2:8" ht="18" customHeight="1" x14ac:dyDescent="0.3">
      <c r="B1059" s="26"/>
      <c r="C1059" s="27"/>
      <c r="D1059" s="28"/>
      <c r="E1059" s="36"/>
      <c r="F1059" s="36"/>
      <c r="G1059" s="30" t="str">
        <f t="shared" si="14"/>
        <v/>
      </c>
      <c r="H1059" s="37"/>
    </row>
    <row r="1060" spans="2:8" ht="18" customHeight="1" x14ac:dyDescent="0.3">
      <c r="B1060" s="26"/>
      <c r="C1060" s="27"/>
      <c r="D1060" s="17"/>
      <c r="E1060" s="38"/>
      <c r="F1060" s="38"/>
      <c r="G1060" s="30" t="str">
        <f t="shared" si="14"/>
        <v/>
      </c>
      <c r="H1060" s="39"/>
    </row>
    <row r="1061" spans="2:8" ht="18" customHeight="1" x14ac:dyDescent="0.3">
      <c r="B1061" s="26"/>
      <c r="C1061" s="27"/>
      <c r="D1061" s="28"/>
      <c r="E1061" s="36"/>
      <c r="F1061" s="36"/>
      <c r="G1061" s="30" t="str">
        <f t="shared" si="14"/>
        <v/>
      </c>
      <c r="H1061" s="37"/>
    </row>
    <row r="1062" spans="2:8" ht="18" customHeight="1" x14ac:dyDescent="0.3">
      <c r="B1062" s="26"/>
      <c r="C1062" s="27"/>
      <c r="D1062" s="17"/>
      <c r="E1062" s="38"/>
      <c r="F1062" s="38"/>
      <c r="G1062" s="30" t="str">
        <f t="shared" si="14"/>
        <v/>
      </c>
      <c r="H1062" s="39"/>
    </row>
    <row r="1063" spans="2:8" ht="18" customHeight="1" x14ac:dyDescent="0.3">
      <c r="B1063" s="26"/>
      <c r="C1063" s="27"/>
      <c r="D1063" s="28"/>
      <c r="E1063" s="36"/>
      <c r="F1063" s="36"/>
      <c r="G1063" s="30" t="str">
        <f t="shared" si="14"/>
        <v/>
      </c>
      <c r="H1063" s="37"/>
    </row>
    <row r="1064" spans="2:8" ht="18" customHeight="1" x14ac:dyDescent="0.3">
      <c r="B1064" s="26"/>
      <c r="C1064" s="27"/>
      <c r="D1064" s="17"/>
      <c r="E1064" s="38"/>
      <c r="F1064" s="38"/>
      <c r="G1064" s="30" t="str">
        <f t="shared" si="14"/>
        <v/>
      </c>
      <c r="H1064" s="39"/>
    </row>
    <row r="1065" spans="2:8" ht="18" customHeight="1" x14ac:dyDescent="0.3">
      <c r="B1065" s="26"/>
      <c r="C1065" s="27"/>
      <c r="D1065" s="28"/>
      <c r="E1065" s="36"/>
      <c r="F1065" s="36"/>
      <c r="G1065" s="30" t="str">
        <f t="shared" si="14"/>
        <v/>
      </c>
      <c r="H1065" s="37"/>
    </row>
    <row r="1066" spans="2:8" ht="18" customHeight="1" x14ac:dyDescent="0.3">
      <c r="B1066" s="26"/>
      <c r="C1066" s="27"/>
      <c r="D1066" s="17"/>
      <c r="E1066" s="38"/>
      <c r="F1066" s="38"/>
      <c r="G1066" s="30" t="str">
        <f t="shared" si="14"/>
        <v/>
      </c>
      <c r="H1066" s="39"/>
    </row>
    <row r="1067" spans="2:8" ht="18" customHeight="1" x14ac:dyDescent="0.3">
      <c r="B1067" s="26"/>
      <c r="C1067" s="27"/>
      <c r="D1067" s="28"/>
      <c r="E1067" s="36"/>
      <c r="F1067" s="36"/>
      <c r="G1067" s="30" t="str">
        <f t="shared" si="14"/>
        <v/>
      </c>
      <c r="H1067" s="37"/>
    </row>
    <row r="1068" spans="2:8" ht="18" customHeight="1" x14ac:dyDescent="0.3">
      <c r="B1068" s="26"/>
      <c r="C1068" s="27"/>
      <c r="D1068" s="17"/>
      <c r="E1068" s="38"/>
      <c r="F1068" s="38"/>
      <c r="G1068" s="30" t="str">
        <f t="shared" si="14"/>
        <v/>
      </c>
      <c r="H1068" s="39"/>
    </row>
    <row r="1069" spans="2:8" ht="18" customHeight="1" x14ac:dyDescent="0.3">
      <c r="B1069" s="26"/>
      <c r="C1069" s="27"/>
      <c r="D1069" s="28"/>
      <c r="E1069" s="36"/>
      <c r="F1069" s="36"/>
      <c r="G1069" s="30" t="str">
        <f t="shared" si="14"/>
        <v/>
      </c>
      <c r="H1069" s="37"/>
    </row>
    <row r="1070" spans="2:8" ht="18" customHeight="1" x14ac:dyDescent="0.3">
      <c r="B1070" s="26"/>
      <c r="C1070" s="27"/>
      <c r="D1070" s="17"/>
      <c r="E1070" s="38"/>
      <c r="F1070" s="38"/>
      <c r="G1070" s="30" t="str">
        <f t="shared" si="14"/>
        <v/>
      </c>
      <c r="H1070" s="39"/>
    </row>
    <row r="1071" spans="2:8" ht="18" customHeight="1" x14ac:dyDescent="0.3">
      <c r="B1071" s="26"/>
      <c r="C1071" s="27"/>
      <c r="D1071" s="28"/>
      <c r="E1071" s="36"/>
      <c r="F1071" s="36"/>
      <c r="G1071" s="30" t="str">
        <f t="shared" si="14"/>
        <v/>
      </c>
      <c r="H1071" s="37"/>
    </row>
    <row r="1072" spans="2:8" ht="18" customHeight="1" x14ac:dyDescent="0.3">
      <c r="B1072" s="26"/>
      <c r="C1072" s="27"/>
      <c r="D1072" s="17"/>
      <c r="E1072" s="38"/>
      <c r="F1072" s="38"/>
      <c r="G1072" s="30" t="str">
        <f t="shared" si="14"/>
        <v/>
      </c>
      <c r="H1072" s="39"/>
    </row>
    <row r="1073" spans="2:8" ht="18" customHeight="1" x14ac:dyDescent="0.3">
      <c r="B1073" s="26"/>
      <c r="C1073" s="27"/>
      <c r="D1073" s="28"/>
      <c r="E1073" s="36"/>
      <c r="F1073" s="36"/>
      <c r="G1073" s="30" t="str">
        <f t="shared" si="14"/>
        <v/>
      </c>
      <c r="H1073" s="37"/>
    </row>
    <row r="1074" spans="2:8" ht="18" customHeight="1" x14ac:dyDescent="0.3">
      <c r="B1074" s="26"/>
      <c r="C1074" s="27"/>
      <c r="D1074" s="17"/>
      <c r="E1074" s="38"/>
      <c r="F1074" s="38"/>
      <c r="G1074" s="30" t="str">
        <f t="shared" si="14"/>
        <v/>
      </c>
      <c r="H1074" s="39"/>
    </row>
    <row r="1075" spans="2:8" ht="18" customHeight="1" x14ac:dyDescent="0.3">
      <c r="B1075" s="26"/>
      <c r="C1075" s="27"/>
      <c r="D1075" s="28"/>
      <c r="E1075" s="36"/>
      <c r="F1075" s="36"/>
      <c r="G1075" s="30" t="str">
        <f t="shared" si="14"/>
        <v/>
      </c>
      <c r="H1075" s="37"/>
    </row>
    <row r="1076" spans="2:8" ht="18" customHeight="1" x14ac:dyDescent="0.3">
      <c r="B1076" s="26"/>
      <c r="C1076" s="27"/>
      <c r="D1076" s="17"/>
      <c r="E1076" s="38"/>
      <c r="F1076" s="38"/>
      <c r="G1076" s="30" t="str">
        <f t="shared" si="14"/>
        <v/>
      </c>
      <c r="H1076" s="39"/>
    </row>
    <row r="1077" spans="2:8" ht="18" customHeight="1" x14ac:dyDescent="0.3">
      <c r="B1077" s="26"/>
      <c r="C1077" s="27"/>
      <c r="D1077" s="28"/>
      <c r="E1077" s="36"/>
      <c r="F1077" s="36"/>
      <c r="G1077" s="30" t="str">
        <f t="shared" si="14"/>
        <v/>
      </c>
      <c r="H1077" s="37"/>
    </row>
    <row r="1078" spans="2:8" ht="18" customHeight="1" x14ac:dyDescent="0.3">
      <c r="B1078" s="26"/>
      <c r="C1078" s="27"/>
      <c r="D1078" s="17"/>
      <c r="E1078" s="38"/>
      <c r="F1078" s="38"/>
      <c r="G1078" s="30" t="str">
        <f t="shared" si="14"/>
        <v/>
      </c>
      <c r="H1078" s="39"/>
    </row>
    <row r="1079" spans="2:8" ht="18" customHeight="1" x14ac:dyDescent="0.3">
      <c r="B1079" s="26"/>
      <c r="C1079" s="27"/>
      <c r="D1079" s="28"/>
      <c r="E1079" s="36"/>
      <c r="F1079" s="36"/>
      <c r="G1079" s="30" t="str">
        <f t="shared" si="14"/>
        <v/>
      </c>
      <c r="H1079" s="37"/>
    </row>
    <row r="1080" spans="2:8" ht="18" customHeight="1" x14ac:dyDescent="0.3">
      <c r="B1080" s="26"/>
      <c r="C1080" s="27"/>
      <c r="D1080" s="17"/>
      <c r="E1080" s="38"/>
      <c r="F1080" s="38"/>
      <c r="G1080" s="30" t="str">
        <f t="shared" si="14"/>
        <v/>
      </c>
      <c r="H1080" s="39"/>
    </row>
    <row r="1081" spans="2:8" ht="18" customHeight="1" x14ac:dyDescent="0.3">
      <c r="B1081" s="26"/>
      <c r="C1081" s="27"/>
      <c r="D1081" s="28"/>
      <c r="E1081" s="36"/>
      <c r="F1081" s="36"/>
      <c r="G1081" s="30" t="str">
        <f t="shared" si="14"/>
        <v/>
      </c>
      <c r="H1081" s="37"/>
    </row>
    <row r="1082" spans="2:8" ht="18" customHeight="1" x14ac:dyDescent="0.3">
      <c r="B1082" s="26"/>
      <c r="C1082" s="27"/>
      <c r="D1082" s="17"/>
      <c r="E1082" s="38"/>
      <c r="F1082" s="38"/>
      <c r="G1082" s="30" t="str">
        <f t="shared" si="14"/>
        <v/>
      </c>
      <c r="H1082" s="39"/>
    </row>
    <row r="1083" spans="2:8" ht="18" customHeight="1" x14ac:dyDescent="0.3">
      <c r="B1083" s="26"/>
      <c r="C1083" s="27"/>
      <c r="D1083" s="28"/>
      <c r="E1083" s="36"/>
      <c r="F1083" s="36"/>
      <c r="G1083" s="30" t="str">
        <f t="shared" si="14"/>
        <v/>
      </c>
      <c r="H1083" s="37"/>
    </row>
    <row r="1084" spans="2:8" ht="18" customHeight="1" x14ac:dyDescent="0.3">
      <c r="B1084" s="26"/>
      <c r="C1084" s="27"/>
      <c r="D1084" s="17"/>
      <c r="E1084" s="38"/>
      <c r="F1084" s="38"/>
      <c r="G1084" s="30" t="str">
        <f t="shared" si="14"/>
        <v/>
      </c>
      <c r="H1084" s="39"/>
    </row>
    <row r="1085" spans="2:8" ht="18" customHeight="1" x14ac:dyDescent="0.3">
      <c r="B1085" s="26"/>
      <c r="C1085" s="27"/>
      <c r="D1085" s="28"/>
      <c r="E1085" s="36"/>
      <c r="F1085" s="36"/>
      <c r="G1085" s="30" t="str">
        <f t="shared" si="14"/>
        <v/>
      </c>
      <c r="H1085" s="37"/>
    </row>
    <row r="1086" spans="2:8" ht="18" customHeight="1" x14ac:dyDescent="0.3">
      <c r="B1086" s="26"/>
      <c r="C1086" s="27"/>
      <c r="D1086" s="17"/>
      <c r="E1086" s="38"/>
      <c r="F1086" s="38"/>
      <c r="G1086" s="30" t="str">
        <f t="shared" si="14"/>
        <v/>
      </c>
      <c r="H1086" s="39"/>
    </row>
    <row r="1087" spans="2:8" ht="18" customHeight="1" x14ac:dyDescent="0.3">
      <c r="B1087" s="26"/>
      <c r="C1087" s="27"/>
      <c r="D1087" s="28"/>
      <c r="E1087" s="36"/>
      <c r="F1087" s="36"/>
      <c r="G1087" s="30" t="str">
        <f t="shared" si="14"/>
        <v/>
      </c>
      <c r="H1087" s="37"/>
    </row>
    <row r="1088" spans="2:8" ht="18" customHeight="1" x14ac:dyDescent="0.3">
      <c r="B1088" s="26"/>
      <c r="C1088" s="27"/>
      <c r="D1088" s="17"/>
      <c r="E1088" s="38"/>
      <c r="F1088" s="38"/>
      <c r="G1088" s="30" t="str">
        <f t="shared" si="14"/>
        <v/>
      </c>
      <c r="H1088" s="39"/>
    </row>
    <row r="1089" spans="2:8" ht="18" customHeight="1" x14ac:dyDescent="0.3">
      <c r="B1089" s="26"/>
      <c r="C1089" s="27"/>
      <c r="D1089" s="28"/>
      <c r="E1089" s="36"/>
      <c r="F1089" s="36"/>
      <c r="G1089" s="30" t="str">
        <f t="shared" si="14"/>
        <v/>
      </c>
      <c r="H1089" s="37"/>
    </row>
    <row r="1090" spans="2:8" ht="18" customHeight="1" x14ac:dyDescent="0.3">
      <c r="B1090" s="26"/>
      <c r="C1090" s="27"/>
      <c r="D1090" s="17"/>
      <c r="E1090" s="38"/>
      <c r="F1090" s="38"/>
      <c r="G1090" s="30" t="str">
        <f t="shared" si="14"/>
        <v/>
      </c>
      <c r="H1090" s="39"/>
    </row>
    <row r="1091" spans="2:8" ht="18" customHeight="1" x14ac:dyDescent="0.3">
      <c r="B1091" s="26"/>
      <c r="C1091" s="27"/>
      <c r="D1091" s="28"/>
      <c r="E1091" s="36"/>
      <c r="F1091" s="36"/>
      <c r="G1091" s="30" t="str">
        <f t="shared" si="14"/>
        <v/>
      </c>
      <c r="H1091" s="37"/>
    </row>
    <row r="1092" spans="2:8" ht="18" customHeight="1" x14ac:dyDescent="0.3">
      <c r="B1092" s="26"/>
      <c r="C1092" s="27"/>
      <c r="D1092" s="17"/>
      <c r="E1092" s="38"/>
      <c r="F1092" s="38"/>
      <c r="G1092" s="30" t="str">
        <f t="shared" si="14"/>
        <v/>
      </c>
      <c r="H1092" s="39"/>
    </row>
    <row r="1093" spans="2:8" ht="18" customHeight="1" x14ac:dyDescent="0.3">
      <c r="B1093" s="26"/>
      <c r="C1093" s="27"/>
      <c r="D1093" s="28"/>
      <c r="E1093" s="36"/>
      <c r="F1093" s="36"/>
      <c r="G1093" s="30" t="str">
        <f t="shared" ref="G1093:G1156" si="15">IF(OR(B1093="",E1093=""),"",IF(E1093="08:00",8,IF(E1093="07:00",8,7)))</f>
        <v/>
      </c>
      <c r="H1093" s="37"/>
    </row>
    <row r="1094" spans="2:8" ht="18" customHeight="1" x14ac:dyDescent="0.3">
      <c r="B1094" s="26"/>
      <c r="C1094" s="27"/>
      <c r="D1094" s="17"/>
      <c r="E1094" s="38"/>
      <c r="F1094" s="38"/>
      <c r="G1094" s="30" t="str">
        <f t="shared" si="15"/>
        <v/>
      </c>
      <c r="H1094" s="39"/>
    </row>
    <row r="1095" spans="2:8" ht="18" customHeight="1" x14ac:dyDescent="0.3">
      <c r="B1095" s="26"/>
      <c r="C1095" s="27"/>
      <c r="D1095" s="28"/>
      <c r="E1095" s="36"/>
      <c r="F1095" s="36"/>
      <c r="G1095" s="30" t="str">
        <f t="shared" si="15"/>
        <v/>
      </c>
      <c r="H1095" s="37"/>
    </row>
    <row r="1096" spans="2:8" ht="18" customHeight="1" x14ac:dyDescent="0.3">
      <c r="B1096" s="26"/>
      <c r="C1096" s="27"/>
      <c r="D1096" s="17"/>
      <c r="E1096" s="38"/>
      <c r="F1096" s="38"/>
      <c r="G1096" s="30" t="str">
        <f t="shared" si="15"/>
        <v/>
      </c>
      <c r="H1096" s="39"/>
    </row>
    <row r="1097" spans="2:8" ht="18" customHeight="1" x14ac:dyDescent="0.3">
      <c r="B1097" s="26"/>
      <c r="C1097" s="27"/>
      <c r="D1097" s="28"/>
      <c r="E1097" s="36"/>
      <c r="F1097" s="36"/>
      <c r="G1097" s="30" t="str">
        <f t="shared" si="15"/>
        <v/>
      </c>
      <c r="H1097" s="37"/>
    </row>
    <row r="1098" spans="2:8" ht="18" customHeight="1" x14ac:dyDescent="0.3">
      <c r="B1098" s="26"/>
      <c r="C1098" s="27"/>
      <c r="D1098" s="17"/>
      <c r="E1098" s="38"/>
      <c r="F1098" s="38"/>
      <c r="G1098" s="30" t="str">
        <f t="shared" si="15"/>
        <v/>
      </c>
      <c r="H1098" s="39"/>
    </row>
    <row r="1099" spans="2:8" ht="18" customHeight="1" x14ac:dyDescent="0.3">
      <c r="B1099" s="26"/>
      <c r="C1099" s="27"/>
      <c r="D1099" s="28"/>
      <c r="E1099" s="36"/>
      <c r="F1099" s="36"/>
      <c r="G1099" s="30" t="str">
        <f t="shared" si="15"/>
        <v/>
      </c>
      <c r="H1099" s="37"/>
    </row>
    <row r="1100" spans="2:8" ht="18" customHeight="1" x14ac:dyDescent="0.3">
      <c r="B1100" s="26"/>
      <c r="C1100" s="27"/>
      <c r="D1100" s="17"/>
      <c r="E1100" s="38"/>
      <c r="F1100" s="38"/>
      <c r="G1100" s="30" t="str">
        <f t="shared" si="15"/>
        <v/>
      </c>
      <c r="H1100" s="39"/>
    </row>
    <row r="1101" spans="2:8" ht="18" customHeight="1" x14ac:dyDescent="0.3">
      <c r="B1101" s="26"/>
      <c r="C1101" s="27"/>
      <c r="D1101" s="28"/>
      <c r="E1101" s="36"/>
      <c r="F1101" s="36"/>
      <c r="G1101" s="30" t="str">
        <f t="shared" si="15"/>
        <v/>
      </c>
      <c r="H1101" s="37"/>
    </row>
    <row r="1102" spans="2:8" ht="18" customHeight="1" x14ac:dyDescent="0.3">
      <c r="B1102" s="26"/>
      <c r="C1102" s="27"/>
      <c r="D1102" s="17"/>
      <c r="E1102" s="38"/>
      <c r="F1102" s="38"/>
      <c r="G1102" s="30" t="str">
        <f t="shared" si="15"/>
        <v/>
      </c>
      <c r="H1102" s="39"/>
    </row>
    <row r="1103" spans="2:8" ht="18" customHeight="1" x14ac:dyDescent="0.3">
      <c r="B1103" s="26"/>
      <c r="C1103" s="27"/>
      <c r="D1103" s="28"/>
      <c r="E1103" s="36"/>
      <c r="F1103" s="36"/>
      <c r="G1103" s="30" t="str">
        <f t="shared" si="15"/>
        <v/>
      </c>
      <c r="H1103" s="37"/>
    </row>
    <row r="1104" spans="2:8" ht="18" customHeight="1" x14ac:dyDescent="0.3">
      <c r="B1104" s="26"/>
      <c r="C1104" s="27"/>
      <c r="D1104" s="17"/>
      <c r="E1104" s="38"/>
      <c r="F1104" s="38"/>
      <c r="G1104" s="30" t="str">
        <f t="shared" si="15"/>
        <v/>
      </c>
      <c r="H1104" s="39"/>
    </row>
    <row r="1105" spans="2:8" ht="18" customHeight="1" x14ac:dyDescent="0.3">
      <c r="B1105" s="26"/>
      <c r="C1105" s="27"/>
      <c r="D1105" s="28"/>
      <c r="E1105" s="36"/>
      <c r="F1105" s="36"/>
      <c r="G1105" s="30" t="str">
        <f t="shared" si="15"/>
        <v/>
      </c>
      <c r="H1105" s="37"/>
    </row>
    <row r="1106" spans="2:8" ht="18" customHeight="1" x14ac:dyDescent="0.3">
      <c r="B1106" s="26"/>
      <c r="C1106" s="27"/>
      <c r="D1106" s="17"/>
      <c r="E1106" s="38"/>
      <c r="F1106" s="38"/>
      <c r="G1106" s="30" t="str">
        <f t="shared" si="15"/>
        <v/>
      </c>
      <c r="H1106" s="39"/>
    </row>
    <row r="1107" spans="2:8" ht="18" customHeight="1" x14ac:dyDescent="0.3">
      <c r="B1107" s="26"/>
      <c r="C1107" s="27"/>
      <c r="D1107" s="28"/>
      <c r="E1107" s="36"/>
      <c r="F1107" s="36"/>
      <c r="G1107" s="30" t="str">
        <f t="shared" si="15"/>
        <v/>
      </c>
      <c r="H1107" s="37"/>
    </row>
    <row r="1108" spans="2:8" ht="18" customHeight="1" x14ac:dyDescent="0.3">
      <c r="B1108" s="26"/>
      <c r="C1108" s="27"/>
      <c r="D1108" s="17"/>
      <c r="E1108" s="38"/>
      <c r="F1108" s="38"/>
      <c r="G1108" s="30" t="str">
        <f t="shared" si="15"/>
        <v/>
      </c>
      <c r="H1108" s="39"/>
    </row>
    <row r="1109" spans="2:8" ht="18" customHeight="1" x14ac:dyDescent="0.3">
      <c r="B1109" s="26"/>
      <c r="C1109" s="27"/>
      <c r="D1109" s="28"/>
      <c r="E1109" s="36"/>
      <c r="F1109" s="36"/>
      <c r="G1109" s="30" t="str">
        <f t="shared" si="15"/>
        <v/>
      </c>
      <c r="H1109" s="37"/>
    </row>
    <row r="1110" spans="2:8" ht="18" customHeight="1" x14ac:dyDescent="0.3">
      <c r="B1110" s="26"/>
      <c r="C1110" s="27"/>
      <c r="D1110" s="17"/>
      <c r="E1110" s="38"/>
      <c r="F1110" s="38"/>
      <c r="G1110" s="30" t="str">
        <f t="shared" si="15"/>
        <v/>
      </c>
      <c r="H1110" s="39"/>
    </row>
    <row r="1111" spans="2:8" ht="18" customHeight="1" x14ac:dyDescent="0.3">
      <c r="B1111" s="26"/>
      <c r="C1111" s="27"/>
      <c r="D1111" s="28"/>
      <c r="E1111" s="36"/>
      <c r="F1111" s="36"/>
      <c r="G1111" s="30" t="str">
        <f t="shared" si="15"/>
        <v/>
      </c>
      <c r="H1111" s="37"/>
    </row>
    <row r="1112" spans="2:8" ht="18" customHeight="1" x14ac:dyDescent="0.3">
      <c r="B1112" s="26"/>
      <c r="C1112" s="27"/>
      <c r="D1112" s="17"/>
      <c r="E1112" s="38"/>
      <c r="F1112" s="38"/>
      <c r="G1112" s="30" t="str">
        <f t="shared" si="15"/>
        <v/>
      </c>
      <c r="H1112" s="39"/>
    </row>
    <row r="1113" spans="2:8" ht="18" customHeight="1" x14ac:dyDescent="0.3">
      <c r="B1113" s="26"/>
      <c r="C1113" s="27"/>
      <c r="D1113" s="28"/>
      <c r="E1113" s="36"/>
      <c r="F1113" s="36"/>
      <c r="G1113" s="30" t="str">
        <f t="shared" si="15"/>
        <v/>
      </c>
      <c r="H1113" s="37"/>
    </row>
    <row r="1114" spans="2:8" ht="18" customHeight="1" x14ac:dyDescent="0.3">
      <c r="B1114" s="26"/>
      <c r="C1114" s="27"/>
      <c r="D1114" s="17"/>
      <c r="E1114" s="38"/>
      <c r="F1114" s="38"/>
      <c r="G1114" s="30" t="str">
        <f t="shared" si="15"/>
        <v/>
      </c>
      <c r="H1114" s="39"/>
    </row>
    <row r="1115" spans="2:8" ht="18" customHeight="1" x14ac:dyDescent="0.3">
      <c r="B1115" s="26"/>
      <c r="C1115" s="27"/>
      <c r="D1115" s="28"/>
      <c r="E1115" s="36"/>
      <c r="F1115" s="36"/>
      <c r="G1115" s="30" t="str">
        <f t="shared" si="15"/>
        <v/>
      </c>
      <c r="H1115" s="37"/>
    </row>
    <row r="1116" spans="2:8" ht="18" customHeight="1" x14ac:dyDescent="0.3">
      <c r="B1116" s="26"/>
      <c r="C1116" s="27"/>
      <c r="D1116" s="17"/>
      <c r="E1116" s="38"/>
      <c r="F1116" s="38"/>
      <c r="G1116" s="30" t="str">
        <f t="shared" si="15"/>
        <v/>
      </c>
      <c r="H1116" s="39"/>
    </row>
    <row r="1117" spans="2:8" ht="18" customHeight="1" x14ac:dyDescent="0.3">
      <c r="B1117" s="26"/>
      <c r="C1117" s="27"/>
      <c r="D1117" s="28"/>
      <c r="E1117" s="36"/>
      <c r="F1117" s="36"/>
      <c r="G1117" s="30" t="str">
        <f t="shared" si="15"/>
        <v/>
      </c>
      <c r="H1117" s="37"/>
    </row>
    <row r="1118" spans="2:8" ht="18" customHeight="1" x14ac:dyDescent="0.3">
      <c r="B1118" s="26"/>
      <c r="C1118" s="27"/>
      <c r="D1118" s="17"/>
      <c r="E1118" s="38"/>
      <c r="F1118" s="38"/>
      <c r="G1118" s="30" t="str">
        <f t="shared" si="15"/>
        <v/>
      </c>
      <c r="H1118" s="39"/>
    </row>
    <row r="1119" spans="2:8" ht="18" customHeight="1" x14ac:dyDescent="0.3">
      <c r="B1119" s="26"/>
      <c r="C1119" s="27"/>
      <c r="D1119" s="28"/>
      <c r="E1119" s="36"/>
      <c r="F1119" s="36"/>
      <c r="G1119" s="30" t="str">
        <f t="shared" si="15"/>
        <v/>
      </c>
      <c r="H1119" s="37"/>
    </row>
    <row r="1120" spans="2:8" ht="18" customHeight="1" x14ac:dyDescent="0.3">
      <c r="B1120" s="26"/>
      <c r="C1120" s="27"/>
      <c r="D1120" s="17"/>
      <c r="E1120" s="38"/>
      <c r="F1120" s="38"/>
      <c r="G1120" s="30" t="str">
        <f t="shared" si="15"/>
        <v/>
      </c>
      <c r="H1120" s="39"/>
    </row>
    <row r="1121" spans="2:8" ht="18" customHeight="1" x14ac:dyDescent="0.3">
      <c r="B1121" s="26"/>
      <c r="C1121" s="27"/>
      <c r="D1121" s="28"/>
      <c r="E1121" s="36"/>
      <c r="F1121" s="36"/>
      <c r="G1121" s="30" t="str">
        <f t="shared" si="15"/>
        <v/>
      </c>
      <c r="H1121" s="37"/>
    </row>
    <row r="1122" spans="2:8" ht="18" customHeight="1" x14ac:dyDescent="0.3">
      <c r="B1122" s="26"/>
      <c r="C1122" s="27"/>
      <c r="D1122" s="17"/>
      <c r="E1122" s="38"/>
      <c r="F1122" s="38"/>
      <c r="G1122" s="30" t="str">
        <f t="shared" si="15"/>
        <v/>
      </c>
      <c r="H1122" s="39"/>
    </row>
    <row r="1123" spans="2:8" ht="18" customHeight="1" x14ac:dyDescent="0.3">
      <c r="B1123" s="26"/>
      <c r="C1123" s="27"/>
      <c r="D1123" s="28"/>
      <c r="E1123" s="36"/>
      <c r="F1123" s="36"/>
      <c r="G1123" s="30" t="str">
        <f t="shared" si="15"/>
        <v/>
      </c>
      <c r="H1123" s="37"/>
    </row>
    <row r="1124" spans="2:8" ht="18" customHeight="1" x14ac:dyDescent="0.3">
      <c r="B1124" s="26"/>
      <c r="C1124" s="27"/>
      <c r="D1124" s="17"/>
      <c r="E1124" s="38"/>
      <c r="F1124" s="38"/>
      <c r="G1124" s="30" t="str">
        <f t="shared" si="15"/>
        <v/>
      </c>
      <c r="H1124" s="39"/>
    </row>
    <row r="1125" spans="2:8" ht="18" customHeight="1" x14ac:dyDescent="0.3">
      <c r="B1125" s="26"/>
      <c r="C1125" s="27"/>
      <c r="D1125" s="28"/>
      <c r="E1125" s="36"/>
      <c r="F1125" s="36"/>
      <c r="G1125" s="30" t="str">
        <f t="shared" si="15"/>
        <v/>
      </c>
      <c r="H1125" s="37"/>
    </row>
    <row r="1126" spans="2:8" ht="18" customHeight="1" x14ac:dyDescent="0.3">
      <c r="B1126" s="26"/>
      <c r="C1126" s="27"/>
      <c r="D1126" s="17"/>
      <c r="E1126" s="38"/>
      <c r="F1126" s="38"/>
      <c r="G1126" s="30" t="str">
        <f t="shared" si="15"/>
        <v/>
      </c>
      <c r="H1126" s="39"/>
    </row>
    <row r="1127" spans="2:8" ht="18" customHeight="1" x14ac:dyDescent="0.3">
      <c r="B1127" s="26"/>
      <c r="C1127" s="27"/>
      <c r="D1127" s="28"/>
      <c r="E1127" s="36"/>
      <c r="F1127" s="36"/>
      <c r="G1127" s="30" t="str">
        <f t="shared" si="15"/>
        <v/>
      </c>
      <c r="H1127" s="37"/>
    </row>
    <row r="1128" spans="2:8" ht="18" customHeight="1" x14ac:dyDescent="0.3">
      <c r="B1128" s="26"/>
      <c r="C1128" s="27"/>
      <c r="D1128" s="17"/>
      <c r="E1128" s="38"/>
      <c r="F1128" s="38"/>
      <c r="G1128" s="30" t="str">
        <f t="shared" si="15"/>
        <v/>
      </c>
      <c r="H1128" s="39"/>
    </row>
    <row r="1129" spans="2:8" ht="18" customHeight="1" x14ac:dyDescent="0.3">
      <c r="B1129" s="26"/>
      <c r="C1129" s="27"/>
      <c r="D1129" s="28"/>
      <c r="E1129" s="36"/>
      <c r="F1129" s="36"/>
      <c r="G1129" s="30" t="str">
        <f t="shared" si="15"/>
        <v/>
      </c>
      <c r="H1129" s="37"/>
    </row>
    <row r="1130" spans="2:8" ht="18" customHeight="1" x14ac:dyDescent="0.3">
      <c r="B1130" s="26"/>
      <c r="C1130" s="27"/>
      <c r="D1130" s="17"/>
      <c r="E1130" s="38"/>
      <c r="F1130" s="38"/>
      <c r="G1130" s="30" t="str">
        <f t="shared" si="15"/>
        <v/>
      </c>
      <c r="H1130" s="39"/>
    </row>
    <row r="1131" spans="2:8" ht="18" customHeight="1" x14ac:dyDescent="0.3">
      <c r="B1131" s="26"/>
      <c r="C1131" s="27"/>
      <c r="D1131" s="28"/>
      <c r="E1131" s="36"/>
      <c r="F1131" s="36"/>
      <c r="G1131" s="30" t="str">
        <f t="shared" si="15"/>
        <v/>
      </c>
      <c r="H1131" s="37"/>
    </row>
    <row r="1132" spans="2:8" ht="18" customHeight="1" x14ac:dyDescent="0.3">
      <c r="B1132" s="26"/>
      <c r="C1132" s="27"/>
      <c r="D1132" s="17"/>
      <c r="E1132" s="38"/>
      <c r="F1132" s="38"/>
      <c r="G1132" s="30" t="str">
        <f t="shared" si="15"/>
        <v/>
      </c>
      <c r="H1132" s="39"/>
    </row>
    <row r="1133" spans="2:8" ht="18" customHeight="1" x14ac:dyDescent="0.3">
      <c r="B1133" s="26"/>
      <c r="C1133" s="27"/>
      <c r="D1133" s="28"/>
      <c r="E1133" s="36"/>
      <c r="F1133" s="36"/>
      <c r="G1133" s="30" t="str">
        <f t="shared" si="15"/>
        <v/>
      </c>
      <c r="H1133" s="37"/>
    </row>
    <row r="1134" spans="2:8" ht="18" customHeight="1" x14ac:dyDescent="0.3">
      <c r="B1134" s="26"/>
      <c r="C1134" s="27"/>
      <c r="D1134" s="17"/>
      <c r="E1134" s="38"/>
      <c r="F1134" s="38"/>
      <c r="G1134" s="30" t="str">
        <f t="shared" si="15"/>
        <v/>
      </c>
      <c r="H1134" s="39"/>
    </row>
    <row r="1135" spans="2:8" ht="18" customHeight="1" x14ac:dyDescent="0.3">
      <c r="B1135" s="26"/>
      <c r="C1135" s="27"/>
      <c r="D1135" s="28"/>
      <c r="E1135" s="36"/>
      <c r="F1135" s="36"/>
      <c r="G1135" s="30" t="str">
        <f t="shared" si="15"/>
        <v/>
      </c>
      <c r="H1135" s="37"/>
    </row>
    <row r="1136" spans="2:8" ht="18" customHeight="1" x14ac:dyDescent="0.3">
      <c r="B1136" s="26"/>
      <c r="C1136" s="27"/>
      <c r="D1136" s="17"/>
      <c r="E1136" s="38"/>
      <c r="F1136" s="38"/>
      <c r="G1136" s="30" t="str">
        <f t="shared" si="15"/>
        <v/>
      </c>
      <c r="H1136" s="39"/>
    </row>
    <row r="1137" spans="2:8" ht="18" customHeight="1" x14ac:dyDescent="0.3">
      <c r="B1137" s="26"/>
      <c r="C1137" s="27"/>
      <c r="D1137" s="28"/>
      <c r="E1137" s="36"/>
      <c r="F1137" s="36"/>
      <c r="G1137" s="30" t="str">
        <f t="shared" si="15"/>
        <v/>
      </c>
      <c r="H1137" s="37"/>
    </row>
    <row r="1138" spans="2:8" ht="18" customHeight="1" x14ac:dyDescent="0.3">
      <c r="B1138" s="26"/>
      <c r="C1138" s="27"/>
      <c r="D1138" s="17"/>
      <c r="E1138" s="38"/>
      <c r="F1138" s="38"/>
      <c r="G1138" s="30" t="str">
        <f t="shared" si="15"/>
        <v/>
      </c>
      <c r="H1138" s="39"/>
    </row>
    <row r="1139" spans="2:8" ht="18" customHeight="1" x14ac:dyDescent="0.3">
      <c r="B1139" s="26"/>
      <c r="C1139" s="27"/>
      <c r="D1139" s="28"/>
      <c r="E1139" s="36"/>
      <c r="F1139" s="36"/>
      <c r="G1139" s="30" t="str">
        <f t="shared" si="15"/>
        <v/>
      </c>
      <c r="H1139" s="37"/>
    </row>
    <row r="1140" spans="2:8" ht="18" customHeight="1" x14ac:dyDescent="0.3">
      <c r="B1140" s="26"/>
      <c r="C1140" s="27"/>
      <c r="D1140" s="17"/>
      <c r="E1140" s="38"/>
      <c r="F1140" s="38"/>
      <c r="G1140" s="30" t="str">
        <f t="shared" si="15"/>
        <v/>
      </c>
      <c r="H1140" s="39"/>
    </row>
    <row r="1141" spans="2:8" ht="18" customHeight="1" x14ac:dyDescent="0.3">
      <c r="B1141" s="26"/>
      <c r="C1141" s="27"/>
      <c r="D1141" s="28"/>
      <c r="E1141" s="36"/>
      <c r="F1141" s="36"/>
      <c r="G1141" s="30" t="str">
        <f t="shared" si="15"/>
        <v/>
      </c>
      <c r="H1141" s="37"/>
    </row>
    <row r="1142" spans="2:8" ht="18" customHeight="1" x14ac:dyDescent="0.3">
      <c r="B1142" s="26"/>
      <c r="C1142" s="27"/>
      <c r="D1142" s="17"/>
      <c r="E1142" s="38"/>
      <c r="F1142" s="38"/>
      <c r="G1142" s="30" t="str">
        <f t="shared" si="15"/>
        <v/>
      </c>
      <c r="H1142" s="39"/>
    </row>
    <row r="1143" spans="2:8" ht="18" customHeight="1" x14ac:dyDescent="0.3">
      <c r="B1143" s="26"/>
      <c r="C1143" s="27"/>
      <c r="D1143" s="28"/>
      <c r="E1143" s="36"/>
      <c r="F1143" s="36"/>
      <c r="G1143" s="30" t="str">
        <f t="shared" si="15"/>
        <v/>
      </c>
      <c r="H1143" s="37"/>
    </row>
    <row r="1144" spans="2:8" ht="18" customHeight="1" x14ac:dyDescent="0.3">
      <c r="B1144" s="26"/>
      <c r="C1144" s="27"/>
      <c r="D1144" s="17"/>
      <c r="E1144" s="38"/>
      <c r="F1144" s="38"/>
      <c r="G1144" s="30" t="str">
        <f t="shared" si="15"/>
        <v/>
      </c>
      <c r="H1144" s="39"/>
    </row>
    <row r="1145" spans="2:8" ht="18" customHeight="1" x14ac:dyDescent="0.3">
      <c r="B1145" s="26"/>
      <c r="C1145" s="27"/>
      <c r="D1145" s="28"/>
      <c r="E1145" s="36"/>
      <c r="F1145" s="36"/>
      <c r="G1145" s="30" t="str">
        <f t="shared" si="15"/>
        <v/>
      </c>
      <c r="H1145" s="37"/>
    </row>
    <row r="1146" spans="2:8" ht="18" customHeight="1" x14ac:dyDescent="0.3">
      <c r="B1146" s="26"/>
      <c r="C1146" s="27"/>
      <c r="D1146" s="17"/>
      <c r="E1146" s="38"/>
      <c r="F1146" s="38"/>
      <c r="G1146" s="30" t="str">
        <f t="shared" si="15"/>
        <v/>
      </c>
      <c r="H1146" s="39"/>
    </row>
    <row r="1147" spans="2:8" ht="18" customHeight="1" x14ac:dyDescent="0.3">
      <c r="B1147" s="26"/>
      <c r="C1147" s="27"/>
      <c r="D1147" s="28"/>
      <c r="E1147" s="36"/>
      <c r="F1147" s="36"/>
      <c r="G1147" s="30" t="str">
        <f t="shared" si="15"/>
        <v/>
      </c>
      <c r="H1147" s="37"/>
    </row>
    <row r="1148" spans="2:8" ht="18" customHeight="1" x14ac:dyDescent="0.3">
      <c r="B1148" s="26"/>
      <c r="C1148" s="27"/>
      <c r="D1148" s="17"/>
      <c r="E1148" s="38"/>
      <c r="F1148" s="38"/>
      <c r="G1148" s="30" t="str">
        <f t="shared" si="15"/>
        <v/>
      </c>
      <c r="H1148" s="39"/>
    </row>
    <row r="1149" spans="2:8" ht="18" customHeight="1" x14ac:dyDescent="0.3">
      <c r="B1149" s="26"/>
      <c r="C1149" s="27"/>
      <c r="D1149" s="28"/>
      <c r="E1149" s="36"/>
      <c r="F1149" s="36"/>
      <c r="G1149" s="30" t="str">
        <f t="shared" si="15"/>
        <v/>
      </c>
      <c r="H1149" s="37"/>
    </row>
    <row r="1150" spans="2:8" ht="18" customHeight="1" x14ac:dyDescent="0.3">
      <c r="B1150" s="26"/>
      <c r="C1150" s="27"/>
      <c r="D1150" s="17"/>
      <c r="E1150" s="38"/>
      <c r="F1150" s="38"/>
      <c r="G1150" s="30" t="str">
        <f t="shared" si="15"/>
        <v/>
      </c>
      <c r="H1150" s="39"/>
    </row>
    <row r="1151" spans="2:8" ht="18" customHeight="1" x14ac:dyDescent="0.3">
      <c r="B1151" s="26"/>
      <c r="C1151" s="27"/>
      <c r="D1151" s="28"/>
      <c r="E1151" s="36"/>
      <c r="F1151" s="36"/>
      <c r="G1151" s="30" t="str">
        <f t="shared" si="15"/>
        <v/>
      </c>
      <c r="H1151" s="37"/>
    </row>
    <row r="1152" spans="2:8" ht="18" customHeight="1" x14ac:dyDescent="0.3">
      <c r="B1152" s="26"/>
      <c r="C1152" s="27"/>
      <c r="D1152" s="17"/>
      <c r="E1152" s="38"/>
      <c r="F1152" s="38"/>
      <c r="G1152" s="30" t="str">
        <f t="shared" si="15"/>
        <v/>
      </c>
      <c r="H1152" s="39"/>
    </row>
    <row r="1153" spans="2:8" ht="18" customHeight="1" x14ac:dyDescent="0.3">
      <c r="B1153" s="26"/>
      <c r="C1153" s="27"/>
      <c r="D1153" s="28"/>
      <c r="E1153" s="36"/>
      <c r="F1153" s="36"/>
      <c r="G1153" s="30" t="str">
        <f t="shared" si="15"/>
        <v/>
      </c>
      <c r="H1153" s="37"/>
    </row>
    <row r="1154" spans="2:8" ht="18" customHeight="1" x14ac:dyDescent="0.3">
      <c r="B1154" s="26"/>
      <c r="C1154" s="27"/>
      <c r="D1154" s="17"/>
      <c r="E1154" s="38"/>
      <c r="F1154" s="38"/>
      <c r="G1154" s="30" t="str">
        <f t="shared" si="15"/>
        <v/>
      </c>
      <c r="H1154" s="39"/>
    </row>
    <row r="1155" spans="2:8" ht="18" customHeight="1" x14ac:dyDescent="0.3">
      <c r="B1155" s="26"/>
      <c r="C1155" s="27"/>
      <c r="D1155" s="28"/>
      <c r="E1155" s="36"/>
      <c r="F1155" s="36"/>
      <c r="G1155" s="30" t="str">
        <f t="shared" si="15"/>
        <v/>
      </c>
      <c r="H1155" s="37"/>
    </row>
    <row r="1156" spans="2:8" ht="18" customHeight="1" x14ac:dyDescent="0.3">
      <c r="B1156" s="26"/>
      <c r="C1156" s="27"/>
      <c r="D1156" s="17"/>
      <c r="E1156" s="38"/>
      <c r="F1156" s="38"/>
      <c r="G1156" s="30" t="str">
        <f t="shared" si="15"/>
        <v/>
      </c>
      <c r="H1156" s="39"/>
    </row>
    <row r="1157" spans="2:8" ht="18" customHeight="1" x14ac:dyDescent="0.3">
      <c r="B1157" s="26"/>
      <c r="C1157" s="27"/>
      <c r="D1157" s="28"/>
      <c r="E1157" s="36"/>
      <c r="F1157" s="36"/>
      <c r="G1157" s="30" t="str">
        <f t="shared" ref="G1157:G1220" si="16">IF(OR(B1157="",E1157=""),"",IF(E1157="08:00",8,IF(E1157="07:00",8,7)))</f>
        <v/>
      </c>
      <c r="H1157" s="37"/>
    </row>
    <row r="1158" spans="2:8" ht="18" customHeight="1" x14ac:dyDescent="0.3">
      <c r="B1158" s="26"/>
      <c r="C1158" s="27"/>
      <c r="D1158" s="17"/>
      <c r="E1158" s="38"/>
      <c r="F1158" s="38"/>
      <c r="G1158" s="30" t="str">
        <f t="shared" si="16"/>
        <v/>
      </c>
      <c r="H1158" s="39"/>
    </row>
    <row r="1159" spans="2:8" ht="18" customHeight="1" x14ac:dyDescent="0.3">
      <c r="B1159" s="26"/>
      <c r="C1159" s="27"/>
      <c r="D1159" s="28"/>
      <c r="E1159" s="36"/>
      <c r="F1159" s="36"/>
      <c r="G1159" s="30" t="str">
        <f t="shared" si="16"/>
        <v/>
      </c>
      <c r="H1159" s="37"/>
    </row>
    <row r="1160" spans="2:8" ht="18" customHeight="1" x14ac:dyDescent="0.3">
      <c r="B1160" s="26"/>
      <c r="C1160" s="27"/>
      <c r="D1160" s="17"/>
      <c r="E1160" s="38"/>
      <c r="F1160" s="38"/>
      <c r="G1160" s="30" t="str">
        <f t="shared" si="16"/>
        <v/>
      </c>
      <c r="H1160" s="39"/>
    </row>
    <row r="1161" spans="2:8" ht="18" customHeight="1" x14ac:dyDescent="0.3">
      <c r="B1161" s="26"/>
      <c r="C1161" s="27"/>
      <c r="D1161" s="28"/>
      <c r="E1161" s="36"/>
      <c r="F1161" s="36"/>
      <c r="G1161" s="30" t="str">
        <f t="shared" si="16"/>
        <v/>
      </c>
      <c r="H1161" s="37"/>
    </row>
    <row r="1162" spans="2:8" ht="18" customHeight="1" x14ac:dyDescent="0.3">
      <c r="B1162" s="26"/>
      <c r="C1162" s="27"/>
      <c r="D1162" s="17"/>
      <c r="E1162" s="38"/>
      <c r="F1162" s="38"/>
      <c r="G1162" s="30" t="str">
        <f t="shared" si="16"/>
        <v/>
      </c>
      <c r="H1162" s="39"/>
    </row>
    <row r="1163" spans="2:8" ht="18" customHeight="1" x14ac:dyDescent="0.3">
      <c r="B1163" s="26"/>
      <c r="C1163" s="27"/>
      <c r="D1163" s="28"/>
      <c r="E1163" s="36"/>
      <c r="F1163" s="36"/>
      <c r="G1163" s="30" t="str">
        <f t="shared" si="16"/>
        <v/>
      </c>
      <c r="H1163" s="37"/>
    </row>
    <row r="1164" spans="2:8" ht="18" customHeight="1" x14ac:dyDescent="0.3">
      <c r="B1164" s="26"/>
      <c r="C1164" s="27"/>
      <c r="D1164" s="17"/>
      <c r="E1164" s="38"/>
      <c r="F1164" s="38"/>
      <c r="G1164" s="30" t="str">
        <f t="shared" si="16"/>
        <v/>
      </c>
      <c r="H1164" s="39"/>
    </row>
    <row r="1165" spans="2:8" ht="18" customHeight="1" x14ac:dyDescent="0.3">
      <c r="B1165" s="26"/>
      <c r="C1165" s="27"/>
      <c r="D1165" s="28"/>
      <c r="E1165" s="36"/>
      <c r="F1165" s="36"/>
      <c r="G1165" s="30" t="str">
        <f t="shared" si="16"/>
        <v/>
      </c>
      <c r="H1165" s="37"/>
    </row>
    <row r="1166" spans="2:8" ht="18" customHeight="1" x14ac:dyDescent="0.3">
      <c r="B1166" s="26"/>
      <c r="C1166" s="27"/>
      <c r="D1166" s="17"/>
      <c r="E1166" s="38"/>
      <c r="F1166" s="38"/>
      <c r="G1166" s="30" t="str">
        <f t="shared" si="16"/>
        <v/>
      </c>
      <c r="H1166" s="39"/>
    </row>
    <row r="1167" spans="2:8" ht="18" customHeight="1" x14ac:dyDescent="0.3">
      <c r="B1167" s="26"/>
      <c r="C1167" s="27"/>
      <c r="D1167" s="28"/>
      <c r="E1167" s="36"/>
      <c r="F1167" s="36"/>
      <c r="G1167" s="30" t="str">
        <f t="shared" si="16"/>
        <v/>
      </c>
      <c r="H1167" s="37"/>
    </row>
    <row r="1168" spans="2:8" ht="18" customHeight="1" x14ac:dyDescent="0.3">
      <c r="B1168" s="26"/>
      <c r="C1168" s="27"/>
      <c r="D1168" s="17"/>
      <c r="E1168" s="38"/>
      <c r="F1168" s="38"/>
      <c r="G1168" s="30" t="str">
        <f t="shared" si="16"/>
        <v/>
      </c>
      <c r="H1168" s="39"/>
    </row>
    <row r="1169" spans="2:8" ht="18" customHeight="1" x14ac:dyDescent="0.3">
      <c r="B1169" s="26"/>
      <c r="C1169" s="27"/>
      <c r="D1169" s="28"/>
      <c r="E1169" s="36"/>
      <c r="F1169" s="36"/>
      <c r="G1169" s="30" t="str">
        <f t="shared" si="16"/>
        <v/>
      </c>
      <c r="H1169" s="37"/>
    </row>
    <row r="1170" spans="2:8" ht="18" customHeight="1" x14ac:dyDescent="0.3">
      <c r="B1170" s="26"/>
      <c r="C1170" s="27"/>
      <c r="D1170" s="17"/>
      <c r="E1170" s="38"/>
      <c r="F1170" s="38"/>
      <c r="G1170" s="30" t="str">
        <f t="shared" si="16"/>
        <v/>
      </c>
      <c r="H1170" s="39"/>
    </row>
    <row r="1171" spans="2:8" ht="18" customHeight="1" x14ac:dyDescent="0.3">
      <c r="B1171" s="26"/>
      <c r="C1171" s="27"/>
      <c r="D1171" s="28"/>
      <c r="E1171" s="36"/>
      <c r="F1171" s="36"/>
      <c r="G1171" s="30" t="str">
        <f t="shared" si="16"/>
        <v/>
      </c>
      <c r="H1171" s="37"/>
    </row>
    <row r="1172" spans="2:8" ht="18" customHeight="1" x14ac:dyDescent="0.3">
      <c r="B1172" s="26"/>
      <c r="C1172" s="27"/>
      <c r="D1172" s="17"/>
      <c r="E1172" s="38"/>
      <c r="F1172" s="38"/>
      <c r="G1172" s="30" t="str">
        <f t="shared" si="16"/>
        <v/>
      </c>
      <c r="H1172" s="39"/>
    </row>
    <row r="1173" spans="2:8" ht="18" customHeight="1" x14ac:dyDescent="0.3">
      <c r="B1173" s="26"/>
      <c r="C1173" s="27"/>
      <c r="D1173" s="28"/>
      <c r="E1173" s="36"/>
      <c r="F1173" s="36"/>
      <c r="G1173" s="30" t="str">
        <f t="shared" si="16"/>
        <v/>
      </c>
      <c r="H1173" s="37"/>
    </row>
    <row r="1174" spans="2:8" ht="18" customHeight="1" x14ac:dyDescent="0.3">
      <c r="B1174" s="26"/>
      <c r="C1174" s="27"/>
      <c r="D1174" s="17"/>
      <c r="E1174" s="38"/>
      <c r="F1174" s="38"/>
      <c r="G1174" s="30" t="str">
        <f t="shared" si="16"/>
        <v/>
      </c>
      <c r="H1174" s="39"/>
    </row>
    <row r="1175" spans="2:8" ht="18" customHeight="1" x14ac:dyDescent="0.3">
      <c r="B1175" s="26"/>
      <c r="C1175" s="27"/>
      <c r="D1175" s="28"/>
      <c r="E1175" s="36"/>
      <c r="F1175" s="36"/>
      <c r="G1175" s="30" t="str">
        <f t="shared" si="16"/>
        <v/>
      </c>
      <c r="H1175" s="37"/>
    </row>
    <row r="1176" spans="2:8" ht="18" customHeight="1" x14ac:dyDescent="0.3">
      <c r="B1176" s="26"/>
      <c r="C1176" s="27"/>
      <c r="D1176" s="17"/>
      <c r="E1176" s="38"/>
      <c r="F1176" s="38"/>
      <c r="G1176" s="30" t="str">
        <f t="shared" si="16"/>
        <v/>
      </c>
      <c r="H1176" s="39"/>
    </row>
    <row r="1177" spans="2:8" ht="18" customHeight="1" x14ac:dyDescent="0.3">
      <c r="B1177" s="26"/>
      <c r="C1177" s="27"/>
      <c r="D1177" s="28"/>
      <c r="E1177" s="36"/>
      <c r="F1177" s="36"/>
      <c r="G1177" s="30" t="str">
        <f t="shared" si="16"/>
        <v/>
      </c>
      <c r="H1177" s="37"/>
    </row>
    <row r="1178" spans="2:8" ht="18" customHeight="1" x14ac:dyDescent="0.3">
      <c r="B1178" s="26"/>
      <c r="C1178" s="27"/>
      <c r="D1178" s="17"/>
      <c r="E1178" s="38"/>
      <c r="F1178" s="38"/>
      <c r="G1178" s="30" t="str">
        <f t="shared" si="16"/>
        <v/>
      </c>
      <c r="H1178" s="39"/>
    </row>
    <row r="1179" spans="2:8" ht="18" customHeight="1" x14ac:dyDescent="0.3">
      <c r="B1179" s="26"/>
      <c r="C1179" s="27"/>
      <c r="D1179" s="28"/>
      <c r="E1179" s="36"/>
      <c r="F1179" s="36"/>
      <c r="G1179" s="30" t="str">
        <f t="shared" si="16"/>
        <v/>
      </c>
      <c r="H1179" s="37"/>
    </row>
    <row r="1180" spans="2:8" ht="18" customHeight="1" x14ac:dyDescent="0.3">
      <c r="B1180" s="26"/>
      <c r="C1180" s="27"/>
      <c r="D1180" s="17"/>
      <c r="E1180" s="38"/>
      <c r="F1180" s="38"/>
      <c r="G1180" s="30" t="str">
        <f t="shared" si="16"/>
        <v/>
      </c>
      <c r="H1180" s="39"/>
    </row>
    <row r="1181" spans="2:8" ht="18" customHeight="1" x14ac:dyDescent="0.3">
      <c r="B1181" s="26"/>
      <c r="C1181" s="27"/>
      <c r="D1181" s="28"/>
      <c r="E1181" s="36"/>
      <c r="F1181" s="36"/>
      <c r="G1181" s="30" t="str">
        <f t="shared" si="16"/>
        <v/>
      </c>
      <c r="H1181" s="37"/>
    </row>
    <row r="1182" spans="2:8" ht="18" customHeight="1" x14ac:dyDescent="0.3">
      <c r="B1182" s="26"/>
      <c r="C1182" s="27"/>
      <c r="D1182" s="17"/>
      <c r="E1182" s="38"/>
      <c r="F1182" s="38"/>
      <c r="G1182" s="30" t="str">
        <f t="shared" si="16"/>
        <v/>
      </c>
      <c r="H1182" s="39"/>
    </row>
    <row r="1183" spans="2:8" ht="18" customHeight="1" x14ac:dyDescent="0.3">
      <c r="B1183" s="26"/>
      <c r="C1183" s="27"/>
      <c r="D1183" s="28"/>
      <c r="E1183" s="36"/>
      <c r="F1183" s="36"/>
      <c r="G1183" s="30" t="str">
        <f t="shared" si="16"/>
        <v/>
      </c>
      <c r="H1183" s="37"/>
    </row>
    <row r="1184" spans="2:8" ht="18" customHeight="1" x14ac:dyDescent="0.3">
      <c r="B1184" s="26"/>
      <c r="C1184" s="27"/>
      <c r="D1184" s="17"/>
      <c r="E1184" s="38"/>
      <c r="F1184" s="38"/>
      <c r="G1184" s="30" t="str">
        <f t="shared" si="16"/>
        <v/>
      </c>
      <c r="H1184" s="39"/>
    </row>
    <row r="1185" spans="2:8" ht="18" customHeight="1" x14ac:dyDescent="0.3">
      <c r="B1185" s="26"/>
      <c r="C1185" s="27"/>
      <c r="D1185" s="28"/>
      <c r="E1185" s="36"/>
      <c r="F1185" s="36"/>
      <c r="G1185" s="30" t="str">
        <f t="shared" si="16"/>
        <v/>
      </c>
      <c r="H1185" s="37"/>
    </row>
    <row r="1186" spans="2:8" ht="18" customHeight="1" x14ac:dyDescent="0.3">
      <c r="B1186" s="26"/>
      <c r="C1186" s="27"/>
      <c r="D1186" s="17"/>
      <c r="E1186" s="38"/>
      <c r="F1186" s="38"/>
      <c r="G1186" s="30" t="str">
        <f t="shared" si="16"/>
        <v/>
      </c>
      <c r="H1186" s="39"/>
    </row>
    <row r="1187" spans="2:8" ht="18" customHeight="1" x14ac:dyDescent="0.3">
      <c r="B1187" s="26"/>
      <c r="C1187" s="27"/>
      <c r="D1187" s="28"/>
      <c r="E1187" s="36"/>
      <c r="F1187" s="36"/>
      <c r="G1187" s="30" t="str">
        <f t="shared" si="16"/>
        <v/>
      </c>
      <c r="H1187" s="37"/>
    </row>
    <row r="1188" spans="2:8" ht="18" customHeight="1" x14ac:dyDescent="0.3">
      <c r="B1188" s="26"/>
      <c r="C1188" s="27"/>
      <c r="D1188" s="17"/>
      <c r="E1188" s="38"/>
      <c r="F1188" s="38"/>
      <c r="G1188" s="30" t="str">
        <f t="shared" si="16"/>
        <v/>
      </c>
      <c r="H1188" s="39"/>
    </row>
    <row r="1189" spans="2:8" ht="18" customHeight="1" x14ac:dyDescent="0.3">
      <c r="B1189" s="26"/>
      <c r="C1189" s="27"/>
      <c r="D1189" s="28"/>
      <c r="E1189" s="36"/>
      <c r="F1189" s="36"/>
      <c r="G1189" s="30" t="str">
        <f t="shared" si="16"/>
        <v/>
      </c>
      <c r="H1189" s="37"/>
    </row>
    <row r="1190" spans="2:8" ht="18" customHeight="1" x14ac:dyDescent="0.3">
      <c r="B1190" s="26"/>
      <c r="C1190" s="27"/>
      <c r="D1190" s="17"/>
      <c r="E1190" s="38"/>
      <c r="F1190" s="38"/>
      <c r="G1190" s="30" t="str">
        <f t="shared" si="16"/>
        <v/>
      </c>
      <c r="H1190" s="39"/>
    </row>
    <row r="1191" spans="2:8" ht="18" customHeight="1" x14ac:dyDescent="0.3">
      <c r="B1191" s="26"/>
      <c r="C1191" s="27"/>
      <c r="D1191" s="28"/>
      <c r="E1191" s="36"/>
      <c r="F1191" s="36"/>
      <c r="G1191" s="30" t="str">
        <f t="shared" si="16"/>
        <v/>
      </c>
      <c r="H1191" s="37"/>
    </row>
    <row r="1192" spans="2:8" ht="18" customHeight="1" x14ac:dyDescent="0.3">
      <c r="B1192" s="26"/>
      <c r="C1192" s="27"/>
      <c r="D1192" s="17"/>
      <c r="E1192" s="38"/>
      <c r="F1192" s="38"/>
      <c r="G1192" s="30" t="str">
        <f t="shared" si="16"/>
        <v/>
      </c>
      <c r="H1192" s="39"/>
    </row>
    <row r="1193" spans="2:8" ht="18" customHeight="1" x14ac:dyDescent="0.3">
      <c r="B1193" s="26"/>
      <c r="C1193" s="27"/>
      <c r="D1193" s="28"/>
      <c r="E1193" s="36"/>
      <c r="F1193" s="36"/>
      <c r="G1193" s="30" t="str">
        <f t="shared" si="16"/>
        <v/>
      </c>
      <c r="H1193" s="37"/>
    </row>
    <row r="1194" spans="2:8" ht="18" customHeight="1" x14ac:dyDescent="0.3">
      <c r="B1194" s="26"/>
      <c r="C1194" s="27"/>
      <c r="D1194" s="17"/>
      <c r="E1194" s="38"/>
      <c r="F1194" s="38"/>
      <c r="G1194" s="30" t="str">
        <f t="shared" si="16"/>
        <v/>
      </c>
      <c r="H1194" s="39"/>
    </row>
    <row r="1195" spans="2:8" ht="18" customHeight="1" x14ac:dyDescent="0.3">
      <c r="B1195" s="26"/>
      <c r="C1195" s="27"/>
      <c r="D1195" s="28"/>
      <c r="E1195" s="36"/>
      <c r="F1195" s="36"/>
      <c r="G1195" s="30" t="str">
        <f t="shared" si="16"/>
        <v/>
      </c>
      <c r="H1195" s="37"/>
    </row>
    <row r="1196" spans="2:8" ht="18" customHeight="1" x14ac:dyDescent="0.3">
      <c r="B1196" s="26"/>
      <c r="C1196" s="27"/>
      <c r="D1196" s="17"/>
      <c r="E1196" s="38"/>
      <c r="F1196" s="38"/>
      <c r="G1196" s="30" t="str">
        <f t="shared" si="16"/>
        <v/>
      </c>
      <c r="H1196" s="39"/>
    </row>
    <row r="1197" spans="2:8" ht="18" customHeight="1" x14ac:dyDescent="0.3">
      <c r="B1197" s="26"/>
      <c r="C1197" s="27"/>
      <c r="D1197" s="28"/>
      <c r="E1197" s="36"/>
      <c r="F1197" s="36"/>
      <c r="G1197" s="30" t="str">
        <f t="shared" si="16"/>
        <v/>
      </c>
      <c r="H1197" s="37"/>
    </row>
    <row r="1198" spans="2:8" ht="18" customHeight="1" x14ac:dyDescent="0.3">
      <c r="B1198" s="26"/>
      <c r="C1198" s="27"/>
      <c r="D1198" s="17"/>
      <c r="E1198" s="38"/>
      <c r="F1198" s="38"/>
      <c r="G1198" s="30" t="str">
        <f t="shared" si="16"/>
        <v/>
      </c>
      <c r="H1198" s="39"/>
    </row>
    <row r="1199" spans="2:8" ht="18" customHeight="1" x14ac:dyDescent="0.3">
      <c r="B1199" s="26"/>
      <c r="C1199" s="27"/>
      <c r="D1199" s="28"/>
      <c r="E1199" s="36"/>
      <c r="F1199" s="36"/>
      <c r="G1199" s="30" t="str">
        <f t="shared" si="16"/>
        <v/>
      </c>
      <c r="H1199" s="37"/>
    </row>
    <row r="1200" spans="2:8" ht="18" customHeight="1" x14ac:dyDescent="0.3">
      <c r="B1200" s="26"/>
      <c r="C1200" s="27"/>
      <c r="D1200" s="17"/>
      <c r="E1200" s="38"/>
      <c r="F1200" s="38"/>
      <c r="G1200" s="30" t="str">
        <f t="shared" si="16"/>
        <v/>
      </c>
      <c r="H1200" s="39"/>
    </row>
    <row r="1201" spans="2:8" ht="18" customHeight="1" x14ac:dyDescent="0.3">
      <c r="B1201" s="26"/>
      <c r="C1201" s="27"/>
      <c r="D1201" s="28"/>
      <c r="E1201" s="36"/>
      <c r="F1201" s="36"/>
      <c r="G1201" s="30" t="str">
        <f t="shared" si="16"/>
        <v/>
      </c>
      <c r="H1201" s="37"/>
    </row>
    <row r="1202" spans="2:8" ht="18" customHeight="1" x14ac:dyDescent="0.3">
      <c r="B1202" s="26"/>
      <c r="C1202" s="27"/>
      <c r="D1202" s="17"/>
      <c r="E1202" s="38"/>
      <c r="F1202" s="38"/>
      <c r="G1202" s="30" t="str">
        <f t="shared" si="16"/>
        <v/>
      </c>
      <c r="H1202" s="39"/>
    </row>
    <row r="1203" spans="2:8" ht="18" customHeight="1" x14ac:dyDescent="0.3">
      <c r="B1203" s="26"/>
      <c r="C1203" s="27"/>
      <c r="D1203" s="28"/>
      <c r="E1203" s="36"/>
      <c r="F1203" s="36"/>
      <c r="G1203" s="30" t="str">
        <f t="shared" si="16"/>
        <v/>
      </c>
      <c r="H1203" s="37"/>
    </row>
    <row r="1204" spans="2:8" ht="18" customHeight="1" x14ac:dyDescent="0.3">
      <c r="B1204" s="26"/>
      <c r="C1204" s="27"/>
      <c r="D1204" s="17"/>
      <c r="E1204" s="38"/>
      <c r="F1204" s="38"/>
      <c r="G1204" s="30" t="str">
        <f t="shared" si="16"/>
        <v/>
      </c>
      <c r="H1204" s="39"/>
    </row>
    <row r="1205" spans="2:8" ht="18" customHeight="1" x14ac:dyDescent="0.3">
      <c r="B1205" s="26"/>
      <c r="C1205" s="27"/>
      <c r="D1205" s="28"/>
      <c r="E1205" s="36"/>
      <c r="F1205" s="36"/>
      <c r="G1205" s="30" t="str">
        <f t="shared" si="16"/>
        <v/>
      </c>
      <c r="H1205" s="37"/>
    </row>
    <row r="1206" spans="2:8" ht="18" customHeight="1" x14ac:dyDescent="0.3">
      <c r="B1206" s="26"/>
      <c r="C1206" s="27"/>
      <c r="D1206" s="17"/>
      <c r="E1206" s="38"/>
      <c r="F1206" s="38"/>
      <c r="G1206" s="30" t="str">
        <f t="shared" si="16"/>
        <v/>
      </c>
      <c r="H1206" s="39"/>
    </row>
    <row r="1207" spans="2:8" ht="18" customHeight="1" x14ac:dyDescent="0.3">
      <c r="B1207" s="26"/>
      <c r="C1207" s="27"/>
      <c r="D1207" s="28"/>
      <c r="E1207" s="36"/>
      <c r="F1207" s="36"/>
      <c r="G1207" s="30" t="str">
        <f t="shared" si="16"/>
        <v/>
      </c>
      <c r="H1207" s="37"/>
    </row>
    <row r="1208" spans="2:8" ht="18" customHeight="1" x14ac:dyDescent="0.3">
      <c r="B1208" s="26"/>
      <c r="C1208" s="27"/>
      <c r="D1208" s="17"/>
      <c r="E1208" s="38"/>
      <c r="F1208" s="38"/>
      <c r="G1208" s="30" t="str">
        <f t="shared" si="16"/>
        <v/>
      </c>
      <c r="H1208" s="39"/>
    </row>
    <row r="1209" spans="2:8" ht="18" customHeight="1" x14ac:dyDescent="0.3">
      <c r="B1209" s="26"/>
      <c r="C1209" s="27"/>
      <c r="D1209" s="28"/>
      <c r="E1209" s="36"/>
      <c r="F1209" s="36"/>
      <c r="G1209" s="30" t="str">
        <f t="shared" si="16"/>
        <v/>
      </c>
      <c r="H1209" s="37"/>
    </row>
    <row r="1210" spans="2:8" ht="18" customHeight="1" x14ac:dyDescent="0.3">
      <c r="B1210" s="26"/>
      <c r="C1210" s="27"/>
      <c r="D1210" s="17"/>
      <c r="E1210" s="38"/>
      <c r="F1210" s="38"/>
      <c r="G1210" s="30" t="str">
        <f t="shared" si="16"/>
        <v/>
      </c>
      <c r="H1210" s="39"/>
    </row>
    <row r="1211" spans="2:8" ht="18" customHeight="1" x14ac:dyDescent="0.3">
      <c r="B1211" s="26"/>
      <c r="C1211" s="27"/>
      <c r="D1211" s="28"/>
      <c r="E1211" s="36"/>
      <c r="F1211" s="36"/>
      <c r="G1211" s="30" t="str">
        <f t="shared" si="16"/>
        <v/>
      </c>
      <c r="H1211" s="37"/>
    </row>
    <row r="1212" spans="2:8" ht="18" customHeight="1" x14ac:dyDescent="0.3">
      <c r="B1212" s="26"/>
      <c r="C1212" s="27"/>
      <c r="D1212" s="17"/>
      <c r="E1212" s="38"/>
      <c r="F1212" s="38"/>
      <c r="G1212" s="30" t="str">
        <f t="shared" si="16"/>
        <v/>
      </c>
      <c r="H1212" s="39"/>
    </row>
    <row r="1213" spans="2:8" ht="18" customHeight="1" x14ac:dyDescent="0.3">
      <c r="B1213" s="26"/>
      <c r="C1213" s="27"/>
      <c r="D1213" s="28"/>
      <c r="E1213" s="36"/>
      <c r="F1213" s="36"/>
      <c r="G1213" s="30" t="str">
        <f t="shared" si="16"/>
        <v/>
      </c>
      <c r="H1213" s="37"/>
    </row>
    <row r="1214" spans="2:8" ht="18" customHeight="1" x14ac:dyDescent="0.3">
      <c r="B1214" s="26"/>
      <c r="C1214" s="27"/>
      <c r="D1214" s="17"/>
      <c r="E1214" s="38"/>
      <c r="F1214" s="38"/>
      <c r="G1214" s="30" t="str">
        <f t="shared" si="16"/>
        <v/>
      </c>
      <c r="H1214" s="39"/>
    </row>
    <row r="1215" spans="2:8" ht="18" customHeight="1" x14ac:dyDescent="0.3">
      <c r="B1215" s="26"/>
      <c r="C1215" s="27"/>
      <c r="D1215" s="28"/>
      <c r="E1215" s="36"/>
      <c r="F1215" s="36"/>
      <c r="G1215" s="30" t="str">
        <f t="shared" si="16"/>
        <v/>
      </c>
      <c r="H1215" s="37"/>
    </row>
    <row r="1216" spans="2:8" ht="18" customHeight="1" x14ac:dyDescent="0.3">
      <c r="B1216" s="26"/>
      <c r="C1216" s="27"/>
      <c r="D1216" s="17"/>
      <c r="E1216" s="38"/>
      <c r="F1216" s="38"/>
      <c r="G1216" s="30" t="str">
        <f t="shared" si="16"/>
        <v/>
      </c>
      <c r="H1216" s="39"/>
    </row>
    <row r="1217" spans="2:8" ht="18" customHeight="1" x14ac:dyDescent="0.3">
      <c r="B1217" s="26"/>
      <c r="C1217" s="27"/>
      <c r="D1217" s="28"/>
      <c r="E1217" s="36"/>
      <c r="F1217" s="36"/>
      <c r="G1217" s="30" t="str">
        <f t="shared" si="16"/>
        <v/>
      </c>
      <c r="H1217" s="37"/>
    </row>
    <row r="1218" spans="2:8" ht="18" customHeight="1" x14ac:dyDescent="0.3">
      <c r="B1218" s="26"/>
      <c r="C1218" s="27"/>
      <c r="D1218" s="17"/>
      <c r="E1218" s="38"/>
      <c r="F1218" s="38"/>
      <c r="G1218" s="30" t="str">
        <f t="shared" si="16"/>
        <v/>
      </c>
      <c r="H1218" s="39"/>
    </row>
    <row r="1219" spans="2:8" ht="18" customHeight="1" x14ac:dyDescent="0.3">
      <c r="B1219" s="26"/>
      <c r="C1219" s="27"/>
      <c r="D1219" s="28"/>
      <c r="E1219" s="36"/>
      <c r="F1219" s="36"/>
      <c r="G1219" s="30" t="str">
        <f t="shared" si="16"/>
        <v/>
      </c>
      <c r="H1219" s="37"/>
    </row>
    <row r="1220" spans="2:8" ht="18" customHeight="1" x14ac:dyDescent="0.3">
      <c r="B1220" s="26"/>
      <c r="C1220" s="27"/>
      <c r="D1220" s="17"/>
      <c r="E1220" s="38"/>
      <c r="F1220" s="38"/>
      <c r="G1220" s="30" t="str">
        <f t="shared" si="16"/>
        <v/>
      </c>
      <c r="H1220" s="39"/>
    </row>
    <row r="1221" spans="2:8" ht="18" customHeight="1" x14ac:dyDescent="0.3">
      <c r="B1221" s="26"/>
      <c r="C1221" s="27"/>
      <c r="D1221" s="28"/>
      <c r="E1221" s="36"/>
      <c r="F1221" s="36"/>
      <c r="G1221" s="30" t="str">
        <f t="shared" ref="G1221:G1284" si="17">IF(OR(B1221="",E1221=""),"",IF(E1221="08:00",8,IF(E1221="07:00",8,7)))</f>
        <v/>
      </c>
      <c r="H1221" s="37"/>
    </row>
    <row r="1222" spans="2:8" ht="18" customHeight="1" x14ac:dyDescent="0.3">
      <c r="B1222" s="26"/>
      <c r="C1222" s="27"/>
      <c r="D1222" s="17"/>
      <c r="E1222" s="38"/>
      <c r="F1222" s="38"/>
      <c r="G1222" s="30" t="str">
        <f t="shared" si="17"/>
        <v/>
      </c>
      <c r="H1222" s="39"/>
    </row>
    <row r="1223" spans="2:8" ht="18" customHeight="1" x14ac:dyDescent="0.3">
      <c r="B1223" s="26"/>
      <c r="C1223" s="27"/>
      <c r="D1223" s="28"/>
      <c r="E1223" s="36"/>
      <c r="F1223" s="36"/>
      <c r="G1223" s="30" t="str">
        <f t="shared" si="17"/>
        <v/>
      </c>
      <c r="H1223" s="37"/>
    </row>
    <row r="1224" spans="2:8" ht="18" customHeight="1" x14ac:dyDescent="0.3">
      <c r="B1224" s="26"/>
      <c r="C1224" s="27"/>
      <c r="D1224" s="17"/>
      <c r="E1224" s="38"/>
      <c r="F1224" s="38"/>
      <c r="G1224" s="30" t="str">
        <f t="shared" si="17"/>
        <v/>
      </c>
      <c r="H1224" s="39"/>
    </row>
    <row r="1225" spans="2:8" ht="18" customHeight="1" x14ac:dyDescent="0.3">
      <c r="B1225" s="26"/>
      <c r="C1225" s="27"/>
      <c r="D1225" s="28"/>
      <c r="E1225" s="36"/>
      <c r="F1225" s="36"/>
      <c r="G1225" s="30" t="str">
        <f t="shared" si="17"/>
        <v/>
      </c>
      <c r="H1225" s="37"/>
    </row>
    <row r="1226" spans="2:8" ht="18" customHeight="1" x14ac:dyDescent="0.3">
      <c r="B1226" s="26"/>
      <c r="C1226" s="27"/>
      <c r="D1226" s="17"/>
      <c r="E1226" s="38"/>
      <c r="F1226" s="38"/>
      <c r="G1226" s="30" t="str">
        <f t="shared" si="17"/>
        <v/>
      </c>
      <c r="H1226" s="39"/>
    </row>
    <row r="1227" spans="2:8" ht="18" customHeight="1" x14ac:dyDescent="0.3">
      <c r="B1227" s="26"/>
      <c r="C1227" s="27"/>
      <c r="D1227" s="28"/>
      <c r="E1227" s="36"/>
      <c r="F1227" s="36"/>
      <c r="G1227" s="30" t="str">
        <f t="shared" si="17"/>
        <v/>
      </c>
      <c r="H1227" s="37"/>
    </row>
    <row r="1228" spans="2:8" ht="18" customHeight="1" x14ac:dyDescent="0.3">
      <c r="B1228" s="26"/>
      <c r="C1228" s="27"/>
      <c r="D1228" s="17"/>
      <c r="E1228" s="38"/>
      <c r="F1228" s="38"/>
      <c r="G1228" s="30" t="str">
        <f t="shared" si="17"/>
        <v/>
      </c>
      <c r="H1228" s="39"/>
    </row>
    <row r="1229" spans="2:8" ht="18" customHeight="1" x14ac:dyDescent="0.3">
      <c r="B1229" s="26"/>
      <c r="C1229" s="27"/>
      <c r="D1229" s="28"/>
      <c r="E1229" s="36"/>
      <c r="F1229" s="36"/>
      <c r="G1229" s="30" t="str">
        <f t="shared" si="17"/>
        <v/>
      </c>
      <c r="H1229" s="37"/>
    </row>
    <row r="1230" spans="2:8" ht="18" customHeight="1" x14ac:dyDescent="0.3">
      <c r="B1230" s="26"/>
      <c r="C1230" s="27"/>
      <c r="D1230" s="17"/>
      <c r="E1230" s="38"/>
      <c r="F1230" s="38"/>
      <c r="G1230" s="30" t="str">
        <f t="shared" si="17"/>
        <v/>
      </c>
      <c r="H1230" s="39"/>
    </row>
    <row r="1231" spans="2:8" ht="18" customHeight="1" x14ac:dyDescent="0.3">
      <c r="B1231" s="26"/>
      <c r="C1231" s="27"/>
      <c r="D1231" s="28"/>
      <c r="E1231" s="36"/>
      <c r="F1231" s="36"/>
      <c r="G1231" s="30" t="str">
        <f t="shared" si="17"/>
        <v/>
      </c>
      <c r="H1231" s="37"/>
    </row>
    <row r="1232" spans="2:8" ht="18" customHeight="1" x14ac:dyDescent="0.3">
      <c r="B1232" s="26"/>
      <c r="C1232" s="27"/>
      <c r="D1232" s="17"/>
      <c r="E1232" s="38"/>
      <c r="F1232" s="38"/>
      <c r="G1232" s="30" t="str">
        <f t="shared" si="17"/>
        <v/>
      </c>
      <c r="H1232" s="39"/>
    </row>
    <row r="1233" spans="2:8" ht="18" customHeight="1" x14ac:dyDescent="0.3">
      <c r="B1233" s="26"/>
      <c r="C1233" s="27"/>
      <c r="D1233" s="28"/>
      <c r="E1233" s="36"/>
      <c r="F1233" s="36"/>
      <c r="G1233" s="30" t="str">
        <f t="shared" si="17"/>
        <v/>
      </c>
      <c r="H1233" s="37"/>
    </row>
    <row r="1234" spans="2:8" ht="18" customHeight="1" x14ac:dyDescent="0.3">
      <c r="B1234" s="26"/>
      <c r="C1234" s="27"/>
      <c r="D1234" s="17"/>
      <c r="E1234" s="38"/>
      <c r="F1234" s="38"/>
      <c r="G1234" s="30" t="str">
        <f t="shared" si="17"/>
        <v/>
      </c>
      <c r="H1234" s="39"/>
    </row>
    <row r="1235" spans="2:8" ht="18" customHeight="1" x14ac:dyDescent="0.3">
      <c r="B1235" s="26"/>
      <c r="C1235" s="27"/>
      <c r="D1235" s="28"/>
      <c r="E1235" s="36"/>
      <c r="F1235" s="36"/>
      <c r="G1235" s="30" t="str">
        <f t="shared" si="17"/>
        <v/>
      </c>
      <c r="H1235" s="37"/>
    </row>
    <row r="1236" spans="2:8" ht="18" customHeight="1" x14ac:dyDescent="0.3">
      <c r="B1236" s="26"/>
      <c r="C1236" s="27"/>
      <c r="D1236" s="17"/>
      <c r="E1236" s="38"/>
      <c r="F1236" s="38"/>
      <c r="G1236" s="30" t="str">
        <f t="shared" si="17"/>
        <v/>
      </c>
      <c r="H1236" s="39"/>
    </row>
    <row r="1237" spans="2:8" ht="18" customHeight="1" x14ac:dyDescent="0.3">
      <c r="B1237" s="26"/>
      <c r="C1237" s="27"/>
      <c r="D1237" s="28"/>
      <c r="E1237" s="36"/>
      <c r="F1237" s="36"/>
      <c r="G1237" s="30" t="str">
        <f t="shared" si="17"/>
        <v/>
      </c>
      <c r="H1237" s="37"/>
    </row>
    <row r="1238" spans="2:8" ht="18" customHeight="1" x14ac:dyDescent="0.3">
      <c r="B1238" s="26"/>
      <c r="C1238" s="27"/>
      <c r="D1238" s="17"/>
      <c r="E1238" s="38"/>
      <c r="F1238" s="38"/>
      <c r="G1238" s="30" t="str">
        <f t="shared" si="17"/>
        <v/>
      </c>
      <c r="H1238" s="39"/>
    </row>
    <row r="1239" spans="2:8" ht="18" customHeight="1" x14ac:dyDescent="0.3">
      <c r="B1239" s="26"/>
      <c r="C1239" s="27"/>
      <c r="D1239" s="28"/>
      <c r="E1239" s="36"/>
      <c r="F1239" s="36"/>
      <c r="G1239" s="30" t="str">
        <f t="shared" si="17"/>
        <v/>
      </c>
      <c r="H1239" s="37"/>
    </row>
    <row r="1240" spans="2:8" ht="18" customHeight="1" x14ac:dyDescent="0.3">
      <c r="B1240" s="26"/>
      <c r="C1240" s="27"/>
      <c r="D1240" s="17"/>
      <c r="E1240" s="38"/>
      <c r="F1240" s="38"/>
      <c r="G1240" s="30" t="str">
        <f t="shared" si="17"/>
        <v/>
      </c>
      <c r="H1240" s="39"/>
    </row>
    <row r="1241" spans="2:8" ht="18" customHeight="1" x14ac:dyDescent="0.3">
      <c r="B1241" s="26"/>
      <c r="C1241" s="27"/>
      <c r="D1241" s="28"/>
      <c r="E1241" s="36"/>
      <c r="F1241" s="36"/>
      <c r="G1241" s="30" t="str">
        <f t="shared" si="17"/>
        <v/>
      </c>
      <c r="H1241" s="37"/>
    </row>
    <row r="1242" spans="2:8" ht="18" customHeight="1" x14ac:dyDescent="0.3">
      <c r="B1242" s="26"/>
      <c r="C1242" s="27"/>
      <c r="D1242" s="17"/>
      <c r="E1242" s="38"/>
      <c r="F1242" s="38"/>
      <c r="G1242" s="30" t="str">
        <f t="shared" si="17"/>
        <v/>
      </c>
      <c r="H1242" s="39"/>
    </row>
    <row r="1243" spans="2:8" ht="18" customHeight="1" x14ac:dyDescent="0.3">
      <c r="B1243" s="26"/>
      <c r="C1243" s="27"/>
      <c r="D1243" s="28"/>
      <c r="E1243" s="36"/>
      <c r="F1243" s="36"/>
      <c r="G1243" s="30" t="str">
        <f t="shared" si="17"/>
        <v/>
      </c>
      <c r="H1243" s="37"/>
    </row>
    <row r="1244" spans="2:8" ht="18" customHeight="1" x14ac:dyDescent="0.3">
      <c r="B1244" s="26"/>
      <c r="C1244" s="27"/>
      <c r="D1244" s="17"/>
      <c r="E1244" s="38"/>
      <c r="F1244" s="38"/>
      <c r="G1244" s="30" t="str">
        <f t="shared" si="17"/>
        <v/>
      </c>
      <c r="H1244" s="39"/>
    </row>
    <row r="1245" spans="2:8" ht="18" customHeight="1" x14ac:dyDescent="0.3">
      <c r="B1245" s="26"/>
      <c r="C1245" s="27"/>
      <c r="D1245" s="28"/>
      <c r="E1245" s="36"/>
      <c r="F1245" s="36"/>
      <c r="G1245" s="30" t="str">
        <f t="shared" si="17"/>
        <v/>
      </c>
      <c r="H1245" s="37"/>
    </row>
    <row r="1246" spans="2:8" ht="18" customHeight="1" x14ac:dyDescent="0.3">
      <c r="B1246" s="26"/>
      <c r="C1246" s="27"/>
      <c r="D1246" s="17"/>
      <c r="E1246" s="38"/>
      <c r="F1246" s="38"/>
      <c r="G1246" s="30" t="str">
        <f t="shared" si="17"/>
        <v/>
      </c>
      <c r="H1246" s="39"/>
    </row>
    <row r="1247" spans="2:8" ht="18" customHeight="1" x14ac:dyDescent="0.3">
      <c r="B1247" s="26"/>
      <c r="C1247" s="27"/>
      <c r="D1247" s="28"/>
      <c r="E1247" s="36"/>
      <c r="F1247" s="36"/>
      <c r="G1247" s="30" t="str">
        <f t="shared" si="17"/>
        <v/>
      </c>
      <c r="H1247" s="37"/>
    </row>
    <row r="1248" spans="2:8" ht="18" customHeight="1" x14ac:dyDescent="0.3">
      <c r="B1248" s="26"/>
      <c r="C1248" s="27"/>
      <c r="D1248" s="17"/>
      <c r="E1248" s="38"/>
      <c r="F1248" s="38"/>
      <c r="G1248" s="30" t="str">
        <f t="shared" si="17"/>
        <v/>
      </c>
      <c r="H1248" s="39"/>
    </row>
    <row r="1249" spans="2:8" ht="18" customHeight="1" x14ac:dyDescent="0.3">
      <c r="B1249" s="26"/>
      <c r="C1249" s="27"/>
      <c r="D1249" s="28"/>
      <c r="E1249" s="36"/>
      <c r="F1249" s="36"/>
      <c r="G1249" s="30" t="str">
        <f t="shared" si="17"/>
        <v/>
      </c>
      <c r="H1249" s="37"/>
    </row>
    <row r="1250" spans="2:8" ht="18" customHeight="1" x14ac:dyDescent="0.3">
      <c r="B1250" s="26"/>
      <c r="C1250" s="27"/>
      <c r="D1250" s="17"/>
      <c r="E1250" s="38"/>
      <c r="F1250" s="38"/>
      <c r="G1250" s="30" t="str">
        <f t="shared" si="17"/>
        <v/>
      </c>
      <c r="H1250" s="39"/>
    </row>
    <row r="1251" spans="2:8" ht="18" customHeight="1" x14ac:dyDescent="0.3">
      <c r="B1251" s="26"/>
      <c r="C1251" s="27"/>
      <c r="D1251" s="28"/>
      <c r="E1251" s="36"/>
      <c r="F1251" s="36"/>
      <c r="G1251" s="30" t="str">
        <f t="shared" si="17"/>
        <v/>
      </c>
      <c r="H1251" s="37"/>
    </row>
    <row r="1252" spans="2:8" ht="18" customHeight="1" x14ac:dyDescent="0.3">
      <c r="B1252" s="26"/>
      <c r="C1252" s="27"/>
      <c r="D1252" s="17"/>
      <c r="E1252" s="38"/>
      <c r="F1252" s="38"/>
      <c r="G1252" s="30" t="str">
        <f t="shared" si="17"/>
        <v/>
      </c>
      <c r="H1252" s="39"/>
    </row>
    <row r="1253" spans="2:8" ht="18" customHeight="1" x14ac:dyDescent="0.3">
      <c r="B1253" s="26"/>
      <c r="C1253" s="27"/>
      <c r="D1253" s="28"/>
      <c r="E1253" s="36"/>
      <c r="F1253" s="36"/>
      <c r="G1253" s="30" t="str">
        <f t="shared" si="17"/>
        <v/>
      </c>
      <c r="H1253" s="37"/>
    </row>
    <row r="1254" spans="2:8" ht="18" customHeight="1" x14ac:dyDescent="0.3">
      <c r="B1254" s="26"/>
      <c r="C1254" s="27"/>
      <c r="D1254" s="17"/>
      <c r="E1254" s="38"/>
      <c r="F1254" s="38"/>
      <c r="G1254" s="30" t="str">
        <f t="shared" si="17"/>
        <v/>
      </c>
      <c r="H1254" s="39"/>
    </row>
    <row r="1255" spans="2:8" ht="18" customHeight="1" x14ac:dyDescent="0.3">
      <c r="B1255" s="26"/>
      <c r="C1255" s="27"/>
      <c r="D1255" s="28"/>
      <c r="E1255" s="36"/>
      <c r="F1255" s="36"/>
      <c r="G1255" s="30" t="str">
        <f t="shared" si="17"/>
        <v/>
      </c>
      <c r="H1255" s="37"/>
    </row>
    <row r="1256" spans="2:8" ht="18" customHeight="1" x14ac:dyDescent="0.3">
      <c r="B1256" s="26"/>
      <c r="C1256" s="27"/>
      <c r="D1256" s="17"/>
      <c r="E1256" s="38"/>
      <c r="F1256" s="38"/>
      <c r="G1256" s="30" t="str">
        <f t="shared" si="17"/>
        <v/>
      </c>
      <c r="H1256" s="39"/>
    </row>
    <row r="1257" spans="2:8" ht="18" customHeight="1" x14ac:dyDescent="0.3">
      <c r="B1257" s="26"/>
      <c r="C1257" s="27"/>
      <c r="D1257" s="28"/>
      <c r="E1257" s="36"/>
      <c r="F1257" s="36"/>
      <c r="G1257" s="30" t="str">
        <f t="shared" si="17"/>
        <v/>
      </c>
      <c r="H1257" s="37"/>
    </row>
    <row r="1258" spans="2:8" ht="18" customHeight="1" x14ac:dyDescent="0.3">
      <c r="B1258" s="26"/>
      <c r="C1258" s="27"/>
      <c r="D1258" s="17"/>
      <c r="E1258" s="38"/>
      <c r="F1258" s="38"/>
      <c r="G1258" s="30" t="str">
        <f t="shared" si="17"/>
        <v/>
      </c>
      <c r="H1258" s="39"/>
    </row>
    <row r="1259" spans="2:8" ht="18" customHeight="1" x14ac:dyDescent="0.3">
      <c r="B1259" s="26"/>
      <c r="C1259" s="27"/>
      <c r="D1259" s="28"/>
      <c r="E1259" s="36"/>
      <c r="F1259" s="36"/>
      <c r="G1259" s="30" t="str">
        <f t="shared" si="17"/>
        <v/>
      </c>
      <c r="H1259" s="37"/>
    </row>
    <row r="1260" spans="2:8" ht="18" customHeight="1" x14ac:dyDescent="0.3">
      <c r="B1260" s="26"/>
      <c r="C1260" s="27"/>
      <c r="D1260" s="17"/>
      <c r="E1260" s="38"/>
      <c r="F1260" s="38"/>
      <c r="G1260" s="30" t="str">
        <f t="shared" si="17"/>
        <v/>
      </c>
      <c r="H1260" s="39"/>
    </row>
    <row r="1261" spans="2:8" ht="18" customHeight="1" x14ac:dyDescent="0.3">
      <c r="B1261" s="26"/>
      <c r="C1261" s="27"/>
      <c r="D1261" s="28"/>
      <c r="E1261" s="36"/>
      <c r="F1261" s="36"/>
      <c r="G1261" s="30" t="str">
        <f t="shared" si="17"/>
        <v/>
      </c>
      <c r="H1261" s="37"/>
    </row>
    <row r="1262" spans="2:8" ht="18" customHeight="1" x14ac:dyDescent="0.3">
      <c r="B1262" s="26"/>
      <c r="C1262" s="27"/>
      <c r="D1262" s="17"/>
      <c r="E1262" s="38"/>
      <c r="F1262" s="38"/>
      <c r="G1262" s="30" t="str">
        <f t="shared" si="17"/>
        <v/>
      </c>
      <c r="H1262" s="39"/>
    </row>
    <row r="1263" spans="2:8" ht="18" customHeight="1" x14ac:dyDescent="0.3">
      <c r="B1263" s="26"/>
      <c r="C1263" s="27"/>
      <c r="D1263" s="28"/>
      <c r="E1263" s="36"/>
      <c r="F1263" s="36"/>
      <c r="G1263" s="30" t="str">
        <f t="shared" si="17"/>
        <v/>
      </c>
      <c r="H1263" s="37"/>
    </row>
    <row r="1264" spans="2:8" ht="18" customHeight="1" x14ac:dyDescent="0.3">
      <c r="B1264" s="26"/>
      <c r="C1264" s="27"/>
      <c r="D1264" s="17"/>
      <c r="E1264" s="38"/>
      <c r="F1264" s="38"/>
      <c r="G1264" s="30" t="str">
        <f t="shared" si="17"/>
        <v/>
      </c>
      <c r="H1264" s="39"/>
    </row>
    <row r="1265" spans="2:8" ht="18" customHeight="1" x14ac:dyDescent="0.3">
      <c r="B1265" s="26"/>
      <c r="C1265" s="27"/>
      <c r="D1265" s="28"/>
      <c r="E1265" s="36"/>
      <c r="F1265" s="36"/>
      <c r="G1265" s="30" t="str">
        <f t="shared" si="17"/>
        <v/>
      </c>
      <c r="H1265" s="37"/>
    </row>
    <row r="1266" spans="2:8" ht="18" customHeight="1" x14ac:dyDescent="0.3">
      <c r="B1266" s="26"/>
      <c r="C1266" s="27"/>
      <c r="D1266" s="17"/>
      <c r="E1266" s="38"/>
      <c r="F1266" s="38"/>
      <c r="G1266" s="30" t="str">
        <f t="shared" si="17"/>
        <v/>
      </c>
      <c r="H1266" s="39"/>
    </row>
    <row r="1267" spans="2:8" ht="18" customHeight="1" x14ac:dyDescent="0.3">
      <c r="B1267" s="26"/>
      <c r="C1267" s="27"/>
      <c r="D1267" s="28"/>
      <c r="E1267" s="36"/>
      <c r="F1267" s="36"/>
      <c r="G1267" s="30" t="str">
        <f t="shared" si="17"/>
        <v/>
      </c>
      <c r="H1267" s="37"/>
    </row>
    <row r="1268" spans="2:8" ht="18" customHeight="1" x14ac:dyDescent="0.3">
      <c r="B1268" s="26"/>
      <c r="C1268" s="27"/>
      <c r="D1268" s="17"/>
      <c r="E1268" s="38"/>
      <c r="F1268" s="38"/>
      <c r="G1268" s="30" t="str">
        <f t="shared" si="17"/>
        <v/>
      </c>
      <c r="H1268" s="39"/>
    </row>
    <row r="1269" spans="2:8" ht="18" customHeight="1" x14ac:dyDescent="0.3">
      <c r="B1269" s="26"/>
      <c r="C1269" s="27"/>
      <c r="D1269" s="28"/>
      <c r="E1269" s="36"/>
      <c r="F1269" s="36"/>
      <c r="G1269" s="30" t="str">
        <f t="shared" si="17"/>
        <v/>
      </c>
      <c r="H1269" s="37"/>
    </row>
    <row r="1270" spans="2:8" ht="18" customHeight="1" x14ac:dyDescent="0.3">
      <c r="B1270" s="26"/>
      <c r="C1270" s="27"/>
      <c r="D1270" s="17"/>
      <c r="E1270" s="38"/>
      <c r="F1270" s="38"/>
      <c r="G1270" s="30" t="str">
        <f t="shared" si="17"/>
        <v/>
      </c>
      <c r="H1270" s="39"/>
    </row>
    <row r="1271" spans="2:8" ht="18" customHeight="1" x14ac:dyDescent="0.3">
      <c r="B1271" s="26"/>
      <c r="C1271" s="27"/>
      <c r="D1271" s="28"/>
      <c r="E1271" s="36"/>
      <c r="F1271" s="36"/>
      <c r="G1271" s="30" t="str">
        <f t="shared" si="17"/>
        <v/>
      </c>
      <c r="H1271" s="37"/>
    </row>
    <row r="1272" spans="2:8" ht="18" customHeight="1" x14ac:dyDescent="0.3">
      <c r="B1272" s="26"/>
      <c r="C1272" s="27"/>
      <c r="D1272" s="17"/>
      <c r="E1272" s="38"/>
      <c r="F1272" s="38"/>
      <c r="G1272" s="30" t="str">
        <f t="shared" si="17"/>
        <v/>
      </c>
      <c r="H1272" s="39"/>
    </row>
    <row r="1273" spans="2:8" ht="18" customHeight="1" x14ac:dyDescent="0.3">
      <c r="B1273" s="26"/>
      <c r="C1273" s="27"/>
      <c r="D1273" s="28"/>
      <c r="E1273" s="36"/>
      <c r="F1273" s="36"/>
      <c r="G1273" s="30" t="str">
        <f t="shared" si="17"/>
        <v/>
      </c>
      <c r="H1273" s="37"/>
    </row>
    <row r="1274" spans="2:8" ht="18" customHeight="1" x14ac:dyDescent="0.3">
      <c r="B1274" s="26"/>
      <c r="C1274" s="27"/>
      <c r="D1274" s="17"/>
      <c r="E1274" s="38"/>
      <c r="F1274" s="38"/>
      <c r="G1274" s="30" t="str">
        <f t="shared" si="17"/>
        <v/>
      </c>
      <c r="H1274" s="39"/>
    </row>
    <row r="1275" spans="2:8" ht="18" customHeight="1" x14ac:dyDescent="0.3">
      <c r="B1275" s="26"/>
      <c r="C1275" s="27"/>
      <c r="D1275" s="28"/>
      <c r="E1275" s="36"/>
      <c r="F1275" s="36"/>
      <c r="G1275" s="30" t="str">
        <f t="shared" si="17"/>
        <v/>
      </c>
      <c r="H1275" s="37"/>
    </row>
    <row r="1276" spans="2:8" ht="18" customHeight="1" x14ac:dyDescent="0.3">
      <c r="B1276" s="26"/>
      <c r="C1276" s="27"/>
      <c r="D1276" s="17"/>
      <c r="E1276" s="38"/>
      <c r="F1276" s="38"/>
      <c r="G1276" s="30" t="str">
        <f t="shared" si="17"/>
        <v/>
      </c>
      <c r="H1276" s="39"/>
    </row>
    <row r="1277" spans="2:8" ht="18" customHeight="1" x14ac:dyDescent="0.3">
      <c r="B1277" s="26"/>
      <c r="C1277" s="27"/>
      <c r="D1277" s="28"/>
      <c r="E1277" s="36"/>
      <c r="F1277" s="36"/>
      <c r="G1277" s="30" t="str">
        <f t="shared" si="17"/>
        <v/>
      </c>
      <c r="H1277" s="37"/>
    </row>
    <row r="1278" spans="2:8" ht="18" customHeight="1" x14ac:dyDescent="0.3">
      <c r="B1278" s="26"/>
      <c r="C1278" s="27"/>
      <c r="D1278" s="17"/>
      <c r="E1278" s="38"/>
      <c r="F1278" s="38"/>
      <c r="G1278" s="30" t="str">
        <f t="shared" si="17"/>
        <v/>
      </c>
      <c r="H1278" s="39"/>
    </row>
    <row r="1279" spans="2:8" ht="18" customHeight="1" x14ac:dyDescent="0.3">
      <c r="B1279" s="26"/>
      <c r="C1279" s="27"/>
      <c r="D1279" s="28"/>
      <c r="E1279" s="36"/>
      <c r="F1279" s="36"/>
      <c r="G1279" s="30" t="str">
        <f t="shared" si="17"/>
        <v/>
      </c>
      <c r="H1279" s="37"/>
    </row>
    <row r="1280" spans="2:8" ht="18" customHeight="1" x14ac:dyDescent="0.3">
      <c r="B1280" s="26"/>
      <c r="C1280" s="27"/>
      <c r="D1280" s="17"/>
      <c r="E1280" s="38"/>
      <c r="F1280" s="38"/>
      <c r="G1280" s="30" t="str">
        <f t="shared" si="17"/>
        <v/>
      </c>
      <c r="H1280" s="39"/>
    </row>
    <row r="1281" spans="2:8" ht="18" customHeight="1" x14ac:dyDescent="0.3">
      <c r="B1281" s="26"/>
      <c r="C1281" s="27"/>
      <c r="D1281" s="28"/>
      <c r="E1281" s="36"/>
      <c r="F1281" s="36"/>
      <c r="G1281" s="30" t="str">
        <f t="shared" si="17"/>
        <v/>
      </c>
      <c r="H1281" s="37"/>
    </row>
    <row r="1282" spans="2:8" ht="18" customHeight="1" x14ac:dyDescent="0.3">
      <c r="B1282" s="26"/>
      <c r="C1282" s="27"/>
      <c r="D1282" s="17"/>
      <c r="E1282" s="38"/>
      <c r="F1282" s="38"/>
      <c r="G1282" s="30" t="str">
        <f t="shared" si="17"/>
        <v/>
      </c>
      <c r="H1282" s="39"/>
    </row>
    <row r="1283" spans="2:8" ht="18" customHeight="1" x14ac:dyDescent="0.3">
      <c r="B1283" s="26"/>
      <c r="C1283" s="27"/>
      <c r="D1283" s="28"/>
      <c r="E1283" s="36"/>
      <c r="F1283" s="36"/>
      <c r="G1283" s="30" t="str">
        <f t="shared" si="17"/>
        <v/>
      </c>
      <c r="H1283" s="37"/>
    </row>
    <row r="1284" spans="2:8" ht="18" customHeight="1" x14ac:dyDescent="0.3">
      <c r="B1284" s="26"/>
      <c r="C1284" s="27"/>
      <c r="D1284" s="17"/>
      <c r="E1284" s="38"/>
      <c r="F1284" s="38"/>
      <c r="G1284" s="30" t="str">
        <f t="shared" si="17"/>
        <v/>
      </c>
      <c r="H1284" s="39"/>
    </row>
    <row r="1285" spans="2:8" ht="18" customHeight="1" x14ac:dyDescent="0.3">
      <c r="B1285" s="26"/>
      <c r="C1285" s="27"/>
      <c r="D1285" s="28"/>
      <c r="E1285" s="36"/>
      <c r="F1285" s="36"/>
      <c r="G1285" s="30" t="str">
        <f t="shared" ref="G1285:G1348" si="18">IF(OR(B1285="",E1285=""),"",IF(E1285="08:00",8,IF(E1285="07:00",8,7)))</f>
        <v/>
      </c>
      <c r="H1285" s="37"/>
    </row>
    <row r="1286" spans="2:8" ht="18" customHeight="1" x14ac:dyDescent="0.3">
      <c r="B1286" s="26"/>
      <c r="C1286" s="27"/>
      <c r="D1286" s="17"/>
      <c r="E1286" s="38"/>
      <c r="F1286" s="38"/>
      <c r="G1286" s="30" t="str">
        <f t="shared" si="18"/>
        <v/>
      </c>
      <c r="H1286" s="39"/>
    </row>
    <row r="1287" spans="2:8" ht="18" customHeight="1" x14ac:dyDescent="0.3">
      <c r="B1287" s="26"/>
      <c r="C1287" s="27"/>
      <c r="D1287" s="28"/>
      <c r="E1287" s="36"/>
      <c r="F1287" s="36"/>
      <c r="G1287" s="30" t="str">
        <f t="shared" si="18"/>
        <v/>
      </c>
      <c r="H1287" s="37"/>
    </row>
    <row r="1288" spans="2:8" ht="18" customHeight="1" x14ac:dyDescent="0.3">
      <c r="B1288" s="26"/>
      <c r="C1288" s="27"/>
      <c r="D1288" s="17"/>
      <c r="E1288" s="38"/>
      <c r="F1288" s="38"/>
      <c r="G1288" s="30" t="str">
        <f t="shared" si="18"/>
        <v/>
      </c>
      <c r="H1288" s="39"/>
    </row>
    <row r="1289" spans="2:8" ht="18" customHeight="1" x14ac:dyDescent="0.3">
      <c r="B1289" s="26"/>
      <c r="C1289" s="27"/>
      <c r="D1289" s="28"/>
      <c r="E1289" s="36"/>
      <c r="F1289" s="36"/>
      <c r="G1289" s="30" t="str">
        <f t="shared" si="18"/>
        <v/>
      </c>
      <c r="H1289" s="37"/>
    </row>
    <row r="1290" spans="2:8" ht="18" customHeight="1" x14ac:dyDescent="0.3">
      <c r="B1290" s="26"/>
      <c r="C1290" s="27"/>
      <c r="D1290" s="17"/>
      <c r="E1290" s="38"/>
      <c r="F1290" s="38"/>
      <c r="G1290" s="30" t="str">
        <f t="shared" si="18"/>
        <v/>
      </c>
      <c r="H1290" s="39"/>
    </row>
    <row r="1291" spans="2:8" ht="18" customHeight="1" x14ac:dyDescent="0.3">
      <c r="B1291" s="26"/>
      <c r="C1291" s="27"/>
      <c r="D1291" s="28"/>
      <c r="E1291" s="36"/>
      <c r="F1291" s="36"/>
      <c r="G1291" s="30" t="str">
        <f t="shared" si="18"/>
        <v/>
      </c>
      <c r="H1291" s="37"/>
    </row>
    <row r="1292" spans="2:8" ht="18" customHeight="1" x14ac:dyDescent="0.3">
      <c r="B1292" s="26"/>
      <c r="C1292" s="27"/>
      <c r="D1292" s="17"/>
      <c r="E1292" s="38"/>
      <c r="F1292" s="38"/>
      <c r="G1292" s="30" t="str">
        <f t="shared" si="18"/>
        <v/>
      </c>
      <c r="H1292" s="39"/>
    </row>
    <row r="1293" spans="2:8" ht="18" customHeight="1" x14ac:dyDescent="0.3">
      <c r="B1293" s="26"/>
      <c r="C1293" s="27"/>
      <c r="D1293" s="28"/>
      <c r="E1293" s="36"/>
      <c r="F1293" s="36"/>
      <c r="G1293" s="30" t="str">
        <f t="shared" si="18"/>
        <v/>
      </c>
      <c r="H1293" s="37"/>
    </row>
    <row r="1294" spans="2:8" ht="18" customHeight="1" x14ac:dyDescent="0.3">
      <c r="B1294" s="26"/>
      <c r="C1294" s="27"/>
      <c r="D1294" s="17"/>
      <c r="E1294" s="38"/>
      <c r="F1294" s="38"/>
      <c r="G1294" s="30" t="str">
        <f t="shared" si="18"/>
        <v/>
      </c>
      <c r="H1294" s="39"/>
    </row>
    <row r="1295" spans="2:8" ht="18" customHeight="1" x14ac:dyDescent="0.3">
      <c r="B1295" s="26"/>
      <c r="C1295" s="27"/>
      <c r="D1295" s="28"/>
      <c r="E1295" s="36"/>
      <c r="F1295" s="36"/>
      <c r="G1295" s="30" t="str">
        <f t="shared" si="18"/>
        <v/>
      </c>
      <c r="H1295" s="37"/>
    </row>
    <row r="1296" spans="2:8" ht="18" customHeight="1" x14ac:dyDescent="0.3">
      <c r="B1296" s="26"/>
      <c r="C1296" s="27"/>
      <c r="D1296" s="17"/>
      <c r="E1296" s="38"/>
      <c r="F1296" s="38"/>
      <c r="G1296" s="30" t="str">
        <f t="shared" si="18"/>
        <v/>
      </c>
      <c r="H1296" s="39"/>
    </row>
    <row r="1297" spans="2:8" ht="18" customHeight="1" x14ac:dyDescent="0.3">
      <c r="B1297" s="26"/>
      <c r="C1297" s="27"/>
      <c r="D1297" s="28"/>
      <c r="E1297" s="36"/>
      <c r="F1297" s="36"/>
      <c r="G1297" s="30" t="str">
        <f t="shared" si="18"/>
        <v/>
      </c>
      <c r="H1297" s="37"/>
    </row>
    <row r="1298" spans="2:8" ht="18" customHeight="1" x14ac:dyDescent="0.3">
      <c r="B1298" s="26"/>
      <c r="C1298" s="27"/>
      <c r="D1298" s="17"/>
      <c r="E1298" s="38"/>
      <c r="F1298" s="38"/>
      <c r="G1298" s="30" t="str">
        <f t="shared" si="18"/>
        <v/>
      </c>
      <c r="H1298" s="39"/>
    </row>
    <row r="1299" spans="2:8" ht="18" customHeight="1" x14ac:dyDescent="0.3">
      <c r="B1299" s="26"/>
      <c r="C1299" s="27"/>
      <c r="D1299" s="28"/>
      <c r="E1299" s="36"/>
      <c r="F1299" s="36"/>
      <c r="G1299" s="30" t="str">
        <f t="shared" si="18"/>
        <v/>
      </c>
      <c r="H1299" s="37"/>
    </row>
    <row r="1300" spans="2:8" ht="18" customHeight="1" x14ac:dyDescent="0.3">
      <c r="B1300" s="26"/>
      <c r="C1300" s="27"/>
      <c r="D1300" s="17"/>
      <c r="E1300" s="38"/>
      <c r="F1300" s="38"/>
      <c r="G1300" s="30" t="str">
        <f t="shared" si="18"/>
        <v/>
      </c>
      <c r="H1300" s="39"/>
    </row>
    <row r="1301" spans="2:8" ht="18" customHeight="1" x14ac:dyDescent="0.3">
      <c r="B1301" s="26"/>
      <c r="C1301" s="27"/>
      <c r="D1301" s="28"/>
      <c r="E1301" s="36"/>
      <c r="F1301" s="36"/>
      <c r="G1301" s="30" t="str">
        <f t="shared" si="18"/>
        <v/>
      </c>
      <c r="H1301" s="37"/>
    </row>
    <row r="1302" spans="2:8" ht="18" customHeight="1" x14ac:dyDescent="0.3">
      <c r="B1302" s="26"/>
      <c r="C1302" s="27"/>
      <c r="D1302" s="17"/>
      <c r="E1302" s="38"/>
      <c r="F1302" s="38"/>
      <c r="G1302" s="30" t="str">
        <f t="shared" si="18"/>
        <v/>
      </c>
      <c r="H1302" s="39"/>
    </row>
    <row r="1303" spans="2:8" ht="18" customHeight="1" x14ac:dyDescent="0.3">
      <c r="B1303" s="26"/>
      <c r="C1303" s="27"/>
      <c r="D1303" s="28"/>
      <c r="E1303" s="36"/>
      <c r="F1303" s="36"/>
      <c r="G1303" s="30" t="str">
        <f t="shared" si="18"/>
        <v/>
      </c>
      <c r="H1303" s="37"/>
    </row>
    <row r="1304" spans="2:8" ht="18" customHeight="1" x14ac:dyDescent="0.3">
      <c r="B1304" s="26"/>
      <c r="C1304" s="27"/>
      <c r="D1304" s="17"/>
      <c r="E1304" s="38"/>
      <c r="F1304" s="38"/>
      <c r="G1304" s="30" t="str">
        <f t="shared" si="18"/>
        <v/>
      </c>
      <c r="H1304" s="39"/>
    </row>
    <row r="1305" spans="2:8" ht="18" customHeight="1" x14ac:dyDescent="0.3">
      <c r="B1305" s="26"/>
      <c r="C1305" s="27"/>
      <c r="D1305" s="28"/>
      <c r="E1305" s="36"/>
      <c r="F1305" s="36"/>
      <c r="G1305" s="30" t="str">
        <f t="shared" si="18"/>
        <v/>
      </c>
      <c r="H1305" s="37"/>
    </row>
    <row r="1306" spans="2:8" ht="18" customHeight="1" x14ac:dyDescent="0.3">
      <c r="B1306" s="26"/>
      <c r="C1306" s="27"/>
      <c r="D1306" s="17"/>
      <c r="E1306" s="38"/>
      <c r="F1306" s="38"/>
      <c r="G1306" s="30" t="str">
        <f t="shared" si="18"/>
        <v/>
      </c>
      <c r="H1306" s="39"/>
    </row>
    <row r="1307" spans="2:8" ht="18" customHeight="1" x14ac:dyDescent="0.3">
      <c r="B1307" s="26"/>
      <c r="C1307" s="27"/>
      <c r="D1307" s="28"/>
      <c r="E1307" s="36"/>
      <c r="F1307" s="36"/>
      <c r="G1307" s="30" t="str">
        <f t="shared" si="18"/>
        <v/>
      </c>
      <c r="H1307" s="37"/>
    </row>
    <row r="1308" spans="2:8" ht="18" customHeight="1" x14ac:dyDescent="0.3">
      <c r="B1308" s="26"/>
      <c r="C1308" s="27"/>
      <c r="D1308" s="17"/>
      <c r="E1308" s="38"/>
      <c r="F1308" s="38"/>
      <c r="G1308" s="30" t="str">
        <f t="shared" si="18"/>
        <v/>
      </c>
      <c r="H1308" s="39"/>
    </row>
    <row r="1309" spans="2:8" ht="18" customHeight="1" x14ac:dyDescent="0.3">
      <c r="B1309" s="26"/>
      <c r="C1309" s="27"/>
      <c r="D1309" s="28"/>
      <c r="E1309" s="36"/>
      <c r="F1309" s="36"/>
      <c r="G1309" s="30" t="str">
        <f t="shared" si="18"/>
        <v/>
      </c>
      <c r="H1309" s="37"/>
    </row>
    <row r="1310" spans="2:8" ht="18" customHeight="1" x14ac:dyDescent="0.3">
      <c r="B1310" s="26"/>
      <c r="C1310" s="27"/>
      <c r="D1310" s="17"/>
      <c r="E1310" s="38"/>
      <c r="F1310" s="38"/>
      <c r="G1310" s="30" t="str">
        <f t="shared" si="18"/>
        <v/>
      </c>
      <c r="H1310" s="39"/>
    </row>
    <row r="1311" spans="2:8" ht="18" customHeight="1" x14ac:dyDescent="0.3">
      <c r="B1311" s="26"/>
      <c r="C1311" s="27"/>
      <c r="D1311" s="28"/>
      <c r="E1311" s="36"/>
      <c r="F1311" s="36"/>
      <c r="G1311" s="30" t="str">
        <f t="shared" si="18"/>
        <v/>
      </c>
      <c r="H1311" s="37"/>
    </row>
    <row r="1312" spans="2:8" ht="18" customHeight="1" x14ac:dyDescent="0.3">
      <c r="B1312" s="26"/>
      <c r="C1312" s="27"/>
      <c r="D1312" s="17"/>
      <c r="E1312" s="38"/>
      <c r="F1312" s="38"/>
      <c r="G1312" s="30" t="str">
        <f t="shared" si="18"/>
        <v/>
      </c>
      <c r="H1312" s="39"/>
    </row>
    <row r="1313" spans="2:8" ht="18" customHeight="1" x14ac:dyDescent="0.3">
      <c r="B1313" s="26"/>
      <c r="C1313" s="27"/>
      <c r="D1313" s="28"/>
      <c r="E1313" s="36"/>
      <c r="F1313" s="36"/>
      <c r="G1313" s="30" t="str">
        <f t="shared" si="18"/>
        <v/>
      </c>
      <c r="H1313" s="37"/>
    </row>
    <row r="1314" spans="2:8" ht="18" customHeight="1" x14ac:dyDescent="0.3">
      <c r="B1314" s="26"/>
      <c r="C1314" s="27"/>
      <c r="D1314" s="17"/>
      <c r="E1314" s="38"/>
      <c r="F1314" s="38"/>
      <c r="G1314" s="30" t="str">
        <f t="shared" si="18"/>
        <v/>
      </c>
      <c r="H1314" s="39"/>
    </row>
    <row r="1315" spans="2:8" ht="18" customHeight="1" x14ac:dyDescent="0.3">
      <c r="B1315" s="26"/>
      <c r="C1315" s="27"/>
      <c r="D1315" s="28"/>
      <c r="E1315" s="36"/>
      <c r="F1315" s="36"/>
      <c r="G1315" s="30" t="str">
        <f t="shared" si="18"/>
        <v/>
      </c>
      <c r="H1315" s="37"/>
    </row>
    <row r="1316" spans="2:8" ht="18" customHeight="1" x14ac:dyDescent="0.3">
      <c r="B1316" s="26"/>
      <c r="C1316" s="27"/>
      <c r="D1316" s="17"/>
      <c r="E1316" s="38"/>
      <c r="F1316" s="38"/>
      <c r="G1316" s="30" t="str">
        <f t="shared" si="18"/>
        <v/>
      </c>
      <c r="H1316" s="39"/>
    </row>
    <row r="1317" spans="2:8" ht="18" customHeight="1" x14ac:dyDescent="0.3">
      <c r="B1317" s="26"/>
      <c r="C1317" s="27"/>
      <c r="D1317" s="28"/>
      <c r="E1317" s="36"/>
      <c r="F1317" s="36"/>
      <c r="G1317" s="30" t="str">
        <f t="shared" si="18"/>
        <v/>
      </c>
      <c r="H1317" s="37"/>
    </row>
    <row r="1318" spans="2:8" ht="18" customHeight="1" x14ac:dyDescent="0.3">
      <c r="B1318" s="26"/>
      <c r="C1318" s="27"/>
      <c r="D1318" s="17"/>
      <c r="E1318" s="38"/>
      <c r="F1318" s="38"/>
      <c r="G1318" s="30" t="str">
        <f t="shared" si="18"/>
        <v/>
      </c>
      <c r="H1318" s="39"/>
    </row>
    <row r="1319" spans="2:8" ht="18" customHeight="1" x14ac:dyDescent="0.3">
      <c r="B1319" s="26"/>
      <c r="C1319" s="27"/>
      <c r="D1319" s="28"/>
      <c r="E1319" s="36"/>
      <c r="F1319" s="36"/>
      <c r="G1319" s="30" t="str">
        <f t="shared" si="18"/>
        <v/>
      </c>
      <c r="H1319" s="37"/>
    </row>
    <row r="1320" spans="2:8" ht="18" customHeight="1" x14ac:dyDescent="0.3">
      <c r="B1320" s="26"/>
      <c r="C1320" s="27"/>
      <c r="D1320" s="17"/>
      <c r="E1320" s="38"/>
      <c r="F1320" s="38"/>
      <c r="G1320" s="30" t="str">
        <f t="shared" si="18"/>
        <v/>
      </c>
      <c r="H1320" s="39"/>
    </row>
    <row r="1321" spans="2:8" ht="18" customHeight="1" x14ac:dyDescent="0.3">
      <c r="B1321" s="26"/>
      <c r="C1321" s="27"/>
      <c r="D1321" s="28"/>
      <c r="E1321" s="36"/>
      <c r="F1321" s="36"/>
      <c r="G1321" s="30" t="str">
        <f t="shared" si="18"/>
        <v/>
      </c>
      <c r="H1321" s="37"/>
    </row>
    <row r="1322" spans="2:8" ht="18" customHeight="1" x14ac:dyDescent="0.3">
      <c r="B1322" s="26"/>
      <c r="C1322" s="27"/>
      <c r="D1322" s="17"/>
      <c r="E1322" s="38"/>
      <c r="F1322" s="38"/>
      <c r="G1322" s="30" t="str">
        <f t="shared" si="18"/>
        <v/>
      </c>
      <c r="H1322" s="39"/>
    </row>
    <row r="1323" spans="2:8" ht="18" customHeight="1" x14ac:dyDescent="0.3">
      <c r="B1323" s="26"/>
      <c r="C1323" s="27"/>
      <c r="D1323" s="28"/>
      <c r="E1323" s="36"/>
      <c r="F1323" s="36"/>
      <c r="G1323" s="30" t="str">
        <f t="shared" si="18"/>
        <v/>
      </c>
      <c r="H1323" s="37"/>
    </row>
    <row r="1324" spans="2:8" ht="18" customHeight="1" x14ac:dyDescent="0.3">
      <c r="B1324" s="26"/>
      <c r="C1324" s="27"/>
      <c r="D1324" s="17"/>
      <c r="E1324" s="38"/>
      <c r="F1324" s="38"/>
      <c r="G1324" s="30" t="str">
        <f t="shared" si="18"/>
        <v/>
      </c>
      <c r="H1324" s="39"/>
    </row>
    <row r="1325" spans="2:8" ht="18" customHeight="1" x14ac:dyDescent="0.3">
      <c r="B1325" s="26"/>
      <c r="C1325" s="27"/>
      <c r="D1325" s="28"/>
      <c r="E1325" s="36"/>
      <c r="F1325" s="36"/>
      <c r="G1325" s="30" t="str">
        <f t="shared" si="18"/>
        <v/>
      </c>
      <c r="H1325" s="37"/>
    </row>
    <row r="1326" spans="2:8" ht="18" customHeight="1" x14ac:dyDescent="0.3">
      <c r="B1326" s="26"/>
      <c r="C1326" s="27"/>
      <c r="D1326" s="17"/>
      <c r="E1326" s="38"/>
      <c r="F1326" s="38"/>
      <c r="G1326" s="30" t="str">
        <f t="shared" si="18"/>
        <v/>
      </c>
      <c r="H1326" s="39"/>
    </row>
    <row r="1327" spans="2:8" ht="18" customHeight="1" x14ac:dyDescent="0.3">
      <c r="B1327" s="26"/>
      <c r="C1327" s="27"/>
      <c r="D1327" s="28"/>
      <c r="E1327" s="36"/>
      <c r="F1327" s="36"/>
      <c r="G1327" s="30" t="str">
        <f t="shared" si="18"/>
        <v/>
      </c>
      <c r="H1327" s="37"/>
    </row>
    <row r="1328" spans="2:8" ht="18" customHeight="1" x14ac:dyDescent="0.3">
      <c r="B1328" s="26"/>
      <c r="C1328" s="27"/>
      <c r="D1328" s="17"/>
      <c r="E1328" s="38"/>
      <c r="F1328" s="38"/>
      <c r="G1328" s="30" t="str">
        <f t="shared" si="18"/>
        <v/>
      </c>
      <c r="H1328" s="39"/>
    </row>
    <row r="1329" spans="2:8" ht="18" customHeight="1" x14ac:dyDescent="0.3">
      <c r="B1329" s="26"/>
      <c r="C1329" s="27"/>
      <c r="D1329" s="28"/>
      <c r="E1329" s="36"/>
      <c r="F1329" s="36"/>
      <c r="G1329" s="30" t="str">
        <f t="shared" si="18"/>
        <v/>
      </c>
      <c r="H1329" s="37"/>
    </row>
    <row r="1330" spans="2:8" ht="18" customHeight="1" x14ac:dyDescent="0.3">
      <c r="B1330" s="26"/>
      <c r="C1330" s="27"/>
      <c r="D1330" s="17"/>
      <c r="E1330" s="38"/>
      <c r="F1330" s="38"/>
      <c r="G1330" s="30" t="str">
        <f t="shared" si="18"/>
        <v/>
      </c>
      <c r="H1330" s="39"/>
    </row>
    <row r="1331" spans="2:8" ht="18" customHeight="1" x14ac:dyDescent="0.3">
      <c r="B1331" s="26"/>
      <c r="C1331" s="27"/>
      <c r="D1331" s="28"/>
      <c r="E1331" s="36"/>
      <c r="F1331" s="36"/>
      <c r="G1331" s="30" t="str">
        <f t="shared" si="18"/>
        <v/>
      </c>
      <c r="H1331" s="37"/>
    </row>
    <row r="1332" spans="2:8" ht="18" customHeight="1" x14ac:dyDescent="0.3">
      <c r="B1332" s="26"/>
      <c r="C1332" s="27"/>
      <c r="D1332" s="17"/>
      <c r="E1332" s="38"/>
      <c r="F1332" s="38"/>
      <c r="G1332" s="30" t="str">
        <f t="shared" si="18"/>
        <v/>
      </c>
      <c r="H1332" s="39"/>
    </row>
    <row r="1333" spans="2:8" ht="18" customHeight="1" x14ac:dyDescent="0.3">
      <c r="B1333" s="26"/>
      <c r="C1333" s="27"/>
      <c r="D1333" s="28"/>
      <c r="E1333" s="36"/>
      <c r="F1333" s="36"/>
      <c r="G1333" s="30" t="str">
        <f t="shared" si="18"/>
        <v/>
      </c>
      <c r="H1333" s="37"/>
    </row>
    <row r="1334" spans="2:8" ht="18" customHeight="1" x14ac:dyDescent="0.3">
      <c r="B1334" s="26"/>
      <c r="C1334" s="27"/>
      <c r="D1334" s="17"/>
      <c r="E1334" s="38"/>
      <c r="F1334" s="38"/>
      <c r="G1334" s="30" t="str">
        <f t="shared" si="18"/>
        <v/>
      </c>
      <c r="H1334" s="39"/>
    </row>
    <row r="1335" spans="2:8" ht="18" customHeight="1" x14ac:dyDescent="0.3">
      <c r="B1335" s="26"/>
      <c r="C1335" s="27"/>
      <c r="D1335" s="28"/>
      <c r="E1335" s="36"/>
      <c r="F1335" s="36"/>
      <c r="G1335" s="30" t="str">
        <f t="shared" si="18"/>
        <v/>
      </c>
      <c r="H1335" s="37"/>
    </row>
    <row r="1336" spans="2:8" ht="18" customHeight="1" x14ac:dyDescent="0.3">
      <c r="B1336" s="26"/>
      <c r="C1336" s="27"/>
      <c r="D1336" s="17"/>
      <c r="E1336" s="38"/>
      <c r="F1336" s="38"/>
      <c r="G1336" s="30" t="str">
        <f t="shared" si="18"/>
        <v/>
      </c>
      <c r="H1336" s="39"/>
    </row>
    <row r="1337" spans="2:8" ht="18" customHeight="1" x14ac:dyDescent="0.3">
      <c r="B1337" s="26"/>
      <c r="C1337" s="27"/>
      <c r="D1337" s="28"/>
      <c r="E1337" s="36"/>
      <c r="F1337" s="36"/>
      <c r="G1337" s="30" t="str">
        <f t="shared" si="18"/>
        <v/>
      </c>
      <c r="H1337" s="37"/>
    </row>
    <row r="1338" spans="2:8" ht="18" customHeight="1" x14ac:dyDescent="0.3">
      <c r="B1338" s="26"/>
      <c r="C1338" s="27"/>
      <c r="D1338" s="17"/>
      <c r="E1338" s="38"/>
      <c r="F1338" s="38"/>
      <c r="G1338" s="30" t="str">
        <f t="shared" si="18"/>
        <v/>
      </c>
      <c r="H1338" s="39"/>
    </row>
    <row r="1339" spans="2:8" ht="18" customHeight="1" x14ac:dyDescent="0.3">
      <c r="B1339" s="26"/>
      <c r="C1339" s="27"/>
      <c r="D1339" s="28"/>
      <c r="E1339" s="36"/>
      <c r="F1339" s="36"/>
      <c r="G1339" s="30" t="str">
        <f t="shared" si="18"/>
        <v/>
      </c>
      <c r="H1339" s="37"/>
    </row>
    <row r="1340" spans="2:8" ht="18" customHeight="1" x14ac:dyDescent="0.3">
      <c r="B1340" s="26"/>
      <c r="C1340" s="27"/>
      <c r="D1340" s="17"/>
      <c r="E1340" s="38"/>
      <c r="F1340" s="38"/>
      <c r="G1340" s="30" t="str">
        <f t="shared" si="18"/>
        <v/>
      </c>
      <c r="H1340" s="39"/>
    </row>
    <row r="1341" spans="2:8" ht="18" customHeight="1" x14ac:dyDescent="0.3">
      <c r="B1341" s="26"/>
      <c r="C1341" s="27"/>
      <c r="D1341" s="28"/>
      <c r="E1341" s="36"/>
      <c r="F1341" s="36"/>
      <c r="G1341" s="30" t="str">
        <f t="shared" si="18"/>
        <v/>
      </c>
      <c r="H1341" s="37"/>
    </row>
    <row r="1342" spans="2:8" ht="18" customHeight="1" x14ac:dyDescent="0.3">
      <c r="B1342" s="26"/>
      <c r="C1342" s="27"/>
      <c r="D1342" s="17"/>
      <c r="E1342" s="38"/>
      <c r="F1342" s="38"/>
      <c r="G1342" s="30" t="str">
        <f t="shared" si="18"/>
        <v/>
      </c>
      <c r="H1342" s="39"/>
    </row>
    <row r="1343" spans="2:8" ht="18" customHeight="1" x14ac:dyDescent="0.3">
      <c r="B1343" s="26"/>
      <c r="C1343" s="27"/>
      <c r="D1343" s="28"/>
      <c r="E1343" s="36"/>
      <c r="F1343" s="36"/>
      <c r="G1343" s="30" t="str">
        <f t="shared" si="18"/>
        <v/>
      </c>
      <c r="H1343" s="37"/>
    </row>
    <row r="1344" spans="2:8" ht="18" customHeight="1" x14ac:dyDescent="0.3">
      <c r="B1344" s="26"/>
      <c r="C1344" s="27"/>
      <c r="D1344" s="17"/>
      <c r="E1344" s="38"/>
      <c r="F1344" s="38"/>
      <c r="G1344" s="30" t="str">
        <f t="shared" si="18"/>
        <v/>
      </c>
      <c r="H1344" s="39"/>
    </row>
    <row r="1345" spans="2:8" ht="18" customHeight="1" x14ac:dyDescent="0.3">
      <c r="B1345" s="26"/>
      <c r="C1345" s="27"/>
      <c r="D1345" s="28"/>
      <c r="E1345" s="36"/>
      <c r="F1345" s="36"/>
      <c r="G1345" s="30" t="str">
        <f t="shared" si="18"/>
        <v/>
      </c>
      <c r="H1345" s="37"/>
    </row>
    <row r="1346" spans="2:8" ht="18" customHeight="1" x14ac:dyDescent="0.3">
      <c r="B1346" s="26"/>
      <c r="C1346" s="27"/>
      <c r="D1346" s="17"/>
      <c r="E1346" s="38"/>
      <c r="F1346" s="38"/>
      <c r="G1346" s="30" t="str">
        <f t="shared" si="18"/>
        <v/>
      </c>
      <c r="H1346" s="39"/>
    </row>
    <row r="1347" spans="2:8" ht="18" customHeight="1" x14ac:dyDescent="0.3">
      <c r="B1347" s="26"/>
      <c r="C1347" s="27"/>
      <c r="D1347" s="28"/>
      <c r="E1347" s="36"/>
      <c r="F1347" s="36"/>
      <c r="G1347" s="30" t="str">
        <f t="shared" si="18"/>
        <v/>
      </c>
      <c r="H1347" s="37"/>
    </row>
    <row r="1348" spans="2:8" ht="18" customHeight="1" x14ac:dyDescent="0.3">
      <c r="B1348" s="26"/>
      <c r="C1348" s="27"/>
      <c r="D1348" s="17"/>
      <c r="E1348" s="38"/>
      <c r="F1348" s="38"/>
      <c r="G1348" s="30" t="str">
        <f t="shared" si="18"/>
        <v/>
      </c>
      <c r="H1348" s="39"/>
    </row>
    <row r="1349" spans="2:8" ht="18" customHeight="1" x14ac:dyDescent="0.3">
      <c r="B1349" s="26"/>
      <c r="C1349" s="27"/>
      <c r="D1349" s="28"/>
      <c r="E1349" s="36"/>
      <c r="F1349" s="36"/>
      <c r="G1349" s="30" t="str">
        <f t="shared" ref="G1349:G1412" si="19">IF(OR(B1349="",E1349=""),"",IF(E1349="08:00",8,IF(E1349="07:00",8,7)))</f>
        <v/>
      </c>
      <c r="H1349" s="37"/>
    </row>
    <row r="1350" spans="2:8" ht="18" customHeight="1" x14ac:dyDescent="0.3">
      <c r="B1350" s="26"/>
      <c r="C1350" s="27"/>
      <c r="D1350" s="17"/>
      <c r="E1350" s="38"/>
      <c r="F1350" s="38"/>
      <c r="G1350" s="30" t="str">
        <f t="shared" si="19"/>
        <v/>
      </c>
      <c r="H1350" s="39"/>
    </row>
    <row r="1351" spans="2:8" ht="18" customHeight="1" x14ac:dyDescent="0.3">
      <c r="B1351" s="26"/>
      <c r="C1351" s="27"/>
      <c r="D1351" s="28"/>
      <c r="E1351" s="36"/>
      <c r="F1351" s="36"/>
      <c r="G1351" s="30" t="str">
        <f t="shared" si="19"/>
        <v/>
      </c>
      <c r="H1351" s="37"/>
    </row>
    <row r="1352" spans="2:8" ht="18" customHeight="1" x14ac:dyDescent="0.3">
      <c r="B1352" s="26"/>
      <c r="C1352" s="27"/>
      <c r="D1352" s="17"/>
      <c r="E1352" s="38"/>
      <c r="F1352" s="38"/>
      <c r="G1352" s="30" t="str">
        <f t="shared" si="19"/>
        <v/>
      </c>
      <c r="H1352" s="39"/>
    </row>
    <row r="1353" spans="2:8" ht="18" customHeight="1" x14ac:dyDescent="0.3">
      <c r="B1353" s="26"/>
      <c r="C1353" s="27"/>
      <c r="D1353" s="28"/>
      <c r="E1353" s="36"/>
      <c r="F1353" s="36"/>
      <c r="G1353" s="30" t="str">
        <f t="shared" si="19"/>
        <v/>
      </c>
      <c r="H1353" s="37"/>
    </row>
    <row r="1354" spans="2:8" ht="18" customHeight="1" x14ac:dyDescent="0.3">
      <c r="B1354" s="26"/>
      <c r="C1354" s="27"/>
      <c r="D1354" s="17"/>
      <c r="E1354" s="38"/>
      <c r="F1354" s="38"/>
      <c r="G1354" s="30" t="str">
        <f t="shared" si="19"/>
        <v/>
      </c>
      <c r="H1354" s="39"/>
    </row>
    <row r="1355" spans="2:8" ht="18" customHeight="1" x14ac:dyDescent="0.3">
      <c r="B1355" s="26"/>
      <c r="C1355" s="27"/>
      <c r="D1355" s="28"/>
      <c r="E1355" s="36"/>
      <c r="F1355" s="36"/>
      <c r="G1355" s="30" t="str">
        <f t="shared" si="19"/>
        <v/>
      </c>
      <c r="H1355" s="37"/>
    </row>
    <row r="1356" spans="2:8" ht="18" customHeight="1" x14ac:dyDescent="0.3">
      <c r="B1356" s="26"/>
      <c r="C1356" s="27"/>
      <c r="D1356" s="17"/>
      <c r="E1356" s="38"/>
      <c r="F1356" s="38"/>
      <c r="G1356" s="30" t="str">
        <f t="shared" si="19"/>
        <v/>
      </c>
      <c r="H1356" s="39"/>
    </row>
    <row r="1357" spans="2:8" ht="18" customHeight="1" x14ac:dyDescent="0.3">
      <c r="B1357" s="26"/>
      <c r="C1357" s="27"/>
      <c r="D1357" s="28"/>
      <c r="E1357" s="36"/>
      <c r="F1357" s="36"/>
      <c r="G1357" s="30" t="str">
        <f t="shared" si="19"/>
        <v/>
      </c>
      <c r="H1357" s="37"/>
    </row>
    <row r="1358" spans="2:8" ht="18" customHeight="1" x14ac:dyDescent="0.3">
      <c r="B1358" s="26"/>
      <c r="C1358" s="27"/>
      <c r="D1358" s="17"/>
      <c r="E1358" s="38"/>
      <c r="F1358" s="38"/>
      <c r="G1358" s="30" t="str">
        <f t="shared" si="19"/>
        <v/>
      </c>
      <c r="H1358" s="39"/>
    </row>
    <row r="1359" spans="2:8" ht="18" customHeight="1" x14ac:dyDescent="0.3">
      <c r="B1359" s="26"/>
      <c r="C1359" s="27"/>
      <c r="D1359" s="28"/>
      <c r="E1359" s="36"/>
      <c r="F1359" s="36"/>
      <c r="G1359" s="30" t="str">
        <f t="shared" si="19"/>
        <v/>
      </c>
      <c r="H1359" s="37"/>
    </row>
    <row r="1360" spans="2:8" ht="18" customHeight="1" x14ac:dyDescent="0.3">
      <c r="B1360" s="26"/>
      <c r="C1360" s="27"/>
      <c r="D1360" s="17"/>
      <c r="E1360" s="38"/>
      <c r="F1360" s="38"/>
      <c r="G1360" s="30" t="str">
        <f t="shared" si="19"/>
        <v/>
      </c>
      <c r="H1360" s="39"/>
    </row>
    <row r="1361" spans="2:8" ht="18" customHeight="1" x14ac:dyDescent="0.3">
      <c r="B1361" s="26"/>
      <c r="C1361" s="27"/>
      <c r="D1361" s="28"/>
      <c r="E1361" s="36"/>
      <c r="F1361" s="36"/>
      <c r="G1361" s="30" t="str">
        <f t="shared" si="19"/>
        <v/>
      </c>
      <c r="H1361" s="37"/>
    </row>
    <row r="1362" spans="2:8" ht="18" customHeight="1" x14ac:dyDescent="0.3">
      <c r="B1362" s="26"/>
      <c r="C1362" s="27"/>
      <c r="D1362" s="17"/>
      <c r="E1362" s="38"/>
      <c r="F1362" s="38"/>
      <c r="G1362" s="30" t="str">
        <f t="shared" si="19"/>
        <v/>
      </c>
      <c r="H1362" s="39"/>
    </row>
    <row r="1363" spans="2:8" ht="18" customHeight="1" x14ac:dyDescent="0.3">
      <c r="B1363" s="26"/>
      <c r="C1363" s="27"/>
      <c r="D1363" s="28"/>
      <c r="E1363" s="36"/>
      <c r="F1363" s="36"/>
      <c r="G1363" s="30" t="str">
        <f t="shared" si="19"/>
        <v/>
      </c>
      <c r="H1363" s="37"/>
    </row>
    <row r="1364" spans="2:8" ht="18" customHeight="1" x14ac:dyDescent="0.3">
      <c r="B1364" s="26"/>
      <c r="C1364" s="27"/>
      <c r="D1364" s="17"/>
      <c r="E1364" s="38"/>
      <c r="F1364" s="38"/>
      <c r="G1364" s="30" t="str">
        <f t="shared" si="19"/>
        <v/>
      </c>
      <c r="H1364" s="39"/>
    </row>
    <row r="1365" spans="2:8" ht="18" customHeight="1" x14ac:dyDescent="0.3">
      <c r="B1365" s="26"/>
      <c r="C1365" s="27"/>
      <c r="D1365" s="28"/>
      <c r="E1365" s="36"/>
      <c r="F1365" s="36"/>
      <c r="G1365" s="30" t="str">
        <f t="shared" si="19"/>
        <v/>
      </c>
      <c r="H1365" s="37"/>
    </row>
    <row r="1366" spans="2:8" ht="18" customHeight="1" x14ac:dyDescent="0.3">
      <c r="B1366" s="26"/>
      <c r="C1366" s="27"/>
      <c r="D1366" s="17"/>
      <c r="E1366" s="38"/>
      <c r="F1366" s="38"/>
      <c r="G1366" s="30" t="str">
        <f t="shared" si="19"/>
        <v/>
      </c>
      <c r="H1366" s="39"/>
    </row>
    <row r="1367" spans="2:8" ht="18" customHeight="1" x14ac:dyDescent="0.3">
      <c r="B1367" s="26"/>
      <c r="C1367" s="27"/>
      <c r="D1367" s="28"/>
      <c r="E1367" s="36"/>
      <c r="F1367" s="36"/>
      <c r="G1367" s="30" t="str">
        <f t="shared" si="19"/>
        <v/>
      </c>
      <c r="H1367" s="37"/>
    </row>
    <row r="1368" spans="2:8" ht="18" customHeight="1" x14ac:dyDescent="0.3">
      <c r="B1368" s="26"/>
      <c r="C1368" s="27"/>
      <c r="D1368" s="17"/>
      <c r="E1368" s="38"/>
      <c r="F1368" s="38"/>
      <c r="G1368" s="30" t="str">
        <f t="shared" si="19"/>
        <v/>
      </c>
      <c r="H1368" s="39"/>
    </row>
    <row r="1369" spans="2:8" ht="18" customHeight="1" x14ac:dyDescent="0.3">
      <c r="B1369" s="26"/>
      <c r="C1369" s="27"/>
      <c r="D1369" s="28"/>
      <c r="E1369" s="36"/>
      <c r="F1369" s="36"/>
      <c r="G1369" s="30" t="str">
        <f t="shared" si="19"/>
        <v/>
      </c>
      <c r="H1369" s="37"/>
    </row>
    <row r="1370" spans="2:8" ht="18" customHeight="1" x14ac:dyDescent="0.3">
      <c r="B1370" s="26"/>
      <c r="C1370" s="27"/>
      <c r="D1370" s="17"/>
      <c r="E1370" s="38"/>
      <c r="F1370" s="38"/>
      <c r="G1370" s="30" t="str">
        <f t="shared" si="19"/>
        <v/>
      </c>
      <c r="H1370" s="39"/>
    </row>
    <row r="1371" spans="2:8" ht="18" customHeight="1" x14ac:dyDescent="0.3">
      <c r="B1371" s="26"/>
      <c r="C1371" s="27"/>
      <c r="D1371" s="28"/>
      <c r="E1371" s="36"/>
      <c r="F1371" s="36"/>
      <c r="G1371" s="30" t="str">
        <f t="shared" si="19"/>
        <v/>
      </c>
      <c r="H1371" s="37"/>
    </row>
    <row r="1372" spans="2:8" ht="18" customHeight="1" x14ac:dyDescent="0.3">
      <c r="B1372" s="26"/>
      <c r="C1372" s="27"/>
      <c r="D1372" s="17"/>
      <c r="E1372" s="38"/>
      <c r="F1372" s="38"/>
      <c r="G1372" s="30" t="str">
        <f t="shared" si="19"/>
        <v/>
      </c>
      <c r="H1372" s="39"/>
    </row>
    <row r="1373" spans="2:8" ht="18" customHeight="1" x14ac:dyDescent="0.3">
      <c r="B1373" s="26"/>
      <c r="C1373" s="27"/>
      <c r="D1373" s="28"/>
      <c r="E1373" s="36"/>
      <c r="F1373" s="36"/>
      <c r="G1373" s="30" t="str">
        <f t="shared" si="19"/>
        <v/>
      </c>
      <c r="H1373" s="37"/>
    </row>
    <row r="1374" spans="2:8" ht="18" customHeight="1" x14ac:dyDescent="0.3">
      <c r="B1374" s="26"/>
      <c r="C1374" s="27"/>
      <c r="D1374" s="17"/>
      <c r="E1374" s="38"/>
      <c r="F1374" s="38"/>
      <c r="G1374" s="30" t="str">
        <f t="shared" si="19"/>
        <v/>
      </c>
      <c r="H1374" s="39"/>
    </row>
    <row r="1375" spans="2:8" ht="18" customHeight="1" x14ac:dyDescent="0.3">
      <c r="B1375" s="26"/>
      <c r="C1375" s="27"/>
      <c r="D1375" s="28"/>
      <c r="E1375" s="36"/>
      <c r="F1375" s="36"/>
      <c r="G1375" s="30" t="str">
        <f t="shared" si="19"/>
        <v/>
      </c>
      <c r="H1375" s="37"/>
    </row>
    <row r="1376" spans="2:8" ht="18" customHeight="1" x14ac:dyDescent="0.3">
      <c r="B1376" s="26"/>
      <c r="C1376" s="27"/>
      <c r="D1376" s="17"/>
      <c r="E1376" s="38"/>
      <c r="F1376" s="38"/>
      <c r="G1376" s="30" t="str">
        <f t="shared" si="19"/>
        <v/>
      </c>
      <c r="H1376" s="39"/>
    </row>
    <row r="1377" spans="2:8" ht="18" customHeight="1" x14ac:dyDescent="0.3">
      <c r="B1377" s="26"/>
      <c r="C1377" s="27"/>
      <c r="D1377" s="28"/>
      <c r="E1377" s="36"/>
      <c r="F1377" s="36"/>
      <c r="G1377" s="30" t="str">
        <f t="shared" si="19"/>
        <v/>
      </c>
      <c r="H1377" s="37"/>
    </row>
    <row r="1378" spans="2:8" ht="18" customHeight="1" x14ac:dyDescent="0.3">
      <c r="B1378" s="26"/>
      <c r="C1378" s="27"/>
      <c r="D1378" s="17"/>
      <c r="E1378" s="38"/>
      <c r="F1378" s="38"/>
      <c r="G1378" s="30" t="str">
        <f t="shared" si="19"/>
        <v/>
      </c>
      <c r="H1378" s="39"/>
    </row>
    <row r="1379" spans="2:8" ht="18" customHeight="1" x14ac:dyDescent="0.3">
      <c r="B1379" s="26"/>
      <c r="C1379" s="27"/>
      <c r="D1379" s="28"/>
      <c r="E1379" s="36"/>
      <c r="F1379" s="36"/>
      <c r="G1379" s="30" t="str">
        <f t="shared" si="19"/>
        <v/>
      </c>
      <c r="H1379" s="37"/>
    </row>
    <row r="1380" spans="2:8" ht="18" customHeight="1" x14ac:dyDescent="0.3">
      <c r="B1380" s="26"/>
      <c r="C1380" s="27"/>
      <c r="D1380" s="17"/>
      <c r="E1380" s="38"/>
      <c r="F1380" s="38"/>
      <c r="G1380" s="30" t="str">
        <f t="shared" si="19"/>
        <v/>
      </c>
      <c r="H1380" s="39"/>
    </row>
    <row r="1381" spans="2:8" ht="18" customHeight="1" x14ac:dyDescent="0.3">
      <c r="B1381" s="26"/>
      <c r="C1381" s="27"/>
      <c r="D1381" s="28"/>
      <c r="E1381" s="36"/>
      <c r="F1381" s="36"/>
      <c r="G1381" s="30" t="str">
        <f t="shared" si="19"/>
        <v/>
      </c>
      <c r="H1381" s="37"/>
    </row>
    <row r="1382" spans="2:8" ht="18" customHeight="1" x14ac:dyDescent="0.3">
      <c r="B1382" s="26"/>
      <c r="C1382" s="27"/>
      <c r="D1382" s="17"/>
      <c r="E1382" s="38"/>
      <c r="F1382" s="38"/>
      <c r="G1382" s="30" t="str">
        <f t="shared" si="19"/>
        <v/>
      </c>
      <c r="H1382" s="39"/>
    </row>
    <row r="1383" spans="2:8" ht="18" customHeight="1" x14ac:dyDescent="0.3">
      <c r="B1383" s="26"/>
      <c r="C1383" s="27"/>
      <c r="D1383" s="28"/>
      <c r="E1383" s="36"/>
      <c r="F1383" s="36"/>
      <c r="G1383" s="30" t="str">
        <f t="shared" si="19"/>
        <v/>
      </c>
      <c r="H1383" s="37"/>
    </row>
    <row r="1384" spans="2:8" ht="18" customHeight="1" x14ac:dyDescent="0.3">
      <c r="B1384" s="26"/>
      <c r="C1384" s="27"/>
      <c r="D1384" s="17"/>
      <c r="E1384" s="38"/>
      <c r="F1384" s="38"/>
      <c r="G1384" s="30" t="str">
        <f t="shared" si="19"/>
        <v/>
      </c>
      <c r="H1384" s="39"/>
    </row>
    <row r="1385" spans="2:8" ht="18" customHeight="1" x14ac:dyDescent="0.3">
      <c r="B1385" s="26"/>
      <c r="C1385" s="27"/>
      <c r="D1385" s="28"/>
      <c r="E1385" s="36"/>
      <c r="F1385" s="36"/>
      <c r="G1385" s="30" t="str">
        <f t="shared" si="19"/>
        <v/>
      </c>
      <c r="H1385" s="37"/>
    </row>
    <row r="1386" spans="2:8" ht="18" customHeight="1" x14ac:dyDescent="0.3">
      <c r="B1386" s="26"/>
      <c r="C1386" s="27"/>
      <c r="D1386" s="17"/>
      <c r="E1386" s="38"/>
      <c r="F1386" s="38"/>
      <c r="G1386" s="30" t="str">
        <f t="shared" si="19"/>
        <v/>
      </c>
      <c r="H1386" s="39"/>
    </row>
    <row r="1387" spans="2:8" ht="18" customHeight="1" x14ac:dyDescent="0.3">
      <c r="B1387" s="26"/>
      <c r="C1387" s="27"/>
      <c r="D1387" s="28"/>
      <c r="E1387" s="36"/>
      <c r="F1387" s="36"/>
      <c r="G1387" s="30" t="str">
        <f t="shared" si="19"/>
        <v/>
      </c>
      <c r="H1387" s="37"/>
    </row>
    <row r="1388" spans="2:8" ht="18" customHeight="1" x14ac:dyDescent="0.3">
      <c r="B1388" s="26"/>
      <c r="C1388" s="27"/>
      <c r="D1388" s="17"/>
      <c r="E1388" s="38"/>
      <c r="F1388" s="38"/>
      <c r="G1388" s="30" t="str">
        <f t="shared" si="19"/>
        <v/>
      </c>
      <c r="H1388" s="39"/>
    </row>
    <row r="1389" spans="2:8" ht="18" customHeight="1" x14ac:dyDescent="0.3">
      <c r="B1389" s="26"/>
      <c r="C1389" s="27"/>
      <c r="D1389" s="28"/>
      <c r="E1389" s="36"/>
      <c r="F1389" s="36"/>
      <c r="G1389" s="30" t="str">
        <f t="shared" si="19"/>
        <v/>
      </c>
      <c r="H1389" s="37"/>
    </row>
    <row r="1390" spans="2:8" ht="18" customHeight="1" x14ac:dyDescent="0.3">
      <c r="B1390" s="26"/>
      <c r="C1390" s="27"/>
      <c r="D1390" s="17"/>
      <c r="E1390" s="38"/>
      <c r="F1390" s="38"/>
      <c r="G1390" s="30" t="str">
        <f t="shared" si="19"/>
        <v/>
      </c>
      <c r="H1390" s="39"/>
    </row>
    <row r="1391" spans="2:8" ht="18" customHeight="1" x14ac:dyDescent="0.3">
      <c r="B1391" s="26"/>
      <c r="C1391" s="27"/>
      <c r="D1391" s="28"/>
      <c r="E1391" s="36"/>
      <c r="F1391" s="36"/>
      <c r="G1391" s="30" t="str">
        <f t="shared" si="19"/>
        <v/>
      </c>
      <c r="H1391" s="37"/>
    </row>
    <row r="1392" spans="2:8" ht="18" customHeight="1" x14ac:dyDescent="0.3">
      <c r="B1392" s="26"/>
      <c r="C1392" s="27"/>
      <c r="D1392" s="17"/>
      <c r="E1392" s="38"/>
      <c r="F1392" s="38"/>
      <c r="G1392" s="30" t="str">
        <f t="shared" si="19"/>
        <v/>
      </c>
      <c r="H1392" s="39"/>
    </row>
    <row r="1393" spans="2:8" ht="18" customHeight="1" x14ac:dyDescent="0.3">
      <c r="B1393" s="26"/>
      <c r="C1393" s="27"/>
      <c r="D1393" s="28"/>
      <c r="E1393" s="36"/>
      <c r="F1393" s="36"/>
      <c r="G1393" s="30" t="str">
        <f t="shared" si="19"/>
        <v/>
      </c>
      <c r="H1393" s="37"/>
    </row>
    <row r="1394" spans="2:8" ht="18" customHeight="1" x14ac:dyDescent="0.3">
      <c r="B1394" s="26"/>
      <c r="C1394" s="27"/>
      <c r="D1394" s="17"/>
      <c r="E1394" s="38"/>
      <c r="F1394" s="38"/>
      <c r="G1394" s="30" t="str">
        <f t="shared" si="19"/>
        <v/>
      </c>
      <c r="H1394" s="39"/>
    </row>
    <row r="1395" spans="2:8" ht="18" customHeight="1" x14ac:dyDescent="0.3">
      <c r="B1395" s="26"/>
      <c r="C1395" s="27"/>
      <c r="D1395" s="28"/>
      <c r="E1395" s="36"/>
      <c r="F1395" s="36"/>
      <c r="G1395" s="30" t="str">
        <f t="shared" si="19"/>
        <v/>
      </c>
      <c r="H1395" s="37"/>
    </row>
    <row r="1396" spans="2:8" ht="18" customHeight="1" x14ac:dyDescent="0.3">
      <c r="B1396" s="26"/>
      <c r="C1396" s="27"/>
      <c r="D1396" s="17"/>
      <c r="E1396" s="38"/>
      <c r="F1396" s="38"/>
      <c r="G1396" s="30" t="str">
        <f t="shared" si="19"/>
        <v/>
      </c>
      <c r="H1396" s="39"/>
    </row>
    <row r="1397" spans="2:8" ht="18" customHeight="1" x14ac:dyDescent="0.3">
      <c r="B1397" s="26"/>
      <c r="C1397" s="27"/>
      <c r="D1397" s="28"/>
      <c r="E1397" s="36"/>
      <c r="F1397" s="36"/>
      <c r="G1397" s="30" t="str">
        <f t="shared" si="19"/>
        <v/>
      </c>
      <c r="H1397" s="37"/>
    </row>
    <row r="1398" spans="2:8" ht="18" customHeight="1" x14ac:dyDescent="0.3">
      <c r="B1398" s="26"/>
      <c r="C1398" s="27"/>
      <c r="D1398" s="17"/>
      <c r="E1398" s="38"/>
      <c r="F1398" s="38"/>
      <c r="G1398" s="30" t="str">
        <f t="shared" si="19"/>
        <v/>
      </c>
      <c r="H1398" s="39"/>
    </row>
    <row r="1399" spans="2:8" ht="18" customHeight="1" x14ac:dyDescent="0.3">
      <c r="B1399" s="26"/>
      <c r="C1399" s="27"/>
      <c r="D1399" s="28"/>
      <c r="E1399" s="36"/>
      <c r="F1399" s="36"/>
      <c r="G1399" s="30" t="str">
        <f t="shared" si="19"/>
        <v/>
      </c>
      <c r="H1399" s="37"/>
    </row>
    <row r="1400" spans="2:8" ht="18" customHeight="1" x14ac:dyDescent="0.3">
      <c r="B1400" s="26"/>
      <c r="C1400" s="27"/>
      <c r="D1400" s="17"/>
      <c r="E1400" s="38"/>
      <c r="F1400" s="38"/>
      <c r="G1400" s="30" t="str">
        <f t="shared" si="19"/>
        <v/>
      </c>
      <c r="H1400" s="39"/>
    </row>
    <row r="1401" spans="2:8" ht="18" customHeight="1" x14ac:dyDescent="0.3">
      <c r="B1401" s="26"/>
      <c r="C1401" s="27"/>
      <c r="D1401" s="28"/>
      <c r="E1401" s="36"/>
      <c r="F1401" s="36"/>
      <c r="G1401" s="30" t="str">
        <f t="shared" si="19"/>
        <v/>
      </c>
      <c r="H1401" s="37"/>
    </row>
    <row r="1402" spans="2:8" ht="18" customHeight="1" x14ac:dyDescent="0.3">
      <c r="B1402" s="26"/>
      <c r="C1402" s="27"/>
      <c r="D1402" s="17"/>
      <c r="E1402" s="38"/>
      <c r="F1402" s="38"/>
      <c r="G1402" s="30" t="str">
        <f t="shared" si="19"/>
        <v/>
      </c>
      <c r="H1402" s="39"/>
    </row>
    <row r="1403" spans="2:8" ht="18" customHeight="1" x14ac:dyDescent="0.3">
      <c r="B1403" s="26"/>
      <c r="C1403" s="27"/>
      <c r="D1403" s="28"/>
      <c r="E1403" s="36"/>
      <c r="F1403" s="36"/>
      <c r="G1403" s="30" t="str">
        <f t="shared" si="19"/>
        <v/>
      </c>
      <c r="H1403" s="37"/>
    </row>
    <row r="1404" spans="2:8" ht="18" customHeight="1" x14ac:dyDescent="0.3">
      <c r="B1404" s="26"/>
      <c r="C1404" s="27"/>
      <c r="D1404" s="17"/>
      <c r="E1404" s="38"/>
      <c r="F1404" s="38"/>
      <c r="G1404" s="30" t="str">
        <f t="shared" si="19"/>
        <v/>
      </c>
      <c r="H1404" s="39"/>
    </row>
    <row r="1405" spans="2:8" ht="18" customHeight="1" x14ac:dyDescent="0.3">
      <c r="B1405" s="26"/>
      <c r="C1405" s="27"/>
      <c r="D1405" s="28"/>
      <c r="E1405" s="36"/>
      <c r="F1405" s="36"/>
      <c r="G1405" s="30" t="str">
        <f t="shared" si="19"/>
        <v/>
      </c>
      <c r="H1405" s="37"/>
    </row>
    <row r="1406" spans="2:8" ht="18" customHeight="1" x14ac:dyDescent="0.3">
      <c r="B1406" s="26"/>
      <c r="C1406" s="27"/>
      <c r="D1406" s="17"/>
      <c r="E1406" s="38"/>
      <c r="F1406" s="38"/>
      <c r="G1406" s="30" t="str">
        <f t="shared" si="19"/>
        <v/>
      </c>
      <c r="H1406" s="39"/>
    </row>
    <row r="1407" spans="2:8" ht="18" customHeight="1" x14ac:dyDescent="0.3">
      <c r="B1407" s="26"/>
      <c r="C1407" s="27"/>
      <c r="D1407" s="28"/>
      <c r="E1407" s="36"/>
      <c r="F1407" s="36"/>
      <c r="G1407" s="30" t="str">
        <f t="shared" si="19"/>
        <v/>
      </c>
      <c r="H1407" s="37"/>
    </row>
    <row r="1408" spans="2:8" ht="18" customHeight="1" x14ac:dyDescent="0.3">
      <c r="B1408" s="26"/>
      <c r="C1408" s="27"/>
      <c r="D1408" s="17"/>
      <c r="E1408" s="38"/>
      <c r="F1408" s="38"/>
      <c r="G1408" s="30" t="str">
        <f t="shared" si="19"/>
        <v/>
      </c>
      <c r="H1408" s="39"/>
    </row>
    <row r="1409" spans="2:8" ht="18" customHeight="1" x14ac:dyDescent="0.3">
      <c r="B1409" s="26"/>
      <c r="C1409" s="27"/>
      <c r="D1409" s="28"/>
      <c r="E1409" s="36"/>
      <c r="F1409" s="36"/>
      <c r="G1409" s="30" t="str">
        <f t="shared" si="19"/>
        <v/>
      </c>
      <c r="H1409" s="37"/>
    </row>
    <row r="1410" spans="2:8" ht="18" customHeight="1" x14ac:dyDescent="0.3">
      <c r="B1410" s="26"/>
      <c r="C1410" s="27"/>
      <c r="D1410" s="17"/>
      <c r="E1410" s="38"/>
      <c r="F1410" s="38"/>
      <c r="G1410" s="30" t="str">
        <f t="shared" si="19"/>
        <v/>
      </c>
      <c r="H1410" s="39"/>
    </row>
    <row r="1411" spans="2:8" ht="18" customHeight="1" x14ac:dyDescent="0.3">
      <c r="B1411" s="26"/>
      <c r="C1411" s="27"/>
      <c r="D1411" s="28"/>
      <c r="E1411" s="36"/>
      <c r="F1411" s="36"/>
      <c r="G1411" s="30" t="str">
        <f t="shared" si="19"/>
        <v/>
      </c>
      <c r="H1411" s="37"/>
    </row>
    <row r="1412" spans="2:8" ht="18" customHeight="1" x14ac:dyDescent="0.3">
      <c r="B1412" s="26"/>
      <c r="C1412" s="27"/>
      <c r="D1412" s="17"/>
      <c r="E1412" s="38"/>
      <c r="F1412" s="38"/>
      <c r="G1412" s="30" t="str">
        <f t="shared" si="19"/>
        <v/>
      </c>
      <c r="H1412" s="39"/>
    </row>
    <row r="1413" spans="2:8" ht="18" customHeight="1" x14ac:dyDescent="0.3">
      <c r="B1413" s="26"/>
      <c r="C1413" s="27"/>
      <c r="D1413" s="28"/>
      <c r="E1413" s="36"/>
      <c r="F1413" s="36"/>
      <c r="G1413" s="30" t="str">
        <f t="shared" ref="G1413:G1476" si="20">IF(OR(B1413="",E1413=""),"",IF(E1413="08:00",8,IF(E1413="07:00",8,7)))</f>
        <v/>
      </c>
      <c r="H1413" s="37"/>
    </row>
    <row r="1414" spans="2:8" ht="18" customHeight="1" x14ac:dyDescent="0.3">
      <c r="B1414" s="26"/>
      <c r="C1414" s="27"/>
      <c r="D1414" s="17"/>
      <c r="E1414" s="38"/>
      <c r="F1414" s="38"/>
      <c r="G1414" s="30" t="str">
        <f t="shared" si="20"/>
        <v/>
      </c>
      <c r="H1414" s="39"/>
    </row>
    <row r="1415" spans="2:8" ht="18" customHeight="1" x14ac:dyDescent="0.3">
      <c r="B1415" s="26"/>
      <c r="C1415" s="27"/>
      <c r="D1415" s="28"/>
      <c r="E1415" s="36"/>
      <c r="F1415" s="36"/>
      <c r="G1415" s="30" t="str">
        <f t="shared" si="20"/>
        <v/>
      </c>
      <c r="H1415" s="37"/>
    </row>
    <row r="1416" spans="2:8" ht="18" customHeight="1" x14ac:dyDescent="0.3">
      <c r="B1416" s="26"/>
      <c r="C1416" s="27"/>
      <c r="D1416" s="17"/>
      <c r="E1416" s="38"/>
      <c r="F1416" s="38"/>
      <c r="G1416" s="30" t="str">
        <f t="shared" si="20"/>
        <v/>
      </c>
      <c r="H1416" s="39"/>
    </row>
    <row r="1417" spans="2:8" ht="18" customHeight="1" x14ac:dyDescent="0.3">
      <c r="B1417" s="26"/>
      <c r="C1417" s="27"/>
      <c r="D1417" s="28"/>
      <c r="E1417" s="36"/>
      <c r="F1417" s="36"/>
      <c r="G1417" s="30" t="str">
        <f t="shared" si="20"/>
        <v/>
      </c>
      <c r="H1417" s="37"/>
    </row>
    <row r="1418" spans="2:8" ht="18" customHeight="1" x14ac:dyDescent="0.3">
      <c r="B1418" s="26"/>
      <c r="C1418" s="27"/>
      <c r="D1418" s="17"/>
      <c r="E1418" s="38"/>
      <c r="F1418" s="38"/>
      <c r="G1418" s="30" t="str">
        <f t="shared" si="20"/>
        <v/>
      </c>
      <c r="H1418" s="39"/>
    </row>
    <row r="1419" spans="2:8" ht="18" customHeight="1" x14ac:dyDescent="0.3">
      <c r="B1419" s="26"/>
      <c r="C1419" s="27"/>
      <c r="D1419" s="28"/>
      <c r="E1419" s="36"/>
      <c r="F1419" s="36"/>
      <c r="G1419" s="30" t="str">
        <f t="shared" si="20"/>
        <v/>
      </c>
      <c r="H1419" s="37"/>
    </row>
    <row r="1420" spans="2:8" ht="18" customHeight="1" x14ac:dyDescent="0.3">
      <c r="B1420" s="26"/>
      <c r="C1420" s="27"/>
      <c r="D1420" s="17"/>
      <c r="E1420" s="38"/>
      <c r="F1420" s="38"/>
      <c r="G1420" s="30" t="str">
        <f t="shared" si="20"/>
        <v/>
      </c>
      <c r="H1420" s="39"/>
    </row>
    <row r="1421" spans="2:8" ht="18" customHeight="1" x14ac:dyDescent="0.3">
      <c r="B1421" s="26"/>
      <c r="C1421" s="27"/>
      <c r="D1421" s="28"/>
      <c r="E1421" s="36"/>
      <c r="F1421" s="36"/>
      <c r="G1421" s="30" t="str">
        <f t="shared" si="20"/>
        <v/>
      </c>
      <c r="H1421" s="37"/>
    </row>
    <row r="1422" spans="2:8" ht="18" customHeight="1" x14ac:dyDescent="0.3">
      <c r="B1422" s="26"/>
      <c r="C1422" s="27"/>
      <c r="D1422" s="17"/>
      <c r="E1422" s="38"/>
      <c r="F1422" s="38"/>
      <c r="G1422" s="30" t="str">
        <f t="shared" si="20"/>
        <v/>
      </c>
      <c r="H1422" s="39"/>
    </row>
    <row r="1423" spans="2:8" ht="18" customHeight="1" x14ac:dyDescent="0.3">
      <c r="B1423" s="26"/>
      <c r="C1423" s="27"/>
      <c r="D1423" s="28"/>
      <c r="E1423" s="36"/>
      <c r="F1423" s="36"/>
      <c r="G1423" s="30" t="str">
        <f t="shared" si="20"/>
        <v/>
      </c>
      <c r="H1423" s="37"/>
    </row>
    <row r="1424" spans="2:8" ht="18" customHeight="1" x14ac:dyDescent="0.3">
      <c r="B1424" s="26"/>
      <c r="C1424" s="27"/>
      <c r="D1424" s="17"/>
      <c r="E1424" s="38"/>
      <c r="F1424" s="38"/>
      <c r="G1424" s="30" t="str">
        <f t="shared" si="20"/>
        <v/>
      </c>
      <c r="H1424" s="39"/>
    </row>
    <row r="1425" spans="2:8" ht="18" customHeight="1" x14ac:dyDescent="0.3">
      <c r="B1425" s="26"/>
      <c r="C1425" s="27"/>
      <c r="D1425" s="28"/>
      <c r="E1425" s="36"/>
      <c r="F1425" s="36"/>
      <c r="G1425" s="30" t="str">
        <f t="shared" si="20"/>
        <v/>
      </c>
      <c r="H1425" s="37"/>
    </row>
    <row r="1426" spans="2:8" ht="18" customHeight="1" x14ac:dyDescent="0.3">
      <c r="B1426" s="26"/>
      <c r="C1426" s="27"/>
      <c r="D1426" s="17"/>
      <c r="E1426" s="38"/>
      <c r="F1426" s="38"/>
      <c r="G1426" s="30" t="str">
        <f t="shared" si="20"/>
        <v/>
      </c>
      <c r="H1426" s="39"/>
    </row>
    <row r="1427" spans="2:8" ht="18" customHeight="1" x14ac:dyDescent="0.3">
      <c r="B1427" s="26"/>
      <c r="C1427" s="27"/>
      <c r="D1427" s="28"/>
      <c r="E1427" s="36"/>
      <c r="F1427" s="36"/>
      <c r="G1427" s="30" t="str">
        <f t="shared" si="20"/>
        <v/>
      </c>
      <c r="H1427" s="37"/>
    </row>
    <row r="1428" spans="2:8" ht="18" customHeight="1" x14ac:dyDescent="0.3">
      <c r="B1428" s="26"/>
      <c r="C1428" s="27"/>
      <c r="D1428" s="17"/>
      <c r="E1428" s="38"/>
      <c r="F1428" s="38"/>
      <c r="G1428" s="30" t="str">
        <f t="shared" si="20"/>
        <v/>
      </c>
      <c r="H1428" s="39"/>
    </row>
    <row r="1429" spans="2:8" ht="18" customHeight="1" x14ac:dyDescent="0.3">
      <c r="B1429" s="26"/>
      <c r="C1429" s="27"/>
      <c r="D1429" s="28"/>
      <c r="E1429" s="36"/>
      <c r="F1429" s="36"/>
      <c r="G1429" s="30" t="str">
        <f t="shared" si="20"/>
        <v/>
      </c>
      <c r="H1429" s="37"/>
    </row>
    <row r="1430" spans="2:8" ht="18" customHeight="1" x14ac:dyDescent="0.3">
      <c r="B1430" s="26"/>
      <c r="C1430" s="27"/>
      <c r="D1430" s="17"/>
      <c r="E1430" s="38"/>
      <c r="F1430" s="38"/>
      <c r="G1430" s="30" t="str">
        <f t="shared" si="20"/>
        <v/>
      </c>
      <c r="H1430" s="39"/>
    </row>
    <row r="1431" spans="2:8" ht="18" customHeight="1" x14ac:dyDescent="0.3">
      <c r="B1431" s="26"/>
      <c r="C1431" s="27"/>
      <c r="D1431" s="28"/>
      <c r="E1431" s="36"/>
      <c r="F1431" s="36"/>
      <c r="G1431" s="30" t="str">
        <f t="shared" si="20"/>
        <v/>
      </c>
      <c r="H1431" s="37"/>
    </row>
    <row r="1432" spans="2:8" ht="18" customHeight="1" x14ac:dyDescent="0.3">
      <c r="B1432" s="26"/>
      <c r="C1432" s="27"/>
      <c r="D1432" s="17"/>
      <c r="E1432" s="38"/>
      <c r="F1432" s="38"/>
      <c r="G1432" s="30" t="str">
        <f t="shared" si="20"/>
        <v/>
      </c>
      <c r="H1432" s="39"/>
    </row>
    <row r="1433" spans="2:8" ht="18" customHeight="1" x14ac:dyDescent="0.3">
      <c r="B1433" s="26"/>
      <c r="C1433" s="27"/>
      <c r="D1433" s="28"/>
      <c r="E1433" s="36"/>
      <c r="F1433" s="36"/>
      <c r="G1433" s="30" t="str">
        <f t="shared" si="20"/>
        <v/>
      </c>
      <c r="H1433" s="37"/>
    </row>
    <row r="1434" spans="2:8" ht="18" customHeight="1" x14ac:dyDescent="0.3">
      <c r="B1434" s="26"/>
      <c r="C1434" s="27"/>
      <c r="D1434" s="17"/>
      <c r="E1434" s="38"/>
      <c r="F1434" s="38"/>
      <c r="G1434" s="30" t="str">
        <f t="shared" si="20"/>
        <v/>
      </c>
      <c r="H1434" s="39"/>
    </row>
    <row r="1435" spans="2:8" ht="18" customHeight="1" x14ac:dyDescent="0.3">
      <c r="B1435" s="26"/>
      <c r="C1435" s="27"/>
      <c r="D1435" s="28"/>
      <c r="E1435" s="36"/>
      <c r="F1435" s="36"/>
      <c r="G1435" s="30" t="str">
        <f t="shared" si="20"/>
        <v/>
      </c>
      <c r="H1435" s="37"/>
    </row>
    <row r="1436" spans="2:8" ht="18" customHeight="1" x14ac:dyDescent="0.3">
      <c r="B1436" s="26"/>
      <c r="C1436" s="27"/>
      <c r="D1436" s="17"/>
      <c r="E1436" s="38"/>
      <c r="F1436" s="38"/>
      <c r="G1436" s="30" t="str">
        <f t="shared" si="20"/>
        <v/>
      </c>
      <c r="H1436" s="39"/>
    </row>
    <row r="1437" spans="2:8" ht="18" customHeight="1" x14ac:dyDescent="0.3">
      <c r="B1437" s="26"/>
      <c r="C1437" s="27"/>
      <c r="D1437" s="28"/>
      <c r="E1437" s="36"/>
      <c r="F1437" s="36"/>
      <c r="G1437" s="30" t="str">
        <f t="shared" si="20"/>
        <v/>
      </c>
      <c r="H1437" s="37"/>
    </row>
    <row r="1438" spans="2:8" ht="18" customHeight="1" x14ac:dyDescent="0.3">
      <c r="B1438" s="26"/>
      <c r="C1438" s="27"/>
      <c r="D1438" s="17"/>
      <c r="E1438" s="38"/>
      <c r="F1438" s="38"/>
      <c r="G1438" s="30" t="str">
        <f t="shared" si="20"/>
        <v/>
      </c>
      <c r="H1438" s="39"/>
    </row>
    <row r="1439" spans="2:8" ht="18" customHeight="1" x14ac:dyDescent="0.3">
      <c r="B1439" s="26"/>
      <c r="C1439" s="27"/>
      <c r="D1439" s="28"/>
      <c r="E1439" s="36"/>
      <c r="F1439" s="36"/>
      <c r="G1439" s="30" t="str">
        <f t="shared" si="20"/>
        <v/>
      </c>
      <c r="H1439" s="37"/>
    </row>
    <row r="1440" spans="2:8" ht="18" customHeight="1" x14ac:dyDescent="0.3">
      <c r="B1440" s="26"/>
      <c r="C1440" s="27"/>
      <c r="D1440" s="17"/>
      <c r="E1440" s="38"/>
      <c r="F1440" s="38"/>
      <c r="G1440" s="30" t="str">
        <f t="shared" si="20"/>
        <v/>
      </c>
      <c r="H1440" s="39"/>
    </row>
    <row r="1441" spans="2:8" ht="18" customHeight="1" x14ac:dyDescent="0.3">
      <c r="B1441" s="26"/>
      <c r="C1441" s="27"/>
      <c r="D1441" s="28"/>
      <c r="E1441" s="36"/>
      <c r="F1441" s="36"/>
      <c r="G1441" s="30" t="str">
        <f t="shared" si="20"/>
        <v/>
      </c>
      <c r="H1441" s="37"/>
    </row>
    <row r="1442" spans="2:8" ht="18" customHeight="1" x14ac:dyDescent="0.3">
      <c r="B1442" s="26"/>
      <c r="C1442" s="27"/>
      <c r="D1442" s="17"/>
      <c r="E1442" s="38"/>
      <c r="F1442" s="38"/>
      <c r="G1442" s="30" t="str">
        <f t="shared" si="20"/>
        <v/>
      </c>
      <c r="H1442" s="39"/>
    </row>
    <row r="1443" spans="2:8" ht="18" customHeight="1" x14ac:dyDescent="0.3">
      <c r="B1443" s="26"/>
      <c r="C1443" s="27"/>
      <c r="D1443" s="28"/>
      <c r="E1443" s="36"/>
      <c r="F1443" s="36"/>
      <c r="G1443" s="30" t="str">
        <f t="shared" si="20"/>
        <v/>
      </c>
      <c r="H1443" s="37"/>
    </row>
    <row r="1444" spans="2:8" ht="18" customHeight="1" x14ac:dyDescent="0.3">
      <c r="B1444" s="26"/>
      <c r="C1444" s="27"/>
      <c r="D1444" s="17"/>
      <c r="E1444" s="38"/>
      <c r="F1444" s="38"/>
      <c r="G1444" s="30" t="str">
        <f t="shared" si="20"/>
        <v/>
      </c>
      <c r="H1444" s="39"/>
    </row>
    <row r="1445" spans="2:8" ht="18" customHeight="1" x14ac:dyDescent="0.3">
      <c r="B1445" s="26"/>
      <c r="C1445" s="27"/>
      <c r="D1445" s="28"/>
      <c r="E1445" s="36"/>
      <c r="F1445" s="36"/>
      <c r="G1445" s="30" t="str">
        <f t="shared" si="20"/>
        <v/>
      </c>
      <c r="H1445" s="37"/>
    </row>
    <row r="1446" spans="2:8" ht="18" customHeight="1" x14ac:dyDescent="0.3">
      <c r="B1446" s="26"/>
      <c r="C1446" s="27"/>
      <c r="D1446" s="17"/>
      <c r="E1446" s="38"/>
      <c r="F1446" s="38"/>
      <c r="G1446" s="30" t="str">
        <f t="shared" si="20"/>
        <v/>
      </c>
      <c r="H1446" s="39"/>
    </row>
    <row r="1447" spans="2:8" ht="18" customHeight="1" x14ac:dyDescent="0.3">
      <c r="B1447" s="26"/>
      <c r="C1447" s="27"/>
      <c r="D1447" s="28"/>
      <c r="E1447" s="36"/>
      <c r="F1447" s="36"/>
      <c r="G1447" s="30" t="str">
        <f t="shared" si="20"/>
        <v/>
      </c>
      <c r="H1447" s="37"/>
    </row>
    <row r="1448" spans="2:8" ht="18" customHeight="1" x14ac:dyDescent="0.3">
      <c r="B1448" s="26"/>
      <c r="C1448" s="27"/>
      <c r="D1448" s="17"/>
      <c r="E1448" s="38"/>
      <c r="F1448" s="38"/>
      <c r="G1448" s="30" t="str">
        <f t="shared" si="20"/>
        <v/>
      </c>
      <c r="H1448" s="39"/>
    </row>
    <row r="1449" spans="2:8" ht="18" customHeight="1" x14ac:dyDescent="0.3">
      <c r="B1449" s="26"/>
      <c r="C1449" s="27"/>
      <c r="D1449" s="28"/>
      <c r="E1449" s="36"/>
      <c r="F1449" s="36"/>
      <c r="G1449" s="30" t="str">
        <f t="shared" si="20"/>
        <v/>
      </c>
      <c r="H1449" s="37"/>
    </row>
    <row r="1450" spans="2:8" ht="18" customHeight="1" x14ac:dyDescent="0.3">
      <c r="B1450" s="26"/>
      <c r="C1450" s="27"/>
      <c r="D1450" s="17"/>
      <c r="E1450" s="38"/>
      <c r="F1450" s="38"/>
      <c r="G1450" s="30" t="str">
        <f t="shared" si="20"/>
        <v/>
      </c>
      <c r="H1450" s="39"/>
    </row>
    <row r="1451" spans="2:8" ht="18" customHeight="1" x14ac:dyDescent="0.3">
      <c r="B1451" s="26"/>
      <c r="C1451" s="27"/>
      <c r="D1451" s="28"/>
      <c r="E1451" s="36"/>
      <c r="F1451" s="36"/>
      <c r="G1451" s="30" t="str">
        <f t="shared" si="20"/>
        <v/>
      </c>
      <c r="H1451" s="37"/>
    </row>
    <row r="1452" spans="2:8" ht="18" customHeight="1" x14ac:dyDescent="0.3">
      <c r="B1452" s="26"/>
      <c r="C1452" s="27"/>
      <c r="D1452" s="17"/>
      <c r="E1452" s="38"/>
      <c r="F1452" s="38"/>
      <c r="G1452" s="30" t="str">
        <f t="shared" si="20"/>
        <v/>
      </c>
      <c r="H1452" s="39"/>
    </row>
    <row r="1453" spans="2:8" ht="18" customHeight="1" x14ac:dyDescent="0.3">
      <c r="B1453" s="26"/>
      <c r="C1453" s="27"/>
      <c r="D1453" s="28"/>
      <c r="E1453" s="36"/>
      <c r="F1453" s="36"/>
      <c r="G1453" s="30" t="str">
        <f t="shared" si="20"/>
        <v/>
      </c>
      <c r="H1453" s="37"/>
    </row>
    <row r="1454" spans="2:8" ht="18" customHeight="1" x14ac:dyDescent="0.3">
      <c r="B1454" s="26"/>
      <c r="C1454" s="27"/>
      <c r="D1454" s="17"/>
      <c r="E1454" s="38"/>
      <c r="F1454" s="38"/>
      <c r="G1454" s="30" t="str">
        <f t="shared" si="20"/>
        <v/>
      </c>
      <c r="H1454" s="39"/>
    </row>
    <row r="1455" spans="2:8" ht="18" customHeight="1" x14ac:dyDescent="0.3">
      <c r="B1455" s="26"/>
      <c r="C1455" s="27"/>
      <c r="D1455" s="28"/>
      <c r="E1455" s="36"/>
      <c r="F1455" s="36"/>
      <c r="G1455" s="30" t="str">
        <f t="shared" si="20"/>
        <v/>
      </c>
      <c r="H1455" s="37"/>
    </row>
    <row r="1456" spans="2:8" ht="18" customHeight="1" x14ac:dyDescent="0.3">
      <c r="B1456" s="26"/>
      <c r="C1456" s="27"/>
      <c r="D1456" s="17"/>
      <c r="E1456" s="38"/>
      <c r="F1456" s="38"/>
      <c r="G1456" s="30" t="str">
        <f t="shared" si="20"/>
        <v/>
      </c>
      <c r="H1456" s="39"/>
    </row>
    <row r="1457" spans="2:8" ht="18" customHeight="1" x14ac:dyDescent="0.3">
      <c r="B1457" s="26"/>
      <c r="C1457" s="27"/>
      <c r="D1457" s="28"/>
      <c r="E1457" s="36"/>
      <c r="F1457" s="36"/>
      <c r="G1457" s="30" t="str">
        <f t="shared" si="20"/>
        <v/>
      </c>
      <c r="H1457" s="37"/>
    </row>
    <row r="1458" spans="2:8" ht="18" customHeight="1" x14ac:dyDescent="0.3">
      <c r="B1458" s="26"/>
      <c r="C1458" s="27"/>
      <c r="D1458" s="17"/>
      <c r="E1458" s="38"/>
      <c r="F1458" s="38"/>
      <c r="G1458" s="30" t="str">
        <f t="shared" si="20"/>
        <v/>
      </c>
      <c r="H1458" s="39"/>
    </row>
    <row r="1459" spans="2:8" ht="18" customHeight="1" x14ac:dyDescent="0.3">
      <c r="B1459" s="26"/>
      <c r="C1459" s="27"/>
      <c r="D1459" s="28"/>
      <c r="E1459" s="36"/>
      <c r="F1459" s="36"/>
      <c r="G1459" s="30" t="str">
        <f t="shared" si="20"/>
        <v/>
      </c>
      <c r="H1459" s="37"/>
    </row>
    <row r="1460" spans="2:8" ht="18" customHeight="1" x14ac:dyDescent="0.3">
      <c r="B1460" s="26"/>
      <c r="C1460" s="27"/>
      <c r="D1460" s="17"/>
      <c r="E1460" s="38"/>
      <c r="F1460" s="38"/>
      <c r="G1460" s="30" t="str">
        <f t="shared" si="20"/>
        <v/>
      </c>
      <c r="H1460" s="39"/>
    </row>
    <row r="1461" spans="2:8" ht="18" customHeight="1" x14ac:dyDescent="0.3">
      <c r="B1461" s="26"/>
      <c r="C1461" s="27"/>
      <c r="D1461" s="28"/>
      <c r="E1461" s="36"/>
      <c r="F1461" s="36"/>
      <c r="G1461" s="30" t="str">
        <f t="shared" si="20"/>
        <v/>
      </c>
      <c r="H1461" s="37"/>
    </row>
    <row r="1462" spans="2:8" ht="18" customHeight="1" x14ac:dyDescent="0.3">
      <c r="B1462" s="26"/>
      <c r="C1462" s="27"/>
      <c r="D1462" s="17"/>
      <c r="E1462" s="38"/>
      <c r="F1462" s="38"/>
      <c r="G1462" s="30" t="str">
        <f t="shared" si="20"/>
        <v/>
      </c>
      <c r="H1462" s="39"/>
    </row>
    <row r="1463" spans="2:8" ht="18" customHeight="1" x14ac:dyDescent="0.3">
      <c r="B1463" s="26"/>
      <c r="C1463" s="27"/>
      <c r="D1463" s="28"/>
      <c r="E1463" s="36"/>
      <c r="F1463" s="36"/>
      <c r="G1463" s="30" t="str">
        <f t="shared" si="20"/>
        <v/>
      </c>
      <c r="H1463" s="37"/>
    </row>
    <row r="1464" spans="2:8" ht="18" customHeight="1" x14ac:dyDescent="0.3">
      <c r="B1464" s="26"/>
      <c r="C1464" s="27"/>
      <c r="D1464" s="17"/>
      <c r="E1464" s="38"/>
      <c r="F1464" s="38"/>
      <c r="G1464" s="30" t="str">
        <f t="shared" si="20"/>
        <v/>
      </c>
      <c r="H1464" s="39"/>
    </row>
    <row r="1465" spans="2:8" ht="18" customHeight="1" x14ac:dyDescent="0.3">
      <c r="B1465" s="26"/>
      <c r="C1465" s="27"/>
      <c r="D1465" s="28"/>
      <c r="E1465" s="36"/>
      <c r="F1465" s="36"/>
      <c r="G1465" s="30" t="str">
        <f t="shared" si="20"/>
        <v/>
      </c>
      <c r="H1465" s="37"/>
    </row>
    <row r="1466" spans="2:8" ht="18" customHeight="1" x14ac:dyDescent="0.3">
      <c r="B1466" s="26"/>
      <c r="C1466" s="27"/>
      <c r="D1466" s="17"/>
      <c r="E1466" s="38"/>
      <c r="F1466" s="38"/>
      <c r="G1466" s="30" t="str">
        <f t="shared" si="20"/>
        <v/>
      </c>
      <c r="H1466" s="39"/>
    </row>
    <row r="1467" spans="2:8" ht="18" customHeight="1" x14ac:dyDescent="0.3">
      <c r="B1467" s="26"/>
      <c r="C1467" s="27"/>
      <c r="D1467" s="28"/>
      <c r="E1467" s="36"/>
      <c r="F1467" s="36"/>
      <c r="G1467" s="30" t="str">
        <f t="shared" si="20"/>
        <v/>
      </c>
      <c r="H1467" s="37"/>
    </row>
    <row r="1468" spans="2:8" ht="18" customHeight="1" x14ac:dyDescent="0.3">
      <c r="B1468" s="26"/>
      <c r="C1468" s="27"/>
      <c r="D1468" s="17"/>
      <c r="E1468" s="38"/>
      <c r="F1468" s="38"/>
      <c r="G1468" s="30" t="str">
        <f t="shared" si="20"/>
        <v/>
      </c>
      <c r="H1468" s="39"/>
    </row>
    <row r="1469" spans="2:8" ht="18" customHeight="1" x14ac:dyDescent="0.3">
      <c r="B1469" s="26"/>
      <c r="C1469" s="27"/>
      <c r="D1469" s="28"/>
      <c r="E1469" s="36"/>
      <c r="F1469" s="36"/>
      <c r="G1469" s="30" t="str">
        <f t="shared" si="20"/>
        <v/>
      </c>
      <c r="H1469" s="37"/>
    </row>
    <row r="1470" spans="2:8" ht="18" customHeight="1" x14ac:dyDescent="0.3">
      <c r="B1470" s="26"/>
      <c r="C1470" s="27"/>
      <c r="D1470" s="17"/>
      <c r="E1470" s="38"/>
      <c r="F1470" s="38"/>
      <c r="G1470" s="30" t="str">
        <f t="shared" si="20"/>
        <v/>
      </c>
      <c r="H1470" s="39"/>
    </row>
    <row r="1471" spans="2:8" ht="18" customHeight="1" x14ac:dyDescent="0.3">
      <c r="B1471" s="26"/>
      <c r="C1471" s="27"/>
      <c r="D1471" s="28"/>
      <c r="E1471" s="36"/>
      <c r="F1471" s="36"/>
      <c r="G1471" s="30" t="str">
        <f t="shared" si="20"/>
        <v/>
      </c>
      <c r="H1471" s="37"/>
    </row>
    <row r="1472" spans="2:8" ht="18" customHeight="1" x14ac:dyDescent="0.3">
      <c r="B1472" s="26"/>
      <c r="C1472" s="27"/>
      <c r="D1472" s="17"/>
      <c r="E1472" s="38"/>
      <c r="F1472" s="38"/>
      <c r="G1472" s="30" t="str">
        <f t="shared" si="20"/>
        <v/>
      </c>
      <c r="H1472" s="39"/>
    </row>
    <row r="1473" spans="2:8" ht="18" customHeight="1" x14ac:dyDescent="0.3">
      <c r="B1473" s="26"/>
      <c r="C1473" s="27"/>
      <c r="D1473" s="28"/>
      <c r="E1473" s="36"/>
      <c r="F1473" s="36"/>
      <c r="G1473" s="30" t="str">
        <f t="shared" si="20"/>
        <v/>
      </c>
      <c r="H1473" s="37"/>
    </row>
    <row r="1474" spans="2:8" ht="18" customHeight="1" x14ac:dyDescent="0.3">
      <c r="B1474" s="26"/>
      <c r="C1474" s="27"/>
      <c r="D1474" s="17"/>
      <c r="E1474" s="38"/>
      <c r="F1474" s="38"/>
      <c r="G1474" s="30" t="str">
        <f t="shared" si="20"/>
        <v/>
      </c>
      <c r="H1474" s="39"/>
    </row>
    <row r="1475" spans="2:8" ht="18" customHeight="1" x14ac:dyDescent="0.3">
      <c r="B1475" s="26"/>
      <c r="C1475" s="27"/>
      <c r="D1475" s="28"/>
      <c r="E1475" s="36"/>
      <c r="F1475" s="36"/>
      <c r="G1475" s="30" t="str">
        <f t="shared" si="20"/>
        <v/>
      </c>
      <c r="H1475" s="37"/>
    </row>
    <row r="1476" spans="2:8" ht="18" customHeight="1" x14ac:dyDescent="0.3">
      <c r="B1476" s="26"/>
      <c r="C1476" s="27"/>
      <c r="D1476" s="17"/>
      <c r="E1476" s="38"/>
      <c r="F1476" s="38"/>
      <c r="G1476" s="30" t="str">
        <f t="shared" si="20"/>
        <v/>
      </c>
      <c r="H1476" s="39"/>
    </row>
    <row r="1477" spans="2:8" ht="18" customHeight="1" x14ac:dyDescent="0.3">
      <c r="B1477" s="26"/>
      <c r="C1477" s="27"/>
      <c r="D1477" s="28"/>
      <c r="E1477" s="36"/>
      <c r="F1477" s="36"/>
      <c r="G1477" s="30" t="str">
        <f t="shared" ref="G1477:G1540" si="21">IF(OR(B1477="",E1477=""),"",IF(E1477="08:00",8,IF(E1477="07:00",8,7)))</f>
        <v/>
      </c>
      <c r="H1477" s="37"/>
    </row>
    <row r="1478" spans="2:8" ht="18" customHeight="1" x14ac:dyDescent="0.3">
      <c r="B1478" s="26"/>
      <c r="C1478" s="27"/>
      <c r="D1478" s="17"/>
      <c r="E1478" s="38"/>
      <c r="F1478" s="38"/>
      <c r="G1478" s="30" t="str">
        <f t="shared" si="21"/>
        <v/>
      </c>
      <c r="H1478" s="39"/>
    </row>
    <row r="1479" spans="2:8" ht="18" customHeight="1" x14ac:dyDescent="0.3">
      <c r="B1479" s="26"/>
      <c r="C1479" s="27"/>
      <c r="D1479" s="28"/>
      <c r="E1479" s="36"/>
      <c r="F1479" s="36"/>
      <c r="G1479" s="30" t="str">
        <f t="shared" si="21"/>
        <v/>
      </c>
      <c r="H1479" s="37"/>
    </row>
    <row r="1480" spans="2:8" ht="18" customHeight="1" x14ac:dyDescent="0.3">
      <c r="B1480" s="26"/>
      <c r="C1480" s="27"/>
      <c r="D1480" s="17"/>
      <c r="E1480" s="38"/>
      <c r="F1480" s="38"/>
      <c r="G1480" s="30" t="str">
        <f t="shared" si="21"/>
        <v/>
      </c>
      <c r="H1480" s="39"/>
    </row>
    <row r="1481" spans="2:8" ht="18" customHeight="1" x14ac:dyDescent="0.3">
      <c r="B1481" s="26"/>
      <c r="C1481" s="27"/>
      <c r="D1481" s="28"/>
      <c r="E1481" s="36"/>
      <c r="F1481" s="36"/>
      <c r="G1481" s="30" t="str">
        <f t="shared" si="21"/>
        <v/>
      </c>
      <c r="H1481" s="37"/>
    </row>
    <row r="1482" spans="2:8" ht="18" customHeight="1" x14ac:dyDescent="0.3">
      <c r="B1482" s="26"/>
      <c r="C1482" s="27"/>
      <c r="D1482" s="17"/>
      <c r="E1482" s="38"/>
      <c r="F1482" s="38"/>
      <c r="G1482" s="30" t="str">
        <f t="shared" si="21"/>
        <v/>
      </c>
      <c r="H1482" s="39"/>
    </row>
    <row r="1483" spans="2:8" ht="18" customHeight="1" x14ac:dyDescent="0.3">
      <c r="B1483" s="26"/>
      <c r="C1483" s="27"/>
      <c r="D1483" s="28"/>
      <c r="E1483" s="36"/>
      <c r="F1483" s="36"/>
      <c r="G1483" s="30" t="str">
        <f t="shared" si="21"/>
        <v/>
      </c>
      <c r="H1483" s="37"/>
    </row>
    <row r="1484" spans="2:8" ht="18" customHeight="1" x14ac:dyDescent="0.3">
      <c r="B1484" s="26"/>
      <c r="C1484" s="27"/>
      <c r="D1484" s="17"/>
      <c r="E1484" s="38"/>
      <c r="F1484" s="38"/>
      <c r="G1484" s="30" t="str">
        <f t="shared" si="21"/>
        <v/>
      </c>
      <c r="H1484" s="39"/>
    </row>
    <row r="1485" spans="2:8" ht="18" customHeight="1" x14ac:dyDescent="0.3">
      <c r="B1485" s="26"/>
      <c r="C1485" s="27"/>
      <c r="D1485" s="28"/>
      <c r="E1485" s="36"/>
      <c r="F1485" s="36"/>
      <c r="G1485" s="30" t="str">
        <f t="shared" si="21"/>
        <v/>
      </c>
      <c r="H1485" s="37"/>
    </row>
    <row r="1486" spans="2:8" ht="18" customHeight="1" x14ac:dyDescent="0.3">
      <c r="B1486" s="26"/>
      <c r="C1486" s="27"/>
      <c r="D1486" s="17"/>
      <c r="E1486" s="38"/>
      <c r="F1486" s="38"/>
      <c r="G1486" s="30" t="str">
        <f t="shared" si="21"/>
        <v/>
      </c>
      <c r="H1486" s="39"/>
    </row>
    <row r="1487" spans="2:8" ht="18" customHeight="1" x14ac:dyDescent="0.3">
      <c r="B1487" s="26"/>
      <c r="C1487" s="27"/>
      <c r="D1487" s="28"/>
      <c r="E1487" s="36"/>
      <c r="F1487" s="36"/>
      <c r="G1487" s="30" t="str">
        <f t="shared" si="21"/>
        <v/>
      </c>
      <c r="H1487" s="37"/>
    </row>
    <row r="1488" spans="2:8" ht="18" customHeight="1" x14ac:dyDescent="0.3">
      <c r="B1488" s="26"/>
      <c r="C1488" s="27"/>
      <c r="D1488" s="17"/>
      <c r="E1488" s="38"/>
      <c r="F1488" s="38"/>
      <c r="G1488" s="30" t="str">
        <f t="shared" si="21"/>
        <v/>
      </c>
      <c r="H1488" s="39"/>
    </row>
    <row r="1489" spans="2:8" ht="18" customHeight="1" x14ac:dyDescent="0.3">
      <c r="B1489" s="26"/>
      <c r="C1489" s="27"/>
      <c r="D1489" s="28"/>
      <c r="E1489" s="36"/>
      <c r="F1489" s="36"/>
      <c r="G1489" s="30" t="str">
        <f t="shared" si="21"/>
        <v/>
      </c>
      <c r="H1489" s="37"/>
    </row>
    <row r="1490" spans="2:8" ht="18" customHeight="1" x14ac:dyDescent="0.3">
      <c r="B1490" s="26"/>
      <c r="C1490" s="27"/>
      <c r="D1490" s="17"/>
      <c r="E1490" s="38"/>
      <c r="F1490" s="38"/>
      <c r="G1490" s="30" t="str">
        <f t="shared" si="21"/>
        <v/>
      </c>
      <c r="H1490" s="39"/>
    </row>
    <row r="1491" spans="2:8" ht="18" customHeight="1" x14ac:dyDescent="0.3">
      <c r="B1491" s="26"/>
      <c r="C1491" s="27"/>
      <c r="D1491" s="28"/>
      <c r="E1491" s="36"/>
      <c r="F1491" s="36"/>
      <c r="G1491" s="30" t="str">
        <f t="shared" si="21"/>
        <v/>
      </c>
      <c r="H1491" s="37"/>
    </row>
    <row r="1492" spans="2:8" ht="18" customHeight="1" x14ac:dyDescent="0.3">
      <c r="B1492" s="26"/>
      <c r="C1492" s="27"/>
      <c r="D1492" s="17"/>
      <c r="E1492" s="38"/>
      <c r="F1492" s="38"/>
      <c r="G1492" s="30" t="str">
        <f t="shared" si="21"/>
        <v/>
      </c>
      <c r="H1492" s="39"/>
    </row>
    <row r="1493" spans="2:8" ht="18" customHeight="1" x14ac:dyDescent="0.3">
      <c r="B1493" s="26"/>
      <c r="C1493" s="27"/>
      <c r="D1493" s="28"/>
      <c r="E1493" s="36"/>
      <c r="F1493" s="36"/>
      <c r="G1493" s="30" t="str">
        <f t="shared" si="21"/>
        <v/>
      </c>
      <c r="H1493" s="37"/>
    </row>
    <row r="1494" spans="2:8" ht="18" customHeight="1" x14ac:dyDescent="0.3">
      <c r="B1494" s="26"/>
      <c r="C1494" s="27"/>
      <c r="D1494" s="17"/>
      <c r="E1494" s="38"/>
      <c r="F1494" s="38"/>
      <c r="G1494" s="30" t="str">
        <f t="shared" si="21"/>
        <v/>
      </c>
      <c r="H1494" s="39"/>
    </row>
    <row r="1495" spans="2:8" ht="18" customHeight="1" x14ac:dyDescent="0.3">
      <c r="B1495" s="26"/>
      <c r="C1495" s="27"/>
      <c r="D1495" s="28"/>
      <c r="E1495" s="36"/>
      <c r="F1495" s="36"/>
      <c r="G1495" s="30" t="str">
        <f t="shared" si="21"/>
        <v/>
      </c>
      <c r="H1495" s="37"/>
    </row>
    <row r="1496" spans="2:8" ht="18" customHeight="1" x14ac:dyDescent="0.3">
      <c r="B1496" s="26"/>
      <c r="C1496" s="27"/>
      <c r="D1496" s="17"/>
      <c r="E1496" s="38"/>
      <c r="F1496" s="38"/>
      <c r="G1496" s="30" t="str">
        <f t="shared" si="21"/>
        <v/>
      </c>
      <c r="H1496" s="39"/>
    </row>
    <row r="1497" spans="2:8" ht="18" customHeight="1" x14ac:dyDescent="0.3">
      <c r="B1497" s="26"/>
      <c r="C1497" s="27"/>
      <c r="D1497" s="28"/>
      <c r="E1497" s="36"/>
      <c r="F1497" s="36"/>
      <c r="G1497" s="30" t="str">
        <f t="shared" si="21"/>
        <v/>
      </c>
      <c r="H1497" s="37"/>
    </row>
    <row r="1498" spans="2:8" ht="18" customHeight="1" x14ac:dyDescent="0.3">
      <c r="B1498" s="26"/>
      <c r="C1498" s="27"/>
      <c r="D1498" s="17"/>
      <c r="E1498" s="38"/>
      <c r="F1498" s="38"/>
      <c r="G1498" s="30" t="str">
        <f t="shared" si="21"/>
        <v/>
      </c>
      <c r="H1498" s="39"/>
    </row>
    <row r="1499" spans="2:8" ht="18" customHeight="1" x14ac:dyDescent="0.3">
      <c r="B1499" s="26"/>
      <c r="C1499" s="27"/>
      <c r="D1499" s="28"/>
      <c r="E1499" s="36"/>
      <c r="F1499" s="36"/>
      <c r="G1499" s="30" t="str">
        <f t="shared" si="21"/>
        <v/>
      </c>
      <c r="H1499" s="37"/>
    </row>
    <row r="1500" spans="2:8" ht="18" customHeight="1" x14ac:dyDescent="0.3">
      <c r="B1500" s="26"/>
      <c r="C1500" s="27"/>
      <c r="D1500" s="17"/>
      <c r="E1500" s="38"/>
      <c r="F1500" s="38"/>
      <c r="G1500" s="30" t="str">
        <f t="shared" si="21"/>
        <v/>
      </c>
      <c r="H1500" s="39"/>
    </row>
    <row r="1501" spans="2:8" ht="18" customHeight="1" x14ac:dyDescent="0.3">
      <c r="B1501" s="26"/>
      <c r="C1501" s="27"/>
      <c r="D1501" s="28"/>
      <c r="E1501" s="36"/>
      <c r="F1501" s="36"/>
      <c r="G1501" s="30" t="str">
        <f t="shared" si="21"/>
        <v/>
      </c>
      <c r="H1501" s="37"/>
    </row>
    <row r="1502" spans="2:8" ht="18" customHeight="1" x14ac:dyDescent="0.3">
      <c r="B1502" s="26"/>
      <c r="C1502" s="27"/>
      <c r="D1502" s="17"/>
      <c r="E1502" s="38"/>
      <c r="F1502" s="38"/>
      <c r="G1502" s="30" t="str">
        <f t="shared" si="21"/>
        <v/>
      </c>
      <c r="H1502" s="39"/>
    </row>
    <row r="1503" spans="2:8" ht="18" customHeight="1" x14ac:dyDescent="0.3">
      <c r="B1503" s="26"/>
      <c r="C1503" s="27"/>
      <c r="D1503" s="28"/>
      <c r="E1503" s="36"/>
      <c r="F1503" s="36"/>
      <c r="G1503" s="30" t="str">
        <f t="shared" si="21"/>
        <v/>
      </c>
      <c r="H1503" s="37"/>
    </row>
    <row r="1504" spans="2:8" ht="18" customHeight="1" x14ac:dyDescent="0.3">
      <c r="B1504" s="26"/>
      <c r="C1504" s="27"/>
      <c r="D1504" s="17"/>
      <c r="E1504" s="38"/>
      <c r="F1504" s="38"/>
      <c r="G1504" s="30" t="str">
        <f t="shared" si="21"/>
        <v/>
      </c>
      <c r="H1504" s="39"/>
    </row>
    <row r="1505" spans="2:8" ht="18" customHeight="1" x14ac:dyDescent="0.3">
      <c r="B1505" s="26"/>
      <c r="C1505" s="27"/>
      <c r="D1505" s="28"/>
      <c r="E1505" s="36"/>
      <c r="F1505" s="36"/>
      <c r="G1505" s="30" t="str">
        <f t="shared" si="21"/>
        <v/>
      </c>
      <c r="H1505" s="37"/>
    </row>
    <row r="1506" spans="2:8" ht="18" customHeight="1" x14ac:dyDescent="0.3">
      <c r="B1506" s="26"/>
      <c r="C1506" s="27"/>
      <c r="D1506" s="17"/>
      <c r="E1506" s="38"/>
      <c r="F1506" s="38"/>
      <c r="G1506" s="30" t="str">
        <f t="shared" si="21"/>
        <v/>
      </c>
      <c r="H1506" s="39"/>
    </row>
    <row r="1507" spans="2:8" ht="18" customHeight="1" x14ac:dyDescent="0.3">
      <c r="B1507" s="26"/>
      <c r="C1507" s="27"/>
      <c r="D1507" s="28"/>
      <c r="E1507" s="36"/>
      <c r="F1507" s="36"/>
      <c r="G1507" s="30" t="str">
        <f t="shared" si="21"/>
        <v/>
      </c>
      <c r="H1507" s="37"/>
    </row>
    <row r="1508" spans="2:8" ht="18" customHeight="1" x14ac:dyDescent="0.3">
      <c r="B1508" s="26"/>
      <c r="C1508" s="27"/>
      <c r="D1508" s="17"/>
      <c r="E1508" s="38"/>
      <c r="F1508" s="38"/>
      <c r="G1508" s="30" t="str">
        <f t="shared" si="21"/>
        <v/>
      </c>
      <c r="H1508" s="39"/>
    </row>
    <row r="1509" spans="2:8" ht="18" customHeight="1" x14ac:dyDescent="0.3">
      <c r="B1509" s="26"/>
      <c r="C1509" s="27"/>
      <c r="D1509" s="28"/>
      <c r="E1509" s="36"/>
      <c r="F1509" s="36"/>
      <c r="G1509" s="30" t="str">
        <f t="shared" si="21"/>
        <v/>
      </c>
      <c r="H1509" s="37"/>
    </row>
    <row r="1510" spans="2:8" ht="18" customHeight="1" x14ac:dyDescent="0.3">
      <c r="B1510" s="26"/>
      <c r="C1510" s="27"/>
      <c r="D1510" s="17"/>
      <c r="E1510" s="38"/>
      <c r="F1510" s="38"/>
      <c r="G1510" s="30" t="str">
        <f t="shared" si="21"/>
        <v/>
      </c>
      <c r="H1510" s="39"/>
    </row>
    <row r="1511" spans="2:8" ht="18" customHeight="1" x14ac:dyDescent="0.3">
      <c r="B1511" s="26"/>
      <c r="C1511" s="27"/>
      <c r="D1511" s="28"/>
      <c r="E1511" s="36"/>
      <c r="F1511" s="36"/>
      <c r="G1511" s="30" t="str">
        <f t="shared" si="21"/>
        <v/>
      </c>
      <c r="H1511" s="37"/>
    </row>
    <row r="1512" spans="2:8" ht="18" customHeight="1" x14ac:dyDescent="0.3">
      <c r="B1512" s="26"/>
      <c r="C1512" s="27"/>
      <c r="D1512" s="17"/>
      <c r="E1512" s="38"/>
      <c r="F1512" s="38"/>
      <c r="G1512" s="30" t="str">
        <f t="shared" si="21"/>
        <v/>
      </c>
      <c r="H1512" s="39"/>
    </row>
    <row r="1513" spans="2:8" ht="18" customHeight="1" x14ac:dyDescent="0.3">
      <c r="B1513" s="26"/>
      <c r="C1513" s="27"/>
      <c r="D1513" s="28"/>
      <c r="E1513" s="36"/>
      <c r="F1513" s="36"/>
      <c r="G1513" s="30" t="str">
        <f t="shared" si="21"/>
        <v/>
      </c>
      <c r="H1513" s="37"/>
    </row>
    <row r="1514" spans="2:8" ht="18" customHeight="1" x14ac:dyDescent="0.3">
      <c r="B1514" s="26"/>
      <c r="C1514" s="27"/>
      <c r="D1514" s="17"/>
      <c r="E1514" s="38"/>
      <c r="F1514" s="38"/>
      <c r="G1514" s="30" t="str">
        <f t="shared" si="21"/>
        <v/>
      </c>
      <c r="H1514" s="39"/>
    </row>
    <row r="1515" spans="2:8" ht="18" customHeight="1" x14ac:dyDescent="0.3">
      <c r="B1515" s="26"/>
      <c r="C1515" s="27"/>
      <c r="D1515" s="28"/>
      <c r="E1515" s="36"/>
      <c r="F1515" s="36"/>
      <c r="G1515" s="30" t="str">
        <f t="shared" si="21"/>
        <v/>
      </c>
      <c r="H1515" s="37"/>
    </row>
    <row r="1516" spans="2:8" ht="18" customHeight="1" x14ac:dyDescent="0.3">
      <c r="B1516" s="26"/>
      <c r="C1516" s="27"/>
      <c r="D1516" s="17"/>
      <c r="E1516" s="38"/>
      <c r="F1516" s="38"/>
      <c r="G1516" s="30" t="str">
        <f t="shared" si="21"/>
        <v/>
      </c>
      <c r="H1516" s="39"/>
    </row>
    <row r="1517" spans="2:8" ht="18" customHeight="1" x14ac:dyDescent="0.3">
      <c r="B1517" s="26"/>
      <c r="C1517" s="27"/>
      <c r="D1517" s="28"/>
      <c r="E1517" s="36"/>
      <c r="F1517" s="36"/>
      <c r="G1517" s="30" t="str">
        <f t="shared" si="21"/>
        <v/>
      </c>
      <c r="H1517" s="37"/>
    </row>
    <row r="1518" spans="2:8" ht="18" customHeight="1" x14ac:dyDescent="0.3">
      <c r="B1518" s="26"/>
      <c r="C1518" s="27"/>
      <c r="D1518" s="17"/>
      <c r="E1518" s="38"/>
      <c r="F1518" s="38"/>
      <c r="G1518" s="30" t="str">
        <f t="shared" si="21"/>
        <v/>
      </c>
      <c r="H1518" s="39"/>
    </row>
    <row r="1519" spans="2:8" ht="18" customHeight="1" x14ac:dyDescent="0.3">
      <c r="B1519" s="26"/>
      <c r="C1519" s="27"/>
      <c r="D1519" s="28"/>
      <c r="E1519" s="36"/>
      <c r="F1519" s="36"/>
      <c r="G1519" s="30" t="str">
        <f t="shared" si="21"/>
        <v/>
      </c>
      <c r="H1519" s="37"/>
    </row>
    <row r="1520" spans="2:8" ht="18" customHeight="1" x14ac:dyDescent="0.3">
      <c r="B1520" s="26"/>
      <c r="C1520" s="27"/>
      <c r="D1520" s="17"/>
      <c r="E1520" s="38"/>
      <c r="F1520" s="38"/>
      <c r="G1520" s="30" t="str">
        <f t="shared" si="21"/>
        <v/>
      </c>
      <c r="H1520" s="39"/>
    </row>
    <row r="1521" spans="2:8" ht="18" customHeight="1" x14ac:dyDescent="0.3">
      <c r="B1521" s="26"/>
      <c r="C1521" s="27"/>
      <c r="D1521" s="28"/>
      <c r="E1521" s="36"/>
      <c r="F1521" s="36"/>
      <c r="G1521" s="30" t="str">
        <f t="shared" si="21"/>
        <v/>
      </c>
      <c r="H1521" s="37"/>
    </row>
    <row r="1522" spans="2:8" ht="18" customHeight="1" x14ac:dyDescent="0.3">
      <c r="B1522" s="26"/>
      <c r="C1522" s="27"/>
      <c r="D1522" s="17"/>
      <c r="E1522" s="38"/>
      <c r="F1522" s="38"/>
      <c r="G1522" s="30" t="str">
        <f t="shared" si="21"/>
        <v/>
      </c>
      <c r="H1522" s="39"/>
    </row>
    <row r="1523" spans="2:8" ht="18" customHeight="1" x14ac:dyDescent="0.3">
      <c r="B1523" s="26"/>
      <c r="C1523" s="27"/>
      <c r="D1523" s="28"/>
      <c r="E1523" s="36"/>
      <c r="F1523" s="36"/>
      <c r="G1523" s="30" t="str">
        <f t="shared" si="21"/>
        <v/>
      </c>
      <c r="H1523" s="37"/>
    </row>
    <row r="1524" spans="2:8" ht="18" customHeight="1" x14ac:dyDescent="0.3">
      <c r="B1524" s="26"/>
      <c r="C1524" s="27"/>
      <c r="D1524" s="17"/>
      <c r="E1524" s="38"/>
      <c r="F1524" s="38"/>
      <c r="G1524" s="30" t="str">
        <f t="shared" si="21"/>
        <v/>
      </c>
      <c r="H1524" s="39"/>
    </row>
    <row r="1525" spans="2:8" ht="18" customHeight="1" x14ac:dyDescent="0.3">
      <c r="B1525" s="26"/>
      <c r="C1525" s="27"/>
      <c r="D1525" s="28"/>
      <c r="E1525" s="36"/>
      <c r="F1525" s="36"/>
      <c r="G1525" s="30" t="str">
        <f t="shared" si="21"/>
        <v/>
      </c>
      <c r="H1525" s="37"/>
    </row>
    <row r="1526" spans="2:8" ht="18" customHeight="1" x14ac:dyDescent="0.3">
      <c r="B1526" s="26"/>
      <c r="C1526" s="27"/>
      <c r="D1526" s="17"/>
      <c r="E1526" s="38"/>
      <c r="F1526" s="38"/>
      <c r="G1526" s="30" t="str">
        <f t="shared" si="21"/>
        <v/>
      </c>
      <c r="H1526" s="39"/>
    </row>
    <row r="1527" spans="2:8" ht="18" customHeight="1" x14ac:dyDescent="0.3">
      <c r="B1527" s="26"/>
      <c r="C1527" s="27"/>
      <c r="D1527" s="28"/>
      <c r="E1527" s="36"/>
      <c r="F1527" s="36"/>
      <c r="G1527" s="30" t="str">
        <f t="shared" si="21"/>
        <v/>
      </c>
      <c r="H1527" s="37"/>
    </row>
    <row r="1528" spans="2:8" ht="18" customHeight="1" x14ac:dyDescent="0.3">
      <c r="B1528" s="26"/>
      <c r="C1528" s="27"/>
      <c r="D1528" s="17"/>
      <c r="E1528" s="38"/>
      <c r="F1528" s="38"/>
      <c r="G1528" s="30" t="str">
        <f t="shared" si="21"/>
        <v/>
      </c>
      <c r="H1528" s="39"/>
    </row>
    <row r="1529" spans="2:8" ht="18" customHeight="1" x14ac:dyDescent="0.3">
      <c r="B1529" s="26"/>
      <c r="C1529" s="27"/>
      <c r="D1529" s="28"/>
      <c r="E1529" s="36"/>
      <c r="F1529" s="36"/>
      <c r="G1529" s="30" t="str">
        <f t="shared" si="21"/>
        <v/>
      </c>
      <c r="H1529" s="37"/>
    </row>
    <row r="1530" spans="2:8" ht="18" customHeight="1" x14ac:dyDescent="0.3">
      <c r="B1530" s="26"/>
      <c r="C1530" s="27"/>
      <c r="D1530" s="17"/>
      <c r="E1530" s="38"/>
      <c r="F1530" s="38"/>
      <c r="G1530" s="30" t="str">
        <f t="shared" si="21"/>
        <v/>
      </c>
      <c r="H1530" s="39"/>
    </row>
    <row r="1531" spans="2:8" ht="18" customHeight="1" x14ac:dyDescent="0.3">
      <c r="B1531" s="26"/>
      <c r="C1531" s="27"/>
      <c r="D1531" s="28"/>
      <c r="E1531" s="36"/>
      <c r="F1531" s="36"/>
      <c r="G1531" s="30" t="str">
        <f t="shared" si="21"/>
        <v/>
      </c>
      <c r="H1531" s="37"/>
    </row>
    <row r="1532" spans="2:8" ht="18" customHeight="1" x14ac:dyDescent="0.3">
      <c r="B1532" s="26"/>
      <c r="C1532" s="27"/>
      <c r="D1532" s="17"/>
      <c r="E1532" s="38"/>
      <c r="F1532" s="38"/>
      <c r="G1532" s="30" t="str">
        <f t="shared" si="21"/>
        <v/>
      </c>
      <c r="H1532" s="39"/>
    </row>
    <row r="1533" spans="2:8" ht="18" customHeight="1" x14ac:dyDescent="0.3">
      <c r="B1533" s="26"/>
      <c r="C1533" s="27"/>
      <c r="D1533" s="28"/>
      <c r="E1533" s="36"/>
      <c r="F1533" s="36"/>
      <c r="G1533" s="30" t="str">
        <f t="shared" si="21"/>
        <v/>
      </c>
      <c r="H1533" s="37"/>
    </row>
    <row r="1534" spans="2:8" ht="18" customHeight="1" x14ac:dyDescent="0.3">
      <c r="B1534" s="26"/>
      <c r="C1534" s="27"/>
      <c r="D1534" s="17"/>
      <c r="E1534" s="38"/>
      <c r="F1534" s="38"/>
      <c r="G1534" s="30" t="str">
        <f t="shared" si="21"/>
        <v/>
      </c>
      <c r="H1534" s="39"/>
    </row>
    <row r="1535" spans="2:8" ht="18" customHeight="1" x14ac:dyDescent="0.3">
      <c r="B1535" s="26"/>
      <c r="C1535" s="27"/>
      <c r="D1535" s="28"/>
      <c r="E1535" s="36"/>
      <c r="F1535" s="36"/>
      <c r="G1535" s="30" t="str">
        <f t="shared" si="21"/>
        <v/>
      </c>
      <c r="H1535" s="37"/>
    </row>
    <row r="1536" spans="2:8" ht="18" customHeight="1" x14ac:dyDescent="0.3">
      <c r="B1536" s="26"/>
      <c r="C1536" s="27"/>
      <c r="D1536" s="17"/>
      <c r="E1536" s="38"/>
      <c r="F1536" s="38"/>
      <c r="G1536" s="30" t="str">
        <f t="shared" si="21"/>
        <v/>
      </c>
      <c r="H1536" s="39"/>
    </row>
    <row r="1537" spans="2:8" ht="18" customHeight="1" x14ac:dyDescent="0.3">
      <c r="B1537" s="26"/>
      <c r="C1537" s="27"/>
      <c r="D1537" s="28"/>
      <c r="E1537" s="36"/>
      <c r="F1537" s="36"/>
      <c r="G1537" s="30" t="str">
        <f t="shared" si="21"/>
        <v/>
      </c>
      <c r="H1537" s="37"/>
    </row>
    <row r="1538" spans="2:8" ht="18" customHeight="1" x14ac:dyDescent="0.3">
      <c r="B1538" s="26"/>
      <c r="C1538" s="27"/>
      <c r="D1538" s="17"/>
      <c r="E1538" s="38"/>
      <c r="F1538" s="38"/>
      <c r="G1538" s="30" t="str">
        <f t="shared" si="21"/>
        <v/>
      </c>
      <c r="H1538" s="39"/>
    </row>
    <row r="1539" spans="2:8" ht="18" customHeight="1" x14ac:dyDescent="0.3">
      <c r="B1539" s="26"/>
      <c r="C1539" s="27"/>
      <c r="D1539" s="28"/>
      <c r="E1539" s="36"/>
      <c r="F1539" s="36"/>
      <c r="G1539" s="30" t="str">
        <f t="shared" si="21"/>
        <v/>
      </c>
      <c r="H1539" s="37"/>
    </row>
    <row r="1540" spans="2:8" ht="18" customHeight="1" x14ac:dyDescent="0.3">
      <c r="B1540" s="26"/>
      <c r="C1540" s="27"/>
      <c r="D1540" s="17"/>
      <c r="E1540" s="38"/>
      <c r="F1540" s="38"/>
      <c r="G1540" s="30" t="str">
        <f t="shared" si="21"/>
        <v/>
      </c>
      <c r="H1540" s="39"/>
    </row>
    <row r="1541" spans="2:8" ht="18" customHeight="1" x14ac:dyDescent="0.3">
      <c r="B1541" s="26"/>
      <c r="C1541" s="27"/>
      <c r="D1541" s="28"/>
      <c r="E1541" s="36"/>
      <c r="F1541" s="36"/>
      <c r="G1541" s="30" t="str">
        <f t="shared" ref="G1541:G1604" si="22">IF(OR(B1541="",E1541=""),"",IF(E1541="08:00",8,IF(E1541="07:00",8,7)))</f>
        <v/>
      </c>
      <c r="H1541" s="37"/>
    </row>
    <row r="1542" spans="2:8" ht="18" customHeight="1" x14ac:dyDescent="0.3">
      <c r="B1542" s="26"/>
      <c r="C1542" s="27"/>
      <c r="D1542" s="17"/>
      <c r="E1542" s="38"/>
      <c r="F1542" s="38"/>
      <c r="G1542" s="30" t="str">
        <f t="shared" si="22"/>
        <v/>
      </c>
      <c r="H1542" s="39"/>
    </row>
    <row r="1543" spans="2:8" ht="18" customHeight="1" x14ac:dyDescent="0.3">
      <c r="B1543" s="26"/>
      <c r="C1543" s="27"/>
      <c r="D1543" s="28"/>
      <c r="E1543" s="36"/>
      <c r="F1543" s="36"/>
      <c r="G1543" s="30" t="str">
        <f t="shared" si="22"/>
        <v/>
      </c>
      <c r="H1543" s="37"/>
    </row>
    <row r="1544" spans="2:8" ht="18" customHeight="1" x14ac:dyDescent="0.3">
      <c r="B1544" s="26"/>
      <c r="C1544" s="27"/>
      <c r="D1544" s="17"/>
      <c r="E1544" s="38"/>
      <c r="F1544" s="38"/>
      <c r="G1544" s="30" t="str">
        <f t="shared" si="22"/>
        <v/>
      </c>
      <c r="H1544" s="39"/>
    </row>
    <row r="1545" spans="2:8" ht="18" customHeight="1" x14ac:dyDescent="0.3">
      <c r="B1545" s="26"/>
      <c r="C1545" s="27"/>
      <c r="D1545" s="28"/>
      <c r="E1545" s="36"/>
      <c r="F1545" s="36"/>
      <c r="G1545" s="30" t="str">
        <f t="shared" si="22"/>
        <v/>
      </c>
      <c r="H1545" s="37"/>
    </row>
    <row r="1546" spans="2:8" ht="18" customHeight="1" x14ac:dyDescent="0.3">
      <c r="B1546" s="26"/>
      <c r="C1546" s="27"/>
      <c r="D1546" s="17"/>
      <c r="E1546" s="38"/>
      <c r="F1546" s="38"/>
      <c r="G1546" s="30" t="str">
        <f t="shared" si="22"/>
        <v/>
      </c>
      <c r="H1546" s="39"/>
    </row>
    <row r="1547" spans="2:8" ht="18" customHeight="1" x14ac:dyDescent="0.3">
      <c r="B1547" s="26"/>
      <c r="C1547" s="27"/>
      <c r="D1547" s="28"/>
      <c r="E1547" s="36"/>
      <c r="F1547" s="36"/>
      <c r="G1547" s="30" t="str">
        <f t="shared" si="22"/>
        <v/>
      </c>
      <c r="H1547" s="37"/>
    </row>
    <row r="1548" spans="2:8" ht="18" customHeight="1" x14ac:dyDescent="0.3">
      <c r="B1548" s="26"/>
      <c r="C1548" s="27"/>
      <c r="D1548" s="17"/>
      <c r="E1548" s="38"/>
      <c r="F1548" s="38"/>
      <c r="G1548" s="30" t="str">
        <f t="shared" si="22"/>
        <v/>
      </c>
      <c r="H1548" s="39"/>
    </row>
    <row r="1549" spans="2:8" ht="18" customHeight="1" x14ac:dyDescent="0.3">
      <c r="B1549" s="26"/>
      <c r="C1549" s="27"/>
      <c r="D1549" s="28"/>
      <c r="E1549" s="36"/>
      <c r="F1549" s="36"/>
      <c r="G1549" s="30" t="str">
        <f t="shared" si="22"/>
        <v/>
      </c>
      <c r="H1549" s="37"/>
    </row>
    <row r="1550" spans="2:8" ht="18" customHeight="1" x14ac:dyDescent="0.3">
      <c r="B1550" s="26"/>
      <c r="C1550" s="27"/>
      <c r="D1550" s="17"/>
      <c r="E1550" s="38"/>
      <c r="F1550" s="38"/>
      <c r="G1550" s="30" t="str">
        <f t="shared" si="22"/>
        <v/>
      </c>
      <c r="H1550" s="39"/>
    </row>
    <row r="1551" spans="2:8" ht="18" customHeight="1" x14ac:dyDescent="0.3">
      <c r="B1551" s="26"/>
      <c r="C1551" s="27"/>
      <c r="D1551" s="28"/>
      <c r="E1551" s="36"/>
      <c r="F1551" s="36"/>
      <c r="G1551" s="30" t="str">
        <f t="shared" si="22"/>
        <v/>
      </c>
      <c r="H1551" s="37"/>
    </row>
    <row r="1552" spans="2:8" ht="18" customHeight="1" x14ac:dyDescent="0.3">
      <c r="B1552" s="26"/>
      <c r="C1552" s="27"/>
      <c r="D1552" s="17"/>
      <c r="E1552" s="38"/>
      <c r="F1552" s="38"/>
      <c r="G1552" s="30" t="str">
        <f t="shared" si="22"/>
        <v/>
      </c>
      <c r="H1552" s="39"/>
    </row>
    <row r="1553" spans="2:8" ht="18" customHeight="1" x14ac:dyDescent="0.3">
      <c r="B1553" s="26"/>
      <c r="C1553" s="27"/>
      <c r="D1553" s="28"/>
      <c r="E1553" s="36"/>
      <c r="F1553" s="36"/>
      <c r="G1553" s="30" t="str">
        <f t="shared" si="22"/>
        <v/>
      </c>
      <c r="H1553" s="37"/>
    </row>
    <row r="1554" spans="2:8" ht="18" customHeight="1" x14ac:dyDescent="0.3">
      <c r="B1554" s="26"/>
      <c r="C1554" s="27"/>
      <c r="D1554" s="17"/>
      <c r="E1554" s="38"/>
      <c r="F1554" s="38"/>
      <c r="G1554" s="30" t="str">
        <f t="shared" si="22"/>
        <v/>
      </c>
      <c r="H1554" s="39"/>
    </row>
    <row r="1555" spans="2:8" ht="18" customHeight="1" x14ac:dyDescent="0.3">
      <c r="B1555" s="26"/>
      <c r="C1555" s="27"/>
      <c r="D1555" s="28"/>
      <c r="E1555" s="36"/>
      <c r="F1555" s="36"/>
      <c r="G1555" s="30" t="str">
        <f t="shared" si="22"/>
        <v/>
      </c>
      <c r="H1555" s="37"/>
    </row>
    <row r="1556" spans="2:8" ht="18" customHeight="1" x14ac:dyDescent="0.3">
      <c r="B1556" s="26"/>
      <c r="C1556" s="27"/>
      <c r="D1556" s="17"/>
      <c r="E1556" s="38"/>
      <c r="F1556" s="38"/>
      <c r="G1556" s="30" t="str">
        <f t="shared" si="22"/>
        <v/>
      </c>
      <c r="H1556" s="39"/>
    </row>
    <row r="1557" spans="2:8" ht="18" customHeight="1" x14ac:dyDescent="0.3">
      <c r="B1557" s="26"/>
      <c r="C1557" s="27"/>
      <c r="D1557" s="28"/>
      <c r="E1557" s="36"/>
      <c r="F1557" s="36"/>
      <c r="G1557" s="30" t="str">
        <f t="shared" si="22"/>
        <v/>
      </c>
      <c r="H1557" s="37"/>
    </row>
    <row r="1558" spans="2:8" ht="18" customHeight="1" x14ac:dyDescent="0.3">
      <c r="B1558" s="26"/>
      <c r="C1558" s="27"/>
      <c r="D1558" s="17"/>
      <c r="E1558" s="38"/>
      <c r="F1558" s="38"/>
      <c r="G1558" s="30" t="str">
        <f t="shared" si="22"/>
        <v/>
      </c>
      <c r="H1558" s="39"/>
    </row>
    <row r="1559" spans="2:8" ht="18" customHeight="1" x14ac:dyDescent="0.3">
      <c r="B1559" s="26"/>
      <c r="C1559" s="27"/>
      <c r="D1559" s="28"/>
      <c r="E1559" s="36"/>
      <c r="F1559" s="36"/>
      <c r="G1559" s="30" t="str">
        <f t="shared" si="22"/>
        <v/>
      </c>
      <c r="H1559" s="37"/>
    </row>
    <row r="1560" spans="2:8" ht="18" customHeight="1" x14ac:dyDescent="0.3">
      <c r="B1560" s="26"/>
      <c r="C1560" s="27"/>
      <c r="D1560" s="17"/>
      <c r="E1560" s="38"/>
      <c r="F1560" s="38"/>
      <c r="G1560" s="30" t="str">
        <f t="shared" si="22"/>
        <v/>
      </c>
      <c r="H1560" s="39"/>
    </row>
    <row r="1561" spans="2:8" ht="18" customHeight="1" x14ac:dyDescent="0.3">
      <c r="B1561" s="26"/>
      <c r="C1561" s="27"/>
      <c r="D1561" s="28"/>
      <c r="E1561" s="36"/>
      <c r="F1561" s="36"/>
      <c r="G1561" s="30" t="str">
        <f t="shared" si="22"/>
        <v/>
      </c>
      <c r="H1561" s="37"/>
    </row>
    <row r="1562" spans="2:8" ht="18" customHeight="1" x14ac:dyDescent="0.3">
      <c r="B1562" s="26"/>
      <c r="C1562" s="27"/>
      <c r="D1562" s="17"/>
      <c r="E1562" s="38"/>
      <c r="F1562" s="38"/>
      <c r="G1562" s="30" t="str">
        <f t="shared" si="22"/>
        <v/>
      </c>
      <c r="H1562" s="39"/>
    </row>
    <row r="1563" spans="2:8" ht="18" customHeight="1" x14ac:dyDescent="0.3">
      <c r="B1563" s="26"/>
      <c r="C1563" s="27"/>
      <c r="D1563" s="28"/>
      <c r="E1563" s="36"/>
      <c r="F1563" s="36"/>
      <c r="G1563" s="30" t="str">
        <f t="shared" si="22"/>
        <v/>
      </c>
      <c r="H1563" s="37"/>
    </row>
    <row r="1564" spans="2:8" ht="18" customHeight="1" x14ac:dyDescent="0.3">
      <c r="B1564" s="26"/>
      <c r="C1564" s="27"/>
      <c r="D1564" s="17"/>
      <c r="E1564" s="38"/>
      <c r="F1564" s="38"/>
      <c r="G1564" s="30" t="str">
        <f t="shared" si="22"/>
        <v/>
      </c>
      <c r="H1564" s="39"/>
    </row>
    <row r="1565" spans="2:8" ht="18" customHeight="1" x14ac:dyDescent="0.3">
      <c r="B1565" s="26"/>
      <c r="C1565" s="27"/>
      <c r="D1565" s="28"/>
      <c r="E1565" s="36"/>
      <c r="F1565" s="36"/>
      <c r="G1565" s="30" t="str">
        <f t="shared" si="22"/>
        <v/>
      </c>
      <c r="H1565" s="37"/>
    </row>
    <row r="1566" spans="2:8" ht="18" customHeight="1" x14ac:dyDescent="0.3">
      <c r="B1566" s="26"/>
      <c r="C1566" s="27"/>
      <c r="D1566" s="17"/>
      <c r="E1566" s="38"/>
      <c r="F1566" s="38"/>
      <c r="G1566" s="30" t="str">
        <f t="shared" si="22"/>
        <v/>
      </c>
      <c r="H1566" s="39"/>
    </row>
    <row r="1567" spans="2:8" ht="18" customHeight="1" x14ac:dyDescent="0.3">
      <c r="B1567" s="26"/>
      <c r="C1567" s="27"/>
      <c r="D1567" s="28"/>
      <c r="E1567" s="36"/>
      <c r="F1567" s="36"/>
      <c r="G1567" s="30" t="str">
        <f t="shared" si="22"/>
        <v/>
      </c>
      <c r="H1567" s="37"/>
    </row>
    <row r="1568" spans="2:8" ht="18" customHeight="1" x14ac:dyDescent="0.3">
      <c r="B1568" s="26"/>
      <c r="C1568" s="27"/>
      <c r="D1568" s="17"/>
      <c r="E1568" s="38"/>
      <c r="F1568" s="38"/>
      <c r="G1568" s="30" t="str">
        <f t="shared" si="22"/>
        <v/>
      </c>
      <c r="H1568" s="39"/>
    </row>
    <row r="1569" spans="2:8" ht="18" customHeight="1" x14ac:dyDescent="0.3">
      <c r="B1569" s="26"/>
      <c r="C1569" s="27"/>
      <c r="D1569" s="28"/>
      <c r="E1569" s="36"/>
      <c r="F1569" s="36"/>
      <c r="G1569" s="30" t="str">
        <f t="shared" si="22"/>
        <v/>
      </c>
      <c r="H1569" s="37"/>
    </row>
    <row r="1570" spans="2:8" ht="18" customHeight="1" x14ac:dyDescent="0.3">
      <c r="B1570" s="26"/>
      <c r="C1570" s="27"/>
      <c r="D1570" s="17"/>
      <c r="E1570" s="38"/>
      <c r="F1570" s="38"/>
      <c r="G1570" s="30" t="str">
        <f t="shared" si="22"/>
        <v/>
      </c>
      <c r="H1570" s="39"/>
    </row>
    <row r="1571" spans="2:8" ht="18" customHeight="1" x14ac:dyDescent="0.3">
      <c r="B1571" s="26"/>
      <c r="C1571" s="27"/>
      <c r="D1571" s="28"/>
      <c r="E1571" s="36"/>
      <c r="F1571" s="36"/>
      <c r="G1571" s="30" t="str">
        <f t="shared" si="22"/>
        <v/>
      </c>
      <c r="H1571" s="37"/>
    </row>
    <row r="1572" spans="2:8" ht="18" customHeight="1" x14ac:dyDescent="0.3">
      <c r="B1572" s="26"/>
      <c r="C1572" s="27"/>
      <c r="D1572" s="17"/>
      <c r="E1572" s="38"/>
      <c r="F1572" s="38"/>
      <c r="G1572" s="30" t="str">
        <f t="shared" si="22"/>
        <v/>
      </c>
      <c r="H1572" s="39"/>
    </row>
    <row r="1573" spans="2:8" ht="18" customHeight="1" x14ac:dyDescent="0.3">
      <c r="B1573" s="26"/>
      <c r="C1573" s="27"/>
      <c r="D1573" s="28"/>
      <c r="E1573" s="36"/>
      <c r="F1573" s="36"/>
      <c r="G1573" s="30" t="str">
        <f t="shared" si="22"/>
        <v/>
      </c>
      <c r="H1573" s="37"/>
    </row>
    <row r="1574" spans="2:8" ht="18" customHeight="1" x14ac:dyDescent="0.3">
      <c r="B1574" s="26"/>
      <c r="C1574" s="27"/>
      <c r="D1574" s="17"/>
      <c r="E1574" s="38"/>
      <c r="F1574" s="38"/>
      <c r="G1574" s="30" t="str">
        <f t="shared" si="22"/>
        <v/>
      </c>
      <c r="H1574" s="39"/>
    </row>
    <row r="1575" spans="2:8" ht="18" customHeight="1" x14ac:dyDescent="0.3">
      <c r="B1575" s="26"/>
      <c r="C1575" s="27"/>
      <c r="D1575" s="28"/>
      <c r="E1575" s="36"/>
      <c r="F1575" s="36"/>
      <c r="G1575" s="30" t="str">
        <f t="shared" si="22"/>
        <v/>
      </c>
      <c r="H1575" s="37"/>
    </row>
    <row r="1576" spans="2:8" ht="18" customHeight="1" x14ac:dyDescent="0.3">
      <c r="B1576" s="26"/>
      <c r="C1576" s="27"/>
      <c r="D1576" s="17"/>
      <c r="E1576" s="38"/>
      <c r="F1576" s="38"/>
      <c r="G1576" s="30" t="str">
        <f t="shared" si="22"/>
        <v/>
      </c>
      <c r="H1576" s="39"/>
    </row>
    <row r="1577" spans="2:8" ht="18" customHeight="1" x14ac:dyDescent="0.3">
      <c r="B1577" s="26"/>
      <c r="C1577" s="27"/>
      <c r="D1577" s="28"/>
      <c r="E1577" s="36"/>
      <c r="F1577" s="36"/>
      <c r="G1577" s="30" t="str">
        <f t="shared" si="22"/>
        <v/>
      </c>
      <c r="H1577" s="37"/>
    </row>
    <row r="1578" spans="2:8" ht="18" customHeight="1" x14ac:dyDescent="0.3">
      <c r="B1578" s="26"/>
      <c r="C1578" s="27"/>
      <c r="D1578" s="17"/>
      <c r="E1578" s="38"/>
      <c r="F1578" s="38"/>
      <c r="G1578" s="30" t="str">
        <f t="shared" si="22"/>
        <v/>
      </c>
      <c r="H1578" s="39"/>
    </row>
    <row r="1579" spans="2:8" ht="18" customHeight="1" x14ac:dyDescent="0.3">
      <c r="B1579" s="26"/>
      <c r="C1579" s="27"/>
      <c r="D1579" s="28"/>
      <c r="E1579" s="36"/>
      <c r="F1579" s="36"/>
      <c r="G1579" s="30" t="str">
        <f t="shared" si="22"/>
        <v/>
      </c>
      <c r="H1579" s="37"/>
    </row>
    <row r="1580" spans="2:8" ht="18" customHeight="1" x14ac:dyDescent="0.3">
      <c r="B1580" s="26"/>
      <c r="C1580" s="27"/>
      <c r="D1580" s="17"/>
      <c r="E1580" s="38"/>
      <c r="F1580" s="38"/>
      <c r="G1580" s="30" t="str">
        <f t="shared" si="22"/>
        <v/>
      </c>
      <c r="H1580" s="39"/>
    </row>
    <row r="1581" spans="2:8" ht="18" customHeight="1" x14ac:dyDescent="0.3">
      <c r="B1581" s="26"/>
      <c r="C1581" s="27"/>
      <c r="D1581" s="28"/>
      <c r="E1581" s="36"/>
      <c r="F1581" s="36"/>
      <c r="G1581" s="30" t="str">
        <f t="shared" si="22"/>
        <v/>
      </c>
      <c r="H1581" s="37"/>
    </row>
    <row r="1582" spans="2:8" ht="18" customHeight="1" x14ac:dyDescent="0.3">
      <c r="B1582" s="26"/>
      <c r="C1582" s="27"/>
      <c r="D1582" s="17"/>
      <c r="E1582" s="38"/>
      <c r="F1582" s="38"/>
      <c r="G1582" s="30" t="str">
        <f t="shared" si="22"/>
        <v/>
      </c>
      <c r="H1582" s="39"/>
    </row>
    <row r="1583" spans="2:8" ht="18" customHeight="1" x14ac:dyDescent="0.3">
      <c r="B1583" s="26"/>
      <c r="C1583" s="27"/>
      <c r="D1583" s="28"/>
      <c r="E1583" s="36"/>
      <c r="F1583" s="36"/>
      <c r="G1583" s="30" t="str">
        <f t="shared" si="22"/>
        <v/>
      </c>
      <c r="H1583" s="37"/>
    </row>
    <row r="1584" spans="2:8" ht="18" customHeight="1" x14ac:dyDescent="0.3">
      <c r="B1584" s="26"/>
      <c r="C1584" s="27"/>
      <c r="D1584" s="17"/>
      <c r="E1584" s="38"/>
      <c r="F1584" s="38"/>
      <c r="G1584" s="30" t="str">
        <f t="shared" si="22"/>
        <v/>
      </c>
      <c r="H1584" s="39"/>
    </row>
    <row r="1585" spans="2:8" ht="18" customHeight="1" x14ac:dyDescent="0.3">
      <c r="B1585" s="26"/>
      <c r="C1585" s="27"/>
      <c r="D1585" s="28"/>
      <c r="E1585" s="36"/>
      <c r="F1585" s="36"/>
      <c r="G1585" s="30" t="str">
        <f t="shared" si="22"/>
        <v/>
      </c>
      <c r="H1585" s="37"/>
    </row>
    <row r="1586" spans="2:8" ht="18" customHeight="1" x14ac:dyDescent="0.3">
      <c r="B1586" s="26"/>
      <c r="C1586" s="27"/>
      <c r="D1586" s="17"/>
      <c r="E1586" s="38"/>
      <c r="F1586" s="38"/>
      <c r="G1586" s="30" t="str">
        <f t="shared" si="22"/>
        <v/>
      </c>
      <c r="H1586" s="39"/>
    </row>
    <row r="1587" spans="2:8" ht="18" customHeight="1" x14ac:dyDescent="0.3">
      <c r="B1587" s="26"/>
      <c r="C1587" s="27"/>
      <c r="D1587" s="28"/>
      <c r="E1587" s="36"/>
      <c r="F1587" s="36"/>
      <c r="G1587" s="30" t="str">
        <f t="shared" si="22"/>
        <v/>
      </c>
      <c r="H1587" s="37"/>
    </row>
    <row r="1588" spans="2:8" ht="18" customHeight="1" x14ac:dyDescent="0.3">
      <c r="B1588" s="26"/>
      <c r="C1588" s="27"/>
      <c r="D1588" s="17"/>
      <c r="E1588" s="38"/>
      <c r="F1588" s="38"/>
      <c r="G1588" s="30" t="str">
        <f t="shared" si="22"/>
        <v/>
      </c>
      <c r="H1588" s="39"/>
    </row>
    <row r="1589" spans="2:8" ht="18" customHeight="1" x14ac:dyDescent="0.3">
      <c r="B1589" s="26"/>
      <c r="C1589" s="27"/>
      <c r="D1589" s="28"/>
      <c r="E1589" s="36"/>
      <c r="F1589" s="36"/>
      <c r="G1589" s="30" t="str">
        <f t="shared" si="22"/>
        <v/>
      </c>
      <c r="H1589" s="37"/>
    </row>
    <row r="1590" spans="2:8" ht="18" customHeight="1" x14ac:dyDescent="0.3">
      <c r="B1590" s="26"/>
      <c r="C1590" s="27"/>
      <c r="D1590" s="17"/>
      <c r="E1590" s="38"/>
      <c r="F1590" s="38"/>
      <c r="G1590" s="30" t="str">
        <f t="shared" si="22"/>
        <v/>
      </c>
      <c r="H1590" s="39"/>
    </row>
    <row r="1591" spans="2:8" ht="18" customHeight="1" x14ac:dyDescent="0.3">
      <c r="B1591" s="26"/>
      <c r="C1591" s="27"/>
      <c r="D1591" s="28"/>
      <c r="E1591" s="36"/>
      <c r="F1591" s="36"/>
      <c r="G1591" s="30" t="str">
        <f t="shared" si="22"/>
        <v/>
      </c>
      <c r="H1591" s="37"/>
    </row>
    <row r="1592" spans="2:8" ht="18" customHeight="1" x14ac:dyDescent="0.3">
      <c r="B1592" s="26"/>
      <c r="C1592" s="27"/>
      <c r="D1592" s="17"/>
      <c r="E1592" s="38"/>
      <c r="F1592" s="38"/>
      <c r="G1592" s="30" t="str">
        <f t="shared" si="22"/>
        <v/>
      </c>
      <c r="H1592" s="39"/>
    </row>
    <row r="1593" spans="2:8" ht="18" customHeight="1" x14ac:dyDescent="0.3">
      <c r="B1593" s="26"/>
      <c r="C1593" s="27"/>
      <c r="D1593" s="28"/>
      <c r="E1593" s="36"/>
      <c r="F1593" s="36"/>
      <c r="G1593" s="30" t="str">
        <f t="shared" si="22"/>
        <v/>
      </c>
      <c r="H1593" s="37"/>
    </row>
    <row r="1594" spans="2:8" ht="18" customHeight="1" x14ac:dyDescent="0.3">
      <c r="B1594" s="26"/>
      <c r="C1594" s="27"/>
      <c r="D1594" s="17"/>
      <c r="E1594" s="38"/>
      <c r="F1594" s="38"/>
      <c r="G1594" s="30" t="str">
        <f t="shared" si="22"/>
        <v/>
      </c>
      <c r="H1594" s="39"/>
    </row>
    <row r="1595" spans="2:8" ht="18" customHeight="1" x14ac:dyDescent="0.3">
      <c r="B1595" s="26"/>
      <c r="C1595" s="27"/>
      <c r="D1595" s="28"/>
      <c r="E1595" s="36"/>
      <c r="F1595" s="36"/>
      <c r="G1595" s="30" t="str">
        <f t="shared" si="22"/>
        <v/>
      </c>
      <c r="H1595" s="37"/>
    </row>
    <row r="1596" spans="2:8" ht="18" customHeight="1" x14ac:dyDescent="0.3">
      <c r="B1596" s="26"/>
      <c r="C1596" s="27"/>
      <c r="D1596" s="17"/>
      <c r="E1596" s="38"/>
      <c r="F1596" s="38"/>
      <c r="G1596" s="30" t="str">
        <f t="shared" si="22"/>
        <v/>
      </c>
      <c r="H1596" s="39"/>
    </row>
    <row r="1597" spans="2:8" ht="18" customHeight="1" x14ac:dyDescent="0.3">
      <c r="B1597" s="26"/>
      <c r="C1597" s="27"/>
      <c r="D1597" s="28"/>
      <c r="E1597" s="36"/>
      <c r="F1597" s="36"/>
      <c r="G1597" s="30" t="str">
        <f t="shared" si="22"/>
        <v/>
      </c>
      <c r="H1597" s="37"/>
    </row>
    <row r="1598" spans="2:8" ht="18" customHeight="1" x14ac:dyDescent="0.3">
      <c r="B1598" s="26"/>
      <c r="C1598" s="27"/>
      <c r="D1598" s="17"/>
      <c r="E1598" s="38"/>
      <c r="F1598" s="38"/>
      <c r="G1598" s="30" t="str">
        <f t="shared" si="22"/>
        <v/>
      </c>
      <c r="H1598" s="39"/>
    </row>
    <row r="1599" spans="2:8" ht="18" customHeight="1" x14ac:dyDescent="0.3">
      <c r="B1599" s="26"/>
      <c r="C1599" s="27"/>
      <c r="D1599" s="28"/>
      <c r="E1599" s="36"/>
      <c r="F1599" s="36"/>
      <c r="G1599" s="30" t="str">
        <f t="shared" si="22"/>
        <v/>
      </c>
      <c r="H1599" s="37"/>
    </row>
    <row r="1600" spans="2:8" ht="18" customHeight="1" x14ac:dyDescent="0.3">
      <c r="B1600" s="26"/>
      <c r="C1600" s="27"/>
      <c r="D1600" s="17"/>
      <c r="E1600" s="38"/>
      <c r="F1600" s="38"/>
      <c r="G1600" s="30" t="str">
        <f t="shared" si="22"/>
        <v/>
      </c>
      <c r="H1600" s="39"/>
    </row>
    <row r="1601" spans="2:8" ht="18" customHeight="1" x14ac:dyDescent="0.3">
      <c r="B1601" s="26"/>
      <c r="C1601" s="27"/>
      <c r="D1601" s="28"/>
      <c r="E1601" s="36"/>
      <c r="F1601" s="36"/>
      <c r="G1601" s="30" t="str">
        <f t="shared" si="22"/>
        <v/>
      </c>
      <c r="H1601" s="37"/>
    </row>
    <row r="1602" spans="2:8" ht="18" customHeight="1" x14ac:dyDescent="0.3">
      <c r="B1602" s="26"/>
      <c r="C1602" s="27"/>
      <c r="D1602" s="17"/>
      <c r="E1602" s="38"/>
      <c r="F1602" s="38"/>
      <c r="G1602" s="30" t="str">
        <f t="shared" si="22"/>
        <v/>
      </c>
      <c r="H1602" s="39"/>
    </row>
    <row r="1603" spans="2:8" ht="18" customHeight="1" x14ac:dyDescent="0.3">
      <c r="B1603" s="26"/>
      <c r="C1603" s="27"/>
      <c r="D1603" s="28"/>
      <c r="E1603" s="36"/>
      <c r="F1603" s="36"/>
      <c r="G1603" s="30" t="str">
        <f t="shared" si="22"/>
        <v/>
      </c>
      <c r="H1603" s="37"/>
    </row>
    <row r="1604" spans="2:8" ht="18" customHeight="1" x14ac:dyDescent="0.3">
      <c r="B1604" s="26"/>
      <c r="C1604" s="27"/>
      <c r="D1604" s="17"/>
      <c r="E1604" s="38"/>
      <c r="F1604" s="38"/>
      <c r="G1604" s="30" t="str">
        <f t="shared" si="22"/>
        <v/>
      </c>
      <c r="H1604" s="39"/>
    </row>
    <row r="1605" spans="2:8" ht="18" customHeight="1" x14ac:dyDescent="0.3">
      <c r="B1605" s="26"/>
      <c r="C1605" s="27"/>
      <c r="D1605" s="28"/>
      <c r="E1605" s="36"/>
      <c r="F1605" s="36"/>
      <c r="G1605" s="30" t="str">
        <f t="shared" ref="G1605:G1668" si="23">IF(OR(B1605="",E1605=""),"",IF(E1605="08:00",8,IF(E1605="07:00",8,7)))</f>
        <v/>
      </c>
      <c r="H1605" s="37"/>
    </row>
    <row r="1606" spans="2:8" ht="18" customHeight="1" x14ac:dyDescent="0.3">
      <c r="B1606" s="26"/>
      <c r="C1606" s="27"/>
      <c r="D1606" s="17"/>
      <c r="E1606" s="38"/>
      <c r="F1606" s="38"/>
      <c r="G1606" s="30" t="str">
        <f t="shared" si="23"/>
        <v/>
      </c>
      <c r="H1606" s="39"/>
    </row>
    <row r="1607" spans="2:8" ht="18" customHeight="1" x14ac:dyDescent="0.3">
      <c r="B1607" s="26"/>
      <c r="C1607" s="27"/>
      <c r="D1607" s="28"/>
      <c r="E1607" s="36"/>
      <c r="F1607" s="36"/>
      <c r="G1607" s="30" t="str">
        <f t="shared" si="23"/>
        <v/>
      </c>
      <c r="H1607" s="37"/>
    </row>
    <row r="1608" spans="2:8" ht="18" customHeight="1" x14ac:dyDescent="0.3">
      <c r="B1608" s="26"/>
      <c r="C1608" s="27"/>
      <c r="D1608" s="17"/>
      <c r="E1608" s="38"/>
      <c r="F1608" s="38"/>
      <c r="G1608" s="30" t="str">
        <f t="shared" si="23"/>
        <v/>
      </c>
      <c r="H1608" s="39"/>
    </row>
    <row r="1609" spans="2:8" ht="18" customHeight="1" x14ac:dyDescent="0.3">
      <c r="B1609" s="26"/>
      <c r="C1609" s="27"/>
      <c r="D1609" s="28"/>
      <c r="E1609" s="36"/>
      <c r="F1609" s="36"/>
      <c r="G1609" s="30" t="str">
        <f t="shared" si="23"/>
        <v/>
      </c>
      <c r="H1609" s="37"/>
    </row>
    <row r="1610" spans="2:8" ht="18" customHeight="1" x14ac:dyDescent="0.3">
      <c r="B1610" s="26"/>
      <c r="C1610" s="27"/>
      <c r="D1610" s="17"/>
      <c r="E1610" s="38"/>
      <c r="F1610" s="38"/>
      <c r="G1610" s="30" t="str">
        <f t="shared" si="23"/>
        <v/>
      </c>
      <c r="H1610" s="39"/>
    </row>
    <row r="1611" spans="2:8" ht="18" customHeight="1" x14ac:dyDescent="0.3">
      <c r="B1611" s="26"/>
      <c r="C1611" s="27"/>
      <c r="D1611" s="28"/>
      <c r="E1611" s="36"/>
      <c r="F1611" s="36"/>
      <c r="G1611" s="30" t="str">
        <f t="shared" si="23"/>
        <v/>
      </c>
      <c r="H1611" s="37"/>
    </row>
    <row r="1612" spans="2:8" ht="18" customHeight="1" x14ac:dyDescent="0.3">
      <c r="B1612" s="26"/>
      <c r="C1612" s="27"/>
      <c r="D1612" s="17"/>
      <c r="E1612" s="38"/>
      <c r="F1612" s="38"/>
      <c r="G1612" s="30" t="str">
        <f t="shared" si="23"/>
        <v/>
      </c>
      <c r="H1612" s="39"/>
    </row>
    <row r="1613" spans="2:8" ht="18" customHeight="1" x14ac:dyDescent="0.3">
      <c r="B1613" s="26"/>
      <c r="C1613" s="27"/>
      <c r="D1613" s="28"/>
      <c r="E1613" s="36"/>
      <c r="F1613" s="36"/>
      <c r="G1613" s="30" t="str">
        <f t="shared" si="23"/>
        <v/>
      </c>
      <c r="H1613" s="37"/>
    </row>
    <row r="1614" spans="2:8" ht="18" customHeight="1" x14ac:dyDescent="0.3">
      <c r="B1614" s="26"/>
      <c r="C1614" s="27"/>
      <c r="D1614" s="17"/>
      <c r="E1614" s="38"/>
      <c r="F1614" s="38"/>
      <c r="G1614" s="30" t="str">
        <f t="shared" si="23"/>
        <v/>
      </c>
      <c r="H1614" s="39"/>
    </row>
    <row r="1615" spans="2:8" ht="18" customHeight="1" x14ac:dyDescent="0.3">
      <c r="B1615" s="26"/>
      <c r="C1615" s="27"/>
      <c r="D1615" s="28"/>
      <c r="E1615" s="36"/>
      <c r="F1615" s="36"/>
      <c r="G1615" s="30" t="str">
        <f t="shared" si="23"/>
        <v/>
      </c>
      <c r="H1615" s="37"/>
    </row>
    <row r="1616" spans="2:8" ht="18" customHeight="1" x14ac:dyDescent="0.3">
      <c r="B1616" s="26"/>
      <c r="C1616" s="27"/>
      <c r="D1616" s="17"/>
      <c r="E1616" s="38"/>
      <c r="F1616" s="38"/>
      <c r="G1616" s="30" t="str">
        <f t="shared" si="23"/>
        <v/>
      </c>
      <c r="H1616" s="39"/>
    </row>
    <row r="1617" spans="2:8" ht="18" customHeight="1" x14ac:dyDescent="0.3">
      <c r="B1617" s="26"/>
      <c r="C1617" s="27"/>
      <c r="D1617" s="28"/>
      <c r="E1617" s="36"/>
      <c r="F1617" s="36"/>
      <c r="G1617" s="30" t="str">
        <f t="shared" si="23"/>
        <v/>
      </c>
      <c r="H1617" s="37"/>
    </row>
    <row r="1618" spans="2:8" ht="18" customHeight="1" x14ac:dyDescent="0.3">
      <c r="B1618" s="26"/>
      <c r="C1618" s="27"/>
      <c r="D1618" s="17"/>
      <c r="E1618" s="38"/>
      <c r="F1618" s="38"/>
      <c r="G1618" s="30" t="str">
        <f t="shared" si="23"/>
        <v/>
      </c>
      <c r="H1618" s="39"/>
    </row>
    <row r="1619" spans="2:8" ht="18" customHeight="1" x14ac:dyDescent="0.3">
      <c r="B1619" s="26"/>
      <c r="C1619" s="27"/>
      <c r="D1619" s="28"/>
      <c r="E1619" s="36"/>
      <c r="F1619" s="36"/>
      <c r="G1619" s="30" t="str">
        <f t="shared" si="23"/>
        <v/>
      </c>
      <c r="H1619" s="37"/>
    </row>
    <row r="1620" spans="2:8" ht="18" customHeight="1" x14ac:dyDescent="0.3">
      <c r="B1620" s="26"/>
      <c r="C1620" s="27"/>
      <c r="D1620" s="17"/>
      <c r="E1620" s="38"/>
      <c r="F1620" s="38"/>
      <c r="G1620" s="30" t="str">
        <f t="shared" si="23"/>
        <v/>
      </c>
      <c r="H1620" s="39"/>
    </row>
    <row r="1621" spans="2:8" ht="18" customHeight="1" x14ac:dyDescent="0.3">
      <c r="B1621" s="26"/>
      <c r="C1621" s="27"/>
      <c r="D1621" s="28"/>
      <c r="E1621" s="36"/>
      <c r="F1621" s="36"/>
      <c r="G1621" s="30" t="str">
        <f t="shared" si="23"/>
        <v/>
      </c>
      <c r="H1621" s="37"/>
    </row>
    <row r="1622" spans="2:8" ht="18" customHeight="1" x14ac:dyDescent="0.3">
      <c r="B1622" s="26"/>
      <c r="C1622" s="27"/>
      <c r="D1622" s="17"/>
      <c r="E1622" s="38"/>
      <c r="F1622" s="38"/>
      <c r="G1622" s="30" t="str">
        <f t="shared" si="23"/>
        <v/>
      </c>
      <c r="H1622" s="39"/>
    </row>
    <row r="1623" spans="2:8" ht="18" customHeight="1" x14ac:dyDescent="0.3">
      <c r="B1623" s="26"/>
      <c r="C1623" s="27"/>
      <c r="D1623" s="28"/>
      <c r="E1623" s="36"/>
      <c r="F1623" s="36"/>
      <c r="G1623" s="30" t="str">
        <f t="shared" si="23"/>
        <v/>
      </c>
      <c r="H1623" s="37"/>
    </row>
    <row r="1624" spans="2:8" ht="18" customHeight="1" x14ac:dyDescent="0.3">
      <c r="B1624" s="26"/>
      <c r="C1624" s="27"/>
      <c r="D1624" s="17"/>
      <c r="E1624" s="38"/>
      <c r="F1624" s="38"/>
      <c r="G1624" s="30" t="str">
        <f t="shared" si="23"/>
        <v/>
      </c>
      <c r="H1624" s="39"/>
    </row>
    <row r="1625" spans="2:8" ht="18" customHeight="1" x14ac:dyDescent="0.3">
      <c r="B1625" s="26"/>
      <c r="C1625" s="27"/>
      <c r="D1625" s="28"/>
      <c r="E1625" s="36"/>
      <c r="F1625" s="36"/>
      <c r="G1625" s="30" t="str">
        <f t="shared" si="23"/>
        <v/>
      </c>
      <c r="H1625" s="37"/>
    </row>
    <row r="1626" spans="2:8" ht="18" customHeight="1" x14ac:dyDescent="0.3">
      <c r="B1626" s="26"/>
      <c r="C1626" s="27"/>
      <c r="D1626" s="17"/>
      <c r="E1626" s="38"/>
      <c r="F1626" s="38"/>
      <c r="G1626" s="30" t="str">
        <f t="shared" si="23"/>
        <v/>
      </c>
      <c r="H1626" s="39"/>
    </row>
    <row r="1627" spans="2:8" ht="18" customHeight="1" x14ac:dyDescent="0.3">
      <c r="B1627" s="26"/>
      <c r="C1627" s="27"/>
      <c r="D1627" s="28"/>
      <c r="E1627" s="36"/>
      <c r="F1627" s="36"/>
      <c r="G1627" s="30" t="str">
        <f t="shared" si="23"/>
        <v/>
      </c>
      <c r="H1627" s="37"/>
    </row>
    <row r="1628" spans="2:8" ht="18" customHeight="1" x14ac:dyDescent="0.3">
      <c r="B1628" s="26"/>
      <c r="C1628" s="27"/>
      <c r="D1628" s="17"/>
      <c r="E1628" s="38"/>
      <c r="F1628" s="38"/>
      <c r="G1628" s="30" t="str">
        <f t="shared" si="23"/>
        <v/>
      </c>
      <c r="H1628" s="39"/>
    </row>
    <row r="1629" spans="2:8" ht="18" customHeight="1" x14ac:dyDescent="0.3">
      <c r="B1629" s="26"/>
      <c r="C1629" s="27"/>
      <c r="D1629" s="28"/>
      <c r="E1629" s="36"/>
      <c r="F1629" s="36"/>
      <c r="G1629" s="30" t="str">
        <f t="shared" si="23"/>
        <v/>
      </c>
      <c r="H1629" s="37"/>
    </row>
    <row r="1630" spans="2:8" ht="18" customHeight="1" x14ac:dyDescent="0.3">
      <c r="B1630" s="26"/>
      <c r="C1630" s="27"/>
      <c r="D1630" s="17"/>
      <c r="E1630" s="38"/>
      <c r="F1630" s="38"/>
      <c r="G1630" s="30" t="str">
        <f t="shared" si="23"/>
        <v/>
      </c>
      <c r="H1630" s="39"/>
    </row>
    <row r="1631" spans="2:8" ht="18" customHeight="1" x14ac:dyDescent="0.3">
      <c r="B1631" s="26"/>
      <c r="C1631" s="27"/>
      <c r="D1631" s="28"/>
      <c r="E1631" s="36"/>
      <c r="F1631" s="36"/>
      <c r="G1631" s="30" t="str">
        <f t="shared" si="23"/>
        <v/>
      </c>
      <c r="H1631" s="37"/>
    </row>
    <row r="1632" spans="2:8" ht="18" customHeight="1" x14ac:dyDescent="0.3">
      <c r="B1632" s="26"/>
      <c r="C1632" s="27"/>
      <c r="D1632" s="17"/>
      <c r="E1632" s="38"/>
      <c r="F1632" s="38"/>
      <c r="G1632" s="30" t="str">
        <f t="shared" si="23"/>
        <v/>
      </c>
      <c r="H1632" s="39"/>
    </row>
    <row r="1633" spans="2:8" ht="18" customHeight="1" x14ac:dyDescent="0.3">
      <c r="B1633" s="26"/>
      <c r="C1633" s="27"/>
      <c r="D1633" s="28"/>
      <c r="E1633" s="36"/>
      <c r="F1633" s="36"/>
      <c r="G1633" s="30" t="str">
        <f t="shared" si="23"/>
        <v/>
      </c>
      <c r="H1633" s="37"/>
    </row>
    <row r="1634" spans="2:8" ht="18" customHeight="1" x14ac:dyDescent="0.3">
      <c r="B1634" s="26"/>
      <c r="C1634" s="27"/>
      <c r="D1634" s="17"/>
      <c r="E1634" s="38"/>
      <c r="F1634" s="38"/>
      <c r="G1634" s="30" t="str">
        <f t="shared" si="23"/>
        <v/>
      </c>
      <c r="H1634" s="39"/>
    </row>
    <row r="1635" spans="2:8" ht="18" customHeight="1" x14ac:dyDescent="0.3">
      <c r="B1635" s="26"/>
      <c r="C1635" s="27"/>
      <c r="D1635" s="28"/>
      <c r="E1635" s="36"/>
      <c r="F1635" s="36"/>
      <c r="G1635" s="30" t="str">
        <f t="shared" si="23"/>
        <v/>
      </c>
      <c r="H1635" s="37"/>
    </row>
    <row r="1636" spans="2:8" ht="18" customHeight="1" x14ac:dyDescent="0.3">
      <c r="B1636" s="26"/>
      <c r="C1636" s="27"/>
      <c r="D1636" s="17"/>
      <c r="E1636" s="38"/>
      <c r="F1636" s="38"/>
      <c r="G1636" s="30" t="str">
        <f t="shared" si="23"/>
        <v/>
      </c>
      <c r="H1636" s="39"/>
    </row>
    <row r="1637" spans="2:8" ht="18" customHeight="1" x14ac:dyDescent="0.3">
      <c r="B1637" s="26"/>
      <c r="C1637" s="27"/>
      <c r="D1637" s="28"/>
      <c r="E1637" s="36"/>
      <c r="F1637" s="36"/>
      <c r="G1637" s="30" t="str">
        <f t="shared" si="23"/>
        <v/>
      </c>
      <c r="H1637" s="37"/>
    </row>
    <row r="1638" spans="2:8" ht="18" customHeight="1" x14ac:dyDescent="0.3">
      <c r="B1638" s="26"/>
      <c r="C1638" s="27"/>
      <c r="D1638" s="17"/>
      <c r="E1638" s="38"/>
      <c r="F1638" s="38"/>
      <c r="G1638" s="30" t="str">
        <f t="shared" si="23"/>
        <v/>
      </c>
      <c r="H1638" s="39"/>
    </row>
    <row r="1639" spans="2:8" ht="18" customHeight="1" x14ac:dyDescent="0.3">
      <c r="B1639" s="26"/>
      <c r="C1639" s="27"/>
      <c r="D1639" s="28"/>
      <c r="E1639" s="36"/>
      <c r="F1639" s="36"/>
      <c r="G1639" s="30" t="str">
        <f t="shared" si="23"/>
        <v/>
      </c>
      <c r="H1639" s="37"/>
    </row>
    <row r="1640" spans="2:8" ht="18" customHeight="1" x14ac:dyDescent="0.3">
      <c r="B1640" s="26"/>
      <c r="C1640" s="27"/>
      <c r="D1640" s="17"/>
      <c r="E1640" s="38"/>
      <c r="F1640" s="38"/>
      <c r="G1640" s="30" t="str">
        <f t="shared" si="23"/>
        <v/>
      </c>
      <c r="H1640" s="39"/>
    </row>
    <row r="1641" spans="2:8" ht="18" customHeight="1" x14ac:dyDescent="0.3">
      <c r="B1641" s="26"/>
      <c r="C1641" s="27"/>
      <c r="D1641" s="28"/>
      <c r="E1641" s="36"/>
      <c r="F1641" s="36"/>
      <c r="G1641" s="30" t="str">
        <f t="shared" si="23"/>
        <v/>
      </c>
      <c r="H1641" s="37"/>
    </row>
    <row r="1642" spans="2:8" ht="18" customHeight="1" x14ac:dyDescent="0.3">
      <c r="B1642" s="26"/>
      <c r="C1642" s="27"/>
      <c r="D1642" s="17"/>
      <c r="E1642" s="38"/>
      <c r="F1642" s="38"/>
      <c r="G1642" s="30" t="str">
        <f t="shared" si="23"/>
        <v/>
      </c>
      <c r="H1642" s="39"/>
    </row>
    <row r="1643" spans="2:8" ht="18" customHeight="1" x14ac:dyDescent="0.3">
      <c r="B1643" s="26"/>
      <c r="C1643" s="27"/>
      <c r="D1643" s="28"/>
      <c r="E1643" s="36"/>
      <c r="F1643" s="36"/>
      <c r="G1643" s="30" t="str">
        <f t="shared" si="23"/>
        <v/>
      </c>
      <c r="H1643" s="37"/>
    </row>
    <row r="1644" spans="2:8" ht="18" customHeight="1" x14ac:dyDescent="0.3">
      <c r="B1644" s="26"/>
      <c r="C1644" s="27"/>
      <c r="D1644" s="17"/>
      <c r="E1644" s="38"/>
      <c r="F1644" s="38"/>
      <c r="G1644" s="30" t="str">
        <f t="shared" si="23"/>
        <v/>
      </c>
      <c r="H1644" s="39"/>
    </row>
    <row r="1645" spans="2:8" ht="18" customHeight="1" x14ac:dyDescent="0.3">
      <c r="B1645" s="26"/>
      <c r="C1645" s="27"/>
      <c r="D1645" s="28"/>
      <c r="E1645" s="36"/>
      <c r="F1645" s="36"/>
      <c r="G1645" s="30" t="str">
        <f t="shared" si="23"/>
        <v/>
      </c>
      <c r="H1645" s="37"/>
    </row>
    <row r="1646" spans="2:8" ht="18" customHeight="1" x14ac:dyDescent="0.3">
      <c r="B1646" s="26"/>
      <c r="C1646" s="27"/>
      <c r="D1646" s="17"/>
      <c r="E1646" s="38"/>
      <c r="F1646" s="38"/>
      <c r="G1646" s="30" t="str">
        <f t="shared" si="23"/>
        <v/>
      </c>
      <c r="H1646" s="39"/>
    </row>
    <row r="1647" spans="2:8" ht="18" customHeight="1" x14ac:dyDescent="0.3">
      <c r="B1647" s="26"/>
      <c r="C1647" s="27"/>
      <c r="D1647" s="28"/>
      <c r="E1647" s="36"/>
      <c r="F1647" s="36"/>
      <c r="G1647" s="30" t="str">
        <f t="shared" si="23"/>
        <v/>
      </c>
      <c r="H1647" s="37"/>
    </row>
    <row r="1648" spans="2:8" ht="18" customHeight="1" x14ac:dyDescent="0.3">
      <c r="B1648" s="26"/>
      <c r="C1648" s="27"/>
      <c r="D1648" s="17"/>
      <c r="E1648" s="38"/>
      <c r="F1648" s="38"/>
      <c r="G1648" s="30" t="str">
        <f t="shared" si="23"/>
        <v/>
      </c>
      <c r="H1648" s="39"/>
    </row>
    <row r="1649" spans="2:8" ht="18" customHeight="1" x14ac:dyDescent="0.3">
      <c r="B1649" s="26"/>
      <c r="C1649" s="27"/>
      <c r="D1649" s="28"/>
      <c r="E1649" s="36"/>
      <c r="F1649" s="36"/>
      <c r="G1649" s="30" t="str">
        <f t="shared" si="23"/>
        <v/>
      </c>
      <c r="H1649" s="37"/>
    </row>
    <row r="1650" spans="2:8" ht="18" customHeight="1" x14ac:dyDescent="0.3">
      <c r="B1650" s="26"/>
      <c r="C1650" s="27"/>
      <c r="D1650" s="17"/>
      <c r="E1650" s="38"/>
      <c r="F1650" s="38"/>
      <c r="G1650" s="30" t="str">
        <f t="shared" si="23"/>
        <v/>
      </c>
      <c r="H1650" s="39"/>
    </row>
    <row r="1651" spans="2:8" ht="18" customHeight="1" x14ac:dyDescent="0.3">
      <c r="B1651" s="26"/>
      <c r="C1651" s="27"/>
      <c r="D1651" s="28"/>
      <c r="E1651" s="36"/>
      <c r="F1651" s="36"/>
      <c r="G1651" s="30" t="str">
        <f t="shared" si="23"/>
        <v/>
      </c>
      <c r="H1651" s="37"/>
    </row>
    <row r="1652" spans="2:8" ht="18" customHeight="1" x14ac:dyDescent="0.3">
      <c r="B1652" s="26"/>
      <c r="C1652" s="27"/>
      <c r="D1652" s="17"/>
      <c r="E1652" s="38"/>
      <c r="F1652" s="38"/>
      <c r="G1652" s="30" t="str">
        <f t="shared" si="23"/>
        <v/>
      </c>
      <c r="H1652" s="39"/>
    </row>
    <row r="1653" spans="2:8" ht="18" customHeight="1" x14ac:dyDescent="0.3">
      <c r="B1653" s="26"/>
      <c r="C1653" s="27"/>
      <c r="D1653" s="28"/>
      <c r="E1653" s="36"/>
      <c r="F1653" s="36"/>
      <c r="G1653" s="30" t="str">
        <f t="shared" si="23"/>
        <v/>
      </c>
      <c r="H1653" s="37"/>
    </row>
    <row r="1654" spans="2:8" ht="18" customHeight="1" x14ac:dyDescent="0.3">
      <c r="B1654" s="26"/>
      <c r="C1654" s="27"/>
      <c r="D1654" s="17"/>
      <c r="E1654" s="38"/>
      <c r="F1654" s="38"/>
      <c r="G1654" s="30" t="str">
        <f t="shared" si="23"/>
        <v/>
      </c>
      <c r="H1654" s="39"/>
    </row>
    <row r="1655" spans="2:8" ht="18" customHeight="1" x14ac:dyDescent="0.3">
      <c r="B1655" s="26"/>
      <c r="C1655" s="27"/>
      <c r="D1655" s="28"/>
      <c r="E1655" s="36"/>
      <c r="F1655" s="36"/>
      <c r="G1655" s="30" t="str">
        <f t="shared" si="23"/>
        <v/>
      </c>
      <c r="H1655" s="37"/>
    </row>
    <row r="1656" spans="2:8" ht="18" customHeight="1" x14ac:dyDescent="0.3">
      <c r="B1656" s="26"/>
      <c r="C1656" s="27"/>
      <c r="D1656" s="17"/>
      <c r="E1656" s="38"/>
      <c r="F1656" s="38"/>
      <c r="G1656" s="30" t="str">
        <f t="shared" si="23"/>
        <v/>
      </c>
      <c r="H1656" s="39"/>
    </row>
    <row r="1657" spans="2:8" ht="18" customHeight="1" x14ac:dyDescent="0.3">
      <c r="B1657" s="26"/>
      <c r="C1657" s="27"/>
      <c r="D1657" s="28"/>
      <c r="E1657" s="36"/>
      <c r="F1657" s="36"/>
      <c r="G1657" s="30" t="str">
        <f t="shared" si="23"/>
        <v/>
      </c>
      <c r="H1657" s="37"/>
    </row>
    <row r="1658" spans="2:8" ht="18" customHeight="1" x14ac:dyDescent="0.3">
      <c r="B1658" s="26"/>
      <c r="C1658" s="27"/>
      <c r="D1658" s="17"/>
      <c r="E1658" s="38"/>
      <c r="F1658" s="38"/>
      <c r="G1658" s="30" t="str">
        <f t="shared" si="23"/>
        <v/>
      </c>
      <c r="H1658" s="39"/>
    </row>
    <row r="1659" spans="2:8" ht="18" customHeight="1" x14ac:dyDescent="0.3">
      <c r="B1659" s="26"/>
      <c r="C1659" s="27"/>
      <c r="D1659" s="28"/>
      <c r="E1659" s="36"/>
      <c r="F1659" s="36"/>
      <c r="G1659" s="30" t="str">
        <f t="shared" si="23"/>
        <v/>
      </c>
      <c r="H1659" s="37"/>
    </row>
    <row r="1660" spans="2:8" ht="18" customHeight="1" x14ac:dyDescent="0.3">
      <c r="B1660" s="26"/>
      <c r="C1660" s="27"/>
      <c r="D1660" s="17"/>
      <c r="E1660" s="38"/>
      <c r="F1660" s="38"/>
      <c r="G1660" s="30" t="str">
        <f t="shared" si="23"/>
        <v/>
      </c>
      <c r="H1660" s="39"/>
    </row>
    <row r="1661" spans="2:8" ht="18" customHeight="1" x14ac:dyDescent="0.3">
      <c r="B1661" s="26"/>
      <c r="C1661" s="27"/>
      <c r="D1661" s="28"/>
      <c r="E1661" s="36"/>
      <c r="F1661" s="36"/>
      <c r="G1661" s="30" t="str">
        <f t="shared" si="23"/>
        <v/>
      </c>
      <c r="H1661" s="37"/>
    </row>
    <row r="1662" spans="2:8" ht="18" customHeight="1" x14ac:dyDescent="0.3">
      <c r="B1662" s="26"/>
      <c r="C1662" s="27"/>
      <c r="D1662" s="17"/>
      <c r="E1662" s="38"/>
      <c r="F1662" s="38"/>
      <c r="G1662" s="30" t="str">
        <f t="shared" si="23"/>
        <v/>
      </c>
      <c r="H1662" s="39"/>
    </row>
    <row r="1663" spans="2:8" ht="18" customHeight="1" x14ac:dyDescent="0.3">
      <c r="B1663" s="26"/>
      <c r="C1663" s="27"/>
      <c r="D1663" s="28"/>
      <c r="E1663" s="36"/>
      <c r="F1663" s="36"/>
      <c r="G1663" s="30" t="str">
        <f t="shared" si="23"/>
        <v/>
      </c>
      <c r="H1663" s="37"/>
    </row>
    <row r="1664" spans="2:8" ht="18" customHeight="1" x14ac:dyDescent="0.3">
      <c r="B1664" s="26"/>
      <c r="C1664" s="27"/>
      <c r="D1664" s="17"/>
      <c r="E1664" s="38"/>
      <c r="F1664" s="38"/>
      <c r="G1664" s="30" t="str">
        <f t="shared" si="23"/>
        <v/>
      </c>
      <c r="H1664" s="39"/>
    </row>
    <row r="1665" spans="2:8" ht="18" customHeight="1" x14ac:dyDescent="0.3">
      <c r="B1665" s="26"/>
      <c r="C1665" s="27"/>
      <c r="D1665" s="28"/>
      <c r="E1665" s="36"/>
      <c r="F1665" s="36"/>
      <c r="G1665" s="30" t="str">
        <f t="shared" si="23"/>
        <v/>
      </c>
      <c r="H1665" s="37"/>
    </row>
    <row r="1666" spans="2:8" ht="18" customHeight="1" x14ac:dyDescent="0.3">
      <c r="B1666" s="26"/>
      <c r="C1666" s="27"/>
      <c r="D1666" s="17"/>
      <c r="E1666" s="38"/>
      <c r="F1666" s="38"/>
      <c r="G1666" s="30" t="str">
        <f t="shared" si="23"/>
        <v/>
      </c>
      <c r="H1666" s="39"/>
    </row>
    <row r="1667" spans="2:8" ht="18" customHeight="1" x14ac:dyDescent="0.3">
      <c r="B1667" s="26"/>
      <c r="C1667" s="27"/>
      <c r="D1667" s="28"/>
      <c r="E1667" s="36"/>
      <c r="F1667" s="36"/>
      <c r="G1667" s="30" t="str">
        <f t="shared" si="23"/>
        <v/>
      </c>
      <c r="H1667" s="37"/>
    </row>
    <row r="1668" spans="2:8" ht="18" customHeight="1" x14ac:dyDescent="0.3">
      <c r="B1668" s="26"/>
      <c r="C1668" s="27"/>
      <c r="D1668" s="17"/>
      <c r="E1668" s="38"/>
      <c r="F1668" s="38"/>
      <c r="G1668" s="30" t="str">
        <f t="shared" si="23"/>
        <v/>
      </c>
      <c r="H1668" s="39"/>
    </row>
    <row r="1669" spans="2:8" ht="18" customHeight="1" x14ac:dyDescent="0.3">
      <c r="B1669" s="26"/>
      <c r="C1669" s="27"/>
      <c r="D1669" s="28"/>
      <c r="E1669" s="36"/>
      <c r="F1669" s="36"/>
      <c r="G1669" s="30" t="str">
        <f t="shared" ref="G1669:G1732" si="24">IF(OR(B1669="",E1669=""),"",IF(E1669="08:00",8,IF(E1669="07:00",8,7)))</f>
        <v/>
      </c>
      <c r="H1669" s="37"/>
    </row>
    <row r="1670" spans="2:8" ht="18" customHeight="1" x14ac:dyDescent="0.3">
      <c r="B1670" s="26"/>
      <c r="C1670" s="27"/>
      <c r="D1670" s="17"/>
      <c r="E1670" s="38"/>
      <c r="F1670" s="38"/>
      <c r="G1670" s="30" t="str">
        <f t="shared" si="24"/>
        <v/>
      </c>
      <c r="H1670" s="39"/>
    </row>
    <row r="1671" spans="2:8" ht="18" customHeight="1" x14ac:dyDescent="0.3">
      <c r="B1671" s="26"/>
      <c r="C1671" s="27"/>
      <c r="D1671" s="28"/>
      <c r="E1671" s="36"/>
      <c r="F1671" s="36"/>
      <c r="G1671" s="30" t="str">
        <f t="shared" si="24"/>
        <v/>
      </c>
      <c r="H1671" s="37"/>
    </row>
    <row r="1672" spans="2:8" ht="18" customHeight="1" x14ac:dyDescent="0.3">
      <c r="B1672" s="26"/>
      <c r="C1672" s="27"/>
      <c r="D1672" s="17"/>
      <c r="E1672" s="38"/>
      <c r="F1672" s="38"/>
      <c r="G1672" s="30" t="str">
        <f t="shared" si="24"/>
        <v/>
      </c>
      <c r="H1672" s="39"/>
    </row>
    <row r="1673" spans="2:8" ht="18" customHeight="1" x14ac:dyDescent="0.3">
      <c r="B1673" s="26"/>
      <c r="C1673" s="27"/>
      <c r="D1673" s="28"/>
      <c r="E1673" s="36"/>
      <c r="F1673" s="36"/>
      <c r="G1673" s="30" t="str">
        <f t="shared" si="24"/>
        <v/>
      </c>
      <c r="H1673" s="37"/>
    </row>
    <row r="1674" spans="2:8" ht="18" customHeight="1" x14ac:dyDescent="0.3">
      <c r="B1674" s="26"/>
      <c r="C1674" s="27"/>
      <c r="D1674" s="17"/>
      <c r="E1674" s="38"/>
      <c r="F1674" s="38"/>
      <c r="G1674" s="30" t="str">
        <f t="shared" si="24"/>
        <v/>
      </c>
      <c r="H1674" s="39"/>
    </row>
    <row r="1675" spans="2:8" ht="18" customHeight="1" x14ac:dyDescent="0.3">
      <c r="B1675" s="26"/>
      <c r="C1675" s="27"/>
      <c r="D1675" s="28"/>
      <c r="E1675" s="36"/>
      <c r="F1675" s="36"/>
      <c r="G1675" s="30" t="str">
        <f t="shared" si="24"/>
        <v/>
      </c>
      <c r="H1675" s="37"/>
    </row>
    <row r="1676" spans="2:8" ht="18" customHeight="1" x14ac:dyDescent="0.3">
      <c r="B1676" s="26"/>
      <c r="C1676" s="27"/>
      <c r="D1676" s="17"/>
      <c r="E1676" s="38"/>
      <c r="F1676" s="38"/>
      <c r="G1676" s="30" t="str">
        <f t="shared" si="24"/>
        <v/>
      </c>
      <c r="H1676" s="39"/>
    </row>
    <row r="1677" spans="2:8" ht="18" customHeight="1" x14ac:dyDescent="0.3">
      <c r="B1677" s="26"/>
      <c r="C1677" s="27"/>
      <c r="D1677" s="28"/>
      <c r="E1677" s="36"/>
      <c r="F1677" s="36"/>
      <c r="G1677" s="30" t="str">
        <f t="shared" si="24"/>
        <v/>
      </c>
      <c r="H1677" s="37"/>
    </row>
    <row r="1678" spans="2:8" ht="18" customHeight="1" x14ac:dyDescent="0.3">
      <c r="B1678" s="26"/>
      <c r="C1678" s="27"/>
      <c r="D1678" s="17"/>
      <c r="E1678" s="38"/>
      <c r="F1678" s="38"/>
      <c r="G1678" s="30" t="str">
        <f t="shared" si="24"/>
        <v/>
      </c>
      <c r="H1678" s="39"/>
    </row>
    <row r="1679" spans="2:8" ht="18" customHeight="1" x14ac:dyDescent="0.3">
      <c r="B1679" s="26"/>
      <c r="C1679" s="27"/>
      <c r="D1679" s="28"/>
      <c r="E1679" s="36"/>
      <c r="F1679" s="36"/>
      <c r="G1679" s="30" t="str">
        <f t="shared" si="24"/>
        <v/>
      </c>
      <c r="H1679" s="37"/>
    </row>
    <row r="1680" spans="2:8" ht="18" customHeight="1" x14ac:dyDescent="0.3">
      <c r="B1680" s="26"/>
      <c r="C1680" s="27"/>
      <c r="D1680" s="17"/>
      <c r="E1680" s="38"/>
      <c r="F1680" s="38"/>
      <c r="G1680" s="30" t="str">
        <f t="shared" si="24"/>
        <v/>
      </c>
      <c r="H1680" s="39"/>
    </row>
    <row r="1681" spans="2:8" ht="18" customHeight="1" x14ac:dyDescent="0.3">
      <c r="B1681" s="26"/>
      <c r="C1681" s="27"/>
      <c r="D1681" s="28"/>
      <c r="E1681" s="36"/>
      <c r="F1681" s="36"/>
      <c r="G1681" s="30" t="str">
        <f t="shared" si="24"/>
        <v/>
      </c>
      <c r="H1681" s="37"/>
    </row>
    <row r="1682" spans="2:8" ht="18" customHeight="1" x14ac:dyDescent="0.3">
      <c r="B1682" s="26"/>
      <c r="C1682" s="27"/>
      <c r="D1682" s="17"/>
      <c r="E1682" s="38"/>
      <c r="F1682" s="38"/>
      <c r="G1682" s="30" t="str">
        <f t="shared" si="24"/>
        <v/>
      </c>
      <c r="H1682" s="39"/>
    </row>
    <row r="1683" spans="2:8" ht="18" customHeight="1" x14ac:dyDescent="0.3">
      <c r="B1683" s="26"/>
      <c r="C1683" s="27"/>
      <c r="D1683" s="28"/>
      <c r="E1683" s="36"/>
      <c r="F1683" s="36"/>
      <c r="G1683" s="30" t="str">
        <f t="shared" si="24"/>
        <v/>
      </c>
      <c r="H1683" s="37"/>
    </row>
    <row r="1684" spans="2:8" ht="18" customHeight="1" x14ac:dyDescent="0.3">
      <c r="B1684" s="26"/>
      <c r="C1684" s="27"/>
      <c r="D1684" s="17"/>
      <c r="E1684" s="38"/>
      <c r="F1684" s="38"/>
      <c r="G1684" s="30" t="str">
        <f t="shared" si="24"/>
        <v/>
      </c>
      <c r="H1684" s="39"/>
    </row>
    <row r="1685" spans="2:8" ht="18" customHeight="1" x14ac:dyDescent="0.3">
      <c r="B1685" s="26"/>
      <c r="C1685" s="27"/>
      <c r="D1685" s="28"/>
      <c r="E1685" s="36"/>
      <c r="F1685" s="36"/>
      <c r="G1685" s="30" t="str">
        <f t="shared" si="24"/>
        <v/>
      </c>
      <c r="H1685" s="37"/>
    </row>
    <row r="1686" spans="2:8" ht="18" customHeight="1" x14ac:dyDescent="0.3">
      <c r="B1686" s="26"/>
      <c r="C1686" s="27"/>
      <c r="D1686" s="17"/>
      <c r="E1686" s="38"/>
      <c r="F1686" s="38"/>
      <c r="G1686" s="30" t="str">
        <f t="shared" si="24"/>
        <v/>
      </c>
      <c r="H1686" s="39"/>
    </row>
    <row r="1687" spans="2:8" ht="18" customHeight="1" x14ac:dyDescent="0.3">
      <c r="B1687" s="26"/>
      <c r="C1687" s="27"/>
      <c r="D1687" s="28"/>
      <c r="E1687" s="36"/>
      <c r="F1687" s="36"/>
      <c r="G1687" s="30" t="str">
        <f t="shared" si="24"/>
        <v/>
      </c>
      <c r="H1687" s="37"/>
    </row>
    <row r="1688" spans="2:8" ht="18" customHeight="1" x14ac:dyDescent="0.3">
      <c r="B1688" s="26"/>
      <c r="C1688" s="27"/>
      <c r="D1688" s="17"/>
      <c r="E1688" s="38"/>
      <c r="F1688" s="38"/>
      <c r="G1688" s="30" t="str">
        <f t="shared" si="24"/>
        <v/>
      </c>
      <c r="H1688" s="39"/>
    </row>
    <row r="1689" spans="2:8" ht="18" customHeight="1" x14ac:dyDescent="0.3">
      <c r="B1689" s="26"/>
      <c r="C1689" s="27"/>
      <c r="D1689" s="28"/>
      <c r="E1689" s="36"/>
      <c r="F1689" s="36"/>
      <c r="G1689" s="30" t="str">
        <f t="shared" si="24"/>
        <v/>
      </c>
      <c r="H1689" s="37"/>
    </row>
    <row r="1690" spans="2:8" ht="18" customHeight="1" x14ac:dyDescent="0.3">
      <c r="B1690" s="26"/>
      <c r="C1690" s="27"/>
      <c r="D1690" s="17"/>
      <c r="E1690" s="38"/>
      <c r="F1690" s="38"/>
      <c r="G1690" s="30" t="str">
        <f t="shared" si="24"/>
        <v/>
      </c>
      <c r="H1690" s="39"/>
    </row>
    <row r="1691" spans="2:8" ht="18" customHeight="1" x14ac:dyDescent="0.3">
      <c r="B1691" s="26"/>
      <c r="C1691" s="27"/>
      <c r="D1691" s="28"/>
      <c r="E1691" s="36"/>
      <c r="F1691" s="36"/>
      <c r="G1691" s="30" t="str">
        <f t="shared" si="24"/>
        <v/>
      </c>
      <c r="H1691" s="37"/>
    </row>
    <row r="1692" spans="2:8" ht="18" customHeight="1" x14ac:dyDescent="0.3">
      <c r="B1692" s="26"/>
      <c r="C1692" s="27"/>
      <c r="D1692" s="17"/>
      <c r="E1692" s="38"/>
      <c r="F1692" s="38"/>
      <c r="G1692" s="30" t="str">
        <f t="shared" si="24"/>
        <v/>
      </c>
      <c r="H1692" s="39"/>
    </row>
    <row r="1693" spans="2:8" ht="18" customHeight="1" x14ac:dyDescent="0.3">
      <c r="B1693" s="26"/>
      <c r="C1693" s="27"/>
      <c r="D1693" s="28"/>
      <c r="E1693" s="36"/>
      <c r="F1693" s="36"/>
      <c r="G1693" s="30" t="str">
        <f t="shared" si="24"/>
        <v/>
      </c>
      <c r="H1693" s="37"/>
    </row>
    <row r="1694" spans="2:8" ht="18" customHeight="1" x14ac:dyDescent="0.3">
      <c r="B1694" s="26"/>
      <c r="C1694" s="27"/>
      <c r="D1694" s="17"/>
      <c r="E1694" s="38"/>
      <c r="F1694" s="38"/>
      <c r="G1694" s="30" t="str">
        <f t="shared" si="24"/>
        <v/>
      </c>
      <c r="H1694" s="39"/>
    </row>
    <row r="1695" spans="2:8" ht="18" customHeight="1" x14ac:dyDescent="0.3">
      <c r="B1695" s="26"/>
      <c r="C1695" s="27"/>
      <c r="D1695" s="28"/>
      <c r="E1695" s="36"/>
      <c r="F1695" s="36"/>
      <c r="G1695" s="30" t="str">
        <f t="shared" si="24"/>
        <v/>
      </c>
      <c r="H1695" s="37"/>
    </row>
    <row r="1696" spans="2:8" ht="18" customHeight="1" x14ac:dyDescent="0.3">
      <c r="B1696" s="26"/>
      <c r="C1696" s="27"/>
      <c r="D1696" s="17"/>
      <c r="E1696" s="38"/>
      <c r="F1696" s="38"/>
      <c r="G1696" s="30" t="str">
        <f t="shared" si="24"/>
        <v/>
      </c>
      <c r="H1696" s="39"/>
    </row>
    <row r="1697" spans="2:8" ht="18" customHeight="1" x14ac:dyDescent="0.3">
      <c r="B1697" s="26"/>
      <c r="C1697" s="27"/>
      <c r="D1697" s="28"/>
      <c r="E1697" s="36"/>
      <c r="F1697" s="36"/>
      <c r="G1697" s="30" t="str">
        <f t="shared" si="24"/>
        <v/>
      </c>
      <c r="H1697" s="37"/>
    </row>
    <row r="1698" spans="2:8" ht="18" customHeight="1" x14ac:dyDescent="0.3">
      <c r="B1698" s="26"/>
      <c r="C1698" s="27"/>
      <c r="D1698" s="17"/>
      <c r="E1698" s="38"/>
      <c r="F1698" s="38"/>
      <c r="G1698" s="30" t="str">
        <f t="shared" si="24"/>
        <v/>
      </c>
      <c r="H1698" s="39"/>
    </row>
    <row r="1699" spans="2:8" ht="18" customHeight="1" x14ac:dyDescent="0.3">
      <c r="B1699" s="26"/>
      <c r="C1699" s="27"/>
      <c r="D1699" s="28"/>
      <c r="E1699" s="36"/>
      <c r="F1699" s="36"/>
      <c r="G1699" s="30" t="str">
        <f t="shared" si="24"/>
        <v/>
      </c>
      <c r="H1699" s="37"/>
    </row>
    <row r="1700" spans="2:8" ht="18" customHeight="1" x14ac:dyDescent="0.3">
      <c r="B1700" s="26"/>
      <c r="C1700" s="27"/>
      <c r="D1700" s="17"/>
      <c r="E1700" s="38"/>
      <c r="F1700" s="38"/>
      <c r="G1700" s="30" t="str">
        <f t="shared" si="24"/>
        <v/>
      </c>
      <c r="H1700" s="39"/>
    </row>
    <row r="1701" spans="2:8" ht="18" customHeight="1" x14ac:dyDescent="0.3">
      <c r="B1701" s="26"/>
      <c r="C1701" s="27"/>
      <c r="D1701" s="28"/>
      <c r="E1701" s="36"/>
      <c r="F1701" s="36"/>
      <c r="G1701" s="30" t="str">
        <f t="shared" si="24"/>
        <v/>
      </c>
      <c r="H1701" s="37"/>
    </row>
    <row r="1702" spans="2:8" ht="18" customHeight="1" x14ac:dyDescent="0.3">
      <c r="B1702" s="26"/>
      <c r="C1702" s="27"/>
      <c r="D1702" s="17"/>
      <c r="E1702" s="38"/>
      <c r="F1702" s="38"/>
      <c r="G1702" s="30" t="str">
        <f t="shared" si="24"/>
        <v/>
      </c>
      <c r="H1702" s="39"/>
    </row>
    <row r="1703" spans="2:8" ht="18" customHeight="1" x14ac:dyDescent="0.3">
      <c r="B1703" s="26"/>
      <c r="C1703" s="27"/>
      <c r="D1703" s="28"/>
      <c r="E1703" s="36"/>
      <c r="F1703" s="36"/>
      <c r="G1703" s="30" t="str">
        <f t="shared" si="24"/>
        <v/>
      </c>
      <c r="H1703" s="37"/>
    </row>
    <row r="1704" spans="2:8" ht="18" customHeight="1" x14ac:dyDescent="0.3">
      <c r="B1704" s="26"/>
      <c r="C1704" s="27"/>
      <c r="D1704" s="17"/>
      <c r="E1704" s="38"/>
      <c r="F1704" s="38"/>
      <c r="G1704" s="30" t="str">
        <f t="shared" si="24"/>
        <v/>
      </c>
      <c r="H1704" s="39"/>
    </row>
    <row r="1705" spans="2:8" ht="18" customHeight="1" x14ac:dyDescent="0.3">
      <c r="B1705" s="26"/>
      <c r="C1705" s="27"/>
      <c r="D1705" s="28"/>
      <c r="E1705" s="36"/>
      <c r="F1705" s="36"/>
      <c r="G1705" s="30" t="str">
        <f t="shared" si="24"/>
        <v/>
      </c>
      <c r="H1705" s="37"/>
    </row>
    <row r="1706" spans="2:8" ht="18" customHeight="1" x14ac:dyDescent="0.3">
      <c r="B1706" s="26"/>
      <c r="C1706" s="27"/>
      <c r="D1706" s="17"/>
      <c r="E1706" s="38"/>
      <c r="F1706" s="38"/>
      <c r="G1706" s="30" t="str">
        <f t="shared" si="24"/>
        <v/>
      </c>
      <c r="H1706" s="39"/>
    </row>
    <row r="1707" spans="2:8" ht="18" customHeight="1" x14ac:dyDescent="0.3">
      <c r="B1707" s="26"/>
      <c r="C1707" s="27"/>
      <c r="D1707" s="28"/>
      <c r="E1707" s="36"/>
      <c r="F1707" s="36"/>
      <c r="G1707" s="30" t="str">
        <f t="shared" si="24"/>
        <v/>
      </c>
      <c r="H1707" s="37"/>
    </row>
    <row r="1708" spans="2:8" ht="18" customHeight="1" x14ac:dyDescent="0.3">
      <c r="B1708" s="26"/>
      <c r="C1708" s="27"/>
      <c r="D1708" s="17"/>
      <c r="E1708" s="38"/>
      <c r="F1708" s="38"/>
      <c r="G1708" s="30" t="str">
        <f t="shared" si="24"/>
        <v/>
      </c>
      <c r="H1708" s="39"/>
    </row>
    <row r="1709" spans="2:8" ht="18" customHeight="1" x14ac:dyDescent="0.3">
      <c r="B1709" s="26"/>
      <c r="C1709" s="27"/>
      <c r="D1709" s="28"/>
      <c r="E1709" s="36"/>
      <c r="F1709" s="36"/>
      <c r="G1709" s="30" t="str">
        <f t="shared" si="24"/>
        <v/>
      </c>
      <c r="H1709" s="37"/>
    </row>
    <row r="1710" spans="2:8" ht="18" customHeight="1" x14ac:dyDescent="0.3">
      <c r="B1710" s="26"/>
      <c r="C1710" s="27"/>
      <c r="D1710" s="17"/>
      <c r="E1710" s="38"/>
      <c r="F1710" s="38"/>
      <c r="G1710" s="30" t="str">
        <f t="shared" si="24"/>
        <v/>
      </c>
      <c r="H1710" s="39"/>
    </row>
    <row r="1711" spans="2:8" ht="18" customHeight="1" x14ac:dyDescent="0.3">
      <c r="B1711" s="26"/>
      <c r="C1711" s="27"/>
      <c r="D1711" s="28"/>
      <c r="E1711" s="36"/>
      <c r="F1711" s="36"/>
      <c r="G1711" s="30" t="str">
        <f t="shared" si="24"/>
        <v/>
      </c>
      <c r="H1711" s="37"/>
    </row>
    <row r="1712" spans="2:8" ht="18" customHeight="1" x14ac:dyDescent="0.3">
      <c r="B1712" s="26"/>
      <c r="C1712" s="27"/>
      <c r="D1712" s="17"/>
      <c r="E1712" s="38"/>
      <c r="F1712" s="38"/>
      <c r="G1712" s="30" t="str">
        <f t="shared" si="24"/>
        <v/>
      </c>
      <c r="H1712" s="39"/>
    </row>
    <row r="1713" spans="2:8" ht="18" customHeight="1" x14ac:dyDescent="0.3">
      <c r="B1713" s="26"/>
      <c r="C1713" s="27"/>
      <c r="D1713" s="28"/>
      <c r="E1713" s="36"/>
      <c r="F1713" s="36"/>
      <c r="G1713" s="30" t="str">
        <f t="shared" si="24"/>
        <v/>
      </c>
      <c r="H1713" s="37"/>
    </row>
    <row r="1714" spans="2:8" ht="18" customHeight="1" x14ac:dyDescent="0.3">
      <c r="B1714" s="26"/>
      <c r="C1714" s="27"/>
      <c r="D1714" s="17"/>
      <c r="E1714" s="38"/>
      <c r="F1714" s="38"/>
      <c r="G1714" s="30" t="str">
        <f t="shared" si="24"/>
        <v/>
      </c>
      <c r="H1714" s="39"/>
    </row>
    <row r="1715" spans="2:8" ht="18" customHeight="1" x14ac:dyDescent="0.3">
      <c r="B1715" s="26"/>
      <c r="C1715" s="27"/>
      <c r="D1715" s="28"/>
      <c r="E1715" s="36"/>
      <c r="F1715" s="36"/>
      <c r="G1715" s="30" t="str">
        <f t="shared" si="24"/>
        <v/>
      </c>
      <c r="H1715" s="37"/>
    </row>
    <row r="1716" spans="2:8" ht="18" customHeight="1" x14ac:dyDescent="0.3">
      <c r="B1716" s="26"/>
      <c r="C1716" s="27"/>
      <c r="D1716" s="17"/>
      <c r="E1716" s="38"/>
      <c r="F1716" s="38"/>
      <c r="G1716" s="30" t="str">
        <f t="shared" si="24"/>
        <v/>
      </c>
      <c r="H1716" s="39"/>
    </row>
    <row r="1717" spans="2:8" ht="18" customHeight="1" x14ac:dyDescent="0.3">
      <c r="B1717" s="26"/>
      <c r="C1717" s="27"/>
      <c r="D1717" s="28"/>
      <c r="E1717" s="36"/>
      <c r="F1717" s="36"/>
      <c r="G1717" s="30" t="str">
        <f t="shared" si="24"/>
        <v/>
      </c>
      <c r="H1717" s="37"/>
    </row>
    <row r="1718" spans="2:8" ht="18" customHeight="1" x14ac:dyDescent="0.3">
      <c r="B1718" s="26"/>
      <c r="C1718" s="27"/>
      <c r="D1718" s="17"/>
      <c r="E1718" s="38"/>
      <c r="F1718" s="38"/>
      <c r="G1718" s="30" t="str">
        <f t="shared" si="24"/>
        <v/>
      </c>
      <c r="H1718" s="39"/>
    </row>
    <row r="1719" spans="2:8" ht="18" customHeight="1" x14ac:dyDescent="0.3">
      <c r="B1719" s="26"/>
      <c r="C1719" s="27"/>
      <c r="D1719" s="28"/>
      <c r="E1719" s="36"/>
      <c r="F1719" s="36"/>
      <c r="G1719" s="30" t="str">
        <f t="shared" si="24"/>
        <v/>
      </c>
      <c r="H1719" s="37"/>
    </row>
    <row r="1720" spans="2:8" ht="18" customHeight="1" x14ac:dyDescent="0.3">
      <c r="B1720" s="26"/>
      <c r="C1720" s="27"/>
      <c r="D1720" s="17"/>
      <c r="E1720" s="38"/>
      <c r="F1720" s="38"/>
      <c r="G1720" s="30" t="str">
        <f t="shared" si="24"/>
        <v/>
      </c>
      <c r="H1720" s="39"/>
    </row>
    <row r="1721" spans="2:8" ht="18" customHeight="1" x14ac:dyDescent="0.3">
      <c r="B1721" s="26"/>
      <c r="C1721" s="27"/>
      <c r="D1721" s="28"/>
      <c r="E1721" s="36"/>
      <c r="F1721" s="36"/>
      <c r="G1721" s="30" t="str">
        <f t="shared" si="24"/>
        <v/>
      </c>
      <c r="H1721" s="37"/>
    </row>
    <row r="1722" spans="2:8" ht="18" customHeight="1" x14ac:dyDescent="0.3">
      <c r="B1722" s="26"/>
      <c r="C1722" s="27"/>
      <c r="D1722" s="17"/>
      <c r="E1722" s="38"/>
      <c r="F1722" s="38"/>
      <c r="G1722" s="30" t="str">
        <f t="shared" si="24"/>
        <v/>
      </c>
      <c r="H1722" s="39"/>
    </row>
    <row r="1723" spans="2:8" ht="18" customHeight="1" x14ac:dyDescent="0.3">
      <c r="B1723" s="26"/>
      <c r="C1723" s="27"/>
      <c r="D1723" s="28"/>
      <c r="E1723" s="36"/>
      <c r="F1723" s="36"/>
      <c r="G1723" s="30" t="str">
        <f t="shared" si="24"/>
        <v/>
      </c>
      <c r="H1723" s="37"/>
    </row>
    <row r="1724" spans="2:8" ht="18" customHeight="1" x14ac:dyDescent="0.3">
      <c r="B1724" s="26"/>
      <c r="C1724" s="27"/>
      <c r="D1724" s="17"/>
      <c r="E1724" s="38"/>
      <c r="F1724" s="38"/>
      <c r="G1724" s="30" t="str">
        <f t="shared" si="24"/>
        <v/>
      </c>
      <c r="H1724" s="39"/>
    </row>
    <row r="1725" spans="2:8" ht="18" customHeight="1" x14ac:dyDescent="0.3">
      <c r="B1725" s="26"/>
      <c r="C1725" s="27"/>
      <c r="D1725" s="28"/>
      <c r="E1725" s="36"/>
      <c r="F1725" s="36"/>
      <c r="G1725" s="30" t="str">
        <f t="shared" si="24"/>
        <v/>
      </c>
      <c r="H1725" s="37"/>
    </row>
    <row r="1726" spans="2:8" ht="18" customHeight="1" x14ac:dyDescent="0.3">
      <c r="B1726" s="26"/>
      <c r="C1726" s="27"/>
      <c r="D1726" s="17"/>
      <c r="E1726" s="38"/>
      <c r="F1726" s="38"/>
      <c r="G1726" s="30" t="str">
        <f t="shared" si="24"/>
        <v/>
      </c>
      <c r="H1726" s="39"/>
    </row>
    <row r="1727" spans="2:8" ht="18" customHeight="1" x14ac:dyDescent="0.3">
      <c r="B1727" s="26"/>
      <c r="C1727" s="27"/>
      <c r="D1727" s="28"/>
      <c r="E1727" s="36"/>
      <c r="F1727" s="36"/>
      <c r="G1727" s="30" t="str">
        <f t="shared" si="24"/>
        <v/>
      </c>
      <c r="H1727" s="37"/>
    </row>
    <row r="1728" spans="2:8" ht="18" customHeight="1" x14ac:dyDescent="0.3">
      <c r="B1728" s="26"/>
      <c r="C1728" s="27"/>
      <c r="D1728" s="17"/>
      <c r="E1728" s="38"/>
      <c r="F1728" s="38"/>
      <c r="G1728" s="30" t="str">
        <f t="shared" si="24"/>
        <v/>
      </c>
      <c r="H1728" s="39"/>
    </row>
    <row r="1729" spans="2:8" ht="18" customHeight="1" x14ac:dyDescent="0.3">
      <c r="B1729" s="26"/>
      <c r="C1729" s="27"/>
      <c r="D1729" s="28"/>
      <c r="E1729" s="36"/>
      <c r="F1729" s="36"/>
      <c r="G1729" s="30" t="str">
        <f t="shared" si="24"/>
        <v/>
      </c>
      <c r="H1729" s="37"/>
    </row>
    <row r="1730" spans="2:8" ht="18" customHeight="1" x14ac:dyDescent="0.3">
      <c r="B1730" s="26"/>
      <c r="C1730" s="27"/>
      <c r="D1730" s="17"/>
      <c r="E1730" s="38"/>
      <c r="F1730" s="38"/>
      <c r="G1730" s="30" t="str">
        <f t="shared" si="24"/>
        <v/>
      </c>
      <c r="H1730" s="39"/>
    </row>
    <row r="1731" spans="2:8" ht="18" customHeight="1" x14ac:dyDescent="0.3">
      <c r="B1731" s="26"/>
      <c r="C1731" s="27"/>
      <c r="D1731" s="28"/>
      <c r="E1731" s="36"/>
      <c r="F1731" s="36"/>
      <c r="G1731" s="30" t="str">
        <f t="shared" si="24"/>
        <v/>
      </c>
      <c r="H1731" s="37"/>
    </row>
    <row r="1732" spans="2:8" ht="18" customHeight="1" x14ac:dyDescent="0.3">
      <c r="B1732" s="26"/>
      <c r="C1732" s="27"/>
      <c r="D1732" s="17"/>
      <c r="E1732" s="38"/>
      <c r="F1732" s="38"/>
      <c r="G1732" s="30" t="str">
        <f t="shared" si="24"/>
        <v/>
      </c>
      <c r="H1732" s="39"/>
    </row>
    <row r="1733" spans="2:8" ht="18" customHeight="1" x14ac:dyDescent="0.3">
      <c r="B1733" s="26"/>
      <c r="C1733" s="27"/>
      <c r="D1733" s="28"/>
      <c r="E1733" s="36"/>
      <c r="F1733" s="36"/>
      <c r="G1733" s="30" t="str">
        <f t="shared" ref="G1733:G1796" si="25">IF(OR(B1733="",E1733=""),"",IF(E1733="08:00",8,IF(E1733="07:00",8,7)))</f>
        <v/>
      </c>
      <c r="H1733" s="37"/>
    </row>
    <row r="1734" spans="2:8" ht="18" customHeight="1" x14ac:dyDescent="0.3">
      <c r="B1734" s="26"/>
      <c r="C1734" s="27"/>
      <c r="D1734" s="17"/>
      <c r="E1734" s="38"/>
      <c r="F1734" s="38"/>
      <c r="G1734" s="30" t="str">
        <f t="shared" si="25"/>
        <v/>
      </c>
      <c r="H1734" s="39"/>
    </row>
    <row r="1735" spans="2:8" ht="18" customHeight="1" x14ac:dyDescent="0.3">
      <c r="B1735" s="26"/>
      <c r="C1735" s="27"/>
      <c r="D1735" s="28"/>
      <c r="E1735" s="36"/>
      <c r="F1735" s="36"/>
      <c r="G1735" s="30" t="str">
        <f t="shared" si="25"/>
        <v/>
      </c>
      <c r="H1735" s="37"/>
    </row>
    <row r="1736" spans="2:8" ht="18" customHeight="1" x14ac:dyDescent="0.3">
      <c r="B1736" s="26"/>
      <c r="C1736" s="27"/>
      <c r="D1736" s="17"/>
      <c r="E1736" s="38"/>
      <c r="F1736" s="38"/>
      <c r="G1736" s="30" t="str">
        <f t="shared" si="25"/>
        <v/>
      </c>
      <c r="H1736" s="39"/>
    </row>
    <row r="1737" spans="2:8" ht="18" customHeight="1" x14ac:dyDescent="0.3">
      <c r="B1737" s="26"/>
      <c r="C1737" s="27"/>
      <c r="D1737" s="28"/>
      <c r="E1737" s="36"/>
      <c r="F1737" s="36"/>
      <c r="G1737" s="30" t="str">
        <f t="shared" si="25"/>
        <v/>
      </c>
      <c r="H1737" s="37"/>
    </row>
    <row r="1738" spans="2:8" ht="18" customHeight="1" x14ac:dyDescent="0.3">
      <c r="B1738" s="26"/>
      <c r="C1738" s="27"/>
      <c r="D1738" s="17"/>
      <c r="E1738" s="38"/>
      <c r="F1738" s="38"/>
      <c r="G1738" s="30" t="str">
        <f t="shared" si="25"/>
        <v/>
      </c>
      <c r="H1738" s="39"/>
    </row>
    <row r="1739" spans="2:8" ht="18" customHeight="1" x14ac:dyDescent="0.3">
      <c r="B1739" s="26"/>
      <c r="C1739" s="27"/>
      <c r="D1739" s="28"/>
      <c r="E1739" s="36"/>
      <c r="F1739" s="36"/>
      <c r="G1739" s="30" t="str">
        <f t="shared" si="25"/>
        <v/>
      </c>
      <c r="H1739" s="37"/>
    </row>
    <row r="1740" spans="2:8" ht="18" customHeight="1" x14ac:dyDescent="0.3">
      <c r="B1740" s="26"/>
      <c r="C1740" s="27"/>
      <c r="D1740" s="17"/>
      <c r="E1740" s="38"/>
      <c r="F1740" s="38"/>
      <c r="G1740" s="30" t="str">
        <f t="shared" si="25"/>
        <v/>
      </c>
      <c r="H1740" s="39"/>
    </row>
    <row r="1741" spans="2:8" ht="18" customHeight="1" x14ac:dyDescent="0.3">
      <c r="B1741" s="26"/>
      <c r="C1741" s="27"/>
      <c r="D1741" s="28"/>
      <c r="E1741" s="36"/>
      <c r="F1741" s="36"/>
      <c r="G1741" s="30" t="str">
        <f t="shared" si="25"/>
        <v/>
      </c>
      <c r="H1741" s="37"/>
    </row>
    <row r="1742" spans="2:8" ht="18" customHeight="1" x14ac:dyDescent="0.3">
      <c r="B1742" s="26"/>
      <c r="C1742" s="27"/>
      <c r="D1742" s="17"/>
      <c r="E1742" s="38"/>
      <c r="F1742" s="38"/>
      <c r="G1742" s="30" t="str">
        <f t="shared" si="25"/>
        <v/>
      </c>
      <c r="H1742" s="39"/>
    </row>
    <row r="1743" spans="2:8" ht="18" customHeight="1" x14ac:dyDescent="0.3">
      <c r="B1743" s="26"/>
      <c r="C1743" s="27"/>
      <c r="D1743" s="28"/>
      <c r="E1743" s="36"/>
      <c r="F1743" s="36"/>
      <c r="G1743" s="30" t="str">
        <f t="shared" si="25"/>
        <v/>
      </c>
      <c r="H1743" s="37"/>
    </row>
    <row r="1744" spans="2:8" ht="18" customHeight="1" x14ac:dyDescent="0.3">
      <c r="B1744" s="26"/>
      <c r="C1744" s="27"/>
      <c r="D1744" s="17"/>
      <c r="E1744" s="38"/>
      <c r="F1744" s="38"/>
      <c r="G1744" s="30" t="str">
        <f t="shared" si="25"/>
        <v/>
      </c>
      <c r="H1744" s="39"/>
    </row>
    <row r="1745" spans="2:8" ht="18" customHeight="1" x14ac:dyDescent="0.3">
      <c r="B1745" s="26"/>
      <c r="C1745" s="27"/>
      <c r="D1745" s="28"/>
      <c r="E1745" s="36"/>
      <c r="F1745" s="36"/>
      <c r="G1745" s="30" t="str">
        <f t="shared" si="25"/>
        <v/>
      </c>
      <c r="H1745" s="37"/>
    </row>
    <row r="1746" spans="2:8" ht="18" customHeight="1" x14ac:dyDescent="0.3">
      <c r="B1746" s="26"/>
      <c r="C1746" s="27"/>
      <c r="D1746" s="17"/>
      <c r="E1746" s="38"/>
      <c r="F1746" s="38"/>
      <c r="G1746" s="30" t="str">
        <f t="shared" si="25"/>
        <v/>
      </c>
      <c r="H1746" s="39"/>
    </row>
    <row r="1747" spans="2:8" ht="18" customHeight="1" x14ac:dyDescent="0.3">
      <c r="B1747" s="26"/>
      <c r="C1747" s="27"/>
      <c r="D1747" s="28"/>
      <c r="E1747" s="36"/>
      <c r="F1747" s="36"/>
      <c r="G1747" s="30" t="str">
        <f t="shared" si="25"/>
        <v/>
      </c>
      <c r="H1747" s="37"/>
    </row>
    <row r="1748" spans="2:8" ht="18" customHeight="1" x14ac:dyDescent="0.3">
      <c r="B1748" s="26"/>
      <c r="C1748" s="27"/>
      <c r="D1748" s="17"/>
      <c r="E1748" s="38"/>
      <c r="F1748" s="38"/>
      <c r="G1748" s="30" t="str">
        <f t="shared" si="25"/>
        <v/>
      </c>
      <c r="H1748" s="39"/>
    </row>
    <row r="1749" spans="2:8" ht="18" customHeight="1" x14ac:dyDescent="0.3">
      <c r="B1749" s="26"/>
      <c r="C1749" s="27"/>
      <c r="D1749" s="28"/>
      <c r="E1749" s="36"/>
      <c r="F1749" s="36"/>
      <c r="G1749" s="30" t="str">
        <f t="shared" si="25"/>
        <v/>
      </c>
      <c r="H1749" s="37"/>
    </row>
    <row r="1750" spans="2:8" ht="18" customHeight="1" x14ac:dyDescent="0.3">
      <c r="B1750" s="26"/>
      <c r="C1750" s="27"/>
      <c r="D1750" s="17"/>
      <c r="E1750" s="38"/>
      <c r="F1750" s="38"/>
      <c r="G1750" s="30" t="str">
        <f t="shared" si="25"/>
        <v/>
      </c>
      <c r="H1750" s="39"/>
    </row>
    <row r="1751" spans="2:8" ht="18" customHeight="1" x14ac:dyDescent="0.3">
      <c r="B1751" s="26"/>
      <c r="C1751" s="27"/>
      <c r="D1751" s="28"/>
      <c r="E1751" s="36"/>
      <c r="F1751" s="36"/>
      <c r="G1751" s="30" t="str">
        <f t="shared" si="25"/>
        <v/>
      </c>
      <c r="H1751" s="37"/>
    </row>
    <row r="1752" spans="2:8" ht="18" customHeight="1" x14ac:dyDescent="0.3">
      <c r="B1752" s="26"/>
      <c r="C1752" s="27"/>
      <c r="D1752" s="17"/>
      <c r="E1752" s="38"/>
      <c r="F1752" s="38"/>
      <c r="G1752" s="30" t="str">
        <f t="shared" si="25"/>
        <v/>
      </c>
      <c r="H1752" s="39"/>
    </row>
    <row r="1753" spans="2:8" ht="18" customHeight="1" x14ac:dyDescent="0.3">
      <c r="B1753" s="26"/>
      <c r="C1753" s="27"/>
      <c r="D1753" s="28"/>
      <c r="E1753" s="36"/>
      <c r="F1753" s="36"/>
      <c r="G1753" s="30" t="str">
        <f t="shared" si="25"/>
        <v/>
      </c>
      <c r="H1753" s="37"/>
    </row>
    <row r="1754" spans="2:8" ht="18" customHeight="1" x14ac:dyDescent="0.3">
      <c r="B1754" s="26"/>
      <c r="C1754" s="27"/>
      <c r="D1754" s="17"/>
      <c r="E1754" s="38"/>
      <c r="F1754" s="38"/>
      <c r="G1754" s="30" t="str">
        <f t="shared" si="25"/>
        <v/>
      </c>
      <c r="H1754" s="39"/>
    </row>
    <row r="1755" spans="2:8" ht="18" customHeight="1" x14ac:dyDescent="0.3">
      <c r="B1755" s="26"/>
      <c r="C1755" s="27"/>
      <c r="D1755" s="28"/>
      <c r="E1755" s="36"/>
      <c r="F1755" s="36"/>
      <c r="G1755" s="30" t="str">
        <f t="shared" si="25"/>
        <v/>
      </c>
      <c r="H1755" s="37"/>
    </row>
    <row r="1756" spans="2:8" ht="18" customHeight="1" x14ac:dyDescent="0.3">
      <c r="B1756" s="26"/>
      <c r="C1756" s="27"/>
      <c r="D1756" s="17"/>
      <c r="E1756" s="38"/>
      <c r="F1756" s="38"/>
      <c r="G1756" s="30" t="str">
        <f t="shared" si="25"/>
        <v/>
      </c>
      <c r="H1756" s="39"/>
    </row>
    <row r="1757" spans="2:8" ht="18" customHeight="1" x14ac:dyDescent="0.3">
      <c r="B1757" s="26"/>
      <c r="C1757" s="27"/>
      <c r="D1757" s="28"/>
      <c r="E1757" s="36"/>
      <c r="F1757" s="36"/>
      <c r="G1757" s="30" t="str">
        <f t="shared" si="25"/>
        <v/>
      </c>
      <c r="H1757" s="37"/>
    </row>
    <row r="1758" spans="2:8" ht="18" customHeight="1" x14ac:dyDescent="0.3">
      <c r="B1758" s="26"/>
      <c r="C1758" s="27"/>
      <c r="D1758" s="17"/>
      <c r="E1758" s="38"/>
      <c r="F1758" s="38"/>
      <c r="G1758" s="30" t="str">
        <f t="shared" si="25"/>
        <v/>
      </c>
      <c r="H1758" s="39"/>
    </row>
    <row r="1759" spans="2:8" ht="18" customHeight="1" x14ac:dyDescent="0.3">
      <c r="B1759" s="26"/>
      <c r="C1759" s="27"/>
      <c r="D1759" s="28"/>
      <c r="E1759" s="36"/>
      <c r="F1759" s="36"/>
      <c r="G1759" s="30" t="str">
        <f t="shared" si="25"/>
        <v/>
      </c>
      <c r="H1759" s="37"/>
    </row>
    <row r="1760" spans="2:8" ht="18" customHeight="1" x14ac:dyDescent="0.3">
      <c r="B1760" s="26"/>
      <c r="C1760" s="27"/>
      <c r="D1760" s="17"/>
      <c r="E1760" s="38"/>
      <c r="F1760" s="38"/>
      <c r="G1760" s="30" t="str">
        <f t="shared" si="25"/>
        <v/>
      </c>
      <c r="H1760" s="39"/>
    </row>
    <row r="1761" spans="2:8" ht="18" customHeight="1" x14ac:dyDescent="0.3">
      <c r="B1761" s="26"/>
      <c r="C1761" s="27"/>
      <c r="D1761" s="28"/>
      <c r="E1761" s="36"/>
      <c r="F1761" s="36"/>
      <c r="G1761" s="30" t="str">
        <f t="shared" si="25"/>
        <v/>
      </c>
      <c r="H1761" s="37"/>
    </row>
    <row r="1762" spans="2:8" ht="18" customHeight="1" x14ac:dyDescent="0.3">
      <c r="B1762" s="26"/>
      <c r="C1762" s="27"/>
      <c r="D1762" s="17"/>
      <c r="E1762" s="38"/>
      <c r="F1762" s="38"/>
      <c r="G1762" s="30" t="str">
        <f t="shared" si="25"/>
        <v/>
      </c>
      <c r="H1762" s="39"/>
    </row>
    <row r="1763" spans="2:8" ht="18" customHeight="1" x14ac:dyDescent="0.3">
      <c r="B1763" s="26"/>
      <c r="C1763" s="27"/>
      <c r="D1763" s="28"/>
      <c r="E1763" s="36"/>
      <c r="F1763" s="36"/>
      <c r="G1763" s="30" t="str">
        <f t="shared" si="25"/>
        <v/>
      </c>
      <c r="H1763" s="37"/>
    </row>
    <row r="1764" spans="2:8" ht="18" customHeight="1" x14ac:dyDescent="0.3">
      <c r="B1764" s="26"/>
      <c r="C1764" s="27"/>
      <c r="D1764" s="17"/>
      <c r="E1764" s="38"/>
      <c r="F1764" s="38"/>
      <c r="G1764" s="30" t="str">
        <f t="shared" si="25"/>
        <v/>
      </c>
      <c r="H1764" s="39"/>
    </row>
    <row r="1765" spans="2:8" ht="18" customHeight="1" x14ac:dyDescent="0.3">
      <c r="B1765" s="26"/>
      <c r="C1765" s="27"/>
      <c r="D1765" s="28"/>
      <c r="E1765" s="36"/>
      <c r="F1765" s="36"/>
      <c r="G1765" s="30" t="str">
        <f t="shared" si="25"/>
        <v/>
      </c>
      <c r="H1765" s="37"/>
    </row>
    <row r="1766" spans="2:8" ht="18" customHeight="1" x14ac:dyDescent="0.3">
      <c r="B1766" s="26"/>
      <c r="C1766" s="27"/>
      <c r="D1766" s="17"/>
      <c r="E1766" s="38"/>
      <c r="F1766" s="38"/>
      <c r="G1766" s="30" t="str">
        <f t="shared" si="25"/>
        <v/>
      </c>
      <c r="H1766" s="39"/>
    </row>
    <row r="1767" spans="2:8" ht="18" customHeight="1" x14ac:dyDescent="0.3">
      <c r="B1767" s="26"/>
      <c r="C1767" s="27"/>
      <c r="D1767" s="28"/>
      <c r="E1767" s="36"/>
      <c r="F1767" s="36"/>
      <c r="G1767" s="30" t="str">
        <f t="shared" si="25"/>
        <v/>
      </c>
      <c r="H1767" s="37"/>
    </row>
    <row r="1768" spans="2:8" ht="18" customHeight="1" x14ac:dyDescent="0.3">
      <c r="B1768" s="26"/>
      <c r="C1768" s="27"/>
      <c r="D1768" s="17"/>
      <c r="E1768" s="38"/>
      <c r="F1768" s="38"/>
      <c r="G1768" s="30" t="str">
        <f t="shared" si="25"/>
        <v/>
      </c>
      <c r="H1768" s="39"/>
    </row>
    <row r="1769" spans="2:8" ht="18" customHeight="1" x14ac:dyDescent="0.3">
      <c r="B1769" s="26"/>
      <c r="C1769" s="27"/>
      <c r="D1769" s="28"/>
      <c r="E1769" s="36"/>
      <c r="F1769" s="36"/>
      <c r="G1769" s="30" t="str">
        <f t="shared" si="25"/>
        <v/>
      </c>
      <c r="H1769" s="37"/>
    </row>
    <row r="1770" spans="2:8" ht="18" customHeight="1" x14ac:dyDescent="0.3">
      <c r="B1770" s="26"/>
      <c r="C1770" s="27"/>
      <c r="D1770" s="17"/>
      <c r="E1770" s="38"/>
      <c r="F1770" s="38"/>
      <c r="G1770" s="30" t="str">
        <f t="shared" si="25"/>
        <v/>
      </c>
      <c r="H1770" s="39"/>
    </row>
    <row r="1771" spans="2:8" ht="18" customHeight="1" x14ac:dyDescent="0.3">
      <c r="B1771" s="26"/>
      <c r="C1771" s="27"/>
      <c r="D1771" s="28"/>
      <c r="E1771" s="36"/>
      <c r="F1771" s="36"/>
      <c r="G1771" s="30" t="str">
        <f t="shared" si="25"/>
        <v/>
      </c>
      <c r="H1771" s="37"/>
    </row>
    <row r="1772" spans="2:8" ht="18" customHeight="1" x14ac:dyDescent="0.3">
      <c r="B1772" s="26"/>
      <c r="C1772" s="27"/>
      <c r="D1772" s="17"/>
      <c r="E1772" s="38"/>
      <c r="F1772" s="38"/>
      <c r="G1772" s="30" t="str">
        <f t="shared" si="25"/>
        <v/>
      </c>
      <c r="H1772" s="39"/>
    </row>
    <row r="1773" spans="2:8" ht="18" customHeight="1" x14ac:dyDescent="0.3">
      <c r="B1773" s="26"/>
      <c r="C1773" s="27"/>
      <c r="D1773" s="28"/>
      <c r="E1773" s="36"/>
      <c r="F1773" s="36"/>
      <c r="G1773" s="30" t="str">
        <f t="shared" si="25"/>
        <v/>
      </c>
      <c r="H1773" s="37"/>
    </row>
    <row r="1774" spans="2:8" ht="18" customHeight="1" x14ac:dyDescent="0.3">
      <c r="B1774" s="26"/>
      <c r="C1774" s="27"/>
      <c r="D1774" s="17"/>
      <c r="E1774" s="38"/>
      <c r="F1774" s="38"/>
      <c r="G1774" s="30" t="str">
        <f t="shared" si="25"/>
        <v/>
      </c>
      <c r="H1774" s="39"/>
    </row>
    <row r="1775" spans="2:8" ht="18" customHeight="1" x14ac:dyDescent="0.3">
      <c r="B1775" s="26"/>
      <c r="C1775" s="27"/>
      <c r="D1775" s="28"/>
      <c r="E1775" s="36"/>
      <c r="F1775" s="36"/>
      <c r="G1775" s="30" t="str">
        <f t="shared" si="25"/>
        <v/>
      </c>
      <c r="H1775" s="37"/>
    </row>
    <row r="1776" spans="2:8" ht="18" customHeight="1" x14ac:dyDescent="0.3">
      <c r="B1776" s="26"/>
      <c r="C1776" s="27"/>
      <c r="D1776" s="17"/>
      <c r="E1776" s="38"/>
      <c r="F1776" s="38"/>
      <c r="G1776" s="30" t="str">
        <f t="shared" si="25"/>
        <v/>
      </c>
      <c r="H1776" s="39"/>
    </row>
    <row r="1777" spans="2:8" ht="18" customHeight="1" x14ac:dyDescent="0.3">
      <c r="B1777" s="26"/>
      <c r="C1777" s="27"/>
      <c r="D1777" s="28"/>
      <c r="E1777" s="36"/>
      <c r="F1777" s="36"/>
      <c r="G1777" s="30" t="str">
        <f t="shared" si="25"/>
        <v/>
      </c>
      <c r="H1777" s="37"/>
    </row>
    <row r="1778" spans="2:8" ht="18" customHeight="1" x14ac:dyDescent="0.3">
      <c r="B1778" s="26"/>
      <c r="C1778" s="27"/>
      <c r="D1778" s="17"/>
      <c r="E1778" s="38"/>
      <c r="F1778" s="38"/>
      <c r="G1778" s="30" t="str">
        <f t="shared" si="25"/>
        <v/>
      </c>
      <c r="H1778" s="39"/>
    </row>
    <row r="1779" spans="2:8" ht="18" customHeight="1" x14ac:dyDescent="0.3">
      <c r="B1779" s="26"/>
      <c r="C1779" s="27"/>
      <c r="D1779" s="28"/>
      <c r="E1779" s="36"/>
      <c r="F1779" s="36"/>
      <c r="G1779" s="30" t="str">
        <f t="shared" si="25"/>
        <v/>
      </c>
      <c r="H1779" s="37"/>
    </row>
    <row r="1780" spans="2:8" ht="18" customHeight="1" x14ac:dyDescent="0.3">
      <c r="B1780" s="26"/>
      <c r="C1780" s="27"/>
      <c r="D1780" s="17"/>
      <c r="E1780" s="38"/>
      <c r="F1780" s="38"/>
      <c r="G1780" s="30" t="str">
        <f t="shared" si="25"/>
        <v/>
      </c>
      <c r="H1780" s="39"/>
    </row>
    <row r="1781" spans="2:8" ht="18" customHeight="1" x14ac:dyDescent="0.3">
      <c r="B1781" s="26"/>
      <c r="C1781" s="27"/>
      <c r="D1781" s="28"/>
      <c r="E1781" s="36"/>
      <c r="F1781" s="36"/>
      <c r="G1781" s="30" t="str">
        <f t="shared" si="25"/>
        <v/>
      </c>
      <c r="H1781" s="37"/>
    </row>
    <row r="1782" spans="2:8" ht="18" customHeight="1" x14ac:dyDescent="0.3">
      <c r="B1782" s="26"/>
      <c r="C1782" s="27"/>
      <c r="D1782" s="17"/>
      <c r="E1782" s="38"/>
      <c r="F1782" s="38"/>
      <c r="G1782" s="30" t="str">
        <f t="shared" si="25"/>
        <v/>
      </c>
      <c r="H1782" s="39"/>
    </row>
    <row r="1783" spans="2:8" ht="18" customHeight="1" x14ac:dyDescent="0.3">
      <c r="B1783" s="26"/>
      <c r="C1783" s="27"/>
      <c r="D1783" s="28"/>
      <c r="E1783" s="36"/>
      <c r="F1783" s="36"/>
      <c r="G1783" s="30" t="str">
        <f t="shared" si="25"/>
        <v/>
      </c>
      <c r="H1783" s="37"/>
    </row>
    <row r="1784" spans="2:8" ht="18" customHeight="1" x14ac:dyDescent="0.3">
      <c r="B1784" s="26"/>
      <c r="C1784" s="27"/>
      <c r="D1784" s="17"/>
      <c r="E1784" s="38"/>
      <c r="F1784" s="38"/>
      <c r="G1784" s="30" t="str">
        <f t="shared" si="25"/>
        <v/>
      </c>
      <c r="H1784" s="39"/>
    </row>
    <row r="1785" spans="2:8" ht="18" customHeight="1" x14ac:dyDescent="0.3">
      <c r="B1785" s="26"/>
      <c r="C1785" s="27"/>
      <c r="D1785" s="28"/>
      <c r="E1785" s="36"/>
      <c r="F1785" s="36"/>
      <c r="G1785" s="30" t="str">
        <f t="shared" si="25"/>
        <v/>
      </c>
      <c r="H1785" s="37"/>
    </row>
    <row r="1786" spans="2:8" ht="18" customHeight="1" x14ac:dyDescent="0.3">
      <c r="B1786" s="26"/>
      <c r="C1786" s="27"/>
      <c r="D1786" s="17"/>
      <c r="E1786" s="38"/>
      <c r="F1786" s="38"/>
      <c r="G1786" s="30" t="str">
        <f t="shared" si="25"/>
        <v/>
      </c>
      <c r="H1786" s="39"/>
    </row>
    <row r="1787" spans="2:8" ht="18" customHeight="1" x14ac:dyDescent="0.3">
      <c r="B1787" s="26"/>
      <c r="C1787" s="27"/>
      <c r="D1787" s="28"/>
      <c r="E1787" s="36"/>
      <c r="F1787" s="36"/>
      <c r="G1787" s="30" t="str">
        <f t="shared" si="25"/>
        <v/>
      </c>
      <c r="H1787" s="37"/>
    </row>
    <row r="1788" spans="2:8" ht="18" customHeight="1" x14ac:dyDescent="0.3">
      <c r="B1788" s="26"/>
      <c r="C1788" s="27"/>
      <c r="D1788" s="17"/>
      <c r="E1788" s="38"/>
      <c r="F1788" s="38"/>
      <c r="G1788" s="30" t="str">
        <f t="shared" si="25"/>
        <v/>
      </c>
      <c r="H1788" s="39"/>
    </row>
    <row r="1789" spans="2:8" ht="18" customHeight="1" x14ac:dyDescent="0.3">
      <c r="B1789" s="26"/>
      <c r="C1789" s="27"/>
      <c r="D1789" s="28"/>
      <c r="E1789" s="36"/>
      <c r="F1789" s="36"/>
      <c r="G1789" s="30" t="str">
        <f t="shared" si="25"/>
        <v/>
      </c>
      <c r="H1789" s="37"/>
    </row>
    <row r="1790" spans="2:8" ht="18" customHeight="1" x14ac:dyDescent="0.3">
      <c r="B1790" s="26"/>
      <c r="C1790" s="27"/>
      <c r="D1790" s="17"/>
      <c r="E1790" s="38"/>
      <c r="F1790" s="38"/>
      <c r="G1790" s="30" t="str">
        <f t="shared" si="25"/>
        <v/>
      </c>
      <c r="H1790" s="39"/>
    </row>
    <row r="1791" spans="2:8" ht="18" customHeight="1" x14ac:dyDescent="0.3">
      <c r="B1791" s="26"/>
      <c r="C1791" s="27"/>
      <c r="D1791" s="28"/>
      <c r="E1791" s="36"/>
      <c r="F1791" s="36"/>
      <c r="G1791" s="30" t="str">
        <f t="shared" si="25"/>
        <v/>
      </c>
      <c r="H1791" s="37"/>
    </row>
    <row r="1792" spans="2:8" ht="18" customHeight="1" x14ac:dyDescent="0.3">
      <c r="B1792" s="26"/>
      <c r="C1792" s="27"/>
      <c r="D1792" s="17"/>
      <c r="E1792" s="38"/>
      <c r="F1792" s="38"/>
      <c r="G1792" s="30" t="str">
        <f t="shared" si="25"/>
        <v/>
      </c>
      <c r="H1792" s="39"/>
    </row>
    <row r="1793" spans="2:8" ht="18" customHeight="1" x14ac:dyDescent="0.3">
      <c r="B1793" s="26"/>
      <c r="C1793" s="27"/>
      <c r="D1793" s="28"/>
      <c r="E1793" s="36"/>
      <c r="F1793" s="36"/>
      <c r="G1793" s="30" t="str">
        <f t="shared" si="25"/>
        <v/>
      </c>
      <c r="H1793" s="37"/>
    </row>
    <row r="1794" spans="2:8" ht="18" customHeight="1" x14ac:dyDescent="0.3">
      <c r="B1794" s="26"/>
      <c r="C1794" s="27"/>
      <c r="D1794" s="17"/>
      <c r="E1794" s="38"/>
      <c r="F1794" s="38"/>
      <c r="G1794" s="30" t="str">
        <f t="shared" si="25"/>
        <v/>
      </c>
      <c r="H1794" s="39"/>
    </row>
    <row r="1795" spans="2:8" ht="18" customHeight="1" x14ac:dyDescent="0.3">
      <c r="B1795" s="26"/>
      <c r="C1795" s="27"/>
      <c r="D1795" s="28"/>
      <c r="E1795" s="36"/>
      <c r="F1795" s="36"/>
      <c r="G1795" s="30" t="str">
        <f t="shared" si="25"/>
        <v/>
      </c>
      <c r="H1795" s="37"/>
    </row>
    <row r="1796" spans="2:8" ht="18" customHeight="1" x14ac:dyDescent="0.3">
      <c r="B1796" s="26"/>
      <c r="C1796" s="27"/>
      <c r="D1796" s="17"/>
      <c r="E1796" s="38"/>
      <c r="F1796" s="38"/>
      <c r="G1796" s="30" t="str">
        <f t="shared" si="25"/>
        <v/>
      </c>
      <c r="H1796" s="39"/>
    </row>
    <row r="1797" spans="2:8" ht="18" customHeight="1" x14ac:dyDescent="0.3">
      <c r="B1797" s="26"/>
      <c r="C1797" s="27"/>
      <c r="D1797" s="28"/>
      <c r="E1797" s="36"/>
      <c r="F1797" s="36"/>
      <c r="G1797" s="30" t="str">
        <f t="shared" ref="G1797:G1860" si="26">IF(OR(B1797="",E1797=""),"",IF(E1797="08:00",8,IF(E1797="07:00",8,7)))</f>
        <v/>
      </c>
      <c r="H1797" s="37"/>
    </row>
    <row r="1798" spans="2:8" ht="18" customHeight="1" x14ac:dyDescent="0.3">
      <c r="B1798" s="26"/>
      <c r="C1798" s="27"/>
      <c r="D1798" s="17"/>
      <c r="E1798" s="38"/>
      <c r="F1798" s="38"/>
      <c r="G1798" s="30" t="str">
        <f t="shared" si="26"/>
        <v/>
      </c>
      <c r="H1798" s="39"/>
    </row>
    <row r="1799" spans="2:8" ht="18" customHeight="1" x14ac:dyDescent="0.3">
      <c r="B1799" s="26"/>
      <c r="C1799" s="27"/>
      <c r="D1799" s="28"/>
      <c r="E1799" s="36"/>
      <c r="F1799" s="36"/>
      <c r="G1799" s="30" t="str">
        <f t="shared" si="26"/>
        <v/>
      </c>
      <c r="H1799" s="37"/>
    </row>
    <row r="1800" spans="2:8" ht="18" customHeight="1" x14ac:dyDescent="0.3">
      <c r="B1800" s="26"/>
      <c r="C1800" s="27"/>
      <c r="D1800" s="17"/>
      <c r="E1800" s="38"/>
      <c r="F1800" s="38"/>
      <c r="G1800" s="30" t="str">
        <f t="shared" si="26"/>
        <v/>
      </c>
      <c r="H1800" s="39"/>
    </row>
    <row r="1801" spans="2:8" ht="18" customHeight="1" x14ac:dyDescent="0.3">
      <c r="B1801" s="26"/>
      <c r="C1801" s="27"/>
      <c r="D1801" s="28"/>
      <c r="E1801" s="36"/>
      <c r="F1801" s="36"/>
      <c r="G1801" s="30" t="str">
        <f t="shared" si="26"/>
        <v/>
      </c>
      <c r="H1801" s="37"/>
    </row>
    <row r="1802" spans="2:8" ht="18" customHeight="1" x14ac:dyDescent="0.3">
      <c r="B1802" s="26"/>
      <c r="C1802" s="27"/>
      <c r="D1802" s="17"/>
      <c r="E1802" s="38"/>
      <c r="F1802" s="38"/>
      <c r="G1802" s="30" t="str">
        <f t="shared" si="26"/>
        <v/>
      </c>
      <c r="H1802" s="39"/>
    </row>
    <row r="1803" spans="2:8" ht="18" customHeight="1" x14ac:dyDescent="0.3">
      <c r="B1803" s="26"/>
      <c r="C1803" s="27"/>
      <c r="D1803" s="28"/>
      <c r="E1803" s="36"/>
      <c r="F1803" s="36"/>
      <c r="G1803" s="30" t="str">
        <f t="shared" si="26"/>
        <v/>
      </c>
      <c r="H1803" s="37"/>
    </row>
    <row r="1804" spans="2:8" ht="18" customHeight="1" x14ac:dyDescent="0.3">
      <c r="B1804" s="26"/>
      <c r="C1804" s="27"/>
      <c r="D1804" s="17"/>
      <c r="E1804" s="38"/>
      <c r="F1804" s="38"/>
      <c r="G1804" s="30" t="str">
        <f t="shared" si="26"/>
        <v/>
      </c>
      <c r="H1804" s="39"/>
    </row>
    <row r="1805" spans="2:8" ht="18" customHeight="1" x14ac:dyDescent="0.3">
      <c r="B1805" s="26"/>
      <c r="C1805" s="27"/>
      <c r="D1805" s="28"/>
      <c r="E1805" s="36"/>
      <c r="F1805" s="36"/>
      <c r="G1805" s="30" t="str">
        <f t="shared" si="26"/>
        <v/>
      </c>
      <c r="H1805" s="37"/>
    </row>
    <row r="1806" spans="2:8" ht="18" customHeight="1" x14ac:dyDescent="0.3">
      <c r="B1806" s="26"/>
      <c r="C1806" s="27"/>
      <c r="D1806" s="17"/>
      <c r="E1806" s="38"/>
      <c r="F1806" s="38"/>
      <c r="G1806" s="30" t="str">
        <f t="shared" si="26"/>
        <v/>
      </c>
      <c r="H1806" s="39"/>
    </row>
    <row r="1807" spans="2:8" ht="18" customHeight="1" x14ac:dyDescent="0.3">
      <c r="B1807" s="26"/>
      <c r="C1807" s="27"/>
      <c r="D1807" s="28"/>
      <c r="E1807" s="36"/>
      <c r="F1807" s="36"/>
      <c r="G1807" s="30" t="str">
        <f t="shared" si="26"/>
        <v/>
      </c>
      <c r="H1807" s="37"/>
    </row>
    <row r="1808" spans="2:8" ht="18" customHeight="1" x14ac:dyDescent="0.3">
      <c r="B1808" s="26"/>
      <c r="C1808" s="27"/>
      <c r="D1808" s="17"/>
      <c r="E1808" s="38"/>
      <c r="F1808" s="38"/>
      <c r="G1808" s="30" t="str">
        <f t="shared" si="26"/>
        <v/>
      </c>
      <c r="H1808" s="39"/>
    </row>
    <row r="1809" spans="2:8" ht="18" customHeight="1" x14ac:dyDescent="0.3">
      <c r="B1809" s="26"/>
      <c r="C1809" s="27"/>
      <c r="D1809" s="28"/>
      <c r="E1809" s="36"/>
      <c r="F1809" s="36"/>
      <c r="G1809" s="30" t="str">
        <f t="shared" si="26"/>
        <v/>
      </c>
      <c r="H1809" s="37"/>
    </row>
    <row r="1810" spans="2:8" ht="18" customHeight="1" x14ac:dyDescent="0.3">
      <c r="B1810" s="26"/>
      <c r="C1810" s="27"/>
      <c r="D1810" s="17"/>
      <c r="E1810" s="38"/>
      <c r="F1810" s="38"/>
      <c r="G1810" s="30" t="str">
        <f t="shared" si="26"/>
        <v/>
      </c>
      <c r="H1810" s="39"/>
    </row>
    <row r="1811" spans="2:8" ht="18" customHeight="1" x14ac:dyDescent="0.3">
      <c r="B1811" s="26"/>
      <c r="C1811" s="27"/>
      <c r="D1811" s="28"/>
      <c r="E1811" s="36"/>
      <c r="F1811" s="36"/>
      <c r="G1811" s="30" t="str">
        <f t="shared" si="26"/>
        <v/>
      </c>
      <c r="H1811" s="37"/>
    </row>
    <row r="1812" spans="2:8" ht="18" customHeight="1" x14ac:dyDescent="0.3">
      <c r="B1812" s="26"/>
      <c r="C1812" s="27"/>
      <c r="D1812" s="17"/>
      <c r="E1812" s="38"/>
      <c r="F1812" s="38"/>
      <c r="G1812" s="30" t="str">
        <f t="shared" si="26"/>
        <v/>
      </c>
      <c r="H1812" s="39"/>
    </row>
    <row r="1813" spans="2:8" ht="18" customHeight="1" x14ac:dyDescent="0.3">
      <c r="B1813" s="26"/>
      <c r="C1813" s="27"/>
      <c r="D1813" s="28"/>
      <c r="E1813" s="36"/>
      <c r="F1813" s="36"/>
      <c r="G1813" s="30" t="str">
        <f t="shared" si="26"/>
        <v/>
      </c>
      <c r="H1813" s="37"/>
    </row>
    <row r="1814" spans="2:8" ht="18" customHeight="1" x14ac:dyDescent="0.3">
      <c r="B1814" s="26"/>
      <c r="C1814" s="27"/>
      <c r="D1814" s="17"/>
      <c r="E1814" s="38"/>
      <c r="F1814" s="38"/>
      <c r="G1814" s="30" t="str">
        <f t="shared" si="26"/>
        <v/>
      </c>
      <c r="H1814" s="39"/>
    </row>
    <row r="1815" spans="2:8" ht="18" customHeight="1" x14ac:dyDescent="0.3">
      <c r="B1815" s="26"/>
      <c r="C1815" s="27"/>
      <c r="D1815" s="28"/>
      <c r="E1815" s="36"/>
      <c r="F1815" s="36"/>
      <c r="G1815" s="30" t="str">
        <f t="shared" si="26"/>
        <v/>
      </c>
      <c r="H1815" s="37"/>
    </row>
    <row r="1816" spans="2:8" ht="18" customHeight="1" x14ac:dyDescent="0.3">
      <c r="B1816" s="26"/>
      <c r="C1816" s="27"/>
      <c r="D1816" s="17"/>
      <c r="E1816" s="38"/>
      <c r="F1816" s="38"/>
      <c r="G1816" s="30" t="str">
        <f t="shared" si="26"/>
        <v/>
      </c>
      <c r="H1816" s="39"/>
    </row>
    <row r="1817" spans="2:8" ht="18" customHeight="1" x14ac:dyDescent="0.3">
      <c r="B1817" s="26"/>
      <c r="C1817" s="27"/>
      <c r="D1817" s="28"/>
      <c r="E1817" s="36"/>
      <c r="F1817" s="36"/>
      <c r="G1817" s="30" t="str">
        <f t="shared" si="26"/>
        <v/>
      </c>
      <c r="H1817" s="37"/>
    </row>
    <row r="1818" spans="2:8" ht="18" customHeight="1" x14ac:dyDescent="0.3">
      <c r="B1818" s="26"/>
      <c r="C1818" s="27"/>
      <c r="D1818" s="17"/>
      <c r="E1818" s="38"/>
      <c r="F1818" s="38"/>
      <c r="G1818" s="30" t="str">
        <f t="shared" si="26"/>
        <v/>
      </c>
      <c r="H1818" s="39"/>
    </row>
    <row r="1819" spans="2:8" ht="18" customHeight="1" x14ac:dyDescent="0.3">
      <c r="B1819" s="26"/>
      <c r="C1819" s="27"/>
      <c r="D1819" s="28"/>
      <c r="E1819" s="36"/>
      <c r="F1819" s="36"/>
      <c r="G1819" s="30" t="str">
        <f t="shared" si="26"/>
        <v/>
      </c>
      <c r="H1819" s="37"/>
    </row>
    <row r="1820" spans="2:8" ht="18" customHeight="1" x14ac:dyDescent="0.3">
      <c r="B1820" s="26"/>
      <c r="C1820" s="27"/>
      <c r="D1820" s="17"/>
      <c r="E1820" s="38"/>
      <c r="F1820" s="38"/>
      <c r="G1820" s="30" t="str">
        <f t="shared" si="26"/>
        <v/>
      </c>
      <c r="H1820" s="39"/>
    </row>
    <row r="1821" spans="2:8" ht="18" customHeight="1" x14ac:dyDescent="0.3">
      <c r="B1821" s="26"/>
      <c r="C1821" s="27"/>
      <c r="D1821" s="28"/>
      <c r="E1821" s="36"/>
      <c r="F1821" s="36"/>
      <c r="G1821" s="30" t="str">
        <f t="shared" si="26"/>
        <v/>
      </c>
      <c r="H1821" s="37"/>
    </row>
    <row r="1822" spans="2:8" ht="18" customHeight="1" x14ac:dyDescent="0.3">
      <c r="B1822" s="26"/>
      <c r="C1822" s="27"/>
      <c r="D1822" s="17"/>
      <c r="E1822" s="38"/>
      <c r="F1822" s="38"/>
      <c r="G1822" s="30" t="str">
        <f t="shared" si="26"/>
        <v/>
      </c>
      <c r="H1822" s="39"/>
    </row>
    <row r="1823" spans="2:8" ht="18" customHeight="1" x14ac:dyDescent="0.3">
      <c r="B1823" s="26"/>
      <c r="C1823" s="27"/>
      <c r="D1823" s="28"/>
      <c r="E1823" s="36"/>
      <c r="F1823" s="36"/>
      <c r="G1823" s="30" t="str">
        <f t="shared" si="26"/>
        <v/>
      </c>
      <c r="H1823" s="37"/>
    </row>
    <row r="1824" spans="2:8" ht="18" customHeight="1" x14ac:dyDescent="0.3">
      <c r="B1824" s="26"/>
      <c r="C1824" s="27"/>
      <c r="D1824" s="17"/>
      <c r="E1824" s="38"/>
      <c r="F1824" s="38"/>
      <c r="G1824" s="30" t="str">
        <f t="shared" si="26"/>
        <v/>
      </c>
      <c r="H1824" s="39"/>
    </row>
    <row r="1825" spans="2:8" ht="18" customHeight="1" x14ac:dyDescent="0.3">
      <c r="B1825" s="26"/>
      <c r="C1825" s="27"/>
      <c r="D1825" s="28"/>
      <c r="E1825" s="36"/>
      <c r="F1825" s="36"/>
      <c r="G1825" s="30" t="str">
        <f t="shared" si="26"/>
        <v/>
      </c>
      <c r="H1825" s="37"/>
    </row>
    <row r="1826" spans="2:8" ht="18" customHeight="1" x14ac:dyDescent="0.3">
      <c r="B1826" s="26"/>
      <c r="C1826" s="27"/>
      <c r="D1826" s="17"/>
      <c r="E1826" s="38"/>
      <c r="F1826" s="38"/>
      <c r="G1826" s="30" t="str">
        <f t="shared" si="26"/>
        <v/>
      </c>
      <c r="H1826" s="39"/>
    </row>
    <row r="1827" spans="2:8" ht="18" customHeight="1" x14ac:dyDescent="0.3">
      <c r="B1827" s="26"/>
      <c r="C1827" s="27"/>
      <c r="D1827" s="28"/>
      <c r="E1827" s="36"/>
      <c r="F1827" s="36"/>
      <c r="G1827" s="30" t="str">
        <f t="shared" si="26"/>
        <v/>
      </c>
      <c r="H1827" s="37"/>
    </row>
    <row r="1828" spans="2:8" ht="18" customHeight="1" x14ac:dyDescent="0.3">
      <c r="B1828" s="26"/>
      <c r="C1828" s="27"/>
      <c r="D1828" s="17"/>
      <c r="E1828" s="38"/>
      <c r="F1828" s="38"/>
      <c r="G1828" s="30" t="str">
        <f t="shared" si="26"/>
        <v/>
      </c>
      <c r="H1828" s="39"/>
    </row>
    <row r="1829" spans="2:8" ht="18" customHeight="1" x14ac:dyDescent="0.3">
      <c r="B1829" s="26"/>
      <c r="C1829" s="27"/>
      <c r="D1829" s="28"/>
      <c r="E1829" s="36"/>
      <c r="F1829" s="36"/>
      <c r="G1829" s="30" t="str">
        <f t="shared" si="26"/>
        <v/>
      </c>
      <c r="H1829" s="37"/>
    </row>
    <row r="1830" spans="2:8" ht="18" customHeight="1" x14ac:dyDescent="0.3">
      <c r="B1830" s="26"/>
      <c r="C1830" s="27"/>
      <c r="D1830" s="17"/>
      <c r="E1830" s="38"/>
      <c r="F1830" s="38"/>
      <c r="G1830" s="30" t="str">
        <f t="shared" si="26"/>
        <v/>
      </c>
      <c r="H1830" s="39"/>
    </row>
    <row r="1831" spans="2:8" ht="18" customHeight="1" x14ac:dyDescent="0.3">
      <c r="B1831" s="26"/>
      <c r="C1831" s="27"/>
      <c r="D1831" s="28"/>
      <c r="E1831" s="36"/>
      <c r="F1831" s="36"/>
      <c r="G1831" s="30" t="str">
        <f t="shared" si="26"/>
        <v/>
      </c>
      <c r="H1831" s="37"/>
    </row>
    <row r="1832" spans="2:8" ht="18" customHeight="1" x14ac:dyDescent="0.3">
      <c r="B1832" s="26"/>
      <c r="C1832" s="27"/>
      <c r="D1832" s="17"/>
      <c r="E1832" s="38"/>
      <c r="F1832" s="38"/>
      <c r="G1832" s="30" t="str">
        <f t="shared" si="26"/>
        <v/>
      </c>
      <c r="H1832" s="39"/>
    </row>
    <row r="1833" spans="2:8" ht="18" customHeight="1" x14ac:dyDescent="0.3">
      <c r="B1833" s="26"/>
      <c r="C1833" s="27"/>
      <c r="D1833" s="28"/>
      <c r="E1833" s="36"/>
      <c r="F1833" s="36"/>
      <c r="G1833" s="30" t="str">
        <f t="shared" si="26"/>
        <v/>
      </c>
      <c r="H1833" s="37"/>
    </row>
    <row r="1834" spans="2:8" ht="18" customHeight="1" x14ac:dyDescent="0.3">
      <c r="B1834" s="26"/>
      <c r="C1834" s="27"/>
      <c r="D1834" s="17"/>
      <c r="E1834" s="38"/>
      <c r="F1834" s="38"/>
      <c r="G1834" s="30" t="str">
        <f t="shared" si="26"/>
        <v/>
      </c>
      <c r="H1834" s="39"/>
    </row>
    <row r="1835" spans="2:8" ht="18" customHeight="1" x14ac:dyDescent="0.3">
      <c r="B1835" s="26"/>
      <c r="C1835" s="27"/>
      <c r="D1835" s="28"/>
      <c r="E1835" s="36"/>
      <c r="F1835" s="36"/>
      <c r="G1835" s="30" t="str">
        <f t="shared" si="26"/>
        <v/>
      </c>
      <c r="H1835" s="37"/>
    </row>
    <row r="1836" spans="2:8" ht="18" customHeight="1" x14ac:dyDescent="0.3">
      <c r="B1836" s="26"/>
      <c r="C1836" s="27"/>
      <c r="D1836" s="17"/>
      <c r="E1836" s="38"/>
      <c r="F1836" s="38"/>
      <c r="G1836" s="30" t="str">
        <f t="shared" si="26"/>
        <v/>
      </c>
      <c r="H1836" s="39"/>
    </row>
    <row r="1837" spans="2:8" ht="18" customHeight="1" x14ac:dyDescent="0.3">
      <c r="B1837" s="26"/>
      <c r="C1837" s="27"/>
      <c r="D1837" s="28"/>
      <c r="E1837" s="36"/>
      <c r="F1837" s="36"/>
      <c r="G1837" s="30" t="str">
        <f t="shared" si="26"/>
        <v/>
      </c>
      <c r="H1837" s="37"/>
    </row>
    <row r="1838" spans="2:8" ht="18" customHeight="1" x14ac:dyDescent="0.3">
      <c r="B1838" s="26"/>
      <c r="C1838" s="27"/>
      <c r="D1838" s="17"/>
      <c r="E1838" s="38"/>
      <c r="F1838" s="38"/>
      <c r="G1838" s="30" t="str">
        <f t="shared" si="26"/>
        <v/>
      </c>
      <c r="H1838" s="39"/>
    </row>
    <row r="1839" spans="2:8" ht="18" customHeight="1" x14ac:dyDescent="0.3">
      <c r="B1839" s="26"/>
      <c r="C1839" s="27"/>
      <c r="D1839" s="28"/>
      <c r="E1839" s="36"/>
      <c r="F1839" s="36"/>
      <c r="G1839" s="30" t="str">
        <f t="shared" si="26"/>
        <v/>
      </c>
      <c r="H1839" s="37"/>
    </row>
    <row r="1840" spans="2:8" ht="18" customHeight="1" x14ac:dyDescent="0.3">
      <c r="B1840" s="26"/>
      <c r="C1840" s="27"/>
      <c r="D1840" s="17"/>
      <c r="E1840" s="38"/>
      <c r="F1840" s="38"/>
      <c r="G1840" s="30" t="str">
        <f t="shared" si="26"/>
        <v/>
      </c>
      <c r="H1840" s="39"/>
    </row>
    <row r="1841" spans="2:8" ht="18" customHeight="1" x14ac:dyDescent="0.3">
      <c r="B1841" s="26"/>
      <c r="C1841" s="27"/>
      <c r="D1841" s="28"/>
      <c r="E1841" s="36"/>
      <c r="F1841" s="36"/>
      <c r="G1841" s="30" t="str">
        <f t="shared" si="26"/>
        <v/>
      </c>
      <c r="H1841" s="37"/>
    </row>
    <row r="1842" spans="2:8" ht="18" customHeight="1" x14ac:dyDescent="0.3">
      <c r="B1842" s="26"/>
      <c r="C1842" s="27"/>
      <c r="D1842" s="17"/>
      <c r="E1842" s="38"/>
      <c r="F1842" s="38"/>
      <c r="G1842" s="30" t="str">
        <f t="shared" si="26"/>
        <v/>
      </c>
      <c r="H1842" s="39"/>
    </row>
    <row r="1843" spans="2:8" ht="18" customHeight="1" x14ac:dyDescent="0.3">
      <c r="B1843" s="26"/>
      <c r="C1843" s="27"/>
      <c r="D1843" s="28"/>
      <c r="E1843" s="36"/>
      <c r="F1843" s="36"/>
      <c r="G1843" s="30" t="str">
        <f t="shared" si="26"/>
        <v/>
      </c>
      <c r="H1843" s="37"/>
    </row>
    <row r="1844" spans="2:8" ht="18" customHeight="1" x14ac:dyDescent="0.3">
      <c r="B1844" s="26"/>
      <c r="C1844" s="27"/>
      <c r="D1844" s="17"/>
      <c r="E1844" s="38"/>
      <c r="F1844" s="38"/>
      <c r="G1844" s="30" t="str">
        <f t="shared" si="26"/>
        <v/>
      </c>
      <c r="H1844" s="39"/>
    </row>
    <row r="1845" spans="2:8" ht="18" customHeight="1" x14ac:dyDescent="0.3">
      <c r="B1845" s="26"/>
      <c r="C1845" s="27"/>
      <c r="D1845" s="28"/>
      <c r="E1845" s="36"/>
      <c r="F1845" s="36"/>
      <c r="G1845" s="30" t="str">
        <f t="shared" si="26"/>
        <v/>
      </c>
      <c r="H1845" s="37"/>
    </row>
    <row r="1846" spans="2:8" ht="18" customHeight="1" x14ac:dyDescent="0.3">
      <c r="B1846" s="26"/>
      <c r="C1846" s="27"/>
      <c r="D1846" s="17"/>
      <c r="E1846" s="38"/>
      <c r="F1846" s="38"/>
      <c r="G1846" s="30" t="str">
        <f t="shared" si="26"/>
        <v/>
      </c>
      <c r="H1846" s="39"/>
    </row>
    <row r="1847" spans="2:8" ht="18" customHeight="1" x14ac:dyDescent="0.3">
      <c r="B1847" s="26"/>
      <c r="C1847" s="27"/>
      <c r="D1847" s="28"/>
      <c r="E1847" s="36"/>
      <c r="F1847" s="36"/>
      <c r="G1847" s="30" t="str">
        <f t="shared" si="26"/>
        <v/>
      </c>
      <c r="H1847" s="37"/>
    </row>
    <row r="1848" spans="2:8" ht="18" customHeight="1" x14ac:dyDescent="0.3">
      <c r="B1848" s="26"/>
      <c r="C1848" s="27"/>
      <c r="D1848" s="17"/>
      <c r="E1848" s="38"/>
      <c r="F1848" s="38"/>
      <c r="G1848" s="30" t="str">
        <f t="shared" si="26"/>
        <v/>
      </c>
      <c r="H1848" s="39"/>
    </row>
    <row r="1849" spans="2:8" ht="18" customHeight="1" x14ac:dyDescent="0.3">
      <c r="B1849" s="26"/>
      <c r="C1849" s="27"/>
      <c r="D1849" s="28"/>
      <c r="E1849" s="36"/>
      <c r="F1849" s="36"/>
      <c r="G1849" s="30" t="str">
        <f t="shared" si="26"/>
        <v/>
      </c>
      <c r="H1849" s="37"/>
    </row>
    <row r="1850" spans="2:8" ht="18" customHeight="1" x14ac:dyDescent="0.3">
      <c r="B1850" s="26"/>
      <c r="C1850" s="27"/>
      <c r="D1850" s="17"/>
      <c r="E1850" s="38"/>
      <c r="F1850" s="38"/>
      <c r="G1850" s="30" t="str">
        <f t="shared" si="26"/>
        <v/>
      </c>
      <c r="H1850" s="39"/>
    </row>
    <row r="1851" spans="2:8" ht="18" customHeight="1" x14ac:dyDescent="0.3">
      <c r="B1851" s="26"/>
      <c r="C1851" s="27"/>
      <c r="D1851" s="28"/>
      <c r="E1851" s="36"/>
      <c r="F1851" s="36"/>
      <c r="G1851" s="30" t="str">
        <f t="shared" si="26"/>
        <v/>
      </c>
      <c r="H1851" s="37"/>
    </row>
    <row r="1852" spans="2:8" ht="18" customHeight="1" x14ac:dyDescent="0.3">
      <c r="B1852" s="26"/>
      <c r="C1852" s="27"/>
      <c r="D1852" s="17"/>
      <c r="E1852" s="38"/>
      <c r="F1852" s="38"/>
      <c r="G1852" s="30" t="str">
        <f t="shared" si="26"/>
        <v/>
      </c>
      <c r="H1852" s="39"/>
    </row>
    <row r="1853" spans="2:8" ht="18" customHeight="1" x14ac:dyDescent="0.3">
      <c r="B1853" s="26"/>
      <c r="C1853" s="27"/>
      <c r="D1853" s="28"/>
      <c r="E1853" s="36"/>
      <c r="F1853" s="36"/>
      <c r="G1853" s="30" t="str">
        <f t="shared" si="26"/>
        <v/>
      </c>
      <c r="H1853" s="37"/>
    </row>
    <row r="1854" spans="2:8" ht="18" customHeight="1" x14ac:dyDescent="0.3">
      <c r="B1854" s="26"/>
      <c r="C1854" s="27"/>
      <c r="D1854" s="17"/>
      <c r="E1854" s="38"/>
      <c r="F1854" s="38"/>
      <c r="G1854" s="30" t="str">
        <f t="shared" si="26"/>
        <v/>
      </c>
      <c r="H1854" s="39"/>
    </row>
    <row r="1855" spans="2:8" ht="18" customHeight="1" x14ac:dyDescent="0.3">
      <c r="B1855" s="26"/>
      <c r="C1855" s="27"/>
      <c r="D1855" s="28"/>
      <c r="E1855" s="36"/>
      <c r="F1855" s="36"/>
      <c r="G1855" s="30" t="str">
        <f t="shared" si="26"/>
        <v/>
      </c>
      <c r="H1855" s="37"/>
    </row>
    <row r="1856" spans="2:8" ht="18" customHeight="1" x14ac:dyDescent="0.3">
      <c r="B1856" s="26"/>
      <c r="C1856" s="27"/>
      <c r="D1856" s="17"/>
      <c r="E1856" s="38"/>
      <c r="F1856" s="38"/>
      <c r="G1856" s="30" t="str">
        <f t="shared" si="26"/>
        <v/>
      </c>
      <c r="H1856" s="39"/>
    </row>
    <row r="1857" spans="2:8" ht="18" customHeight="1" x14ac:dyDescent="0.3">
      <c r="B1857" s="26"/>
      <c r="C1857" s="27"/>
      <c r="D1857" s="28"/>
      <c r="E1857" s="36"/>
      <c r="F1857" s="36"/>
      <c r="G1857" s="30" t="str">
        <f t="shared" si="26"/>
        <v/>
      </c>
      <c r="H1857" s="37"/>
    </row>
    <row r="1858" spans="2:8" ht="18" customHeight="1" x14ac:dyDescent="0.3">
      <c r="B1858" s="26"/>
      <c r="C1858" s="27"/>
      <c r="D1858" s="17"/>
      <c r="E1858" s="38"/>
      <c r="F1858" s="38"/>
      <c r="G1858" s="30" t="str">
        <f t="shared" si="26"/>
        <v/>
      </c>
      <c r="H1858" s="39"/>
    </row>
    <row r="1859" spans="2:8" ht="18" customHeight="1" x14ac:dyDescent="0.3">
      <c r="B1859" s="26"/>
      <c r="C1859" s="27"/>
      <c r="D1859" s="28"/>
      <c r="E1859" s="36"/>
      <c r="F1859" s="36"/>
      <c r="G1859" s="30" t="str">
        <f t="shared" si="26"/>
        <v/>
      </c>
      <c r="H1859" s="37"/>
    </row>
    <row r="1860" spans="2:8" ht="18" customHeight="1" x14ac:dyDescent="0.3">
      <c r="B1860" s="26"/>
      <c r="C1860" s="27"/>
      <c r="D1860" s="17"/>
      <c r="E1860" s="38"/>
      <c r="F1860" s="38"/>
      <c r="G1860" s="30" t="str">
        <f t="shared" si="26"/>
        <v/>
      </c>
      <c r="H1860" s="39"/>
    </row>
    <row r="1861" spans="2:8" ht="18" customHeight="1" x14ac:dyDescent="0.3">
      <c r="B1861" s="26"/>
      <c r="C1861" s="27"/>
      <c r="D1861" s="28"/>
      <c r="E1861" s="36"/>
      <c r="F1861" s="36"/>
      <c r="G1861" s="30" t="str">
        <f t="shared" ref="G1861:G1924" si="27">IF(OR(B1861="",E1861=""),"",IF(E1861="08:00",8,IF(E1861="07:00",8,7)))</f>
        <v/>
      </c>
      <c r="H1861" s="37"/>
    </row>
    <row r="1862" spans="2:8" ht="18" customHeight="1" x14ac:dyDescent="0.3">
      <c r="B1862" s="26"/>
      <c r="C1862" s="27"/>
      <c r="D1862" s="17"/>
      <c r="E1862" s="38"/>
      <c r="F1862" s="38"/>
      <c r="G1862" s="30" t="str">
        <f t="shared" si="27"/>
        <v/>
      </c>
      <c r="H1862" s="39"/>
    </row>
    <row r="1863" spans="2:8" ht="18" customHeight="1" x14ac:dyDescent="0.3">
      <c r="B1863" s="26"/>
      <c r="C1863" s="27"/>
      <c r="D1863" s="28"/>
      <c r="E1863" s="36"/>
      <c r="F1863" s="36"/>
      <c r="G1863" s="30" t="str">
        <f t="shared" si="27"/>
        <v/>
      </c>
      <c r="H1863" s="37"/>
    </row>
    <row r="1864" spans="2:8" ht="18" customHeight="1" x14ac:dyDescent="0.3">
      <c r="B1864" s="26"/>
      <c r="C1864" s="27"/>
      <c r="D1864" s="17"/>
      <c r="E1864" s="38"/>
      <c r="F1864" s="38"/>
      <c r="G1864" s="30" t="str">
        <f t="shared" si="27"/>
        <v/>
      </c>
      <c r="H1864" s="39"/>
    </row>
    <row r="1865" spans="2:8" ht="18" customHeight="1" x14ac:dyDescent="0.3">
      <c r="B1865" s="26"/>
      <c r="C1865" s="27"/>
      <c r="D1865" s="28"/>
      <c r="E1865" s="36"/>
      <c r="F1865" s="36"/>
      <c r="G1865" s="30" t="str">
        <f t="shared" si="27"/>
        <v/>
      </c>
      <c r="H1865" s="37"/>
    </row>
    <row r="1866" spans="2:8" ht="18" customHeight="1" x14ac:dyDescent="0.3">
      <c r="B1866" s="26"/>
      <c r="C1866" s="27"/>
      <c r="D1866" s="17"/>
      <c r="E1866" s="38"/>
      <c r="F1866" s="38"/>
      <c r="G1866" s="30" t="str">
        <f t="shared" si="27"/>
        <v/>
      </c>
      <c r="H1866" s="39"/>
    </row>
    <row r="1867" spans="2:8" ht="18" customHeight="1" x14ac:dyDescent="0.3">
      <c r="B1867" s="26"/>
      <c r="C1867" s="27"/>
      <c r="D1867" s="28"/>
      <c r="E1867" s="36"/>
      <c r="F1867" s="36"/>
      <c r="G1867" s="30" t="str">
        <f t="shared" si="27"/>
        <v/>
      </c>
      <c r="H1867" s="37"/>
    </row>
    <row r="1868" spans="2:8" ht="18" customHeight="1" x14ac:dyDescent="0.3">
      <c r="B1868" s="26"/>
      <c r="C1868" s="27"/>
      <c r="D1868" s="17"/>
      <c r="E1868" s="38"/>
      <c r="F1868" s="38"/>
      <c r="G1868" s="30" t="str">
        <f t="shared" si="27"/>
        <v/>
      </c>
      <c r="H1868" s="39"/>
    </row>
    <row r="1869" spans="2:8" ht="18" customHeight="1" x14ac:dyDescent="0.3">
      <c r="B1869" s="26"/>
      <c r="C1869" s="27"/>
      <c r="D1869" s="28"/>
      <c r="E1869" s="36"/>
      <c r="F1869" s="36"/>
      <c r="G1869" s="30" t="str">
        <f t="shared" si="27"/>
        <v/>
      </c>
      <c r="H1869" s="37"/>
    </row>
    <row r="1870" spans="2:8" ht="18" customHeight="1" x14ac:dyDescent="0.3">
      <c r="B1870" s="26"/>
      <c r="C1870" s="27"/>
      <c r="D1870" s="17"/>
      <c r="E1870" s="38"/>
      <c r="F1870" s="38"/>
      <c r="G1870" s="30" t="str">
        <f t="shared" si="27"/>
        <v/>
      </c>
      <c r="H1870" s="39"/>
    </row>
    <row r="1871" spans="2:8" ht="18" customHeight="1" x14ac:dyDescent="0.3">
      <c r="B1871" s="26"/>
      <c r="C1871" s="27"/>
      <c r="D1871" s="28"/>
      <c r="E1871" s="36"/>
      <c r="F1871" s="36"/>
      <c r="G1871" s="30" t="str">
        <f t="shared" si="27"/>
        <v/>
      </c>
      <c r="H1871" s="37"/>
    </row>
    <row r="1872" spans="2:8" ht="18" customHeight="1" x14ac:dyDescent="0.3">
      <c r="B1872" s="26"/>
      <c r="C1872" s="27"/>
      <c r="D1872" s="17"/>
      <c r="E1872" s="38"/>
      <c r="F1872" s="38"/>
      <c r="G1872" s="30" t="str">
        <f t="shared" si="27"/>
        <v/>
      </c>
      <c r="H1872" s="39"/>
    </row>
    <row r="1873" spans="2:8" ht="18" customHeight="1" x14ac:dyDescent="0.3">
      <c r="B1873" s="26"/>
      <c r="C1873" s="27"/>
      <c r="D1873" s="28"/>
      <c r="E1873" s="36"/>
      <c r="F1873" s="36"/>
      <c r="G1873" s="30" t="str">
        <f t="shared" si="27"/>
        <v/>
      </c>
      <c r="H1873" s="37"/>
    </row>
    <row r="1874" spans="2:8" ht="18" customHeight="1" x14ac:dyDescent="0.3">
      <c r="B1874" s="26"/>
      <c r="C1874" s="27"/>
      <c r="D1874" s="17"/>
      <c r="E1874" s="38"/>
      <c r="F1874" s="38"/>
      <c r="G1874" s="30" t="str">
        <f t="shared" si="27"/>
        <v/>
      </c>
      <c r="H1874" s="39"/>
    </row>
    <row r="1875" spans="2:8" ht="18" customHeight="1" x14ac:dyDescent="0.3">
      <c r="B1875" s="26"/>
      <c r="C1875" s="27"/>
      <c r="D1875" s="28"/>
      <c r="E1875" s="36"/>
      <c r="F1875" s="36"/>
      <c r="G1875" s="30" t="str">
        <f t="shared" si="27"/>
        <v/>
      </c>
      <c r="H1875" s="37"/>
    </row>
    <row r="1876" spans="2:8" ht="18" customHeight="1" x14ac:dyDescent="0.3">
      <c r="B1876" s="26"/>
      <c r="C1876" s="27"/>
      <c r="D1876" s="17"/>
      <c r="E1876" s="38"/>
      <c r="F1876" s="38"/>
      <c r="G1876" s="30" t="str">
        <f t="shared" si="27"/>
        <v/>
      </c>
      <c r="H1876" s="39"/>
    </row>
    <row r="1877" spans="2:8" ht="18" customHeight="1" x14ac:dyDescent="0.3">
      <c r="B1877" s="26"/>
      <c r="C1877" s="27"/>
      <c r="D1877" s="28"/>
      <c r="E1877" s="36"/>
      <c r="F1877" s="36"/>
      <c r="G1877" s="30" t="str">
        <f t="shared" si="27"/>
        <v/>
      </c>
      <c r="H1877" s="37"/>
    </row>
    <row r="1878" spans="2:8" ht="18" customHeight="1" x14ac:dyDescent="0.3">
      <c r="B1878" s="26"/>
      <c r="C1878" s="27"/>
      <c r="D1878" s="17"/>
      <c r="E1878" s="38"/>
      <c r="F1878" s="38"/>
      <c r="G1878" s="30" t="str">
        <f t="shared" si="27"/>
        <v/>
      </c>
      <c r="H1878" s="39"/>
    </row>
    <row r="1879" spans="2:8" ht="18" customHeight="1" x14ac:dyDescent="0.3">
      <c r="B1879" s="26"/>
      <c r="C1879" s="27"/>
      <c r="D1879" s="28"/>
      <c r="E1879" s="36"/>
      <c r="F1879" s="36"/>
      <c r="G1879" s="30" t="str">
        <f t="shared" si="27"/>
        <v/>
      </c>
      <c r="H1879" s="37"/>
    </row>
    <row r="1880" spans="2:8" ht="18" customHeight="1" x14ac:dyDescent="0.3">
      <c r="B1880" s="26"/>
      <c r="C1880" s="27"/>
      <c r="D1880" s="17"/>
      <c r="E1880" s="38"/>
      <c r="F1880" s="38"/>
      <c r="G1880" s="30" t="str">
        <f t="shared" si="27"/>
        <v/>
      </c>
      <c r="H1880" s="39"/>
    </row>
    <row r="1881" spans="2:8" ht="18" customHeight="1" x14ac:dyDescent="0.3">
      <c r="B1881" s="26"/>
      <c r="C1881" s="27"/>
      <c r="D1881" s="28"/>
      <c r="E1881" s="36"/>
      <c r="F1881" s="36"/>
      <c r="G1881" s="30" t="str">
        <f t="shared" si="27"/>
        <v/>
      </c>
      <c r="H1881" s="37"/>
    </row>
    <row r="1882" spans="2:8" ht="18" customHeight="1" x14ac:dyDescent="0.3">
      <c r="B1882" s="26"/>
      <c r="C1882" s="27"/>
      <c r="D1882" s="17"/>
      <c r="E1882" s="38"/>
      <c r="F1882" s="38"/>
      <c r="G1882" s="30" t="str">
        <f t="shared" si="27"/>
        <v/>
      </c>
      <c r="H1882" s="39"/>
    </row>
    <row r="1883" spans="2:8" ht="18" customHeight="1" x14ac:dyDescent="0.3">
      <c r="B1883" s="26"/>
      <c r="C1883" s="27"/>
      <c r="D1883" s="28"/>
      <c r="E1883" s="36"/>
      <c r="F1883" s="36"/>
      <c r="G1883" s="30" t="str">
        <f t="shared" si="27"/>
        <v/>
      </c>
      <c r="H1883" s="37"/>
    </row>
    <row r="1884" spans="2:8" ht="18" customHeight="1" x14ac:dyDescent="0.3">
      <c r="B1884" s="26"/>
      <c r="C1884" s="27"/>
      <c r="D1884" s="17"/>
      <c r="E1884" s="38"/>
      <c r="F1884" s="38"/>
      <c r="G1884" s="30" t="str">
        <f t="shared" si="27"/>
        <v/>
      </c>
      <c r="H1884" s="39"/>
    </row>
    <row r="1885" spans="2:8" ht="18" customHeight="1" x14ac:dyDescent="0.3">
      <c r="B1885" s="26"/>
      <c r="C1885" s="27"/>
      <c r="D1885" s="28"/>
      <c r="E1885" s="36"/>
      <c r="F1885" s="36"/>
      <c r="G1885" s="30" t="str">
        <f t="shared" si="27"/>
        <v/>
      </c>
      <c r="H1885" s="37"/>
    </row>
    <row r="1886" spans="2:8" ht="18" customHeight="1" x14ac:dyDescent="0.3">
      <c r="B1886" s="26"/>
      <c r="C1886" s="27"/>
      <c r="D1886" s="17"/>
      <c r="E1886" s="38"/>
      <c r="F1886" s="38"/>
      <c r="G1886" s="30" t="str">
        <f t="shared" si="27"/>
        <v/>
      </c>
      <c r="H1886" s="39"/>
    </row>
    <row r="1887" spans="2:8" ht="18" customHeight="1" x14ac:dyDescent="0.3">
      <c r="B1887" s="26"/>
      <c r="C1887" s="27"/>
      <c r="D1887" s="28"/>
      <c r="E1887" s="36"/>
      <c r="F1887" s="36"/>
      <c r="G1887" s="30" t="str">
        <f t="shared" si="27"/>
        <v/>
      </c>
      <c r="H1887" s="37"/>
    </row>
    <row r="1888" spans="2:8" ht="18" customHeight="1" x14ac:dyDescent="0.3">
      <c r="B1888" s="26"/>
      <c r="C1888" s="27"/>
      <c r="D1888" s="17"/>
      <c r="E1888" s="38"/>
      <c r="F1888" s="38"/>
      <c r="G1888" s="30" t="str">
        <f t="shared" si="27"/>
        <v/>
      </c>
      <c r="H1888" s="39"/>
    </row>
    <row r="1889" spans="2:8" ht="18" customHeight="1" x14ac:dyDescent="0.3">
      <c r="B1889" s="26"/>
      <c r="C1889" s="27"/>
      <c r="D1889" s="28"/>
      <c r="E1889" s="36"/>
      <c r="F1889" s="36"/>
      <c r="G1889" s="30" t="str">
        <f t="shared" si="27"/>
        <v/>
      </c>
      <c r="H1889" s="37"/>
    </row>
    <row r="1890" spans="2:8" ht="18" customHeight="1" x14ac:dyDescent="0.3">
      <c r="B1890" s="26"/>
      <c r="C1890" s="27"/>
      <c r="D1890" s="17"/>
      <c r="E1890" s="38"/>
      <c r="F1890" s="38"/>
      <c r="G1890" s="30" t="str">
        <f t="shared" si="27"/>
        <v/>
      </c>
      <c r="H1890" s="39"/>
    </row>
    <row r="1891" spans="2:8" ht="18" customHeight="1" x14ac:dyDescent="0.3">
      <c r="B1891" s="26"/>
      <c r="C1891" s="27"/>
      <c r="D1891" s="28"/>
      <c r="E1891" s="36"/>
      <c r="F1891" s="36"/>
      <c r="G1891" s="30" t="str">
        <f t="shared" si="27"/>
        <v/>
      </c>
      <c r="H1891" s="37"/>
    </row>
    <row r="1892" spans="2:8" ht="18" customHeight="1" x14ac:dyDescent="0.3">
      <c r="B1892" s="26"/>
      <c r="C1892" s="27"/>
      <c r="D1892" s="17"/>
      <c r="E1892" s="38"/>
      <c r="F1892" s="38"/>
      <c r="G1892" s="30" t="str">
        <f t="shared" si="27"/>
        <v/>
      </c>
      <c r="H1892" s="39"/>
    </row>
    <row r="1893" spans="2:8" ht="18" customHeight="1" x14ac:dyDescent="0.3">
      <c r="B1893" s="26"/>
      <c r="C1893" s="27"/>
      <c r="D1893" s="28"/>
      <c r="E1893" s="36"/>
      <c r="F1893" s="36"/>
      <c r="G1893" s="30" t="str">
        <f t="shared" si="27"/>
        <v/>
      </c>
      <c r="H1893" s="37"/>
    </row>
    <row r="1894" spans="2:8" ht="18" customHeight="1" x14ac:dyDescent="0.3">
      <c r="B1894" s="26"/>
      <c r="C1894" s="27"/>
      <c r="D1894" s="17"/>
      <c r="E1894" s="38"/>
      <c r="F1894" s="38"/>
      <c r="G1894" s="30" t="str">
        <f t="shared" si="27"/>
        <v/>
      </c>
      <c r="H1894" s="39"/>
    </row>
    <row r="1895" spans="2:8" ht="18" customHeight="1" x14ac:dyDescent="0.3">
      <c r="B1895" s="26"/>
      <c r="C1895" s="27"/>
      <c r="D1895" s="28"/>
      <c r="E1895" s="36"/>
      <c r="F1895" s="36"/>
      <c r="G1895" s="30" t="str">
        <f t="shared" si="27"/>
        <v/>
      </c>
      <c r="H1895" s="37"/>
    </row>
    <row r="1896" spans="2:8" ht="18" customHeight="1" x14ac:dyDescent="0.3">
      <c r="B1896" s="26"/>
      <c r="C1896" s="27"/>
      <c r="D1896" s="17"/>
      <c r="E1896" s="38"/>
      <c r="F1896" s="38"/>
      <c r="G1896" s="30" t="str">
        <f t="shared" si="27"/>
        <v/>
      </c>
      <c r="H1896" s="39"/>
    </row>
    <row r="1897" spans="2:8" ht="18" customHeight="1" x14ac:dyDescent="0.3">
      <c r="B1897" s="26"/>
      <c r="C1897" s="27"/>
      <c r="D1897" s="28"/>
      <c r="E1897" s="36"/>
      <c r="F1897" s="36"/>
      <c r="G1897" s="30" t="str">
        <f t="shared" si="27"/>
        <v/>
      </c>
      <c r="H1897" s="37"/>
    </row>
    <row r="1898" spans="2:8" ht="18" customHeight="1" x14ac:dyDescent="0.3">
      <c r="B1898" s="26"/>
      <c r="C1898" s="27"/>
      <c r="D1898" s="17"/>
      <c r="E1898" s="38"/>
      <c r="F1898" s="38"/>
      <c r="G1898" s="30" t="str">
        <f t="shared" si="27"/>
        <v/>
      </c>
      <c r="H1898" s="39"/>
    </row>
    <row r="1899" spans="2:8" ht="18" customHeight="1" x14ac:dyDescent="0.3">
      <c r="B1899" s="26"/>
      <c r="C1899" s="27"/>
      <c r="D1899" s="28"/>
      <c r="E1899" s="36"/>
      <c r="F1899" s="36"/>
      <c r="G1899" s="30" t="str">
        <f t="shared" si="27"/>
        <v/>
      </c>
      <c r="H1899" s="37"/>
    </row>
    <row r="1900" spans="2:8" ht="18" customHeight="1" x14ac:dyDescent="0.3">
      <c r="B1900" s="26"/>
      <c r="C1900" s="27"/>
      <c r="D1900" s="17"/>
      <c r="E1900" s="38"/>
      <c r="F1900" s="38"/>
      <c r="G1900" s="30" t="str">
        <f t="shared" si="27"/>
        <v/>
      </c>
      <c r="H1900" s="39"/>
    </row>
    <row r="1901" spans="2:8" ht="18" customHeight="1" x14ac:dyDescent="0.3">
      <c r="B1901" s="26"/>
      <c r="C1901" s="27"/>
      <c r="D1901" s="28"/>
      <c r="E1901" s="36"/>
      <c r="F1901" s="36"/>
      <c r="G1901" s="30" t="str">
        <f t="shared" si="27"/>
        <v/>
      </c>
      <c r="H1901" s="37"/>
    </row>
    <row r="1902" spans="2:8" ht="18" customHeight="1" x14ac:dyDescent="0.3">
      <c r="B1902" s="26"/>
      <c r="C1902" s="27"/>
      <c r="D1902" s="17"/>
      <c r="E1902" s="38"/>
      <c r="F1902" s="38"/>
      <c r="G1902" s="30" t="str">
        <f t="shared" si="27"/>
        <v/>
      </c>
      <c r="H1902" s="39"/>
    </row>
    <row r="1903" spans="2:8" ht="18" customHeight="1" x14ac:dyDescent="0.3">
      <c r="B1903" s="26"/>
      <c r="C1903" s="27"/>
      <c r="D1903" s="28"/>
      <c r="E1903" s="36"/>
      <c r="F1903" s="36"/>
      <c r="G1903" s="30" t="str">
        <f t="shared" si="27"/>
        <v/>
      </c>
      <c r="H1903" s="37"/>
    </row>
    <row r="1904" spans="2:8" ht="18" customHeight="1" x14ac:dyDescent="0.3">
      <c r="B1904" s="26"/>
      <c r="C1904" s="27"/>
      <c r="D1904" s="17"/>
      <c r="E1904" s="38"/>
      <c r="F1904" s="38"/>
      <c r="G1904" s="30" t="str">
        <f t="shared" si="27"/>
        <v/>
      </c>
      <c r="H1904" s="39"/>
    </row>
    <row r="1905" spans="2:8" ht="18" customHeight="1" x14ac:dyDescent="0.3">
      <c r="B1905" s="26"/>
      <c r="C1905" s="27"/>
      <c r="D1905" s="28"/>
      <c r="E1905" s="36"/>
      <c r="F1905" s="36"/>
      <c r="G1905" s="30" t="str">
        <f t="shared" si="27"/>
        <v/>
      </c>
      <c r="H1905" s="37"/>
    </row>
    <row r="1906" spans="2:8" ht="18" customHeight="1" x14ac:dyDescent="0.3">
      <c r="B1906" s="26"/>
      <c r="C1906" s="27"/>
      <c r="D1906" s="17"/>
      <c r="E1906" s="38"/>
      <c r="F1906" s="38"/>
      <c r="G1906" s="30" t="str">
        <f t="shared" si="27"/>
        <v/>
      </c>
      <c r="H1906" s="39"/>
    </row>
    <row r="1907" spans="2:8" ht="18" customHeight="1" x14ac:dyDescent="0.3">
      <c r="B1907" s="26"/>
      <c r="C1907" s="27"/>
      <c r="D1907" s="28"/>
      <c r="E1907" s="36"/>
      <c r="F1907" s="36"/>
      <c r="G1907" s="30" t="str">
        <f t="shared" si="27"/>
        <v/>
      </c>
      <c r="H1907" s="37"/>
    </row>
    <row r="1908" spans="2:8" ht="18" customHeight="1" x14ac:dyDescent="0.3">
      <c r="B1908" s="26"/>
      <c r="C1908" s="27"/>
      <c r="D1908" s="17"/>
      <c r="E1908" s="38"/>
      <c r="F1908" s="38"/>
      <c r="G1908" s="30" t="str">
        <f t="shared" si="27"/>
        <v/>
      </c>
      <c r="H1908" s="39"/>
    </row>
    <row r="1909" spans="2:8" ht="18" customHeight="1" x14ac:dyDescent="0.3">
      <c r="B1909" s="26"/>
      <c r="C1909" s="27"/>
      <c r="D1909" s="28"/>
      <c r="E1909" s="36"/>
      <c r="F1909" s="36"/>
      <c r="G1909" s="30" t="str">
        <f t="shared" si="27"/>
        <v/>
      </c>
      <c r="H1909" s="37"/>
    </row>
    <row r="1910" spans="2:8" ht="18" customHeight="1" x14ac:dyDescent="0.3">
      <c r="B1910" s="26"/>
      <c r="C1910" s="27"/>
      <c r="D1910" s="17"/>
      <c r="E1910" s="38"/>
      <c r="F1910" s="38"/>
      <c r="G1910" s="30" t="str">
        <f t="shared" si="27"/>
        <v/>
      </c>
      <c r="H1910" s="39"/>
    </row>
    <row r="1911" spans="2:8" ht="18" customHeight="1" x14ac:dyDescent="0.3">
      <c r="B1911" s="26"/>
      <c r="C1911" s="27"/>
      <c r="D1911" s="28"/>
      <c r="E1911" s="36"/>
      <c r="F1911" s="36"/>
      <c r="G1911" s="30" t="str">
        <f t="shared" si="27"/>
        <v/>
      </c>
      <c r="H1911" s="37"/>
    </row>
    <row r="1912" spans="2:8" ht="18" customHeight="1" x14ac:dyDescent="0.3">
      <c r="B1912" s="26"/>
      <c r="C1912" s="27"/>
      <c r="D1912" s="17"/>
      <c r="E1912" s="38"/>
      <c r="F1912" s="38"/>
      <c r="G1912" s="30" t="str">
        <f t="shared" si="27"/>
        <v/>
      </c>
      <c r="H1912" s="39"/>
    </row>
    <row r="1913" spans="2:8" ht="18" customHeight="1" x14ac:dyDescent="0.3">
      <c r="B1913" s="26"/>
      <c r="C1913" s="27"/>
      <c r="D1913" s="28"/>
      <c r="E1913" s="36"/>
      <c r="F1913" s="36"/>
      <c r="G1913" s="30" t="str">
        <f t="shared" si="27"/>
        <v/>
      </c>
      <c r="H1913" s="37"/>
    </row>
    <row r="1914" spans="2:8" ht="18" customHeight="1" x14ac:dyDescent="0.3">
      <c r="B1914" s="26"/>
      <c r="C1914" s="27"/>
      <c r="D1914" s="17"/>
      <c r="E1914" s="38"/>
      <c r="F1914" s="38"/>
      <c r="G1914" s="30" t="str">
        <f t="shared" si="27"/>
        <v/>
      </c>
      <c r="H1914" s="39"/>
    </row>
    <row r="1915" spans="2:8" ht="18" customHeight="1" x14ac:dyDescent="0.3">
      <c r="B1915" s="26"/>
      <c r="C1915" s="27"/>
      <c r="D1915" s="28"/>
      <c r="E1915" s="36"/>
      <c r="F1915" s="36"/>
      <c r="G1915" s="30" t="str">
        <f t="shared" si="27"/>
        <v/>
      </c>
      <c r="H1915" s="37"/>
    </row>
    <row r="1916" spans="2:8" ht="18" customHeight="1" x14ac:dyDescent="0.3">
      <c r="B1916" s="26"/>
      <c r="C1916" s="27"/>
      <c r="D1916" s="17"/>
      <c r="E1916" s="38"/>
      <c r="F1916" s="38"/>
      <c r="G1916" s="30" t="str">
        <f t="shared" si="27"/>
        <v/>
      </c>
      <c r="H1916" s="39"/>
    </row>
    <row r="1917" spans="2:8" ht="18" customHeight="1" x14ac:dyDescent="0.3">
      <c r="B1917" s="26"/>
      <c r="C1917" s="27"/>
      <c r="D1917" s="28"/>
      <c r="E1917" s="36"/>
      <c r="F1917" s="36"/>
      <c r="G1917" s="30" t="str">
        <f t="shared" si="27"/>
        <v/>
      </c>
      <c r="H1917" s="37"/>
    </row>
    <row r="1918" spans="2:8" ht="18" customHeight="1" x14ac:dyDescent="0.3">
      <c r="B1918" s="26"/>
      <c r="C1918" s="27"/>
      <c r="D1918" s="17"/>
      <c r="E1918" s="38"/>
      <c r="F1918" s="38"/>
      <c r="G1918" s="30" t="str">
        <f t="shared" si="27"/>
        <v/>
      </c>
      <c r="H1918" s="39"/>
    </row>
    <row r="1919" spans="2:8" ht="18" customHeight="1" x14ac:dyDescent="0.3">
      <c r="B1919" s="26"/>
      <c r="C1919" s="27"/>
      <c r="D1919" s="28"/>
      <c r="E1919" s="36"/>
      <c r="F1919" s="36"/>
      <c r="G1919" s="30" t="str">
        <f t="shared" si="27"/>
        <v/>
      </c>
      <c r="H1919" s="37"/>
    </row>
    <row r="1920" spans="2:8" ht="18" customHeight="1" x14ac:dyDescent="0.3">
      <c r="B1920" s="26"/>
      <c r="C1920" s="27"/>
      <c r="D1920" s="17"/>
      <c r="E1920" s="38"/>
      <c r="F1920" s="38"/>
      <c r="G1920" s="30" t="str">
        <f t="shared" si="27"/>
        <v/>
      </c>
      <c r="H1920" s="39"/>
    </row>
    <row r="1921" spans="2:8" ht="18" customHeight="1" x14ac:dyDescent="0.3">
      <c r="B1921" s="26"/>
      <c r="C1921" s="27"/>
      <c r="D1921" s="28"/>
      <c r="E1921" s="36"/>
      <c r="F1921" s="36"/>
      <c r="G1921" s="30" t="str">
        <f t="shared" si="27"/>
        <v/>
      </c>
      <c r="H1921" s="37"/>
    </row>
    <row r="1922" spans="2:8" ht="18" customHeight="1" x14ac:dyDescent="0.3">
      <c r="B1922" s="26"/>
      <c r="C1922" s="27"/>
      <c r="D1922" s="17"/>
      <c r="E1922" s="38"/>
      <c r="F1922" s="38"/>
      <c r="G1922" s="30" t="str">
        <f t="shared" si="27"/>
        <v/>
      </c>
      <c r="H1922" s="39"/>
    </row>
    <row r="1923" spans="2:8" ht="18" customHeight="1" x14ac:dyDescent="0.3">
      <c r="B1923" s="26"/>
      <c r="C1923" s="27"/>
      <c r="D1923" s="28"/>
      <c r="E1923" s="36"/>
      <c r="F1923" s="36"/>
      <c r="G1923" s="30" t="str">
        <f t="shared" si="27"/>
        <v/>
      </c>
      <c r="H1923" s="37"/>
    </row>
    <row r="1924" spans="2:8" ht="18" customHeight="1" x14ac:dyDescent="0.3">
      <c r="B1924" s="26"/>
      <c r="C1924" s="27"/>
      <c r="D1924" s="17"/>
      <c r="E1924" s="38"/>
      <c r="F1924" s="38"/>
      <c r="G1924" s="30" t="str">
        <f t="shared" si="27"/>
        <v/>
      </c>
      <c r="H1924" s="39"/>
    </row>
    <row r="1925" spans="2:8" ht="18" customHeight="1" x14ac:dyDescent="0.3">
      <c r="B1925" s="26"/>
      <c r="C1925" s="27"/>
      <c r="D1925" s="28"/>
      <c r="E1925" s="36"/>
      <c r="F1925" s="36"/>
      <c r="G1925" s="30" t="str">
        <f t="shared" ref="G1925:G1988" si="28">IF(OR(B1925="",E1925=""),"",IF(E1925="08:00",8,IF(E1925="07:00",8,7)))</f>
        <v/>
      </c>
      <c r="H1925" s="37"/>
    </row>
    <row r="1926" spans="2:8" ht="18" customHeight="1" x14ac:dyDescent="0.3">
      <c r="B1926" s="26"/>
      <c r="C1926" s="27"/>
      <c r="D1926" s="17"/>
      <c r="E1926" s="38"/>
      <c r="F1926" s="38"/>
      <c r="G1926" s="30" t="str">
        <f t="shared" si="28"/>
        <v/>
      </c>
      <c r="H1926" s="39"/>
    </row>
    <row r="1927" spans="2:8" ht="18" customHeight="1" x14ac:dyDescent="0.3">
      <c r="B1927" s="26"/>
      <c r="C1927" s="27"/>
      <c r="D1927" s="28"/>
      <c r="E1927" s="36"/>
      <c r="F1927" s="36"/>
      <c r="G1927" s="30" t="str">
        <f t="shared" si="28"/>
        <v/>
      </c>
      <c r="H1927" s="37"/>
    </row>
    <row r="1928" spans="2:8" ht="18" customHeight="1" x14ac:dyDescent="0.3">
      <c r="B1928" s="26"/>
      <c r="C1928" s="27"/>
      <c r="D1928" s="17"/>
      <c r="E1928" s="38"/>
      <c r="F1928" s="38"/>
      <c r="G1928" s="30" t="str">
        <f t="shared" si="28"/>
        <v/>
      </c>
      <c r="H1928" s="39"/>
    </row>
    <row r="1929" spans="2:8" ht="18" customHeight="1" x14ac:dyDescent="0.3">
      <c r="B1929" s="26"/>
      <c r="C1929" s="27"/>
      <c r="D1929" s="28"/>
      <c r="E1929" s="36"/>
      <c r="F1929" s="36"/>
      <c r="G1929" s="30" t="str">
        <f t="shared" si="28"/>
        <v/>
      </c>
      <c r="H1929" s="37"/>
    </row>
    <row r="1930" spans="2:8" ht="18" customHeight="1" x14ac:dyDescent="0.3">
      <c r="B1930" s="26"/>
      <c r="C1930" s="27"/>
      <c r="D1930" s="17"/>
      <c r="E1930" s="38"/>
      <c r="F1930" s="38"/>
      <c r="G1930" s="30" t="str">
        <f t="shared" si="28"/>
        <v/>
      </c>
      <c r="H1930" s="39"/>
    </row>
    <row r="1931" spans="2:8" ht="18" customHeight="1" x14ac:dyDescent="0.3">
      <c r="B1931" s="26"/>
      <c r="C1931" s="27"/>
      <c r="D1931" s="28"/>
      <c r="E1931" s="36"/>
      <c r="F1931" s="36"/>
      <c r="G1931" s="30" t="str">
        <f t="shared" si="28"/>
        <v/>
      </c>
      <c r="H1931" s="37"/>
    </row>
    <row r="1932" spans="2:8" ht="18" customHeight="1" x14ac:dyDescent="0.3">
      <c r="B1932" s="26"/>
      <c r="C1932" s="27"/>
      <c r="D1932" s="17"/>
      <c r="E1932" s="38"/>
      <c r="F1932" s="38"/>
      <c r="G1932" s="30" t="str">
        <f t="shared" si="28"/>
        <v/>
      </c>
      <c r="H1932" s="39"/>
    </row>
    <row r="1933" spans="2:8" ht="18" customHeight="1" x14ac:dyDescent="0.3">
      <c r="B1933" s="26"/>
      <c r="C1933" s="27"/>
      <c r="D1933" s="28"/>
      <c r="E1933" s="36"/>
      <c r="F1933" s="36"/>
      <c r="G1933" s="30" t="str">
        <f t="shared" si="28"/>
        <v/>
      </c>
      <c r="H1933" s="37"/>
    </row>
    <row r="1934" spans="2:8" ht="18" customHeight="1" x14ac:dyDescent="0.3">
      <c r="B1934" s="26"/>
      <c r="C1934" s="27"/>
      <c r="D1934" s="17"/>
      <c r="E1934" s="38"/>
      <c r="F1934" s="38"/>
      <c r="G1934" s="30" t="str">
        <f t="shared" si="28"/>
        <v/>
      </c>
      <c r="H1934" s="39"/>
    </row>
    <row r="1935" spans="2:8" ht="18" customHeight="1" x14ac:dyDescent="0.3">
      <c r="B1935" s="26"/>
      <c r="C1935" s="27"/>
      <c r="D1935" s="28"/>
      <c r="E1935" s="36"/>
      <c r="F1935" s="36"/>
      <c r="G1935" s="30" t="str">
        <f t="shared" si="28"/>
        <v/>
      </c>
      <c r="H1935" s="37"/>
    </row>
    <row r="1936" spans="2:8" ht="18" customHeight="1" x14ac:dyDescent="0.3">
      <c r="B1936" s="26"/>
      <c r="C1936" s="27"/>
      <c r="D1936" s="17"/>
      <c r="E1936" s="38"/>
      <c r="F1936" s="38"/>
      <c r="G1936" s="30" t="str">
        <f t="shared" si="28"/>
        <v/>
      </c>
      <c r="H1936" s="39"/>
    </row>
    <row r="1937" spans="2:8" ht="18" customHeight="1" x14ac:dyDescent="0.3">
      <c r="B1937" s="26"/>
      <c r="C1937" s="27"/>
      <c r="D1937" s="28"/>
      <c r="E1937" s="36"/>
      <c r="F1937" s="36"/>
      <c r="G1937" s="30" t="str">
        <f t="shared" si="28"/>
        <v/>
      </c>
      <c r="H1937" s="37"/>
    </row>
    <row r="1938" spans="2:8" ht="18" customHeight="1" x14ac:dyDescent="0.3">
      <c r="B1938" s="26"/>
      <c r="C1938" s="27"/>
      <c r="D1938" s="17"/>
      <c r="E1938" s="38"/>
      <c r="F1938" s="38"/>
      <c r="G1938" s="30" t="str">
        <f t="shared" si="28"/>
        <v/>
      </c>
      <c r="H1938" s="39"/>
    </row>
    <row r="1939" spans="2:8" ht="18" customHeight="1" x14ac:dyDescent="0.3">
      <c r="B1939" s="26"/>
      <c r="C1939" s="27"/>
      <c r="D1939" s="28"/>
      <c r="E1939" s="36"/>
      <c r="F1939" s="36"/>
      <c r="G1939" s="30" t="str">
        <f t="shared" si="28"/>
        <v/>
      </c>
      <c r="H1939" s="37"/>
    </row>
    <row r="1940" spans="2:8" ht="18" customHeight="1" x14ac:dyDescent="0.3">
      <c r="B1940" s="26"/>
      <c r="C1940" s="27"/>
      <c r="D1940" s="17"/>
      <c r="E1940" s="38"/>
      <c r="F1940" s="38"/>
      <c r="G1940" s="30" t="str">
        <f t="shared" si="28"/>
        <v/>
      </c>
      <c r="H1940" s="39"/>
    </row>
    <row r="1941" spans="2:8" ht="18" customHeight="1" x14ac:dyDescent="0.3">
      <c r="B1941" s="26"/>
      <c r="C1941" s="27"/>
      <c r="D1941" s="28"/>
      <c r="E1941" s="36"/>
      <c r="F1941" s="36"/>
      <c r="G1941" s="30" t="str">
        <f t="shared" si="28"/>
        <v/>
      </c>
      <c r="H1941" s="37"/>
    </row>
    <row r="1942" spans="2:8" ht="18" customHeight="1" x14ac:dyDescent="0.3">
      <c r="B1942" s="26"/>
      <c r="C1942" s="27"/>
      <c r="D1942" s="17"/>
      <c r="E1942" s="38"/>
      <c r="F1942" s="38"/>
      <c r="G1942" s="30" t="str">
        <f t="shared" si="28"/>
        <v/>
      </c>
      <c r="H1942" s="39"/>
    </row>
    <row r="1943" spans="2:8" ht="18" customHeight="1" x14ac:dyDescent="0.3">
      <c r="B1943" s="26"/>
      <c r="C1943" s="27"/>
      <c r="D1943" s="28"/>
      <c r="E1943" s="36"/>
      <c r="F1943" s="36"/>
      <c r="G1943" s="30" t="str">
        <f t="shared" si="28"/>
        <v/>
      </c>
      <c r="H1943" s="37"/>
    </row>
    <row r="1944" spans="2:8" ht="18" customHeight="1" x14ac:dyDescent="0.3">
      <c r="B1944" s="26"/>
      <c r="C1944" s="27"/>
      <c r="D1944" s="17"/>
      <c r="E1944" s="38"/>
      <c r="F1944" s="38"/>
      <c r="G1944" s="30" t="str">
        <f t="shared" si="28"/>
        <v/>
      </c>
      <c r="H1944" s="39"/>
    </row>
    <row r="1945" spans="2:8" ht="18" customHeight="1" x14ac:dyDescent="0.3">
      <c r="B1945" s="26"/>
      <c r="C1945" s="27"/>
      <c r="D1945" s="28"/>
      <c r="E1945" s="36"/>
      <c r="F1945" s="36"/>
      <c r="G1945" s="30" t="str">
        <f t="shared" si="28"/>
        <v/>
      </c>
      <c r="H1945" s="37"/>
    </row>
    <row r="1946" spans="2:8" ht="18" customHeight="1" x14ac:dyDescent="0.3">
      <c r="B1946" s="26"/>
      <c r="C1946" s="27"/>
      <c r="D1946" s="17"/>
      <c r="E1946" s="38"/>
      <c r="F1946" s="38"/>
      <c r="G1946" s="30" t="str">
        <f t="shared" si="28"/>
        <v/>
      </c>
      <c r="H1946" s="39"/>
    </row>
    <row r="1947" spans="2:8" ht="18" customHeight="1" x14ac:dyDescent="0.3">
      <c r="B1947" s="26"/>
      <c r="C1947" s="27"/>
      <c r="D1947" s="28"/>
      <c r="E1947" s="36"/>
      <c r="F1947" s="36"/>
      <c r="G1947" s="30" t="str">
        <f t="shared" si="28"/>
        <v/>
      </c>
      <c r="H1947" s="37"/>
    </row>
    <row r="1948" spans="2:8" ht="18" customHeight="1" x14ac:dyDescent="0.3">
      <c r="B1948" s="26"/>
      <c r="C1948" s="27"/>
      <c r="D1948" s="17"/>
      <c r="E1948" s="38"/>
      <c r="F1948" s="38"/>
      <c r="G1948" s="30" t="str">
        <f t="shared" si="28"/>
        <v/>
      </c>
      <c r="H1948" s="39"/>
    </row>
    <row r="1949" spans="2:8" ht="18" customHeight="1" x14ac:dyDescent="0.3">
      <c r="B1949" s="26"/>
      <c r="C1949" s="27"/>
      <c r="D1949" s="28"/>
      <c r="E1949" s="36"/>
      <c r="F1949" s="36"/>
      <c r="G1949" s="30" t="str">
        <f t="shared" si="28"/>
        <v/>
      </c>
      <c r="H1949" s="37"/>
    </row>
    <row r="1950" spans="2:8" ht="18" customHeight="1" x14ac:dyDescent="0.3">
      <c r="B1950" s="26"/>
      <c r="C1950" s="27"/>
      <c r="D1950" s="17"/>
      <c r="E1950" s="38"/>
      <c r="F1950" s="38"/>
      <c r="G1950" s="30" t="str">
        <f t="shared" si="28"/>
        <v/>
      </c>
      <c r="H1950" s="39"/>
    </row>
    <row r="1951" spans="2:8" ht="18" customHeight="1" x14ac:dyDescent="0.3">
      <c r="B1951" s="26"/>
      <c r="C1951" s="27"/>
      <c r="D1951" s="28"/>
      <c r="E1951" s="36"/>
      <c r="F1951" s="36"/>
      <c r="G1951" s="30" t="str">
        <f t="shared" si="28"/>
        <v/>
      </c>
      <c r="H1951" s="37"/>
    </row>
    <row r="1952" spans="2:8" ht="18" customHeight="1" x14ac:dyDescent="0.3">
      <c r="B1952" s="26"/>
      <c r="C1952" s="27"/>
      <c r="D1952" s="17"/>
      <c r="E1952" s="38"/>
      <c r="F1952" s="38"/>
      <c r="G1952" s="30" t="str">
        <f t="shared" si="28"/>
        <v/>
      </c>
      <c r="H1952" s="39"/>
    </row>
    <row r="1953" spans="2:8" ht="18" customHeight="1" x14ac:dyDescent="0.3">
      <c r="B1953" s="26"/>
      <c r="C1953" s="27"/>
      <c r="D1953" s="28"/>
      <c r="E1953" s="36"/>
      <c r="F1953" s="36"/>
      <c r="G1953" s="30" t="str">
        <f t="shared" si="28"/>
        <v/>
      </c>
      <c r="H1953" s="37"/>
    </row>
    <row r="1954" spans="2:8" ht="18" customHeight="1" x14ac:dyDescent="0.3">
      <c r="B1954" s="26"/>
      <c r="C1954" s="27"/>
      <c r="D1954" s="17"/>
      <c r="E1954" s="38"/>
      <c r="F1954" s="38"/>
      <c r="G1954" s="30" t="str">
        <f t="shared" si="28"/>
        <v/>
      </c>
      <c r="H1954" s="39"/>
    </row>
    <row r="1955" spans="2:8" ht="18" customHeight="1" x14ac:dyDescent="0.3">
      <c r="B1955" s="26"/>
      <c r="C1955" s="27"/>
      <c r="D1955" s="28"/>
      <c r="E1955" s="36"/>
      <c r="F1955" s="36"/>
      <c r="G1955" s="30" t="str">
        <f t="shared" si="28"/>
        <v/>
      </c>
      <c r="H1955" s="37"/>
    </row>
    <row r="1956" spans="2:8" ht="18" customHeight="1" x14ac:dyDescent="0.3">
      <c r="B1956" s="26"/>
      <c r="C1956" s="27"/>
      <c r="D1956" s="17"/>
      <c r="E1956" s="38"/>
      <c r="F1956" s="38"/>
      <c r="G1956" s="30" t="str">
        <f t="shared" si="28"/>
        <v/>
      </c>
      <c r="H1956" s="39"/>
    </row>
    <row r="1957" spans="2:8" ht="18" customHeight="1" x14ac:dyDescent="0.3">
      <c r="B1957" s="26"/>
      <c r="C1957" s="27"/>
      <c r="D1957" s="28"/>
      <c r="E1957" s="36"/>
      <c r="F1957" s="36"/>
      <c r="G1957" s="30" t="str">
        <f t="shared" si="28"/>
        <v/>
      </c>
      <c r="H1957" s="37"/>
    </row>
    <row r="1958" spans="2:8" ht="18" customHeight="1" x14ac:dyDescent="0.3">
      <c r="B1958" s="26"/>
      <c r="C1958" s="27"/>
      <c r="D1958" s="17"/>
      <c r="E1958" s="38"/>
      <c r="F1958" s="38"/>
      <c r="G1958" s="30" t="str">
        <f t="shared" si="28"/>
        <v/>
      </c>
      <c r="H1958" s="39"/>
    </row>
    <row r="1959" spans="2:8" ht="18" customHeight="1" x14ac:dyDescent="0.3">
      <c r="B1959" s="26"/>
      <c r="C1959" s="27"/>
      <c r="D1959" s="28"/>
      <c r="E1959" s="36"/>
      <c r="F1959" s="36"/>
      <c r="G1959" s="30" t="str">
        <f t="shared" si="28"/>
        <v/>
      </c>
      <c r="H1959" s="37"/>
    </row>
    <row r="1960" spans="2:8" ht="18" customHeight="1" x14ac:dyDescent="0.3">
      <c r="B1960" s="26"/>
      <c r="C1960" s="27"/>
      <c r="D1960" s="17"/>
      <c r="E1960" s="38"/>
      <c r="F1960" s="38"/>
      <c r="G1960" s="30" t="str">
        <f t="shared" si="28"/>
        <v/>
      </c>
      <c r="H1960" s="39"/>
    </row>
    <row r="1961" spans="2:8" ht="18" customHeight="1" x14ac:dyDescent="0.3">
      <c r="B1961" s="26"/>
      <c r="C1961" s="27"/>
      <c r="D1961" s="28"/>
      <c r="E1961" s="36"/>
      <c r="F1961" s="36"/>
      <c r="G1961" s="30" t="str">
        <f t="shared" si="28"/>
        <v/>
      </c>
      <c r="H1961" s="37"/>
    </row>
    <row r="1962" spans="2:8" ht="18" customHeight="1" x14ac:dyDescent="0.3">
      <c r="B1962" s="26"/>
      <c r="C1962" s="27"/>
      <c r="D1962" s="17"/>
      <c r="E1962" s="38"/>
      <c r="F1962" s="38"/>
      <c r="G1962" s="30" t="str">
        <f t="shared" si="28"/>
        <v/>
      </c>
      <c r="H1962" s="39"/>
    </row>
    <row r="1963" spans="2:8" ht="18" customHeight="1" x14ac:dyDescent="0.3">
      <c r="B1963" s="26"/>
      <c r="C1963" s="27"/>
      <c r="D1963" s="28"/>
      <c r="E1963" s="36"/>
      <c r="F1963" s="36"/>
      <c r="G1963" s="30" t="str">
        <f t="shared" si="28"/>
        <v/>
      </c>
      <c r="H1963" s="37"/>
    </row>
    <row r="1964" spans="2:8" ht="18" customHeight="1" x14ac:dyDescent="0.3">
      <c r="B1964" s="26"/>
      <c r="C1964" s="27"/>
      <c r="D1964" s="17"/>
      <c r="E1964" s="38"/>
      <c r="F1964" s="38"/>
      <c r="G1964" s="30" t="str">
        <f t="shared" si="28"/>
        <v/>
      </c>
      <c r="H1964" s="39"/>
    </row>
    <row r="1965" spans="2:8" ht="18" customHeight="1" x14ac:dyDescent="0.3">
      <c r="B1965" s="26"/>
      <c r="C1965" s="27"/>
      <c r="D1965" s="28"/>
      <c r="E1965" s="36"/>
      <c r="F1965" s="36"/>
      <c r="G1965" s="30" t="str">
        <f t="shared" si="28"/>
        <v/>
      </c>
      <c r="H1965" s="37"/>
    </row>
    <row r="1966" spans="2:8" ht="18" customHeight="1" x14ac:dyDescent="0.3">
      <c r="B1966" s="26"/>
      <c r="C1966" s="27"/>
      <c r="D1966" s="17"/>
      <c r="E1966" s="38"/>
      <c r="F1966" s="38"/>
      <c r="G1966" s="30" t="str">
        <f t="shared" si="28"/>
        <v/>
      </c>
      <c r="H1966" s="39"/>
    </row>
    <row r="1967" spans="2:8" ht="18" customHeight="1" x14ac:dyDescent="0.3">
      <c r="B1967" s="26"/>
      <c r="C1967" s="27"/>
      <c r="D1967" s="28"/>
      <c r="E1967" s="36"/>
      <c r="F1967" s="36"/>
      <c r="G1967" s="30" t="str">
        <f t="shared" si="28"/>
        <v/>
      </c>
      <c r="H1967" s="37"/>
    </row>
    <row r="1968" spans="2:8" ht="18" customHeight="1" x14ac:dyDescent="0.3">
      <c r="B1968" s="26"/>
      <c r="C1968" s="27"/>
      <c r="D1968" s="17"/>
      <c r="E1968" s="38"/>
      <c r="F1968" s="38"/>
      <c r="G1968" s="30" t="str">
        <f t="shared" si="28"/>
        <v/>
      </c>
      <c r="H1968" s="39"/>
    </row>
    <row r="1969" spans="2:8" ht="18" customHeight="1" x14ac:dyDescent="0.3">
      <c r="B1969" s="26"/>
      <c r="C1969" s="27"/>
      <c r="D1969" s="28"/>
      <c r="E1969" s="36"/>
      <c r="F1969" s="36"/>
      <c r="G1969" s="30" t="str">
        <f t="shared" si="28"/>
        <v/>
      </c>
      <c r="H1969" s="37"/>
    </row>
    <row r="1970" spans="2:8" ht="18" customHeight="1" x14ac:dyDescent="0.3">
      <c r="B1970" s="26"/>
      <c r="C1970" s="27"/>
      <c r="D1970" s="17"/>
      <c r="E1970" s="38"/>
      <c r="F1970" s="38"/>
      <c r="G1970" s="30" t="str">
        <f t="shared" si="28"/>
        <v/>
      </c>
      <c r="H1970" s="39"/>
    </row>
    <row r="1971" spans="2:8" ht="18" customHeight="1" x14ac:dyDescent="0.3">
      <c r="B1971" s="26"/>
      <c r="C1971" s="27"/>
      <c r="D1971" s="28"/>
      <c r="E1971" s="36"/>
      <c r="F1971" s="36"/>
      <c r="G1971" s="30" t="str">
        <f t="shared" si="28"/>
        <v/>
      </c>
      <c r="H1971" s="37"/>
    </row>
    <row r="1972" spans="2:8" ht="18" customHeight="1" x14ac:dyDescent="0.3">
      <c r="B1972" s="26"/>
      <c r="C1972" s="27"/>
      <c r="D1972" s="17"/>
      <c r="E1972" s="38"/>
      <c r="F1972" s="38"/>
      <c r="G1972" s="30" t="str">
        <f t="shared" si="28"/>
        <v/>
      </c>
      <c r="H1972" s="39"/>
    </row>
    <row r="1973" spans="2:8" ht="18" customHeight="1" x14ac:dyDescent="0.3">
      <c r="B1973" s="26"/>
      <c r="C1973" s="27"/>
      <c r="D1973" s="28"/>
      <c r="E1973" s="36"/>
      <c r="F1973" s="36"/>
      <c r="G1973" s="30" t="str">
        <f t="shared" si="28"/>
        <v/>
      </c>
      <c r="H1973" s="37"/>
    </row>
    <row r="1974" spans="2:8" ht="18" customHeight="1" x14ac:dyDescent="0.3">
      <c r="B1974" s="26"/>
      <c r="C1974" s="27"/>
      <c r="D1974" s="17"/>
      <c r="E1974" s="38"/>
      <c r="F1974" s="38"/>
      <c r="G1974" s="30" t="str">
        <f t="shared" si="28"/>
        <v/>
      </c>
      <c r="H1974" s="39"/>
    </row>
    <row r="1975" spans="2:8" ht="18" customHeight="1" x14ac:dyDescent="0.3">
      <c r="B1975" s="26"/>
      <c r="C1975" s="27"/>
      <c r="D1975" s="28"/>
      <c r="E1975" s="36"/>
      <c r="F1975" s="36"/>
      <c r="G1975" s="30" t="str">
        <f t="shared" si="28"/>
        <v/>
      </c>
      <c r="H1975" s="37"/>
    </row>
    <row r="1976" spans="2:8" ht="18" customHeight="1" x14ac:dyDescent="0.3">
      <c r="B1976" s="26"/>
      <c r="C1976" s="27"/>
      <c r="D1976" s="17"/>
      <c r="E1976" s="38"/>
      <c r="F1976" s="38"/>
      <c r="G1976" s="30" t="str">
        <f t="shared" si="28"/>
        <v/>
      </c>
      <c r="H1976" s="39"/>
    </row>
    <row r="1977" spans="2:8" ht="18" customHeight="1" x14ac:dyDescent="0.3">
      <c r="B1977" s="26"/>
      <c r="C1977" s="27"/>
      <c r="D1977" s="28"/>
      <c r="E1977" s="36"/>
      <c r="F1977" s="36"/>
      <c r="G1977" s="30" t="str">
        <f t="shared" si="28"/>
        <v/>
      </c>
      <c r="H1977" s="37"/>
    </row>
    <row r="1978" spans="2:8" ht="18" customHeight="1" x14ac:dyDescent="0.3">
      <c r="B1978" s="26"/>
      <c r="C1978" s="27"/>
      <c r="D1978" s="17"/>
      <c r="E1978" s="38"/>
      <c r="F1978" s="38"/>
      <c r="G1978" s="30" t="str">
        <f t="shared" si="28"/>
        <v/>
      </c>
      <c r="H1978" s="39"/>
    </row>
    <row r="1979" spans="2:8" ht="18" customHeight="1" x14ac:dyDescent="0.3">
      <c r="B1979" s="26"/>
      <c r="C1979" s="27"/>
      <c r="D1979" s="28"/>
      <c r="E1979" s="36"/>
      <c r="F1979" s="36"/>
      <c r="G1979" s="30" t="str">
        <f t="shared" si="28"/>
        <v/>
      </c>
      <c r="H1979" s="37"/>
    </row>
    <row r="1980" spans="2:8" ht="18" customHeight="1" x14ac:dyDescent="0.3">
      <c r="B1980" s="26"/>
      <c r="C1980" s="27"/>
      <c r="D1980" s="17"/>
      <c r="E1980" s="38"/>
      <c r="F1980" s="38"/>
      <c r="G1980" s="30" t="str">
        <f t="shared" si="28"/>
        <v/>
      </c>
      <c r="H1980" s="39"/>
    </row>
    <row r="1981" spans="2:8" ht="18" customHeight="1" x14ac:dyDescent="0.3">
      <c r="B1981" s="26"/>
      <c r="C1981" s="27"/>
      <c r="D1981" s="28"/>
      <c r="E1981" s="36"/>
      <c r="F1981" s="36"/>
      <c r="G1981" s="30" t="str">
        <f t="shared" si="28"/>
        <v/>
      </c>
      <c r="H1981" s="37"/>
    </row>
    <row r="1982" spans="2:8" ht="18" customHeight="1" x14ac:dyDescent="0.3">
      <c r="B1982" s="26"/>
      <c r="C1982" s="27"/>
      <c r="D1982" s="17"/>
      <c r="E1982" s="38"/>
      <c r="F1982" s="38"/>
      <c r="G1982" s="30" t="str">
        <f t="shared" si="28"/>
        <v/>
      </c>
      <c r="H1982" s="39"/>
    </row>
    <row r="1983" spans="2:8" ht="18" customHeight="1" x14ac:dyDescent="0.3">
      <c r="B1983" s="26"/>
      <c r="C1983" s="27"/>
      <c r="D1983" s="28"/>
      <c r="E1983" s="36"/>
      <c r="F1983" s="36"/>
      <c r="G1983" s="30" t="str">
        <f t="shared" si="28"/>
        <v/>
      </c>
      <c r="H1983" s="37"/>
    </row>
    <row r="1984" spans="2:8" ht="18" customHeight="1" x14ac:dyDescent="0.3">
      <c r="B1984" s="26"/>
      <c r="C1984" s="27"/>
      <c r="D1984" s="17"/>
      <c r="E1984" s="38"/>
      <c r="F1984" s="38"/>
      <c r="G1984" s="30" t="str">
        <f t="shared" si="28"/>
        <v/>
      </c>
      <c r="H1984" s="39"/>
    </row>
    <row r="1985" spans="2:8" ht="18" customHeight="1" x14ac:dyDescent="0.3">
      <c r="B1985" s="26"/>
      <c r="C1985" s="27"/>
      <c r="D1985" s="28"/>
      <c r="E1985" s="36"/>
      <c r="F1985" s="36"/>
      <c r="G1985" s="30" t="str">
        <f t="shared" si="28"/>
        <v/>
      </c>
      <c r="H1985" s="37"/>
    </row>
    <row r="1986" spans="2:8" ht="18" customHeight="1" x14ac:dyDescent="0.3">
      <c r="B1986" s="26"/>
      <c r="C1986" s="27"/>
      <c r="D1986" s="17"/>
      <c r="E1986" s="38"/>
      <c r="F1986" s="38"/>
      <c r="G1986" s="30" t="str">
        <f t="shared" si="28"/>
        <v/>
      </c>
      <c r="H1986" s="39"/>
    </row>
    <row r="1987" spans="2:8" ht="18" customHeight="1" x14ac:dyDescent="0.3">
      <c r="B1987" s="26"/>
      <c r="C1987" s="27"/>
      <c r="D1987" s="28"/>
      <c r="E1987" s="36"/>
      <c r="F1987" s="36"/>
      <c r="G1987" s="30" t="str">
        <f t="shared" si="28"/>
        <v/>
      </c>
      <c r="H1987" s="37"/>
    </row>
    <row r="1988" spans="2:8" ht="18" customHeight="1" x14ac:dyDescent="0.3">
      <c r="B1988" s="26"/>
      <c r="C1988" s="27"/>
      <c r="D1988" s="17"/>
      <c r="E1988" s="38"/>
      <c r="F1988" s="38"/>
      <c r="G1988" s="30" t="str">
        <f t="shared" si="28"/>
        <v/>
      </c>
      <c r="H1988" s="39"/>
    </row>
    <row r="1989" spans="2:8" ht="18" customHeight="1" x14ac:dyDescent="0.3">
      <c r="B1989" s="26"/>
      <c r="C1989" s="27"/>
      <c r="D1989" s="28"/>
      <c r="E1989" s="36"/>
      <c r="F1989" s="36"/>
      <c r="G1989" s="30" t="str">
        <f t="shared" ref="G1989:G2004" si="29">IF(OR(B1989="",E1989=""),"",IF(E1989="08:00",8,IF(E1989="07:00",8,7)))</f>
        <v/>
      </c>
      <c r="H1989" s="37"/>
    </row>
    <row r="1990" spans="2:8" ht="18" customHeight="1" x14ac:dyDescent="0.3">
      <c r="B1990" s="26"/>
      <c r="C1990" s="27"/>
      <c r="D1990" s="17"/>
      <c r="E1990" s="38"/>
      <c r="F1990" s="38"/>
      <c r="G1990" s="30" t="str">
        <f t="shared" si="29"/>
        <v/>
      </c>
      <c r="H1990" s="39"/>
    </row>
    <row r="1991" spans="2:8" ht="18" customHeight="1" x14ac:dyDescent="0.3">
      <c r="B1991" s="26"/>
      <c r="C1991" s="27"/>
      <c r="D1991" s="28"/>
      <c r="E1991" s="36"/>
      <c r="F1991" s="36"/>
      <c r="G1991" s="30" t="str">
        <f t="shared" si="29"/>
        <v/>
      </c>
      <c r="H1991" s="37"/>
    </row>
    <row r="1992" spans="2:8" ht="18" customHeight="1" x14ac:dyDescent="0.3">
      <c r="B1992" s="26"/>
      <c r="C1992" s="27"/>
      <c r="D1992" s="17"/>
      <c r="E1992" s="38"/>
      <c r="F1992" s="38"/>
      <c r="G1992" s="30" t="str">
        <f t="shared" si="29"/>
        <v/>
      </c>
      <c r="H1992" s="39"/>
    </row>
    <row r="1993" spans="2:8" ht="18" customHeight="1" x14ac:dyDescent="0.3">
      <c r="B1993" s="26"/>
      <c r="C1993" s="27"/>
      <c r="D1993" s="28"/>
      <c r="E1993" s="36"/>
      <c r="F1993" s="36"/>
      <c r="G1993" s="30" t="str">
        <f t="shared" si="29"/>
        <v/>
      </c>
      <c r="H1993" s="37"/>
    </row>
    <row r="1994" spans="2:8" ht="18" customHeight="1" x14ac:dyDescent="0.3">
      <c r="B1994" s="26"/>
      <c r="C1994" s="27"/>
      <c r="D1994" s="17"/>
      <c r="E1994" s="38"/>
      <c r="F1994" s="38"/>
      <c r="G1994" s="30" t="str">
        <f t="shared" si="29"/>
        <v/>
      </c>
      <c r="H1994" s="39"/>
    </row>
    <row r="1995" spans="2:8" ht="18" customHeight="1" x14ac:dyDescent="0.3">
      <c r="B1995" s="26"/>
      <c r="C1995" s="27"/>
      <c r="D1995" s="28"/>
      <c r="E1995" s="36"/>
      <c r="F1995" s="36"/>
      <c r="G1995" s="30" t="str">
        <f t="shared" si="29"/>
        <v/>
      </c>
      <c r="H1995" s="37"/>
    </row>
    <row r="1996" spans="2:8" ht="18" customHeight="1" x14ac:dyDescent="0.3">
      <c r="B1996" s="26"/>
      <c r="C1996" s="27"/>
      <c r="D1996" s="17"/>
      <c r="E1996" s="38"/>
      <c r="F1996" s="38"/>
      <c r="G1996" s="30" t="str">
        <f t="shared" si="29"/>
        <v/>
      </c>
      <c r="H1996" s="39"/>
    </row>
    <row r="1997" spans="2:8" ht="18" customHeight="1" x14ac:dyDescent="0.3">
      <c r="B1997" s="26"/>
      <c r="C1997" s="27"/>
      <c r="D1997" s="28"/>
      <c r="E1997" s="36"/>
      <c r="F1997" s="36"/>
      <c r="G1997" s="30" t="str">
        <f t="shared" si="29"/>
        <v/>
      </c>
      <c r="H1997" s="37"/>
    </row>
    <row r="1998" spans="2:8" ht="18" customHeight="1" x14ac:dyDescent="0.3">
      <c r="B1998" s="26"/>
      <c r="C1998" s="27"/>
      <c r="D1998" s="17"/>
      <c r="E1998" s="38"/>
      <c r="F1998" s="38"/>
      <c r="G1998" s="30" t="str">
        <f t="shared" si="29"/>
        <v/>
      </c>
      <c r="H1998" s="39"/>
    </row>
    <row r="1999" spans="2:8" ht="18" customHeight="1" x14ac:dyDescent="0.3">
      <c r="B1999" s="26"/>
      <c r="C1999" s="27"/>
      <c r="D1999" s="28"/>
      <c r="E1999" s="36"/>
      <c r="F1999" s="36"/>
      <c r="G1999" s="30" t="str">
        <f t="shared" si="29"/>
        <v/>
      </c>
      <c r="H1999" s="37"/>
    </row>
    <row r="2000" spans="2:8" ht="18" customHeight="1" x14ac:dyDescent="0.3">
      <c r="B2000" s="26"/>
      <c r="C2000" s="27"/>
      <c r="D2000" s="17"/>
      <c r="E2000" s="38"/>
      <c r="F2000" s="38"/>
      <c r="G2000" s="30" t="str">
        <f t="shared" si="29"/>
        <v/>
      </c>
      <c r="H2000" s="39"/>
    </row>
    <row r="2001" spans="2:8" ht="18" customHeight="1" x14ac:dyDescent="0.3">
      <c r="B2001" s="26"/>
      <c r="C2001" s="27"/>
      <c r="D2001" s="28"/>
      <c r="E2001" s="36"/>
      <c r="F2001" s="36"/>
      <c r="G2001" s="30" t="str">
        <f t="shared" si="29"/>
        <v/>
      </c>
      <c r="H2001" s="37"/>
    </row>
    <row r="2002" spans="2:8" ht="18" customHeight="1" x14ac:dyDescent="0.3">
      <c r="B2002" s="26"/>
      <c r="C2002" s="27"/>
      <c r="D2002" s="17"/>
      <c r="E2002" s="38"/>
      <c r="F2002" s="38"/>
      <c r="G2002" s="30" t="str">
        <f t="shared" si="29"/>
        <v/>
      </c>
      <c r="H2002" s="39"/>
    </row>
    <row r="2003" spans="2:8" ht="18" customHeight="1" x14ac:dyDescent="0.3">
      <c r="B2003" s="26"/>
      <c r="C2003" s="27"/>
      <c r="D2003" s="28"/>
      <c r="E2003" s="36"/>
      <c r="F2003" s="36"/>
      <c r="G2003" s="30" t="str">
        <f t="shared" si="29"/>
        <v/>
      </c>
      <c r="H2003" s="37"/>
    </row>
    <row r="2004" spans="2:8" ht="18" customHeight="1" x14ac:dyDescent="0.3">
      <c r="B2004" s="26"/>
      <c r="C2004" s="27"/>
      <c r="D2004" s="17"/>
      <c r="E2004" s="38"/>
      <c r="F2004" s="38"/>
      <c r="G2004" s="30" t="str">
        <f t="shared" si="29"/>
        <v/>
      </c>
      <c r="H2004" s="39"/>
    </row>
  </sheetData>
  <mergeCells count="2">
    <mergeCell ref="B1:H1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490"/>
  <sheetViews>
    <sheetView showGridLines="0" zoomScaleNormal="100" workbookViewId="0">
      <pane xSplit="1" ySplit="4" topLeftCell="B5" activePane="bottomRight" state="frozen"/>
      <selection pane="topRight"/>
      <selection pane="bottomLeft"/>
      <selection pane="bottomRight" activeCell="G8" sqref="G8"/>
    </sheetView>
  </sheetViews>
  <sheetFormatPr baseColWidth="10" defaultColWidth="8.88671875" defaultRowHeight="14.4" customHeight="1" x14ac:dyDescent="0.3"/>
  <cols>
    <col min="1" max="1" width="3" customWidth="1"/>
    <col min="2" max="2" width="12" customWidth="1"/>
    <col min="3" max="3" width="10" customWidth="1"/>
    <col min="4" max="5" width="12" customWidth="1"/>
    <col min="6" max="6" width="10" customWidth="1"/>
    <col min="7" max="7" width="12" customWidth="1"/>
    <col min="8" max="8" width="14" customWidth="1"/>
    <col min="9" max="9" width="18" customWidth="1"/>
  </cols>
  <sheetData>
    <row r="1" spans="2:9" ht="34.950000000000003" customHeight="1" x14ac:dyDescent="0.3">
      <c r="B1" s="77" t="s">
        <v>166</v>
      </c>
      <c r="C1" s="72"/>
      <c r="D1" s="72"/>
      <c r="E1" s="72"/>
      <c r="F1" s="72"/>
      <c r="G1" s="72"/>
      <c r="H1" s="72"/>
      <c r="I1" s="72"/>
    </row>
    <row r="2" spans="2:9" ht="28.05" customHeight="1" x14ac:dyDescent="0.3">
      <c r="B2" s="79" t="s">
        <v>167</v>
      </c>
      <c r="C2" s="72"/>
      <c r="D2" s="72"/>
      <c r="E2" s="72"/>
      <c r="F2" s="72"/>
      <c r="G2" s="72"/>
      <c r="H2" s="72"/>
      <c r="I2" s="72"/>
    </row>
    <row r="3" spans="2:9" ht="4.05" customHeight="1" x14ac:dyDescent="0.25">
      <c r="B3" s="1"/>
      <c r="C3" s="1"/>
      <c r="D3" s="1"/>
      <c r="E3" s="1"/>
      <c r="F3" s="1"/>
      <c r="G3" s="1"/>
      <c r="H3" s="1"/>
      <c r="I3" s="1"/>
    </row>
    <row r="4" spans="2:9" ht="30" customHeight="1" x14ac:dyDescent="0.3">
      <c r="B4" s="16" t="s">
        <v>52</v>
      </c>
      <c r="C4" s="16" t="s">
        <v>53</v>
      </c>
      <c r="D4" s="16" t="s">
        <v>168</v>
      </c>
      <c r="E4" s="16" t="s">
        <v>169</v>
      </c>
      <c r="F4" s="16" t="s">
        <v>170</v>
      </c>
      <c r="G4" s="16" t="s">
        <v>171</v>
      </c>
      <c r="H4" s="16" t="s">
        <v>172</v>
      </c>
      <c r="I4" s="16" t="s">
        <v>173</v>
      </c>
    </row>
    <row r="5" spans="2:9" ht="18" customHeight="1" x14ac:dyDescent="0.3">
      <c r="B5" s="26" t="s">
        <v>71</v>
      </c>
      <c r="C5" s="27" t="s">
        <v>72</v>
      </c>
      <c r="D5" s="30">
        <f>IF(B5="","",IF(COUNTIF('👥 Asistencia'!$B:$B, B5)&gt;0, IF(C5="DIA", COUNTIFS('👥 Asistencia'!$B:$B, B5, '👥 Asistencia'!$E:$E, "08:00") + COUNTIFS('👥 Asistencia'!$B:$B, B5, '👥 Asistencia'!$E:$E, "07:00"), COUNTIFS('👥 Asistencia'!$B:$B, B5, '👥 Asistencia'!$E:$E, "20:00")), 6))</f>
        <v>6</v>
      </c>
      <c r="E5" s="34">
        <f>IF(B5="","",IF(COUNTIF('👥 Asistencia'!$B:$B, B5)&gt;0, IF(C5="DIA", SUMIFS('👥 Asistencia'!$H:$H, '👥 Asistencia'!$B:$B, B5, '👥 Asistencia'!$E:$E, "08:00") + SUMIFS('👥 Asistencia'!$H:$H, '👥 Asistencia'!$B:$B, B5, '👥 Asistencia'!$E:$E, "07:00"), SUMIFS('👥 Asistencia'!$H:$H, '👥 Asistencia'!$B:$B, B5, '👥 Asistencia'!$E:$E, "20:00")), 0))</f>
        <v>0</v>
      </c>
      <c r="F5" s="89">
        <v>15</v>
      </c>
      <c r="G5" s="89">
        <v>5</v>
      </c>
      <c r="H5" s="33" t="str">
        <f t="shared" ref="H5:H68" si="0">IF(B5="","",IF(ISNUMBER(B5),YEAR(B5)&amp;"-"&amp;IF(MONTH(B5)&lt;10,"0","")&amp;MONTH(B5),LEFT(B5,7)))</f>
        <v>2026-05</v>
      </c>
      <c r="I5" s="30">
        <f t="shared" ref="I5:I68" si="1">IF(B5="","",IF(N(F5)=0, 0, MAX(0, (F5/5) - N(G5))))</f>
        <v>0</v>
      </c>
    </row>
    <row r="6" spans="2:9" ht="18" customHeight="1" x14ac:dyDescent="0.3">
      <c r="B6" s="26" t="s">
        <v>71</v>
      </c>
      <c r="C6" s="27" t="s">
        <v>73</v>
      </c>
      <c r="D6" s="30">
        <f>IF(B6="","",IF(COUNTIF('👥 Asistencia'!$B:$B, B6)&gt;0, IF(C6="DIA", COUNTIFS('👥 Asistencia'!$B:$B, B6, '👥 Asistencia'!$E:$E, "08:00") + COUNTIFS('👥 Asistencia'!$B:$B, B6, '👥 Asistencia'!$E:$E, "07:00"), COUNTIFS('👥 Asistencia'!$B:$B, B6, '👥 Asistencia'!$E:$E, "20:00")), 6))</f>
        <v>6</v>
      </c>
      <c r="E6" s="34">
        <f>IF(B6="","",IF(COUNTIF('👥 Asistencia'!$B:$B, B6)&gt;0, IF(C6="DIA", SUMIFS('👥 Asistencia'!$H:$H, '👥 Asistencia'!$B:$B, B6, '👥 Asistencia'!$E:$E, "08:00") + SUMIFS('👥 Asistencia'!$H:$H, '👥 Asistencia'!$B:$B, B6, '👥 Asistencia'!$E:$E, "07:00"), SUMIFS('👥 Asistencia'!$H:$H, '👥 Asistencia'!$B:$B, B6, '👥 Asistencia'!$E:$E, "20:00")), 0))</f>
        <v>0</v>
      </c>
      <c r="F6" s="90"/>
      <c r="G6" s="90"/>
      <c r="H6" s="33" t="str">
        <f t="shared" si="0"/>
        <v>2026-05</v>
      </c>
      <c r="I6" s="30">
        <f t="shared" si="1"/>
        <v>0</v>
      </c>
    </row>
    <row r="7" spans="2:9" ht="18" customHeight="1" x14ac:dyDescent="0.3">
      <c r="B7" s="26" t="s">
        <v>74</v>
      </c>
      <c r="C7" s="27" t="s">
        <v>72</v>
      </c>
      <c r="D7" s="30">
        <f>IF(B7="","",IF(COUNTIF('👥 Asistencia'!$B:$B, B7)&gt;0, IF(C7="DIA", COUNTIFS('👥 Asistencia'!$B:$B, B7, '👥 Asistencia'!$E:$E, "08:00") + COUNTIFS('👥 Asistencia'!$B:$B, B7, '👥 Asistencia'!$E:$E, "07:00"), COUNTIFS('👥 Asistencia'!$B:$B, B7, '👥 Asistencia'!$E:$E, "20:00")), 6))</f>
        <v>6</v>
      </c>
      <c r="E7" s="34">
        <f>IF(B7="","",IF(COUNTIF('👥 Asistencia'!$B:$B, B7)&gt;0, IF(C7="DIA", SUMIFS('👥 Asistencia'!$H:$H, '👥 Asistencia'!$B:$B, B7, '👥 Asistencia'!$E:$E, "08:00") + SUMIFS('👥 Asistencia'!$H:$H, '👥 Asistencia'!$B:$B, B7, '👥 Asistencia'!$E:$E, "07:00"), SUMIFS('👥 Asistencia'!$H:$H, '👥 Asistencia'!$B:$B, B7, '👥 Asistencia'!$E:$E, "20:00")), 0))</f>
        <v>0</v>
      </c>
      <c r="F7" s="89"/>
      <c r="G7" s="89"/>
      <c r="H7" s="33" t="str">
        <f t="shared" si="0"/>
        <v>2026-05</v>
      </c>
      <c r="I7" s="30">
        <f t="shared" si="1"/>
        <v>0</v>
      </c>
    </row>
    <row r="8" spans="2:9" ht="18" customHeight="1" x14ac:dyDescent="0.3">
      <c r="B8" s="26" t="s">
        <v>75</v>
      </c>
      <c r="C8" s="27" t="s">
        <v>73</v>
      </c>
      <c r="D8" s="30">
        <f>IF(B8="","",IF(COUNTIF('👥 Asistencia'!$B:$B, B8)&gt;0, IF(C8="DIA", COUNTIFS('👥 Asistencia'!$B:$B, B8, '👥 Asistencia'!$E:$E, "08:00") + COUNTIFS('👥 Asistencia'!$B:$B, B8, '👥 Asistencia'!$E:$E, "07:00"), COUNTIFS('👥 Asistencia'!$B:$B, B8, '👥 Asistencia'!$E:$E, "20:00")), 6))</f>
        <v>6</v>
      </c>
      <c r="E8" s="34">
        <f>IF(B8="","",IF(COUNTIF('👥 Asistencia'!$B:$B, B8)&gt;0, IF(C8="DIA", SUMIFS('👥 Asistencia'!$H:$H, '👥 Asistencia'!$B:$B, B8, '👥 Asistencia'!$E:$E, "08:00") + SUMIFS('👥 Asistencia'!$H:$H, '👥 Asistencia'!$B:$B, B8, '👥 Asistencia'!$E:$E, "07:00"), SUMIFS('👥 Asistencia'!$H:$H, '👥 Asistencia'!$B:$B, B8, '👥 Asistencia'!$E:$E, "20:00")), 0))</f>
        <v>0</v>
      </c>
      <c r="F8" s="90"/>
      <c r="G8" s="90"/>
      <c r="H8" s="33" t="str">
        <f t="shared" si="0"/>
        <v>2026-05</v>
      </c>
      <c r="I8" s="30">
        <f t="shared" si="1"/>
        <v>0</v>
      </c>
    </row>
    <row r="9" spans="2:9" ht="18" customHeight="1" x14ac:dyDescent="0.3">
      <c r="B9" s="26" t="s">
        <v>76</v>
      </c>
      <c r="C9" s="27" t="s">
        <v>72</v>
      </c>
      <c r="D9" s="30">
        <f>IF(B9="","",IF(COUNTIF('👥 Asistencia'!$B:$B, B9)&gt;0, IF(C9="DIA", COUNTIFS('👥 Asistencia'!$B:$B, B9, '👥 Asistencia'!$E:$E, "08:00") + COUNTIFS('👥 Asistencia'!$B:$B, B9, '👥 Asistencia'!$E:$E, "07:00"), COUNTIFS('👥 Asistencia'!$B:$B, B9, '👥 Asistencia'!$E:$E, "20:00")), 6))</f>
        <v>6</v>
      </c>
      <c r="E9" s="34">
        <f>IF(B9="","",IF(COUNTIF('👥 Asistencia'!$B:$B, B9)&gt;0, IF(C9="DIA", SUMIFS('👥 Asistencia'!$H:$H, '👥 Asistencia'!$B:$B, B9, '👥 Asistencia'!$E:$E, "08:00") + SUMIFS('👥 Asistencia'!$H:$H, '👥 Asistencia'!$B:$B, B9, '👥 Asistencia'!$E:$E, "07:00"), SUMIFS('👥 Asistencia'!$H:$H, '👥 Asistencia'!$B:$B, B9, '👥 Asistencia'!$E:$E, "20:00")), 0))</f>
        <v>0</v>
      </c>
      <c r="F9" s="89"/>
      <c r="G9" s="89"/>
      <c r="H9" s="33" t="str">
        <f t="shared" si="0"/>
        <v>2026-05</v>
      </c>
      <c r="I9" s="30">
        <f t="shared" si="1"/>
        <v>0</v>
      </c>
    </row>
    <row r="10" spans="2:9" ht="18" customHeight="1" x14ac:dyDescent="0.3">
      <c r="B10" s="26" t="s">
        <v>76</v>
      </c>
      <c r="C10" s="27" t="s">
        <v>73</v>
      </c>
      <c r="D10" s="30">
        <f>IF(B10="","",IF(COUNTIF('👥 Asistencia'!$B:$B, B10)&gt;0, IF(C10="DIA", COUNTIFS('👥 Asistencia'!$B:$B, B10, '👥 Asistencia'!$E:$E, "08:00") + COUNTIFS('👥 Asistencia'!$B:$B, B10, '👥 Asistencia'!$E:$E, "07:00"), COUNTIFS('👥 Asistencia'!$B:$B, B10, '👥 Asistencia'!$E:$E, "20:00")), 6))</f>
        <v>6</v>
      </c>
      <c r="E10" s="34">
        <f>IF(B10="","",IF(COUNTIF('👥 Asistencia'!$B:$B, B10)&gt;0, IF(C10="DIA", SUMIFS('👥 Asistencia'!$H:$H, '👥 Asistencia'!$B:$B, B10, '👥 Asistencia'!$E:$E, "08:00") + SUMIFS('👥 Asistencia'!$H:$H, '👥 Asistencia'!$B:$B, B10, '👥 Asistencia'!$E:$E, "07:00"), SUMIFS('👥 Asistencia'!$H:$H, '👥 Asistencia'!$B:$B, B10, '👥 Asistencia'!$E:$E, "20:00")), 0))</f>
        <v>0</v>
      </c>
      <c r="F10" s="90"/>
      <c r="G10" s="90"/>
      <c r="H10" s="33" t="str">
        <f t="shared" si="0"/>
        <v>2026-05</v>
      </c>
      <c r="I10" s="30">
        <f t="shared" si="1"/>
        <v>0</v>
      </c>
    </row>
    <row r="11" spans="2:9" ht="18" customHeight="1" x14ac:dyDescent="0.3">
      <c r="B11" s="26" t="s">
        <v>77</v>
      </c>
      <c r="C11" s="27" t="s">
        <v>72</v>
      </c>
      <c r="D11" s="30">
        <f>IF(B11="","",IF(COUNTIF('👥 Asistencia'!$B:$B, B11)&gt;0, IF(C11="DIA", COUNTIFS('👥 Asistencia'!$B:$B, B11, '👥 Asistencia'!$E:$E, "08:00") + COUNTIFS('👥 Asistencia'!$B:$B, B11, '👥 Asistencia'!$E:$E, "07:00"), COUNTIFS('👥 Asistencia'!$B:$B, B11, '👥 Asistencia'!$E:$E, "20:00")), 6))</f>
        <v>6</v>
      </c>
      <c r="E11" s="34">
        <f>IF(B11="","",IF(COUNTIF('👥 Asistencia'!$B:$B, B11)&gt;0, IF(C11="DIA", SUMIFS('👥 Asistencia'!$H:$H, '👥 Asistencia'!$B:$B, B11, '👥 Asistencia'!$E:$E, "08:00") + SUMIFS('👥 Asistencia'!$H:$H, '👥 Asistencia'!$B:$B, B11, '👥 Asistencia'!$E:$E, "07:00"), SUMIFS('👥 Asistencia'!$H:$H, '👥 Asistencia'!$B:$B, B11, '👥 Asistencia'!$E:$E, "20:00")), 0))</f>
        <v>0</v>
      </c>
      <c r="F11" s="89"/>
      <c r="G11" s="89"/>
      <c r="H11" s="33" t="str">
        <f t="shared" si="0"/>
        <v>2026-05</v>
      </c>
      <c r="I11" s="30">
        <f t="shared" si="1"/>
        <v>0</v>
      </c>
    </row>
    <row r="12" spans="2:9" ht="18" customHeight="1" x14ac:dyDescent="0.3">
      <c r="B12" s="26" t="s">
        <v>77</v>
      </c>
      <c r="C12" s="27" t="s">
        <v>73</v>
      </c>
      <c r="D12" s="30">
        <f>IF(B12="","",IF(COUNTIF('👥 Asistencia'!$B:$B, B12)&gt;0, IF(C12="DIA", COUNTIFS('👥 Asistencia'!$B:$B, B12, '👥 Asistencia'!$E:$E, "08:00") + COUNTIFS('👥 Asistencia'!$B:$B, B12, '👥 Asistencia'!$E:$E, "07:00"), COUNTIFS('👥 Asistencia'!$B:$B, B12, '👥 Asistencia'!$E:$E, "20:00")), 6))</f>
        <v>6</v>
      </c>
      <c r="E12" s="34">
        <f>IF(B12="","",IF(COUNTIF('👥 Asistencia'!$B:$B, B12)&gt;0, IF(C12="DIA", SUMIFS('👥 Asistencia'!$H:$H, '👥 Asistencia'!$B:$B, B12, '👥 Asistencia'!$E:$E, "08:00") + SUMIFS('👥 Asistencia'!$H:$H, '👥 Asistencia'!$B:$B, B12, '👥 Asistencia'!$E:$E, "07:00"), SUMIFS('👥 Asistencia'!$H:$H, '👥 Asistencia'!$B:$B, B12, '👥 Asistencia'!$E:$E, "20:00")), 0))</f>
        <v>0</v>
      </c>
      <c r="F12" s="90"/>
      <c r="G12" s="90"/>
      <c r="H12" s="33" t="str">
        <f t="shared" si="0"/>
        <v>2026-05</v>
      </c>
      <c r="I12" s="30">
        <f t="shared" si="1"/>
        <v>0</v>
      </c>
    </row>
    <row r="13" spans="2:9" ht="18" customHeight="1" x14ac:dyDescent="0.3">
      <c r="B13" s="26" t="s">
        <v>78</v>
      </c>
      <c r="C13" s="27" t="s">
        <v>72</v>
      </c>
      <c r="D13" s="30">
        <f>IF(B13="","",IF(COUNTIF('👥 Asistencia'!$B:$B, B13)&gt;0, IF(C13="DIA", COUNTIFS('👥 Asistencia'!$B:$B, B13, '👥 Asistencia'!$E:$E, "08:00") + COUNTIFS('👥 Asistencia'!$B:$B, B13, '👥 Asistencia'!$E:$E, "07:00"), COUNTIFS('👥 Asistencia'!$B:$B, B13, '👥 Asistencia'!$E:$E, "20:00")), 6))</f>
        <v>6</v>
      </c>
      <c r="E13" s="34">
        <f>IF(B13="","",IF(COUNTIF('👥 Asistencia'!$B:$B, B13)&gt;0, IF(C13="DIA", SUMIFS('👥 Asistencia'!$H:$H, '👥 Asistencia'!$B:$B, B13, '👥 Asistencia'!$E:$E, "08:00") + SUMIFS('👥 Asistencia'!$H:$H, '👥 Asistencia'!$B:$B, B13, '👥 Asistencia'!$E:$E, "07:00"), SUMIFS('👥 Asistencia'!$H:$H, '👥 Asistencia'!$B:$B, B13, '👥 Asistencia'!$E:$E, "20:00")), 0))</f>
        <v>0</v>
      </c>
      <c r="F13" s="89"/>
      <c r="G13" s="89"/>
      <c r="H13" s="33" t="str">
        <f t="shared" si="0"/>
        <v>2026-05</v>
      </c>
      <c r="I13" s="30">
        <f t="shared" si="1"/>
        <v>0</v>
      </c>
    </row>
    <row r="14" spans="2:9" ht="18" customHeight="1" x14ac:dyDescent="0.3">
      <c r="B14" s="26" t="s">
        <v>78</v>
      </c>
      <c r="C14" s="27" t="s">
        <v>73</v>
      </c>
      <c r="D14" s="30">
        <f>IF(B14="","",IF(COUNTIF('👥 Asistencia'!$B:$B, B14)&gt;0, IF(C14="DIA", COUNTIFS('👥 Asistencia'!$B:$B, B14, '👥 Asistencia'!$E:$E, "08:00") + COUNTIFS('👥 Asistencia'!$B:$B, B14, '👥 Asistencia'!$E:$E, "07:00"), COUNTIFS('👥 Asistencia'!$B:$B, B14, '👥 Asistencia'!$E:$E, "20:00")), 6))</f>
        <v>6</v>
      </c>
      <c r="E14" s="34">
        <f>IF(B14="","",IF(COUNTIF('👥 Asistencia'!$B:$B, B14)&gt;0, IF(C14="DIA", SUMIFS('👥 Asistencia'!$H:$H, '👥 Asistencia'!$B:$B, B14, '👥 Asistencia'!$E:$E, "08:00") + SUMIFS('👥 Asistencia'!$H:$H, '👥 Asistencia'!$B:$B, B14, '👥 Asistencia'!$E:$E, "07:00"), SUMIFS('👥 Asistencia'!$H:$H, '👥 Asistencia'!$B:$B, B14, '👥 Asistencia'!$E:$E, "20:00")), 0))</f>
        <v>0</v>
      </c>
      <c r="F14" s="90"/>
      <c r="G14" s="90"/>
      <c r="H14" s="33" t="str">
        <f t="shared" si="0"/>
        <v>2026-05</v>
      </c>
      <c r="I14" s="30">
        <f t="shared" si="1"/>
        <v>0</v>
      </c>
    </row>
    <row r="15" spans="2:9" ht="18" customHeight="1" x14ac:dyDescent="0.3">
      <c r="B15" s="26" t="s">
        <v>79</v>
      </c>
      <c r="C15" s="27" t="s">
        <v>72</v>
      </c>
      <c r="D15" s="30">
        <f>IF(B15="","",IF(COUNTIF('👥 Asistencia'!$B:$B, B15)&gt;0, IF(C15="DIA", COUNTIFS('👥 Asistencia'!$B:$B, B15, '👥 Asistencia'!$E:$E, "08:00") + COUNTIFS('👥 Asistencia'!$B:$B, B15, '👥 Asistencia'!$E:$E, "07:00"), COUNTIFS('👥 Asistencia'!$B:$B, B15, '👥 Asistencia'!$E:$E, "20:00")), 6))</f>
        <v>6</v>
      </c>
      <c r="E15" s="34">
        <f>IF(B15="","",IF(COUNTIF('👥 Asistencia'!$B:$B, B15)&gt;0, IF(C15="DIA", SUMIFS('👥 Asistencia'!$H:$H, '👥 Asistencia'!$B:$B, B15, '👥 Asistencia'!$E:$E, "08:00") + SUMIFS('👥 Asistencia'!$H:$H, '👥 Asistencia'!$B:$B, B15, '👥 Asistencia'!$E:$E, "07:00"), SUMIFS('👥 Asistencia'!$H:$H, '👥 Asistencia'!$B:$B, B15, '👥 Asistencia'!$E:$E, "20:00")), 0))</f>
        <v>0</v>
      </c>
      <c r="F15" s="89"/>
      <c r="G15" s="89"/>
      <c r="H15" s="33" t="str">
        <f t="shared" si="0"/>
        <v>2026-05</v>
      </c>
      <c r="I15" s="30">
        <f t="shared" si="1"/>
        <v>0</v>
      </c>
    </row>
    <row r="16" spans="2:9" ht="18" customHeight="1" x14ac:dyDescent="0.3">
      <c r="B16" s="26" t="s">
        <v>79</v>
      </c>
      <c r="C16" s="27" t="s">
        <v>73</v>
      </c>
      <c r="D16" s="30">
        <f>IF(B16="","",IF(COUNTIF('👥 Asistencia'!$B:$B, B16)&gt;0, IF(C16="DIA", COUNTIFS('👥 Asistencia'!$B:$B, B16, '👥 Asistencia'!$E:$E, "08:00") + COUNTIFS('👥 Asistencia'!$B:$B, B16, '👥 Asistencia'!$E:$E, "07:00"), COUNTIFS('👥 Asistencia'!$B:$B, B16, '👥 Asistencia'!$E:$E, "20:00")), 6))</f>
        <v>6</v>
      </c>
      <c r="E16" s="34">
        <f>IF(B16="","",IF(COUNTIF('👥 Asistencia'!$B:$B, B16)&gt;0, IF(C16="DIA", SUMIFS('👥 Asistencia'!$H:$H, '👥 Asistencia'!$B:$B, B16, '👥 Asistencia'!$E:$E, "08:00") + SUMIFS('👥 Asistencia'!$H:$H, '👥 Asistencia'!$B:$B, B16, '👥 Asistencia'!$E:$E, "07:00"), SUMIFS('👥 Asistencia'!$H:$H, '👥 Asistencia'!$B:$B, B16, '👥 Asistencia'!$E:$E, "20:00")), 0))</f>
        <v>0</v>
      </c>
      <c r="F16" s="90"/>
      <c r="G16" s="90"/>
      <c r="H16" s="33" t="str">
        <f t="shared" si="0"/>
        <v>2026-05</v>
      </c>
      <c r="I16" s="30">
        <f t="shared" si="1"/>
        <v>0</v>
      </c>
    </row>
    <row r="17" spans="2:9" ht="18" customHeight="1" x14ac:dyDescent="0.3">
      <c r="B17" s="26" t="s">
        <v>80</v>
      </c>
      <c r="C17" s="27" t="s">
        <v>72</v>
      </c>
      <c r="D17" s="30">
        <f>IF(B17="","",IF(COUNTIF('👥 Asistencia'!$B:$B, B17)&gt;0, IF(C17="DIA", COUNTIFS('👥 Asistencia'!$B:$B, B17, '👥 Asistencia'!$E:$E, "08:00") + COUNTIFS('👥 Asistencia'!$B:$B, B17, '👥 Asistencia'!$E:$E, "07:00"), COUNTIFS('👥 Asistencia'!$B:$B, B17, '👥 Asistencia'!$E:$E, "20:00")), 6))</f>
        <v>6</v>
      </c>
      <c r="E17" s="34">
        <f>IF(B17="","",IF(COUNTIF('👥 Asistencia'!$B:$B, B17)&gt;0, IF(C17="DIA", SUMIFS('👥 Asistencia'!$H:$H, '👥 Asistencia'!$B:$B, B17, '👥 Asistencia'!$E:$E, "08:00") + SUMIFS('👥 Asistencia'!$H:$H, '👥 Asistencia'!$B:$B, B17, '👥 Asistencia'!$E:$E, "07:00"), SUMIFS('👥 Asistencia'!$H:$H, '👥 Asistencia'!$B:$B, B17, '👥 Asistencia'!$E:$E, "20:00")), 0))</f>
        <v>0</v>
      </c>
      <c r="F17" s="89"/>
      <c r="G17" s="89"/>
      <c r="H17" s="33" t="str">
        <f t="shared" si="0"/>
        <v>2026-05</v>
      </c>
      <c r="I17" s="30">
        <f t="shared" si="1"/>
        <v>0</v>
      </c>
    </row>
    <row r="18" spans="2:9" ht="18" customHeight="1" x14ac:dyDescent="0.3">
      <c r="B18" s="26" t="s">
        <v>80</v>
      </c>
      <c r="C18" s="27" t="s">
        <v>73</v>
      </c>
      <c r="D18" s="30">
        <f>IF(B18="","",IF(COUNTIF('👥 Asistencia'!$B:$B, B18)&gt;0, IF(C18="DIA", COUNTIFS('👥 Asistencia'!$B:$B, B18, '👥 Asistencia'!$E:$E, "08:00") + COUNTIFS('👥 Asistencia'!$B:$B, B18, '👥 Asistencia'!$E:$E, "07:00"), COUNTIFS('👥 Asistencia'!$B:$B, B18, '👥 Asistencia'!$E:$E, "20:00")), 6))</f>
        <v>6</v>
      </c>
      <c r="E18" s="34">
        <f>IF(B18="","",IF(COUNTIF('👥 Asistencia'!$B:$B, B18)&gt;0, IF(C18="DIA", SUMIFS('👥 Asistencia'!$H:$H, '👥 Asistencia'!$B:$B, B18, '👥 Asistencia'!$E:$E, "08:00") + SUMIFS('👥 Asistencia'!$H:$H, '👥 Asistencia'!$B:$B, B18, '👥 Asistencia'!$E:$E, "07:00"), SUMIFS('👥 Asistencia'!$H:$H, '👥 Asistencia'!$B:$B, B18, '👥 Asistencia'!$E:$E, "20:00")), 0))</f>
        <v>0</v>
      </c>
      <c r="F18" s="90"/>
      <c r="G18" s="90"/>
      <c r="H18" s="33" t="str">
        <f t="shared" si="0"/>
        <v>2026-05</v>
      </c>
      <c r="I18" s="30">
        <f t="shared" si="1"/>
        <v>0</v>
      </c>
    </row>
    <row r="19" spans="2:9" ht="18" customHeight="1" x14ac:dyDescent="0.3">
      <c r="B19" s="26" t="s">
        <v>81</v>
      </c>
      <c r="C19" s="27" t="s">
        <v>72</v>
      </c>
      <c r="D19" s="30">
        <f>IF(B19="","",IF(COUNTIF('👥 Asistencia'!$B:$B, B19)&gt;0, IF(C19="DIA", COUNTIFS('👥 Asistencia'!$B:$B, B19, '👥 Asistencia'!$E:$E, "08:00") + COUNTIFS('👥 Asistencia'!$B:$B, B19, '👥 Asistencia'!$E:$E, "07:00"), COUNTIFS('👥 Asistencia'!$B:$B, B19, '👥 Asistencia'!$E:$E, "20:00")), 6))</f>
        <v>6</v>
      </c>
      <c r="E19" s="34">
        <f>IF(B19="","",IF(COUNTIF('👥 Asistencia'!$B:$B, B19)&gt;0, IF(C19="DIA", SUMIFS('👥 Asistencia'!$H:$H, '👥 Asistencia'!$B:$B, B19, '👥 Asistencia'!$E:$E, "08:00") + SUMIFS('👥 Asistencia'!$H:$H, '👥 Asistencia'!$B:$B, B19, '👥 Asistencia'!$E:$E, "07:00"), SUMIFS('👥 Asistencia'!$H:$H, '👥 Asistencia'!$B:$B, B19, '👥 Asistencia'!$E:$E, "20:00")), 0))</f>
        <v>0</v>
      </c>
      <c r="F19" s="89"/>
      <c r="G19" s="89"/>
      <c r="H19" s="33" t="str">
        <f t="shared" si="0"/>
        <v>2026-05</v>
      </c>
      <c r="I19" s="30">
        <f t="shared" si="1"/>
        <v>0</v>
      </c>
    </row>
    <row r="20" spans="2:9" ht="18" customHeight="1" x14ac:dyDescent="0.3">
      <c r="B20" s="26" t="s">
        <v>82</v>
      </c>
      <c r="C20" s="27" t="s">
        <v>72</v>
      </c>
      <c r="D20" s="30">
        <f>IF(B20="","",IF(COUNTIF('👥 Asistencia'!$B:$B, B20)&gt;0, IF(C20="DIA", COUNTIFS('👥 Asistencia'!$B:$B, B20, '👥 Asistencia'!$E:$E, "08:00") + COUNTIFS('👥 Asistencia'!$B:$B, B20, '👥 Asistencia'!$E:$E, "07:00"), COUNTIFS('👥 Asistencia'!$B:$B, B20, '👥 Asistencia'!$E:$E, "20:00")), 6))</f>
        <v>6</v>
      </c>
      <c r="E20" s="34">
        <f>IF(B20="","",IF(COUNTIF('👥 Asistencia'!$B:$B, B20)&gt;0, IF(C20="DIA", SUMIFS('👥 Asistencia'!$H:$H, '👥 Asistencia'!$B:$B, B20, '👥 Asistencia'!$E:$E, "08:00") + SUMIFS('👥 Asistencia'!$H:$H, '👥 Asistencia'!$B:$B, B20, '👥 Asistencia'!$E:$E, "07:00"), SUMIFS('👥 Asistencia'!$H:$H, '👥 Asistencia'!$B:$B, B20, '👥 Asistencia'!$E:$E, "20:00")), 0))</f>
        <v>0</v>
      </c>
      <c r="F20" s="90"/>
      <c r="G20" s="90"/>
      <c r="H20" s="33" t="str">
        <f t="shared" si="0"/>
        <v>2026-05</v>
      </c>
      <c r="I20" s="30">
        <f t="shared" si="1"/>
        <v>0</v>
      </c>
    </row>
    <row r="21" spans="2:9" ht="18" customHeight="1" x14ac:dyDescent="0.3">
      <c r="B21" s="26" t="s">
        <v>82</v>
      </c>
      <c r="C21" s="27" t="s">
        <v>73</v>
      </c>
      <c r="D21" s="30">
        <f>IF(B21="","",IF(COUNTIF('👥 Asistencia'!$B:$B, B21)&gt;0, IF(C21="DIA", COUNTIFS('👥 Asistencia'!$B:$B, B21, '👥 Asistencia'!$E:$E, "08:00") + COUNTIFS('👥 Asistencia'!$B:$B, B21, '👥 Asistencia'!$E:$E, "07:00"), COUNTIFS('👥 Asistencia'!$B:$B, B21, '👥 Asistencia'!$E:$E, "20:00")), 6))</f>
        <v>6</v>
      </c>
      <c r="E21" s="34">
        <f>IF(B21="","",IF(COUNTIF('👥 Asistencia'!$B:$B, B21)&gt;0, IF(C21="DIA", SUMIFS('👥 Asistencia'!$H:$H, '👥 Asistencia'!$B:$B, B21, '👥 Asistencia'!$E:$E, "08:00") + SUMIFS('👥 Asistencia'!$H:$H, '👥 Asistencia'!$B:$B, B21, '👥 Asistencia'!$E:$E, "07:00"), SUMIFS('👥 Asistencia'!$H:$H, '👥 Asistencia'!$B:$B, B21, '👥 Asistencia'!$E:$E, "20:00")), 0))</f>
        <v>0</v>
      </c>
      <c r="F21" s="89"/>
      <c r="G21" s="89"/>
      <c r="H21" s="33" t="str">
        <f t="shared" si="0"/>
        <v>2026-05</v>
      </c>
      <c r="I21" s="30">
        <f t="shared" si="1"/>
        <v>0</v>
      </c>
    </row>
    <row r="22" spans="2:9" ht="18" customHeight="1" x14ac:dyDescent="0.3">
      <c r="B22" s="26" t="s">
        <v>83</v>
      </c>
      <c r="C22" s="27" t="s">
        <v>72</v>
      </c>
      <c r="D22" s="30">
        <f>IF(B22="","",IF(COUNTIF('👥 Asistencia'!$B:$B, B22)&gt;0, IF(C22="DIA", COUNTIFS('👥 Asistencia'!$B:$B, B22, '👥 Asistencia'!$E:$E, "08:00") + COUNTIFS('👥 Asistencia'!$B:$B, B22, '👥 Asistencia'!$E:$E, "07:00"), COUNTIFS('👥 Asistencia'!$B:$B, B22, '👥 Asistencia'!$E:$E, "20:00")), 6))</f>
        <v>6</v>
      </c>
      <c r="E22" s="34">
        <f>IF(B22="","",IF(COUNTIF('👥 Asistencia'!$B:$B, B22)&gt;0, IF(C22="DIA", SUMIFS('👥 Asistencia'!$H:$H, '👥 Asistencia'!$B:$B, B22, '👥 Asistencia'!$E:$E, "08:00") + SUMIFS('👥 Asistencia'!$H:$H, '👥 Asistencia'!$B:$B, B22, '👥 Asistencia'!$E:$E, "07:00"), SUMIFS('👥 Asistencia'!$H:$H, '👥 Asistencia'!$B:$B, B22, '👥 Asistencia'!$E:$E, "20:00")), 0))</f>
        <v>0</v>
      </c>
      <c r="F22" s="90"/>
      <c r="G22" s="90"/>
      <c r="H22" s="33" t="str">
        <f t="shared" si="0"/>
        <v>2026-05</v>
      </c>
      <c r="I22" s="30">
        <f t="shared" si="1"/>
        <v>0</v>
      </c>
    </row>
    <row r="23" spans="2:9" ht="18" customHeight="1" x14ac:dyDescent="0.3">
      <c r="B23" s="26" t="s">
        <v>83</v>
      </c>
      <c r="C23" s="27" t="s">
        <v>73</v>
      </c>
      <c r="D23" s="30">
        <f>IF(B23="","",IF(COUNTIF('👥 Asistencia'!$B:$B, B23)&gt;0, IF(C23="DIA", COUNTIFS('👥 Asistencia'!$B:$B, B23, '👥 Asistencia'!$E:$E, "08:00") + COUNTIFS('👥 Asistencia'!$B:$B, B23, '👥 Asistencia'!$E:$E, "07:00"), COUNTIFS('👥 Asistencia'!$B:$B, B23, '👥 Asistencia'!$E:$E, "20:00")), 6))</f>
        <v>6</v>
      </c>
      <c r="E23" s="34">
        <f>IF(B23="","",IF(COUNTIF('👥 Asistencia'!$B:$B, B23)&gt;0, IF(C23="DIA", SUMIFS('👥 Asistencia'!$H:$H, '👥 Asistencia'!$B:$B, B23, '👥 Asistencia'!$E:$E, "08:00") + SUMIFS('👥 Asistencia'!$H:$H, '👥 Asistencia'!$B:$B, B23, '👥 Asistencia'!$E:$E, "07:00"), SUMIFS('👥 Asistencia'!$H:$H, '👥 Asistencia'!$B:$B, B23, '👥 Asistencia'!$E:$E, "20:00")), 0))</f>
        <v>0</v>
      </c>
      <c r="F23" s="89"/>
      <c r="G23" s="89"/>
      <c r="H23" s="33" t="str">
        <f t="shared" si="0"/>
        <v>2026-05</v>
      </c>
      <c r="I23" s="30">
        <f t="shared" si="1"/>
        <v>0</v>
      </c>
    </row>
    <row r="24" spans="2:9" ht="18" customHeight="1" x14ac:dyDescent="0.3">
      <c r="B24" s="26" t="s">
        <v>84</v>
      </c>
      <c r="C24" s="27" t="s">
        <v>72</v>
      </c>
      <c r="D24" s="30">
        <f>IF(B24="","",IF(COUNTIF('👥 Asistencia'!$B:$B, B24)&gt;0, IF(C24="DIA", COUNTIFS('👥 Asistencia'!$B:$B, B24, '👥 Asistencia'!$E:$E, "08:00") + COUNTIFS('👥 Asistencia'!$B:$B, B24, '👥 Asistencia'!$E:$E, "07:00"), COUNTIFS('👥 Asistencia'!$B:$B, B24, '👥 Asistencia'!$E:$E, "20:00")), 6))</f>
        <v>6</v>
      </c>
      <c r="E24" s="34">
        <f>IF(B24="","",IF(COUNTIF('👥 Asistencia'!$B:$B, B24)&gt;0, IF(C24="DIA", SUMIFS('👥 Asistencia'!$H:$H, '👥 Asistencia'!$B:$B, B24, '👥 Asistencia'!$E:$E, "08:00") + SUMIFS('👥 Asistencia'!$H:$H, '👥 Asistencia'!$B:$B, B24, '👥 Asistencia'!$E:$E, "07:00"), SUMIFS('👥 Asistencia'!$H:$H, '👥 Asistencia'!$B:$B, B24, '👥 Asistencia'!$E:$E, "20:00")), 0))</f>
        <v>0</v>
      </c>
      <c r="F24" s="90"/>
      <c r="G24" s="90"/>
      <c r="H24" s="33" t="str">
        <f t="shared" si="0"/>
        <v>2026-05</v>
      </c>
      <c r="I24" s="30">
        <f t="shared" si="1"/>
        <v>0</v>
      </c>
    </row>
    <row r="25" spans="2:9" ht="18" customHeight="1" x14ac:dyDescent="0.3">
      <c r="B25" s="26" t="s">
        <v>84</v>
      </c>
      <c r="C25" s="27" t="s">
        <v>73</v>
      </c>
      <c r="D25" s="30">
        <f>IF(B25="","",IF(COUNTIF('👥 Asistencia'!$B:$B, B25)&gt;0, IF(C25="DIA", COUNTIFS('👥 Asistencia'!$B:$B, B25, '👥 Asistencia'!$E:$E, "08:00") + COUNTIFS('👥 Asistencia'!$B:$B, B25, '👥 Asistencia'!$E:$E, "07:00"), COUNTIFS('👥 Asistencia'!$B:$B, B25, '👥 Asistencia'!$E:$E, "20:00")), 6))</f>
        <v>6</v>
      </c>
      <c r="E25" s="34">
        <f>IF(B25="","",IF(COUNTIF('👥 Asistencia'!$B:$B, B25)&gt;0, IF(C25="DIA", SUMIFS('👥 Asistencia'!$H:$H, '👥 Asistencia'!$B:$B, B25, '👥 Asistencia'!$E:$E, "08:00") + SUMIFS('👥 Asistencia'!$H:$H, '👥 Asistencia'!$B:$B, B25, '👥 Asistencia'!$E:$E, "07:00"), SUMIFS('👥 Asistencia'!$H:$H, '👥 Asistencia'!$B:$B, B25, '👥 Asistencia'!$E:$E, "20:00")), 0))</f>
        <v>0</v>
      </c>
      <c r="F25" s="89"/>
      <c r="G25" s="89"/>
      <c r="H25" s="33" t="str">
        <f t="shared" si="0"/>
        <v>2026-05</v>
      </c>
      <c r="I25" s="30">
        <f t="shared" si="1"/>
        <v>0</v>
      </c>
    </row>
    <row r="26" spans="2:9" ht="18" customHeight="1" x14ac:dyDescent="0.3">
      <c r="B26" s="26" t="s">
        <v>85</v>
      </c>
      <c r="C26" s="27" t="s">
        <v>72</v>
      </c>
      <c r="D26" s="30">
        <f>IF(B26="","",IF(COUNTIF('👥 Asistencia'!$B:$B, B26)&gt;0, IF(C26="DIA", COUNTIFS('👥 Asistencia'!$B:$B, B26, '👥 Asistencia'!$E:$E, "08:00") + COUNTIFS('👥 Asistencia'!$B:$B, B26, '👥 Asistencia'!$E:$E, "07:00"), COUNTIFS('👥 Asistencia'!$B:$B, B26, '👥 Asistencia'!$E:$E, "20:00")), 6))</f>
        <v>6</v>
      </c>
      <c r="E26" s="34">
        <f>IF(B26="","",IF(COUNTIF('👥 Asistencia'!$B:$B, B26)&gt;0, IF(C26="DIA", SUMIFS('👥 Asistencia'!$H:$H, '👥 Asistencia'!$B:$B, B26, '👥 Asistencia'!$E:$E, "08:00") + SUMIFS('👥 Asistencia'!$H:$H, '👥 Asistencia'!$B:$B, B26, '👥 Asistencia'!$E:$E, "07:00"), SUMIFS('👥 Asistencia'!$H:$H, '👥 Asistencia'!$B:$B, B26, '👥 Asistencia'!$E:$E, "20:00")), 0))</f>
        <v>0</v>
      </c>
      <c r="F26" s="90"/>
      <c r="G26" s="90"/>
      <c r="H26" s="33" t="str">
        <f t="shared" si="0"/>
        <v>2026-05</v>
      </c>
      <c r="I26" s="30">
        <f t="shared" si="1"/>
        <v>0</v>
      </c>
    </row>
    <row r="27" spans="2:9" ht="18" customHeight="1" x14ac:dyDescent="0.3">
      <c r="B27" s="26" t="s">
        <v>85</v>
      </c>
      <c r="C27" s="27" t="s">
        <v>73</v>
      </c>
      <c r="D27" s="30">
        <f>IF(B27="","",IF(COUNTIF('👥 Asistencia'!$B:$B, B27)&gt;0, IF(C27="DIA", COUNTIFS('👥 Asistencia'!$B:$B, B27, '👥 Asistencia'!$E:$E, "08:00") + COUNTIFS('👥 Asistencia'!$B:$B, B27, '👥 Asistencia'!$E:$E, "07:00"), COUNTIFS('👥 Asistencia'!$B:$B, B27, '👥 Asistencia'!$E:$E, "20:00")), 6))</f>
        <v>6</v>
      </c>
      <c r="E27" s="34">
        <f>IF(B27="","",IF(COUNTIF('👥 Asistencia'!$B:$B, B27)&gt;0, IF(C27="DIA", SUMIFS('👥 Asistencia'!$H:$H, '👥 Asistencia'!$B:$B, B27, '👥 Asistencia'!$E:$E, "08:00") + SUMIFS('👥 Asistencia'!$H:$H, '👥 Asistencia'!$B:$B, B27, '👥 Asistencia'!$E:$E, "07:00"), SUMIFS('👥 Asistencia'!$H:$H, '👥 Asistencia'!$B:$B, B27, '👥 Asistencia'!$E:$E, "20:00")), 0))</f>
        <v>0</v>
      </c>
      <c r="F27" s="89"/>
      <c r="G27" s="89"/>
      <c r="H27" s="33" t="str">
        <f t="shared" si="0"/>
        <v>2026-05</v>
      </c>
      <c r="I27" s="30">
        <f t="shared" si="1"/>
        <v>0</v>
      </c>
    </row>
    <row r="28" spans="2:9" ht="18" customHeight="1" x14ac:dyDescent="0.3">
      <c r="B28" s="26" t="s">
        <v>86</v>
      </c>
      <c r="C28" s="27" t="s">
        <v>72</v>
      </c>
      <c r="D28" s="30">
        <f>IF(B28="","",IF(COUNTIF('👥 Asistencia'!$B:$B, B28)&gt;0, IF(C28="DIA", COUNTIFS('👥 Asistencia'!$B:$B, B28, '👥 Asistencia'!$E:$E, "08:00") + COUNTIFS('👥 Asistencia'!$B:$B, B28, '👥 Asistencia'!$E:$E, "07:00"), COUNTIFS('👥 Asistencia'!$B:$B, B28, '👥 Asistencia'!$E:$E, "20:00")), 6))</f>
        <v>6</v>
      </c>
      <c r="E28" s="34">
        <f>IF(B28="","",IF(COUNTIF('👥 Asistencia'!$B:$B, B28)&gt;0, IF(C28="DIA", SUMIFS('👥 Asistencia'!$H:$H, '👥 Asistencia'!$B:$B, B28, '👥 Asistencia'!$E:$E, "08:00") + SUMIFS('👥 Asistencia'!$H:$H, '👥 Asistencia'!$B:$B, B28, '👥 Asistencia'!$E:$E, "07:00"), SUMIFS('👥 Asistencia'!$H:$H, '👥 Asistencia'!$B:$B, B28, '👥 Asistencia'!$E:$E, "20:00")), 0))</f>
        <v>0</v>
      </c>
      <c r="F28" s="90"/>
      <c r="G28" s="90"/>
      <c r="H28" s="33" t="str">
        <f t="shared" si="0"/>
        <v>2026-05</v>
      </c>
      <c r="I28" s="30">
        <f t="shared" si="1"/>
        <v>0</v>
      </c>
    </row>
    <row r="29" spans="2:9" ht="18" customHeight="1" x14ac:dyDescent="0.3">
      <c r="B29" s="26" t="s">
        <v>86</v>
      </c>
      <c r="C29" s="27" t="s">
        <v>73</v>
      </c>
      <c r="D29" s="30">
        <f>IF(B29="","",IF(COUNTIF('👥 Asistencia'!$B:$B, B29)&gt;0, IF(C29="DIA", COUNTIFS('👥 Asistencia'!$B:$B, B29, '👥 Asistencia'!$E:$E, "08:00") + COUNTIFS('👥 Asistencia'!$B:$B, B29, '👥 Asistencia'!$E:$E, "07:00"), COUNTIFS('👥 Asistencia'!$B:$B, B29, '👥 Asistencia'!$E:$E, "20:00")), 6))</f>
        <v>6</v>
      </c>
      <c r="E29" s="34">
        <f>IF(B29="","",IF(COUNTIF('👥 Asistencia'!$B:$B, B29)&gt;0, IF(C29="DIA", SUMIFS('👥 Asistencia'!$H:$H, '👥 Asistencia'!$B:$B, B29, '👥 Asistencia'!$E:$E, "08:00") + SUMIFS('👥 Asistencia'!$H:$H, '👥 Asistencia'!$B:$B, B29, '👥 Asistencia'!$E:$E, "07:00"), SUMIFS('👥 Asistencia'!$H:$H, '👥 Asistencia'!$B:$B, B29, '👥 Asistencia'!$E:$E, "20:00")), 0))</f>
        <v>0</v>
      </c>
      <c r="F29" s="89"/>
      <c r="G29" s="89"/>
      <c r="H29" s="33" t="str">
        <f t="shared" si="0"/>
        <v>2026-05</v>
      </c>
      <c r="I29" s="30">
        <f t="shared" si="1"/>
        <v>0</v>
      </c>
    </row>
    <row r="30" spans="2:9" ht="18" customHeight="1" x14ac:dyDescent="0.3">
      <c r="B30" s="26" t="s">
        <v>87</v>
      </c>
      <c r="C30" s="27" t="s">
        <v>72</v>
      </c>
      <c r="D30" s="30">
        <f>IF(B30="","",IF(COUNTIF('👥 Asistencia'!$B:$B, B30)&gt;0, IF(C30="DIA", COUNTIFS('👥 Asistencia'!$B:$B, B30, '👥 Asistencia'!$E:$E, "08:00") + COUNTIFS('👥 Asistencia'!$B:$B, B30, '👥 Asistencia'!$E:$E, "07:00"), COUNTIFS('👥 Asistencia'!$B:$B, B30, '👥 Asistencia'!$E:$E, "20:00")), 6))</f>
        <v>6</v>
      </c>
      <c r="E30" s="34">
        <f>IF(B30="","",IF(COUNTIF('👥 Asistencia'!$B:$B, B30)&gt;0, IF(C30="DIA", SUMIFS('👥 Asistencia'!$H:$H, '👥 Asistencia'!$B:$B, B30, '👥 Asistencia'!$E:$E, "08:00") + SUMIFS('👥 Asistencia'!$H:$H, '👥 Asistencia'!$B:$B, B30, '👥 Asistencia'!$E:$E, "07:00"), SUMIFS('👥 Asistencia'!$H:$H, '👥 Asistencia'!$B:$B, B30, '👥 Asistencia'!$E:$E, "20:00")), 0))</f>
        <v>0</v>
      </c>
      <c r="F30" s="90"/>
      <c r="G30" s="90"/>
      <c r="H30" s="33" t="str">
        <f t="shared" si="0"/>
        <v>2026-05</v>
      </c>
      <c r="I30" s="30">
        <f t="shared" si="1"/>
        <v>0</v>
      </c>
    </row>
    <row r="31" spans="2:9" ht="18" customHeight="1" x14ac:dyDescent="0.3">
      <c r="B31" s="26" t="s">
        <v>87</v>
      </c>
      <c r="C31" s="27" t="s">
        <v>73</v>
      </c>
      <c r="D31" s="30">
        <f>IF(B31="","",IF(COUNTIF('👥 Asistencia'!$B:$B, B31)&gt;0, IF(C31="DIA", COUNTIFS('👥 Asistencia'!$B:$B, B31, '👥 Asistencia'!$E:$E, "08:00") + COUNTIFS('👥 Asistencia'!$B:$B, B31, '👥 Asistencia'!$E:$E, "07:00"), COUNTIFS('👥 Asistencia'!$B:$B, B31, '👥 Asistencia'!$E:$E, "20:00")), 6))</f>
        <v>6</v>
      </c>
      <c r="E31" s="34">
        <f>IF(B31="","",IF(COUNTIF('👥 Asistencia'!$B:$B, B31)&gt;0, IF(C31="DIA", SUMIFS('👥 Asistencia'!$H:$H, '👥 Asistencia'!$B:$B, B31, '👥 Asistencia'!$E:$E, "08:00") + SUMIFS('👥 Asistencia'!$H:$H, '👥 Asistencia'!$B:$B, B31, '👥 Asistencia'!$E:$E, "07:00"), SUMIFS('👥 Asistencia'!$H:$H, '👥 Asistencia'!$B:$B, B31, '👥 Asistencia'!$E:$E, "20:00")), 0))</f>
        <v>0</v>
      </c>
      <c r="F31" s="89"/>
      <c r="G31" s="89"/>
      <c r="H31" s="33" t="str">
        <f t="shared" si="0"/>
        <v>2026-05</v>
      </c>
      <c r="I31" s="30">
        <f t="shared" si="1"/>
        <v>0</v>
      </c>
    </row>
    <row r="32" spans="2:9" ht="18" customHeight="1" x14ac:dyDescent="0.3">
      <c r="B32" s="26" t="s">
        <v>88</v>
      </c>
      <c r="C32" s="27" t="s">
        <v>72</v>
      </c>
      <c r="D32" s="30">
        <f>IF(B32="","",IF(COUNTIF('👥 Asistencia'!$B:$B, B32)&gt;0, IF(C32="DIA", COUNTIFS('👥 Asistencia'!$B:$B, B32, '👥 Asistencia'!$E:$E, "08:00") + COUNTIFS('👥 Asistencia'!$B:$B, B32, '👥 Asistencia'!$E:$E, "07:00"), COUNTIFS('👥 Asistencia'!$B:$B, B32, '👥 Asistencia'!$E:$E, "20:00")), 6))</f>
        <v>6</v>
      </c>
      <c r="E32" s="34">
        <f>IF(B32="","",IF(COUNTIF('👥 Asistencia'!$B:$B, B32)&gt;0, IF(C32="DIA", SUMIFS('👥 Asistencia'!$H:$H, '👥 Asistencia'!$B:$B, B32, '👥 Asistencia'!$E:$E, "08:00") + SUMIFS('👥 Asistencia'!$H:$H, '👥 Asistencia'!$B:$B, B32, '👥 Asistencia'!$E:$E, "07:00"), SUMIFS('👥 Asistencia'!$H:$H, '👥 Asistencia'!$B:$B, B32, '👥 Asistencia'!$E:$E, "20:00")), 0))</f>
        <v>0</v>
      </c>
      <c r="F32" s="90"/>
      <c r="G32" s="90"/>
      <c r="H32" s="33" t="str">
        <f t="shared" si="0"/>
        <v>2026-05</v>
      </c>
      <c r="I32" s="30">
        <f t="shared" si="1"/>
        <v>0</v>
      </c>
    </row>
    <row r="33" spans="2:9" ht="18" customHeight="1" x14ac:dyDescent="0.3">
      <c r="B33" s="26" t="s">
        <v>89</v>
      </c>
      <c r="C33" s="27" t="s">
        <v>72</v>
      </c>
      <c r="D33" s="30">
        <f>IF(B33="","",IF(COUNTIF('👥 Asistencia'!$B:$B, B33)&gt;0, IF(C33="DIA", COUNTIFS('👥 Asistencia'!$B:$B, B33, '👥 Asistencia'!$E:$E, "08:00") + COUNTIFS('👥 Asistencia'!$B:$B, B33, '👥 Asistencia'!$E:$E, "07:00"), COUNTIFS('👥 Asistencia'!$B:$B, B33, '👥 Asistencia'!$E:$E, "20:00")), 6))</f>
        <v>6</v>
      </c>
      <c r="E33" s="34">
        <f>IF(B33="","",IF(COUNTIF('👥 Asistencia'!$B:$B, B33)&gt;0, IF(C33="DIA", SUMIFS('👥 Asistencia'!$H:$H, '👥 Asistencia'!$B:$B, B33, '👥 Asistencia'!$E:$E, "08:00") + SUMIFS('👥 Asistencia'!$H:$H, '👥 Asistencia'!$B:$B, B33, '👥 Asistencia'!$E:$E, "07:00"), SUMIFS('👥 Asistencia'!$H:$H, '👥 Asistencia'!$B:$B, B33, '👥 Asistencia'!$E:$E, "20:00")), 0))</f>
        <v>0</v>
      </c>
      <c r="F33" s="89"/>
      <c r="G33" s="89"/>
      <c r="H33" s="33" t="str">
        <f t="shared" si="0"/>
        <v>2026-05</v>
      </c>
      <c r="I33" s="30">
        <f t="shared" si="1"/>
        <v>0</v>
      </c>
    </row>
    <row r="34" spans="2:9" ht="18" customHeight="1" x14ac:dyDescent="0.3">
      <c r="B34" s="26" t="s">
        <v>89</v>
      </c>
      <c r="C34" s="27" t="s">
        <v>73</v>
      </c>
      <c r="D34" s="30">
        <f>IF(B34="","",IF(COUNTIF('👥 Asistencia'!$B:$B, B34)&gt;0, IF(C34="DIA", COUNTIFS('👥 Asistencia'!$B:$B, B34, '👥 Asistencia'!$E:$E, "08:00") + COUNTIFS('👥 Asistencia'!$B:$B, B34, '👥 Asistencia'!$E:$E, "07:00"), COUNTIFS('👥 Asistencia'!$B:$B, B34, '👥 Asistencia'!$E:$E, "20:00")), 6))</f>
        <v>6</v>
      </c>
      <c r="E34" s="34">
        <f>IF(B34="","",IF(COUNTIF('👥 Asistencia'!$B:$B, B34)&gt;0, IF(C34="DIA", SUMIFS('👥 Asistencia'!$H:$H, '👥 Asistencia'!$B:$B, B34, '👥 Asistencia'!$E:$E, "08:00") + SUMIFS('👥 Asistencia'!$H:$H, '👥 Asistencia'!$B:$B, B34, '👥 Asistencia'!$E:$E, "07:00"), SUMIFS('👥 Asistencia'!$H:$H, '👥 Asistencia'!$B:$B, B34, '👥 Asistencia'!$E:$E, "20:00")), 0))</f>
        <v>0</v>
      </c>
      <c r="F34" s="90"/>
      <c r="G34" s="90"/>
      <c r="H34" s="33" t="str">
        <f t="shared" si="0"/>
        <v>2026-05</v>
      </c>
      <c r="I34" s="30">
        <f t="shared" si="1"/>
        <v>0</v>
      </c>
    </row>
    <row r="35" spans="2:9" ht="18" customHeight="1" x14ac:dyDescent="0.3">
      <c r="B35" s="26" t="s">
        <v>90</v>
      </c>
      <c r="C35" s="27" t="s">
        <v>72</v>
      </c>
      <c r="D35" s="30">
        <f>IF(B35="","",IF(COUNTIF('👥 Asistencia'!$B:$B, B35)&gt;0, IF(C35="DIA", COUNTIFS('👥 Asistencia'!$B:$B, B35, '👥 Asistencia'!$E:$E, "08:00") + COUNTIFS('👥 Asistencia'!$B:$B, B35, '👥 Asistencia'!$E:$E, "07:00"), COUNTIFS('👥 Asistencia'!$B:$B, B35, '👥 Asistencia'!$E:$E, "20:00")), 6))</f>
        <v>6</v>
      </c>
      <c r="E35" s="34">
        <f>IF(B35="","",IF(COUNTIF('👥 Asistencia'!$B:$B, B35)&gt;0, IF(C35="DIA", SUMIFS('👥 Asistencia'!$H:$H, '👥 Asistencia'!$B:$B, B35, '👥 Asistencia'!$E:$E, "08:00") + SUMIFS('👥 Asistencia'!$H:$H, '👥 Asistencia'!$B:$B, B35, '👥 Asistencia'!$E:$E, "07:00"), SUMIFS('👥 Asistencia'!$H:$H, '👥 Asistencia'!$B:$B, B35, '👥 Asistencia'!$E:$E, "20:00")), 0))</f>
        <v>0</v>
      </c>
      <c r="F35" s="89"/>
      <c r="G35" s="89"/>
      <c r="H35" s="33" t="str">
        <f t="shared" si="0"/>
        <v>2026-05</v>
      </c>
      <c r="I35" s="30">
        <f t="shared" si="1"/>
        <v>0</v>
      </c>
    </row>
    <row r="36" spans="2:9" ht="18" customHeight="1" x14ac:dyDescent="0.3">
      <c r="B36" s="26" t="s">
        <v>90</v>
      </c>
      <c r="C36" s="27" t="s">
        <v>73</v>
      </c>
      <c r="D36" s="30">
        <f>IF(B36="","",IF(COUNTIF('👥 Asistencia'!$B:$B, B36)&gt;0, IF(C36="DIA", COUNTIFS('👥 Asistencia'!$B:$B, B36, '👥 Asistencia'!$E:$E, "08:00") + COUNTIFS('👥 Asistencia'!$B:$B, B36, '👥 Asistencia'!$E:$E, "07:00"), COUNTIFS('👥 Asistencia'!$B:$B, B36, '👥 Asistencia'!$E:$E, "20:00")), 6))</f>
        <v>6</v>
      </c>
      <c r="E36" s="34">
        <f>IF(B36="","",IF(COUNTIF('👥 Asistencia'!$B:$B, B36)&gt;0, IF(C36="DIA", SUMIFS('👥 Asistencia'!$H:$H, '👥 Asistencia'!$B:$B, B36, '👥 Asistencia'!$E:$E, "08:00") + SUMIFS('👥 Asistencia'!$H:$H, '👥 Asistencia'!$B:$B, B36, '👥 Asistencia'!$E:$E, "07:00"), SUMIFS('👥 Asistencia'!$H:$H, '👥 Asistencia'!$B:$B, B36, '👥 Asistencia'!$E:$E, "20:00")), 0))</f>
        <v>0</v>
      </c>
      <c r="F36" s="90"/>
      <c r="G36" s="90"/>
      <c r="H36" s="33" t="str">
        <f t="shared" si="0"/>
        <v>2026-05</v>
      </c>
      <c r="I36" s="30">
        <f t="shared" si="1"/>
        <v>0</v>
      </c>
    </row>
    <row r="37" spans="2:9" ht="18" customHeight="1" x14ac:dyDescent="0.3">
      <c r="B37" s="26" t="s">
        <v>91</v>
      </c>
      <c r="C37" s="27" t="s">
        <v>72</v>
      </c>
      <c r="D37" s="30">
        <f>IF(B37="","",IF(COUNTIF('👥 Asistencia'!$B:$B, B37)&gt;0, IF(C37="DIA", COUNTIFS('👥 Asistencia'!$B:$B, B37, '👥 Asistencia'!$E:$E, "08:00") + COUNTIFS('👥 Asistencia'!$B:$B, B37, '👥 Asistencia'!$E:$E, "07:00"), COUNTIFS('👥 Asistencia'!$B:$B, B37, '👥 Asistencia'!$E:$E, "20:00")), 6))</f>
        <v>6</v>
      </c>
      <c r="E37" s="34">
        <f>IF(B37="","",IF(COUNTIF('👥 Asistencia'!$B:$B, B37)&gt;0, IF(C37="DIA", SUMIFS('👥 Asistencia'!$H:$H, '👥 Asistencia'!$B:$B, B37, '👥 Asistencia'!$E:$E, "08:00") + SUMIFS('👥 Asistencia'!$H:$H, '👥 Asistencia'!$B:$B, B37, '👥 Asistencia'!$E:$E, "07:00"), SUMIFS('👥 Asistencia'!$H:$H, '👥 Asistencia'!$B:$B, B37, '👥 Asistencia'!$E:$E, "20:00")), 0))</f>
        <v>0</v>
      </c>
      <c r="F37" s="89"/>
      <c r="G37" s="89"/>
      <c r="H37" s="33" t="str">
        <f t="shared" si="0"/>
        <v>2026-05</v>
      </c>
      <c r="I37" s="30">
        <f t="shared" si="1"/>
        <v>0</v>
      </c>
    </row>
    <row r="38" spans="2:9" ht="18" customHeight="1" x14ac:dyDescent="0.3">
      <c r="B38" s="26" t="s">
        <v>91</v>
      </c>
      <c r="C38" s="27" t="s">
        <v>73</v>
      </c>
      <c r="D38" s="30">
        <f>IF(B38="","",IF(COUNTIF('👥 Asistencia'!$B:$B, B38)&gt;0, IF(C38="DIA", COUNTIFS('👥 Asistencia'!$B:$B, B38, '👥 Asistencia'!$E:$E, "08:00") + COUNTIFS('👥 Asistencia'!$B:$B, B38, '👥 Asistencia'!$E:$E, "07:00"), COUNTIFS('👥 Asistencia'!$B:$B, B38, '👥 Asistencia'!$E:$E, "20:00")), 6))</f>
        <v>6</v>
      </c>
      <c r="E38" s="34">
        <f>IF(B38="","",IF(COUNTIF('👥 Asistencia'!$B:$B, B38)&gt;0, IF(C38="DIA", SUMIFS('👥 Asistencia'!$H:$H, '👥 Asistencia'!$B:$B, B38, '👥 Asistencia'!$E:$E, "08:00") + SUMIFS('👥 Asistencia'!$H:$H, '👥 Asistencia'!$B:$B, B38, '👥 Asistencia'!$E:$E, "07:00"), SUMIFS('👥 Asistencia'!$H:$H, '👥 Asistencia'!$B:$B, B38, '👥 Asistencia'!$E:$E, "20:00")), 0))</f>
        <v>0</v>
      </c>
      <c r="F38" s="90"/>
      <c r="G38" s="90"/>
      <c r="H38" s="33" t="str">
        <f t="shared" si="0"/>
        <v>2026-05</v>
      </c>
      <c r="I38" s="30">
        <f t="shared" si="1"/>
        <v>0</v>
      </c>
    </row>
    <row r="39" spans="2:9" ht="18" customHeight="1" x14ac:dyDescent="0.3">
      <c r="B39" s="26" t="s">
        <v>92</v>
      </c>
      <c r="C39" s="27" t="s">
        <v>72</v>
      </c>
      <c r="D39" s="30">
        <f>IF(B39="","",IF(COUNTIF('👥 Asistencia'!$B:$B, B39)&gt;0, IF(C39="DIA", COUNTIFS('👥 Asistencia'!$B:$B, B39, '👥 Asistencia'!$E:$E, "08:00") + COUNTIFS('👥 Asistencia'!$B:$B, B39, '👥 Asistencia'!$E:$E, "07:00"), COUNTIFS('👥 Asistencia'!$B:$B, B39, '👥 Asistencia'!$E:$E, "20:00")), 6))</f>
        <v>6</v>
      </c>
      <c r="E39" s="34">
        <f>IF(B39="","",IF(COUNTIF('👥 Asistencia'!$B:$B, B39)&gt;0, IF(C39="DIA", SUMIFS('👥 Asistencia'!$H:$H, '👥 Asistencia'!$B:$B, B39, '👥 Asistencia'!$E:$E, "08:00") + SUMIFS('👥 Asistencia'!$H:$H, '👥 Asistencia'!$B:$B, B39, '👥 Asistencia'!$E:$E, "07:00"), SUMIFS('👥 Asistencia'!$H:$H, '👥 Asistencia'!$B:$B, B39, '👥 Asistencia'!$E:$E, "20:00")), 0))</f>
        <v>0</v>
      </c>
      <c r="F39" s="89"/>
      <c r="G39" s="89"/>
      <c r="H39" s="33" t="str">
        <f t="shared" si="0"/>
        <v>2026-05</v>
      </c>
      <c r="I39" s="30">
        <f t="shared" si="1"/>
        <v>0</v>
      </c>
    </row>
    <row r="40" spans="2:9" ht="18" customHeight="1" x14ac:dyDescent="0.3">
      <c r="B40" s="26" t="s">
        <v>92</v>
      </c>
      <c r="C40" s="27" t="s">
        <v>73</v>
      </c>
      <c r="D40" s="30">
        <f>IF(B40="","",IF(COUNTIF('👥 Asistencia'!$B:$B, B40)&gt;0, IF(C40="DIA", COUNTIFS('👥 Asistencia'!$B:$B, B40, '👥 Asistencia'!$E:$E, "08:00") + COUNTIFS('👥 Asistencia'!$B:$B, B40, '👥 Asistencia'!$E:$E, "07:00"), COUNTIFS('👥 Asistencia'!$B:$B, B40, '👥 Asistencia'!$E:$E, "20:00")), 6))</f>
        <v>6</v>
      </c>
      <c r="E40" s="34">
        <f>IF(B40="","",IF(COUNTIF('👥 Asistencia'!$B:$B, B40)&gt;0, IF(C40="DIA", SUMIFS('👥 Asistencia'!$H:$H, '👥 Asistencia'!$B:$B, B40, '👥 Asistencia'!$E:$E, "08:00") + SUMIFS('👥 Asistencia'!$H:$H, '👥 Asistencia'!$B:$B, B40, '👥 Asistencia'!$E:$E, "07:00"), SUMIFS('👥 Asistencia'!$H:$H, '👥 Asistencia'!$B:$B, B40, '👥 Asistencia'!$E:$E, "20:00")), 0))</f>
        <v>0</v>
      </c>
      <c r="F40" s="90"/>
      <c r="G40" s="90"/>
      <c r="H40" s="33" t="str">
        <f t="shared" si="0"/>
        <v>2026-05</v>
      </c>
      <c r="I40" s="30">
        <f t="shared" si="1"/>
        <v>0</v>
      </c>
    </row>
    <row r="41" spans="2:9" ht="18" customHeight="1" x14ac:dyDescent="0.3">
      <c r="B41" s="26" t="s">
        <v>93</v>
      </c>
      <c r="C41" s="27" t="s">
        <v>72</v>
      </c>
      <c r="D41" s="30">
        <f>IF(B41="","",IF(COUNTIF('👥 Asistencia'!$B:$B, B41)&gt;0, IF(C41="DIA", COUNTIFS('👥 Asistencia'!$B:$B, B41, '👥 Asistencia'!$E:$E, "08:00") + COUNTIFS('👥 Asistencia'!$B:$B, B41, '👥 Asistencia'!$E:$E, "07:00"), COUNTIFS('👥 Asistencia'!$B:$B, B41, '👥 Asistencia'!$E:$E, "20:00")), 6))</f>
        <v>6</v>
      </c>
      <c r="E41" s="34">
        <f>IF(B41="","",IF(COUNTIF('👥 Asistencia'!$B:$B, B41)&gt;0, IF(C41="DIA", SUMIFS('👥 Asistencia'!$H:$H, '👥 Asistencia'!$B:$B, B41, '👥 Asistencia'!$E:$E, "08:00") + SUMIFS('👥 Asistencia'!$H:$H, '👥 Asistencia'!$B:$B, B41, '👥 Asistencia'!$E:$E, "07:00"), SUMIFS('👥 Asistencia'!$H:$H, '👥 Asistencia'!$B:$B, B41, '👥 Asistencia'!$E:$E, "20:00")), 0))</f>
        <v>0</v>
      </c>
      <c r="F41" s="89"/>
      <c r="G41" s="89"/>
      <c r="H41" s="33" t="str">
        <f t="shared" si="0"/>
        <v>2026-05</v>
      </c>
      <c r="I41" s="30">
        <f t="shared" si="1"/>
        <v>0</v>
      </c>
    </row>
    <row r="42" spans="2:9" ht="18" customHeight="1" x14ac:dyDescent="0.3">
      <c r="B42" s="26" t="s">
        <v>93</v>
      </c>
      <c r="C42" s="27" t="s">
        <v>73</v>
      </c>
      <c r="D42" s="30">
        <f>IF(B42="","",IF(COUNTIF('👥 Asistencia'!$B:$B, B42)&gt;0, IF(C42="DIA", COUNTIFS('👥 Asistencia'!$B:$B, B42, '👥 Asistencia'!$E:$E, "08:00") + COUNTIFS('👥 Asistencia'!$B:$B, B42, '👥 Asistencia'!$E:$E, "07:00"), COUNTIFS('👥 Asistencia'!$B:$B, B42, '👥 Asistencia'!$E:$E, "20:00")), 6))</f>
        <v>6</v>
      </c>
      <c r="E42" s="34">
        <f>IF(B42="","",IF(COUNTIF('👥 Asistencia'!$B:$B, B42)&gt;0, IF(C42="DIA", SUMIFS('👥 Asistencia'!$H:$H, '👥 Asistencia'!$B:$B, B42, '👥 Asistencia'!$E:$E, "08:00") + SUMIFS('👥 Asistencia'!$H:$H, '👥 Asistencia'!$B:$B, B42, '👥 Asistencia'!$E:$E, "07:00"), SUMIFS('👥 Asistencia'!$H:$H, '👥 Asistencia'!$B:$B, B42, '👥 Asistencia'!$E:$E, "20:00")), 0))</f>
        <v>0</v>
      </c>
      <c r="F42" s="90"/>
      <c r="G42" s="90"/>
      <c r="H42" s="33" t="str">
        <f t="shared" si="0"/>
        <v>2026-05</v>
      </c>
      <c r="I42" s="30">
        <f t="shared" si="1"/>
        <v>0</v>
      </c>
    </row>
    <row r="43" spans="2:9" ht="18" customHeight="1" x14ac:dyDescent="0.3">
      <c r="B43" s="26" t="s">
        <v>94</v>
      </c>
      <c r="C43" s="27" t="s">
        <v>72</v>
      </c>
      <c r="D43" s="30">
        <f>IF(B43="","",IF(COUNTIF('👥 Asistencia'!$B:$B, B43)&gt;0, IF(C43="DIA", COUNTIFS('👥 Asistencia'!$B:$B, B43, '👥 Asistencia'!$E:$E, "08:00") + COUNTIFS('👥 Asistencia'!$B:$B, B43, '👥 Asistencia'!$E:$E, "07:00"), COUNTIFS('👥 Asistencia'!$B:$B, B43, '👥 Asistencia'!$E:$E, "20:00")), 6))</f>
        <v>6</v>
      </c>
      <c r="E43" s="34">
        <f>IF(B43="","",IF(COUNTIF('👥 Asistencia'!$B:$B, B43)&gt;0, IF(C43="DIA", SUMIFS('👥 Asistencia'!$H:$H, '👥 Asistencia'!$B:$B, B43, '👥 Asistencia'!$E:$E, "08:00") + SUMIFS('👥 Asistencia'!$H:$H, '👥 Asistencia'!$B:$B, B43, '👥 Asistencia'!$E:$E, "07:00"), SUMIFS('👥 Asistencia'!$H:$H, '👥 Asistencia'!$B:$B, B43, '👥 Asistencia'!$E:$E, "20:00")), 0))</f>
        <v>0</v>
      </c>
      <c r="F43" s="89"/>
      <c r="G43" s="89"/>
      <c r="H43" s="33" t="str">
        <f t="shared" si="0"/>
        <v>2026-05</v>
      </c>
      <c r="I43" s="30">
        <f t="shared" si="1"/>
        <v>0</v>
      </c>
    </row>
    <row r="44" spans="2:9" ht="18" customHeight="1" x14ac:dyDescent="0.3">
      <c r="B44" s="26" t="s">
        <v>94</v>
      </c>
      <c r="C44" s="27" t="s">
        <v>73</v>
      </c>
      <c r="D44" s="30">
        <f>IF(B44="","",IF(COUNTIF('👥 Asistencia'!$B:$B, B44)&gt;0, IF(C44="DIA", COUNTIFS('👥 Asistencia'!$B:$B, B44, '👥 Asistencia'!$E:$E, "08:00") + COUNTIFS('👥 Asistencia'!$B:$B, B44, '👥 Asistencia'!$E:$E, "07:00"), COUNTIFS('👥 Asistencia'!$B:$B, B44, '👥 Asistencia'!$E:$E, "20:00")), 6))</f>
        <v>6</v>
      </c>
      <c r="E44" s="34">
        <f>IF(B44="","",IF(COUNTIF('👥 Asistencia'!$B:$B, B44)&gt;0, IF(C44="DIA", SUMIFS('👥 Asistencia'!$H:$H, '👥 Asistencia'!$B:$B, B44, '👥 Asistencia'!$E:$E, "08:00") + SUMIFS('👥 Asistencia'!$H:$H, '👥 Asistencia'!$B:$B, B44, '👥 Asistencia'!$E:$E, "07:00"), SUMIFS('👥 Asistencia'!$H:$H, '👥 Asistencia'!$B:$B, B44, '👥 Asistencia'!$E:$E, "20:00")), 0))</f>
        <v>0</v>
      </c>
      <c r="F44" s="90"/>
      <c r="G44" s="90"/>
      <c r="H44" s="33" t="str">
        <f t="shared" si="0"/>
        <v>2026-05</v>
      </c>
      <c r="I44" s="30">
        <f t="shared" si="1"/>
        <v>0</v>
      </c>
    </row>
    <row r="45" spans="2:9" ht="18" customHeight="1" x14ac:dyDescent="0.3">
      <c r="B45" s="26" t="s">
        <v>95</v>
      </c>
      <c r="C45" s="27" t="s">
        <v>72</v>
      </c>
      <c r="D45" s="30">
        <f>IF(B45="","",IF(COUNTIF('👥 Asistencia'!$B:$B, B45)&gt;0, IF(C45="DIA", COUNTIFS('👥 Asistencia'!$B:$B, B45, '👥 Asistencia'!$E:$E, "08:00") + COUNTIFS('👥 Asistencia'!$B:$B, B45, '👥 Asistencia'!$E:$E, "07:00"), COUNTIFS('👥 Asistencia'!$B:$B, B45, '👥 Asistencia'!$E:$E, "20:00")), 6))</f>
        <v>6</v>
      </c>
      <c r="E45" s="34">
        <f>IF(B45="","",IF(COUNTIF('👥 Asistencia'!$B:$B, B45)&gt;0, IF(C45="DIA", SUMIFS('👥 Asistencia'!$H:$H, '👥 Asistencia'!$B:$B, B45, '👥 Asistencia'!$E:$E, "08:00") + SUMIFS('👥 Asistencia'!$H:$H, '👥 Asistencia'!$B:$B, B45, '👥 Asistencia'!$E:$E, "07:00"), SUMIFS('👥 Asistencia'!$H:$H, '👥 Asistencia'!$B:$B, B45, '👥 Asistencia'!$E:$E, "20:00")), 0))</f>
        <v>0</v>
      </c>
      <c r="F45" s="89"/>
      <c r="G45" s="89"/>
      <c r="H45" s="33" t="str">
        <f t="shared" si="0"/>
        <v>2026-05</v>
      </c>
      <c r="I45" s="30">
        <f t="shared" si="1"/>
        <v>0</v>
      </c>
    </row>
    <row r="46" spans="2:9" ht="18" customHeight="1" x14ac:dyDescent="0.3">
      <c r="B46" s="26" t="s">
        <v>96</v>
      </c>
      <c r="C46" s="27" t="s">
        <v>72</v>
      </c>
      <c r="D46" s="30">
        <f>IF(B46="","",IF(COUNTIF('👥 Asistencia'!$B:$B, B46)&gt;0, IF(C46="DIA", COUNTIFS('👥 Asistencia'!$B:$B, B46, '👥 Asistencia'!$E:$E, "08:00") + COUNTIFS('👥 Asistencia'!$B:$B, B46, '👥 Asistencia'!$E:$E, "07:00"), COUNTIFS('👥 Asistencia'!$B:$B, B46, '👥 Asistencia'!$E:$E, "20:00")), 6))</f>
        <v>6</v>
      </c>
      <c r="E46" s="34">
        <f>IF(B46="","",IF(COUNTIF('👥 Asistencia'!$B:$B, B46)&gt;0, IF(C46="DIA", SUMIFS('👥 Asistencia'!$H:$H, '👥 Asistencia'!$B:$B, B46, '👥 Asistencia'!$E:$E, "08:00") + SUMIFS('👥 Asistencia'!$H:$H, '👥 Asistencia'!$B:$B, B46, '👥 Asistencia'!$E:$E, "07:00"), SUMIFS('👥 Asistencia'!$H:$H, '👥 Asistencia'!$B:$B, B46, '👥 Asistencia'!$E:$E, "20:00")), 0))</f>
        <v>0</v>
      </c>
      <c r="F46" s="90"/>
      <c r="G46" s="90"/>
      <c r="H46" s="33" t="str">
        <f t="shared" si="0"/>
        <v>2026-05</v>
      </c>
      <c r="I46" s="30">
        <f t="shared" si="1"/>
        <v>0</v>
      </c>
    </row>
    <row r="47" spans="2:9" ht="18" customHeight="1" x14ac:dyDescent="0.3">
      <c r="B47" s="26" t="s">
        <v>96</v>
      </c>
      <c r="C47" s="27" t="s">
        <v>73</v>
      </c>
      <c r="D47" s="30">
        <f>IF(B47="","",IF(COUNTIF('👥 Asistencia'!$B:$B, B47)&gt;0, IF(C47="DIA", COUNTIFS('👥 Asistencia'!$B:$B, B47, '👥 Asistencia'!$E:$E, "08:00") + COUNTIFS('👥 Asistencia'!$B:$B, B47, '👥 Asistencia'!$E:$E, "07:00"), COUNTIFS('👥 Asistencia'!$B:$B, B47, '👥 Asistencia'!$E:$E, "20:00")), 6))</f>
        <v>6</v>
      </c>
      <c r="E47" s="34">
        <f>IF(B47="","",IF(COUNTIF('👥 Asistencia'!$B:$B, B47)&gt;0, IF(C47="DIA", SUMIFS('👥 Asistencia'!$H:$H, '👥 Asistencia'!$B:$B, B47, '👥 Asistencia'!$E:$E, "08:00") + SUMIFS('👥 Asistencia'!$H:$H, '👥 Asistencia'!$B:$B, B47, '👥 Asistencia'!$E:$E, "07:00"), SUMIFS('👥 Asistencia'!$H:$H, '👥 Asistencia'!$B:$B, B47, '👥 Asistencia'!$E:$E, "20:00")), 0))</f>
        <v>0</v>
      </c>
      <c r="F47" s="89"/>
      <c r="G47" s="89"/>
      <c r="H47" s="33" t="str">
        <f t="shared" si="0"/>
        <v>2026-05</v>
      </c>
      <c r="I47" s="30">
        <f t="shared" si="1"/>
        <v>0</v>
      </c>
    </row>
    <row r="48" spans="2:9" ht="18" customHeight="1" x14ac:dyDescent="0.3">
      <c r="B48" s="26" t="s">
        <v>97</v>
      </c>
      <c r="C48" s="27" t="s">
        <v>72</v>
      </c>
      <c r="D48" s="30">
        <f>IF(B48="","",IF(COUNTIF('👥 Asistencia'!$B:$B, B48)&gt;0, IF(C48="DIA", COUNTIFS('👥 Asistencia'!$B:$B, B48, '👥 Asistencia'!$E:$E, "08:00") + COUNTIFS('👥 Asistencia'!$B:$B, B48, '👥 Asistencia'!$E:$E, "07:00"), COUNTIFS('👥 Asistencia'!$B:$B, B48, '👥 Asistencia'!$E:$E, "20:00")), 6))</f>
        <v>6</v>
      </c>
      <c r="E48" s="34">
        <f>IF(B48="","",IF(COUNTIF('👥 Asistencia'!$B:$B, B48)&gt;0, IF(C48="DIA", SUMIFS('👥 Asistencia'!$H:$H, '👥 Asistencia'!$B:$B, B48, '👥 Asistencia'!$E:$E, "08:00") + SUMIFS('👥 Asistencia'!$H:$H, '👥 Asistencia'!$B:$B, B48, '👥 Asistencia'!$E:$E, "07:00"), SUMIFS('👥 Asistencia'!$H:$H, '👥 Asistencia'!$B:$B, B48, '👥 Asistencia'!$E:$E, "20:00")), 0))</f>
        <v>0</v>
      </c>
      <c r="F48" s="90"/>
      <c r="G48" s="90"/>
      <c r="H48" s="33" t="str">
        <f t="shared" si="0"/>
        <v>2026-05</v>
      </c>
      <c r="I48" s="30">
        <f t="shared" si="1"/>
        <v>0</v>
      </c>
    </row>
    <row r="49" spans="2:9" ht="18" customHeight="1" x14ac:dyDescent="0.3">
      <c r="B49" s="26" t="s">
        <v>97</v>
      </c>
      <c r="C49" s="27" t="s">
        <v>73</v>
      </c>
      <c r="D49" s="30">
        <f>IF(B49="","",IF(COUNTIF('👥 Asistencia'!$B:$B, B49)&gt;0, IF(C49="DIA", COUNTIFS('👥 Asistencia'!$B:$B, B49, '👥 Asistencia'!$E:$E, "08:00") + COUNTIFS('👥 Asistencia'!$B:$B, B49, '👥 Asistencia'!$E:$E, "07:00"), COUNTIFS('👥 Asistencia'!$B:$B, B49, '👥 Asistencia'!$E:$E, "20:00")), 6))</f>
        <v>6</v>
      </c>
      <c r="E49" s="34">
        <f>IF(B49="","",IF(COUNTIF('👥 Asistencia'!$B:$B, B49)&gt;0, IF(C49="DIA", SUMIFS('👥 Asistencia'!$H:$H, '👥 Asistencia'!$B:$B, B49, '👥 Asistencia'!$E:$E, "08:00") + SUMIFS('👥 Asistencia'!$H:$H, '👥 Asistencia'!$B:$B, B49, '👥 Asistencia'!$E:$E, "07:00"), SUMIFS('👥 Asistencia'!$H:$H, '👥 Asistencia'!$B:$B, B49, '👥 Asistencia'!$E:$E, "20:00")), 0))</f>
        <v>0</v>
      </c>
      <c r="F49" s="89"/>
      <c r="G49" s="89"/>
      <c r="H49" s="33" t="str">
        <f t="shared" si="0"/>
        <v>2026-05</v>
      </c>
      <c r="I49" s="30">
        <f t="shared" si="1"/>
        <v>0</v>
      </c>
    </row>
    <row r="50" spans="2:9" ht="18" customHeight="1" x14ac:dyDescent="0.3">
      <c r="B50" s="26" t="s">
        <v>98</v>
      </c>
      <c r="C50" s="27" t="s">
        <v>72</v>
      </c>
      <c r="D50" s="30">
        <f>IF(B50="","",IF(COUNTIF('👥 Asistencia'!$B:$B, B50)&gt;0, IF(C50="DIA", COUNTIFS('👥 Asistencia'!$B:$B, B50, '👥 Asistencia'!$E:$E, "08:00") + COUNTIFS('👥 Asistencia'!$B:$B, B50, '👥 Asistencia'!$E:$E, "07:00"), COUNTIFS('👥 Asistencia'!$B:$B, B50, '👥 Asistencia'!$E:$E, "20:00")), 6))</f>
        <v>6</v>
      </c>
      <c r="E50" s="34">
        <f>IF(B50="","",IF(COUNTIF('👥 Asistencia'!$B:$B, B50)&gt;0, IF(C50="DIA", SUMIFS('👥 Asistencia'!$H:$H, '👥 Asistencia'!$B:$B, B50, '👥 Asistencia'!$E:$E, "08:00") + SUMIFS('👥 Asistencia'!$H:$H, '👥 Asistencia'!$B:$B, B50, '👥 Asistencia'!$E:$E, "07:00"), SUMIFS('👥 Asistencia'!$H:$H, '👥 Asistencia'!$B:$B, B50, '👥 Asistencia'!$E:$E, "20:00")), 0))</f>
        <v>0</v>
      </c>
      <c r="F50" s="90"/>
      <c r="G50" s="90"/>
      <c r="H50" s="33" t="str">
        <f t="shared" si="0"/>
        <v>2026-05</v>
      </c>
      <c r="I50" s="30">
        <f t="shared" si="1"/>
        <v>0</v>
      </c>
    </row>
    <row r="51" spans="2:9" ht="18" customHeight="1" x14ac:dyDescent="0.3">
      <c r="B51" s="26" t="s">
        <v>98</v>
      </c>
      <c r="C51" s="27" t="s">
        <v>73</v>
      </c>
      <c r="D51" s="30">
        <f>IF(B51="","",IF(COUNTIF('👥 Asistencia'!$B:$B, B51)&gt;0, IF(C51="DIA", COUNTIFS('👥 Asistencia'!$B:$B, B51, '👥 Asistencia'!$E:$E, "08:00") + COUNTIFS('👥 Asistencia'!$B:$B, B51, '👥 Asistencia'!$E:$E, "07:00"), COUNTIFS('👥 Asistencia'!$B:$B, B51, '👥 Asistencia'!$E:$E, "20:00")), 6))</f>
        <v>6</v>
      </c>
      <c r="E51" s="34">
        <f>IF(B51="","",IF(COUNTIF('👥 Asistencia'!$B:$B, B51)&gt;0, IF(C51="DIA", SUMIFS('👥 Asistencia'!$H:$H, '👥 Asistencia'!$B:$B, B51, '👥 Asistencia'!$E:$E, "08:00") + SUMIFS('👥 Asistencia'!$H:$H, '👥 Asistencia'!$B:$B, B51, '👥 Asistencia'!$E:$E, "07:00"), SUMIFS('👥 Asistencia'!$H:$H, '👥 Asistencia'!$B:$B, B51, '👥 Asistencia'!$E:$E, "20:00")), 0))</f>
        <v>0</v>
      </c>
      <c r="F51" s="89"/>
      <c r="G51" s="89"/>
      <c r="H51" s="33" t="str">
        <f t="shared" si="0"/>
        <v>2026-05</v>
      </c>
      <c r="I51" s="30">
        <f t="shared" si="1"/>
        <v>0</v>
      </c>
    </row>
    <row r="52" spans="2:9" ht="18" customHeight="1" x14ac:dyDescent="0.3">
      <c r="B52" s="26" t="s">
        <v>99</v>
      </c>
      <c r="C52" s="27" t="s">
        <v>72</v>
      </c>
      <c r="D52" s="30">
        <f>IF(B52="","",IF(COUNTIF('👥 Asistencia'!$B:$B, B52)&gt;0, IF(C52="DIA", COUNTIFS('👥 Asistencia'!$B:$B, B52, '👥 Asistencia'!$E:$E, "08:00") + COUNTIFS('👥 Asistencia'!$B:$B, B52, '👥 Asistencia'!$E:$E, "07:00"), COUNTIFS('👥 Asistencia'!$B:$B, B52, '👥 Asistencia'!$E:$E, "20:00")), 6))</f>
        <v>6</v>
      </c>
      <c r="E52" s="34">
        <f>IF(B52="","",IF(COUNTIF('👥 Asistencia'!$B:$B, B52)&gt;0, IF(C52="DIA", SUMIFS('👥 Asistencia'!$H:$H, '👥 Asistencia'!$B:$B, B52, '👥 Asistencia'!$E:$E, "08:00") + SUMIFS('👥 Asistencia'!$H:$H, '👥 Asistencia'!$B:$B, B52, '👥 Asistencia'!$E:$E, "07:00"), SUMIFS('👥 Asistencia'!$H:$H, '👥 Asistencia'!$B:$B, B52, '👥 Asistencia'!$E:$E, "20:00")), 0))</f>
        <v>0</v>
      </c>
      <c r="F52" s="90"/>
      <c r="G52" s="90"/>
      <c r="H52" s="33" t="str">
        <f t="shared" si="0"/>
        <v>2026-05</v>
      </c>
      <c r="I52" s="30">
        <f t="shared" si="1"/>
        <v>0</v>
      </c>
    </row>
    <row r="53" spans="2:9" ht="18" customHeight="1" x14ac:dyDescent="0.3">
      <c r="B53" s="26" t="s">
        <v>99</v>
      </c>
      <c r="C53" s="27" t="s">
        <v>73</v>
      </c>
      <c r="D53" s="30">
        <f>IF(B53="","",IF(COUNTIF('👥 Asistencia'!$B:$B, B53)&gt;0, IF(C53="DIA", COUNTIFS('👥 Asistencia'!$B:$B, B53, '👥 Asistencia'!$E:$E, "08:00") + COUNTIFS('👥 Asistencia'!$B:$B, B53, '👥 Asistencia'!$E:$E, "07:00"), COUNTIFS('👥 Asistencia'!$B:$B, B53, '👥 Asistencia'!$E:$E, "20:00")), 6))</f>
        <v>6</v>
      </c>
      <c r="E53" s="34">
        <f>IF(B53="","",IF(COUNTIF('👥 Asistencia'!$B:$B, B53)&gt;0, IF(C53="DIA", SUMIFS('👥 Asistencia'!$H:$H, '👥 Asistencia'!$B:$B, B53, '👥 Asistencia'!$E:$E, "08:00") + SUMIFS('👥 Asistencia'!$H:$H, '👥 Asistencia'!$B:$B, B53, '👥 Asistencia'!$E:$E, "07:00"), SUMIFS('👥 Asistencia'!$H:$H, '👥 Asistencia'!$B:$B, B53, '👥 Asistencia'!$E:$E, "20:00")), 0))</f>
        <v>0</v>
      </c>
      <c r="F53" s="89"/>
      <c r="G53" s="89"/>
      <c r="H53" s="33" t="str">
        <f t="shared" si="0"/>
        <v>2026-05</v>
      </c>
      <c r="I53" s="30">
        <f t="shared" si="1"/>
        <v>0</v>
      </c>
    </row>
    <row r="54" spans="2:9" ht="18" customHeight="1" x14ac:dyDescent="0.3">
      <c r="B54" s="26" t="s">
        <v>100</v>
      </c>
      <c r="C54" s="27" t="s">
        <v>72</v>
      </c>
      <c r="D54" s="30">
        <f>IF(B54="","",IF(COUNTIF('👥 Asistencia'!$B:$B, B54)&gt;0, IF(C54="DIA", COUNTIFS('👥 Asistencia'!$B:$B, B54, '👥 Asistencia'!$E:$E, "08:00") + COUNTIFS('👥 Asistencia'!$B:$B, B54, '👥 Asistencia'!$E:$E, "07:00"), COUNTIFS('👥 Asistencia'!$B:$B, B54, '👥 Asistencia'!$E:$E, "20:00")), 6))</f>
        <v>6</v>
      </c>
      <c r="E54" s="34">
        <f>IF(B54="","",IF(COUNTIF('👥 Asistencia'!$B:$B, B54)&gt;0, IF(C54="DIA", SUMIFS('👥 Asistencia'!$H:$H, '👥 Asistencia'!$B:$B, B54, '👥 Asistencia'!$E:$E, "08:00") + SUMIFS('👥 Asistencia'!$H:$H, '👥 Asistencia'!$B:$B, B54, '👥 Asistencia'!$E:$E, "07:00"), SUMIFS('👥 Asistencia'!$H:$H, '👥 Asistencia'!$B:$B, B54, '👥 Asistencia'!$E:$E, "20:00")), 0))</f>
        <v>0</v>
      </c>
      <c r="F54" s="90"/>
      <c r="G54" s="90"/>
      <c r="H54" s="33" t="str">
        <f t="shared" si="0"/>
        <v>2026-05</v>
      </c>
      <c r="I54" s="30">
        <f t="shared" si="1"/>
        <v>0</v>
      </c>
    </row>
    <row r="55" spans="2:9" ht="18" customHeight="1" x14ac:dyDescent="0.3">
      <c r="B55" s="26" t="s">
        <v>100</v>
      </c>
      <c r="C55" s="27" t="s">
        <v>73</v>
      </c>
      <c r="D55" s="30">
        <f>IF(B55="","",IF(COUNTIF('👥 Asistencia'!$B:$B, B55)&gt;0, IF(C55="DIA", COUNTIFS('👥 Asistencia'!$B:$B, B55, '👥 Asistencia'!$E:$E, "08:00") + COUNTIFS('👥 Asistencia'!$B:$B, B55, '👥 Asistencia'!$E:$E, "07:00"), COUNTIFS('👥 Asistencia'!$B:$B, B55, '👥 Asistencia'!$E:$E, "20:00")), 6))</f>
        <v>6</v>
      </c>
      <c r="E55" s="34">
        <f>IF(B55="","",IF(COUNTIF('👥 Asistencia'!$B:$B, B55)&gt;0, IF(C55="DIA", SUMIFS('👥 Asistencia'!$H:$H, '👥 Asistencia'!$B:$B, B55, '👥 Asistencia'!$E:$E, "08:00") + SUMIFS('👥 Asistencia'!$H:$H, '👥 Asistencia'!$B:$B, B55, '👥 Asistencia'!$E:$E, "07:00"), SUMIFS('👥 Asistencia'!$H:$H, '👥 Asistencia'!$B:$B, B55, '👥 Asistencia'!$E:$E, "20:00")), 0))</f>
        <v>0</v>
      </c>
      <c r="F55" s="89"/>
      <c r="G55" s="89"/>
      <c r="H55" s="33" t="str">
        <f t="shared" si="0"/>
        <v>2026-05</v>
      </c>
      <c r="I55" s="30">
        <f t="shared" si="1"/>
        <v>0</v>
      </c>
    </row>
    <row r="56" spans="2:9" ht="18" customHeight="1" x14ac:dyDescent="0.3">
      <c r="B56" s="26" t="s">
        <v>101</v>
      </c>
      <c r="C56" s="27" t="s">
        <v>72</v>
      </c>
      <c r="D56" s="30">
        <f>IF(B56="","",IF(COUNTIF('👥 Asistencia'!$B:$B, B56)&gt;0, IF(C56="DIA", COUNTIFS('👥 Asistencia'!$B:$B, B56, '👥 Asistencia'!$E:$E, "08:00") + COUNTIFS('👥 Asistencia'!$B:$B, B56, '👥 Asistencia'!$E:$E, "07:00"), COUNTIFS('👥 Asistencia'!$B:$B, B56, '👥 Asistencia'!$E:$E, "20:00")), 6))</f>
        <v>6</v>
      </c>
      <c r="E56" s="34">
        <f>IF(B56="","",IF(COUNTIF('👥 Asistencia'!$B:$B, B56)&gt;0, IF(C56="DIA", SUMIFS('👥 Asistencia'!$H:$H, '👥 Asistencia'!$B:$B, B56, '👥 Asistencia'!$E:$E, "08:00") + SUMIFS('👥 Asistencia'!$H:$H, '👥 Asistencia'!$B:$B, B56, '👥 Asistencia'!$E:$E, "07:00"), SUMIFS('👥 Asistencia'!$H:$H, '👥 Asistencia'!$B:$B, B56, '👥 Asistencia'!$E:$E, "20:00")), 0))</f>
        <v>0</v>
      </c>
      <c r="F56" s="90"/>
      <c r="G56" s="90"/>
      <c r="H56" s="33" t="str">
        <f t="shared" si="0"/>
        <v>2026-05</v>
      </c>
      <c r="I56" s="30">
        <f t="shared" si="1"/>
        <v>0</v>
      </c>
    </row>
    <row r="57" spans="2:9" ht="18" customHeight="1" x14ac:dyDescent="0.3">
      <c r="B57" s="26" t="s">
        <v>101</v>
      </c>
      <c r="C57" s="27" t="s">
        <v>73</v>
      </c>
      <c r="D57" s="30">
        <f>IF(B57="","",IF(COUNTIF('👥 Asistencia'!$B:$B, B57)&gt;0, IF(C57="DIA", COUNTIFS('👥 Asistencia'!$B:$B, B57, '👥 Asistencia'!$E:$E, "08:00") + COUNTIFS('👥 Asistencia'!$B:$B, B57, '👥 Asistencia'!$E:$E, "07:00"), COUNTIFS('👥 Asistencia'!$B:$B, B57, '👥 Asistencia'!$E:$E, "20:00")), 6))</f>
        <v>6</v>
      </c>
      <c r="E57" s="34">
        <f>IF(B57="","",IF(COUNTIF('👥 Asistencia'!$B:$B, B57)&gt;0, IF(C57="DIA", SUMIFS('👥 Asistencia'!$H:$H, '👥 Asistencia'!$B:$B, B57, '👥 Asistencia'!$E:$E, "08:00") + SUMIFS('👥 Asistencia'!$H:$H, '👥 Asistencia'!$B:$B, B57, '👥 Asistencia'!$E:$E, "07:00"), SUMIFS('👥 Asistencia'!$H:$H, '👥 Asistencia'!$B:$B, B57, '👥 Asistencia'!$E:$E, "20:00")), 0))</f>
        <v>0</v>
      </c>
      <c r="F57" s="89"/>
      <c r="G57" s="89"/>
      <c r="H57" s="33" t="str">
        <f t="shared" si="0"/>
        <v>2026-05</v>
      </c>
      <c r="I57" s="30">
        <f t="shared" si="1"/>
        <v>0</v>
      </c>
    </row>
    <row r="58" spans="2:9" ht="18" customHeight="1" x14ac:dyDescent="0.3">
      <c r="B58" s="26" t="s">
        <v>102</v>
      </c>
      <c r="C58" s="27" t="s">
        <v>72</v>
      </c>
      <c r="D58" s="30">
        <f>IF(B58="","",IF(COUNTIF('👥 Asistencia'!$B:$B, B58)&gt;0, IF(C58="DIA", COUNTIFS('👥 Asistencia'!$B:$B, B58, '👥 Asistencia'!$E:$E, "08:00") + COUNTIFS('👥 Asistencia'!$B:$B, B58, '👥 Asistencia'!$E:$E, "07:00"), COUNTIFS('👥 Asistencia'!$B:$B, B58, '👥 Asistencia'!$E:$E, "20:00")), 6))</f>
        <v>6</v>
      </c>
      <c r="E58" s="34">
        <f>IF(B58="","",IF(COUNTIF('👥 Asistencia'!$B:$B, B58)&gt;0, IF(C58="DIA", SUMIFS('👥 Asistencia'!$H:$H, '👥 Asistencia'!$B:$B, B58, '👥 Asistencia'!$E:$E, "08:00") + SUMIFS('👥 Asistencia'!$H:$H, '👥 Asistencia'!$B:$B, B58, '👥 Asistencia'!$E:$E, "07:00"), SUMIFS('👥 Asistencia'!$H:$H, '👥 Asistencia'!$B:$B, B58, '👥 Asistencia'!$E:$E, "20:00")), 0))</f>
        <v>0</v>
      </c>
      <c r="F58" s="90"/>
      <c r="G58" s="90"/>
      <c r="H58" s="33" t="str">
        <f t="shared" si="0"/>
        <v>2026-05</v>
      </c>
      <c r="I58" s="30">
        <f t="shared" si="1"/>
        <v>0</v>
      </c>
    </row>
    <row r="59" spans="2:9" ht="18" customHeight="1" x14ac:dyDescent="0.3">
      <c r="B59" s="26" t="s">
        <v>103</v>
      </c>
      <c r="C59" s="27" t="s">
        <v>72</v>
      </c>
      <c r="D59" s="30">
        <f>IF(B59="","",IF(COUNTIF('👥 Asistencia'!$B:$B, B59)&gt;0, IF(C59="DIA", COUNTIFS('👥 Asistencia'!$B:$B, B59, '👥 Asistencia'!$E:$E, "08:00") + COUNTIFS('👥 Asistencia'!$B:$B, B59, '👥 Asistencia'!$E:$E, "07:00"), COUNTIFS('👥 Asistencia'!$B:$B, B59, '👥 Asistencia'!$E:$E, "20:00")), 6))</f>
        <v>6</v>
      </c>
      <c r="E59" s="34">
        <f>IF(B59="","",IF(COUNTIF('👥 Asistencia'!$B:$B, B59)&gt;0, IF(C59="DIA", SUMIFS('👥 Asistencia'!$H:$H, '👥 Asistencia'!$B:$B, B59, '👥 Asistencia'!$E:$E, "08:00") + SUMIFS('👥 Asistencia'!$H:$H, '👥 Asistencia'!$B:$B, B59, '👥 Asistencia'!$E:$E, "07:00"), SUMIFS('👥 Asistencia'!$H:$H, '👥 Asistencia'!$B:$B, B59, '👥 Asistencia'!$E:$E, "20:00")), 0))</f>
        <v>0</v>
      </c>
      <c r="F59" s="89"/>
      <c r="G59" s="89"/>
      <c r="H59" s="33" t="str">
        <f t="shared" si="0"/>
        <v>2026-05</v>
      </c>
      <c r="I59" s="30">
        <f t="shared" si="1"/>
        <v>0</v>
      </c>
    </row>
    <row r="60" spans="2:9" ht="18" customHeight="1" x14ac:dyDescent="0.3">
      <c r="B60" s="26" t="s">
        <v>103</v>
      </c>
      <c r="C60" s="27" t="s">
        <v>73</v>
      </c>
      <c r="D60" s="30">
        <f>IF(B60="","",IF(COUNTIF('👥 Asistencia'!$B:$B, B60)&gt;0, IF(C60="DIA", COUNTIFS('👥 Asistencia'!$B:$B, B60, '👥 Asistencia'!$E:$E, "08:00") + COUNTIFS('👥 Asistencia'!$B:$B, B60, '👥 Asistencia'!$E:$E, "07:00"), COUNTIFS('👥 Asistencia'!$B:$B, B60, '👥 Asistencia'!$E:$E, "20:00")), 6))</f>
        <v>6</v>
      </c>
      <c r="E60" s="34">
        <f>IF(B60="","",IF(COUNTIF('👥 Asistencia'!$B:$B, B60)&gt;0, IF(C60="DIA", SUMIFS('👥 Asistencia'!$H:$H, '👥 Asistencia'!$B:$B, B60, '👥 Asistencia'!$E:$E, "08:00") + SUMIFS('👥 Asistencia'!$H:$H, '👥 Asistencia'!$B:$B, B60, '👥 Asistencia'!$E:$E, "07:00"), SUMIFS('👥 Asistencia'!$H:$H, '👥 Asistencia'!$B:$B, B60, '👥 Asistencia'!$E:$E, "20:00")), 0))</f>
        <v>0</v>
      </c>
      <c r="F60" s="90"/>
      <c r="G60" s="90"/>
      <c r="H60" s="33" t="str">
        <f t="shared" si="0"/>
        <v>2026-05</v>
      </c>
      <c r="I60" s="30">
        <f t="shared" si="1"/>
        <v>0</v>
      </c>
    </row>
    <row r="61" spans="2:9" ht="18" customHeight="1" x14ac:dyDescent="0.3">
      <c r="B61" s="26" t="s">
        <v>104</v>
      </c>
      <c r="C61" s="27" t="s">
        <v>72</v>
      </c>
      <c r="D61" s="30">
        <f>IF(B61="","",IF(COUNTIF('👥 Asistencia'!$B:$B, B61)&gt;0, IF(C61="DIA", COUNTIFS('👥 Asistencia'!$B:$B, B61, '👥 Asistencia'!$E:$E, "08:00") + COUNTIFS('👥 Asistencia'!$B:$B, B61, '👥 Asistencia'!$E:$E, "07:00"), COUNTIFS('👥 Asistencia'!$B:$B, B61, '👥 Asistencia'!$E:$E, "20:00")), 6))</f>
        <v>7</v>
      </c>
      <c r="E61" s="34">
        <f>IF(B61="","",IF(COUNTIF('👥 Asistencia'!$B:$B, B61)&gt;0, IF(C61="DIA", SUMIFS('👥 Asistencia'!$H:$H, '👥 Asistencia'!$B:$B, B61, '👥 Asistencia'!$E:$E, "08:00") + SUMIFS('👥 Asistencia'!$H:$H, '👥 Asistencia'!$B:$B, B61, '👥 Asistencia'!$E:$E, "07:00"), SUMIFS('👥 Asistencia'!$H:$H, '👥 Asistencia'!$B:$B, B61, '👥 Asistencia'!$E:$E, "20:00")), 0))</f>
        <v>0</v>
      </c>
      <c r="F61" s="89"/>
      <c r="G61" s="89"/>
      <c r="H61" s="33" t="str">
        <f t="shared" si="0"/>
        <v>2026-06</v>
      </c>
      <c r="I61" s="30">
        <f t="shared" si="1"/>
        <v>0</v>
      </c>
    </row>
    <row r="62" spans="2:9" ht="18" customHeight="1" x14ac:dyDescent="0.3">
      <c r="B62" s="26" t="s">
        <v>104</v>
      </c>
      <c r="C62" s="27" t="s">
        <v>73</v>
      </c>
      <c r="D62" s="30">
        <f>IF(B62="","",IF(COUNTIF('👥 Asistencia'!$B:$B, B62)&gt;0, IF(C62="DIA", COUNTIFS('👥 Asistencia'!$B:$B, B62, '👥 Asistencia'!$E:$E, "08:00") + COUNTIFS('👥 Asistencia'!$B:$B, B62, '👥 Asistencia'!$E:$E, "07:00"), COUNTIFS('👥 Asistencia'!$B:$B, B62, '👥 Asistencia'!$E:$E, "20:00")), 6))</f>
        <v>7</v>
      </c>
      <c r="E62" s="34">
        <f>IF(B62="","",IF(COUNTIF('👥 Asistencia'!$B:$B, B62)&gt;0, IF(C62="DIA", SUMIFS('👥 Asistencia'!$H:$H, '👥 Asistencia'!$B:$B, B62, '👥 Asistencia'!$E:$E, "08:00") + SUMIFS('👥 Asistencia'!$H:$H, '👥 Asistencia'!$B:$B, B62, '👥 Asistencia'!$E:$E, "07:00"), SUMIFS('👥 Asistencia'!$H:$H, '👥 Asistencia'!$B:$B, B62, '👥 Asistencia'!$E:$E, "20:00")), 0))</f>
        <v>0</v>
      </c>
      <c r="F62" s="90"/>
      <c r="G62" s="90"/>
      <c r="H62" s="33" t="str">
        <f t="shared" si="0"/>
        <v>2026-06</v>
      </c>
      <c r="I62" s="30">
        <f t="shared" si="1"/>
        <v>0</v>
      </c>
    </row>
    <row r="63" spans="2:9" ht="18" customHeight="1" x14ac:dyDescent="0.3">
      <c r="B63" s="26" t="s">
        <v>105</v>
      </c>
      <c r="C63" s="27" t="s">
        <v>72</v>
      </c>
      <c r="D63" s="30">
        <f>IF(B63="","",IF(COUNTIF('👥 Asistencia'!$B:$B, B63)&gt;0, IF(C63="DIA", COUNTIFS('👥 Asistencia'!$B:$B, B63, '👥 Asistencia'!$E:$E, "08:00") + COUNTIFS('👥 Asistencia'!$B:$B, B63, '👥 Asistencia'!$E:$E, "07:00"), COUNTIFS('👥 Asistencia'!$B:$B, B63, '👥 Asistencia'!$E:$E, "20:00")), 6))</f>
        <v>6</v>
      </c>
      <c r="E63" s="34">
        <f>IF(B63="","",IF(COUNTIF('👥 Asistencia'!$B:$B, B63)&gt;0, IF(C63="DIA", SUMIFS('👥 Asistencia'!$H:$H, '👥 Asistencia'!$B:$B, B63, '👥 Asistencia'!$E:$E, "08:00") + SUMIFS('👥 Asistencia'!$H:$H, '👥 Asistencia'!$B:$B, B63, '👥 Asistencia'!$E:$E, "07:00"), SUMIFS('👥 Asistencia'!$H:$H, '👥 Asistencia'!$B:$B, B63, '👥 Asistencia'!$E:$E, "20:00")), 0))</f>
        <v>0</v>
      </c>
      <c r="F63" s="89"/>
      <c r="G63" s="89"/>
      <c r="H63" s="33" t="str">
        <f t="shared" si="0"/>
        <v>2026-06</v>
      </c>
      <c r="I63" s="30">
        <f t="shared" si="1"/>
        <v>0</v>
      </c>
    </row>
    <row r="64" spans="2:9" ht="18" customHeight="1" x14ac:dyDescent="0.3">
      <c r="B64" s="26" t="s">
        <v>105</v>
      </c>
      <c r="C64" s="27" t="s">
        <v>73</v>
      </c>
      <c r="D64" s="30">
        <f>IF(B64="","",IF(COUNTIF('👥 Asistencia'!$B:$B, B64)&gt;0, IF(C64="DIA", COUNTIFS('👥 Asistencia'!$B:$B, B64, '👥 Asistencia'!$E:$E, "08:00") + COUNTIFS('👥 Asistencia'!$B:$B, B64, '👥 Asistencia'!$E:$E, "07:00"), COUNTIFS('👥 Asistencia'!$B:$B, B64, '👥 Asistencia'!$E:$E, "20:00")), 6))</f>
        <v>6</v>
      </c>
      <c r="E64" s="34">
        <f>IF(B64="","",IF(COUNTIF('👥 Asistencia'!$B:$B, B64)&gt;0, IF(C64="DIA", SUMIFS('👥 Asistencia'!$H:$H, '👥 Asistencia'!$B:$B, B64, '👥 Asistencia'!$E:$E, "08:00") + SUMIFS('👥 Asistencia'!$H:$H, '👥 Asistencia'!$B:$B, B64, '👥 Asistencia'!$E:$E, "07:00"), SUMIFS('👥 Asistencia'!$H:$H, '👥 Asistencia'!$B:$B, B64, '👥 Asistencia'!$E:$E, "20:00")), 0))</f>
        <v>3</v>
      </c>
      <c r="F64" s="90"/>
      <c r="G64" s="90"/>
      <c r="H64" s="33" t="str">
        <f t="shared" si="0"/>
        <v>2026-06</v>
      </c>
      <c r="I64" s="30">
        <f t="shared" si="1"/>
        <v>0</v>
      </c>
    </row>
    <row r="65" spans="2:9" ht="18" customHeight="1" x14ac:dyDescent="0.3">
      <c r="B65" s="26" t="s">
        <v>106</v>
      </c>
      <c r="C65" s="27" t="s">
        <v>72</v>
      </c>
      <c r="D65" s="30">
        <f>IF(B65="","",IF(COUNTIF('👥 Asistencia'!$B:$B, B65)&gt;0, IF(C65="DIA", COUNTIFS('👥 Asistencia'!$B:$B, B65, '👥 Asistencia'!$E:$E, "08:00") + COUNTIFS('👥 Asistencia'!$B:$B, B65, '👥 Asistencia'!$E:$E, "07:00"), COUNTIFS('👥 Asistencia'!$B:$B, B65, '👥 Asistencia'!$E:$E, "20:00")), 6))</f>
        <v>7</v>
      </c>
      <c r="E65" s="34">
        <f>IF(B65="","",IF(COUNTIF('👥 Asistencia'!$B:$B, B65)&gt;0, IF(C65="DIA", SUMIFS('👥 Asistencia'!$H:$H, '👥 Asistencia'!$B:$B, B65, '👥 Asistencia'!$E:$E, "08:00") + SUMIFS('👥 Asistencia'!$H:$H, '👥 Asistencia'!$B:$B, B65, '👥 Asistencia'!$E:$E, "07:00"), SUMIFS('👥 Asistencia'!$H:$H, '👥 Asistencia'!$B:$B, B65, '👥 Asistencia'!$E:$E, "20:00")), 0))</f>
        <v>0</v>
      </c>
      <c r="F65" s="89"/>
      <c r="G65" s="89"/>
      <c r="H65" s="33" t="str">
        <f t="shared" si="0"/>
        <v>2026-06</v>
      </c>
      <c r="I65" s="30">
        <f t="shared" si="1"/>
        <v>0</v>
      </c>
    </row>
    <row r="66" spans="2:9" ht="18" customHeight="1" x14ac:dyDescent="0.3">
      <c r="B66" s="26" t="s">
        <v>106</v>
      </c>
      <c r="C66" s="27" t="s">
        <v>73</v>
      </c>
      <c r="D66" s="30">
        <f>IF(B66="","",IF(COUNTIF('👥 Asistencia'!$B:$B, B66)&gt;0, IF(C66="DIA", COUNTIFS('👥 Asistencia'!$B:$B, B66, '👥 Asistencia'!$E:$E, "08:00") + COUNTIFS('👥 Asistencia'!$B:$B, B66, '👥 Asistencia'!$E:$E, "07:00"), COUNTIFS('👥 Asistencia'!$B:$B, B66, '👥 Asistencia'!$E:$E, "20:00")), 6))</f>
        <v>7</v>
      </c>
      <c r="E66" s="34">
        <f>IF(B66="","",IF(COUNTIF('👥 Asistencia'!$B:$B, B66)&gt;0, IF(C66="DIA", SUMIFS('👥 Asistencia'!$H:$H, '👥 Asistencia'!$B:$B, B66, '👥 Asistencia'!$E:$E, "08:00") + SUMIFS('👥 Asistencia'!$H:$H, '👥 Asistencia'!$B:$B, B66, '👥 Asistencia'!$E:$E, "07:00"), SUMIFS('👥 Asistencia'!$H:$H, '👥 Asistencia'!$B:$B, B66, '👥 Asistencia'!$E:$E, "20:00")), 0))</f>
        <v>10.5</v>
      </c>
      <c r="F66" s="90"/>
      <c r="G66" s="90"/>
      <c r="H66" s="33" t="str">
        <f t="shared" si="0"/>
        <v>2026-06</v>
      </c>
      <c r="I66" s="30">
        <f t="shared" si="1"/>
        <v>0</v>
      </c>
    </row>
    <row r="67" spans="2:9" ht="18" customHeight="1" x14ac:dyDescent="0.3">
      <c r="B67" s="26" t="s">
        <v>107</v>
      </c>
      <c r="C67" s="27" t="s">
        <v>72</v>
      </c>
      <c r="D67" s="30">
        <f>IF(B67="","",IF(COUNTIF('👥 Asistencia'!$B:$B, B67)&gt;0, IF(C67="DIA", COUNTIFS('👥 Asistencia'!$B:$B, B67, '👥 Asistencia'!$E:$E, "08:00") + COUNTIFS('👥 Asistencia'!$B:$B, B67, '👥 Asistencia'!$E:$E, "07:00"), COUNTIFS('👥 Asistencia'!$B:$B, B67, '👥 Asistencia'!$E:$E, "20:00")), 6))</f>
        <v>8</v>
      </c>
      <c r="E67" s="34">
        <f>IF(B67="","",IF(COUNTIF('👥 Asistencia'!$B:$B, B67)&gt;0, IF(C67="DIA", SUMIFS('👥 Asistencia'!$H:$H, '👥 Asistencia'!$B:$B, B67, '👥 Asistencia'!$E:$E, "08:00") + SUMIFS('👥 Asistencia'!$H:$H, '👥 Asistencia'!$B:$B, B67, '👥 Asistencia'!$E:$E, "07:00"), SUMIFS('👥 Asistencia'!$H:$H, '👥 Asistencia'!$B:$B, B67, '👥 Asistencia'!$E:$E, "20:00")), 0))</f>
        <v>0</v>
      </c>
      <c r="F67" s="89"/>
      <c r="G67" s="89"/>
      <c r="H67" s="33" t="str">
        <f t="shared" si="0"/>
        <v>2026-06</v>
      </c>
      <c r="I67" s="30">
        <f t="shared" si="1"/>
        <v>0</v>
      </c>
    </row>
    <row r="68" spans="2:9" ht="18" customHeight="1" x14ac:dyDescent="0.3">
      <c r="B68" s="26" t="s">
        <v>107</v>
      </c>
      <c r="C68" s="27" t="s">
        <v>73</v>
      </c>
      <c r="D68" s="30">
        <f>IF(B68="","",IF(COUNTIF('👥 Asistencia'!$B:$B, B68)&gt;0, IF(C68="DIA", COUNTIFS('👥 Asistencia'!$B:$B, B68, '👥 Asistencia'!$E:$E, "08:00") + COUNTIFS('👥 Asistencia'!$B:$B, B68, '👥 Asistencia'!$E:$E, "07:00"), COUNTIFS('👥 Asistencia'!$B:$B, B68, '👥 Asistencia'!$E:$E, "20:00")), 6))</f>
        <v>7</v>
      </c>
      <c r="E68" s="34">
        <f>IF(B68="","",IF(COUNTIF('👥 Asistencia'!$B:$B, B68)&gt;0, IF(C68="DIA", SUMIFS('👥 Asistencia'!$H:$H, '👥 Asistencia'!$B:$B, B68, '👥 Asistencia'!$E:$E, "08:00") + SUMIFS('👥 Asistencia'!$H:$H, '👥 Asistencia'!$B:$B, B68, '👥 Asistencia'!$E:$E, "07:00"), SUMIFS('👥 Asistencia'!$H:$H, '👥 Asistencia'!$B:$B, B68, '👥 Asistencia'!$E:$E, "20:00")), 0))</f>
        <v>3.5</v>
      </c>
      <c r="F68" s="90"/>
      <c r="G68" s="90"/>
      <c r="H68" s="33" t="str">
        <f t="shared" si="0"/>
        <v>2026-06</v>
      </c>
      <c r="I68" s="30">
        <f t="shared" si="1"/>
        <v>0</v>
      </c>
    </row>
    <row r="69" spans="2:9" ht="18" customHeight="1" x14ac:dyDescent="0.3">
      <c r="B69" s="26" t="s">
        <v>108</v>
      </c>
      <c r="C69" s="27" t="s">
        <v>72</v>
      </c>
      <c r="D69" s="30">
        <f>IF(B69="","",IF(COUNTIF('👥 Asistencia'!$B:$B, B69)&gt;0, IF(C69="DIA", COUNTIFS('👥 Asistencia'!$B:$B, B69, '👥 Asistencia'!$E:$E, "08:00") + COUNTIFS('👥 Asistencia'!$B:$B, B69, '👥 Asistencia'!$E:$E, "07:00"), COUNTIFS('👥 Asistencia'!$B:$B, B69, '👥 Asistencia'!$E:$E, "20:00")), 6))</f>
        <v>8</v>
      </c>
      <c r="E69" s="34">
        <f>IF(B69="","",IF(COUNTIF('👥 Asistencia'!$B:$B, B69)&gt;0, IF(C69="DIA", SUMIFS('👥 Asistencia'!$H:$H, '👥 Asistencia'!$B:$B, B69, '👥 Asistencia'!$E:$E, "08:00") + SUMIFS('👥 Asistencia'!$H:$H, '👥 Asistencia'!$B:$B, B69, '👥 Asistencia'!$E:$E, "07:00"), SUMIFS('👥 Asistencia'!$H:$H, '👥 Asistencia'!$B:$B, B69, '👥 Asistencia'!$E:$E, "20:00")), 0))</f>
        <v>0</v>
      </c>
      <c r="F69" s="89"/>
      <c r="G69" s="89"/>
      <c r="H69" s="33" t="str">
        <f t="shared" ref="H69:H132" si="2">IF(B69="","",IF(ISNUMBER(B69),YEAR(B69)&amp;"-"&amp;IF(MONTH(B69)&lt;10,"0","")&amp;MONTH(B69),LEFT(B69,7)))</f>
        <v>2026-06</v>
      </c>
      <c r="I69" s="30">
        <f t="shared" ref="I69:I132" si="3">IF(B69="","",IF(N(F69)=0, 0, MAX(0, (F69/5) - N(G69))))</f>
        <v>0</v>
      </c>
    </row>
    <row r="70" spans="2:9" ht="18" customHeight="1" x14ac:dyDescent="0.3">
      <c r="B70" s="26" t="s">
        <v>108</v>
      </c>
      <c r="C70" s="27" t="s">
        <v>73</v>
      </c>
      <c r="D70" s="30">
        <f>IF(B70="","",IF(COUNTIF('👥 Asistencia'!$B:$B, B70)&gt;0, IF(C70="DIA", COUNTIFS('👥 Asistencia'!$B:$B, B70, '👥 Asistencia'!$E:$E, "08:00") + COUNTIFS('👥 Asistencia'!$B:$B, B70, '👥 Asistencia'!$E:$E, "07:00"), COUNTIFS('👥 Asistencia'!$B:$B, B70, '👥 Asistencia'!$E:$E, "20:00")), 6))</f>
        <v>7</v>
      </c>
      <c r="E70" s="34">
        <f>IF(B70="","",IF(COUNTIF('👥 Asistencia'!$B:$B, B70)&gt;0, IF(C70="DIA", SUMIFS('👥 Asistencia'!$H:$H, '👥 Asistencia'!$B:$B, B70, '👥 Asistencia'!$E:$E, "08:00") + SUMIFS('👥 Asistencia'!$H:$H, '👥 Asistencia'!$B:$B, B70, '👥 Asistencia'!$E:$E, "07:00"), SUMIFS('👥 Asistencia'!$H:$H, '👥 Asistencia'!$B:$B, B70, '👥 Asistencia'!$E:$E, "20:00")), 0))</f>
        <v>3.5</v>
      </c>
      <c r="F70" s="90"/>
      <c r="G70" s="90"/>
      <c r="H70" s="33" t="str">
        <f t="shared" si="2"/>
        <v>2026-06</v>
      </c>
      <c r="I70" s="30">
        <f t="shared" si="3"/>
        <v>0</v>
      </c>
    </row>
    <row r="71" spans="2:9" ht="18" customHeight="1" x14ac:dyDescent="0.3">
      <c r="B71" s="26" t="s">
        <v>109</v>
      </c>
      <c r="C71" s="27" t="s">
        <v>72</v>
      </c>
      <c r="D71" s="30">
        <f>IF(B71="","",IF(COUNTIF('👥 Asistencia'!$B:$B, B71)&gt;0, IF(C71="DIA", COUNTIFS('👥 Asistencia'!$B:$B, B71, '👥 Asistencia'!$E:$E, "08:00") + COUNTIFS('👥 Asistencia'!$B:$B, B71, '👥 Asistencia'!$E:$E, "07:00"), COUNTIFS('👥 Asistencia'!$B:$B, B71, '👥 Asistencia'!$E:$E, "20:00")), 6))</f>
        <v>8</v>
      </c>
      <c r="E71" s="34">
        <f>IF(B71="","",IF(COUNTIF('👥 Asistencia'!$B:$B, B71)&gt;0, IF(C71="DIA", SUMIFS('👥 Asistencia'!$H:$H, '👥 Asistencia'!$B:$B, B71, '👥 Asistencia'!$E:$E, "08:00") + SUMIFS('👥 Asistencia'!$H:$H, '👥 Asistencia'!$B:$B, B71, '👥 Asistencia'!$E:$E, "07:00"), SUMIFS('👥 Asistencia'!$H:$H, '👥 Asistencia'!$B:$B, B71, '👥 Asistencia'!$E:$E, "20:00")), 0))</f>
        <v>0</v>
      </c>
      <c r="F71" s="89"/>
      <c r="G71" s="89"/>
      <c r="H71" s="33" t="str">
        <f t="shared" si="2"/>
        <v>2026-06</v>
      </c>
      <c r="I71" s="30">
        <f t="shared" si="3"/>
        <v>0</v>
      </c>
    </row>
    <row r="72" spans="2:9" ht="18" customHeight="1" x14ac:dyDescent="0.3">
      <c r="B72" s="26" t="s">
        <v>110</v>
      </c>
      <c r="C72" s="27" t="s">
        <v>73</v>
      </c>
      <c r="D72" s="30">
        <f>IF(B72="","",IF(COUNTIF('👥 Asistencia'!$B:$B, B72)&gt;0, IF(C72="DIA", COUNTIFS('👥 Asistencia'!$B:$B, B72, '👥 Asistencia'!$E:$E, "08:00") + COUNTIFS('👥 Asistencia'!$B:$B, B72, '👥 Asistencia'!$E:$E, "07:00"), COUNTIFS('👥 Asistencia'!$B:$B, B72, '👥 Asistencia'!$E:$E, "20:00")), 6))</f>
        <v>6</v>
      </c>
      <c r="E72" s="34">
        <f>IF(B72="","",IF(COUNTIF('👥 Asistencia'!$B:$B, B72)&gt;0, IF(C72="DIA", SUMIFS('👥 Asistencia'!$H:$H, '👥 Asistencia'!$B:$B, B72, '👥 Asistencia'!$E:$E, "08:00") + SUMIFS('👥 Asistencia'!$H:$H, '👥 Asistencia'!$B:$B, B72, '👥 Asistencia'!$E:$E, "07:00"), SUMIFS('👥 Asistencia'!$H:$H, '👥 Asistencia'!$B:$B, B72, '👥 Asistencia'!$E:$E, "20:00")), 0))</f>
        <v>0</v>
      </c>
      <c r="F72" s="90"/>
      <c r="G72" s="90"/>
      <c r="H72" s="33" t="str">
        <f t="shared" si="2"/>
        <v>2026-06</v>
      </c>
      <c r="I72" s="30">
        <f t="shared" si="3"/>
        <v>0</v>
      </c>
    </row>
    <row r="73" spans="2:9" ht="18" customHeight="1" x14ac:dyDescent="0.3">
      <c r="B73" s="26" t="s">
        <v>111</v>
      </c>
      <c r="C73" s="27" t="s">
        <v>72</v>
      </c>
      <c r="D73" s="30">
        <f>IF(B73="","",IF(COUNTIF('👥 Asistencia'!$B:$B, B73)&gt;0, IF(C73="DIA", COUNTIFS('👥 Asistencia'!$B:$B, B73, '👥 Asistencia'!$E:$E, "08:00") + COUNTIFS('👥 Asistencia'!$B:$B, B73, '👥 Asistencia'!$E:$E, "07:00"), COUNTIFS('👥 Asistencia'!$B:$B, B73, '👥 Asistencia'!$E:$E, "20:00")), 6))</f>
        <v>7</v>
      </c>
      <c r="E73" s="34">
        <f>IF(B73="","",IF(COUNTIF('👥 Asistencia'!$B:$B, B73)&gt;0, IF(C73="DIA", SUMIFS('👥 Asistencia'!$H:$H, '👥 Asistencia'!$B:$B, B73, '👥 Asistencia'!$E:$E, "08:00") + SUMIFS('👥 Asistencia'!$H:$H, '👥 Asistencia'!$B:$B, B73, '👥 Asistencia'!$E:$E, "07:00"), SUMIFS('👥 Asistencia'!$H:$H, '👥 Asistencia'!$B:$B, B73, '👥 Asistencia'!$E:$E, "20:00")), 0))</f>
        <v>0</v>
      </c>
      <c r="F73" s="89"/>
      <c r="G73" s="89"/>
      <c r="H73" s="33" t="str">
        <f t="shared" si="2"/>
        <v>2026-06</v>
      </c>
      <c r="I73" s="30">
        <f t="shared" si="3"/>
        <v>0</v>
      </c>
    </row>
    <row r="74" spans="2:9" ht="18" customHeight="1" x14ac:dyDescent="0.3">
      <c r="B74" s="26" t="s">
        <v>111</v>
      </c>
      <c r="C74" s="27" t="s">
        <v>73</v>
      </c>
      <c r="D74" s="30">
        <f>IF(B74="","",IF(COUNTIF('👥 Asistencia'!$B:$B, B74)&gt;0, IF(C74="DIA", COUNTIFS('👥 Asistencia'!$B:$B, B74, '👥 Asistencia'!$E:$E, "08:00") + COUNTIFS('👥 Asistencia'!$B:$B, B74, '👥 Asistencia'!$E:$E, "07:00"), COUNTIFS('👥 Asistencia'!$B:$B, B74, '👥 Asistencia'!$E:$E, "20:00")), 6))</f>
        <v>8</v>
      </c>
      <c r="E74" s="34">
        <f>IF(B74="","",IF(COUNTIF('👥 Asistencia'!$B:$B, B74)&gt;0, IF(C74="DIA", SUMIFS('👥 Asistencia'!$H:$H, '👥 Asistencia'!$B:$B, B74, '👥 Asistencia'!$E:$E, "08:00") + SUMIFS('👥 Asistencia'!$H:$H, '👥 Asistencia'!$B:$B, B74, '👥 Asistencia'!$E:$E, "07:00"), SUMIFS('👥 Asistencia'!$H:$H, '👥 Asistencia'!$B:$B, B74, '👥 Asistencia'!$E:$E, "20:00")), 0))</f>
        <v>0</v>
      </c>
      <c r="F74" s="90"/>
      <c r="G74" s="90"/>
      <c r="H74" s="33" t="str">
        <f t="shared" si="2"/>
        <v>2026-06</v>
      </c>
      <c r="I74" s="30">
        <f t="shared" si="3"/>
        <v>0</v>
      </c>
    </row>
    <row r="75" spans="2:9" ht="18" customHeight="1" x14ac:dyDescent="0.3">
      <c r="B75" s="26" t="s">
        <v>112</v>
      </c>
      <c r="C75" s="27" t="s">
        <v>72</v>
      </c>
      <c r="D75" s="30">
        <f>IF(B75="","",IF(COUNTIF('👥 Asistencia'!$B:$B, B75)&gt;0, IF(C75="DIA", COUNTIFS('👥 Asistencia'!$B:$B, B75, '👥 Asistencia'!$E:$E, "08:00") + COUNTIFS('👥 Asistencia'!$B:$B, B75, '👥 Asistencia'!$E:$E, "07:00"), COUNTIFS('👥 Asistencia'!$B:$B, B75, '👥 Asistencia'!$E:$E, "20:00")), 6))</f>
        <v>7</v>
      </c>
      <c r="E75" s="34">
        <f>IF(B75="","",IF(COUNTIF('👥 Asistencia'!$B:$B, B75)&gt;0, IF(C75="DIA", SUMIFS('👥 Asistencia'!$H:$H, '👥 Asistencia'!$B:$B, B75, '👥 Asistencia'!$E:$E, "08:00") + SUMIFS('👥 Asistencia'!$H:$H, '👥 Asistencia'!$B:$B, B75, '👥 Asistencia'!$E:$E, "07:00"), SUMIFS('👥 Asistencia'!$H:$H, '👥 Asistencia'!$B:$B, B75, '👥 Asistencia'!$E:$E, "20:00")), 0))</f>
        <v>0</v>
      </c>
      <c r="F75" s="89"/>
      <c r="G75" s="89"/>
      <c r="H75" s="33" t="str">
        <f t="shared" si="2"/>
        <v>2026-06</v>
      </c>
      <c r="I75" s="30">
        <f t="shared" si="3"/>
        <v>0</v>
      </c>
    </row>
    <row r="76" spans="2:9" ht="18" customHeight="1" x14ac:dyDescent="0.3">
      <c r="B76" s="26" t="s">
        <v>112</v>
      </c>
      <c r="C76" s="27" t="s">
        <v>73</v>
      </c>
      <c r="D76" s="30">
        <f>IF(B76="","",IF(COUNTIF('👥 Asistencia'!$B:$B, B76)&gt;0, IF(C76="DIA", COUNTIFS('👥 Asistencia'!$B:$B, B76, '👥 Asistencia'!$E:$E, "08:00") + COUNTIFS('👥 Asistencia'!$B:$B, B76, '👥 Asistencia'!$E:$E, "07:00"), COUNTIFS('👥 Asistencia'!$B:$B, B76, '👥 Asistencia'!$E:$E, "20:00")), 6))</f>
        <v>7</v>
      </c>
      <c r="E76" s="34">
        <f>IF(B76="","",IF(COUNTIF('👥 Asistencia'!$B:$B, B76)&gt;0, IF(C76="DIA", SUMIFS('👥 Asistencia'!$H:$H, '👥 Asistencia'!$B:$B, B76, '👥 Asistencia'!$E:$E, "08:00") + SUMIFS('👥 Asistencia'!$H:$H, '👥 Asistencia'!$B:$B, B76, '👥 Asistencia'!$E:$E, "07:00"), SUMIFS('👥 Asistencia'!$H:$H, '👥 Asistencia'!$B:$B, B76, '👥 Asistencia'!$E:$E, "20:00")), 0))</f>
        <v>0</v>
      </c>
      <c r="F76" s="90"/>
      <c r="G76" s="90"/>
      <c r="H76" s="33" t="str">
        <f t="shared" si="2"/>
        <v>2026-06</v>
      </c>
      <c r="I76" s="30">
        <f t="shared" si="3"/>
        <v>0</v>
      </c>
    </row>
    <row r="77" spans="2:9" ht="18" customHeight="1" x14ac:dyDescent="0.3">
      <c r="B77" s="26" t="s">
        <v>113</v>
      </c>
      <c r="C77" s="27" t="s">
        <v>72</v>
      </c>
      <c r="D77" s="30">
        <f>IF(B77="","",IF(COUNTIF('👥 Asistencia'!$B:$B, B77)&gt;0, IF(C77="DIA", COUNTIFS('👥 Asistencia'!$B:$B, B77, '👥 Asistencia'!$E:$E, "08:00") + COUNTIFS('👥 Asistencia'!$B:$B, B77, '👥 Asistencia'!$E:$E, "07:00"), COUNTIFS('👥 Asistencia'!$B:$B, B77, '👥 Asistencia'!$E:$E, "20:00")), 6))</f>
        <v>8</v>
      </c>
      <c r="E77" s="34">
        <f>IF(B77="","",IF(COUNTIF('👥 Asistencia'!$B:$B, B77)&gt;0, IF(C77="DIA", SUMIFS('👥 Asistencia'!$H:$H, '👥 Asistencia'!$B:$B, B77, '👥 Asistencia'!$E:$E, "08:00") + SUMIFS('👥 Asistencia'!$H:$H, '👥 Asistencia'!$B:$B, B77, '👥 Asistencia'!$E:$E, "07:00"), SUMIFS('👥 Asistencia'!$H:$H, '👥 Asistencia'!$B:$B, B77, '👥 Asistencia'!$E:$E, "20:00")), 0))</f>
        <v>0</v>
      </c>
      <c r="F77" s="89"/>
      <c r="G77" s="89"/>
      <c r="H77" s="33" t="str">
        <f t="shared" si="2"/>
        <v>2026-06</v>
      </c>
      <c r="I77" s="30">
        <f t="shared" si="3"/>
        <v>0</v>
      </c>
    </row>
    <row r="78" spans="2:9" ht="18" customHeight="1" x14ac:dyDescent="0.3">
      <c r="B78" s="26" t="s">
        <v>113</v>
      </c>
      <c r="C78" s="27" t="s">
        <v>73</v>
      </c>
      <c r="D78" s="30">
        <f>IF(B78="","",IF(COUNTIF('👥 Asistencia'!$B:$B, B78)&gt;0, IF(C78="DIA", COUNTIFS('👥 Asistencia'!$B:$B, B78, '👥 Asistencia'!$E:$E, "08:00") + COUNTIFS('👥 Asistencia'!$B:$B, B78, '👥 Asistencia'!$E:$E, "07:00"), COUNTIFS('👥 Asistencia'!$B:$B, B78, '👥 Asistencia'!$E:$E, "20:00")), 6))</f>
        <v>8</v>
      </c>
      <c r="E78" s="34">
        <f>IF(B78="","",IF(COUNTIF('👥 Asistencia'!$B:$B, B78)&gt;0, IF(C78="DIA", SUMIFS('👥 Asistencia'!$H:$H, '👥 Asistencia'!$B:$B, B78, '👥 Asistencia'!$E:$E, "08:00") + SUMIFS('👥 Asistencia'!$H:$H, '👥 Asistencia'!$B:$B, B78, '👥 Asistencia'!$E:$E, "07:00"), SUMIFS('👥 Asistencia'!$H:$H, '👥 Asistencia'!$B:$B, B78, '👥 Asistencia'!$E:$E, "20:00")), 0))</f>
        <v>0</v>
      </c>
      <c r="F78" s="90"/>
      <c r="G78" s="90"/>
      <c r="H78" s="33" t="str">
        <f t="shared" si="2"/>
        <v>2026-06</v>
      </c>
      <c r="I78" s="30">
        <f t="shared" si="3"/>
        <v>0</v>
      </c>
    </row>
    <row r="79" spans="2:9" ht="18" customHeight="1" x14ac:dyDescent="0.3">
      <c r="B79" s="26" t="s">
        <v>114</v>
      </c>
      <c r="C79" s="27" t="s">
        <v>72</v>
      </c>
      <c r="D79" s="30">
        <f>IF(B79="","",IF(COUNTIF('👥 Asistencia'!$B:$B, B79)&gt;0, IF(C79="DIA", COUNTIFS('👥 Asistencia'!$B:$B, B79, '👥 Asistencia'!$E:$E, "08:00") + COUNTIFS('👥 Asistencia'!$B:$B, B79, '👥 Asistencia'!$E:$E, "07:00"), COUNTIFS('👥 Asistencia'!$B:$B, B79, '👥 Asistencia'!$E:$E, "20:00")), 6))</f>
        <v>8</v>
      </c>
      <c r="E79" s="34">
        <f>IF(B79="","",IF(COUNTIF('👥 Asistencia'!$B:$B, B79)&gt;0, IF(C79="DIA", SUMIFS('👥 Asistencia'!$H:$H, '👥 Asistencia'!$B:$B, B79, '👥 Asistencia'!$E:$E, "08:00") + SUMIFS('👥 Asistencia'!$H:$H, '👥 Asistencia'!$B:$B, B79, '👥 Asistencia'!$E:$E, "07:00"), SUMIFS('👥 Asistencia'!$H:$H, '👥 Asistencia'!$B:$B, B79, '👥 Asistencia'!$E:$E, "20:00")), 0))</f>
        <v>31.5</v>
      </c>
      <c r="F79" s="89"/>
      <c r="G79" s="89"/>
      <c r="H79" s="33" t="str">
        <f t="shared" si="2"/>
        <v>2026-06</v>
      </c>
      <c r="I79" s="30">
        <f t="shared" si="3"/>
        <v>0</v>
      </c>
    </row>
    <row r="80" spans="2:9" ht="18" customHeight="1" x14ac:dyDescent="0.3">
      <c r="B80" s="26" t="s">
        <v>114</v>
      </c>
      <c r="C80" s="27" t="s">
        <v>73</v>
      </c>
      <c r="D80" s="30">
        <f>IF(B80="","",IF(COUNTIF('👥 Asistencia'!$B:$B, B80)&gt;0, IF(C80="DIA", COUNTIFS('👥 Asistencia'!$B:$B, B80, '👥 Asistencia'!$E:$E, "08:00") + COUNTIFS('👥 Asistencia'!$B:$B, B80, '👥 Asistencia'!$E:$E, "07:00"), COUNTIFS('👥 Asistencia'!$B:$B, B80, '👥 Asistencia'!$E:$E, "20:00")), 6))</f>
        <v>8</v>
      </c>
      <c r="E80" s="34">
        <f>IF(B80="","",IF(COUNTIF('👥 Asistencia'!$B:$B, B80)&gt;0, IF(C80="DIA", SUMIFS('👥 Asistencia'!$H:$H, '👥 Asistencia'!$B:$B, B80, '👥 Asistencia'!$E:$E, "08:00") + SUMIFS('👥 Asistencia'!$H:$H, '👥 Asistencia'!$B:$B, B80, '👥 Asistencia'!$E:$E, "07:00"), SUMIFS('👥 Asistencia'!$H:$H, '👥 Asistencia'!$B:$B, B80, '👥 Asistencia'!$E:$E, "20:00")), 0))</f>
        <v>0</v>
      </c>
      <c r="F80" s="90"/>
      <c r="G80" s="90"/>
      <c r="H80" s="33" t="str">
        <f t="shared" si="2"/>
        <v>2026-06</v>
      </c>
      <c r="I80" s="30">
        <f t="shared" si="3"/>
        <v>0</v>
      </c>
    </row>
    <row r="81" spans="2:9" ht="18" customHeight="1" x14ac:dyDescent="0.3">
      <c r="B81" s="26" t="s">
        <v>115</v>
      </c>
      <c r="C81" s="27" t="s">
        <v>72</v>
      </c>
      <c r="D81" s="30">
        <f>IF(B81="","",IF(COUNTIF('👥 Asistencia'!$B:$B, B81)&gt;0, IF(C81="DIA", COUNTIFS('👥 Asistencia'!$B:$B, B81, '👥 Asistencia'!$E:$E, "08:00") + COUNTIFS('👥 Asistencia'!$B:$B, B81, '👥 Asistencia'!$E:$E, "07:00"), COUNTIFS('👥 Asistencia'!$B:$B, B81, '👥 Asistencia'!$E:$E, "20:00")), 6))</f>
        <v>8</v>
      </c>
      <c r="E81" s="34">
        <f>IF(B81="","",IF(COUNTIF('👥 Asistencia'!$B:$B, B81)&gt;0, IF(C81="DIA", SUMIFS('👥 Asistencia'!$H:$H, '👥 Asistencia'!$B:$B, B81, '👥 Asistencia'!$E:$E, "08:00") + SUMIFS('👥 Asistencia'!$H:$H, '👥 Asistencia'!$B:$B, B81, '👥 Asistencia'!$E:$E, "07:00"), SUMIFS('👥 Asistencia'!$H:$H, '👥 Asistencia'!$B:$B, B81, '👥 Asistencia'!$E:$E, "20:00")), 0))</f>
        <v>0</v>
      </c>
      <c r="F81" s="89"/>
      <c r="G81" s="89"/>
      <c r="H81" s="33" t="str">
        <f t="shared" si="2"/>
        <v>2026-06</v>
      </c>
      <c r="I81" s="30">
        <f t="shared" si="3"/>
        <v>0</v>
      </c>
    </row>
    <row r="82" spans="2:9" ht="18" customHeight="1" x14ac:dyDescent="0.3">
      <c r="B82" s="26" t="s">
        <v>115</v>
      </c>
      <c r="C82" s="27" t="s">
        <v>73</v>
      </c>
      <c r="D82" s="30">
        <f>IF(B82="","",IF(COUNTIF('👥 Asistencia'!$B:$B, B82)&gt;0, IF(C82="DIA", COUNTIFS('👥 Asistencia'!$B:$B, B82, '👥 Asistencia'!$E:$E, "08:00") + COUNTIFS('👥 Asistencia'!$B:$B, B82, '👥 Asistencia'!$E:$E, "07:00"), COUNTIFS('👥 Asistencia'!$B:$B, B82, '👥 Asistencia'!$E:$E, "20:00")), 6))</f>
        <v>7</v>
      </c>
      <c r="E82" s="34">
        <f>IF(B82="","",IF(COUNTIF('👥 Asistencia'!$B:$B, B82)&gt;0, IF(C82="DIA", SUMIFS('👥 Asistencia'!$H:$H, '👥 Asistencia'!$B:$B, B82, '👥 Asistencia'!$E:$E, "08:00") + SUMIFS('👥 Asistencia'!$H:$H, '👥 Asistencia'!$B:$B, B82, '👥 Asistencia'!$E:$E, "07:00"), SUMIFS('👥 Asistencia'!$H:$H, '👥 Asistencia'!$B:$B, B82, '👥 Asistencia'!$E:$E, "20:00")), 0))</f>
        <v>0</v>
      </c>
      <c r="F82" s="90"/>
      <c r="G82" s="90"/>
      <c r="H82" s="33" t="str">
        <f t="shared" si="2"/>
        <v>2026-06</v>
      </c>
      <c r="I82" s="30">
        <f t="shared" si="3"/>
        <v>0</v>
      </c>
    </row>
    <row r="83" spans="2:9" ht="18" customHeight="1" x14ac:dyDescent="0.3">
      <c r="B83" s="26" t="s">
        <v>116</v>
      </c>
      <c r="C83" s="27" t="s">
        <v>72</v>
      </c>
      <c r="D83" s="30">
        <f>IF(B83="","",IF(COUNTIF('👥 Asistencia'!$B:$B, B83)&gt;0, IF(C83="DIA", COUNTIFS('👥 Asistencia'!$B:$B, B83, '👥 Asistencia'!$E:$E, "08:00") + COUNTIFS('👥 Asistencia'!$B:$B, B83, '👥 Asistencia'!$E:$E, "07:00"), COUNTIFS('👥 Asistencia'!$B:$B, B83, '👥 Asistencia'!$E:$E, "20:00")), 6))</f>
        <v>8</v>
      </c>
      <c r="E83" s="34">
        <f>IF(B83="","",IF(COUNTIF('👥 Asistencia'!$B:$B, B83)&gt;0, IF(C83="DIA", SUMIFS('👥 Asistencia'!$H:$H, '👥 Asistencia'!$B:$B, B83, '👥 Asistencia'!$E:$E, "08:00") + SUMIFS('👥 Asistencia'!$H:$H, '👥 Asistencia'!$B:$B, B83, '👥 Asistencia'!$E:$E, "07:00"), SUMIFS('👥 Asistencia'!$H:$H, '👥 Asistencia'!$B:$B, B83, '👥 Asistencia'!$E:$E, "20:00")), 0))</f>
        <v>40</v>
      </c>
      <c r="F83" s="89"/>
      <c r="G83" s="89"/>
      <c r="H83" s="33" t="str">
        <f t="shared" si="2"/>
        <v>2026-06</v>
      </c>
      <c r="I83" s="30">
        <f t="shared" si="3"/>
        <v>0</v>
      </c>
    </row>
    <row r="84" spans="2:9" ht="18" customHeight="1" x14ac:dyDescent="0.3">
      <c r="B84" s="26"/>
      <c r="C84" s="27"/>
      <c r="D84" s="30" t="str">
        <f>IF(B84="","",IF(COUNTIF('👥 Asistencia'!$B:$B, B84)&gt;0, IF(C84="DIA", COUNTIFS('👥 Asistencia'!$B:$B, B84, '👥 Asistencia'!$E:$E, "08:00") + COUNTIFS('👥 Asistencia'!$B:$B, B84, '👥 Asistencia'!$E:$E, "07:00"), COUNTIFS('👥 Asistencia'!$B:$B, B84, '👥 Asistencia'!$E:$E, "20:00")), 6))</f>
        <v/>
      </c>
      <c r="E84" s="34" t="str">
        <f>IF(B84="","",IF(COUNTIF('👥 Asistencia'!$B:$B, B84)&gt;0, IF(C84="DIA", SUMIFS('👥 Asistencia'!$H:$H, '👥 Asistencia'!$B:$B, B84, '👥 Asistencia'!$E:$E, "08:00") + SUMIFS('👥 Asistencia'!$H:$H, '👥 Asistencia'!$B:$B, B84, '👥 Asistencia'!$E:$E, "07:00"), SUMIFS('👥 Asistencia'!$H:$H, '👥 Asistencia'!$B:$B, B84, '👥 Asistencia'!$E:$E, "20:00")), 0))</f>
        <v/>
      </c>
      <c r="F84" s="90"/>
      <c r="G84" s="90"/>
      <c r="H84" s="33" t="str">
        <f t="shared" si="2"/>
        <v/>
      </c>
      <c r="I84" s="30" t="str">
        <f t="shared" si="3"/>
        <v/>
      </c>
    </row>
    <row r="85" spans="2:9" ht="18" customHeight="1" x14ac:dyDescent="0.3">
      <c r="B85" s="26"/>
      <c r="C85" s="27"/>
      <c r="D85" s="30" t="str">
        <f>IF(B85="","",IF(COUNTIF('👥 Asistencia'!$B:$B, B85)&gt;0, IF(C85="DIA", COUNTIFS('👥 Asistencia'!$B:$B, B85, '👥 Asistencia'!$E:$E, "08:00") + COUNTIFS('👥 Asistencia'!$B:$B, B85, '👥 Asistencia'!$E:$E, "07:00"), COUNTIFS('👥 Asistencia'!$B:$B, B85, '👥 Asistencia'!$E:$E, "20:00")), 6))</f>
        <v/>
      </c>
      <c r="E85" s="34" t="str">
        <f>IF(B85="","",IF(COUNTIF('👥 Asistencia'!$B:$B, B85)&gt;0, IF(C85="DIA", SUMIFS('👥 Asistencia'!$H:$H, '👥 Asistencia'!$B:$B, B85, '👥 Asistencia'!$E:$E, "08:00") + SUMIFS('👥 Asistencia'!$H:$H, '👥 Asistencia'!$B:$B, B85, '👥 Asistencia'!$E:$E, "07:00"), SUMIFS('👥 Asistencia'!$H:$H, '👥 Asistencia'!$B:$B, B85, '👥 Asistencia'!$E:$E, "20:00")), 0))</f>
        <v/>
      </c>
      <c r="F85" s="89"/>
      <c r="G85" s="89"/>
      <c r="H85" s="33" t="str">
        <f t="shared" si="2"/>
        <v/>
      </c>
      <c r="I85" s="30" t="str">
        <f t="shared" si="3"/>
        <v/>
      </c>
    </row>
    <row r="86" spans="2:9" ht="18" customHeight="1" x14ac:dyDescent="0.3">
      <c r="B86" s="26"/>
      <c r="C86" s="27"/>
      <c r="D86" s="30" t="str">
        <f>IF(B86="","",IF(COUNTIF('👥 Asistencia'!$B:$B, B86)&gt;0, IF(C86="DIA", COUNTIFS('👥 Asistencia'!$B:$B, B86, '👥 Asistencia'!$E:$E, "08:00") + COUNTIFS('👥 Asistencia'!$B:$B, B86, '👥 Asistencia'!$E:$E, "07:00"), COUNTIFS('👥 Asistencia'!$B:$B, B86, '👥 Asistencia'!$E:$E, "20:00")), 6))</f>
        <v/>
      </c>
      <c r="E86" s="34" t="str">
        <f>IF(B86="","",IF(COUNTIF('👥 Asistencia'!$B:$B, B86)&gt;0, IF(C86="DIA", SUMIFS('👥 Asistencia'!$H:$H, '👥 Asistencia'!$B:$B, B86, '👥 Asistencia'!$E:$E, "08:00") + SUMIFS('👥 Asistencia'!$H:$H, '👥 Asistencia'!$B:$B, B86, '👥 Asistencia'!$E:$E, "07:00"), SUMIFS('👥 Asistencia'!$H:$H, '👥 Asistencia'!$B:$B, B86, '👥 Asistencia'!$E:$E, "20:00")), 0))</f>
        <v/>
      </c>
      <c r="F86" s="90"/>
      <c r="G86" s="90"/>
      <c r="H86" s="33" t="str">
        <f t="shared" si="2"/>
        <v/>
      </c>
      <c r="I86" s="30" t="str">
        <f t="shared" si="3"/>
        <v/>
      </c>
    </row>
    <row r="87" spans="2:9" ht="18" customHeight="1" x14ac:dyDescent="0.3">
      <c r="B87" s="26"/>
      <c r="C87" s="27"/>
      <c r="D87" s="30" t="str">
        <f>IF(B87="","",IF(COUNTIF('👥 Asistencia'!$B:$B, B87)&gt;0, IF(C87="DIA", COUNTIFS('👥 Asistencia'!$B:$B, B87, '👥 Asistencia'!$E:$E, "08:00") + COUNTIFS('👥 Asistencia'!$B:$B, B87, '👥 Asistencia'!$E:$E, "07:00"), COUNTIFS('👥 Asistencia'!$B:$B, B87, '👥 Asistencia'!$E:$E, "20:00")), 6))</f>
        <v/>
      </c>
      <c r="E87" s="34" t="str">
        <f>IF(B87="","",IF(COUNTIF('👥 Asistencia'!$B:$B, B87)&gt;0, IF(C87="DIA", SUMIFS('👥 Asistencia'!$H:$H, '👥 Asistencia'!$B:$B, B87, '👥 Asistencia'!$E:$E, "08:00") + SUMIFS('👥 Asistencia'!$H:$H, '👥 Asistencia'!$B:$B, B87, '👥 Asistencia'!$E:$E, "07:00"), SUMIFS('👥 Asistencia'!$H:$H, '👥 Asistencia'!$B:$B, B87, '👥 Asistencia'!$E:$E, "20:00")), 0))</f>
        <v/>
      </c>
      <c r="F87" s="89"/>
      <c r="G87" s="89"/>
      <c r="H87" s="33" t="str">
        <f t="shared" si="2"/>
        <v/>
      </c>
      <c r="I87" s="30" t="str">
        <f t="shared" si="3"/>
        <v/>
      </c>
    </row>
    <row r="88" spans="2:9" ht="18" customHeight="1" x14ac:dyDescent="0.3">
      <c r="B88" s="26"/>
      <c r="C88" s="27"/>
      <c r="D88" s="30" t="str">
        <f>IF(B88="","",IF(COUNTIF('👥 Asistencia'!$B:$B, B88)&gt;0, IF(C88="DIA", COUNTIFS('👥 Asistencia'!$B:$B, B88, '👥 Asistencia'!$E:$E, "08:00") + COUNTIFS('👥 Asistencia'!$B:$B, B88, '👥 Asistencia'!$E:$E, "07:00"), COUNTIFS('👥 Asistencia'!$B:$B, B88, '👥 Asistencia'!$E:$E, "20:00")), 6))</f>
        <v/>
      </c>
      <c r="E88" s="34" t="str">
        <f>IF(B88="","",IF(COUNTIF('👥 Asistencia'!$B:$B, B88)&gt;0, IF(C88="DIA", SUMIFS('👥 Asistencia'!$H:$H, '👥 Asistencia'!$B:$B, B88, '👥 Asistencia'!$E:$E, "08:00") + SUMIFS('👥 Asistencia'!$H:$H, '👥 Asistencia'!$B:$B, B88, '👥 Asistencia'!$E:$E, "07:00"), SUMIFS('👥 Asistencia'!$H:$H, '👥 Asistencia'!$B:$B, B88, '👥 Asistencia'!$E:$E, "20:00")), 0))</f>
        <v/>
      </c>
      <c r="F88" s="90"/>
      <c r="G88" s="90"/>
      <c r="H88" s="33" t="str">
        <f t="shared" si="2"/>
        <v/>
      </c>
      <c r="I88" s="30" t="str">
        <f t="shared" si="3"/>
        <v/>
      </c>
    </row>
    <row r="89" spans="2:9" ht="18" customHeight="1" x14ac:dyDescent="0.3">
      <c r="B89" s="26"/>
      <c r="C89" s="27"/>
      <c r="D89" s="30" t="str">
        <f>IF(B89="","",IF(COUNTIF('👥 Asistencia'!$B:$B, B89)&gt;0, IF(C89="DIA", COUNTIFS('👥 Asistencia'!$B:$B, B89, '👥 Asistencia'!$E:$E, "08:00") + COUNTIFS('👥 Asistencia'!$B:$B, B89, '👥 Asistencia'!$E:$E, "07:00"), COUNTIFS('👥 Asistencia'!$B:$B, B89, '👥 Asistencia'!$E:$E, "20:00")), 6))</f>
        <v/>
      </c>
      <c r="E89" s="34" t="str">
        <f>IF(B89="","",IF(COUNTIF('👥 Asistencia'!$B:$B, B89)&gt;0, IF(C89="DIA", SUMIFS('👥 Asistencia'!$H:$H, '👥 Asistencia'!$B:$B, B89, '👥 Asistencia'!$E:$E, "08:00") + SUMIFS('👥 Asistencia'!$H:$H, '👥 Asistencia'!$B:$B, B89, '👥 Asistencia'!$E:$E, "07:00"), SUMIFS('👥 Asistencia'!$H:$H, '👥 Asistencia'!$B:$B, B89, '👥 Asistencia'!$E:$E, "20:00")), 0))</f>
        <v/>
      </c>
      <c r="F89" s="89"/>
      <c r="G89" s="89"/>
      <c r="H89" s="33" t="str">
        <f t="shared" si="2"/>
        <v/>
      </c>
      <c r="I89" s="30" t="str">
        <f t="shared" si="3"/>
        <v/>
      </c>
    </row>
    <row r="90" spans="2:9" ht="18" customHeight="1" x14ac:dyDescent="0.3">
      <c r="B90" s="26"/>
      <c r="C90" s="27"/>
      <c r="D90" s="30" t="str">
        <f>IF(B90="","",IF(COUNTIF('👥 Asistencia'!$B:$B, B90)&gt;0, IF(C90="DIA", COUNTIFS('👥 Asistencia'!$B:$B, B90, '👥 Asistencia'!$E:$E, "08:00") + COUNTIFS('👥 Asistencia'!$B:$B, B90, '👥 Asistencia'!$E:$E, "07:00"), COUNTIFS('👥 Asistencia'!$B:$B, B90, '👥 Asistencia'!$E:$E, "20:00")), 6))</f>
        <v/>
      </c>
      <c r="E90" s="34" t="str">
        <f>IF(B90="","",IF(COUNTIF('👥 Asistencia'!$B:$B, B90)&gt;0, IF(C90="DIA", SUMIFS('👥 Asistencia'!$H:$H, '👥 Asistencia'!$B:$B, B90, '👥 Asistencia'!$E:$E, "08:00") + SUMIFS('👥 Asistencia'!$H:$H, '👥 Asistencia'!$B:$B, B90, '👥 Asistencia'!$E:$E, "07:00"), SUMIFS('👥 Asistencia'!$H:$H, '👥 Asistencia'!$B:$B, B90, '👥 Asistencia'!$E:$E, "20:00")), 0))</f>
        <v/>
      </c>
      <c r="F90" s="90"/>
      <c r="G90" s="90"/>
      <c r="H90" s="33" t="str">
        <f t="shared" si="2"/>
        <v/>
      </c>
      <c r="I90" s="30" t="str">
        <f t="shared" si="3"/>
        <v/>
      </c>
    </row>
    <row r="91" spans="2:9" ht="18" customHeight="1" x14ac:dyDescent="0.3">
      <c r="B91" s="26"/>
      <c r="C91" s="27"/>
      <c r="D91" s="30" t="str">
        <f>IF(B91="","",IF(COUNTIF('👥 Asistencia'!$B:$B, B91)&gt;0, IF(C91="DIA", COUNTIFS('👥 Asistencia'!$B:$B, B91, '👥 Asistencia'!$E:$E, "08:00") + COUNTIFS('👥 Asistencia'!$B:$B, B91, '👥 Asistencia'!$E:$E, "07:00"), COUNTIFS('👥 Asistencia'!$B:$B, B91, '👥 Asistencia'!$E:$E, "20:00")), 6))</f>
        <v/>
      </c>
      <c r="E91" s="34" t="str">
        <f>IF(B91="","",IF(COUNTIF('👥 Asistencia'!$B:$B, B91)&gt;0, IF(C91="DIA", SUMIFS('👥 Asistencia'!$H:$H, '👥 Asistencia'!$B:$B, B91, '👥 Asistencia'!$E:$E, "08:00") + SUMIFS('👥 Asistencia'!$H:$H, '👥 Asistencia'!$B:$B, B91, '👥 Asistencia'!$E:$E, "07:00"), SUMIFS('👥 Asistencia'!$H:$H, '👥 Asistencia'!$B:$B, B91, '👥 Asistencia'!$E:$E, "20:00")), 0))</f>
        <v/>
      </c>
      <c r="F91" s="89"/>
      <c r="G91" s="89"/>
      <c r="H91" s="33" t="str">
        <f t="shared" si="2"/>
        <v/>
      </c>
      <c r="I91" s="30" t="str">
        <f t="shared" si="3"/>
        <v/>
      </c>
    </row>
    <row r="92" spans="2:9" ht="18" customHeight="1" x14ac:dyDescent="0.3">
      <c r="B92" s="26"/>
      <c r="C92" s="27"/>
      <c r="D92" s="30" t="str">
        <f>IF(B92="","",IF(COUNTIF('👥 Asistencia'!$B:$B, B92)&gt;0, IF(C92="DIA", COUNTIFS('👥 Asistencia'!$B:$B, B92, '👥 Asistencia'!$E:$E, "08:00") + COUNTIFS('👥 Asistencia'!$B:$B, B92, '👥 Asistencia'!$E:$E, "07:00"), COUNTIFS('👥 Asistencia'!$B:$B, B92, '👥 Asistencia'!$E:$E, "20:00")), 6))</f>
        <v/>
      </c>
      <c r="E92" s="34" t="str">
        <f>IF(B92="","",IF(COUNTIF('👥 Asistencia'!$B:$B, B92)&gt;0, IF(C92="DIA", SUMIFS('👥 Asistencia'!$H:$H, '👥 Asistencia'!$B:$B, B92, '👥 Asistencia'!$E:$E, "08:00") + SUMIFS('👥 Asistencia'!$H:$H, '👥 Asistencia'!$B:$B, B92, '👥 Asistencia'!$E:$E, "07:00"), SUMIFS('👥 Asistencia'!$H:$H, '👥 Asistencia'!$B:$B, B92, '👥 Asistencia'!$E:$E, "20:00")), 0))</f>
        <v/>
      </c>
      <c r="F92" s="90"/>
      <c r="G92" s="90"/>
      <c r="H92" s="33" t="str">
        <f t="shared" si="2"/>
        <v/>
      </c>
      <c r="I92" s="30" t="str">
        <f t="shared" si="3"/>
        <v/>
      </c>
    </row>
    <row r="93" spans="2:9" ht="18" customHeight="1" x14ac:dyDescent="0.3">
      <c r="B93" s="26"/>
      <c r="C93" s="27"/>
      <c r="D93" s="30" t="str">
        <f>IF(B93="","",IF(COUNTIF('👥 Asistencia'!$B:$B, B93)&gt;0, IF(C93="DIA", COUNTIFS('👥 Asistencia'!$B:$B, B93, '👥 Asistencia'!$E:$E, "08:00") + COUNTIFS('👥 Asistencia'!$B:$B, B93, '👥 Asistencia'!$E:$E, "07:00"), COUNTIFS('👥 Asistencia'!$B:$B, B93, '👥 Asistencia'!$E:$E, "20:00")), 6))</f>
        <v/>
      </c>
      <c r="E93" s="34" t="str">
        <f>IF(B93="","",IF(COUNTIF('👥 Asistencia'!$B:$B, B93)&gt;0, IF(C93="DIA", SUMIFS('👥 Asistencia'!$H:$H, '👥 Asistencia'!$B:$B, B93, '👥 Asistencia'!$E:$E, "08:00") + SUMIFS('👥 Asistencia'!$H:$H, '👥 Asistencia'!$B:$B, B93, '👥 Asistencia'!$E:$E, "07:00"), SUMIFS('👥 Asistencia'!$H:$H, '👥 Asistencia'!$B:$B, B93, '👥 Asistencia'!$E:$E, "20:00")), 0))</f>
        <v/>
      </c>
      <c r="F93" s="89"/>
      <c r="G93" s="89"/>
      <c r="H93" s="33" t="str">
        <f t="shared" si="2"/>
        <v/>
      </c>
      <c r="I93" s="30" t="str">
        <f t="shared" si="3"/>
        <v/>
      </c>
    </row>
    <row r="94" spans="2:9" ht="18" customHeight="1" x14ac:dyDescent="0.3">
      <c r="B94" s="26"/>
      <c r="C94" s="27"/>
      <c r="D94" s="30" t="str">
        <f>IF(B94="","",IF(COUNTIF('👥 Asistencia'!$B:$B, B94)&gt;0, IF(C94="DIA", COUNTIFS('👥 Asistencia'!$B:$B, B94, '👥 Asistencia'!$E:$E, "08:00") + COUNTIFS('👥 Asistencia'!$B:$B, B94, '👥 Asistencia'!$E:$E, "07:00"), COUNTIFS('👥 Asistencia'!$B:$B, B94, '👥 Asistencia'!$E:$E, "20:00")), 6))</f>
        <v/>
      </c>
      <c r="E94" s="34" t="str">
        <f>IF(B94="","",IF(COUNTIF('👥 Asistencia'!$B:$B, B94)&gt;0, IF(C94="DIA", SUMIFS('👥 Asistencia'!$H:$H, '👥 Asistencia'!$B:$B, B94, '👥 Asistencia'!$E:$E, "08:00") + SUMIFS('👥 Asistencia'!$H:$H, '👥 Asistencia'!$B:$B, B94, '👥 Asistencia'!$E:$E, "07:00"), SUMIFS('👥 Asistencia'!$H:$H, '👥 Asistencia'!$B:$B, B94, '👥 Asistencia'!$E:$E, "20:00")), 0))</f>
        <v/>
      </c>
      <c r="F94" s="90"/>
      <c r="G94" s="90"/>
      <c r="H94" s="33" t="str">
        <f t="shared" si="2"/>
        <v/>
      </c>
      <c r="I94" s="30" t="str">
        <f t="shared" si="3"/>
        <v/>
      </c>
    </row>
    <row r="95" spans="2:9" ht="18" customHeight="1" x14ac:dyDescent="0.3">
      <c r="B95" s="26"/>
      <c r="C95" s="27"/>
      <c r="D95" s="30" t="str">
        <f>IF(B95="","",IF(COUNTIF('👥 Asistencia'!$B:$B, B95)&gt;0, IF(C95="DIA", COUNTIFS('👥 Asistencia'!$B:$B, B95, '👥 Asistencia'!$E:$E, "08:00") + COUNTIFS('👥 Asistencia'!$B:$B, B95, '👥 Asistencia'!$E:$E, "07:00"), COUNTIFS('👥 Asistencia'!$B:$B, B95, '👥 Asistencia'!$E:$E, "20:00")), 6))</f>
        <v/>
      </c>
      <c r="E95" s="34" t="str">
        <f>IF(B95="","",IF(COUNTIF('👥 Asistencia'!$B:$B, B95)&gt;0, IF(C95="DIA", SUMIFS('👥 Asistencia'!$H:$H, '👥 Asistencia'!$B:$B, B95, '👥 Asistencia'!$E:$E, "08:00") + SUMIFS('👥 Asistencia'!$H:$H, '👥 Asistencia'!$B:$B, B95, '👥 Asistencia'!$E:$E, "07:00"), SUMIFS('👥 Asistencia'!$H:$H, '👥 Asistencia'!$B:$B, B95, '👥 Asistencia'!$E:$E, "20:00")), 0))</f>
        <v/>
      </c>
      <c r="F95" s="89"/>
      <c r="G95" s="89"/>
      <c r="H95" s="33" t="str">
        <f t="shared" si="2"/>
        <v/>
      </c>
      <c r="I95" s="30" t="str">
        <f t="shared" si="3"/>
        <v/>
      </c>
    </row>
    <row r="96" spans="2:9" ht="18" customHeight="1" x14ac:dyDescent="0.3">
      <c r="B96" s="26"/>
      <c r="C96" s="27"/>
      <c r="D96" s="30" t="str">
        <f>IF(B96="","",IF(COUNTIF('👥 Asistencia'!$B:$B, B96)&gt;0, IF(C96="DIA", COUNTIFS('👥 Asistencia'!$B:$B, B96, '👥 Asistencia'!$E:$E, "08:00") + COUNTIFS('👥 Asistencia'!$B:$B, B96, '👥 Asistencia'!$E:$E, "07:00"), COUNTIFS('👥 Asistencia'!$B:$B, B96, '👥 Asistencia'!$E:$E, "20:00")), 6))</f>
        <v/>
      </c>
      <c r="E96" s="34" t="str">
        <f>IF(B96="","",IF(COUNTIF('👥 Asistencia'!$B:$B, B96)&gt;0, IF(C96="DIA", SUMIFS('👥 Asistencia'!$H:$H, '👥 Asistencia'!$B:$B, B96, '👥 Asistencia'!$E:$E, "08:00") + SUMIFS('👥 Asistencia'!$H:$H, '👥 Asistencia'!$B:$B, B96, '👥 Asistencia'!$E:$E, "07:00"), SUMIFS('👥 Asistencia'!$H:$H, '👥 Asistencia'!$B:$B, B96, '👥 Asistencia'!$E:$E, "20:00")), 0))</f>
        <v/>
      </c>
      <c r="F96" s="90"/>
      <c r="G96" s="90"/>
      <c r="H96" s="33" t="str">
        <f t="shared" si="2"/>
        <v/>
      </c>
      <c r="I96" s="30" t="str">
        <f t="shared" si="3"/>
        <v/>
      </c>
    </row>
    <row r="97" spans="2:9" ht="18" customHeight="1" x14ac:dyDescent="0.3">
      <c r="B97" s="26"/>
      <c r="C97" s="27"/>
      <c r="D97" s="30" t="str">
        <f>IF(B97="","",IF(COUNTIF('👥 Asistencia'!$B:$B, B97)&gt;0, IF(C97="DIA", COUNTIFS('👥 Asistencia'!$B:$B, B97, '👥 Asistencia'!$E:$E, "08:00") + COUNTIFS('👥 Asistencia'!$B:$B, B97, '👥 Asistencia'!$E:$E, "07:00"), COUNTIFS('👥 Asistencia'!$B:$B, B97, '👥 Asistencia'!$E:$E, "20:00")), 6))</f>
        <v/>
      </c>
      <c r="E97" s="34" t="str">
        <f>IF(B97="","",IF(COUNTIF('👥 Asistencia'!$B:$B, B97)&gt;0, IF(C97="DIA", SUMIFS('👥 Asistencia'!$H:$H, '👥 Asistencia'!$B:$B, B97, '👥 Asistencia'!$E:$E, "08:00") + SUMIFS('👥 Asistencia'!$H:$H, '👥 Asistencia'!$B:$B, B97, '👥 Asistencia'!$E:$E, "07:00"), SUMIFS('👥 Asistencia'!$H:$H, '👥 Asistencia'!$B:$B, B97, '👥 Asistencia'!$E:$E, "20:00")), 0))</f>
        <v/>
      </c>
      <c r="F97" s="89"/>
      <c r="G97" s="89"/>
      <c r="H97" s="33" t="str">
        <f t="shared" si="2"/>
        <v/>
      </c>
      <c r="I97" s="30" t="str">
        <f t="shared" si="3"/>
        <v/>
      </c>
    </row>
    <row r="98" spans="2:9" ht="18" customHeight="1" x14ac:dyDescent="0.3">
      <c r="B98" s="26"/>
      <c r="C98" s="27"/>
      <c r="D98" s="30" t="str">
        <f>IF(B98="","",IF(COUNTIF('👥 Asistencia'!$B:$B, B98)&gt;0, IF(C98="DIA", COUNTIFS('👥 Asistencia'!$B:$B, B98, '👥 Asistencia'!$E:$E, "08:00") + COUNTIFS('👥 Asistencia'!$B:$B, B98, '👥 Asistencia'!$E:$E, "07:00"), COUNTIFS('👥 Asistencia'!$B:$B, B98, '👥 Asistencia'!$E:$E, "20:00")), 6))</f>
        <v/>
      </c>
      <c r="E98" s="34" t="str">
        <f>IF(B98="","",IF(COUNTIF('👥 Asistencia'!$B:$B, B98)&gt;0, IF(C98="DIA", SUMIFS('👥 Asistencia'!$H:$H, '👥 Asistencia'!$B:$B, B98, '👥 Asistencia'!$E:$E, "08:00") + SUMIFS('👥 Asistencia'!$H:$H, '👥 Asistencia'!$B:$B, B98, '👥 Asistencia'!$E:$E, "07:00"), SUMIFS('👥 Asistencia'!$H:$H, '👥 Asistencia'!$B:$B, B98, '👥 Asistencia'!$E:$E, "20:00")), 0))</f>
        <v/>
      </c>
      <c r="F98" s="90"/>
      <c r="G98" s="90"/>
      <c r="H98" s="33" t="str">
        <f t="shared" si="2"/>
        <v/>
      </c>
      <c r="I98" s="30" t="str">
        <f t="shared" si="3"/>
        <v/>
      </c>
    </row>
    <row r="99" spans="2:9" ht="18" customHeight="1" x14ac:dyDescent="0.3">
      <c r="B99" s="26"/>
      <c r="C99" s="27"/>
      <c r="D99" s="30" t="str">
        <f>IF(B99="","",IF(COUNTIF('👥 Asistencia'!$B:$B, B99)&gt;0, IF(C99="DIA", COUNTIFS('👥 Asistencia'!$B:$B, B99, '👥 Asistencia'!$E:$E, "08:00") + COUNTIFS('👥 Asistencia'!$B:$B, B99, '👥 Asistencia'!$E:$E, "07:00"), COUNTIFS('👥 Asistencia'!$B:$B, B99, '👥 Asistencia'!$E:$E, "20:00")), 6))</f>
        <v/>
      </c>
      <c r="E99" s="34" t="str">
        <f>IF(B99="","",IF(COUNTIF('👥 Asistencia'!$B:$B, B99)&gt;0, IF(C99="DIA", SUMIFS('👥 Asistencia'!$H:$H, '👥 Asistencia'!$B:$B, B99, '👥 Asistencia'!$E:$E, "08:00") + SUMIFS('👥 Asistencia'!$H:$H, '👥 Asistencia'!$B:$B, B99, '👥 Asistencia'!$E:$E, "07:00"), SUMIFS('👥 Asistencia'!$H:$H, '👥 Asistencia'!$B:$B, B99, '👥 Asistencia'!$E:$E, "20:00")), 0))</f>
        <v/>
      </c>
      <c r="F99" s="89"/>
      <c r="G99" s="89"/>
      <c r="H99" s="33" t="str">
        <f t="shared" si="2"/>
        <v/>
      </c>
      <c r="I99" s="30" t="str">
        <f t="shared" si="3"/>
        <v/>
      </c>
    </row>
    <row r="100" spans="2:9" ht="18" customHeight="1" x14ac:dyDescent="0.3">
      <c r="B100" s="26"/>
      <c r="C100" s="27"/>
      <c r="D100" s="30" t="str">
        <f>IF(B100="","",IF(COUNTIF('👥 Asistencia'!$B:$B, B100)&gt;0, IF(C100="DIA", COUNTIFS('👥 Asistencia'!$B:$B, B100, '👥 Asistencia'!$E:$E, "08:00") + COUNTIFS('👥 Asistencia'!$B:$B, B100, '👥 Asistencia'!$E:$E, "07:00"), COUNTIFS('👥 Asistencia'!$B:$B, B100, '👥 Asistencia'!$E:$E, "20:00")), 6))</f>
        <v/>
      </c>
      <c r="E100" s="34" t="str">
        <f>IF(B100="","",IF(COUNTIF('👥 Asistencia'!$B:$B, B100)&gt;0, IF(C100="DIA", SUMIFS('👥 Asistencia'!$H:$H, '👥 Asistencia'!$B:$B, B100, '👥 Asistencia'!$E:$E, "08:00") + SUMIFS('👥 Asistencia'!$H:$H, '👥 Asistencia'!$B:$B, B100, '👥 Asistencia'!$E:$E, "07:00"), SUMIFS('👥 Asistencia'!$H:$H, '👥 Asistencia'!$B:$B, B100, '👥 Asistencia'!$E:$E, "20:00")), 0))</f>
        <v/>
      </c>
      <c r="F100" s="90"/>
      <c r="G100" s="90"/>
      <c r="H100" s="33" t="str">
        <f t="shared" si="2"/>
        <v/>
      </c>
      <c r="I100" s="30" t="str">
        <f t="shared" si="3"/>
        <v/>
      </c>
    </row>
    <row r="101" spans="2:9" ht="18" customHeight="1" x14ac:dyDescent="0.3">
      <c r="B101" s="26"/>
      <c r="C101" s="27"/>
      <c r="D101" s="30" t="str">
        <f>IF(B101="","",IF(COUNTIF('👥 Asistencia'!$B:$B, B101)&gt;0, IF(C101="DIA", COUNTIFS('👥 Asistencia'!$B:$B, B101, '👥 Asistencia'!$E:$E, "08:00") + COUNTIFS('👥 Asistencia'!$B:$B, B101, '👥 Asistencia'!$E:$E, "07:00"), COUNTIFS('👥 Asistencia'!$B:$B, B101, '👥 Asistencia'!$E:$E, "20:00")), 6))</f>
        <v/>
      </c>
      <c r="E101" s="34" t="str">
        <f>IF(B101="","",IF(COUNTIF('👥 Asistencia'!$B:$B, B101)&gt;0, IF(C101="DIA", SUMIFS('👥 Asistencia'!$H:$H, '👥 Asistencia'!$B:$B, B101, '👥 Asistencia'!$E:$E, "08:00") + SUMIFS('👥 Asistencia'!$H:$H, '👥 Asistencia'!$B:$B, B101, '👥 Asistencia'!$E:$E, "07:00"), SUMIFS('👥 Asistencia'!$H:$H, '👥 Asistencia'!$B:$B, B101, '👥 Asistencia'!$E:$E, "20:00")), 0))</f>
        <v/>
      </c>
      <c r="F101" s="89"/>
      <c r="G101" s="89"/>
      <c r="H101" s="33" t="str">
        <f t="shared" si="2"/>
        <v/>
      </c>
      <c r="I101" s="30" t="str">
        <f t="shared" si="3"/>
        <v/>
      </c>
    </row>
    <row r="102" spans="2:9" ht="18" customHeight="1" x14ac:dyDescent="0.3">
      <c r="B102" s="26"/>
      <c r="C102" s="27"/>
      <c r="D102" s="30" t="str">
        <f>IF(B102="","",IF(COUNTIF('👥 Asistencia'!$B:$B, B102)&gt;0, IF(C102="DIA", COUNTIFS('👥 Asistencia'!$B:$B, B102, '👥 Asistencia'!$E:$E, "08:00") + COUNTIFS('👥 Asistencia'!$B:$B, B102, '👥 Asistencia'!$E:$E, "07:00"), COUNTIFS('👥 Asistencia'!$B:$B, B102, '👥 Asistencia'!$E:$E, "20:00")), 6))</f>
        <v/>
      </c>
      <c r="E102" s="34" t="str">
        <f>IF(B102="","",IF(COUNTIF('👥 Asistencia'!$B:$B, B102)&gt;0, IF(C102="DIA", SUMIFS('👥 Asistencia'!$H:$H, '👥 Asistencia'!$B:$B, B102, '👥 Asistencia'!$E:$E, "08:00") + SUMIFS('👥 Asistencia'!$H:$H, '👥 Asistencia'!$B:$B, B102, '👥 Asistencia'!$E:$E, "07:00"), SUMIFS('👥 Asistencia'!$H:$H, '👥 Asistencia'!$B:$B, B102, '👥 Asistencia'!$E:$E, "20:00")), 0))</f>
        <v/>
      </c>
      <c r="F102" s="90"/>
      <c r="G102" s="90"/>
      <c r="H102" s="33" t="str">
        <f t="shared" si="2"/>
        <v/>
      </c>
      <c r="I102" s="30" t="str">
        <f t="shared" si="3"/>
        <v/>
      </c>
    </row>
    <row r="103" spans="2:9" ht="18" customHeight="1" x14ac:dyDescent="0.3">
      <c r="B103" s="26"/>
      <c r="C103" s="27"/>
      <c r="D103" s="30" t="str">
        <f>IF(B103="","",IF(COUNTIF('👥 Asistencia'!$B:$B, B103)&gt;0, IF(C103="DIA", COUNTIFS('👥 Asistencia'!$B:$B, B103, '👥 Asistencia'!$E:$E, "08:00") + COUNTIFS('👥 Asistencia'!$B:$B, B103, '👥 Asistencia'!$E:$E, "07:00"), COUNTIFS('👥 Asistencia'!$B:$B, B103, '👥 Asistencia'!$E:$E, "20:00")), 6))</f>
        <v/>
      </c>
      <c r="E103" s="34" t="str">
        <f>IF(B103="","",IF(COUNTIF('👥 Asistencia'!$B:$B, B103)&gt;0, IF(C103="DIA", SUMIFS('👥 Asistencia'!$H:$H, '👥 Asistencia'!$B:$B, B103, '👥 Asistencia'!$E:$E, "08:00") + SUMIFS('👥 Asistencia'!$H:$H, '👥 Asistencia'!$B:$B, B103, '👥 Asistencia'!$E:$E, "07:00"), SUMIFS('👥 Asistencia'!$H:$H, '👥 Asistencia'!$B:$B, B103, '👥 Asistencia'!$E:$E, "20:00")), 0))</f>
        <v/>
      </c>
      <c r="F103" s="89"/>
      <c r="G103" s="89"/>
      <c r="H103" s="33" t="str">
        <f t="shared" si="2"/>
        <v/>
      </c>
      <c r="I103" s="30" t="str">
        <f t="shared" si="3"/>
        <v/>
      </c>
    </row>
    <row r="104" spans="2:9" ht="18" customHeight="1" x14ac:dyDescent="0.3">
      <c r="B104" s="26"/>
      <c r="C104" s="27"/>
      <c r="D104" s="30" t="str">
        <f>IF(B104="","",IF(COUNTIF('👥 Asistencia'!$B:$B, B104)&gt;0, IF(C104="DIA", COUNTIFS('👥 Asistencia'!$B:$B, B104, '👥 Asistencia'!$E:$E, "08:00") + COUNTIFS('👥 Asistencia'!$B:$B, B104, '👥 Asistencia'!$E:$E, "07:00"), COUNTIFS('👥 Asistencia'!$B:$B, B104, '👥 Asistencia'!$E:$E, "20:00")), 6))</f>
        <v/>
      </c>
      <c r="E104" s="34" t="str">
        <f>IF(B104="","",IF(COUNTIF('👥 Asistencia'!$B:$B, B104)&gt;0, IF(C104="DIA", SUMIFS('👥 Asistencia'!$H:$H, '👥 Asistencia'!$B:$B, B104, '👥 Asistencia'!$E:$E, "08:00") + SUMIFS('👥 Asistencia'!$H:$H, '👥 Asistencia'!$B:$B, B104, '👥 Asistencia'!$E:$E, "07:00"), SUMIFS('👥 Asistencia'!$H:$H, '👥 Asistencia'!$B:$B, B104, '👥 Asistencia'!$E:$E, "20:00")), 0))</f>
        <v/>
      </c>
      <c r="F104" s="90"/>
      <c r="G104" s="90"/>
      <c r="H104" s="33" t="str">
        <f t="shared" si="2"/>
        <v/>
      </c>
      <c r="I104" s="30" t="str">
        <f t="shared" si="3"/>
        <v/>
      </c>
    </row>
    <row r="105" spans="2:9" ht="18" customHeight="1" x14ac:dyDescent="0.3">
      <c r="B105" s="26"/>
      <c r="C105" s="27"/>
      <c r="D105" s="30" t="str">
        <f>IF(B105="","",IF(COUNTIF('👥 Asistencia'!$B:$B, B105)&gt;0, IF(C105="DIA", COUNTIFS('👥 Asistencia'!$B:$B, B105, '👥 Asistencia'!$E:$E, "08:00") + COUNTIFS('👥 Asistencia'!$B:$B, B105, '👥 Asistencia'!$E:$E, "07:00"), COUNTIFS('👥 Asistencia'!$B:$B, B105, '👥 Asistencia'!$E:$E, "20:00")), 6))</f>
        <v/>
      </c>
      <c r="E105" s="34" t="str">
        <f>IF(B105="","",IF(COUNTIF('👥 Asistencia'!$B:$B, B105)&gt;0, IF(C105="DIA", SUMIFS('👥 Asistencia'!$H:$H, '👥 Asistencia'!$B:$B, B105, '👥 Asistencia'!$E:$E, "08:00") + SUMIFS('👥 Asistencia'!$H:$H, '👥 Asistencia'!$B:$B, B105, '👥 Asistencia'!$E:$E, "07:00"), SUMIFS('👥 Asistencia'!$H:$H, '👥 Asistencia'!$B:$B, B105, '👥 Asistencia'!$E:$E, "20:00")), 0))</f>
        <v/>
      </c>
      <c r="F105" s="89"/>
      <c r="G105" s="89"/>
      <c r="H105" s="33" t="str">
        <f t="shared" si="2"/>
        <v/>
      </c>
      <c r="I105" s="30" t="str">
        <f t="shared" si="3"/>
        <v/>
      </c>
    </row>
    <row r="106" spans="2:9" ht="18" customHeight="1" x14ac:dyDescent="0.3">
      <c r="B106" s="26"/>
      <c r="C106" s="27"/>
      <c r="D106" s="30" t="str">
        <f>IF(B106="","",IF(COUNTIF('👥 Asistencia'!$B:$B, B106)&gt;0, IF(C106="DIA", COUNTIFS('👥 Asistencia'!$B:$B, B106, '👥 Asistencia'!$E:$E, "08:00") + COUNTIFS('👥 Asistencia'!$B:$B, B106, '👥 Asistencia'!$E:$E, "07:00"), COUNTIFS('👥 Asistencia'!$B:$B, B106, '👥 Asistencia'!$E:$E, "20:00")), 6))</f>
        <v/>
      </c>
      <c r="E106" s="34" t="str">
        <f>IF(B106="","",IF(COUNTIF('👥 Asistencia'!$B:$B, B106)&gt;0, IF(C106="DIA", SUMIFS('👥 Asistencia'!$H:$H, '👥 Asistencia'!$B:$B, B106, '👥 Asistencia'!$E:$E, "08:00") + SUMIFS('👥 Asistencia'!$H:$H, '👥 Asistencia'!$B:$B, B106, '👥 Asistencia'!$E:$E, "07:00"), SUMIFS('👥 Asistencia'!$H:$H, '👥 Asistencia'!$B:$B, B106, '👥 Asistencia'!$E:$E, "20:00")), 0))</f>
        <v/>
      </c>
      <c r="F106" s="90"/>
      <c r="G106" s="90"/>
      <c r="H106" s="33" t="str">
        <f t="shared" si="2"/>
        <v/>
      </c>
      <c r="I106" s="30" t="str">
        <f t="shared" si="3"/>
        <v/>
      </c>
    </row>
    <row r="107" spans="2:9" ht="18" customHeight="1" x14ac:dyDescent="0.3">
      <c r="B107" s="26"/>
      <c r="C107" s="27"/>
      <c r="D107" s="30" t="str">
        <f>IF(B107="","",IF(COUNTIF('👥 Asistencia'!$B:$B, B107)&gt;0, IF(C107="DIA", COUNTIFS('👥 Asistencia'!$B:$B, B107, '👥 Asistencia'!$E:$E, "08:00") + COUNTIFS('👥 Asistencia'!$B:$B, B107, '👥 Asistencia'!$E:$E, "07:00"), COUNTIFS('👥 Asistencia'!$B:$B, B107, '👥 Asistencia'!$E:$E, "20:00")), 6))</f>
        <v/>
      </c>
      <c r="E107" s="34" t="str">
        <f>IF(B107="","",IF(COUNTIF('👥 Asistencia'!$B:$B, B107)&gt;0, IF(C107="DIA", SUMIFS('👥 Asistencia'!$H:$H, '👥 Asistencia'!$B:$B, B107, '👥 Asistencia'!$E:$E, "08:00") + SUMIFS('👥 Asistencia'!$H:$H, '👥 Asistencia'!$B:$B, B107, '👥 Asistencia'!$E:$E, "07:00"), SUMIFS('👥 Asistencia'!$H:$H, '👥 Asistencia'!$B:$B, B107, '👥 Asistencia'!$E:$E, "20:00")), 0))</f>
        <v/>
      </c>
      <c r="F107" s="89"/>
      <c r="G107" s="89"/>
      <c r="H107" s="33" t="str">
        <f t="shared" si="2"/>
        <v/>
      </c>
      <c r="I107" s="30" t="str">
        <f t="shared" si="3"/>
        <v/>
      </c>
    </row>
    <row r="108" spans="2:9" ht="18" customHeight="1" x14ac:dyDescent="0.3">
      <c r="B108" s="26"/>
      <c r="C108" s="27"/>
      <c r="D108" s="30" t="str">
        <f>IF(B108="","",IF(COUNTIF('👥 Asistencia'!$B:$B, B108)&gt;0, IF(C108="DIA", COUNTIFS('👥 Asistencia'!$B:$B, B108, '👥 Asistencia'!$E:$E, "08:00") + COUNTIFS('👥 Asistencia'!$B:$B, B108, '👥 Asistencia'!$E:$E, "07:00"), COUNTIFS('👥 Asistencia'!$B:$B, B108, '👥 Asistencia'!$E:$E, "20:00")), 6))</f>
        <v/>
      </c>
      <c r="E108" s="34" t="str">
        <f>IF(B108="","",IF(COUNTIF('👥 Asistencia'!$B:$B, B108)&gt;0, IF(C108="DIA", SUMIFS('👥 Asistencia'!$H:$H, '👥 Asistencia'!$B:$B, B108, '👥 Asistencia'!$E:$E, "08:00") + SUMIFS('👥 Asistencia'!$H:$H, '👥 Asistencia'!$B:$B, B108, '👥 Asistencia'!$E:$E, "07:00"), SUMIFS('👥 Asistencia'!$H:$H, '👥 Asistencia'!$B:$B, B108, '👥 Asistencia'!$E:$E, "20:00")), 0))</f>
        <v/>
      </c>
      <c r="F108" s="90"/>
      <c r="G108" s="90"/>
      <c r="H108" s="33" t="str">
        <f t="shared" si="2"/>
        <v/>
      </c>
      <c r="I108" s="30" t="str">
        <f t="shared" si="3"/>
        <v/>
      </c>
    </row>
    <row r="109" spans="2:9" ht="18" customHeight="1" x14ac:dyDescent="0.3">
      <c r="B109" s="26"/>
      <c r="C109" s="27"/>
      <c r="D109" s="30" t="str">
        <f>IF(B109="","",IF(COUNTIF('👥 Asistencia'!$B:$B, B109)&gt;0, IF(C109="DIA", COUNTIFS('👥 Asistencia'!$B:$B, B109, '👥 Asistencia'!$E:$E, "08:00") + COUNTIFS('👥 Asistencia'!$B:$B, B109, '👥 Asistencia'!$E:$E, "07:00"), COUNTIFS('👥 Asistencia'!$B:$B, B109, '👥 Asistencia'!$E:$E, "20:00")), 6))</f>
        <v/>
      </c>
      <c r="E109" s="34" t="str">
        <f>IF(B109="","",IF(COUNTIF('👥 Asistencia'!$B:$B, B109)&gt;0, IF(C109="DIA", SUMIFS('👥 Asistencia'!$H:$H, '👥 Asistencia'!$B:$B, B109, '👥 Asistencia'!$E:$E, "08:00") + SUMIFS('👥 Asistencia'!$H:$H, '👥 Asistencia'!$B:$B, B109, '👥 Asistencia'!$E:$E, "07:00"), SUMIFS('👥 Asistencia'!$H:$H, '👥 Asistencia'!$B:$B, B109, '👥 Asistencia'!$E:$E, "20:00")), 0))</f>
        <v/>
      </c>
      <c r="F109" s="89"/>
      <c r="G109" s="89"/>
      <c r="H109" s="33" t="str">
        <f t="shared" si="2"/>
        <v/>
      </c>
      <c r="I109" s="30" t="str">
        <f t="shared" si="3"/>
        <v/>
      </c>
    </row>
    <row r="110" spans="2:9" ht="18" customHeight="1" x14ac:dyDescent="0.3">
      <c r="B110" s="26"/>
      <c r="C110" s="27"/>
      <c r="D110" s="30" t="str">
        <f>IF(B110="","",IF(COUNTIF('👥 Asistencia'!$B:$B, B110)&gt;0, IF(C110="DIA", COUNTIFS('👥 Asistencia'!$B:$B, B110, '👥 Asistencia'!$E:$E, "08:00") + COUNTIFS('👥 Asistencia'!$B:$B, B110, '👥 Asistencia'!$E:$E, "07:00"), COUNTIFS('👥 Asistencia'!$B:$B, B110, '👥 Asistencia'!$E:$E, "20:00")), 6))</f>
        <v/>
      </c>
      <c r="E110" s="34" t="str">
        <f>IF(B110="","",IF(COUNTIF('👥 Asistencia'!$B:$B, B110)&gt;0, IF(C110="DIA", SUMIFS('👥 Asistencia'!$H:$H, '👥 Asistencia'!$B:$B, B110, '👥 Asistencia'!$E:$E, "08:00") + SUMIFS('👥 Asistencia'!$H:$H, '👥 Asistencia'!$B:$B, B110, '👥 Asistencia'!$E:$E, "07:00"), SUMIFS('👥 Asistencia'!$H:$H, '👥 Asistencia'!$B:$B, B110, '👥 Asistencia'!$E:$E, "20:00")), 0))</f>
        <v/>
      </c>
      <c r="F110" s="90"/>
      <c r="G110" s="90"/>
      <c r="H110" s="33" t="str">
        <f t="shared" si="2"/>
        <v/>
      </c>
      <c r="I110" s="30" t="str">
        <f t="shared" si="3"/>
        <v/>
      </c>
    </row>
    <row r="111" spans="2:9" ht="18" customHeight="1" x14ac:dyDescent="0.3">
      <c r="B111" s="26"/>
      <c r="C111" s="27"/>
      <c r="D111" s="30" t="str">
        <f>IF(B111="","",IF(COUNTIF('👥 Asistencia'!$B:$B, B111)&gt;0, IF(C111="DIA", COUNTIFS('👥 Asistencia'!$B:$B, B111, '👥 Asistencia'!$E:$E, "08:00") + COUNTIFS('👥 Asistencia'!$B:$B, B111, '👥 Asistencia'!$E:$E, "07:00"), COUNTIFS('👥 Asistencia'!$B:$B, B111, '👥 Asistencia'!$E:$E, "20:00")), 6))</f>
        <v/>
      </c>
      <c r="E111" s="34" t="str">
        <f>IF(B111="","",IF(COUNTIF('👥 Asistencia'!$B:$B, B111)&gt;0, IF(C111="DIA", SUMIFS('👥 Asistencia'!$H:$H, '👥 Asistencia'!$B:$B, B111, '👥 Asistencia'!$E:$E, "08:00") + SUMIFS('👥 Asistencia'!$H:$H, '👥 Asistencia'!$B:$B, B111, '👥 Asistencia'!$E:$E, "07:00"), SUMIFS('👥 Asistencia'!$H:$H, '👥 Asistencia'!$B:$B, B111, '👥 Asistencia'!$E:$E, "20:00")), 0))</f>
        <v/>
      </c>
      <c r="F111" s="89"/>
      <c r="G111" s="89"/>
      <c r="H111" s="33" t="str">
        <f t="shared" si="2"/>
        <v/>
      </c>
      <c r="I111" s="30" t="str">
        <f t="shared" si="3"/>
        <v/>
      </c>
    </row>
    <row r="112" spans="2:9" ht="18" customHeight="1" x14ac:dyDescent="0.3">
      <c r="B112" s="26"/>
      <c r="C112" s="27"/>
      <c r="D112" s="30" t="str">
        <f>IF(B112="","",IF(COUNTIF('👥 Asistencia'!$B:$B, B112)&gt;0, IF(C112="DIA", COUNTIFS('👥 Asistencia'!$B:$B, B112, '👥 Asistencia'!$E:$E, "08:00") + COUNTIFS('👥 Asistencia'!$B:$B, B112, '👥 Asistencia'!$E:$E, "07:00"), COUNTIFS('👥 Asistencia'!$B:$B, B112, '👥 Asistencia'!$E:$E, "20:00")), 6))</f>
        <v/>
      </c>
      <c r="E112" s="34" t="str">
        <f>IF(B112="","",IF(COUNTIF('👥 Asistencia'!$B:$B, B112)&gt;0, IF(C112="DIA", SUMIFS('👥 Asistencia'!$H:$H, '👥 Asistencia'!$B:$B, B112, '👥 Asistencia'!$E:$E, "08:00") + SUMIFS('👥 Asistencia'!$H:$H, '👥 Asistencia'!$B:$B, B112, '👥 Asistencia'!$E:$E, "07:00"), SUMIFS('👥 Asistencia'!$H:$H, '👥 Asistencia'!$B:$B, B112, '👥 Asistencia'!$E:$E, "20:00")), 0))</f>
        <v/>
      </c>
      <c r="F112" s="90"/>
      <c r="G112" s="90"/>
      <c r="H112" s="33" t="str">
        <f t="shared" si="2"/>
        <v/>
      </c>
      <c r="I112" s="30" t="str">
        <f t="shared" si="3"/>
        <v/>
      </c>
    </row>
    <row r="113" spans="2:9" ht="18" customHeight="1" x14ac:dyDescent="0.3">
      <c r="B113" s="26"/>
      <c r="C113" s="27"/>
      <c r="D113" s="30" t="str">
        <f>IF(B113="","",IF(COUNTIF('👥 Asistencia'!$B:$B, B113)&gt;0, IF(C113="DIA", COUNTIFS('👥 Asistencia'!$B:$B, B113, '👥 Asistencia'!$E:$E, "08:00") + COUNTIFS('👥 Asistencia'!$B:$B, B113, '👥 Asistencia'!$E:$E, "07:00"), COUNTIFS('👥 Asistencia'!$B:$B, B113, '👥 Asistencia'!$E:$E, "20:00")), 6))</f>
        <v/>
      </c>
      <c r="E113" s="34" t="str">
        <f>IF(B113="","",IF(COUNTIF('👥 Asistencia'!$B:$B, B113)&gt;0, IF(C113="DIA", SUMIFS('👥 Asistencia'!$H:$H, '👥 Asistencia'!$B:$B, B113, '👥 Asistencia'!$E:$E, "08:00") + SUMIFS('👥 Asistencia'!$H:$H, '👥 Asistencia'!$B:$B, B113, '👥 Asistencia'!$E:$E, "07:00"), SUMIFS('👥 Asistencia'!$H:$H, '👥 Asistencia'!$B:$B, B113, '👥 Asistencia'!$E:$E, "20:00")), 0))</f>
        <v/>
      </c>
      <c r="F113" s="89"/>
      <c r="G113" s="89"/>
      <c r="H113" s="33" t="str">
        <f t="shared" si="2"/>
        <v/>
      </c>
      <c r="I113" s="30" t="str">
        <f t="shared" si="3"/>
        <v/>
      </c>
    </row>
    <row r="114" spans="2:9" ht="18" customHeight="1" x14ac:dyDescent="0.3">
      <c r="B114" s="26"/>
      <c r="C114" s="27"/>
      <c r="D114" s="30" t="str">
        <f>IF(B114="","",IF(COUNTIF('👥 Asistencia'!$B:$B, B114)&gt;0, IF(C114="DIA", COUNTIFS('👥 Asistencia'!$B:$B, B114, '👥 Asistencia'!$E:$E, "08:00") + COUNTIFS('👥 Asistencia'!$B:$B, B114, '👥 Asistencia'!$E:$E, "07:00"), COUNTIFS('👥 Asistencia'!$B:$B, B114, '👥 Asistencia'!$E:$E, "20:00")), 6))</f>
        <v/>
      </c>
      <c r="E114" s="34" t="str">
        <f>IF(B114="","",IF(COUNTIF('👥 Asistencia'!$B:$B, B114)&gt;0, IF(C114="DIA", SUMIFS('👥 Asistencia'!$H:$H, '👥 Asistencia'!$B:$B, B114, '👥 Asistencia'!$E:$E, "08:00") + SUMIFS('👥 Asistencia'!$H:$H, '👥 Asistencia'!$B:$B, B114, '👥 Asistencia'!$E:$E, "07:00"), SUMIFS('👥 Asistencia'!$H:$H, '👥 Asistencia'!$B:$B, B114, '👥 Asistencia'!$E:$E, "20:00")), 0))</f>
        <v/>
      </c>
      <c r="F114" s="90"/>
      <c r="G114" s="90"/>
      <c r="H114" s="33" t="str">
        <f t="shared" si="2"/>
        <v/>
      </c>
      <c r="I114" s="30" t="str">
        <f t="shared" si="3"/>
        <v/>
      </c>
    </row>
    <row r="115" spans="2:9" ht="18" customHeight="1" x14ac:dyDescent="0.3">
      <c r="B115" s="26"/>
      <c r="C115" s="27"/>
      <c r="D115" s="30" t="str">
        <f>IF(B115="","",IF(COUNTIF('👥 Asistencia'!$B:$B, B115)&gt;0, IF(C115="DIA", COUNTIFS('👥 Asistencia'!$B:$B, B115, '👥 Asistencia'!$E:$E, "08:00") + COUNTIFS('👥 Asistencia'!$B:$B, B115, '👥 Asistencia'!$E:$E, "07:00"), COUNTIFS('👥 Asistencia'!$B:$B, B115, '👥 Asistencia'!$E:$E, "20:00")), 6))</f>
        <v/>
      </c>
      <c r="E115" s="34" t="str">
        <f>IF(B115="","",IF(COUNTIF('👥 Asistencia'!$B:$B, B115)&gt;0, IF(C115="DIA", SUMIFS('👥 Asistencia'!$H:$H, '👥 Asistencia'!$B:$B, B115, '👥 Asistencia'!$E:$E, "08:00") + SUMIFS('👥 Asistencia'!$H:$H, '👥 Asistencia'!$B:$B, B115, '👥 Asistencia'!$E:$E, "07:00"), SUMIFS('👥 Asistencia'!$H:$H, '👥 Asistencia'!$B:$B, B115, '👥 Asistencia'!$E:$E, "20:00")), 0))</f>
        <v/>
      </c>
      <c r="F115" s="89"/>
      <c r="G115" s="89"/>
      <c r="H115" s="33" t="str">
        <f t="shared" si="2"/>
        <v/>
      </c>
      <c r="I115" s="30" t="str">
        <f t="shared" si="3"/>
        <v/>
      </c>
    </row>
    <row r="116" spans="2:9" ht="18" customHeight="1" x14ac:dyDescent="0.3">
      <c r="B116" s="26"/>
      <c r="C116" s="27"/>
      <c r="D116" s="30" t="str">
        <f>IF(B116="","",IF(COUNTIF('👥 Asistencia'!$B:$B, B116)&gt;0, IF(C116="DIA", COUNTIFS('👥 Asistencia'!$B:$B, B116, '👥 Asistencia'!$E:$E, "08:00") + COUNTIFS('👥 Asistencia'!$B:$B, B116, '👥 Asistencia'!$E:$E, "07:00"), COUNTIFS('👥 Asistencia'!$B:$B, B116, '👥 Asistencia'!$E:$E, "20:00")), 6))</f>
        <v/>
      </c>
      <c r="E116" s="34" t="str">
        <f>IF(B116="","",IF(COUNTIF('👥 Asistencia'!$B:$B, B116)&gt;0, IF(C116="DIA", SUMIFS('👥 Asistencia'!$H:$H, '👥 Asistencia'!$B:$B, B116, '👥 Asistencia'!$E:$E, "08:00") + SUMIFS('👥 Asistencia'!$H:$H, '👥 Asistencia'!$B:$B, B116, '👥 Asistencia'!$E:$E, "07:00"), SUMIFS('👥 Asistencia'!$H:$H, '👥 Asistencia'!$B:$B, B116, '👥 Asistencia'!$E:$E, "20:00")), 0))</f>
        <v/>
      </c>
      <c r="F116" s="90"/>
      <c r="G116" s="90"/>
      <c r="H116" s="33" t="str">
        <f t="shared" si="2"/>
        <v/>
      </c>
      <c r="I116" s="30" t="str">
        <f t="shared" si="3"/>
        <v/>
      </c>
    </row>
    <row r="117" spans="2:9" ht="18" customHeight="1" x14ac:dyDescent="0.3">
      <c r="B117" s="26"/>
      <c r="C117" s="27"/>
      <c r="D117" s="30" t="str">
        <f>IF(B117="","",IF(COUNTIF('👥 Asistencia'!$B:$B, B117)&gt;0, IF(C117="DIA", COUNTIFS('👥 Asistencia'!$B:$B, B117, '👥 Asistencia'!$E:$E, "08:00") + COUNTIFS('👥 Asistencia'!$B:$B, B117, '👥 Asistencia'!$E:$E, "07:00"), COUNTIFS('👥 Asistencia'!$B:$B, B117, '👥 Asistencia'!$E:$E, "20:00")), 6))</f>
        <v/>
      </c>
      <c r="E117" s="34" t="str">
        <f>IF(B117="","",IF(COUNTIF('👥 Asistencia'!$B:$B, B117)&gt;0, IF(C117="DIA", SUMIFS('👥 Asistencia'!$H:$H, '👥 Asistencia'!$B:$B, B117, '👥 Asistencia'!$E:$E, "08:00") + SUMIFS('👥 Asistencia'!$H:$H, '👥 Asistencia'!$B:$B, B117, '👥 Asistencia'!$E:$E, "07:00"), SUMIFS('👥 Asistencia'!$H:$H, '👥 Asistencia'!$B:$B, B117, '👥 Asistencia'!$E:$E, "20:00")), 0))</f>
        <v/>
      </c>
      <c r="F117" s="89"/>
      <c r="G117" s="89"/>
      <c r="H117" s="33" t="str">
        <f t="shared" si="2"/>
        <v/>
      </c>
      <c r="I117" s="30" t="str">
        <f t="shared" si="3"/>
        <v/>
      </c>
    </row>
    <row r="118" spans="2:9" ht="18" customHeight="1" x14ac:dyDescent="0.3">
      <c r="B118" s="26"/>
      <c r="C118" s="27"/>
      <c r="D118" s="30" t="str">
        <f>IF(B118="","",IF(COUNTIF('👥 Asistencia'!$B:$B, B118)&gt;0, IF(C118="DIA", COUNTIFS('👥 Asistencia'!$B:$B, B118, '👥 Asistencia'!$E:$E, "08:00") + COUNTIFS('👥 Asistencia'!$B:$B, B118, '👥 Asistencia'!$E:$E, "07:00"), COUNTIFS('👥 Asistencia'!$B:$B, B118, '👥 Asistencia'!$E:$E, "20:00")), 6))</f>
        <v/>
      </c>
      <c r="E118" s="34" t="str">
        <f>IF(B118="","",IF(COUNTIF('👥 Asistencia'!$B:$B, B118)&gt;0, IF(C118="DIA", SUMIFS('👥 Asistencia'!$H:$H, '👥 Asistencia'!$B:$B, B118, '👥 Asistencia'!$E:$E, "08:00") + SUMIFS('👥 Asistencia'!$H:$H, '👥 Asistencia'!$B:$B, B118, '👥 Asistencia'!$E:$E, "07:00"), SUMIFS('👥 Asistencia'!$H:$H, '👥 Asistencia'!$B:$B, B118, '👥 Asistencia'!$E:$E, "20:00")), 0))</f>
        <v/>
      </c>
      <c r="F118" s="90"/>
      <c r="G118" s="90"/>
      <c r="H118" s="33" t="str">
        <f t="shared" si="2"/>
        <v/>
      </c>
      <c r="I118" s="30" t="str">
        <f t="shared" si="3"/>
        <v/>
      </c>
    </row>
    <row r="119" spans="2:9" ht="18" customHeight="1" x14ac:dyDescent="0.3">
      <c r="B119" s="26"/>
      <c r="C119" s="27"/>
      <c r="D119" s="30" t="str">
        <f>IF(B119="","",IF(COUNTIF('👥 Asistencia'!$B:$B, B119)&gt;0, IF(C119="DIA", COUNTIFS('👥 Asistencia'!$B:$B, B119, '👥 Asistencia'!$E:$E, "08:00") + COUNTIFS('👥 Asistencia'!$B:$B, B119, '👥 Asistencia'!$E:$E, "07:00"), COUNTIFS('👥 Asistencia'!$B:$B, B119, '👥 Asistencia'!$E:$E, "20:00")), 6))</f>
        <v/>
      </c>
      <c r="E119" s="34" t="str">
        <f>IF(B119="","",IF(COUNTIF('👥 Asistencia'!$B:$B, B119)&gt;0, IF(C119="DIA", SUMIFS('👥 Asistencia'!$H:$H, '👥 Asistencia'!$B:$B, B119, '👥 Asistencia'!$E:$E, "08:00") + SUMIFS('👥 Asistencia'!$H:$H, '👥 Asistencia'!$B:$B, B119, '👥 Asistencia'!$E:$E, "07:00"), SUMIFS('👥 Asistencia'!$H:$H, '👥 Asistencia'!$B:$B, B119, '👥 Asistencia'!$E:$E, "20:00")), 0))</f>
        <v/>
      </c>
      <c r="F119" s="89"/>
      <c r="G119" s="89"/>
      <c r="H119" s="33" t="str">
        <f t="shared" si="2"/>
        <v/>
      </c>
      <c r="I119" s="30" t="str">
        <f t="shared" si="3"/>
        <v/>
      </c>
    </row>
    <row r="120" spans="2:9" ht="18" customHeight="1" x14ac:dyDescent="0.3">
      <c r="B120" s="26"/>
      <c r="C120" s="27"/>
      <c r="D120" s="30" t="str">
        <f>IF(B120="","",IF(COUNTIF('👥 Asistencia'!$B:$B, B120)&gt;0, IF(C120="DIA", COUNTIFS('👥 Asistencia'!$B:$B, B120, '👥 Asistencia'!$E:$E, "08:00") + COUNTIFS('👥 Asistencia'!$B:$B, B120, '👥 Asistencia'!$E:$E, "07:00"), COUNTIFS('👥 Asistencia'!$B:$B, B120, '👥 Asistencia'!$E:$E, "20:00")), 6))</f>
        <v/>
      </c>
      <c r="E120" s="34" t="str">
        <f>IF(B120="","",IF(COUNTIF('👥 Asistencia'!$B:$B, B120)&gt;0, IF(C120="DIA", SUMIFS('👥 Asistencia'!$H:$H, '👥 Asistencia'!$B:$B, B120, '👥 Asistencia'!$E:$E, "08:00") + SUMIFS('👥 Asistencia'!$H:$H, '👥 Asistencia'!$B:$B, B120, '👥 Asistencia'!$E:$E, "07:00"), SUMIFS('👥 Asistencia'!$H:$H, '👥 Asistencia'!$B:$B, B120, '👥 Asistencia'!$E:$E, "20:00")), 0))</f>
        <v/>
      </c>
      <c r="F120" s="90"/>
      <c r="G120" s="90"/>
      <c r="H120" s="33" t="str">
        <f t="shared" si="2"/>
        <v/>
      </c>
      <c r="I120" s="30" t="str">
        <f t="shared" si="3"/>
        <v/>
      </c>
    </row>
    <row r="121" spans="2:9" ht="18" customHeight="1" x14ac:dyDescent="0.3">
      <c r="B121" s="26"/>
      <c r="C121" s="27"/>
      <c r="D121" s="30" t="str">
        <f>IF(B121="","",IF(COUNTIF('👥 Asistencia'!$B:$B, B121)&gt;0, IF(C121="DIA", COUNTIFS('👥 Asistencia'!$B:$B, B121, '👥 Asistencia'!$E:$E, "08:00") + COUNTIFS('👥 Asistencia'!$B:$B, B121, '👥 Asistencia'!$E:$E, "07:00"), COUNTIFS('👥 Asistencia'!$B:$B, B121, '👥 Asistencia'!$E:$E, "20:00")), 6))</f>
        <v/>
      </c>
      <c r="E121" s="34" t="str">
        <f>IF(B121="","",IF(COUNTIF('👥 Asistencia'!$B:$B, B121)&gt;0, IF(C121="DIA", SUMIFS('👥 Asistencia'!$H:$H, '👥 Asistencia'!$B:$B, B121, '👥 Asistencia'!$E:$E, "08:00") + SUMIFS('👥 Asistencia'!$H:$H, '👥 Asistencia'!$B:$B, B121, '👥 Asistencia'!$E:$E, "07:00"), SUMIFS('👥 Asistencia'!$H:$H, '👥 Asistencia'!$B:$B, B121, '👥 Asistencia'!$E:$E, "20:00")), 0))</f>
        <v/>
      </c>
      <c r="F121" s="89"/>
      <c r="G121" s="89"/>
      <c r="H121" s="33" t="str">
        <f t="shared" si="2"/>
        <v/>
      </c>
      <c r="I121" s="30" t="str">
        <f t="shared" si="3"/>
        <v/>
      </c>
    </row>
    <row r="122" spans="2:9" ht="18" customHeight="1" x14ac:dyDescent="0.3">
      <c r="B122" s="26"/>
      <c r="C122" s="27"/>
      <c r="D122" s="30" t="str">
        <f>IF(B122="","",IF(COUNTIF('👥 Asistencia'!$B:$B, B122)&gt;0, IF(C122="DIA", COUNTIFS('👥 Asistencia'!$B:$B, B122, '👥 Asistencia'!$E:$E, "08:00") + COUNTIFS('👥 Asistencia'!$B:$B, B122, '👥 Asistencia'!$E:$E, "07:00"), COUNTIFS('👥 Asistencia'!$B:$B, B122, '👥 Asistencia'!$E:$E, "20:00")), 6))</f>
        <v/>
      </c>
      <c r="E122" s="34" t="str">
        <f>IF(B122="","",IF(COUNTIF('👥 Asistencia'!$B:$B, B122)&gt;0, IF(C122="DIA", SUMIFS('👥 Asistencia'!$H:$H, '👥 Asistencia'!$B:$B, B122, '👥 Asistencia'!$E:$E, "08:00") + SUMIFS('👥 Asistencia'!$H:$H, '👥 Asistencia'!$B:$B, B122, '👥 Asistencia'!$E:$E, "07:00"), SUMIFS('👥 Asistencia'!$H:$H, '👥 Asistencia'!$B:$B, B122, '👥 Asistencia'!$E:$E, "20:00")), 0))</f>
        <v/>
      </c>
      <c r="F122" s="90"/>
      <c r="G122" s="90"/>
      <c r="H122" s="33" t="str">
        <f t="shared" si="2"/>
        <v/>
      </c>
      <c r="I122" s="30" t="str">
        <f t="shared" si="3"/>
        <v/>
      </c>
    </row>
    <row r="123" spans="2:9" ht="18" customHeight="1" x14ac:dyDescent="0.3">
      <c r="B123" s="26"/>
      <c r="C123" s="27"/>
      <c r="D123" s="30" t="str">
        <f>IF(B123="","",IF(COUNTIF('👥 Asistencia'!$B:$B, B123)&gt;0, IF(C123="DIA", COUNTIFS('👥 Asistencia'!$B:$B, B123, '👥 Asistencia'!$E:$E, "08:00") + COUNTIFS('👥 Asistencia'!$B:$B, B123, '👥 Asistencia'!$E:$E, "07:00"), COUNTIFS('👥 Asistencia'!$B:$B, B123, '👥 Asistencia'!$E:$E, "20:00")), 6))</f>
        <v/>
      </c>
      <c r="E123" s="34" t="str">
        <f>IF(B123="","",IF(COUNTIF('👥 Asistencia'!$B:$B, B123)&gt;0, IF(C123="DIA", SUMIFS('👥 Asistencia'!$H:$H, '👥 Asistencia'!$B:$B, B123, '👥 Asistencia'!$E:$E, "08:00") + SUMIFS('👥 Asistencia'!$H:$H, '👥 Asistencia'!$B:$B, B123, '👥 Asistencia'!$E:$E, "07:00"), SUMIFS('👥 Asistencia'!$H:$H, '👥 Asistencia'!$B:$B, B123, '👥 Asistencia'!$E:$E, "20:00")), 0))</f>
        <v/>
      </c>
      <c r="F123" s="89"/>
      <c r="G123" s="89"/>
      <c r="H123" s="33" t="str">
        <f t="shared" si="2"/>
        <v/>
      </c>
      <c r="I123" s="30" t="str">
        <f t="shared" si="3"/>
        <v/>
      </c>
    </row>
    <row r="124" spans="2:9" ht="18" customHeight="1" x14ac:dyDescent="0.3">
      <c r="B124" s="26"/>
      <c r="C124" s="27"/>
      <c r="D124" s="30" t="str">
        <f>IF(B124="","",IF(COUNTIF('👥 Asistencia'!$B:$B, B124)&gt;0, IF(C124="DIA", COUNTIFS('👥 Asistencia'!$B:$B, B124, '👥 Asistencia'!$E:$E, "08:00") + COUNTIFS('👥 Asistencia'!$B:$B, B124, '👥 Asistencia'!$E:$E, "07:00"), COUNTIFS('👥 Asistencia'!$B:$B, B124, '👥 Asistencia'!$E:$E, "20:00")), 6))</f>
        <v/>
      </c>
      <c r="E124" s="34" t="str">
        <f>IF(B124="","",IF(COUNTIF('👥 Asistencia'!$B:$B, B124)&gt;0, IF(C124="DIA", SUMIFS('👥 Asistencia'!$H:$H, '👥 Asistencia'!$B:$B, B124, '👥 Asistencia'!$E:$E, "08:00") + SUMIFS('👥 Asistencia'!$H:$H, '👥 Asistencia'!$B:$B, B124, '👥 Asistencia'!$E:$E, "07:00"), SUMIFS('👥 Asistencia'!$H:$H, '👥 Asistencia'!$B:$B, B124, '👥 Asistencia'!$E:$E, "20:00")), 0))</f>
        <v/>
      </c>
      <c r="F124" s="90"/>
      <c r="G124" s="90"/>
      <c r="H124" s="33" t="str">
        <f t="shared" si="2"/>
        <v/>
      </c>
      <c r="I124" s="30" t="str">
        <f t="shared" si="3"/>
        <v/>
      </c>
    </row>
    <row r="125" spans="2:9" ht="18" customHeight="1" x14ac:dyDescent="0.3">
      <c r="B125" s="26"/>
      <c r="C125" s="27"/>
      <c r="D125" s="30" t="str">
        <f>IF(B125="","",IF(COUNTIF('👥 Asistencia'!$B:$B, B125)&gt;0, IF(C125="DIA", COUNTIFS('👥 Asistencia'!$B:$B, B125, '👥 Asistencia'!$E:$E, "08:00") + COUNTIFS('👥 Asistencia'!$B:$B, B125, '👥 Asistencia'!$E:$E, "07:00"), COUNTIFS('👥 Asistencia'!$B:$B, B125, '👥 Asistencia'!$E:$E, "20:00")), 6))</f>
        <v/>
      </c>
      <c r="E125" s="34" t="str">
        <f>IF(B125="","",IF(COUNTIF('👥 Asistencia'!$B:$B, B125)&gt;0, IF(C125="DIA", SUMIFS('👥 Asistencia'!$H:$H, '👥 Asistencia'!$B:$B, B125, '👥 Asistencia'!$E:$E, "08:00") + SUMIFS('👥 Asistencia'!$H:$H, '👥 Asistencia'!$B:$B, B125, '👥 Asistencia'!$E:$E, "07:00"), SUMIFS('👥 Asistencia'!$H:$H, '👥 Asistencia'!$B:$B, B125, '👥 Asistencia'!$E:$E, "20:00")), 0))</f>
        <v/>
      </c>
      <c r="F125" s="89"/>
      <c r="G125" s="89"/>
      <c r="H125" s="33" t="str">
        <f t="shared" si="2"/>
        <v/>
      </c>
      <c r="I125" s="30" t="str">
        <f t="shared" si="3"/>
        <v/>
      </c>
    </row>
    <row r="126" spans="2:9" ht="18" customHeight="1" x14ac:dyDescent="0.3">
      <c r="B126" s="26"/>
      <c r="C126" s="27"/>
      <c r="D126" s="30" t="str">
        <f>IF(B126="","",IF(COUNTIF('👥 Asistencia'!$B:$B, B126)&gt;0, IF(C126="DIA", COUNTIFS('👥 Asistencia'!$B:$B, B126, '👥 Asistencia'!$E:$E, "08:00") + COUNTIFS('👥 Asistencia'!$B:$B, B126, '👥 Asistencia'!$E:$E, "07:00"), COUNTIFS('👥 Asistencia'!$B:$B, B126, '👥 Asistencia'!$E:$E, "20:00")), 6))</f>
        <v/>
      </c>
      <c r="E126" s="34" t="str">
        <f>IF(B126="","",IF(COUNTIF('👥 Asistencia'!$B:$B, B126)&gt;0, IF(C126="DIA", SUMIFS('👥 Asistencia'!$H:$H, '👥 Asistencia'!$B:$B, B126, '👥 Asistencia'!$E:$E, "08:00") + SUMIFS('👥 Asistencia'!$H:$H, '👥 Asistencia'!$B:$B, B126, '👥 Asistencia'!$E:$E, "07:00"), SUMIFS('👥 Asistencia'!$H:$H, '👥 Asistencia'!$B:$B, B126, '👥 Asistencia'!$E:$E, "20:00")), 0))</f>
        <v/>
      </c>
      <c r="F126" s="91"/>
      <c r="G126" s="91"/>
      <c r="H126" s="33" t="str">
        <f t="shared" si="2"/>
        <v/>
      </c>
      <c r="I126" s="30" t="str">
        <f t="shared" si="3"/>
        <v/>
      </c>
    </row>
    <row r="127" spans="2:9" ht="18" customHeight="1" x14ac:dyDescent="0.3">
      <c r="B127" s="26"/>
      <c r="C127" s="27"/>
      <c r="D127" s="30" t="str">
        <f>IF(B127="","",IF(COUNTIF('👥 Asistencia'!$B:$B, B127)&gt;0, IF(C127="DIA", COUNTIFS('👥 Asistencia'!$B:$B, B127, '👥 Asistencia'!$E:$E, "08:00") + COUNTIFS('👥 Asistencia'!$B:$B, B127, '👥 Asistencia'!$E:$E, "07:00"), COUNTIFS('👥 Asistencia'!$B:$B, B127, '👥 Asistencia'!$E:$E, "20:00")), 6))</f>
        <v/>
      </c>
      <c r="E127" s="34" t="str">
        <f>IF(B127="","",IF(COUNTIF('👥 Asistencia'!$B:$B, B127)&gt;0, IF(C127="DIA", SUMIFS('👥 Asistencia'!$H:$H, '👥 Asistencia'!$B:$B, B127, '👥 Asistencia'!$E:$E, "08:00") + SUMIFS('👥 Asistencia'!$H:$H, '👥 Asistencia'!$B:$B, B127, '👥 Asistencia'!$E:$E, "07:00"), SUMIFS('👥 Asistencia'!$H:$H, '👥 Asistencia'!$B:$B, B127, '👥 Asistencia'!$E:$E, "20:00")), 0))</f>
        <v/>
      </c>
      <c r="F127" s="92"/>
      <c r="G127" s="92"/>
      <c r="H127" s="33" t="str">
        <f t="shared" si="2"/>
        <v/>
      </c>
      <c r="I127" s="30" t="str">
        <f t="shared" si="3"/>
        <v/>
      </c>
    </row>
    <row r="128" spans="2:9" ht="18" customHeight="1" x14ac:dyDescent="0.3">
      <c r="B128" s="26"/>
      <c r="C128" s="27"/>
      <c r="D128" s="30" t="str">
        <f>IF(B128="","",IF(COUNTIF('👥 Asistencia'!$B:$B, B128)&gt;0, IF(C128="DIA", COUNTIFS('👥 Asistencia'!$B:$B, B128, '👥 Asistencia'!$E:$E, "08:00") + COUNTIFS('👥 Asistencia'!$B:$B, B128, '👥 Asistencia'!$E:$E, "07:00"), COUNTIFS('👥 Asistencia'!$B:$B, B128, '👥 Asistencia'!$E:$E, "20:00")), 6))</f>
        <v/>
      </c>
      <c r="E128" s="34" t="str">
        <f>IF(B128="","",IF(COUNTIF('👥 Asistencia'!$B:$B, B128)&gt;0, IF(C128="DIA", SUMIFS('👥 Asistencia'!$H:$H, '👥 Asistencia'!$B:$B, B128, '👥 Asistencia'!$E:$E, "08:00") + SUMIFS('👥 Asistencia'!$H:$H, '👥 Asistencia'!$B:$B, B128, '👥 Asistencia'!$E:$E, "07:00"), SUMIFS('👥 Asistencia'!$H:$H, '👥 Asistencia'!$B:$B, B128, '👥 Asistencia'!$E:$E, "20:00")), 0))</f>
        <v/>
      </c>
      <c r="F128" s="91"/>
      <c r="G128" s="91"/>
      <c r="H128" s="33" t="str">
        <f t="shared" si="2"/>
        <v/>
      </c>
      <c r="I128" s="30" t="str">
        <f t="shared" si="3"/>
        <v/>
      </c>
    </row>
    <row r="129" spans="2:9" ht="18" customHeight="1" x14ac:dyDescent="0.3">
      <c r="B129" s="26"/>
      <c r="C129" s="27"/>
      <c r="D129" s="30" t="str">
        <f>IF(B129="","",IF(COUNTIF('👥 Asistencia'!$B:$B, B129)&gt;0, IF(C129="DIA", COUNTIFS('👥 Asistencia'!$B:$B, B129, '👥 Asistencia'!$E:$E, "08:00") + COUNTIFS('👥 Asistencia'!$B:$B, B129, '👥 Asistencia'!$E:$E, "07:00"), COUNTIFS('👥 Asistencia'!$B:$B, B129, '👥 Asistencia'!$E:$E, "20:00")), 6))</f>
        <v/>
      </c>
      <c r="E129" s="34" t="str">
        <f>IF(B129="","",IF(COUNTIF('👥 Asistencia'!$B:$B, B129)&gt;0, IF(C129="DIA", SUMIFS('👥 Asistencia'!$H:$H, '👥 Asistencia'!$B:$B, B129, '👥 Asistencia'!$E:$E, "08:00") + SUMIFS('👥 Asistencia'!$H:$H, '👥 Asistencia'!$B:$B, B129, '👥 Asistencia'!$E:$E, "07:00"), SUMIFS('👥 Asistencia'!$H:$H, '👥 Asistencia'!$B:$B, B129, '👥 Asistencia'!$E:$E, "20:00")), 0))</f>
        <v/>
      </c>
      <c r="F129" s="92"/>
      <c r="G129" s="92"/>
      <c r="H129" s="33" t="str">
        <f t="shared" si="2"/>
        <v/>
      </c>
      <c r="I129" s="30" t="str">
        <f t="shared" si="3"/>
        <v/>
      </c>
    </row>
    <row r="130" spans="2:9" ht="18" customHeight="1" x14ac:dyDescent="0.3">
      <c r="B130" s="26"/>
      <c r="C130" s="27"/>
      <c r="D130" s="30" t="str">
        <f>IF(B130="","",IF(COUNTIF('👥 Asistencia'!$B:$B, B130)&gt;0, IF(C130="DIA", COUNTIFS('👥 Asistencia'!$B:$B, B130, '👥 Asistencia'!$E:$E, "08:00") + COUNTIFS('👥 Asistencia'!$B:$B, B130, '👥 Asistencia'!$E:$E, "07:00"), COUNTIFS('👥 Asistencia'!$B:$B, B130, '👥 Asistencia'!$E:$E, "20:00")), 6))</f>
        <v/>
      </c>
      <c r="E130" s="34" t="str">
        <f>IF(B130="","",IF(COUNTIF('👥 Asistencia'!$B:$B, B130)&gt;0, IF(C130="DIA", SUMIFS('👥 Asistencia'!$H:$H, '👥 Asistencia'!$B:$B, B130, '👥 Asistencia'!$E:$E, "08:00") + SUMIFS('👥 Asistencia'!$H:$H, '👥 Asistencia'!$B:$B, B130, '👥 Asistencia'!$E:$E, "07:00"), SUMIFS('👥 Asistencia'!$H:$H, '👥 Asistencia'!$B:$B, B130, '👥 Asistencia'!$E:$E, "20:00")), 0))</f>
        <v/>
      </c>
      <c r="F130" s="91"/>
      <c r="G130" s="91"/>
      <c r="H130" s="33" t="str">
        <f t="shared" si="2"/>
        <v/>
      </c>
      <c r="I130" s="30" t="str">
        <f t="shared" si="3"/>
        <v/>
      </c>
    </row>
    <row r="131" spans="2:9" ht="18" customHeight="1" x14ac:dyDescent="0.3">
      <c r="B131" s="26"/>
      <c r="C131" s="27"/>
      <c r="D131" s="30" t="str">
        <f>IF(B131="","",IF(COUNTIF('👥 Asistencia'!$B:$B, B131)&gt;0, IF(C131="DIA", COUNTIFS('👥 Asistencia'!$B:$B, B131, '👥 Asistencia'!$E:$E, "08:00") + COUNTIFS('👥 Asistencia'!$B:$B, B131, '👥 Asistencia'!$E:$E, "07:00"), COUNTIFS('👥 Asistencia'!$B:$B, B131, '👥 Asistencia'!$E:$E, "20:00")), 6))</f>
        <v/>
      </c>
      <c r="E131" s="34" t="str">
        <f>IF(B131="","",IF(COUNTIF('👥 Asistencia'!$B:$B, B131)&gt;0, IF(C131="DIA", SUMIFS('👥 Asistencia'!$H:$H, '👥 Asistencia'!$B:$B, B131, '👥 Asistencia'!$E:$E, "08:00") + SUMIFS('👥 Asistencia'!$H:$H, '👥 Asistencia'!$B:$B, B131, '👥 Asistencia'!$E:$E, "07:00"), SUMIFS('👥 Asistencia'!$H:$H, '👥 Asistencia'!$B:$B, B131, '👥 Asistencia'!$E:$E, "20:00")), 0))</f>
        <v/>
      </c>
      <c r="F131" s="92"/>
      <c r="G131" s="92"/>
      <c r="H131" s="33" t="str">
        <f t="shared" si="2"/>
        <v/>
      </c>
      <c r="I131" s="30" t="str">
        <f t="shared" si="3"/>
        <v/>
      </c>
    </row>
    <row r="132" spans="2:9" ht="18" customHeight="1" x14ac:dyDescent="0.3">
      <c r="B132" s="26"/>
      <c r="C132" s="27"/>
      <c r="D132" s="30" t="str">
        <f>IF(B132="","",IF(COUNTIF('👥 Asistencia'!$B:$B, B132)&gt;0, IF(C132="DIA", COUNTIFS('👥 Asistencia'!$B:$B, B132, '👥 Asistencia'!$E:$E, "08:00") + COUNTIFS('👥 Asistencia'!$B:$B, B132, '👥 Asistencia'!$E:$E, "07:00"), COUNTIFS('👥 Asistencia'!$B:$B, B132, '👥 Asistencia'!$E:$E, "20:00")), 6))</f>
        <v/>
      </c>
      <c r="E132" s="34" t="str">
        <f>IF(B132="","",IF(COUNTIF('👥 Asistencia'!$B:$B, B132)&gt;0, IF(C132="DIA", SUMIFS('👥 Asistencia'!$H:$H, '👥 Asistencia'!$B:$B, B132, '👥 Asistencia'!$E:$E, "08:00") + SUMIFS('👥 Asistencia'!$H:$H, '👥 Asistencia'!$B:$B, B132, '👥 Asistencia'!$E:$E, "07:00"), SUMIFS('👥 Asistencia'!$H:$H, '👥 Asistencia'!$B:$B, B132, '👥 Asistencia'!$E:$E, "20:00")), 0))</f>
        <v/>
      </c>
      <c r="F132" s="91"/>
      <c r="G132" s="91"/>
      <c r="H132" s="33" t="str">
        <f t="shared" si="2"/>
        <v/>
      </c>
      <c r="I132" s="30" t="str">
        <f t="shared" si="3"/>
        <v/>
      </c>
    </row>
    <row r="133" spans="2:9" ht="18" customHeight="1" x14ac:dyDescent="0.3">
      <c r="B133" s="26"/>
      <c r="C133" s="27"/>
      <c r="D133" s="30" t="str">
        <f>IF(B133="","",IF(COUNTIF('👥 Asistencia'!$B:$B, B133)&gt;0, IF(C133="DIA", COUNTIFS('👥 Asistencia'!$B:$B, B133, '👥 Asistencia'!$E:$E, "08:00") + COUNTIFS('👥 Asistencia'!$B:$B, B133, '👥 Asistencia'!$E:$E, "07:00"), COUNTIFS('👥 Asistencia'!$B:$B, B133, '👥 Asistencia'!$E:$E, "20:00")), 6))</f>
        <v/>
      </c>
      <c r="E133" s="34" t="str">
        <f>IF(B133="","",IF(COUNTIF('👥 Asistencia'!$B:$B, B133)&gt;0, IF(C133="DIA", SUMIFS('👥 Asistencia'!$H:$H, '👥 Asistencia'!$B:$B, B133, '👥 Asistencia'!$E:$E, "08:00") + SUMIFS('👥 Asistencia'!$H:$H, '👥 Asistencia'!$B:$B, B133, '👥 Asistencia'!$E:$E, "07:00"), SUMIFS('👥 Asistencia'!$H:$H, '👥 Asistencia'!$B:$B, B133, '👥 Asistencia'!$E:$E, "20:00")), 0))</f>
        <v/>
      </c>
      <c r="F133" s="92"/>
      <c r="G133" s="92"/>
      <c r="H133" s="33" t="str">
        <f t="shared" ref="H133:H196" si="4">IF(B133="","",IF(ISNUMBER(B133),YEAR(B133)&amp;"-"&amp;IF(MONTH(B133)&lt;10,"0","")&amp;MONTH(B133),LEFT(B133,7)))</f>
        <v/>
      </c>
      <c r="I133" s="30" t="str">
        <f t="shared" ref="I133:I196" si="5">IF(B133="","",IF(N(F133)=0, 0, MAX(0, (F133/5) - N(G133))))</f>
        <v/>
      </c>
    </row>
    <row r="134" spans="2:9" ht="18" customHeight="1" x14ac:dyDescent="0.3">
      <c r="B134" s="26"/>
      <c r="C134" s="27"/>
      <c r="D134" s="30" t="str">
        <f>IF(B134="","",IF(COUNTIF('👥 Asistencia'!$B:$B, B134)&gt;0, IF(C134="DIA", COUNTIFS('👥 Asistencia'!$B:$B, B134, '👥 Asistencia'!$E:$E, "08:00") + COUNTIFS('👥 Asistencia'!$B:$B, B134, '👥 Asistencia'!$E:$E, "07:00"), COUNTIFS('👥 Asistencia'!$B:$B, B134, '👥 Asistencia'!$E:$E, "20:00")), 6))</f>
        <v/>
      </c>
      <c r="E134" s="34" t="str">
        <f>IF(B134="","",IF(COUNTIF('👥 Asistencia'!$B:$B, B134)&gt;0, IF(C134="DIA", SUMIFS('👥 Asistencia'!$H:$H, '👥 Asistencia'!$B:$B, B134, '👥 Asistencia'!$E:$E, "08:00") + SUMIFS('👥 Asistencia'!$H:$H, '👥 Asistencia'!$B:$B, B134, '👥 Asistencia'!$E:$E, "07:00"), SUMIFS('👥 Asistencia'!$H:$H, '👥 Asistencia'!$B:$B, B134, '👥 Asistencia'!$E:$E, "20:00")), 0))</f>
        <v/>
      </c>
      <c r="F134" s="91"/>
      <c r="G134" s="91"/>
      <c r="H134" s="33" t="str">
        <f t="shared" si="4"/>
        <v/>
      </c>
      <c r="I134" s="30" t="str">
        <f t="shared" si="5"/>
        <v/>
      </c>
    </row>
    <row r="135" spans="2:9" ht="18" customHeight="1" x14ac:dyDescent="0.3">
      <c r="B135" s="26"/>
      <c r="C135" s="27"/>
      <c r="D135" s="30" t="str">
        <f>IF(B135="","",IF(COUNTIF('👥 Asistencia'!$B:$B, B135)&gt;0, IF(C135="DIA", COUNTIFS('👥 Asistencia'!$B:$B, B135, '👥 Asistencia'!$E:$E, "08:00") + COUNTIFS('👥 Asistencia'!$B:$B, B135, '👥 Asistencia'!$E:$E, "07:00"), COUNTIFS('👥 Asistencia'!$B:$B, B135, '👥 Asistencia'!$E:$E, "20:00")), 6))</f>
        <v/>
      </c>
      <c r="E135" s="34" t="str">
        <f>IF(B135="","",IF(COUNTIF('👥 Asistencia'!$B:$B, B135)&gt;0, IF(C135="DIA", SUMIFS('👥 Asistencia'!$H:$H, '👥 Asistencia'!$B:$B, B135, '👥 Asistencia'!$E:$E, "08:00") + SUMIFS('👥 Asistencia'!$H:$H, '👥 Asistencia'!$B:$B, B135, '👥 Asistencia'!$E:$E, "07:00"), SUMIFS('👥 Asistencia'!$H:$H, '👥 Asistencia'!$B:$B, B135, '👥 Asistencia'!$E:$E, "20:00")), 0))</f>
        <v/>
      </c>
      <c r="F135" s="92"/>
      <c r="G135" s="92"/>
      <c r="H135" s="33" t="str">
        <f t="shared" si="4"/>
        <v/>
      </c>
      <c r="I135" s="30" t="str">
        <f t="shared" si="5"/>
        <v/>
      </c>
    </row>
    <row r="136" spans="2:9" ht="18" customHeight="1" x14ac:dyDescent="0.3">
      <c r="B136" s="26"/>
      <c r="C136" s="27"/>
      <c r="D136" s="30" t="str">
        <f>IF(B136="","",IF(COUNTIF('👥 Asistencia'!$B:$B, B136)&gt;0, IF(C136="DIA", COUNTIFS('👥 Asistencia'!$B:$B, B136, '👥 Asistencia'!$E:$E, "08:00") + COUNTIFS('👥 Asistencia'!$B:$B, B136, '👥 Asistencia'!$E:$E, "07:00"), COUNTIFS('👥 Asistencia'!$B:$B, B136, '👥 Asistencia'!$E:$E, "20:00")), 6))</f>
        <v/>
      </c>
      <c r="E136" s="34" t="str">
        <f>IF(B136="","",IF(COUNTIF('👥 Asistencia'!$B:$B, B136)&gt;0, IF(C136="DIA", SUMIFS('👥 Asistencia'!$H:$H, '👥 Asistencia'!$B:$B, B136, '👥 Asistencia'!$E:$E, "08:00") + SUMIFS('👥 Asistencia'!$H:$H, '👥 Asistencia'!$B:$B, B136, '👥 Asistencia'!$E:$E, "07:00"), SUMIFS('👥 Asistencia'!$H:$H, '👥 Asistencia'!$B:$B, B136, '👥 Asistencia'!$E:$E, "20:00")), 0))</f>
        <v/>
      </c>
      <c r="F136" s="91"/>
      <c r="G136" s="91"/>
      <c r="H136" s="33" t="str">
        <f t="shared" si="4"/>
        <v/>
      </c>
      <c r="I136" s="30" t="str">
        <f t="shared" si="5"/>
        <v/>
      </c>
    </row>
    <row r="137" spans="2:9" ht="18" customHeight="1" x14ac:dyDescent="0.3">
      <c r="B137" s="26"/>
      <c r="C137" s="27"/>
      <c r="D137" s="30" t="str">
        <f>IF(B137="","",IF(COUNTIF('👥 Asistencia'!$B:$B, B137)&gt;0, IF(C137="DIA", COUNTIFS('👥 Asistencia'!$B:$B, B137, '👥 Asistencia'!$E:$E, "08:00") + COUNTIFS('👥 Asistencia'!$B:$B, B137, '👥 Asistencia'!$E:$E, "07:00"), COUNTIFS('👥 Asistencia'!$B:$B, B137, '👥 Asistencia'!$E:$E, "20:00")), 6))</f>
        <v/>
      </c>
      <c r="E137" s="34" t="str">
        <f>IF(B137="","",IF(COUNTIF('👥 Asistencia'!$B:$B, B137)&gt;0, IF(C137="DIA", SUMIFS('👥 Asistencia'!$H:$H, '👥 Asistencia'!$B:$B, B137, '👥 Asistencia'!$E:$E, "08:00") + SUMIFS('👥 Asistencia'!$H:$H, '👥 Asistencia'!$B:$B, B137, '👥 Asistencia'!$E:$E, "07:00"), SUMIFS('👥 Asistencia'!$H:$H, '👥 Asistencia'!$B:$B, B137, '👥 Asistencia'!$E:$E, "20:00")), 0))</f>
        <v/>
      </c>
      <c r="F137" s="92"/>
      <c r="G137" s="92"/>
      <c r="H137" s="33" t="str">
        <f t="shared" si="4"/>
        <v/>
      </c>
      <c r="I137" s="30" t="str">
        <f t="shared" si="5"/>
        <v/>
      </c>
    </row>
    <row r="138" spans="2:9" ht="18" customHeight="1" x14ac:dyDescent="0.3">
      <c r="B138" s="26"/>
      <c r="C138" s="27"/>
      <c r="D138" s="30" t="str">
        <f>IF(B138="","",IF(COUNTIF('👥 Asistencia'!$B:$B, B138)&gt;0, IF(C138="DIA", COUNTIFS('👥 Asistencia'!$B:$B, B138, '👥 Asistencia'!$E:$E, "08:00") + COUNTIFS('👥 Asistencia'!$B:$B, B138, '👥 Asistencia'!$E:$E, "07:00"), COUNTIFS('👥 Asistencia'!$B:$B, B138, '👥 Asistencia'!$E:$E, "20:00")), 6))</f>
        <v/>
      </c>
      <c r="E138" s="34" t="str">
        <f>IF(B138="","",IF(COUNTIF('👥 Asistencia'!$B:$B, B138)&gt;0, IF(C138="DIA", SUMIFS('👥 Asistencia'!$H:$H, '👥 Asistencia'!$B:$B, B138, '👥 Asistencia'!$E:$E, "08:00") + SUMIFS('👥 Asistencia'!$H:$H, '👥 Asistencia'!$B:$B, B138, '👥 Asistencia'!$E:$E, "07:00"), SUMIFS('👥 Asistencia'!$H:$H, '👥 Asistencia'!$B:$B, B138, '👥 Asistencia'!$E:$E, "20:00")), 0))</f>
        <v/>
      </c>
      <c r="F138" s="91"/>
      <c r="G138" s="91"/>
      <c r="H138" s="33" t="str">
        <f t="shared" si="4"/>
        <v/>
      </c>
      <c r="I138" s="30" t="str">
        <f t="shared" si="5"/>
        <v/>
      </c>
    </row>
    <row r="139" spans="2:9" ht="18" customHeight="1" x14ac:dyDescent="0.3">
      <c r="B139" s="26"/>
      <c r="C139" s="27"/>
      <c r="D139" s="30" t="str">
        <f>IF(B139="","",IF(COUNTIF('👥 Asistencia'!$B:$B, B139)&gt;0, IF(C139="DIA", COUNTIFS('👥 Asistencia'!$B:$B, B139, '👥 Asistencia'!$E:$E, "08:00") + COUNTIFS('👥 Asistencia'!$B:$B, B139, '👥 Asistencia'!$E:$E, "07:00"), COUNTIFS('👥 Asistencia'!$B:$B, B139, '👥 Asistencia'!$E:$E, "20:00")), 6))</f>
        <v/>
      </c>
      <c r="E139" s="34" t="str">
        <f>IF(B139="","",IF(COUNTIF('👥 Asistencia'!$B:$B, B139)&gt;0, IF(C139="DIA", SUMIFS('👥 Asistencia'!$H:$H, '👥 Asistencia'!$B:$B, B139, '👥 Asistencia'!$E:$E, "08:00") + SUMIFS('👥 Asistencia'!$H:$H, '👥 Asistencia'!$B:$B, B139, '👥 Asistencia'!$E:$E, "07:00"), SUMIFS('👥 Asistencia'!$H:$H, '👥 Asistencia'!$B:$B, B139, '👥 Asistencia'!$E:$E, "20:00")), 0))</f>
        <v/>
      </c>
      <c r="F139" s="92"/>
      <c r="G139" s="92"/>
      <c r="H139" s="33" t="str">
        <f t="shared" si="4"/>
        <v/>
      </c>
      <c r="I139" s="30" t="str">
        <f t="shared" si="5"/>
        <v/>
      </c>
    </row>
    <row r="140" spans="2:9" ht="18" customHeight="1" x14ac:dyDescent="0.3">
      <c r="B140" s="26"/>
      <c r="C140" s="27"/>
      <c r="D140" s="30" t="str">
        <f>IF(B140="","",IF(COUNTIF('👥 Asistencia'!$B:$B, B140)&gt;0, IF(C140="DIA", COUNTIFS('👥 Asistencia'!$B:$B, B140, '👥 Asistencia'!$E:$E, "08:00") + COUNTIFS('👥 Asistencia'!$B:$B, B140, '👥 Asistencia'!$E:$E, "07:00"), COUNTIFS('👥 Asistencia'!$B:$B, B140, '👥 Asistencia'!$E:$E, "20:00")), 6))</f>
        <v/>
      </c>
      <c r="E140" s="34" t="str">
        <f>IF(B140="","",IF(COUNTIF('👥 Asistencia'!$B:$B, B140)&gt;0, IF(C140="DIA", SUMIFS('👥 Asistencia'!$H:$H, '👥 Asistencia'!$B:$B, B140, '👥 Asistencia'!$E:$E, "08:00") + SUMIFS('👥 Asistencia'!$H:$H, '👥 Asistencia'!$B:$B, B140, '👥 Asistencia'!$E:$E, "07:00"), SUMIFS('👥 Asistencia'!$H:$H, '👥 Asistencia'!$B:$B, B140, '👥 Asistencia'!$E:$E, "20:00")), 0))</f>
        <v/>
      </c>
      <c r="F140" s="91"/>
      <c r="G140" s="91"/>
      <c r="H140" s="33" t="str">
        <f t="shared" si="4"/>
        <v/>
      </c>
      <c r="I140" s="30" t="str">
        <f t="shared" si="5"/>
        <v/>
      </c>
    </row>
    <row r="141" spans="2:9" ht="18" customHeight="1" x14ac:dyDescent="0.3">
      <c r="B141" s="26"/>
      <c r="C141" s="27"/>
      <c r="D141" s="30" t="str">
        <f>IF(B141="","",IF(COUNTIF('👥 Asistencia'!$B:$B, B141)&gt;0, IF(C141="DIA", COUNTIFS('👥 Asistencia'!$B:$B, B141, '👥 Asistencia'!$E:$E, "08:00") + COUNTIFS('👥 Asistencia'!$B:$B, B141, '👥 Asistencia'!$E:$E, "07:00"), COUNTIFS('👥 Asistencia'!$B:$B, B141, '👥 Asistencia'!$E:$E, "20:00")), 6))</f>
        <v/>
      </c>
      <c r="E141" s="34" t="str">
        <f>IF(B141="","",IF(COUNTIF('👥 Asistencia'!$B:$B, B141)&gt;0, IF(C141="DIA", SUMIFS('👥 Asistencia'!$H:$H, '👥 Asistencia'!$B:$B, B141, '👥 Asistencia'!$E:$E, "08:00") + SUMIFS('👥 Asistencia'!$H:$H, '👥 Asistencia'!$B:$B, B141, '👥 Asistencia'!$E:$E, "07:00"), SUMIFS('👥 Asistencia'!$H:$H, '👥 Asistencia'!$B:$B, B141, '👥 Asistencia'!$E:$E, "20:00")), 0))</f>
        <v/>
      </c>
      <c r="F141" s="92"/>
      <c r="G141" s="92"/>
      <c r="H141" s="33" t="str">
        <f t="shared" si="4"/>
        <v/>
      </c>
      <c r="I141" s="30" t="str">
        <f t="shared" si="5"/>
        <v/>
      </c>
    </row>
    <row r="142" spans="2:9" ht="18" customHeight="1" x14ac:dyDescent="0.3">
      <c r="B142" s="26"/>
      <c r="C142" s="27"/>
      <c r="D142" s="30" t="str">
        <f>IF(B142="","",IF(COUNTIF('👥 Asistencia'!$B:$B, B142)&gt;0, IF(C142="DIA", COUNTIFS('👥 Asistencia'!$B:$B, B142, '👥 Asistencia'!$E:$E, "08:00") + COUNTIFS('👥 Asistencia'!$B:$B, B142, '👥 Asistencia'!$E:$E, "07:00"), COUNTIFS('👥 Asistencia'!$B:$B, B142, '👥 Asistencia'!$E:$E, "20:00")), 6))</f>
        <v/>
      </c>
      <c r="E142" s="34" t="str">
        <f>IF(B142="","",IF(COUNTIF('👥 Asistencia'!$B:$B, B142)&gt;0, IF(C142="DIA", SUMIFS('👥 Asistencia'!$H:$H, '👥 Asistencia'!$B:$B, B142, '👥 Asistencia'!$E:$E, "08:00") + SUMIFS('👥 Asistencia'!$H:$H, '👥 Asistencia'!$B:$B, B142, '👥 Asistencia'!$E:$E, "07:00"), SUMIFS('👥 Asistencia'!$H:$H, '👥 Asistencia'!$B:$B, B142, '👥 Asistencia'!$E:$E, "20:00")), 0))</f>
        <v/>
      </c>
      <c r="F142" s="91"/>
      <c r="G142" s="91"/>
      <c r="H142" s="33" t="str">
        <f t="shared" si="4"/>
        <v/>
      </c>
      <c r="I142" s="30" t="str">
        <f t="shared" si="5"/>
        <v/>
      </c>
    </row>
    <row r="143" spans="2:9" ht="18" customHeight="1" x14ac:dyDescent="0.3">
      <c r="B143" s="26"/>
      <c r="C143" s="27"/>
      <c r="D143" s="30" t="str">
        <f>IF(B143="","",IF(COUNTIF('👥 Asistencia'!$B:$B, B143)&gt;0, IF(C143="DIA", COUNTIFS('👥 Asistencia'!$B:$B, B143, '👥 Asistencia'!$E:$E, "08:00") + COUNTIFS('👥 Asistencia'!$B:$B, B143, '👥 Asistencia'!$E:$E, "07:00"), COUNTIFS('👥 Asistencia'!$B:$B, B143, '👥 Asistencia'!$E:$E, "20:00")), 6))</f>
        <v/>
      </c>
      <c r="E143" s="34" t="str">
        <f>IF(B143="","",IF(COUNTIF('👥 Asistencia'!$B:$B, B143)&gt;0, IF(C143="DIA", SUMIFS('👥 Asistencia'!$H:$H, '👥 Asistencia'!$B:$B, B143, '👥 Asistencia'!$E:$E, "08:00") + SUMIFS('👥 Asistencia'!$H:$H, '👥 Asistencia'!$B:$B, B143, '👥 Asistencia'!$E:$E, "07:00"), SUMIFS('👥 Asistencia'!$H:$H, '👥 Asistencia'!$B:$B, B143, '👥 Asistencia'!$E:$E, "20:00")), 0))</f>
        <v/>
      </c>
      <c r="F143" s="92"/>
      <c r="G143" s="92"/>
      <c r="H143" s="33" t="str">
        <f t="shared" si="4"/>
        <v/>
      </c>
      <c r="I143" s="30" t="str">
        <f t="shared" si="5"/>
        <v/>
      </c>
    </row>
    <row r="144" spans="2:9" ht="18" customHeight="1" x14ac:dyDescent="0.3">
      <c r="B144" s="26"/>
      <c r="C144" s="27"/>
      <c r="D144" s="30" t="str">
        <f>IF(B144="","",IF(COUNTIF('👥 Asistencia'!$B:$B, B144)&gt;0, IF(C144="DIA", COUNTIFS('👥 Asistencia'!$B:$B, B144, '👥 Asistencia'!$E:$E, "08:00") + COUNTIFS('👥 Asistencia'!$B:$B, B144, '👥 Asistencia'!$E:$E, "07:00"), COUNTIFS('👥 Asistencia'!$B:$B, B144, '👥 Asistencia'!$E:$E, "20:00")), 6))</f>
        <v/>
      </c>
      <c r="E144" s="34" t="str">
        <f>IF(B144="","",IF(COUNTIF('👥 Asistencia'!$B:$B, B144)&gt;0, IF(C144="DIA", SUMIFS('👥 Asistencia'!$H:$H, '👥 Asistencia'!$B:$B, B144, '👥 Asistencia'!$E:$E, "08:00") + SUMIFS('👥 Asistencia'!$H:$H, '👥 Asistencia'!$B:$B, B144, '👥 Asistencia'!$E:$E, "07:00"), SUMIFS('👥 Asistencia'!$H:$H, '👥 Asistencia'!$B:$B, B144, '👥 Asistencia'!$E:$E, "20:00")), 0))</f>
        <v/>
      </c>
      <c r="F144" s="91"/>
      <c r="G144" s="91"/>
      <c r="H144" s="33" t="str">
        <f t="shared" si="4"/>
        <v/>
      </c>
      <c r="I144" s="30" t="str">
        <f t="shared" si="5"/>
        <v/>
      </c>
    </row>
    <row r="145" spans="2:9" ht="18" customHeight="1" x14ac:dyDescent="0.3">
      <c r="B145" s="26"/>
      <c r="C145" s="27"/>
      <c r="D145" s="30" t="str">
        <f>IF(B145="","",IF(COUNTIF('👥 Asistencia'!$B:$B, B145)&gt;0, IF(C145="DIA", COUNTIFS('👥 Asistencia'!$B:$B, B145, '👥 Asistencia'!$E:$E, "08:00") + COUNTIFS('👥 Asistencia'!$B:$B, B145, '👥 Asistencia'!$E:$E, "07:00"), COUNTIFS('👥 Asistencia'!$B:$B, B145, '👥 Asistencia'!$E:$E, "20:00")), 6))</f>
        <v/>
      </c>
      <c r="E145" s="34" t="str">
        <f>IF(B145="","",IF(COUNTIF('👥 Asistencia'!$B:$B, B145)&gt;0, IF(C145="DIA", SUMIFS('👥 Asistencia'!$H:$H, '👥 Asistencia'!$B:$B, B145, '👥 Asistencia'!$E:$E, "08:00") + SUMIFS('👥 Asistencia'!$H:$H, '👥 Asistencia'!$B:$B, B145, '👥 Asistencia'!$E:$E, "07:00"), SUMIFS('👥 Asistencia'!$H:$H, '👥 Asistencia'!$B:$B, B145, '👥 Asistencia'!$E:$E, "20:00")), 0))</f>
        <v/>
      </c>
      <c r="F145" s="92"/>
      <c r="G145" s="92"/>
      <c r="H145" s="33" t="str">
        <f t="shared" si="4"/>
        <v/>
      </c>
      <c r="I145" s="30" t="str">
        <f t="shared" si="5"/>
        <v/>
      </c>
    </row>
    <row r="146" spans="2:9" ht="18" customHeight="1" x14ac:dyDescent="0.3">
      <c r="B146" s="26"/>
      <c r="C146" s="27"/>
      <c r="D146" s="30" t="str">
        <f>IF(B146="","",IF(COUNTIF('👥 Asistencia'!$B:$B, B146)&gt;0, IF(C146="DIA", COUNTIFS('👥 Asistencia'!$B:$B, B146, '👥 Asistencia'!$E:$E, "08:00") + COUNTIFS('👥 Asistencia'!$B:$B, B146, '👥 Asistencia'!$E:$E, "07:00"), COUNTIFS('👥 Asistencia'!$B:$B, B146, '👥 Asistencia'!$E:$E, "20:00")), 6))</f>
        <v/>
      </c>
      <c r="E146" s="34" t="str">
        <f>IF(B146="","",IF(COUNTIF('👥 Asistencia'!$B:$B, B146)&gt;0, IF(C146="DIA", SUMIFS('👥 Asistencia'!$H:$H, '👥 Asistencia'!$B:$B, B146, '👥 Asistencia'!$E:$E, "08:00") + SUMIFS('👥 Asistencia'!$H:$H, '👥 Asistencia'!$B:$B, B146, '👥 Asistencia'!$E:$E, "07:00"), SUMIFS('👥 Asistencia'!$H:$H, '👥 Asistencia'!$B:$B, B146, '👥 Asistencia'!$E:$E, "20:00")), 0))</f>
        <v/>
      </c>
      <c r="F146" s="91"/>
      <c r="G146" s="91"/>
      <c r="H146" s="33" t="str">
        <f t="shared" si="4"/>
        <v/>
      </c>
      <c r="I146" s="30" t="str">
        <f t="shared" si="5"/>
        <v/>
      </c>
    </row>
    <row r="147" spans="2:9" ht="18" customHeight="1" x14ac:dyDescent="0.3">
      <c r="B147" s="26"/>
      <c r="C147" s="27"/>
      <c r="D147" s="30" t="str">
        <f>IF(B147="","",IF(COUNTIF('👥 Asistencia'!$B:$B, B147)&gt;0, IF(C147="DIA", COUNTIFS('👥 Asistencia'!$B:$B, B147, '👥 Asistencia'!$E:$E, "08:00") + COUNTIFS('👥 Asistencia'!$B:$B, B147, '👥 Asistencia'!$E:$E, "07:00"), COUNTIFS('👥 Asistencia'!$B:$B, B147, '👥 Asistencia'!$E:$E, "20:00")), 6))</f>
        <v/>
      </c>
      <c r="E147" s="34" t="str">
        <f>IF(B147="","",IF(COUNTIF('👥 Asistencia'!$B:$B, B147)&gt;0, IF(C147="DIA", SUMIFS('👥 Asistencia'!$H:$H, '👥 Asistencia'!$B:$B, B147, '👥 Asistencia'!$E:$E, "08:00") + SUMIFS('👥 Asistencia'!$H:$H, '👥 Asistencia'!$B:$B, B147, '👥 Asistencia'!$E:$E, "07:00"), SUMIFS('👥 Asistencia'!$H:$H, '👥 Asistencia'!$B:$B, B147, '👥 Asistencia'!$E:$E, "20:00")), 0))</f>
        <v/>
      </c>
      <c r="F147" s="92"/>
      <c r="G147" s="92"/>
      <c r="H147" s="33" t="str">
        <f t="shared" si="4"/>
        <v/>
      </c>
      <c r="I147" s="30" t="str">
        <f t="shared" si="5"/>
        <v/>
      </c>
    </row>
    <row r="148" spans="2:9" ht="18" customHeight="1" x14ac:dyDescent="0.3">
      <c r="B148" s="26"/>
      <c r="C148" s="27"/>
      <c r="D148" s="30" t="str">
        <f>IF(B148="","",IF(COUNTIF('👥 Asistencia'!$B:$B, B148)&gt;0, IF(C148="DIA", COUNTIFS('👥 Asistencia'!$B:$B, B148, '👥 Asistencia'!$E:$E, "08:00") + COUNTIFS('👥 Asistencia'!$B:$B, B148, '👥 Asistencia'!$E:$E, "07:00"), COUNTIFS('👥 Asistencia'!$B:$B, B148, '👥 Asistencia'!$E:$E, "20:00")), 6))</f>
        <v/>
      </c>
      <c r="E148" s="34" t="str">
        <f>IF(B148="","",IF(COUNTIF('👥 Asistencia'!$B:$B, B148)&gt;0, IF(C148="DIA", SUMIFS('👥 Asistencia'!$H:$H, '👥 Asistencia'!$B:$B, B148, '👥 Asistencia'!$E:$E, "08:00") + SUMIFS('👥 Asistencia'!$H:$H, '👥 Asistencia'!$B:$B, B148, '👥 Asistencia'!$E:$E, "07:00"), SUMIFS('👥 Asistencia'!$H:$H, '👥 Asistencia'!$B:$B, B148, '👥 Asistencia'!$E:$E, "20:00")), 0))</f>
        <v/>
      </c>
      <c r="F148" s="91"/>
      <c r="G148" s="91"/>
      <c r="H148" s="33" t="str">
        <f t="shared" si="4"/>
        <v/>
      </c>
      <c r="I148" s="30" t="str">
        <f t="shared" si="5"/>
        <v/>
      </c>
    </row>
    <row r="149" spans="2:9" ht="18" customHeight="1" x14ac:dyDescent="0.3">
      <c r="B149" s="26"/>
      <c r="C149" s="27"/>
      <c r="D149" s="30" t="str">
        <f>IF(B149="","",IF(COUNTIF('👥 Asistencia'!$B:$B, B149)&gt;0, IF(C149="DIA", COUNTIFS('👥 Asistencia'!$B:$B, B149, '👥 Asistencia'!$E:$E, "08:00") + COUNTIFS('👥 Asistencia'!$B:$B, B149, '👥 Asistencia'!$E:$E, "07:00"), COUNTIFS('👥 Asistencia'!$B:$B, B149, '👥 Asistencia'!$E:$E, "20:00")), 6))</f>
        <v/>
      </c>
      <c r="E149" s="34" t="str">
        <f>IF(B149="","",IF(COUNTIF('👥 Asistencia'!$B:$B, B149)&gt;0, IF(C149="DIA", SUMIFS('👥 Asistencia'!$H:$H, '👥 Asistencia'!$B:$B, B149, '👥 Asistencia'!$E:$E, "08:00") + SUMIFS('👥 Asistencia'!$H:$H, '👥 Asistencia'!$B:$B, B149, '👥 Asistencia'!$E:$E, "07:00"), SUMIFS('👥 Asistencia'!$H:$H, '👥 Asistencia'!$B:$B, B149, '👥 Asistencia'!$E:$E, "20:00")), 0))</f>
        <v/>
      </c>
      <c r="F149" s="92"/>
      <c r="G149" s="92"/>
      <c r="H149" s="33" t="str">
        <f t="shared" si="4"/>
        <v/>
      </c>
      <c r="I149" s="30" t="str">
        <f t="shared" si="5"/>
        <v/>
      </c>
    </row>
    <row r="150" spans="2:9" ht="18" customHeight="1" x14ac:dyDescent="0.3">
      <c r="B150" s="26"/>
      <c r="C150" s="27"/>
      <c r="D150" s="30" t="str">
        <f>IF(B150="","",IF(COUNTIF('👥 Asistencia'!$B:$B, B150)&gt;0, IF(C150="DIA", COUNTIFS('👥 Asistencia'!$B:$B, B150, '👥 Asistencia'!$E:$E, "08:00") + COUNTIFS('👥 Asistencia'!$B:$B, B150, '👥 Asistencia'!$E:$E, "07:00"), COUNTIFS('👥 Asistencia'!$B:$B, B150, '👥 Asistencia'!$E:$E, "20:00")), 6))</f>
        <v/>
      </c>
      <c r="E150" s="34" t="str">
        <f>IF(B150="","",IF(COUNTIF('👥 Asistencia'!$B:$B, B150)&gt;0, IF(C150="DIA", SUMIFS('👥 Asistencia'!$H:$H, '👥 Asistencia'!$B:$B, B150, '👥 Asistencia'!$E:$E, "08:00") + SUMIFS('👥 Asistencia'!$H:$H, '👥 Asistencia'!$B:$B, B150, '👥 Asistencia'!$E:$E, "07:00"), SUMIFS('👥 Asistencia'!$H:$H, '👥 Asistencia'!$B:$B, B150, '👥 Asistencia'!$E:$E, "20:00")), 0))</f>
        <v/>
      </c>
      <c r="F150" s="91"/>
      <c r="G150" s="91"/>
      <c r="H150" s="33" t="str">
        <f t="shared" si="4"/>
        <v/>
      </c>
      <c r="I150" s="30" t="str">
        <f t="shared" si="5"/>
        <v/>
      </c>
    </row>
    <row r="151" spans="2:9" ht="18" customHeight="1" x14ac:dyDescent="0.3">
      <c r="B151" s="26"/>
      <c r="C151" s="27"/>
      <c r="D151" s="30" t="str">
        <f>IF(B151="","",IF(COUNTIF('👥 Asistencia'!$B:$B, B151)&gt;0, IF(C151="DIA", COUNTIFS('👥 Asistencia'!$B:$B, B151, '👥 Asistencia'!$E:$E, "08:00") + COUNTIFS('👥 Asistencia'!$B:$B, B151, '👥 Asistencia'!$E:$E, "07:00"), COUNTIFS('👥 Asistencia'!$B:$B, B151, '👥 Asistencia'!$E:$E, "20:00")), 6))</f>
        <v/>
      </c>
      <c r="E151" s="34" t="str">
        <f>IF(B151="","",IF(COUNTIF('👥 Asistencia'!$B:$B, B151)&gt;0, IF(C151="DIA", SUMIFS('👥 Asistencia'!$H:$H, '👥 Asistencia'!$B:$B, B151, '👥 Asistencia'!$E:$E, "08:00") + SUMIFS('👥 Asistencia'!$H:$H, '👥 Asistencia'!$B:$B, B151, '👥 Asistencia'!$E:$E, "07:00"), SUMIFS('👥 Asistencia'!$H:$H, '👥 Asistencia'!$B:$B, B151, '👥 Asistencia'!$E:$E, "20:00")), 0))</f>
        <v/>
      </c>
      <c r="F151" s="92"/>
      <c r="G151" s="92"/>
      <c r="H151" s="33" t="str">
        <f t="shared" si="4"/>
        <v/>
      </c>
      <c r="I151" s="30" t="str">
        <f t="shared" si="5"/>
        <v/>
      </c>
    </row>
    <row r="152" spans="2:9" ht="18" customHeight="1" x14ac:dyDescent="0.3">
      <c r="B152" s="26"/>
      <c r="C152" s="27"/>
      <c r="D152" s="30" t="str">
        <f>IF(B152="","",IF(COUNTIF('👥 Asistencia'!$B:$B, B152)&gt;0, IF(C152="DIA", COUNTIFS('👥 Asistencia'!$B:$B, B152, '👥 Asistencia'!$E:$E, "08:00") + COUNTIFS('👥 Asistencia'!$B:$B, B152, '👥 Asistencia'!$E:$E, "07:00"), COUNTIFS('👥 Asistencia'!$B:$B, B152, '👥 Asistencia'!$E:$E, "20:00")), 6))</f>
        <v/>
      </c>
      <c r="E152" s="34" t="str">
        <f>IF(B152="","",IF(COUNTIF('👥 Asistencia'!$B:$B, B152)&gt;0, IF(C152="DIA", SUMIFS('👥 Asistencia'!$H:$H, '👥 Asistencia'!$B:$B, B152, '👥 Asistencia'!$E:$E, "08:00") + SUMIFS('👥 Asistencia'!$H:$H, '👥 Asistencia'!$B:$B, B152, '👥 Asistencia'!$E:$E, "07:00"), SUMIFS('👥 Asistencia'!$H:$H, '👥 Asistencia'!$B:$B, B152, '👥 Asistencia'!$E:$E, "20:00")), 0))</f>
        <v/>
      </c>
      <c r="F152" s="91"/>
      <c r="G152" s="91"/>
      <c r="H152" s="33" t="str">
        <f t="shared" si="4"/>
        <v/>
      </c>
      <c r="I152" s="30" t="str">
        <f t="shared" si="5"/>
        <v/>
      </c>
    </row>
    <row r="153" spans="2:9" ht="18" customHeight="1" x14ac:dyDescent="0.3">
      <c r="B153" s="26"/>
      <c r="C153" s="27"/>
      <c r="D153" s="30" t="str">
        <f>IF(B153="","",IF(COUNTIF('👥 Asistencia'!$B:$B, B153)&gt;0, IF(C153="DIA", COUNTIFS('👥 Asistencia'!$B:$B, B153, '👥 Asistencia'!$E:$E, "08:00") + COUNTIFS('👥 Asistencia'!$B:$B, B153, '👥 Asistencia'!$E:$E, "07:00"), COUNTIFS('👥 Asistencia'!$B:$B, B153, '👥 Asistencia'!$E:$E, "20:00")), 6))</f>
        <v/>
      </c>
      <c r="E153" s="34" t="str">
        <f>IF(B153="","",IF(COUNTIF('👥 Asistencia'!$B:$B, B153)&gt;0, IF(C153="DIA", SUMIFS('👥 Asistencia'!$H:$H, '👥 Asistencia'!$B:$B, B153, '👥 Asistencia'!$E:$E, "08:00") + SUMIFS('👥 Asistencia'!$H:$H, '👥 Asistencia'!$B:$B, B153, '👥 Asistencia'!$E:$E, "07:00"), SUMIFS('👥 Asistencia'!$H:$H, '👥 Asistencia'!$B:$B, B153, '👥 Asistencia'!$E:$E, "20:00")), 0))</f>
        <v/>
      </c>
      <c r="F153" s="92"/>
      <c r="G153" s="92"/>
      <c r="H153" s="33" t="str">
        <f t="shared" si="4"/>
        <v/>
      </c>
      <c r="I153" s="30" t="str">
        <f t="shared" si="5"/>
        <v/>
      </c>
    </row>
    <row r="154" spans="2:9" ht="18" customHeight="1" x14ac:dyDescent="0.3">
      <c r="B154" s="26"/>
      <c r="C154" s="27"/>
      <c r="D154" s="30" t="str">
        <f>IF(B154="","",IF(COUNTIF('👥 Asistencia'!$B:$B, B154)&gt;0, IF(C154="DIA", COUNTIFS('👥 Asistencia'!$B:$B, B154, '👥 Asistencia'!$E:$E, "08:00") + COUNTIFS('👥 Asistencia'!$B:$B, B154, '👥 Asistencia'!$E:$E, "07:00"), COUNTIFS('👥 Asistencia'!$B:$B, B154, '👥 Asistencia'!$E:$E, "20:00")), 6))</f>
        <v/>
      </c>
      <c r="E154" s="34" t="str">
        <f>IF(B154="","",IF(COUNTIF('👥 Asistencia'!$B:$B, B154)&gt;0, IF(C154="DIA", SUMIFS('👥 Asistencia'!$H:$H, '👥 Asistencia'!$B:$B, B154, '👥 Asistencia'!$E:$E, "08:00") + SUMIFS('👥 Asistencia'!$H:$H, '👥 Asistencia'!$B:$B, B154, '👥 Asistencia'!$E:$E, "07:00"), SUMIFS('👥 Asistencia'!$H:$H, '👥 Asistencia'!$B:$B, B154, '👥 Asistencia'!$E:$E, "20:00")), 0))</f>
        <v/>
      </c>
      <c r="F154" s="91"/>
      <c r="G154" s="91"/>
      <c r="H154" s="33" t="str">
        <f t="shared" si="4"/>
        <v/>
      </c>
      <c r="I154" s="30" t="str">
        <f t="shared" si="5"/>
        <v/>
      </c>
    </row>
    <row r="155" spans="2:9" ht="18" customHeight="1" x14ac:dyDescent="0.3">
      <c r="B155" s="26"/>
      <c r="C155" s="27"/>
      <c r="D155" s="30" t="str">
        <f>IF(B155="","",IF(COUNTIF('👥 Asistencia'!$B:$B, B155)&gt;0, IF(C155="DIA", COUNTIFS('👥 Asistencia'!$B:$B, B155, '👥 Asistencia'!$E:$E, "08:00") + COUNTIFS('👥 Asistencia'!$B:$B, B155, '👥 Asistencia'!$E:$E, "07:00"), COUNTIFS('👥 Asistencia'!$B:$B, B155, '👥 Asistencia'!$E:$E, "20:00")), 6))</f>
        <v/>
      </c>
      <c r="E155" s="34" t="str">
        <f>IF(B155="","",IF(COUNTIF('👥 Asistencia'!$B:$B, B155)&gt;0, IF(C155="DIA", SUMIFS('👥 Asistencia'!$H:$H, '👥 Asistencia'!$B:$B, B155, '👥 Asistencia'!$E:$E, "08:00") + SUMIFS('👥 Asistencia'!$H:$H, '👥 Asistencia'!$B:$B, B155, '👥 Asistencia'!$E:$E, "07:00"), SUMIFS('👥 Asistencia'!$H:$H, '👥 Asistencia'!$B:$B, B155, '👥 Asistencia'!$E:$E, "20:00")), 0))</f>
        <v/>
      </c>
      <c r="F155" s="92"/>
      <c r="G155" s="92"/>
      <c r="H155" s="33" t="str">
        <f t="shared" si="4"/>
        <v/>
      </c>
      <c r="I155" s="30" t="str">
        <f t="shared" si="5"/>
        <v/>
      </c>
    </row>
    <row r="156" spans="2:9" ht="18" customHeight="1" x14ac:dyDescent="0.3">
      <c r="B156" s="26"/>
      <c r="C156" s="27"/>
      <c r="D156" s="30" t="str">
        <f>IF(B156="","",IF(COUNTIF('👥 Asistencia'!$B:$B, B156)&gt;0, IF(C156="DIA", COUNTIFS('👥 Asistencia'!$B:$B, B156, '👥 Asistencia'!$E:$E, "08:00") + COUNTIFS('👥 Asistencia'!$B:$B, B156, '👥 Asistencia'!$E:$E, "07:00"), COUNTIFS('👥 Asistencia'!$B:$B, B156, '👥 Asistencia'!$E:$E, "20:00")), 6))</f>
        <v/>
      </c>
      <c r="E156" s="34" t="str">
        <f>IF(B156="","",IF(COUNTIF('👥 Asistencia'!$B:$B, B156)&gt;0, IF(C156="DIA", SUMIFS('👥 Asistencia'!$H:$H, '👥 Asistencia'!$B:$B, B156, '👥 Asistencia'!$E:$E, "08:00") + SUMIFS('👥 Asistencia'!$H:$H, '👥 Asistencia'!$B:$B, B156, '👥 Asistencia'!$E:$E, "07:00"), SUMIFS('👥 Asistencia'!$H:$H, '👥 Asistencia'!$B:$B, B156, '👥 Asistencia'!$E:$E, "20:00")), 0))</f>
        <v/>
      </c>
      <c r="F156" s="91"/>
      <c r="G156" s="91"/>
      <c r="H156" s="33" t="str">
        <f t="shared" si="4"/>
        <v/>
      </c>
      <c r="I156" s="30" t="str">
        <f t="shared" si="5"/>
        <v/>
      </c>
    </row>
    <row r="157" spans="2:9" ht="18" customHeight="1" x14ac:dyDescent="0.3">
      <c r="B157" s="26"/>
      <c r="C157" s="27"/>
      <c r="D157" s="30" t="str">
        <f>IF(B157="","",IF(COUNTIF('👥 Asistencia'!$B:$B, B157)&gt;0, IF(C157="DIA", COUNTIFS('👥 Asistencia'!$B:$B, B157, '👥 Asistencia'!$E:$E, "08:00") + COUNTIFS('👥 Asistencia'!$B:$B, B157, '👥 Asistencia'!$E:$E, "07:00"), COUNTIFS('👥 Asistencia'!$B:$B, B157, '👥 Asistencia'!$E:$E, "20:00")), 6))</f>
        <v/>
      </c>
      <c r="E157" s="34" t="str">
        <f>IF(B157="","",IF(COUNTIF('👥 Asistencia'!$B:$B, B157)&gt;0, IF(C157="DIA", SUMIFS('👥 Asistencia'!$H:$H, '👥 Asistencia'!$B:$B, B157, '👥 Asistencia'!$E:$E, "08:00") + SUMIFS('👥 Asistencia'!$H:$H, '👥 Asistencia'!$B:$B, B157, '👥 Asistencia'!$E:$E, "07:00"), SUMIFS('👥 Asistencia'!$H:$H, '👥 Asistencia'!$B:$B, B157, '👥 Asistencia'!$E:$E, "20:00")), 0))</f>
        <v/>
      </c>
      <c r="F157" s="92"/>
      <c r="G157" s="92"/>
      <c r="H157" s="33" t="str">
        <f t="shared" si="4"/>
        <v/>
      </c>
      <c r="I157" s="30" t="str">
        <f t="shared" si="5"/>
        <v/>
      </c>
    </row>
    <row r="158" spans="2:9" ht="18" customHeight="1" x14ac:dyDescent="0.3">
      <c r="B158" s="26"/>
      <c r="C158" s="27"/>
      <c r="D158" s="30" t="str">
        <f>IF(B158="","",IF(COUNTIF('👥 Asistencia'!$B:$B, B158)&gt;0, IF(C158="DIA", COUNTIFS('👥 Asistencia'!$B:$B, B158, '👥 Asistencia'!$E:$E, "08:00") + COUNTIFS('👥 Asistencia'!$B:$B, B158, '👥 Asistencia'!$E:$E, "07:00"), COUNTIFS('👥 Asistencia'!$B:$B, B158, '👥 Asistencia'!$E:$E, "20:00")), 6))</f>
        <v/>
      </c>
      <c r="E158" s="34" t="str">
        <f>IF(B158="","",IF(COUNTIF('👥 Asistencia'!$B:$B, B158)&gt;0, IF(C158="DIA", SUMIFS('👥 Asistencia'!$H:$H, '👥 Asistencia'!$B:$B, B158, '👥 Asistencia'!$E:$E, "08:00") + SUMIFS('👥 Asistencia'!$H:$H, '👥 Asistencia'!$B:$B, B158, '👥 Asistencia'!$E:$E, "07:00"), SUMIFS('👥 Asistencia'!$H:$H, '👥 Asistencia'!$B:$B, B158, '👥 Asistencia'!$E:$E, "20:00")), 0))</f>
        <v/>
      </c>
      <c r="F158" s="91"/>
      <c r="G158" s="91"/>
      <c r="H158" s="33" t="str">
        <f t="shared" si="4"/>
        <v/>
      </c>
      <c r="I158" s="30" t="str">
        <f t="shared" si="5"/>
        <v/>
      </c>
    </row>
    <row r="159" spans="2:9" ht="18" customHeight="1" x14ac:dyDescent="0.3">
      <c r="B159" s="26"/>
      <c r="C159" s="27"/>
      <c r="D159" s="30" t="str">
        <f>IF(B159="","",IF(COUNTIF('👥 Asistencia'!$B:$B, B159)&gt;0, IF(C159="DIA", COUNTIFS('👥 Asistencia'!$B:$B, B159, '👥 Asistencia'!$E:$E, "08:00") + COUNTIFS('👥 Asistencia'!$B:$B, B159, '👥 Asistencia'!$E:$E, "07:00"), COUNTIFS('👥 Asistencia'!$B:$B, B159, '👥 Asistencia'!$E:$E, "20:00")), 6))</f>
        <v/>
      </c>
      <c r="E159" s="34" t="str">
        <f>IF(B159="","",IF(COUNTIF('👥 Asistencia'!$B:$B, B159)&gt;0, IF(C159="DIA", SUMIFS('👥 Asistencia'!$H:$H, '👥 Asistencia'!$B:$B, B159, '👥 Asistencia'!$E:$E, "08:00") + SUMIFS('👥 Asistencia'!$H:$H, '👥 Asistencia'!$B:$B, B159, '👥 Asistencia'!$E:$E, "07:00"), SUMIFS('👥 Asistencia'!$H:$H, '👥 Asistencia'!$B:$B, B159, '👥 Asistencia'!$E:$E, "20:00")), 0))</f>
        <v/>
      </c>
      <c r="F159" s="92"/>
      <c r="G159" s="92"/>
      <c r="H159" s="33" t="str">
        <f t="shared" si="4"/>
        <v/>
      </c>
      <c r="I159" s="30" t="str">
        <f t="shared" si="5"/>
        <v/>
      </c>
    </row>
    <row r="160" spans="2:9" ht="18" customHeight="1" x14ac:dyDescent="0.3">
      <c r="B160" s="26"/>
      <c r="C160" s="27"/>
      <c r="D160" s="30" t="str">
        <f>IF(B160="","",IF(COUNTIF('👥 Asistencia'!$B:$B, B160)&gt;0, IF(C160="DIA", COUNTIFS('👥 Asistencia'!$B:$B, B160, '👥 Asistencia'!$E:$E, "08:00") + COUNTIFS('👥 Asistencia'!$B:$B, B160, '👥 Asistencia'!$E:$E, "07:00"), COUNTIFS('👥 Asistencia'!$B:$B, B160, '👥 Asistencia'!$E:$E, "20:00")), 6))</f>
        <v/>
      </c>
      <c r="E160" s="34" t="str">
        <f>IF(B160="","",IF(COUNTIF('👥 Asistencia'!$B:$B, B160)&gt;0, IF(C160="DIA", SUMIFS('👥 Asistencia'!$H:$H, '👥 Asistencia'!$B:$B, B160, '👥 Asistencia'!$E:$E, "08:00") + SUMIFS('👥 Asistencia'!$H:$H, '👥 Asistencia'!$B:$B, B160, '👥 Asistencia'!$E:$E, "07:00"), SUMIFS('👥 Asistencia'!$H:$H, '👥 Asistencia'!$B:$B, B160, '👥 Asistencia'!$E:$E, "20:00")), 0))</f>
        <v/>
      </c>
      <c r="F160" s="91"/>
      <c r="G160" s="91"/>
      <c r="H160" s="33" t="str">
        <f t="shared" si="4"/>
        <v/>
      </c>
      <c r="I160" s="30" t="str">
        <f t="shared" si="5"/>
        <v/>
      </c>
    </row>
    <row r="161" spans="2:9" ht="18" customHeight="1" x14ac:dyDescent="0.3">
      <c r="B161" s="26"/>
      <c r="C161" s="27"/>
      <c r="D161" s="30" t="str">
        <f>IF(B161="","",IF(COUNTIF('👥 Asistencia'!$B:$B, B161)&gt;0, IF(C161="DIA", COUNTIFS('👥 Asistencia'!$B:$B, B161, '👥 Asistencia'!$E:$E, "08:00") + COUNTIFS('👥 Asistencia'!$B:$B, B161, '👥 Asistencia'!$E:$E, "07:00"), COUNTIFS('👥 Asistencia'!$B:$B, B161, '👥 Asistencia'!$E:$E, "20:00")), 6))</f>
        <v/>
      </c>
      <c r="E161" s="34" t="str">
        <f>IF(B161="","",IF(COUNTIF('👥 Asistencia'!$B:$B, B161)&gt;0, IF(C161="DIA", SUMIFS('👥 Asistencia'!$H:$H, '👥 Asistencia'!$B:$B, B161, '👥 Asistencia'!$E:$E, "08:00") + SUMIFS('👥 Asistencia'!$H:$H, '👥 Asistencia'!$B:$B, B161, '👥 Asistencia'!$E:$E, "07:00"), SUMIFS('👥 Asistencia'!$H:$H, '👥 Asistencia'!$B:$B, B161, '👥 Asistencia'!$E:$E, "20:00")), 0))</f>
        <v/>
      </c>
      <c r="F161" s="92"/>
      <c r="G161" s="92"/>
      <c r="H161" s="33" t="str">
        <f t="shared" si="4"/>
        <v/>
      </c>
      <c r="I161" s="30" t="str">
        <f t="shared" si="5"/>
        <v/>
      </c>
    </row>
    <row r="162" spans="2:9" ht="18" customHeight="1" x14ac:dyDescent="0.3">
      <c r="B162" s="26"/>
      <c r="C162" s="27"/>
      <c r="D162" s="30" t="str">
        <f>IF(B162="","",IF(COUNTIF('👥 Asistencia'!$B:$B, B162)&gt;0, IF(C162="DIA", COUNTIFS('👥 Asistencia'!$B:$B, B162, '👥 Asistencia'!$E:$E, "08:00") + COUNTIFS('👥 Asistencia'!$B:$B, B162, '👥 Asistencia'!$E:$E, "07:00"), COUNTIFS('👥 Asistencia'!$B:$B, B162, '👥 Asistencia'!$E:$E, "20:00")), 6))</f>
        <v/>
      </c>
      <c r="E162" s="34" t="str">
        <f>IF(B162="","",IF(COUNTIF('👥 Asistencia'!$B:$B, B162)&gt;0, IF(C162="DIA", SUMIFS('👥 Asistencia'!$H:$H, '👥 Asistencia'!$B:$B, B162, '👥 Asistencia'!$E:$E, "08:00") + SUMIFS('👥 Asistencia'!$H:$H, '👥 Asistencia'!$B:$B, B162, '👥 Asistencia'!$E:$E, "07:00"), SUMIFS('👥 Asistencia'!$H:$H, '👥 Asistencia'!$B:$B, B162, '👥 Asistencia'!$E:$E, "20:00")), 0))</f>
        <v/>
      </c>
      <c r="F162" s="91"/>
      <c r="G162" s="91"/>
      <c r="H162" s="33" t="str">
        <f t="shared" si="4"/>
        <v/>
      </c>
      <c r="I162" s="30" t="str">
        <f t="shared" si="5"/>
        <v/>
      </c>
    </row>
    <row r="163" spans="2:9" ht="18" customHeight="1" x14ac:dyDescent="0.3">
      <c r="B163" s="26"/>
      <c r="C163" s="27"/>
      <c r="D163" s="30" t="str">
        <f>IF(B163="","",IF(COUNTIF('👥 Asistencia'!$B:$B, B163)&gt;0, IF(C163="DIA", COUNTIFS('👥 Asistencia'!$B:$B, B163, '👥 Asistencia'!$E:$E, "08:00") + COUNTIFS('👥 Asistencia'!$B:$B, B163, '👥 Asistencia'!$E:$E, "07:00"), COUNTIFS('👥 Asistencia'!$B:$B, B163, '👥 Asistencia'!$E:$E, "20:00")), 6))</f>
        <v/>
      </c>
      <c r="E163" s="34" t="str">
        <f>IF(B163="","",IF(COUNTIF('👥 Asistencia'!$B:$B, B163)&gt;0, IF(C163="DIA", SUMIFS('👥 Asistencia'!$H:$H, '👥 Asistencia'!$B:$B, B163, '👥 Asistencia'!$E:$E, "08:00") + SUMIFS('👥 Asistencia'!$H:$H, '👥 Asistencia'!$B:$B, B163, '👥 Asistencia'!$E:$E, "07:00"), SUMIFS('👥 Asistencia'!$H:$H, '👥 Asistencia'!$B:$B, B163, '👥 Asistencia'!$E:$E, "20:00")), 0))</f>
        <v/>
      </c>
      <c r="F163" s="92"/>
      <c r="G163" s="92"/>
      <c r="H163" s="33" t="str">
        <f t="shared" si="4"/>
        <v/>
      </c>
      <c r="I163" s="30" t="str">
        <f t="shared" si="5"/>
        <v/>
      </c>
    </row>
    <row r="164" spans="2:9" ht="18" customHeight="1" x14ac:dyDescent="0.3">
      <c r="B164" s="26"/>
      <c r="C164" s="27"/>
      <c r="D164" s="30" t="str">
        <f>IF(B164="","",IF(COUNTIF('👥 Asistencia'!$B:$B, B164)&gt;0, IF(C164="DIA", COUNTIFS('👥 Asistencia'!$B:$B, B164, '👥 Asistencia'!$E:$E, "08:00") + COUNTIFS('👥 Asistencia'!$B:$B, B164, '👥 Asistencia'!$E:$E, "07:00"), COUNTIFS('👥 Asistencia'!$B:$B, B164, '👥 Asistencia'!$E:$E, "20:00")), 6))</f>
        <v/>
      </c>
      <c r="E164" s="34" t="str">
        <f>IF(B164="","",IF(COUNTIF('👥 Asistencia'!$B:$B, B164)&gt;0, IF(C164="DIA", SUMIFS('👥 Asistencia'!$H:$H, '👥 Asistencia'!$B:$B, B164, '👥 Asistencia'!$E:$E, "08:00") + SUMIFS('👥 Asistencia'!$H:$H, '👥 Asistencia'!$B:$B, B164, '👥 Asistencia'!$E:$E, "07:00"), SUMIFS('👥 Asistencia'!$H:$H, '👥 Asistencia'!$B:$B, B164, '👥 Asistencia'!$E:$E, "20:00")), 0))</f>
        <v/>
      </c>
      <c r="F164" s="91"/>
      <c r="G164" s="91"/>
      <c r="H164" s="33" t="str">
        <f t="shared" si="4"/>
        <v/>
      </c>
      <c r="I164" s="30" t="str">
        <f t="shared" si="5"/>
        <v/>
      </c>
    </row>
    <row r="165" spans="2:9" ht="18" customHeight="1" x14ac:dyDescent="0.3">
      <c r="B165" s="26"/>
      <c r="C165" s="27"/>
      <c r="D165" s="30" t="str">
        <f>IF(B165="","",IF(COUNTIF('👥 Asistencia'!$B:$B, B165)&gt;0, IF(C165="DIA", COUNTIFS('👥 Asistencia'!$B:$B, B165, '👥 Asistencia'!$E:$E, "08:00") + COUNTIFS('👥 Asistencia'!$B:$B, B165, '👥 Asistencia'!$E:$E, "07:00"), COUNTIFS('👥 Asistencia'!$B:$B, B165, '👥 Asistencia'!$E:$E, "20:00")), 6))</f>
        <v/>
      </c>
      <c r="E165" s="34" t="str">
        <f>IF(B165="","",IF(COUNTIF('👥 Asistencia'!$B:$B, B165)&gt;0, IF(C165="DIA", SUMIFS('👥 Asistencia'!$H:$H, '👥 Asistencia'!$B:$B, B165, '👥 Asistencia'!$E:$E, "08:00") + SUMIFS('👥 Asistencia'!$H:$H, '👥 Asistencia'!$B:$B, B165, '👥 Asistencia'!$E:$E, "07:00"), SUMIFS('👥 Asistencia'!$H:$H, '👥 Asistencia'!$B:$B, B165, '👥 Asistencia'!$E:$E, "20:00")), 0))</f>
        <v/>
      </c>
      <c r="F165" s="92"/>
      <c r="G165" s="92"/>
      <c r="H165" s="33" t="str">
        <f t="shared" si="4"/>
        <v/>
      </c>
      <c r="I165" s="30" t="str">
        <f t="shared" si="5"/>
        <v/>
      </c>
    </row>
    <row r="166" spans="2:9" ht="18" customHeight="1" x14ac:dyDescent="0.3">
      <c r="B166" s="26"/>
      <c r="C166" s="27"/>
      <c r="D166" s="30" t="str">
        <f>IF(B166="","",IF(COUNTIF('👥 Asistencia'!$B:$B, B166)&gt;0, IF(C166="DIA", COUNTIFS('👥 Asistencia'!$B:$B, B166, '👥 Asistencia'!$E:$E, "08:00") + COUNTIFS('👥 Asistencia'!$B:$B, B166, '👥 Asistencia'!$E:$E, "07:00"), COUNTIFS('👥 Asistencia'!$B:$B, B166, '👥 Asistencia'!$E:$E, "20:00")), 6))</f>
        <v/>
      </c>
      <c r="E166" s="34" t="str">
        <f>IF(B166="","",IF(COUNTIF('👥 Asistencia'!$B:$B, B166)&gt;0, IF(C166="DIA", SUMIFS('👥 Asistencia'!$H:$H, '👥 Asistencia'!$B:$B, B166, '👥 Asistencia'!$E:$E, "08:00") + SUMIFS('👥 Asistencia'!$H:$H, '👥 Asistencia'!$B:$B, B166, '👥 Asistencia'!$E:$E, "07:00"), SUMIFS('👥 Asistencia'!$H:$H, '👥 Asistencia'!$B:$B, B166, '👥 Asistencia'!$E:$E, "20:00")), 0))</f>
        <v/>
      </c>
      <c r="F166" s="91"/>
      <c r="G166" s="91"/>
      <c r="H166" s="33" t="str">
        <f t="shared" si="4"/>
        <v/>
      </c>
      <c r="I166" s="30" t="str">
        <f t="shared" si="5"/>
        <v/>
      </c>
    </row>
    <row r="167" spans="2:9" ht="18" customHeight="1" x14ac:dyDescent="0.3">
      <c r="B167" s="26"/>
      <c r="C167" s="27"/>
      <c r="D167" s="30" t="str">
        <f>IF(B167="","",IF(COUNTIF('👥 Asistencia'!$B:$B, B167)&gt;0, IF(C167="DIA", COUNTIFS('👥 Asistencia'!$B:$B, B167, '👥 Asistencia'!$E:$E, "08:00") + COUNTIFS('👥 Asistencia'!$B:$B, B167, '👥 Asistencia'!$E:$E, "07:00"), COUNTIFS('👥 Asistencia'!$B:$B, B167, '👥 Asistencia'!$E:$E, "20:00")), 6))</f>
        <v/>
      </c>
      <c r="E167" s="34" t="str">
        <f>IF(B167="","",IF(COUNTIF('👥 Asistencia'!$B:$B, B167)&gt;0, IF(C167="DIA", SUMIFS('👥 Asistencia'!$H:$H, '👥 Asistencia'!$B:$B, B167, '👥 Asistencia'!$E:$E, "08:00") + SUMIFS('👥 Asistencia'!$H:$H, '👥 Asistencia'!$B:$B, B167, '👥 Asistencia'!$E:$E, "07:00"), SUMIFS('👥 Asistencia'!$H:$H, '👥 Asistencia'!$B:$B, B167, '👥 Asistencia'!$E:$E, "20:00")), 0))</f>
        <v/>
      </c>
      <c r="F167" s="92"/>
      <c r="G167" s="92"/>
      <c r="H167" s="33" t="str">
        <f t="shared" si="4"/>
        <v/>
      </c>
      <c r="I167" s="30" t="str">
        <f t="shared" si="5"/>
        <v/>
      </c>
    </row>
    <row r="168" spans="2:9" ht="18" customHeight="1" x14ac:dyDescent="0.3">
      <c r="B168" s="26"/>
      <c r="C168" s="27"/>
      <c r="D168" s="30" t="str">
        <f>IF(B168="","",IF(COUNTIF('👥 Asistencia'!$B:$B, B168)&gt;0, IF(C168="DIA", COUNTIFS('👥 Asistencia'!$B:$B, B168, '👥 Asistencia'!$E:$E, "08:00") + COUNTIFS('👥 Asistencia'!$B:$B, B168, '👥 Asistencia'!$E:$E, "07:00"), COUNTIFS('👥 Asistencia'!$B:$B, B168, '👥 Asistencia'!$E:$E, "20:00")), 6))</f>
        <v/>
      </c>
      <c r="E168" s="34" t="str">
        <f>IF(B168="","",IF(COUNTIF('👥 Asistencia'!$B:$B, B168)&gt;0, IF(C168="DIA", SUMIFS('👥 Asistencia'!$H:$H, '👥 Asistencia'!$B:$B, B168, '👥 Asistencia'!$E:$E, "08:00") + SUMIFS('👥 Asistencia'!$H:$H, '👥 Asistencia'!$B:$B, B168, '👥 Asistencia'!$E:$E, "07:00"), SUMIFS('👥 Asistencia'!$H:$H, '👥 Asistencia'!$B:$B, B168, '👥 Asistencia'!$E:$E, "20:00")), 0))</f>
        <v/>
      </c>
      <c r="F168" s="91"/>
      <c r="G168" s="91"/>
      <c r="H168" s="33" t="str">
        <f t="shared" si="4"/>
        <v/>
      </c>
      <c r="I168" s="30" t="str">
        <f t="shared" si="5"/>
        <v/>
      </c>
    </row>
    <row r="169" spans="2:9" ht="18" customHeight="1" x14ac:dyDescent="0.3">
      <c r="B169" s="26"/>
      <c r="C169" s="27"/>
      <c r="D169" s="30" t="str">
        <f>IF(B169="","",IF(COUNTIF('👥 Asistencia'!$B:$B, B169)&gt;0, IF(C169="DIA", COUNTIFS('👥 Asistencia'!$B:$B, B169, '👥 Asistencia'!$E:$E, "08:00") + COUNTIFS('👥 Asistencia'!$B:$B, B169, '👥 Asistencia'!$E:$E, "07:00"), COUNTIFS('👥 Asistencia'!$B:$B, B169, '👥 Asistencia'!$E:$E, "20:00")), 6))</f>
        <v/>
      </c>
      <c r="E169" s="34" t="str">
        <f>IF(B169="","",IF(COUNTIF('👥 Asistencia'!$B:$B, B169)&gt;0, IF(C169="DIA", SUMIFS('👥 Asistencia'!$H:$H, '👥 Asistencia'!$B:$B, B169, '👥 Asistencia'!$E:$E, "08:00") + SUMIFS('👥 Asistencia'!$H:$H, '👥 Asistencia'!$B:$B, B169, '👥 Asistencia'!$E:$E, "07:00"), SUMIFS('👥 Asistencia'!$H:$H, '👥 Asistencia'!$B:$B, B169, '👥 Asistencia'!$E:$E, "20:00")), 0))</f>
        <v/>
      </c>
      <c r="F169" s="92"/>
      <c r="G169" s="92"/>
      <c r="H169" s="33" t="str">
        <f t="shared" si="4"/>
        <v/>
      </c>
      <c r="I169" s="30" t="str">
        <f t="shared" si="5"/>
        <v/>
      </c>
    </row>
    <row r="170" spans="2:9" ht="18" customHeight="1" x14ac:dyDescent="0.3">
      <c r="B170" s="26"/>
      <c r="C170" s="27"/>
      <c r="D170" s="30" t="str">
        <f>IF(B170="","",IF(COUNTIF('👥 Asistencia'!$B:$B, B170)&gt;0, IF(C170="DIA", COUNTIFS('👥 Asistencia'!$B:$B, B170, '👥 Asistencia'!$E:$E, "08:00") + COUNTIFS('👥 Asistencia'!$B:$B, B170, '👥 Asistencia'!$E:$E, "07:00"), COUNTIFS('👥 Asistencia'!$B:$B, B170, '👥 Asistencia'!$E:$E, "20:00")), 6))</f>
        <v/>
      </c>
      <c r="E170" s="34" t="str">
        <f>IF(B170="","",IF(COUNTIF('👥 Asistencia'!$B:$B, B170)&gt;0, IF(C170="DIA", SUMIFS('👥 Asistencia'!$H:$H, '👥 Asistencia'!$B:$B, B170, '👥 Asistencia'!$E:$E, "08:00") + SUMIFS('👥 Asistencia'!$H:$H, '👥 Asistencia'!$B:$B, B170, '👥 Asistencia'!$E:$E, "07:00"), SUMIFS('👥 Asistencia'!$H:$H, '👥 Asistencia'!$B:$B, B170, '👥 Asistencia'!$E:$E, "20:00")), 0))</f>
        <v/>
      </c>
      <c r="F170" s="91"/>
      <c r="G170" s="91"/>
      <c r="H170" s="33" t="str">
        <f t="shared" si="4"/>
        <v/>
      </c>
      <c r="I170" s="30" t="str">
        <f t="shared" si="5"/>
        <v/>
      </c>
    </row>
    <row r="171" spans="2:9" ht="18" customHeight="1" x14ac:dyDescent="0.3">
      <c r="B171" s="26"/>
      <c r="C171" s="27"/>
      <c r="D171" s="30" t="str">
        <f>IF(B171="","",IF(COUNTIF('👥 Asistencia'!$B:$B, B171)&gt;0, IF(C171="DIA", COUNTIFS('👥 Asistencia'!$B:$B, B171, '👥 Asistencia'!$E:$E, "08:00") + COUNTIFS('👥 Asistencia'!$B:$B, B171, '👥 Asistencia'!$E:$E, "07:00"), COUNTIFS('👥 Asistencia'!$B:$B, B171, '👥 Asistencia'!$E:$E, "20:00")), 6))</f>
        <v/>
      </c>
      <c r="E171" s="34" t="str">
        <f>IF(B171="","",IF(COUNTIF('👥 Asistencia'!$B:$B, B171)&gt;0, IF(C171="DIA", SUMIFS('👥 Asistencia'!$H:$H, '👥 Asistencia'!$B:$B, B171, '👥 Asistencia'!$E:$E, "08:00") + SUMIFS('👥 Asistencia'!$H:$H, '👥 Asistencia'!$B:$B, B171, '👥 Asistencia'!$E:$E, "07:00"), SUMIFS('👥 Asistencia'!$H:$H, '👥 Asistencia'!$B:$B, B171, '👥 Asistencia'!$E:$E, "20:00")), 0))</f>
        <v/>
      </c>
      <c r="F171" s="92"/>
      <c r="G171" s="92"/>
      <c r="H171" s="33" t="str">
        <f t="shared" si="4"/>
        <v/>
      </c>
      <c r="I171" s="30" t="str">
        <f t="shared" si="5"/>
        <v/>
      </c>
    </row>
    <row r="172" spans="2:9" ht="18" customHeight="1" x14ac:dyDescent="0.3">
      <c r="B172" s="26"/>
      <c r="C172" s="27"/>
      <c r="D172" s="30" t="str">
        <f>IF(B172="","",IF(COUNTIF('👥 Asistencia'!$B:$B, B172)&gt;0, IF(C172="DIA", COUNTIFS('👥 Asistencia'!$B:$B, B172, '👥 Asistencia'!$E:$E, "08:00") + COUNTIFS('👥 Asistencia'!$B:$B, B172, '👥 Asistencia'!$E:$E, "07:00"), COUNTIFS('👥 Asistencia'!$B:$B, B172, '👥 Asistencia'!$E:$E, "20:00")), 6))</f>
        <v/>
      </c>
      <c r="E172" s="34" t="str">
        <f>IF(B172="","",IF(COUNTIF('👥 Asistencia'!$B:$B, B172)&gt;0, IF(C172="DIA", SUMIFS('👥 Asistencia'!$H:$H, '👥 Asistencia'!$B:$B, B172, '👥 Asistencia'!$E:$E, "08:00") + SUMIFS('👥 Asistencia'!$H:$H, '👥 Asistencia'!$B:$B, B172, '👥 Asistencia'!$E:$E, "07:00"), SUMIFS('👥 Asistencia'!$H:$H, '👥 Asistencia'!$B:$B, B172, '👥 Asistencia'!$E:$E, "20:00")), 0))</f>
        <v/>
      </c>
      <c r="F172" s="91"/>
      <c r="G172" s="91"/>
      <c r="H172" s="33" t="str">
        <f t="shared" si="4"/>
        <v/>
      </c>
      <c r="I172" s="30" t="str">
        <f t="shared" si="5"/>
        <v/>
      </c>
    </row>
    <row r="173" spans="2:9" ht="18" customHeight="1" x14ac:dyDescent="0.3">
      <c r="B173" s="26"/>
      <c r="C173" s="27"/>
      <c r="D173" s="30" t="str">
        <f>IF(B173="","",IF(COUNTIF('👥 Asistencia'!$B:$B, B173)&gt;0, IF(C173="DIA", COUNTIFS('👥 Asistencia'!$B:$B, B173, '👥 Asistencia'!$E:$E, "08:00") + COUNTIFS('👥 Asistencia'!$B:$B, B173, '👥 Asistencia'!$E:$E, "07:00"), COUNTIFS('👥 Asistencia'!$B:$B, B173, '👥 Asistencia'!$E:$E, "20:00")), 6))</f>
        <v/>
      </c>
      <c r="E173" s="34" t="str">
        <f>IF(B173="","",IF(COUNTIF('👥 Asistencia'!$B:$B, B173)&gt;0, IF(C173="DIA", SUMIFS('👥 Asistencia'!$H:$H, '👥 Asistencia'!$B:$B, B173, '👥 Asistencia'!$E:$E, "08:00") + SUMIFS('👥 Asistencia'!$H:$H, '👥 Asistencia'!$B:$B, B173, '👥 Asistencia'!$E:$E, "07:00"), SUMIFS('👥 Asistencia'!$H:$H, '👥 Asistencia'!$B:$B, B173, '👥 Asistencia'!$E:$E, "20:00")), 0))</f>
        <v/>
      </c>
      <c r="F173" s="92"/>
      <c r="G173" s="92"/>
      <c r="H173" s="33" t="str">
        <f t="shared" si="4"/>
        <v/>
      </c>
      <c r="I173" s="30" t="str">
        <f t="shared" si="5"/>
        <v/>
      </c>
    </row>
    <row r="174" spans="2:9" ht="18" customHeight="1" x14ac:dyDescent="0.3">
      <c r="B174" s="26"/>
      <c r="C174" s="27"/>
      <c r="D174" s="30" t="str">
        <f>IF(B174="","",IF(COUNTIF('👥 Asistencia'!$B:$B, B174)&gt;0, IF(C174="DIA", COUNTIFS('👥 Asistencia'!$B:$B, B174, '👥 Asistencia'!$E:$E, "08:00") + COUNTIFS('👥 Asistencia'!$B:$B, B174, '👥 Asistencia'!$E:$E, "07:00"), COUNTIFS('👥 Asistencia'!$B:$B, B174, '👥 Asistencia'!$E:$E, "20:00")), 6))</f>
        <v/>
      </c>
      <c r="E174" s="34" t="str">
        <f>IF(B174="","",IF(COUNTIF('👥 Asistencia'!$B:$B, B174)&gt;0, IF(C174="DIA", SUMIFS('👥 Asistencia'!$H:$H, '👥 Asistencia'!$B:$B, B174, '👥 Asistencia'!$E:$E, "08:00") + SUMIFS('👥 Asistencia'!$H:$H, '👥 Asistencia'!$B:$B, B174, '👥 Asistencia'!$E:$E, "07:00"), SUMIFS('👥 Asistencia'!$H:$H, '👥 Asistencia'!$B:$B, B174, '👥 Asistencia'!$E:$E, "20:00")), 0))</f>
        <v/>
      </c>
      <c r="F174" s="91"/>
      <c r="G174" s="91"/>
      <c r="H174" s="33" t="str">
        <f t="shared" si="4"/>
        <v/>
      </c>
      <c r="I174" s="30" t="str">
        <f t="shared" si="5"/>
        <v/>
      </c>
    </row>
    <row r="175" spans="2:9" ht="18" customHeight="1" x14ac:dyDescent="0.3">
      <c r="B175" s="26"/>
      <c r="C175" s="27"/>
      <c r="D175" s="30" t="str">
        <f>IF(B175="","",IF(COUNTIF('👥 Asistencia'!$B:$B, B175)&gt;0, IF(C175="DIA", COUNTIFS('👥 Asistencia'!$B:$B, B175, '👥 Asistencia'!$E:$E, "08:00") + COUNTIFS('👥 Asistencia'!$B:$B, B175, '👥 Asistencia'!$E:$E, "07:00"), COUNTIFS('👥 Asistencia'!$B:$B, B175, '👥 Asistencia'!$E:$E, "20:00")), 6))</f>
        <v/>
      </c>
      <c r="E175" s="34" t="str">
        <f>IF(B175="","",IF(COUNTIF('👥 Asistencia'!$B:$B, B175)&gt;0, IF(C175="DIA", SUMIFS('👥 Asistencia'!$H:$H, '👥 Asistencia'!$B:$B, B175, '👥 Asistencia'!$E:$E, "08:00") + SUMIFS('👥 Asistencia'!$H:$H, '👥 Asistencia'!$B:$B, B175, '👥 Asistencia'!$E:$E, "07:00"), SUMIFS('👥 Asistencia'!$H:$H, '👥 Asistencia'!$B:$B, B175, '👥 Asistencia'!$E:$E, "20:00")), 0))</f>
        <v/>
      </c>
      <c r="F175" s="92"/>
      <c r="G175" s="92"/>
      <c r="H175" s="33" t="str">
        <f t="shared" si="4"/>
        <v/>
      </c>
      <c r="I175" s="30" t="str">
        <f t="shared" si="5"/>
        <v/>
      </c>
    </row>
    <row r="176" spans="2:9" ht="18" customHeight="1" x14ac:dyDescent="0.3">
      <c r="B176" s="26"/>
      <c r="C176" s="27"/>
      <c r="D176" s="30" t="str">
        <f>IF(B176="","",IF(COUNTIF('👥 Asistencia'!$B:$B, B176)&gt;0, IF(C176="DIA", COUNTIFS('👥 Asistencia'!$B:$B, B176, '👥 Asistencia'!$E:$E, "08:00") + COUNTIFS('👥 Asistencia'!$B:$B, B176, '👥 Asistencia'!$E:$E, "07:00"), COUNTIFS('👥 Asistencia'!$B:$B, B176, '👥 Asistencia'!$E:$E, "20:00")), 6))</f>
        <v/>
      </c>
      <c r="E176" s="34" t="str">
        <f>IF(B176="","",IF(COUNTIF('👥 Asistencia'!$B:$B, B176)&gt;0, IF(C176="DIA", SUMIFS('👥 Asistencia'!$H:$H, '👥 Asistencia'!$B:$B, B176, '👥 Asistencia'!$E:$E, "08:00") + SUMIFS('👥 Asistencia'!$H:$H, '👥 Asistencia'!$B:$B, B176, '👥 Asistencia'!$E:$E, "07:00"), SUMIFS('👥 Asistencia'!$H:$H, '👥 Asistencia'!$B:$B, B176, '👥 Asistencia'!$E:$E, "20:00")), 0))</f>
        <v/>
      </c>
      <c r="F176" s="91"/>
      <c r="G176" s="91"/>
      <c r="H176" s="33" t="str">
        <f t="shared" si="4"/>
        <v/>
      </c>
      <c r="I176" s="30" t="str">
        <f t="shared" si="5"/>
        <v/>
      </c>
    </row>
    <row r="177" spans="2:9" ht="18" customHeight="1" x14ac:dyDescent="0.3">
      <c r="B177" s="26"/>
      <c r="C177" s="27"/>
      <c r="D177" s="30" t="str">
        <f>IF(B177="","",IF(COUNTIF('👥 Asistencia'!$B:$B, B177)&gt;0, IF(C177="DIA", COUNTIFS('👥 Asistencia'!$B:$B, B177, '👥 Asistencia'!$E:$E, "08:00") + COUNTIFS('👥 Asistencia'!$B:$B, B177, '👥 Asistencia'!$E:$E, "07:00"), COUNTIFS('👥 Asistencia'!$B:$B, B177, '👥 Asistencia'!$E:$E, "20:00")), 6))</f>
        <v/>
      </c>
      <c r="E177" s="34" t="str">
        <f>IF(B177="","",IF(COUNTIF('👥 Asistencia'!$B:$B, B177)&gt;0, IF(C177="DIA", SUMIFS('👥 Asistencia'!$H:$H, '👥 Asistencia'!$B:$B, B177, '👥 Asistencia'!$E:$E, "08:00") + SUMIFS('👥 Asistencia'!$H:$H, '👥 Asistencia'!$B:$B, B177, '👥 Asistencia'!$E:$E, "07:00"), SUMIFS('👥 Asistencia'!$H:$H, '👥 Asistencia'!$B:$B, B177, '👥 Asistencia'!$E:$E, "20:00")), 0))</f>
        <v/>
      </c>
      <c r="F177" s="92"/>
      <c r="G177" s="92"/>
      <c r="H177" s="33" t="str">
        <f t="shared" si="4"/>
        <v/>
      </c>
      <c r="I177" s="30" t="str">
        <f t="shared" si="5"/>
        <v/>
      </c>
    </row>
    <row r="178" spans="2:9" ht="18" customHeight="1" x14ac:dyDescent="0.3">
      <c r="B178" s="26"/>
      <c r="C178" s="27"/>
      <c r="D178" s="30" t="str">
        <f>IF(B178="","",IF(COUNTIF('👥 Asistencia'!$B:$B, B178)&gt;0, IF(C178="DIA", COUNTIFS('👥 Asistencia'!$B:$B, B178, '👥 Asistencia'!$E:$E, "08:00") + COUNTIFS('👥 Asistencia'!$B:$B, B178, '👥 Asistencia'!$E:$E, "07:00"), COUNTIFS('👥 Asistencia'!$B:$B, B178, '👥 Asistencia'!$E:$E, "20:00")), 6))</f>
        <v/>
      </c>
      <c r="E178" s="34" t="str">
        <f>IF(B178="","",IF(COUNTIF('👥 Asistencia'!$B:$B, B178)&gt;0, IF(C178="DIA", SUMIFS('👥 Asistencia'!$H:$H, '👥 Asistencia'!$B:$B, B178, '👥 Asistencia'!$E:$E, "08:00") + SUMIFS('👥 Asistencia'!$H:$H, '👥 Asistencia'!$B:$B, B178, '👥 Asistencia'!$E:$E, "07:00"), SUMIFS('👥 Asistencia'!$H:$H, '👥 Asistencia'!$B:$B, B178, '👥 Asistencia'!$E:$E, "20:00")), 0))</f>
        <v/>
      </c>
      <c r="F178" s="91"/>
      <c r="G178" s="91"/>
      <c r="H178" s="33" t="str">
        <f t="shared" si="4"/>
        <v/>
      </c>
      <c r="I178" s="30" t="str">
        <f t="shared" si="5"/>
        <v/>
      </c>
    </row>
    <row r="179" spans="2:9" ht="18" customHeight="1" x14ac:dyDescent="0.3">
      <c r="B179" s="26"/>
      <c r="C179" s="27"/>
      <c r="D179" s="30" t="str">
        <f>IF(B179="","",IF(COUNTIF('👥 Asistencia'!$B:$B, B179)&gt;0, IF(C179="DIA", COUNTIFS('👥 Asistencia'!$B:$B, B179, '👥 Asistencia'!$E:$E, "08:00") + COUNTIFS('👥 Asistencia'!$B:$B, B179, '👥 Asistencia'!$E:$E, "07:00"), COUNTIFS('👥 Asistencia'!$B:$B, B179, '👥 Asistencia'!$E:$E, "20:00")), 6))</f>
        <v/>
      </c>
      <c r="E179" s="34" t="str">
        <f>IF(B179="","",IF(COUNTIF('👥 Asistencia'!$B:$B, B179)&gt;0, IF(C179="DIA", SUMIFS('👥 Asistencia'!$H:$H, '👥 Asistencia'!$B:$B, B179, '👥 Asistencia'!$E:$E, "08:00") + SUMIFS('👥 Asistencia'!$H:$H, '👥 Asistencia'!$B:$B, B179, '👥 Asistencia'!$E:$E, "07:00"), SUMIFS('👥 Asistencia'!$H:$H, '👥 Asistencia'!$B:$B, B179, '👥 Asistencia'!$E:$E, "20:00")), 0))</f>
        <v/>
      </c>
      <c r="F179" s="92"/>
      <c r="G179" s="92"/>
      <c r="H179" s="33" t="str">
        <f t="shared" si="4"/>
        <v/>
      </c>
      <c r="I179" s="30" t="str">
        <f t="shared" si="5"/>
        <v/>
      </c>
    </row>
    <row r="180" spans="2:9" ht="18" customHeight="1" x14ac:dyDescent="0.3">
      <c r="B180" s="26"/>
      <c r="C180" s="27"/>
      <c r="D180" s="30" t="str">
        <f>IF(B180="","",IF(COUNTIF('👥 Asistencia'!$B:$B, B180)&gt;0, IF(C180="DIA", COUNTIFS('👥 Asistencia'!$B:$B, B180, '👥 Asistencia'!$E:$E, "08:00") + COUNTIFS('👥 Asistencia'!$B:$B, B180, '👥 Asistencia'!$E:$E, "07:00"), COUNTIFS('👥 Asistencia'!$B:$B, B180, '👥 Asistencia'!$E:$E, "20:00")), 6))</f>
        <v/>
      </c>
      <c r="E180" s="34" t="str">
        <f>IF(B180="","",IF(COUNTIF('👥 Asistencia'!$B:$B, B180)&gt;0, IF(C180="DIA", SUMIFS('👥 Asistencia'!$H:$H, '👥 Asistencia'!$B:$B, B180, '👥 Asistencia'!$E:$E, "08:00") + SUMIFS('👥 Asistencia'!$H:$H, '👥 Asistencia'!$B:$B, B180, '👥 Asistencia'!$E:$E, "07:00"), SUMIFS('👥 Asistencia'!$H:$H, '👥 Asistencia'!$B:$B, B180, '👥 Asistencia'!$E:$E, "20:00")), 0))</f>
        <v/>
      </c>
      <c r="F180" s="91"/>
      <c r="G180" s="91"/>
      <c r="H180" s="33" t="str">
        <f t="shared" si="4"/>
        <v/>
      </c>
      <c r="I180" s="30" t="str">
        <f t="shared" si="5"/>
        <v/>
      </c>
    </row>
    <row r="181" spans="2:9" ht="18" customHeight="1" x14ac:dyDescent="0.3">
      <c r="B181" s="26"/>
      <c r="C181" s="27"/>
      <c r="D181" s="30" t="str">
        <f>IF(B181="","",IF(COUNTIF('👥 Asistencia'!$B:$B, B181)&gt;0, IF(C181="DIA", COUNTIFS('👥 Asistencia'!$B:$B, B181, '👥 Asistencia'!$E:$E, "08:00") + COUNTIFS('👥 Asistencia'!$B:$B, B181, '👥 Asistencia'!$E:$E, "07:00"), COUNTIFS('👥 Asistencia'!$B:$B, B181, '👥 Asistencia'!$E:$E, "20:00")), 6))</f>
        <v/>
      </c>
      <c r="E181" s="34" t="str">
        <f>IF(B181="","",IF(COUNTIF('👥 Asistencia'!$B:$B, B181)&gt;0, IF(C181="DIA", SUMIFS('👥 Asistencia'!$H:$H, '👥 Asistencia'!$B:$B, B181, '👥 Asistencia'!$E:$E, "08:00") + SUMIFS('👥 Asistencia'!$H:$H, '👥 Asistencia'!$B:$B, B181, '👥 Asistencia'!$E:$E, "07:00"), SUMIFS('👥 Asistencia'!$H:$H, '👥 Asistencia'!$B:$B, B181, '👥 Asistencia'!$E:$E, "20:00")), 0))</f>
        <v/>
      </c>
      <c r="F181" s="92"/>
      <c r="G181" s="92"/>
      <c r="H181" s="33" t="str">
        <f t="shared" si="4"/>
        <v/>
      </c>
      <c r="I181" s="30" t="str">
        <f t="shared" si="5"/>
        <v/>
      </c>
    </row>
    <row r="182" spans="2:9" ht="18" customHeight="1" x14ac:dyDescent="0.3">
      <c r="B182" s="26"/>
      <c r="C182" s="27"/>
      <c r="D182" s="30" t="str">
        <f>IF(B182="","",IF(COUNTIF('👥 Asistencia'!$B:$B, B182)&gt;0, IF(C182="DIA", COUNTIFS('👥 Asistencia'!$B:$B, B182, '👥 Asistencia'!$E:$E, "08:00") + COUNTIFS('👥 Asistencia'!$B:$B, B182, '👥 Asistencia'!$E:$E, "07:00"), COUNTIFS('👥 Asistencia'!$B:$B, B182, '👥 Asistencia'!$E:$E, "20:00")), 6))</f>
        <v/>
      </c>
      <c r="E182" s="34" t="str">
        <f>IF(B182="","",IF(COUNTIF('👥 Asistencia'!$B:$B, B182)&gt;0, IF(C182="DIA", SUMIFS('👥 Asistencia'!$H:$H, '👥 Asistencia'!$B:$B, B182, '👥 Asistencia'!$E:$E, "08:00") + SUMIFS('👥 Asistencia'!$H:$H, '👥 Asistencia'!$B:$B, B182, '👥 Asistencia'!$E:$E, "07:00"), SUMIFS('👥 Asistencia'!$H:$H, '👥 Asistencia'!$B:$B, B182, '👥 Asistencia'!$E:$E, "20:00")), 0))</f>
        <v/>
      </c>
      <c r="F182" s="91"/>
      <c r="G182" s="91"/>
      <c r="H182" s="33" t="str">
        <f t="shared" si="4"/>
        <v/>
      </c>
      <c r="I182" s="30" t="str">
        <f t="shared" si="5"/>
        <v/>
      </c>
    </row>
    <row r="183" spans="2:9" ht="18" customHeight="1" x14ac:dyDescent="0.3">
      <c r="B183" s="26"/>
      <c r="C183" s="27"/>
      <c r="D183" s="30" t="str">
        <f>IF(B183="","",IF(COUNTIF('👥 Asistencia'!$B:$B, B183)&gt;0, IF(C183="DIA", COUNTIFS('👥 Asistencia'!$B:$B, B183, '👥 Asistencia'!$E:$E, "08:00") + COUNTIFS('👥 Asistencia'!$B:$B, B183, '👥 Asistencia'!$E:$E, "07:00"), COUNTIFS('👥 Asistencia'!$B:$B, B183, '👥 Asistencia'!$E:$E, "20:00")), 6))</f>
        <v/>
      </c>
      <c r="E183" s="34" t="str">
        <f>IF(B183="","",IF(COUNTIF('👥 Asistencia'!$B:$B, B183)&gt;0, IF(C183="DIA", SUMIFS('👥 Asistencia'!$H:$H, '👥 Asistencia'!$B:$B, B183, '👥 Asistencia'!$E:$E, "08:00") + SUMIFS('👥 Asistencia'!$H:$H, '👥 Asistencia'!$B:$B, B183, '👥 Asistencia'!$E:$E, "07:00"), SUMIFS('👥 Asistencia'!$H:$H, '👥 Asistencia'!$B:$B, B183, '👥 Asistencia'!$E:$E, "20:00")), 0))</f>
        <v/>
      </c>
      <c r="F183" s="92"/>
      <c r="G183" s="92"/>
      <c r="H183" s="33" t="str">
        <f t="shared" si="4"/>
        <v/>
      </c>
      <c r="I183" s="30" t="str">
        <f t="shared" si="5"/>
        <v/>
      </c>
    </row>
    <row r="184" spans="2:9" ht="18" customHeight="1" x14ac:dyDescent="0.3">
      <c r="B184" s="26"/>
      <c r="C184" s="27"/>
      <c r="D184" s="30" t="str">
        <f>IF(B184="","",IF(COUNTIF('👥 Asistencia'!$B:$B, B184)&gt;0, IF(C184="DIA", COUNTIFS('👥 Asistencia'!$B:$B, B184, '👥 Asistencia'!$E:$E, "08:00") + COUNTIFS('👥 Asistencia'!$B:$B, B184, '👥 Asistencia'!$E:$E, "07:00"), COUNTIFS('👥 Asistencia'!$B:$B, B184, '👥 Asistencia'!$E:$E, "20:00")), 6))</f>
        <v/>
      </c>
      <c r="E184" s="34" t="str">
        <f>IF(B184="","",IF(COUNTIF('👥 Asistencia'!$B:$B, B184)&gt;0, IF(C184="DIA", SUMIFS('👥 Asistencia'!$H:$H, '👥 Asistencia'!$B:$B, B184, '👥 Asistencia'!$E:$E, "08:00") + SUMIFS('👥 Asistencia'!$H:$H, '👥 Asistencia'!$B:$B, B184, '👥 Asistencia'!$E:$E, "07:00"), SUMIFS('👥 Asistencia'!$H:$H, '👥 Asistencia'!$B:$B, B184, '👥 Asistencia'!$E:$E, "20:00")), 0))</f>
        <v/>
      </c>
      <c r="F184" s="91"/>
      <c r="G184" s="91"/>
      <c r="H184" s="33" t="str">
        <f t="shared" si="4"/>
        <v/>
      </c>
      <c r="I184" s="30" t="str">
        <f t="shared" si="5"/>
        <v/>
      </c>
    </row>
    <row r="185" spans="2:9" ht="18" customHeight="1" x14ac:dyDescent="0.3">
      <c r="B185" s="26"/>
      <c r="C185" s="27"/>
      <c r="D185" s="30" t="str">
        <f>IF(B185="","",IF(COUNTIF('👥 Asistencia'!$B:$B, B185)&gt;0, IF(C185="DIA", COUNTIFS('👥 Asistencia'!$B:$B, B185, '👥 Asistencia'!$E:$E, "08:00") + COUNTIFS('👥 Asistencia'!$B:$B, B185, '👥 Asistencia'!$E:$E, "07:00"), COUNTIFS('👥 Asistencia'!$B:$B, B185, '👥 Asistencia'!$E:$E, "20:00")), 6))</f>
        <v/>
      </c>
      <c r="E185" s="34" t="str">
        <f>IF(B185="","",IF(COUNTIF('👥 Asistencia'!$B:$B, B185)&gt;0, IF(C185="DIA", SUMIFS('👥 Asistencia'!$H:$H, '👥 Asistencia'!$B:$B, B185, '👥 Asistencia'!$E:$E, "08:00") + SUMIFS('👥 Asistencia'!$H:$H, '👥 Asistencia'!$B:$B, B185, '👥 Asistencia'!$E:$E, "07:00"), SUMIFS('👥 Asistencia'!$H:$H, '👥 Asistencia'!$B:$B, B185, '👥 Asistencia'!$E:$E, "20:00")), 0))</f>
        <v/>
      </c>
      <c r="F185" s="92"/>
      <c r="G185" s="92"/>
      <c r="H185" s="33" t="str">
        <f t="shared" si="4"/>
        <v/>
      </c>
      <c r="I185" s="30" t="str">
        <f t="shared" si="5"/>
        <v/>
      </c>
    </row>
    <row r="186" spans="2:9" ht="18" customHeight="1" x14ac:dyDescent="0.3">
      <c r="B186" s="26"/>
      <c r="C186" s="27"/>
      <c r="D186" s="30" t="str">
        <f>IF(B186="","",IF(COUNTIF('👥 Asistencia'!$B:$B, B186)&gt;0, IF(C186="DIA", COUNTIFS('👥 Asistencia'!$B:$B, B186, '👥 Asistencia'!$E:$E, "08:00") + COUNTIFS('👥 Asistencia'!$B:$B, B186, '👥 Asistencia'!$E:$E, "07:00"), COUNTIFS('👥 Asistencia'!$B:$B, B186, '👥 Asistencia'!$E:$E, "20:00")), 6))</f>
        <v/>
      </c>
      <c r="E186" s="34" t="str">
        <f>IF(B186="","",IF(COUNTIF('👥 Asistencia'!$B:$B, B186)&gt;0, IF(C186="DIA", SUMIFS('👥 Asistencia'!$H:$H, '👥 Asistencia'!$B:$B, B186, '👥 Asistencia'!$E:$E, "08:00") + SUMIFS('👥 Asistencia'!$H:$H, '👥 Asistencia'!$B:$B, B186, '👥 Asistencia'!$E:$E, "07:00"), SUMIFS('👥 Asistencia'!$H:$H, '👥 Asistencia'!$B:$B, B186, '👥 Asistencia'!$E:$E, "20:00")), 0))</f>
        <v/>
      </c>
      <c r="F186" s="91"/>
      <c r="G186" s="91"/>
      <c r="H186" s="33" t="str">
        <f t="shared" si="4"/>
        <v/>
      </c>
      <c r="I186" s="30" t="str">
        <f t="shared" si="5"/>
        <v/>
      </c>
    </row>
    <row r="187" spans="2:9" ht="18" customHeight="1" x14ac:dyDescent="0.3">
      <c r="B187" s="26"/>
      <c r="C187" s="27"/>
      <c r="D187" s="30" t="str">
        <f>IF(B187="","",IF(COUNTIF('👥 Asistencia'!$B:$B, B187)&gt;0, IF(C187="DIA", COUNTIFS('👥 Asistencia'!$B:$B, B187, '👥 Asistencia'!$E:$E, "08:00") + COUNTIFS('👥 Asistencia'!$B:$B, B187, '👥 Asistencia'!$E:$E, "07:00"), COUNTIFS('👥 Asistencia'!$B:$B, B187, '👥 Asistencia'!$E:$E, "20:00")), 6))</f>
        <v/>
      </c>
      <c r="E187" s="34" t="str">
        <f>IF(B187="","",IF(COUNTIF('👥 Asistencia'!$B:$B, B187)&gt;0, IF(C187="DIA", SUMIFS('👥 Asistencia'!$H:$H, '👥 Asistencia'!$B:$B, B187, '👥 Asistencia'!$E:$E, "08:00") + SUMIFS('👥 Asistencia'!$H:$H, '👥 Asistencia'!$B:$B, B187, '👥 Asistencia'!$E:$E, "07:00"), SUMIFS('👥 Asistencia'!$H:$H, '👥 Asistencia'!$B:$B, B187, '👥 Asistencia'!$E:$E, "20:00")), 0))</f>
        <v/>
      </c>
      <c r="F187" s="92"/>
      <c r="G187" s="92"/>
      <c r="H187" s="33" t="str">
        <f t="shared" si="4"/>
        <v/>
      </c>
      <c r="I187" s="30" t="str">
        <f t="shared" si="5"/>
        <v/>
      </c>
    </row>
    <row r="188" spans="2:9" ht="18" customHeight="1" x14ac:dyDescent="0.3">
      <c r="B188" s="26"/>
      <c r="C188" s="27"/>
      <c r="D188" s="30" t="str">
        <f>IF(B188="","",IF(COUNTIF('👥 Asistencia'!$B:$B, B188)&gt;0, IF(C188="DIA", COUNTIFS('👥 Asistencia'!$B:$B, B188, '👥 Asistencia'!$E:$E, "08:00") + COUNTIFS('👥 Asistencia'!$B:$B, B188, '👥 Asistencia'!$E:$E, "07:00"), COUNTIFS('👥 Asistencia'!$B:$B, B188, '👥 Asistencia'!$E:$E, "20:00")), 6))</f>
        <v/>
      </c>
      <c r="E188" s="34" t="str">
        <f>IF(B188="","",IF(COUNTIF('👥 Asistencia'!$B:$B, B188)&gt;0, IF(C188="DIA", SUMIFS('👥 Asistencia'!$H:$H, '👥 Asistencia'!$B:$B, B188, '👥 Asistencia'!$E:$E, "08:00") + SUMIFS('👥 Asistencia'!$H:$H, '👥 Asistencia'!$B:$B, B188, '👥 Asistencia'!$E:$E, "07:00"), SUMIFS('👥 Asistencia'!$H:$H, '👥 Asistencia'!$B:$B, B188, '👥 Asistencia'!$E:$E, "20:00")), 0))</f>
        <v/>
      </c>
      <c r="F188" s="91"/>
      <c r="G188" s="91"/>
      <c r="H188" s="33" t="str">
        <f t="shared" si="4"/>
        <v/>
      </c>
      <c r="I188" s="30" t="str">
        <f t="shared" si="5"/>
        <v/>
      </c>
    </row>
    <row r="189" spans="2:9" ht="18" customHeight="1" x14ac:dyDescent="0.3">
      <c r="B189" s="26"/>
      <c r="C189" s="27"/>
      <c r="D189" s="30" t="str">
        <f>IF(B189="","",IF(COUNTIF('👥 Asistencia'!$B:$B, B189)&gt;0, IF(C189="DIA", COUNTIFS('👥 Asistencia'!$B:$B, B189, '👥 Asistencia'!$E:$E, "08:00") + COUNTIFS('👥 Asistencia'!$B:$B, B189, '👥 Asistencia'!$E:$E, "07:00"), COUNTIFS('👥 Asistencia'!$B:$B, B189, '👥 Asistencia'!$E:$E, "20:00")), 6))</f>
        <v/>
      </c>
      <c r="E189" s="34" t="str">
        <f>IF(B189="","",IF(COUNTIF('👥 Asistencia'!$B:$B, B189)&gt;0, IF(C189="DIA", SUMIFS('👥 Asistencia'!$H:$H, '👥 Asistencia'!$B:$B, B189, '👥 Asistencia'!$E:$E, "08:00") + SUMIFS('👥 Asistencia'!$H:$H, '👥 Asistencia'!$B:$B, B189, '👥 Asistencia'!$E:$E, "07:00"), SUMIFS('👥 Asistencia'!$H:$H, '👥 Asistencia'!$B:$B, B189, '👥 Asistencia'!$E:$E, "20:00")), 0))</f>
        <v/>
      </c>
      <c r="F189" s="92"/>
      <c r="G189" s="92"/>
      <c r="H189" s="33" t="str">
        <f t="shared" si="4"/>
        <v/>
      </c>
      <c r="I189" s="30" t="str">
        <f t="shared" si="5"/>
        <v/>
      </c>
    </row>
    <row r="190" spans="2:9" ht="18" customHeight="1" x14ac:dyDescent="0.3">
      <c r="B190" s="26"/>
      <c r="C190" s="27"/>
      <c r="D190" s="30" t="str">
        <f>IF(B190="","",IF(COUNTIF('👥 Asistencia'!$B:$B, B190)&gt;0, IF(C190="DIA", COUNTIFS('👥 Asistencia'!$B:$B, B190, '👥 Asistencia'!$E:$E, "08:00") + COUNTIFS('👥 Asistencia'!$B:$B, B190, '👥 Asistencia'!$E:$E, "07:00"), COUNTIFS('👥 Asistencia'!$B:$B, B190, '👥 Asistencia'!$E:$E, "20:00")), 6))</f>
        <v/>
      </c>
      <c r="E190" s="34" t="str">
        <f>IF(B190="","",IF(COUNTIF('👥 Asistencia'!$B:$B, B190)&gt;0, IF(C190="DIA", SUMIFS('👥 Asistencia'!$H:$H, '👥 Asistencia'!$B:$B, B190, '👥 Asistencia'!$E:$E, "08:00") + SUMIFS('👥 Asistencia'!$H:$H, '👥 Asistencia'!$B:$B, B190, '👥 Asistencia'!$E:$E, "07:00"), SUMIFS('👥 Asistencia'!$H:$H, '👥 Asistencia'!$B:$B, B190, '👥 Asistencia'!$E:$E, "20:00")), 0))</f>
        <v/>
      </c>
      <c r="F190" s="91"/>
      <c r="G190" s="91"/>
      <c r="H190" s="33" t="str">
        <f t="shared" si="4"/>
        <v/>
      </c>
      <c r="I190" s="30" t="str">
        <f t="shared" si="5"/>
        <v/>
      </c>
    </row>
    <row r="191" spans="2:9" ht="18" customHeight="1" x14ac:dyDescent="0.3">
      <c r="B191" s="26"/>
      <c r="C191" s="27"/>
      <c r="D191" s="30" t="str">
        <f>IF(B191="","",IF(COUNTIF('👥 Asistencia'!$B:$B, B191)&gt;0, IF(C191="DIA", COUNTIFS('👥 Asistencia'!$B:$B, B191, '👥 Asistencia'!$E:$E, "08:00") + COUNTIFS('👥 Asistencia'!$B:$B, B191, '👥 Asistencia'!$E:$E, "07:00"), COUNTIFS('👥 Asistencia'!$B:$B, B191, '👥 Asistencia'!$E:$E, "20:00")), 6))</f>
        <v/>
      </c>
      <c r="E191" s="34" t="str">
        <f>IF(B191="","",IF(COUNTIF('👥 Asistencia'!$B:$B, B191)&gt;0, IF(C191="DIA", SUMIFS('👥 Asistencia'!$H:$H, '👥 Asistencia'!$B:$B, B191, '👥 Asistencia'!$E:$E, "08:00") + SUMIFS('👥 Asistencia'!$H:$H, '👥 Asistencia'!$B:$B, B191, '👥 Asistencia'!$E:$E, "07:00"), SUMIFS('👥 Asistencia'!$H:$H, '👥 Asistencia'!$B:$B, B191, '👥 Asistencia'!$E:$E, "20:00")), 0))</f>
        <v/>
      </c>
      <c r="F191" s="92"/>
      <c r="G191" s="92"/>
      <c r="H191" s="33" t="str">
        <f t="shared" si="4"/>
        <v/>
      </c>
      <c r="I191" s="30" t="str">
        <f t="shared" si="5"/>
        <v/>
      </c>
    </row>
    <row r="192" spans="2:9" ht="18" customHeight="1" x14ac:dyDescent="0.3">
      <c r="B192" s="26"/>
      <c r="C192" s="27"/>
      <c r="D192" s="30" t="str">
        <f>IF(B192="","",IF(COUNTIF('👥 Asistencia'!$B:$B, B192)&gt;0, IF(C192="DIA", COUNTIFS('👥 Asistencia'!$B:$B, B192, '👥 Asistencia'!$E:$E, "08:00") + COUNTIFS('👥 Asistencia'!$B:$B, B192, '👥 Asistencia'!$E:$E, "07:00"), COUNTIFS('👥 Asistencia'!$B:$B, B192, '👥 Asistencia'!$E:$E, "20:00")), 6))</f>
        <v/>
      </c>
      <c r="E192" s="34" t="str">
        <f>IF(B192="","",IF(COUNTIF('👥 Asistencia'!$B:$B, B192)&gt;0, IF(C192="DIA", SUMIFS('👥 Asistencia'!$H:$H, '👥 Asistencia'!$B:$B, B192, '👥 Asistencia'!$E:$E, "08:00") + SUMIFS('👥 Asistencia'!$H:$H, '👥 Asistencia'!$B:$B, B192, '👥 Asistencia'!$E:$E, "07:00"), SUMIFS('👥 Asistencia'!$H:$H, '👥 Asistencia'!$B:$B, B192, '👥 Asistencia'!$E:$E, "20:00")), 0))</f>
        <v/>
      </c>
      <c r="F192" s="91"/>
      <c r="G192" s="91"/>
      <c r="H192" s="33" t="str">
        <f t="shared" si="4"/>
        <v/>
      </c>
      <c r="I192" s="30" t="str">
        <f t="shared" si="5"/>
        <v/>
      </c>
    </row>
    <row r="193" spans="2:9" ht="18" customHeight="1" x14ac:dyDescent="0.3">
      <c r="B193" s="26"/>
      <c r="C193" s="27"/>
      <c r="D193" s="30" t="str">
        <f>IF(B193="","",IF(COUNTIF('👥 Asistencia'!$B:$B, B193)&gt;0, IF(C193="DIA", COUNTIFS('👥 Asistencia'!$B:$B, B193, '👥 Asistencia'!$E:$E, "08:00") + COUNTIFS('👥 Asistencia'!$B:$B, B193, '👥 Asistencia'!$E:$E, "07:00"), COUNTIFS('👥 Asistencia'!$B:$B, B193, '👥 Asistencia'!$E:$E, "20:00")), 6))</f>
        <v/>
      </c>
      <c r="E193" s="34" t="str">
        <f>IF(B193="","",IF(COUNTIF('👥 Asistencia'!$B:$B, B193)&gt;0, IF(C193="DIA", SUMIFS('👥 Asistencia'!$H:$H, '👥 Asistencia'!$B:$B, B193, '👥 Asistencia'!$E:$E, "08:00") + SUMIFS('👥 Asistencia'!$H:$H, '👥 Asistencia'!$B:$B, B193, '👥 Asistencia'!$E:$E, "07:00"), SUMIFS('👥 Asistencia'!$H:$H, '👥 Asistencia'!$B:$B, B193, '👥 Asistencia'!$E:$E, "20:00")), 0))</f>
        <v/>
      </c>
      <c r="F193" s="92"/>
      <c r="G193" s="92"/>
      <c r="H193" s="33" t="str">
        <f t="shared" si="4"/>
        <v/>
      </c>
      <c r="I193" s="30" t="str">
        <f t="shared" si="5"/>
        <v/>
      </c>
    </row>
    <row r="194" spans="2:9" ht="18" customHeight="1" x14ac:dyDescent="0.3">
      <c r="B194" s="26"/>
      <c r="C194" s="27"/>
      <c r="D194" s="30" t="str">
        <f>IF(B194="","",IF(COUNTIF('👥 Asistencia'!$B:$B, B194)&gt;0, IF(C194="DIA", COUNTIFS('👥 Asistencia'!$B:$B, B194, '👥 Asistencia'!$E:$E, "08:00") + COUNTIFS('👥 Asistencia'!$B:$B, B194, '👥 Asistencia'!$E:$E, "07:00"), COUNTIFS('👥 Asistencia'!$B:$B, B194, '👥 Asistencia'!$E:$E, "20:00")), 6))</f>
        <v/>
      </c>
      <c r="E194" s="34" t="str">
        <f>IF(B194="","",IF(COUNTIF('👥 Asistencia'!$B:$B, B194)&gt;0, IF(C194="DIA", SUMIFS('👥 Asistencia'!$H:$H, '👥 Asistencia'!$B:$B, B194, '👥 Asistencia'!$E:$E, "08:00") + SUMIFS('👥 Asistencia'!$H:$H, '👥 Asistencia'!$B:$B, B194, '👥 Asistencia'!$E:$E, "07:00"), SUMIFS('👥 Asistencia'!$H:$H, '👥 Asistencia'!$B:$B, B194, '👥 Asistencia'!$E:$E, "20:00")), 0))</f>
        <v/>
      </c>
      <c r="F194" s="91"/>
      <c r="G194" s="91"/>
      <c r="H194" s="33" t="str">
        <f t="shared" si="4"/>
        <v/>
      </c>
      <c r="I194" s="30" t="str">
        <f t="shared" si="5"/>
        <v/>
      </c>
    </row>
    <row r="195" spans="2:9" ht="18" customHeight="1" x14ac:dyDescent="0.3">
      <c r="B195" s="26"/>
      <c r="C195" s="27"/>
      <c r="D195" s="30" t="str">
        <f>IF(B195="","",IF(COUNTIF('👥 Asistencia'!$B:$B, B195)&gt;0, IF(C195="DIA", COUNTIFS('👥 Asistencia'!$B:$B, B195, '👥 Asistencia'!$E:$E, "08:00") + COUNTIFS('👥 Asistencia'!$B:$B, B195, '👥 Asistencia'!$E:$E, "07:00"), COUNTIFS('👥 Asistencia'!$B:$B, B195, '👥 Asistencia'!$E:$E, "20:00")), 6))</f>
        <v/>
      </c>
      <c r="E195" s="34" t="str">
        <f>IF(B195="","",IF(COUNTIF('👥 Asistencia'!$B:$B, B195)&gt;0, IF(C195="DIA", SUMIFS('👥 Asistencia'!$H:$H, '👥 Asistencia'!$B:$B, B195, '👥 Asistencia'!$E:$E, "08:00") + SUMIFS('👥 Asistencia'!$H:$H, '👥 Asistencia'!$B:$B, B195, '👥 Asistencia'!$E:$E, "07:00"), SUMIFS('👥 Asistencia'!$H:$H, '👥 Asistencia'!$B:$B, B195, '👥 Asistencia'!$E:$E, "20:00")), 0))</f>
        <v/>
      </c>
      <c r="F195" s="92"/>
      <c r="G195" s="92"/>
      <c r="H195" s="33" t="str">
        <f t="shared" si="4"/>
        <v/>
      </c>
      <c r="I195" s="30" t="str">
        <f t="shared" si="5"/>
        <v/>
      </c>
    </row>
    <row r="196" spans="2:9" ht="18" customHeight="1" x14ac:dyDescent="0.3">
      <c r="B196" s="26"/>
      <c r="C196" s="27"/>
      <c r="D196" s="30" t="str">
        <f>IF(B196="","",IF(COUNTIF('👥 Asistencia'!$B:$B, B196)&gt;0, IF(C196="DIA", COUNTIFS('👥 Asistencia'!$B:$B, B196, '👥 Asistencia'!$E:$E, "08:00") + COUNTIFS('👥 Asistencia'!$B:$B, B196, '👥 Asistencia'!$E:$E, "07:00"), COUNTIFS('👥 Asistencia'!$B:$B, B196, '👥 Asistencia'!$E:$E, "20:00")), 6))</f>
        <v/>
      </c>
      <c r="E196" s="34" t="str">
        <f>IF(B196="","",IF(COUNTIF('👥 Asistencia'!$B:$B, B196)&gt;0, IF(C196="DIA", SUMIFS('👥 Asistencia'!$H:$H, '👥 Asistencia'!$B:$B, B196, '👥 Asistencia'!$E:$E, "08:00") + SUMIFS('👥 Asistencia'!$H:$H, '👥 Asistencia'!$B:$B, B196, '👥 Asistencia'!$E:$E, "07:00"), SUMIFS('👥 Asistencia'!$H:$H, '👥 Asistencia'!$B:$B, B196, '👥 Asistencia'!$E:$E, "20:00")), 0))</f>
        <v/>
      </c>
      <c r="F196" s="91"/>
      <c r="G196" s="91"/>
      <c r="H196" s="33" t="str">
        <f t="shared" si="4"/>
        <v/>
      </c>
      <c r="I196" s="30" t="str">
        <f t="shared" si="5"/>
        <v/>
      </c>
    </row>
    <row r="197" spans="2:9" ht="18" customHeight="1" x14ac:dyDescent="0.3">
      <c r="B197" s="26"/>
      <c r="C197" s="27"/>
      <c r="D197" s="30" t="str">
        <f>IF(B197="","",IF(COUNTIF('👥 Asistencia'!$B:$B, B197)&gt;0, IF(C197="DIA", COUNTIFS('👥 Asistencia'!$B:$B, B197, '👥 Asistencia'!$E:$E, "08:00") + COUNTIFS('👥 Asistencia'!$B:$B, B197, '👥 Asistencia'!$E:$E, "07:00"), COUNTIFS('👥 Asistencia'!$B:$B, B197, '👥 Asistencia'!$E:$E, "20:00")), 6))</f>
        <v/>
      </c>
      <c r="E197" s="34" t="str">
        <f>IF(B197="","",IF(COUNTIF('👥 Asistencia'!$B:$B, B197)&gt;0, IF(C197="DIA", SUMIFS('👥 Asistencia'!$H:$H, '👥 Asistencia'!$B:$B, B197, '👥 Asistencia'!$E:$E, "08:00") + SUMIFS('👥 Asistencia'!$H:$H, '👥 Asistencia'!$B:$B, B197, '👥 Asistencia'!$E:$E, "07:00"), SUMIFS('👥 Asistencia'!$H:$H, '👥 Asistencia'!$B:$B, B197, '👥 Asistencia'!$E:$E, "20:00")), 0))</f>
        <v/>
      </c>
      <c r="F197" s="92"/>
      <c r="G197" s="92"/>
      <c r="H197" s="33" t="str">
        <f t="shared" ref="H197:H260" si="6">IF(B197="","",IF(ISNUMBER(B197),YEAR(B197)&amp;"-"&amp;IF(MONTH(B197)&lt;10,"0","")&amp;MONTH(B197),LEFT(B197,7)))</f>
        <v/>
      </c>
      <c r="I197" s="30" t="str">
        <f t="shared" ref="I197:I260" si="7">IF(B197="","",IF(N(F197)=0, 0, MAX(0, (F197/5) - N(G197))))</f>
        <v/>
      </c>
    </row>
    <row r="198" spans="2:9" ht="18" customHeight="1" x14ac:dyDescent="0.3">
      <c r="B198" s="26"/>
      <c r="C198" s="27"/>
      <c r="D198" s="30" t="str">
        <f>IF(B198="","",IF(COUNTIF('👥 Asistencia'!$B:$B, B198)&gt;0, IF(C198="DIA", COUNTIFS('👥 Asistencia'!$B:$B, B198, '👥 Asistencia'!$E:$E, "08:00") + COUNTIFS('👥 Asistencia'!$B:$B, B198, '👥 Asistencia'!$E:$E, "07:00"), COUNTIFS('👥 Asistencia'!$B:$B, B198, '👥 Asistencia'!$E:$E, "20:00")), 6))</f>
        <v/>
      </c>
      <c r="E198" s="34" t="str">
        <f>IF(B198="","",IF(COUNTIF('👥 Asistencia'!$B:$B, B198)&gt;0, IF(C198="DIA", SUMIFS('👥 Asistencia'!$H:$H, '👥 Asistencia'!$B:$B, B198, '👥 Asistencia'!$E:$E, "08:00") + SUMIFS('👥 Asistencia'!$H:$H, '👥 Asistencia'!$B:$B, B198, '👥 Asistencia'!$E:$E, "07:00"), SUMIFS('👥 Asistencia'!$H:$H, '👥 Asistencia'!$B:$B, B198, '👥 Asistencia'!$E:$E, "20:00")), 0))</f>
        <v/>
      </c>
      <c r="F198" s="91"/>
      <c r="G198" s="91"/>
      <c r="H198" s="33" t="str">
        <f t="shared" si="6"/>
        <v/>
      </c>
      <c r="I198" s="30" t="str">
        <f t="shared" si="7"/>
        <v/>
      </c>
    </row>
    <row r="199" spans="2:9" ht="18" customHeight="1" x14ac:dyDescent="0.3">
      <c r="B199" s="26"/>
      <c r="C199" s="27"/>
      <c r="D199" s="30" t="str">
        <f>IF(B199="","",IF(COUNTIF('👥 Asistencia'!$B:$B, B199)&gt;0, IF(C199="DIA", COUNTIFS('👥 Asistencia'!$B:$B, B199, '👥 Asistencia'!$E:$E, "08:00") + COUNTIFS('👥 Asistencia'!$B:$B, B199, '👥 Asistencia'!$E:$E, "07:00"), COUNTIFS('👥 Asistencia'!$B:$B, B199, '👥 Asistencia'!$E:$E, "20:00")), 6))</f>
        <v/>
      </c>
      <c r="E199" s="34" t="str">
        <f>IF(B199="","",IF(COUNTIF('👥 Asistencia'!$B:$B, B199)&gt;0, IF(C199="DIA", SUMIFS('👥 Asistencia'!$H:$H, '👥 Asistencia'!$B:$B, B199, '👥 Asistencia'!$E:$E, "08:00") + SUMIFS('👥 Asistencia'!$H:$H, '👥 Asistencia'!$B:$B, B199, '👥 Asistencia'!$E:$E, "07:00"), SUMIFS('👥 Asistencia'!$H:$H, '👥 Asistencia'!$B:$B, B199, '👥 Asistencia'!$E:$E, "20:00")), 0))</f>
        <v/>
      </c>
      <c r="F199" s="92"/>
      <c r="G199" s="92"/>
      <c r="H199" s="33" t="str">
        <f t="shared" si="6"/>
        <v/>
      </c>
      <c r="I199" s="30" t="str">
        <f t="shared" si="7"/>
        <v/>
      </c>
    </row>
    <row r="200" spans="2:9" ht="18" customHeight="1" x14ac:dyDescent="0.3">
      <c r="B200" s="26"/>
      <c r="C200" s="27"/>
      <c r="D200" s="30" t="str">
        <f>IF(B200="","",IF(COUNTIF('👥 Asistencia'!$B:$B, B200)&gt;0, IF(C200="DIA", COUNTIFS('👥 Asistencia'!$B:$B, B200, '👥 Asistencia'!$E:$E, "08:00") + COUNTIFS('👥 Asistencia'!$B:$B, B200, '👥 Asistencia'!$E:$E, "07:00"), COUNTIFS('👥 Asistencia'!$B:$B, B200, '👥 Asistencia'!$E:$E, "20:00")), 6))</f>
        <v/>
      </c>
      <c r="E200" s="34" t="str">
        <f>IF(B200="","",IF(COUNTIF('👥 Asistencia'!$B:$B, B200)&gt;0, IF(C200="DIA", SUMIFS('👥 Asistencia'!$H:$H, '👥 Asistencia'!$B:$B, B200, '👥 Asistencia'!$E:$E, "08:00") + SUMIFS('👥 Asistencia'!$H:$H, '👥 Asistencia'!$B:$B, B200, '👥 Asistencia'!$E:$E, "07:00"), SUMIFS('👥 Asistencia'!$H:$H, '👥 Asistencia'!$B:$B, B200, '👥 Asistencia'!$E:$E, "20:00")), 0))</f>
        <v/>
      </c>
      <c r="F200" s="91"/>
      <c r="G200" s="91"/>
      <c r="H200" s="33" t="str">
        <f t="shared" si="6"/>
        <v/>
      </c>
      <c r="I200" s="30" t="str">
        <f t="shared" si="7"/>
        <v/>
      </c>
    </row>
    <row r="201" spans="2:9" ht="18" customHeight="1" x14ac:dyDescent="0.3">
      <c r="B201" s="26"/>
      <c r="C201" s="27"/>
      <c r="D201" s="30" t="str">
        <f>IF(B201="","",IF(COUNTIF('👥 Asistencia'!$B:$B, B201)&gt;0, IF(C201="DIA", COUNTIFS('👥 Asistencia'!$B:$B, B201, '👥 Asistencia'!$E:$E, "08:00") + COUNTIFS('👥 Asistencia'!$B:$B, B201, '👥 Asistencia'!$E:$E, "07:00"), COUNTIFS('👥 Asistencia'!$B:$B, B201, '👥 Asistencia'!$E:$E, "20:00")), 6))</f>
        <v/>
      </c>
      <c r="E201" s="34" t="str">
        <f>IF(B201="","",IF(COUNTIF('👥 Asistencia'!$B:$B, B201)&gt;0, IF(C201="DIA", SUMIFS('👥 Asistencia'!$H:$H, '👥 Asistencia'!$B:$B, B201, '👥 Asistencia'!$E:$E, "08:00") + SUMIFS('👥 Asistencia'!$H:$H, '👥 Asistencia'!$B:$B, B201, '👥 Asistencia'!$E:$E, "07:00"), SUMIFS('👥 Asistencia'!$H:$H, '👥 Asistencia'!$B:$B, B201, '👥 Asistencia'!$E:$E, "20:00")), 0))</f>
        <v/>
      </c>
      <c r="F201" s="92"/>
      <c r="G201" s="92"/>
      <c r="H201" s="33" t="str">
        <f t="shared" si="6"/>
        <v/>
      </c>
      <c r="I201" s="30" t="str">
        <f t="shared" si="7"/>
        <v/>
      </c>
    </row>
    <row r="202" spans="2:9" ht="18" customHeight="1" x14ac:dyDescent="0.3">
      <c r="B202" s="26"/>
      <c r="C202" s="27"/>
      <c r="D202" s="30" t="str">
        <f>IF(B202="","",IF(COUNTIF('👥 Asistencia'!$B:$B, B202)&gt;0, IF(C202="DIA", COUNTIFS('👥 Asistencia'!$B:$B, B202, '👥 Asistencia'!$E:$E, "08:00") + COUNTIFS('👥 Asistencia'!$B:$B, B202, '👥 Asistencia'!$E:$E, "07:00"), COUNTIFS('👥 Asistencia'!$B:$B, B202, '👥 Asistencia'!$E:$E, "20:00")), 6))</f>
        <v/>
      </c>
      <c r="E202" s="34" t="str">
        <f>IF(B202="","",IF(COUNTIF('👥 Asistencia'!$B:$B, B202)&gt;0, IF(C202="DIA", SUMIFS('👥 Asistencia'!$H:$H, '👥 Asistencia'!$B:$B, B202, '👥 Asistencia'!$E:$E, "08:00") + SUMIFS('👥 Asistencia'!$H:$H, '👥 Asistencia'!$B:$B, B202, '👥 Asistencia'!$E:$E, "07:00"), SUMIFS('👥 Asistencia'!$H:$H, '👥 Asistencia'!$B:$B, B202, '👥 Asistencia'!$E:$E, "20:00")), 0))</f>
        <v/>
      </c>
      <c r="F202" s="91"/>
      <c r="G202" s="91"/>
      <c r="H202" s="33" t="str">
        <f t="shared" si="6"/>
        <v/>
      </c>
      <c r="I202" s="30" t="str">
        <f t="shared" si="7"/>
        <v/>
      </c>
    </row>
    <row r="203" spans="2:9" ht="18" customHeight="1" x14ac:dyDescent="0.3">
      <c r="B203" s="26"/>
      <c r="C203" s="27"/>
      <c r="D203" s="30" t="str">
        <f>IF(B203="","",IF(COUNTIF('👥 Asistencia'!$B:$B, B203)&gt;0, IF(C203="DIA", COUNTIFS('👥 Asistencia'!$B:$B, B203, '👥 Asistencia'!$E:$E, "08:00") + COUNTIFS('👥 Asistencia'!$B:$B, B203, '👥 Asistencia'!$E:$E, "07:00"), COUNTIFS('👥 Asistencia'!$B:$B, B203, '👥 Asistencia'!$E:$E, "20:00")), 6))</f>
        <v/>
      </c>
      <c r="E203" s="34" t="str">
        <f>IF(B203="","",IF(COUNTIF('👥 Asistencia'!$B:$B, B203)&gt;0, IF(C203="DIA", SUMIFS('👥 Asistencia'!$H:$H, '👥 Asistencia'!$B:$B, B203, '👥 Asistencia'!$E:$E, "08:00") + SUMIFS('👥 Asistencia'!$H:$H, '👥 Asistencia'!$B:$B, B203, '👥 Asistencia'!$E:$E, "07:00"), SUMIFS('👥 Asistencia'!$H:$H, '👥 Asistencia'!$B:$B, B203, '👥 Asistencia'!$E:$E, "20:00")), 0))</f>
        <v/>
      </c>
      <c r="F203" s="92"/>
      <c r="G203" s="92"/>
      <c r="H203" s="33" t="str">
        <f t="shared" si="6"/>
        <v/>
      </c>
      <c r="I203" s="30" t="str">
        <f t="shared" si="7"/>
        <v/>
      </c>
    </row>
    <row r="204" spans="2:9" ht="18" customHeight="1" x14ac:dyDescent="0.3">
      <c r="B204" s="26"/>
      <c r="C204" s="27"/>
      <c r="D204" s="30" t="str">
        <f>IF(B204="","",IF(COUNTIF('👥 Asistencia'!$B:$B, B204)&gt;0, IF(C204="DIA", COUNTIFS('👥 Asistencia'!$B:$B, B204, '👥 Asistencia'!$E:$E, "08:00") + COUNTIFS('👥 Asistencia'!$B:$B, B204, '👥 Asistencia'!$E:$E, "07:00"), COUNTIFS('👥 Asistencia'!$B:$B, B204, '👥 Asistencia'!$E:$E, "20:00")), 6))</f>
        <v/>
      </c>
      <c r="E204" s="34" t="str">
        <f>IF(B204="","",IF(COUNTIF('👥 Asistencia'!$B:$B, B204)&gt;0, IF(C204="DIA", SUMIFS('👥 Asistencia'!$H:$H, '👥 Asistencia'!$B:$B, B204, '👥 Asistencia'!$E:$E, "08:00") + SUMIFS('👥 Asistencia'!$H:$H, '👥 Asistencia'!$B:$B, B204, '👥 Asistencia'!$E:$E, "07:00"), SUMIFS('👥 Asistencia'!$H:$H, '👥 Asistencia'!$B:$B, B204, '👥 Asistencia'!$E:$E, "20:00")), 0))</f>
        <v/>
      </c>
      <c r="F204" s="91"/>
      <c r="G204" s="91"/>
      <c r="H204" s="33" t="str">
        <f t="shared" si="6"/>
        <v/>
      </c>
      <c r="I204" s="30" t="str">
        <f t="shared" si="7"/>
        <v/>
      </c>
    </row>
    <row r="205" spans="2:9" ht="18" customHeight="1" x14ac:dyDescent="0.3">
      <c r="B205" s="26"/>
      <c r="C205" s="27"/>
      <c r="D205" s="30" t="str">
        <f>IF(B205="","",IF(COUNTIF('👥 Asistencia'!$B:$B, B205)&gt;0, IF(C205="DIA", COUNTIFS('👥 Asistencia'!$B:$B, B205, '👥 Asistencia'!$E:$E, "08:00") + COUNTIFS('👥 Asistencia'!$B:$B, B205, '👥 Asistencia'!$E:$E, "07:00"), COUNTIFS('👥 Asistencia'!$B:$B, B205, '👥 Asistencia'!$E:$E, "20:00")), 6))</f>
        <v/>
      </c>
      <c r="E205" s="34" t="str">
        <f>IF(B205="","",IF(COUNTIF('👥 Asistencia'!$B:$B, B205)&gt;0, IF(C205="DIA", SUMIFS('👥 Asistencia'!$H:$H, '👥 Asistencia'!$B:$B, B205, '👥 Asistencia'!$E:$E, "08:00") + SUMIFS('👥 Asistencia'!$H:$H, '👥 Asistencia'!$B:$B, B205, '👥 Asistencia'!$E:$E, "07:00"), SUMIFS('👥 Asistencia'!$H:$H, '👥 Asistencia'!$B:$B, B205, '👥 Asistencia'!$E:$E, "20:00")), 0))</f>
        <v/>
      </c>
      <c r="F205" s="92"/>
      <c r="G205" s="92"/>
      <c r="H205" s="33" t="str">
        <f t="shared" si="6"/>
        <v/>
      </c>
      <c r="I205" s="30" t="str">
        <f t="shared" si="7"/>
        <v/>
      </c>
    </row>
    <row r="206" spans="2:9" ht="18" customHeight="1" x14ac:dyDescent="0.3">
      <c r="B206" s="26"/>
      <c r="C206" s="27"/>
      <c r="D206" s="30" t="str">
        <f>IF(B206="","",IF(COUNTIF('👥 Asistencia'!$B:$B, B206)&gt;0, IF(C206="DIA", COUNTIFS('👥 Asistencia'!$B:$B, B206, '👥 Asistencia'!$E:$E, "08:00") + COUNTIFS('👥 Asistencia'!$B:$B, B206, '👥 Asistencia'!$E:$E, "07:00"), COUNTIFS('👥 Asistencia'!$B:$B, B206, '👥 Asistencia'!$E:$E, "20:00")), 6))</f>
        <v/>
      </c>
      <c r="E206" s="34" t="str">
        <f>IF(B206="","",IF(COUNTIF('👥 Asistencia'!$B:$B, B206)&gt;0, IF(C206="DIA", SUMIFS('👥 Asistencia'!$H:$H, '👥 Asistencia'!$B:$B, B206, '👥 Asistencia'!$E:$E, "08:00") + SUMIFS('👥 Asistencia'!$H:$H, '👥 Asistencia'!$B:$B, B206, '👥 Asistencia'!$E:$E, "07:00"), SUMIFS('👥 Asistencia'!$H:$H, '👥 Asistencia'!$B:$B, B206, '👥 Asistencia'!$E:$E, "20:00")), 0))</f>
        <v/>
      </c>
      <c r="F206" s="91"/>
      <c r="G206" s="91"/>
      <c r="H206" s="33" t="str">
        <f t="shared" si="6"/>
        <v/>
      </c>
      <c r="I206" s="30" t="str">
        <f t="shared" si="7"/>
        <v/>
      </c>
    </row>
    <row r="207" spans="2:9" ht="18" customHeight="1" x14ac:dyDescent="0.3">
      <c r="B207" s="26"/>
      <c r="C207" s="27"/>
      <c r="D207" s="30" t="str">
        <f>IF(B207="","",IF(COUNTIF('👥 Asistencia'!$B:$B, B207)&gt;0, IF(C207="DIA", COUNTIFS('👥 Asistencia'!$B:$B, B207, '👥 Asistencia'!$E:$E, "08:00") + COUNTIFS('👥 Asistencia'!$B:$B, B207, '👥 Asistencia'!$E:$E, "07:00"), COUNTIFS('👥 Asistencia'!$B:$B, B207, '👥 Asistencia'!$E:$E, "20:00")), 6))</f>
        <v/>
      </c>
      <c r="E207" s="34" t="str">
        <f>IF(B207="","",IF(COUNTIF('👥 Asistencia'!$B:$B, B207)&gt;0, IF(C207="DIA", SUMIFS('👥 Asistencia'!$H:$H, '👥 Asistencia'!$B:$B, B207, '👥 Asistencia'!$E:$E, "08:00") + SUMIFS('👥 Asistencia'!$H:$H, '👥 Asistencia'!$B:$B, B207, '👥 Asistencia'!$E:$E, "07:00"), SUMIFS('👥 Asistencia'!$H:$H, '👥 Asistencia'!$B:$B, B207, '👥 Asistencia'!$E:$E, "20:00")), 0))</f>
        <v/>
      </c>
      <c r="F207" s="92"/>
      <c r="G207" s="92"/>
      <c r="H207" s="33" t="str">
        <f t="shared" si="6"/>
        <v/>
      </c>
      <c r="I207" s="30" t="str">
        <f t="shared" si="7"/>
        <v/>
      </c>
    </row>
    <row r="208" spans="2:9" ht="18" customHeight="1" x14ac:dyDescent="0.3">
      <c r="B208" s="26"/>
      <c r="C208" s="27"/>
      <c r="D208" s="30" t="str">
        <f>IF(B208="","",IF(COUNTIF('👥 Asistencia'!$B:$B, B208)&gt;0, IF(C208="DIA", COUNTIFS('👥 Asistencia'!$B:$B, B208, '👥 Asistencia'!$E:$E, "08:00") + COUNTIFS('👥 Asistencia'!$B:$B, B208, '👥 Asistencia'!$E:$E, "07:00"), COUNTIFS('👥 Asistencia'!$B:$B, B208, '👥 Asistencia'!$E:$E, "20:00")), 6))</f>
        <v/>
      </c>
      <c r="E208" s="34" t="str">
        <f>IF(B208="","",IF(COUNTIF('👥 Asistencia'!$B:$B, B208)&gt;0, IF(C208="DIA", SUMIFS('👥 Asistencia'!$H:$H, '👥 Asistencia'!$B:$B, B208, '👥 Asistencia'!$E:$E, "08:00") + SUMIFS('👥 Asistencia'!$H:$H, '👥 Asistencia'!$B:$B, B208, '👥 Asistencia'!$E:$E, "07:00"), SUMIFS('👥 Asistencia'!$H:$H, '👥 Asistencia'!$B:$B, B208, '👥 Asistencia'!$E:$E, "20:00")), 0))</f>
        <v/>
      </c>
      <c r="F208" s="91"/>
      <c r="G208" s="91"/>
      <c r="H208" s="33" t="str">
        <f t="shared" si="6"/>
        <v/>
      </c>
      <c r="I208" s="30" t="str">
        <f t="shared" si="7"/>
        <v/>
      </c>
    </row>
    <row r="209" spans="2:9" ht="18" customHeight="1" x14ac:dyDescent="0.3">
      <c r="B209" s="26"/>
      <c r="C209" s="27"/>
      <c r="D209" s="30" t="str">
        <f>IF(B209="","",IF(COUNTIF('👥 Asistencia'!$B:$B, B209)&gt;0, IF(C209="DIA", COUNTIFS('👥 Asistencia'!$B:$B, B209, '👥 Asistencia'!$E:$E, "08:00") + COUNTIFS('👥 Asistencia'!$B:$B, B209, '👥 Asistencia'!$E:$E, "07:00"), COUNTIFS('👥 Asistencia'!$B:$B, B209, '👥 Asistencia'!$E:$E, "20:00")), 6))</f>
        <v/>
      </c>
      <c r="E209" s="34" t="str">
        <f>IF(B209="","",IF(COUNTIF('👥 Asistencia'!$B:$B, B209)&gt;0, IF(C209="DIA", SUMIFS('👥 Asistencia'!$H:$H, '👥 Asistencia'!$B:$B, B209, '👥 Asistencia'!$E:$E, "08:00") + SUMIFS('👥 Asistencia'!$H:$H, '👥 Asistencia'!$B:$B, B209, '👥 Asistencia'!$E:$E, "07:00"), SUMIFS('👥 Asistencia'!$H:$H, '👥 Asistencia'!$B:$B, B209, '👥 Asistencia'!$E:$E, "20:00")), 0))</f>
        <v/>
      </c>
      <c r="F209" s="92"/>
      <c r="G209" s="92"/>
      <c r="H209" s="33" t="str">
        <f t="shared" si="6"/>
        <v/>
      </c>
      <c r="I209" s="30" t="str">
        <f t="shared" si="7"/>
        <v/>
      </c>
    </row>
    <row r="210" spans="2:9" ht="18" customHeight="1" x14ac:dyDescent="0.3">
      <c r="B210" s="26"/>
      <c r="C210" s="27"/>
      <c r="D210" s="30" t="str">
        <f>IF(B210="","",IF(COUNTIF('👥 Asistencia'!$B:$B, B210)&gt;0, IF(C210="DIA", COUNTIFS('👥 Asistencia'!$B:$B, B210, '👥 Asistencia'!$E:$E, "08:00") + COUNTIFS('👥 Asistencia'!$B:$B, B210, '👥 Asistencia'!$E:$E, "07:00"), COUNTIFS('👥 Asistencia'!$B:$B, B210, '👥 Asistencia'!$E:$E, "20:00")), 6))</f>
        <v/>
      </c>
      <c r="E210" s="34" t="str">
        <f>IF(B210="","",IF(COUNTIF('👥 Asistencia'!$B:$B, B210)&gt;0, IF(C210="DIA", SUMIFS('👥 Asistencia'!$H:$H, '👥 Asistencia'!$B:$B, B210, '👥 Asistencia'!$E:$E, "08:00") + SUMIFS('👥 Asistencia'!$H:$H, '👥 Asistencia'!$B:$B, B210, '👥 Asistencia'!$E:$E, "07:00"), SUMIFS('👥 Asistencia'!$H:$H, '👥 Asistencia'!$B:$B, B210, '👥 Asistencia'!$E:$E, "20:00")), 0))</f>
        <v/>
      </c>
      <c r="F210" s="91"/>
      <c r="G210" s="91"/>
      <c r="H210" s="33" t="str">
        <f t="shared" si="6"/>
        <v/>
      </c>
      <c r="I210" s="30" t="str">
        <f t="shared" si="7"/>
        <v/>
      </c>
    </row>
    <row r="211" spans="2:9" ht="18" customHeight="1" x14ac:dyDescent="0.3">
      <c r="B211" s="26"/>
      <c r="C211" s="27"/>
      <c r="D211" s="30" t="str">
        <f>IF(B211="","",IF(COUNTIF('👥 Asistencia'!$B:$B, B211)&gt;0, IF(C211="DIA", COUNTIFS('👥 Asistencia'!$B:$B, B211, '👥 Asistencia'!$E:$E, "08:00") + COUNTIFS('👥 Asistencia'!$B:$B, B211, '👥 Asistencia'!$E:$E, "07:00"), COUNTIFS('👥 Asistencia'!$B:$B, B211, '👥 Asistencia'!$E:$E, "20:00")), 6))</f>
        <v/>
      </c>
      <c r="E211" s="34" t="str">
        <f>IF(B211="","",IF(COUNTIF('👥 Asistencia'!$B:$B, B211)&gt;0, IF(C211="DIA", SUMIFS('👥 Asistencia'!$H:$H, '👥 Asistencia'!$B:$B, B211, '👥 Asistencia'!$E:$E, "08:00") + SUMIFS('👥 Asistencia'!$H:$H, '👥 Asistencia'!$B:$B, B211, '👥 Asistencia'!$E:$E, "07:00"), SUMIFS('👥 Asistencia'!$H:$H, '👥 Asistencia'!$B:$B, B211, '👥 Asistencia'!$E:$E, "20:00")), 0))</f>
        <v/>
      </c>
      <c r="F211" s="92"/>
      <c r="G211" s="92"/>
      <c r="H211" s="33" t="str">
        <f t="shared" si="6"/>
        <v/>
      </c>
      <c r="I211" s="30" t="str">
        <f t="shared" si="7"/>
        <v/>
      </c>
    </row>
    <row r="212" spans="2:9" ht="18" customHeight="1" x14ac:dyDescent="0.3">
      <c r="B212" s="26"/>
      <c r="C212" s="27"/>
      <c r="D212" s="30" t="str">
        <f>IF(B212="","",IF(COUNTIF('👥 Asistencia'!$B:$B, B212)&gt;0, IF(C212="DIA", COUNTIFS('👥 Asistencia'!$B:$B, B212, '👥 Asistencia'!$E:$E, "08:00") + COUNTIFS('👥 Asistencia'!$B:$B, B212, '👥 Asistencia'!$E:$E, "07:00"), COUNTIFS('👥 Asistencia'!$B:$B, B212, '👥 Asistencia'!$E:$E, "20:00")), 6))</f>
        <v/>
      </c>
      <c r="E212" s="34" t="str">
        <f>IF(B212="","",IF(COUNTIF('👥 Asistencia'!$B:$B, B212)&gt;0, IF(C212="DIA", SUMIFS('👥 Asistencia'!$H:$H, '👥 Asistencia'!$B:$B, B212, '👥 Asistencia'!$E:$E, "08:00") + SUMIFS('👥 Asistencia'!$H:$H, '👥 Asistencia'!$B:$B, B212, '👥 Asistencia'!$E:$E, "07:00"), SUMIFS('👥 Asistencia'!$H:$H, '👥 Asistencia'!$B:$B, B212, '👥 Asistencia'!$E:$E, "20:00")), 0))</f>
        <v/>
      </c>
      <c r="F212" s="91"/>
      <c r="G212" s="91"/>
      <c r="H212" s="33" t="str">
        <f t="shared" si="6"/>
        <v/>
      </c>
      <c r="I212" s="30" t="str">
        <f t="shared" si="7"/>
        <v/>
      </c>
    </row>
    <row r="213" spans="2:9" ht="18" customHeight="1" x14ac:dyDescent="0.3">
      <c r="B213" s="26"/>
      <c r="C213" s="27"/>
      <c r="D213" s="30" t="str">
        <f>IF(B213="","",IF(COUNTIF('👥 Asistencia'!$B:$B, B213)&gt;0, IF(C213="DIA", COUNTIFS('👥 Asistencia'!$B:$B, B213, '👥 Asistencia'!$E:$E, "08:00") + COUNTIFS('👥 Asistencia'!$B:$B, B213, '👥 Asistencia'!$E:$E, "07:00"), COUNTIFS('👥 Asistencia'!$B:$B, B213, '👥 Asistencia'!$E:$E, "20:00")), 6))</f>
        <v/>
      </c>
      <c r="E213" s="34" t="str">
        <f>IF(B213="","",IF(COUNTIF('👥 Asistencia'!$B:$B, B213)&gt;0, IF(C213="DIA", SUMIFS('👥 Asistencia'!$H:$H, '👥 Asistencia'!$B:$B, B213, '👥 Asistencia'!$E:$E, "08:00") + SUMIFS('👥 Asistencia'!$H:$H, '👥 Asistencia'!$B:$B, B213, '👥 Asistencia'!$E:$E, "07:00"), SUMIFS('👥 Asistencia'!$H:$H, '👥 Asistencia'!$B:$B, B213, '👥 Asistencia'!$E:$E, "20:00")), 0))</f>
        <v/>
      </c>
      <c r="F213" s="92"/>
      <c r="G213" s="92"/>
      <c r="H213" s="33" t="str">
        <f t="shared" si="6"/>
        <v/>
      </c>
      <c r="I213" s="30" t="str">
        <f t="shared" si="7"/>
        <v/>
      </c>
    </row>
    <row r="214" spans="2:9" ht="18" customHeight="1" x14ac:dyDescent="0.3">
      <c r="B214" s="26"/>
      <c r="C214" s="27"/>
      <c r="D214" s="30" t="str">
        <f>IF(B214="","",IF(COUNTIF('👥 Asistencia'!$B:$B, B214)&gt;0, IF(C214="DIA", COUNTIFS('👥 Asistencia'!$B:$B, B214, '👥 Asistencia'!$E:$E, "08:00") + COUNTIFS('👥 Asistencia'!$B:$B, B214, '👥 Asistencia'!$E:$E, "07:00"), COUNTIFS('👥 Asistencia'!$B:$B, B214, '👥 Asistencia'!$E:$E, "20:00")), 6))</f>
        <v/>
      </c>
      <c r="E214" s="34" t="str">
        <f>IF(B214="","",IF(COUNTIF('👥 Asistencia'!$B:$B, B214)&gt;0, IF(C214="DIA", SUMIFS('👥 Asistencia'!$H:$H, '👥 Asistencia'!$B:$B, B214, '👥 Asistencia'!$E:$E, "08:00") + SUMIFS('👥 Asistencia'!$H:$H, '👥 Asistencia'!$B:$B, B214, '👥 Asistencia'!$E:$E, "07:00"), SUMIFS('👥 Asistencia'!$H:$H, '👥 Asistencia'!$B:$B, B214, '👥 Asistencia'!$E:$E, "20:00")), 0))</f>
        <v/>
      </c>
      <c r="F214" s="91"/>
      <c r="G214" s="91"/>
      <c r="H214" s="33" t="str">
        <f t="shared" si="6"/>
        <v/>
      </c>
      <c r="I214" s="30" t="str">
        <f t="shared" si="7"/>
        <v/>
      </c>
    </row>
    <row r="215" spans="2:9" ht="18" customHeight="1" x14ac:dyDescent="0.3">
      <c r="B215" s="26"/>
      <c r="C215" s="27"/>
      <c r="D215" s="30" t="str">
        <f>IF(B215="","",IF(COUNTIF('👥 Asistencia'!$B:$B, B215)&gt;0, IF(C215="DIA", COUNTIFS('👥 Asistencia'!$B:$B, B215, '👥 Asistencia'!$E:$E, "08:00") + COUNTIFS('👥 Asistencia'!$B:$B, B215, '👥 Asistencia'!$E:$E, "07:00"), COUNTIFS('👥 Asistencia'!$B:$B, B215, '👥 Asistencia'!$E:$E, "20:00")), 6))</f>
        <v/>
      </c>
      <c r="E215" s="34" t="str">
        <f>IF(B215="","",IF(COUNTIF('👥 Asistencia'!$B:$B, B215)&gt;0, IF(C215="DIA", SUMIFS('👥 Asistencia'!$H:$H, '👥 Asistencia'!$B:$B, B215, '👥 Asistencia'!$E:$E, "08:00") + SUMIFS('👥 Asistencia'!$H:$H, '👥 Asistencia'!$B:$B, B215, '👥 Asistencia'!$E:$E, "07:00"), SUMIFS('👥 Asistencia'!$H:$H, '👥 Asistencia'!$B:$B, B215, '👥 Asistencia'!$E:$E, "20:00")), 0))</f>
        <v/>
      </c>
      <c r="F215" s="92"/>
      <c r="G215" s="92"/>
      <c r="H215" s="33" t="str">
        <f t="shared" si="6"/>
        <v/>
      </c>
      <c r="I215" s="30" t="str">
        <f t="shared" si="7"/>
        <v/>
      </c>
    </row>
    <row r="216" spans="2:9" ht="18" customHeight="1" x14ac:dyDescent="0.3">
      <c r="B216" s="26"/>
      <c r="C216" s="27"/>
      <c r="D216" s="30" t="str">
        <f>IF(B216="","",IF(COUNTIF('👥 Asistencia'!$B:$B, B216)&gt;0, IF(C216="DIA", COUNTIFS('👥 Asistencia'!$B:$B, B216, '👥 Asistencia'!$E:$E, "08:00") + COUNTIFS('👥 Asistencia'!$B:$B, B216, '👥 Asistencia'!$E:$E, "07:00"), COUNTIFS('👥 Asistencia'!$B:$B, B216, '👥 Asistencia'!$E:$E, "20:00")), 6))</f>
        <v/>
      </c>
      <c r="E216" s="34" t="str">
        <f>IF(B216="","",IF(COUNTIF('👥 Asistencia'!$B:$B, B216)&gt;0, IF(C216="DIA", SUMIFS('👥 Asistencia'!$H:$H, '👥 Asistencia'!$B:$B, B216, '👥 Asistencia'!$E:$E, "08:00") + SUMIFS('👥 Asistencia'!$H:$H, '👥 Asistencia'!$B:$B, B216, '👥 Asistencia'!$E:$E, "07:00"), SUMIFS('👥 Asistencia'!$H:$H, '👥 Asistencia'!$B:$B, B216, '👥 Asistencia'!$E:$E, "20:00")), 0))</f>
        <v/>
      </c>
      <c r="F216" s="91"/>
      <c r="G216" s="91"/>
      <c r="H216" s="33" t="str">
        <f t="shared" si="6"/>
        <v/>
      </c>
      <c r="I216" s="30" t="str">
        <f t="shared" si="7"/>
        <v/>
      </c>
    </row>
    <row r="217" spans="2:9" ht="18" customHeight="1" x14ac:dyDescent="0.3">
      <c r="B217" s="26"/>
      <c r="C217" s="27"/>
      <c r="D217" s="30" t="str">
        <f>IF(B217="","",IF(COUNTIF('👥 Asistencia'!$B:$B, B217)&gt;0, IF(C217="DIA", COUNTIFS('👥 Asistencia'!$B:$B, B217, '👥 Asistencia'!$E:$E, "08:00") + COUNTIFS('👥 Asistencia'!$B:$B, B217, '👥 Asistencia'!$E:$E, "07:00"), COUNTIFS('👥 Asistencia'!$B:$B, B217, '👥 Asistencia'!$E:$E, "20:00")), 6))</f>
        <v/>
      </c>
      <c r="E217" s="34" t="str">
        <f>IF(B217="","",IF(COUNTIF('👥 Asistencia'!$B:$B, B217)&gt;0, IF(C217="DIA", SUMIFS('👥 Asistencia'!$H:$H, '👥 Asistencia'!$B:$B, B217, '👥 Asistencia'!$E:$E, "08:00") + SUMIFS('👥 Asistencia'!$H:$H, '👥 Asistencia'!$B:$B, B217, '👥 Asistencia'!$E:$E, "07:00"), SUMIFS('👥 Asistencia'!$H:$H, '👥 Asistencia'!$B:$B, B217, '👥 Asistencia'!$E:$E, "20:00")), 0))</f>
        <v/>
      </c>
      <c r="F217" s="92"/>
      <c r="G217" s="92"/>
      <c r="H217" s="33" t="str">
        <f t="shared" si="6"/>
        <v/>
      </c>
      <c r="I217" s="30" t="str">
        <f t="shared" si="7"/>
        <v/>
      </c>
    </row>
    <row r="218" spans="2:9" ht="18" customHeight="1" x14ac:dyDescent="0.3">
      <c r="B218" s="26"/>
      <c r="C218" s="27"/>
      <c r="D218" s="30" t="str">
        <f>IF(B218="","",IF(COUNTIF('👥 Asistencia'!$B:$B, B218)&gt;0, IF(C218="DIA", COUNTIFS('👥 Asistencia'!$B:$B, B218, '👥 Asistencia'!$E:$E, "08:00") + COUNTIFS('👥 Asistencia'!$B:$B, B218, '👥 Asistencia'!$E:$E, "07:00"), COUNTIFS('👥 Asistencia'!$B:$B, B218, '👥 Asistencia'!$E:$E, "20:00")), 6))</f>
        <v/>
      </c>
      <c r="E218" s="34" t="str">
        <f>IF(B218="","",IF(COUNTIF('👥 Asistencia'!$B:$B, B218)&gt;0, IF(C218="DIA", SUMIFS('👥 Asistencia'!$H:$H, '👥 Asistencia'!$B:$B, B218, '👥 Asistencia'!$E:$E, "08:00") + SUMIFS('👥 Asistencia'!$H:$H, '👥 Asistencia'!$B:$B, B218, '👥 Asistencia'!$E:$E, "07:00"), SUMIFS('👥 Asistencia'!$H:$H, '👥 Asistencia'!$B:$B, B218, '👥 Asistencia'!$E:$E, "20:00")), 0))</f>
        <v/>
      </c>
      <c r="F218" s="91"/>
      <c r="G218" s="91"/>
      <c r="H218" s="33" t="str">
        <f t="shared" si="6"/>
        <v/>
      </c>
      <c r="I218" s="30" t="str">
        <f t="shared" si="7"/>
        <v/>
      </c>
    </row>
    <row r="219" spans="2:9" ht="18" customHeight="1" x14ac:dyDescent="0.3">
      <c r="B219" s="26"/>
      <c r="C219" s="27"/>
      <c r="D219" s="30" t="str">
        <f>IF(B219="","",IF(COUNTIF('👥 Asistencia'!$B:$B, B219)&gt;0, IF(C219="DIA", COUNTIFS('👥 Asistencia'!$B:$B, B219, '👥 Asistencia'!$E:$E, "08:00") + COUNTIFS('👥 Asistencia'!$B:$B, B219, '👥 Asistencia'!$E:$E, "07:00"), COUNTIFS('👥 Asistencia'!$B:$B, B219, '👥 Asistencia'!$E:$E, "20:00")), 6))</f>
        <v/>
      </c>
      <c r="E219" s="34" t="str">
        <f>IF(B219="","",IF(COUNTIF('👥 Asistencia'!$B:$B, B219)&gt;0, IF(C219="DIA", SUMIFS('👥 Asistencia'!$H:$H, '👥 Asistencia'!$B:$B, B219, '👥 Asistencia'!$E:$E, "08:00") + SUMIFS('👥 Asistencia'!$H:$H, '👥 Asistencia'!$B:$B, B219, '👥 Asistencia'!$E:$E, "07:00"), SUMIFS('👥 Asistencia'!$H:$H, '👥 Asistencia'!$B:$B, B219, '👥 Asistencia'!$E:$E, "20:00")), 0))</f>
        <v/>
      </c>
      <c r="F219" s="92"/>
      <c r="G219" s="92"/>
      <c r="H219" s="33" t="str">
        <f t="shared" si="6"/>
        <v/>
      </c>
      <c r="I219" s="30" t="str">
        <f t="shared" si="7"/>
        <v/>
      </c>
    </row>
    <row r="220" spans="2:9" ht="18" customHeight="1" x14ac:dyDescent="0.3">
      <c r="B220" s="26"/>
      <c r="C220" s="27"/>
      <c r="D220" s="30" t="str">
        <f>IF(B220="","",IF(COUNTIF('👥 Asistencia'!$B:$B, B220)&gt;0, IF(C220="DIA", COUNTIFS('👥 Asistencia'!$B:$B, B220, '👥 Asistencia'!$E:$E, "08:00") + COUNTIFS('👥 Asistencia'!$B:$B, B220, '👥 Asistencia'!$E:$E, "07:00"), COUNTIFS('👥 Asistencia'!$B:$B, B220, '👥 Asistencia'!$E:$E, "20:00")), 6))</f>
        <v/>
      </c>
      <c r="E220" s="34" t="str">
        <f>IF(B220="","",IF(COUNTIF('👥 Asistencia'!$B:$B, B220)&gt;0, IF(C220="DIA", SUMIFS('👥 Asistencia'!$H:$H, '👥 Asistencia'!$B:$B, B220, '👥 Asistencia'!$E:$E, "08:00") + SUMIFS('👥 Asistencia'!$H:$H, '👥 Asistencia'!$B:$B, B220, '👥 Asistencia'!$E:$E, "07:00"), SUMIFS('👥 Asistencia'!$H:$H, '👥 Asistencia'!$B:$B, B220, '👥 Asistencia'!$E:$E, "20:00")), 0))</f>
        <v/>
      </c>
      <c r="F220" s="91"/>
      <c r="G220" s="91"/>
      <c r="H220" s="33" t="str">
        <f t="shared" si="6"/>
        <v/>
      </c>
      <c r="I220" s="30" t="str">
        <f t="shared" si="7"/>
        <v/>
      </c>
    </row>
    <row r="221" spans="2:9" ht="18" customHeight="1" x14ac:dyDescent="0.3">
      <c r="B221" s="26"/>
      <c r="C221" s="27"/>
      <c r="D221" s="30" t="str">
        <f>IF(B221="","",IF(COUNTIF('👥 Asistencia'!$B:$B, B221)&gt;0, IF(C221="DIA", COUNTIFS('👥 Asistencia'!$B:$B, B221, '👥 Asistencia'!$E:$E, "08:00") + COUNTIFS('👥 Asistencia'!$B:$B, B221, '👥 Asistencia'!$E:$E, "07:00"), COUNTIFS('👥 Asistencia'!$B:$B, B221, '👥 Asistencia'!$E:$E, "20:00")), 6))</f>
        <v/>
      </c>
      <c r="E221" s="34" t="str">
        <f>IF(B221="","",IF(COUNTIF('👥 Asistencia'!$B:$B, B221)&gt;0, IF(C221="DIA", SUMIFS('👥 Asistencia'!$H:$H, '👥 Asistencia'!$B:$B, B221, '👥 Asistencia'!$E:$E, "08:00") + SUMIFS('👥 Asistencia'!$H:$H, '👥 Asistencia'!$B:$B, B221, '👥 Asistencia'!$E:$E, "07:00"), SUMIFS('👥 Asistencia'!$H:$H, '👥 Asistencia'!$B:$B, B221, '👥 Asistencia'!$E:$E, "20:00")), 0))</f>
        <v/>
      </c>
      <c r="F221" s="92"/>
      <c r="G221" s="92"/>
      <c r="H221" s="33" t="str">
        <f t="shared" si="6"/>
        <v/>
      </c>
      <c r="I221" s="30" t="str">
        <f t="shared" si="7"/>
        <v/>
      </c>
    </row>
    <row r="222" spans="2:9" ht="18" customHeight="1" x14ac:dyDescent="0.3">
      <c r="B222" s="26"/>
      <c r="C222" s="27"/>
      <c r="D222" s="30" t="str">
        <f>IF(B222="","",IF(COUNTIF('👥 Asistencia'!$B:$B, B222)&gt;0, IF(C222="DIA", COUNTIFS('👥 Asistencia'!$B:$B, B222, '👥 Asistencia'!$E:$E, "08:00") + COUNTIFS('👥 Asistencia'!$B:$B, B222, '👥 Asistencia'!$E:$E, "07:00"), COUNTIFS('👥 Asistencia'!$B:$B, B222, '👥 Asistencia'!$E:$E, "20:00")), 6))</f>
        <v/>
      </c>
      <c r="E222" s="34" t="str">
        <f>IF(B222="","",IF(COUNTIF('👥 Asistencia'!$B:$B, B222)&gt;0, IF(C222="DIA", SUMIFS('👥 Asistencia'!$H:$H, '👥 Asistencia'!$B:$B, B222, '👥 Asistencia'!$E:$E, "08:00") + SUMIFS('👥 Asistencia'!$H:$H, '👥 Asistencia'!$B:$B, B222, '👥 Asistencia'!$E:$E, "07:00"), SUMIFS('👥 Asistencia'!$H:$H, '👥 Asistencia'!$B:$B, B222, '👥 Asistencia'!$E:$E, "20:00")), 0))</f>
        <v/>
      </c>
      <c r="F222" s="91"/>
      <c r="G222" s="91"/>
      <c r="H222" s="33" t="str">
        <f t="shared" si="6"/>
        <v/>
      </c>
      <c r="I222" s="30" t="str">
        <f t="shared" si="7"/>
        <v/>
      </c>
    </row>
    <row r="223" spans="2:9" ht="18" customHeight="1" x14ac:dyDescent="0.3">
      <c r="B223" s="26"/>
      <c r="C223" s="27"/>
      <c r="D223" s="30" t="str">
        <f>IF(B223="","",IF(COUNTIF('👥 Asistencia'!$B:$B, B223)&gt;0, IF(C223="DIA", COUNTIFS('👥 Asistencia'!$B:$B, B223, '👥 Asistencia'!$E:$E, "08:00") + COUNTIFS('👥 Asistencia'!$B:$B, B223, '👥 Asistencia'!$E:$E, "07:00"), COUNTIFS('👥 Asistencia'!$B:$B, B223, '👥 Asistencia'!$E:$E, "20:00")), 6))</f>
        <v/>
      </c>
      <c r="E223" s="34" t="str">
        <f>IF(B223="","",IF(COUNTIF('👥 Asistencia'!$B:$B, B223)&gt;0, IF(C223="DIA", SUMIFS('👥 Asistencia'!$H:$H, '👥 Asistencia'!$B:$B, B223, '👥 Asistencia'!$E:$E, "08:00") + SUMIFS('👥 Asistencia'!$H:$H, '👥 Asistencia'!$B:$B, B223, '👥 Asistencia'!$E:$E, "07:00"), SUMIFS('👥 Asistencia'!$H:$H, '👥 Asistencia'!$B:$B, B223, '👥 Asistencia'!$E:$E, "20:00")), 0))</f>
        <v/>
      </c>
      <c r="F223" s="92"/>
      <c r="G223" s="92"/>
      <c r="H223" s="33" t="str">
        <f t="shared" si="6"/>
        <v/>
      </c>
      <c r="I223" s="30" t="str">
        <f t="shared" si="7"/>
        <v/>
      </c>
    </row>
    <row r="224" spans="2:9" ht="18" customHeight="1" x14ac:dyDescent="0.3">
      <c r="B224" s="26"/>
      <c r="C224" s="27"/>
      <c r="D224" s="30" t="str">
        <f>IF(B224="","",IF(COUNTIF('👥 Asistencia'!$B:$B, B224)&gt;0, IF(C224="DIA", COUNTIFS('👥 Asistencia'!$B:$B, B224, '👥 Asistencia'!$E:$E, "08:00") + COUNTIFS('👥 Asistencia'!$B:$B, B224, '👥 Asistencia'!$E:$E, "07:00"), COUNTIFS('👥 Asistencia'!$B:$B, B224, '👥 Asistencia'!$E:$E, "20:00")), 6))</f>
        <v/>
      </c>
      <c r="E224" s="34" t="str">
        <f>IF(B224="","",IF(COUNTIF('👥 Asistencia'!$B:$B, B224)&gt;0, IF(C224="DIA", SUMIFS('👥 Asistencia'!$H:$H, '👥 Asistencia'!$B:$B, B224, '👥 Asistencia'!$E:$E, "08:00") + SUMIFS('👥 Asistencia'!$H:$H, '👥 Asistencia'!$B:$B, B224, '👥 Asistencia'!$E:$E, "07:00"), SUMIFS('👥 Asistencia'!$H:$H, '👥 Asistencia'!$B:$B, B224, '👥 Asistencia'!$E:$E, "20:00")), 0))</f>
        <v/>
      </c>
      <c r="F224" s="91"/>
      <c r="G224" s="91"/>
      <c r="H224" s="33" t="str">
        <f t="shared" si="6"/>
        <v/>
      </c>
      <c r="I224" s="30" t="str">
        <f t="shared" si="7"/>
        <v/>
      </c>
    </row>
    <row r="225" spans="2:9" ht="18" customHeight="1" x14ac:dyDescent="0.3">
      <c r="B225" s="26"/>
      <c r="C225" s="27"/>
      <c r="D225" s="30" t="str">
        <f>IF(B225="","",IF(COUNTIF('👥 Asistencia'!$B:$B, B225)&gt;0, IF(C225="DIA", COUNTIFS('👥 Asistencia'!$B:$B, B225, '👥 Asistencia'!$E:$E, "08:00") + COUNTIFS('👥 Asistencia'!$B:$B, B225, '👥 Asistencia'!$E:$E, "07:00"), COUNTIFS('👥 Asistencia'!$B:$B, B225, '👥 Asistencia'!$E:$E, "20:00")), 6))</f>
        <v/>
      </c>
      <c r="E225" s="34" t="str">
        <f>IF(B225="","",IF(COUNTIF('👥 Asistencia'!$B:$B, B225)&gt;0, IF(C225="DIA", SUMIFS('👥 Asistencia'!$H:$H, '👥 Asistencia'!$B:$B, B225, '👥 Asistencia'!$E:$E, "08:00") + SUMIFS('👥 Asistencia'!$H:$H, '👥 Asistencia'!$B:$B, B225, '👥 Asistencia'!$E:$E, "07:00"), SUMIFS('👥 Asistencia'!$H:$H, '👥 Asistencia'!$B:$B, B225, '👥 Asistencia'!$E:$E, "20:00")), 0))</f>
        <v/>
      </c>
      <c r="F225" s="92"/>
      <c r="G225" s="92"/>
      <c r="H225" s="33" t="str">
        <f t="shared" si="6"/>
        <v/>
      </c>
      <c r="I225" s="30" t="str">
        <f t="shared" si="7"/>
        <v/>
      </c>
    </row>
    <row r="226" spans="2:9" ht="18" customHeight="1" x14ac:dyDescent="0.3">
      <c r="B226" s="26"/>
      <c r="C226" s="27"/>
      <c r="D226" s="30" t="str">
        <f>IF(B226="","",IF(COUNTIF('👥 Asistencia'!$B:$B, B226)&gt;0, IF(C226="DIA", COUNTIFS('👥 Asistencia'!$B:$B, B226, '👥 Asistencia'!$E:$E, "08:00") + COUNTIFS('👥 Asistencia'!$B:$B, B226, '👥 Asistencia'!$E:$E, "07:00"), COUNTIFS('👥 Asistencia'!$B:$B, B226, '👥 Asistencia'!$E:$E, "20:00")), 6))</f>
        <v/>
      </c>
      <c r="E226" s="34" t="str">
        <f>IF(B226="","",IF(COUNTIF('👥 Asistencia'!$B:$B, B226)&gt;0, IF(C226="DIA", SUMIFS('👥 Asistencia'!$H:$H, '👥 Asistencia'!$B:$B, B226, '👥 Asistencia'!$E:$E, "08:00") + SUMIFS('👥 Asistencia'!$H:$H, '👥 Asistencia'!$B:$B, B226, '👥 Asistencia'!$E:$E, "07:00"), SUMIFS('👥 Asistencia'!$H:$H, '👥 Asistencia'!$B:$B, B226, '👥 Asistencia'!$E:$E, "20:00")), 0))</f>
        <v/>
      </c>
      <c r="F226" s="91"/>
      <c r="G226" s="91"/>
      <c r="H226" s="33" t="str">
        <f t="shared" si="6"/>
        <v/>
      </c>
      <c r="I226" s="30" t="str">
        <f t="shared" si="7"/>
        <v/>
      </c>
    </row>
    <row r="227" spans="2:9" ht="18" customHeight="1" x14ac:dyDescent="0.3">
      <c r="B227" s="26"/>
      <c r="C227" s="27"/>
      <c r="D227" s="30" t="str">
        <f>IF(B227="","",IF(COUNTIF('👥 Asistencia'!$B:$B, B227)&gt;0, IF(C227="DIA", COUNTIFS('👥 Asistencia'!$B:$B, B227, '👥 Asistencia'!$E:$E, "08:00") + COUNTIFS('👥 Asistencia'!$B:$B, B227, '👥 Asistencia'!$E:$E, "07:00"), COUNTIFS('👥 Asistencia'!$B:$B, B227, '👥 Asistencia'!$E:$E, "20:00")), 6))</f>
        <v/>
      </c>
      <c r="E227" s="34" t="str">
        <f>IF(B227="","",IF(COUNTIF('👥 Asistencia'!$B:$B, B227)&gt;0, IF(C227="DIA", SUMIFS('👥 Asistencia'!$H:$H, '👥 Asistencia'!$B:$B, B227, '👥 Asistencia'!$E:$E, "08:00") + SUMIFS('👥 Asistencia'!$H:$H, '👥 Asistencia'!$B:$B, B227, '👥 Asistencia'!$E:$E, "07:00"), SUMIFS('👥 Asistencia'!$H:$H, '👥 Asistencia'!$B:$B, B227, '👥 Asistencia'!$E:$E, "20:00")), 0))</f>
        <v/>
      </c>
      <c r="F227" s="92"/>
      <c r="G227" s="92"/>
      <c r="H227" s="33" t="str">
        <f t="shared" si="6"/>
        <v/>
      </c>
      <c r="I227" s="30" t="str">
        <f t="shared" si="7"/>
        <v/>
      </c>
    </row>
    <row r="228" spans="2:9" ht="18" customHeight="1" x14ac:dyDescent="0.3">
      <c r="B228" s="26"/>
      <c r="C228" s="27"/>
      <c r="D228" s="30" t="str">
        <f>IF(B228="","",IF(COUNTIF('👥 Asistencia'!$B:$B, B228)&gt;0, IF(C228="DIA", COUNTIFS('👥 Asistencia'!$B:$B, B228, '👥 Asistencia'!$E:$E, "08:00") + COUNTIFS('👥 Asistencia'!$B:$B, B228, '👥 Asistencia'!$E:$E, "07:00"), COUNTIFS('👥 Asistencia'!$B:$B, B228, '👥 Asistencia'!$E:$E, "20:00")), 6))</f>
        <v/>
      </c>
      <c r="E228" s="34" t="str">
        <f>IF(B228="","",IF(COUNTIF('👥 Asistencia'!$B:$B, B228)&gt;0, IF(C228="DIA", SUMIFS('👥 Asistencia'!$H:$H, '👥 Asistencia'!$B:$B, B228, '👥 Asistencia'!$E:$E, "08:00") + SUMIFS('👥 Asistencia'!$H:$H, '👥 Asistencia'!$B:$B, B228, '👥 Asistencia'!$E:$E, "07:00"), SUMIFS('👥 Asistencia'!$H:$H, '👥 Asistencia'!$B:$B, B228, '👥 Asistencia'!$E:$E, "20:00")), 0))</f>
        <v/>
      </c>
      <c r="F228" s="91"/>
      <c r="G228" s="91"/>
      <c r="H228" s="33" t="str">
        <f t="shared" si="6"/>
        <v/>
      </c>
      <c r="I228" s="30" t="str">
        <f t="shared" si="7"/>
        <v/>
      </c>
    </row>
    <row r="229" spans="2:9" ht="18" customHeight="1" x14ac:dyDescent="0.3">
      <c r="B229" s="26"/>
      <c r="C229" s="27"/>
      <c r="D229" s="30" t="str">
        <f>IF(B229="","",IF(COUNTIF('👥 Asistencia'!$B:$B, B229)&gt;0, IF(C229="DIA", COUNTIFS('👥 Asistencia'!$B:$B, B229, '👥 Asistencia'!$E:$E, "08:00") + COUNTIFS('👥 Asistencia'!$B:$B, B229, '👥 Asistencia'!$E:$E, "07:00"), COUNTIFS('👥 Asistencia'!$B:$B, B229, '👥 Asistencia'!$E:$E, "20:00")), 6))</f>
        <v/>
      </c>
      <c r="E229" s="34" t="str">
        <f>IF(B229="","",IF(COUNTIF('👥 Asistencia'!$B:$B, B229)&gt;0, IF(C229="DIA", SUMIFS('👥 Asistencia'!$H:$H, '👥 Asistencia'!$B:$B, B229, '👥 Asistencia'!$E:$E, "08:00") + SUMIFS('👥 Asistencia'!$H:$H, '👥 Asistencia'!$B:$B, B229, '👥 Asistencia'!$E:$E, "07:00"), SUMIFS('👥 Asistencia'!$H:$H, '👥 Asistencia'!$B:$B, B229, '👥 Asistencia'!$E:$E, "20:00")), 0))</f>
        <v/>
      </c>
      <c r="F229" s="92"/>
      <c r="G229" s="92"/>
      <c r="H229" s="33" t="str">
        <f t="shared" si="6"/>
        <v/>
      </c>
      <c r="I229" s="30" t="str">
        <f t="shared" si="7"/>
        <v/>
      </c>
    </row>
    <row r="230" spans="2:9" ht="18" customHeight="1" x14ac:dyDescent="0.3">
      <c r="B230" s="26"/>
      <c r="C230" s="27"/>
      <c r="D230" s="30" t="str">
        <f>IF(B230="","",IF(COUNTIF('👥 Asistencia'!$B:$B, B230)&gt;0, IF(C230="DIA", COUNTIFS('👥 Asistencia'!$B:$B, B230, '👥 Asistencia'!$E:$E, "08:00") + COUNTIFS('👥 Asistencia'!$B:$B, B230, '👥 Asistencia'!$E:$E, "07:00"), COUNTIFS('👥 Asistencia'!$B:$B, B230, '👥 Asistencia'!$E:$E, "20:00")), 6))</f>
        <v/>
      </c>
      <c r="E230" s="34" t="str">
        <f>IF(B230="","",IF(COUNTIF('👥 Asistencia'!$B:$B, B230)&gt;0, IF(C230="DIA", SUMIFS('👥 Asistencia'!$H:$H, '👥 Asistencia'!$B:$B, B230, '👥 Asistencia'!$E:$E, "08:00") + SUMIFS('👥 Asistencia'!$H:$H, '👥 Asistencia'!$B:$B, B230, '👥 Asistencia'!$E:$E, "07:00"), SUMIFS('👥 Asistencia'!$H:$H, '👥 Asistencia'!$B:$B, B230, '👥 Asistencia'!$E:$E, "20:00")), 0))</f>
        <v/>
      </c>
      <c r="F230" s="91"/>
      <c r="G230" s="91"/>
      <c r="H230" s="33" t="str">
        <f t="shared" si="6"/>
        <v/>
      </c>
      <c r="I230" s="30" t="str">
        <f t="shared" si="7"/>
        <v/>
      </c>
    </row>
    <row r="231" spans="2:9" ht="18" customHeight="1" x14ac:dyDescent="0.3">
      <c r="B231" s="26"/>
      <c r="C231" s="27"/>
      <c r="D231" s="30" t="str">
        <f>IF(B231="","",IF(COUNTIF('👥 Asistencia'!$B:$B, B231)&gt;0, IF(C231="DIA", COUNTIFS('👥 Asistencia'!$B:$B, B231, '👥 Asistencia'!$E:$E, "08:00") + COUNTIFS('👥 Asistencia'!$B:$B, B231, '👥 Asistencia'!$E:$E, "07:00"), COUNTIFS('👥 Asistencia'!$B:$B, B231, '👥 Asistencia'!$E:$E, "20:00")), 6))</f>
        <v/>
      </c>
      <c r="E231" s="34" t="str">
        <f>IF(B231="","",IF(COUNTIF('👥 Asistencia'!$B:$B, B231)&gt;0, IF(C231="DIA", SUMIFS('👥 Asistencia'!$H:$H, '👥 Asistencia'!$B:$B, B231, '👥 Asistencia'!$E:$E, "08:00") + SUMIFS('👥 Asistencia'!$H:$H, '👥 Asistencia'!$B:$B, B231, '👥 Asistencia'!$E:$E, "07:00"), SUMIFS('👥 Asistencia'!$H:$H, '👥 Asistencia'!$B:$B, B231, '👥 Asistencia'!$E:$E, "20:00")), 0))</f>
        <v/>
      </c>
      <c r="F231" s="92"/>
      <c r="G231" s="92"/>
      <c r="H231" s="33" t="str">
        <f t="shared" si="6"/>
        <v/>
      </c>
      <c r="I231" s="30" t="str">
        <f t="shared" si="7"/>
        <v/>
      </c>
    </row>
    <row r="232" spans="2:9" ht="18" customHeight="1" x14ac:dyDescent="0.3">
      <c r="B232" s="26"/>
      <c r="C232" s="27"/>
      <c r="D232" s="30" t="str">
        <f>IF(B232="","",IF(COUNTIF('👥 Asistencia'!$B:$B, B232)&gt;0, IF(C232="DIA", COUNTIFS('👥 Asistencia'!$B:$B, B232, '👥 Asistencia'!$E:$E, "08:00") + COUNTIFS('👥 Asistencia'!$B:$B, B232, '👥 Asistencia'!$E:$E, "07:00"), COUNTIFS('👥 Asistencia'!$B:$B, B232, '👥 Asistencia'!$E:$E, "20:00")), 6))</f>
        <v/>
      </c>
      <c r="E232" s="34" t="str">
        <f>IF(B232="","",IF(COUNTIF('👥 Asistencia'!$B:$B, B232)&gt;0, IF(C232="DIA", SUMIFS('👥 Asistencia'!$H:$H, '👥 Asistencia'!$B:$B, B232, '👥 Asistencia'!$E:$E, "08:00") + SUMIFS('👥 Asistencia'!$H:$H, '👥 Asistencia'!$B:$B, B232, '👥 Asistencia'!$E:$E, "07:00"), SUMIFS('👥 Asistencia'!$H:$H, '👥 Asistencia'!$B:$B, B232, '👥 Asistencia'!$E:$E, "20:00")), 0))</f>
        <v/>
      </c>
      <c r="F232" s="91"/>
      <c r="G232" s="91"/>
      <c r="H232" s="33" t="str">
        <f t="shared" si="6"/>
        <v/>
      </c>
      <c r="I232" s="30" t="str">
        <f t="shared" si="7"/>
        <v/>
      </c>
    </row>
    <row r="233" spans="2:9" ht="18" customHeight="1" x14ac:dyDescent="0.3">
      <c r="B233" s="26"/>
      <c r="C233" s="27"/>
      <c r="D233" s="30" t="str">
        <f>IF(B233="","",IF(COUNTIF('👥 Asistencia'!$B:$B, B233)&gt;0, IF(C233="DIA", COUNTIFS('👥 Asistencia'!$B:$B, B233, '👥 Asistencia'!$E:$E, "08:00") + COUNTIFS('👥 Asistencia'!$B:$B, B233, '👥 Asistencia'!$E:$E, "07:00"), COUNTIFS('👥 Asistencia'!$B:$B, B233, '👥 Asistencia'!$E:$E, "20:00")), 6))</f>
        <v/>
      </c>
      <c r="E233" s="34" t="str">
        <f>IF(B233="","",IF(COUNTIF('👥 Asistencia'!$B:$B, B233)&gt;0, IF(C233="DIA", SUMIFS('👥 Asistencia'!$H:$H, '👥 Asistencia'!$B:$B, B233, '👥 Asistencia'!$E:$E, "08:00") + SUMIFS('👥 Asistencia'!$H:$H, '👥 Asistencia'!$B:$B, B233, '👥 Asistencia'!$E:$E, "07:00"), SUMIFS('👥 Asistencia'!$H:$H, '👥 Asistencia'!$B:$B, B233, '👥 Asistencia'!$E:$E, "20:00")), 0))</f>
        <v/>
      </c>
      <c r="F233" s="92"/>
      <c r="G233" s="92"/>
      <c r="H233" s="33" t="str">
        <f t="shared" si="6"/>
        <v/>
      </c>
      <c r="I233" s="30" t="str">
        <f t="shared" si="7"/>
        <v/>
      </c>
    </row>
    <row r="234" spans="2:9" ht="18" customHeight="1" x14ac:dyDescent="0.3">
      <c r="B234" s="26"/>
      <c r="C234" s="27"/>
      <c r="D234" s="30" t="str">
        <f>IF(B234="","",IF(COUNTIF('👥 Asistencia'!$B:$B, B234)&gt;0, IF(C234="DIA", COUNTIFS('👥 Asistencia'!$B:$B, B234, '👥 Asistencia'!$E:$E, "08:00") + COUNTIFS('👥 Asistencia'!$B:$B, B234, '👥 Asistencia'!$E:$E, "07:00"), COUNTIFS('👥 Asistencia'!$B:$B, B234, '👥 Asistencia'!$E:$E, "20:00")), 6))</f>
        <v/>
      </c>
      <c r="E234" s="34" t="str">
        <f>IF(B234="","",IF(COUNTIF('👥 Asistencia'!$B:$B, B234)&gt;0, IF(C234="DIA", SUMIFS('👥 Asistencia'!$H:$H, '👥 Asistencia'!$B:$B, B234, '👥 Asistencia'!$E:$E, "08:00") + SUMIFS('👥 Asistencia'!$H:$H, '👥 Asistencia'!$B:$B, B234, '👥 Asistencia'!$E:$E, "07:00"), SUMIFS('👥 Asistencia'!$H:$H, '👥 Asistencia'!$B:$B, B234, '👥 Asistencia'!$E:$E, "20:00")), 0))</f>
        <v/>
      </c>
      <c r="F234" s="91"/>
      <c r="G234" s="91"/>
      <c r="H234" s="33" t="str">
        <f t="shared" si="6"/>
        <v/>
      </c>
      <c r="I234" s="30" t="str">
        <f t="shared" si="7"/>
        <v/>
      </c>
    </row>
    <row r="235" spans="2:9" ht="18" customHeight="1" x14ac:dyDescent="0.3">
      <c r="B235" s="26"/>
      <c r="C235" s="27"/>
      <c r="D235" s="30" t="str">
        <f>IF(B235="","",IF(COUNTIF('👥 Asistencia'!$B:$B, B235)&gt;0, IF(C235="DIA", COUNTIFS('👥 Asistencia'!$B:$B, B235, '👥 Asistencia'!$E:$E, "08:00") + COUNTIFS('👥 Asistencia'!$B:$B, B235, '👥 Asistencia'!$E:$E, "07:00"), COUNTIFS('👥 Asistencia'!$B:$B, B235, '👥 Asistencia'!$E:$E, "20:00")), 6))</f>
        <v/>
      </c>
      <c r="E235" s="34" t="str">
        <f>IF(B235="","",IF(COUNTIF('👥 Asistencia'!$B:$B, B235)&gt;0, IF(C235="DIA", SUMIFS('👥 Asistencia'!$H:$H, '👥 Asistencia'!$B:$B, B235, '👥 Asistencia'!$E:$E, "08:00") + SUMIFS('👥 Asistencia'!$H:$H, '👥 Asistencia'!$B:$B, B235, '👥 Asistencia'!$E:$E, "07:00"), SUMIFS('👥 Asistencia'!$H:$H, '👥 Asistencia'!$B:$B, B235, '👥 Asistencia'!$E:$E, "20:00")), 0))</f>
        <v/>
      </c>
      <c r="F235" s="92"/>
      <c r="G235" s="92"/>
      <c r="H235" s="33" t="str">
        <f t="shared" si="6"/>
        <v/>
      </c>
      <c r="I235" s="30" t="str">
        <f t="shared" si="7"/>
        <v/>
      </c>
    </row>
    <row r="236" spans="2:9" ht="18" customHeight="1" x14ac:dyDescent="0.3">
      <c r="B236" s="26"/>
      <c r="C236" s="27"/>
      <c r="D236" s="30" t="str">
        <f>IF(B236="","",IF(COUNTIF('👥 Asistencia'!$B:$B, B236)&gt;0, IF(C236="DIA", COUNTIFS('👥 Asistencia'!$B:$B, B236, '👥 Asistencia'!$E:$E, "08:00") + COUNTIFS('👥 Asistencia'!$B:$B, B236, '👥 Asistencia'!$E:$E, "07:00"), COUNTIFS('👥 Asistencia'!$B:$B, B236, '👥 Asistencia'!$E:$E, "20:00")), 6))</f>
        <v/>
      </c>
      <c r="E236" s="34" t="str">
        <f>IF(B236="","",IF(COUNTIF('👥 Asistencia'!$B:$B, B236)&gt;0, IF(C236="DIA", SUMIFS('👥 Asistencia'!$H:$H, '👥 Asistencia'!$B:$B, B236, '👥 Asistencia'!$E:$E, "08:00") + SUMIFS('👥 Asistencia'!$H:$H, '👥 Asistencia'!$B:$B, B236, '👥 Asistencia'!$E:$E, "07:00"), SUMIFS('👥 Asistencia'!$H:$H, '👥 Asistencia'!$B:$B, B236, '👥 Asistencia'!$E:$E, "20:00")), 0))</f>
        <v/>
      </c>
      <c r="F236" s="91"/>
      <c r="G236" s="91"/>
      <c r="H236" s="33" t="str">
        <f t="shared" si="6"/>
        <v/>
      </c>
      <c r="I236" s="30" t="str">
        <f t="shared" si="7"/>
        <v/>
      </c>
    </row>
    <row r="237" spans="2:9" ht="18" customHeight="1" x14ac:dyDescent="0.3">
      <c r="B237" s="26"/>
      <c r="C237" s="27"/>
      <c r="D237" s="30" t="str">
        <f>IF(B237="","",IF(COUNTIF('👥 Asistencia'!$B:$B, B237)&gt;0, IF(C237="DIA", COUNTIFS('👥 Asistencia'!$B:$B, B237, '👥 Asistencia'!$E:$E, "08:00") + COUNTIFS('👥 Asistencia'!$B:$B, B237, '👥 Asistencia'!$E:$E, "07:00"), COUNTIFS('👥 Asistencia'!$B:$B, B237, '👥 Asistencia'!$E:$E, "20:00")), 6))</f>
        <v/>
      </c>
      <c r="E237" s="34" t="str">
        <f>IF(B237="","",IF(COUNTIF('👥 Asistencia'!$B:$B, B237)&gt;0, IF(C237="DIA", SUMIFS('👥 Asistencia'!$H:$H, '👥 Asistencia'!$B:$B, B237, '👥 Asistencia'!$E:$E, "08:00") + SUMIFS('👥 Asistencia'!$H:$H, '👥 Asistencia'!$B:$B, B237, '👥 Asistencia'!$E:$E, "07:00"), SUMIFS('👥 Asistencia'!$H:$H, '👥 Asistencia'!$B:$B, B237, '👥 Asistencia'!$E:$E, "20:00")), 0))</f>
        <v/>
      </c>
      <c r="F237" s="92"/>
      <c r="G237" s="92"/>
      <c r="H237" s="33" t="str">
        <f t="shared" si="6"/>
        <v/>
      </c>
      <c r="I237" s="30" t="str">
        <f t="shared" si="7"/>
        <v/>
      </c>
    </row>
    <row r="238" spans="2:9" ht="18" customHeight="1" x14ac:dyDescent="0.3">
      <c r="B238" s="26"/>
      <c r="C238" s="27"/>
      <c r="D238" s="30" t="str">
        <f>IF(B238="","",IF(COUNTIF('👥 Asistencia'!$B:$B, B238)&gt;0, IF(C238="DIA", COUNTIFS('👥 Asistencia'!$B:$B, B238, '👥 Asistencia'!$E:$E, "08:00") + COUNTIFS('👥 Asistencia'!$B:$B, B238, '👥 Asistencia'!$E:$E, "07:00"), COUNTIFS('👥 Asistencia'!$B:$B, B238, '👥 Asistencia'!$E:$E, "20:00")), 6))</f>
        <v/>
      </c>
      <c r="E238" s="34" t="str">
        <f>IF(B238="","",IF(COUNTIF('👥 Asistencia'!$B:$B, B238)&gt;0, IF(C238="DIA", SUMIFS('👥 Asistencia'!$H:$H, '👥 Asistencia'!$B:$B, B238, '👥 Asistencia'!$E:$E, "08:00") + SUMIFS('👥 Asistencia'!$H:$H, '👥 Asistencia'!$B:$B, B238, '👥 Asistencia'!$E:$E, "07:00"), SUMIFS('👥 Asistencia'!$H:$H, '👥 Asistencia'!$B:$B, B238, '👥 Asistencia'!$E:$E, "20:00")), 0))</f>
        <v/>
      </c>
      <c r="F238" s="91"/>
      <c r="G238" s="91"/>
      <c r="H238" s="33" t="str">
        <f t="shared" si="6"/>
        <v/>
      </c>
      <c r="I238" s="30" t="str">
        <f t="shared" si="7"/>
        <v/>
      </c>
    </row>
    <row r="239" spans="2:9" ht="18" customHeight="1" x14ac:dyDescent="0.3">
      <c r="B239" s="26"/>
      <c r="C239" s="27"/>
      <c r="D239" s="30" t="str">
        <f>IF(B239="","",IF(COUNTIF('👥 Asistencia'!$B:$B, B239)&gt;0, IF(C239="DIA", COUNTIFS('👥 Asistencia'!$B:$B, B239, '👥 Asistencia'!$E:$E, "08:00") + COUNTIFS('👥 Asistencia'!$B:$B, B239, '👥 Asistencia'!$E:$E, "07:00"), COUNTIFS('👥 Asistencia'!$B:$B, B239, '👥 Asistencia'!$E:$E, "20:00")), 6))</f>
        <v/>
      </c>
      <c r="E239" s="34" t="str">
        <f>IF(B239="","",IF(COUNTIF('👥 Asistencia'!$B:$B, B239)&gt;0, IF(C239="DIA", SUMIFS('👥 Asistencia'!$H:$H, '👥 Asistencia'!$B:$B, B239, '👥 Asistencia'!$E:$E, "08:00") + SUMIFS('👥 Asistencia'!$H:$H, '👥 Asistencia'!$B:$B, B239, '👥 Asistencia'!$E:$E, "07:00"), SUMIFS('👥 Asistencia'!$H:$H, '👥 Asistencia'!$B:$B, B239, '👥 Asistencia'!$E:$E, "20:00")), 0))</f>
        <v/>
      </c>
      <c r="F239" s="92"/>
      <c r="G239" s="92"/>
      <c r="H239" s="33" t="str">
        <f t="shared" si="6"/>
        <v/>
      </c>
      <c r="I239" s="30" t="str">
        <f t="shared" si="7"/>
        <v/>
      </c>
    </row>
    <row r="240" spans="2:9" ht="18" customHeight="1" x14ac:dyDescent="0.3">
      <c r="B240" s="26"/>
      <c r="C240" s="27"/>
      <c r="D240" s="30" t="str">
        <f>IF(B240="","",IF(COUNTIF('👥 Asistencia'!$B:$B, B240)&gt;0, IF(C240="DIA", COUNTIFS('👥 Asistencia'!$B:$B, B240, '👥 Asistencia'!$E:$E, "08:00") + COUNTIFS('👥 Asistencia'!$B:$B, B240, '👥 Asistencia'!$E:$E, "07:00"), COUNTIFS('👥 Asistencia'!$B:$B, B240, '👥 Asistencia'!$E:$E, "20:00")), 6))</f>
        <v/>
      </c>
      <c r="E240" s="34" t="str">
        <f>IF(B240="","",IF(COUNTIF('👥 Asistencia'!$B:$B, B240)&gt;0, IF(C240="DIA", SUMIFS('👥 Asistencia'!$H:$H, '👥 Asistencia'!$B:$B, B240, '👥 Asistencia'!$E:$E, "08:00") + SUMIFS('👥 Asistencia'!$H:$H, '👥 Asistencia'!$B:$B, B240, '👥 Asistencia'!$E:$E, "07:00"), SUMIFS('👥 Asistencia'!$H:$H, '👥 Asistencia'!$B:$B, B240, '👥 Asistencia'!$E:$E, "20:00")), 0))</f>
        <v/>
      </c>
      <c r="F240" s="91"/>
      <c r="G240" s="91"/>
      <c r="H240" s="33" t="str">
        <f t="shared" si="6"/>
        <v/>
      </c>
      <c r="I240" s="30" t="str">
        <f t="shared" si="7"/>
        <v/>
      </c>
    </row>
    <row r="241" spans="2:9" ht="18" customHeight="1" x14ac:dyDescent="0.3">
      <c r="B241" s="26"/>
      <c r="C241" s="27"/>
      <c r="D241" s="30" t="str">
        <f>IF(B241="","",IF(COUNTIF('👥 Asistencia'!$B:$B, B241)&gt;0, IF(C241="DIA", COUNTIFS('👥 Asistencia'!$B:$B, B241, '👥 Asistencia'!$E:$E, "08:00") + COUNTIFS('👥 Asistencia'!$B:$B, B241, '👥 Asistencia'!$E:$E, "07:00"), COUNTIFS('👥 Asistencia'!$B:$B, B241, '👥 Asistencia'!$E:$E, "20:00")), 6))</f>
        <v/>
      </c>
      <c r="E241" s="34" t="str">
        <f>IF(B241="","",IF(COUNTIF('👥 Asistencia'!$B:$B, B241)&gt;0, IF(C241="DIA", SUMIFS('👥 Asistencia'!$H:$H, '👥 Asistencia'!$B:$B, B241, '👥 Asistencia'!$E:$E, "08:00") + SUMIFS('👥 Asistencia'!$H:$H, '👥 Asistencia'!$B:$B, B241, '👥 Asistencia'!$E:$E, "07:00"), SUMIFS('👥 Asistencia'!$H:$H, '👥 Asistencia'!$B:$B, B241, '👥 Asistencia'!$E:$E, "20:00")), 0))</f>
        <v/>
      </c>
      <c r="F241" s="92"/>
      <c r="G241" s="92"/>
      <c r="H241" s="33" t="str">
        <f t="shared" si="6"/>
        <v/>
      </c>
      <c r="I241" s="30" t="str">
        <f t="shared" si="7"/>
        <v/>
      </c>
    </row>
    <row r="242" spans="2:9" ht="18" customHeight="1" x14ac:dyDescent="0.3">
      <c r="B242" s="26"/>
      <c r="C242" s="27"/>
      <c r="D242" s="30" t="str">
        <f>IF(B242="","",IF(COUNTIF('👥 Asistencia'!$B:$B, B242)&gt;0, IF(C242="DIA", COUNTIFS('👥 Asistencia'!$B:$B, B242, '👥 Asistencia'!$E:$E, "08:00") + COUNTIFS('👥 Asistencia'!$B:$B, B242, '👥 Asistencia'!$E:$E, "07:00"), COUNTIFS('👥 Asistencia'!$B:$B, B242, '👥 Asistencia'!$E:$E, "20:00")), 6))</f>
        <v/>
      </c>
      <c r="E242" s="34" t="str">
        <f>IF(B242="","",IF(COUNTIF('👥 Asistencia'!$B:$B, B242)&gt;0, IF(C242="DIA", SUMIFS('👥 Asistencia'!$H:$H, '👥 Asistencia'!$B:$B, B242, '👥 Asistencia'!$E:$E, "08:00") + SUMIFS('👥 Asistencia'!$H:$H, '👥 Asistencia'!$B:$B, B242, '👥 Asistencia'!$E:$E, "07:00"), SUMIFS('👥 Asistencia'!$H:$H, '👥 Asistencia'!$B:$B, B242, '👥 Asistencia'!$E:$E, "20:00")), 0))</f>
        <v/>
      </c>
      <c r="F242" s="91"/>
      <c r="G242" s="91"/>
      <c r="H242" s="33" t="str">
        <f t="shared" si="6"/>
        <v/>
      </c>
      <c r="I242" s="30" t="str">
        <f t="shared" si="7"/>
        <v/>
      </c>
    </row>
    <row r="243" spans="2:9" ht="18" customHeight="1" x14ac:dyDescent="0.3">
      <c r="B243" s="26"/>
      <c r="C243" s="27"/>
      <c r="D243" s="30" t="str">
        <f>IF(B243="","",IF(COUNTIF('👥 Asistencia'!$B:$B, B243)&gt;0, IF(C243="DIA", COUNTIFS('👥 Asistencia'!$B:$B, B243, '👥 Asistencia'!$E:$E, "08:00") + COUNTIFS('👥 Asistencia'!$B:$B, B243, '👥 Asistencia'!$E:$E, "07:00"), COUNTIFS('👥 Asistencia'!$B:$B, B243, '👥 Asistencia'!$E:$E, "20:00")), 6))</f>
        <v/>
      </c>
      <c r="E243" s="34" t="str">
        <f>IF(B243="","",IF(COUNTIF('👥 Asistencia'!$B:$B, B243)&gt;0, IF(C243="DIA", SUMIFS('👥 Asistencia'!$H:$H, '👥 Asistencia'!$B:$B, B243, '👥 Asistencia'!$E:$E, "08:00") + SUMIFS('👥 Asistencia'!$H:$H, '👥 Asistencia'!$B:$B, B243, '👥 Asistencia'!$E:$E, "07:00"), SUMIFS('👥 Asistencia'!$H:$H, '👥 Asistencia'!$B:$B, B243, '👥 Asistencia'!$E:$E, "20:00")), 0))</f>
        <v/>
      </c>
      <c r="F243" s="92"/>
      <c r="G243" s="92"/>
      <c r="H243" s="33" t="str">
        <f t="shared" si="6"/>
        <v/>
      </c>
      <c r="I243" s="30" t="str">
        <f t="shared" si="7"/>
        <v/>
      </c>
    </row>
    <row r="244" spans="2:9" ht="18" customHeight="1" x14ac:dyDescent="0.3">
      <c r="B244" s="26"/>
      <c r="C244" s="27"/>
      <c r="D244" s="30" t="str">
        <f>IF(B244="","",IF(COUNTIF('👥 Asistencia'!$B:$B, B244)&gt;0, IF(C244="DIA", COUNTIFS('👥 Asistencia'!$B:$B, B244, '👥 Asistencia'!$E:$E, "08:00") + COUNTIFS('👥 Asistencia'!$B:$B, B244, '👥 Asistencia'!$E:$E, "07:00"), COUNTIFS('👥 Asistencia'!$B:$B, B244, '👥 Asistencia'!$E:$E, "20:00")), 6))</f>
        <v/>
      </c>
      <c r="E244" s="34" t="str">
        <f>IF(B244="","",IF(COUNTIF('👥 Asistencia'!$B:$B, B244)&gt;0, IF(C244="DIA", SUMIFS('👥 Asistencia'!$H:$H, '👥 Asistencia'!$B:$B, B244, '👥 Asistencia'!$E:$E, "08:00") + SUMIFS('👥 Asistencia'!$H:$H, '👥 Asistencia'!$B:$B, B244, '👥 Asistencia'!$E:$E, "07:00"), SUMIFS('👥 Asistencia'!$H:$H, '👥 Asistencia'!$B:$B, B244, '👥 Asistencia'!$E:$E, "20:00")), 0))</f>
        <v/>
      </c>
      <c r="F244" s="91"/>
      <c r="G244" s="91"/>
      <c r="H244" s="33" t="str">
        <f t="shared" si="6"/>
        <v/>
      </c>
      <c r="I244" s="30" t="str">
        <f t="shared" si="7"/>
        <v/>
      </c>
    </row>
    <row r="245" spans="2:9" ht="18" customHeight="1" x14ac:dyDescent="0.3">
      <c r="B245" s="26"/>
      <c r="C245" s="27"/>
      <c r="D245" s="30" t="str">
        <f>IF(B245="","",IF(COUNTIF('👥 Asistencia'!$B:$B, B245)&gt;0, IF(C245="DIA", COUNTIFS('👥 Asistencia'!$B:$B, B245, '👥 Asistencia'!$E:$E, "08:00") + COUNTIFS('👥 Asistencia'!$B:$B, B245, '👥 Asistencia'!$E:$E, "07:00"), COUNTIFS('👥 Asistencia'!$B:$B, B245, '👥 Asistencia'!$E:$E, "20:00")), 6))</f>
        <v/>
      </c>
      <c r="E245" s="34" t="str">
        <f>IF(B245="","",IF(COUNTIF('👥 Asistencia'!$B:$B, B245)&gt;0, IF(C245="DIA", SUMIFS('👥 Asistencia'!$H:$H, '👥 Asistencia'!$B:$B, B245, '👥 Asistencia'!$E:$E, "08:00") + SUMIFS('👥 Asistencia'!$H:$H, '👥 Asistencia'!$B:$B, B245, '👥 Asistencia'!$E:$E, "07:00"), SUMIFS('👥 Asistencia'!$H:$H, '👥 Asistencia'!$B:$B, B245, '👥 Asistencia'!$E:$E, "20:00")), 0))</f>
        <v/>
      </c>
      <c r="F245" s="92"/>
      <c r="G245" s="92"/>
      <c r="H245" s="33" t="str">
        <f t="shared" si="6"/>
        <v/>
      </c>
      <c r="I245" s="30" t="str">
        <f t="shared" si="7"/>
        <v/>
      </c>
    </row>
    <row r="246" spans="2:9" ht="18" customHeight="1" x14ac:dyDescent="0.3">
      <c r="B246" s="26"/>
      <c r="C246" s="27"/>
      <c r="D246" s="30" t="str">
        <f>IF(B246="","",IF(COUNTIF('👥 Asistencia'!$B:$B, B246)&gt;0, IF(C246="DIA", COUNTIFS('👥 Asistencia'!$B:$B, B246, '👥 Asistencia'!$E:$E, "08:00") + COUNTIFS('👥 Asistencia'!$B:$B, B246, '👥 Asistencia'!$E:$E, "07:00"), COUNTIFS('👥 Asistencia'!$B:$B, B246, '👥 Asistencia'!$E:$E, "20:00")), 6))</f>
        <v/>
      </c>
      <c r="E246" s="34" t="str">
        <f>IF(B246="","",IF(COUNTIF('👥 Asistencia'!$B:$B, B246)&gt;0, IF(C246="DIA", SUMIFS('👥 Asistencia'!$H:$H, '👥 Asistencia'!$B:$B, B246, '👥 Asistencia'!$E:$E, "08:00") + SUMIFS('👥 Asistencia'!$H:$H, '👥 Asistencia'!$B:$B, B246, '👥 Asistencia'!$E:$E, "07:00"), SUMIFS('👥 Asistencia'!$H:$H, '👥 Asistencia'!$B:$B, B246, '👥 Asistencia'!$E:$E, "20:00")), 0))</f>
        <v/>
      </c>
      <c r="F246" s="91"/>
      <c r="G246" s="91"/>
      <c r="H246" s="33" t="str">
        <f t="shared" si="6"/>
        <v/>
      </c>
      <c r="I246" s="30" t="str">
        <f t="shared" si="7"/>
        <v/>
      </c>
    </row>
    <row r="247" spans="2:9" ht="18" customHeight="1" x14ac:dyDescent="0.3">
      <c r="B247" s="26"/>
      <c r="C247" s="27"/>
      <c r="D247" s="30" t="str">
        <f>IF(B247="","",IF(COUNTIF('👥 Asistencia'!$B:$B, B247)&gt;0, IF(C247="DIA", COUNTIFS('👥 Asistencia'!$B:$B, B247, '👥 Asistencia'!$E:$E, "08:00") + COUNTIFS('👥 Asistencia'!$B:$B, B247, '👥 Asistencia'!$E:$E, "07:00"), COUNTIFS('👥 Asistencia'!$B:$B, B247, '👥 Asistencia'!$E:$E, "20:00")), 6))</f>
        <v/>
      </c>
      <c r="E247" s="34" t="str">
        <f>IF(B247="","",IF(COUNTIF('👥 Asistencia'!$B:$B, B247)&gt;0, IF(C247="DIA", SUMIFS('👥 Asistencia'!$H:$H, '👥 Asistencia'!$B:$B, B247, '👥 Asistencia'!$E:$E, "08:00") + SUMIFS('👥 Asistencia'!$H:$H, '👥 Asistencia'!$B:$B, B247, '👥 Asistencia'!$E:$E, "07:00"), SUMIFS('👥 Asistencia'!$H:$H, '👥 Asistencia'!$B:$B, B247, '👥 Asistencia'!$E:$E, "20:00")), 0))</f>
        <v/>
      </c>
      <c r="F247" s="92"/>
      <c r="G247" s="92"/>
      <c r="H247" s="33" t="str">
        <f t="shared" si="6"/>
        <v/>
      </c>
      <c r="I247" s="30" t="str">
        <f t="shared" si="7"/>
        <v/>
      </c>
    </row>
    <row r="248" spans="2:9" ht="18" customHeight="1" x14ac:dyDescent="0.3">
      <c r="B248" s="26"/>
      <c r="C248" s="27"/>
      <c r="D248" s="30" t="str">
        <f>IF(B248="","",IF(COUNTIF('👥 Asistencia'!$B:$B, B248)&gt;0, IF(C248="DIA", COUNTIFS('👥 Asistencia'!$B:$B, B248, '👥 Asistencia'!$E:$E, "08:00") + COUNTIFS('👥 Asistencia'!$B:$B, B248, '👥 Asistencia'!$E:$E, "07:00"), COUNTIFS('👥 Asistencia'!$B:$B, B248, '👥 Asistencia'!$E:$E, "20:00")), 6))</f>
        <v/>
      </c>
      <c r="E248" s="34" t="str">
        <f>IF(B248="","",IF(COUNTIF('👥 Asistencia'!$B:$B, B248)&gt;0, IF(C248="DIA", SUMIFS('👥 Asistencia'!$H:$H, '👥 Asistencia'!$B:$B, B248, '👥 Asistencia'!$E:$E, "08:00") + SUMIFS('👥 Asistencia'!$H:$H, '👥 Asistencia'!$B:$B, B248, '👥 Asistencia'!$E:$E, "07:00"), SUMIFS('👥 Asistencia'!$H:$H, '👥 Asistencia'!$B:$B, B248, '👥 Asistencia'!$E:$E, "20:00")), 0))</f>
        <v/>
      </c>
      <c r="F248" s="91"/>
      <c r="G248" s="91"/>
      <c r="H248" s="33" t="str">
        <f t="shared" si="6"/>
        <v/>
      </c>
      <c r="I248" s="30" t="str">
        <f t="shared" si="7"/>
        <v/>
      </c>
    </row>
    <row r="249" spans="2:9" ht="18" customHeight="1" x14ac:dyDescent="0.3">
      <c r="B249" s="26"/>
      <c r="C249" s="27"/>
      <c r="D249" s="30" t="str">
        <f>IF(B249="","",IF(COUNTIF('👥 Asistencia'!$B:$B, B249)&gt;0, IF(C249="DIA", COUNTIFS('👥 Asistencia'!$B:$B, B249, '👥 Asistencia'!$E:$E, "08:00") + COUNTIFS('👥 Asistencia'!$B:$B, B249, '👥 Asistencia'!$E:$E, "07:00"), COUNTIFS('👥 Asistencia'!$B:$B, B249, '👥 Asistencia'!$E:$E, "20:00")), 6))</f>
        <v/>
      </c>
      <c r="E249" s="34" t="str">
        <f>IF(B249="","",IF(COUNTIF('👥 Asistencia'!$B:$B, B249)&gt;0, IF(C249="DIA", SUMIFS('👥 Asistencia'!$H:$H, '👥 Asistencia'!$B:$B, B249, '👥 Asistencia'!$E:$E, "08:00") + SUMIFS('👥 Asistencia'!$H:$H, '👥 Asistencia'!$B:$B, B249, '👥 Asistencia'!$E:$E, "07:00"), SUMIFS('👥 Asistencia'!$H:$H, '👥 Asistencia'!$B:$B, B249, '👥 Asistencia'!$E:$E, "20:00")), 0))</f>
        <v/>
      </c>
      <c r="F249" s="92"/>
      <c r="G249" s="92"/>
      <c r="H249" s="33" t="str">
        <f t="shared" si="6"/>
        <v/>
      </c>
      <c r="I249" s="30" t="str">
        <f t="shared" si="7"/>
        <v/>
      </c>
    </row>
    <row r="250" spans="2:9" ht="18" customHeight="1" x14ac:dyDescent="0.3">
      <c r="B250" s="26"/>
      <c r="C250" s="27"/>
      <c r="D250" s="30" t="str">
        <f>IF(B250="","",IF(COUNTIF('👥 Asistencia'!$B:$B, B250)&gt;0, IF(C250="DIA", COUNTIFS('👥 Asistencia'!$B:$B, B250, '👥 Asistencia'!$E:$E, "08:00") + COUNTIFS('👥 Asistencia'!$B:$B, B250, '👥 Asistencia'!$E:$E, "07:00"), COUNTIFS('👥 Asistencia'!$B:$B, B250, '👥 Asistencia'!$E:$E, "20:00")), 6))</f>
        <v/>
      </c>
      <c r="E250" s="34" t="str">
        <f>IF(B250="","",IF(COUNTIF('👥 Asistencia'!$B:$B, B250)&gt;0, IF(C250="DIA", SUMIFS('👥 Asistencia'!$H:$H, '👥 Asistencia'!$B:$B, B250, '👥 Asistencia'!$E:$E, "08:00") + SUMIFS('👥 Asistencia'!$H:$H, '👥 Asistencia'!$B:$B, B250, '👥 Asistencia'!$E:$E, "07:00"), SUMIFS('👥 Asistencia'!$H:$H, '👥 Asistencia'!$B:$B, B250, '👥 Asistencia'!$E:$E, "20:00")), 0))</f>
        <v/>
      </c>
      <c r="F250" s="91"/>
      <c r="G250" s="91"/>
      <c r="H250" s="33" t="str">
        <f t="shared" si="6"/>
        <v/>
      </c>
      <c r="I250" s="30" t="str">
        <f t="shared" si="7"/>
        <v/>
      </c>
    </row>
    <row r="251" spans="2:9" ht="18" customHeight="1" x14ac:dyDescent="0.3">
      <c r="B251" s="26"/>
      <c r="C251" s="27"/>
      <c r="D251" s="30" t="str">
        <f>IF(B251="","",IF(COUNTIF('👥 Asistencia'!$B:$B, B251)&gt;0, IF(C251="DIA", COUNTIFS('👥 Asistencia'!$B:$B, B251, '👥 Asistencia'!$E:$E, "08:00") + COUNTIFS('👥 Asistencia'!$B:$B, B251, '👥 Asistencia'!$E:$E, "07:00"), COUNTIFS('👥 Asistencia'!$B:$B, B251, '👥 Asistencia'!$E:$E, "20:00")), 6))</f>
        <v/>
      </c>
      <c r="E251" s="34" t="str">
        <f>IF(B251="","",IF(COUNTIF('👥 Asistencia'!$B:$B, B251)&gt;0, IF(C251="DIA", SUMIFS('👥 Asistencia'!$H:$H, '👥 Asistencia'!$B:$B, B251, '👥 Asistencia'!$E:$E, "08:00") + SUMIFS('👥 Asistencia'!$H:$H, '👥 Asistencia'!$B:$B, B251, '👥 Asistencia'!$E:$E, "07:00"), SUMIFS('👥 Asistencia'!$H:$H, '👥 Asistencia'!$B:$B, B251, '👥 Asistencia'!$E:$E, "20:00")), 0))</f>
        <v/>
      </c>
      <c r="F251" s="92"/>
      <c r="G251" s="92"/>
      <c r="H251" s="33" t="str">
        <f t="shared" si="6"/>
        <v/>
      </c>
      <c r="I251" s="30" t="str">
        <f t="shared" si="7"/>
        <v/>
      </c>
    </row>
    <row r="252" spans="2:9" ht="18" customHeight="1" x14ac:dyDescent="0.3">
      <c r="B252" s="26"/>
      <c r="C252" s="27"/>
      <c r="D252" s="30" t="str">
        <f>IF(B252="","",IF(COUNTIF('👥 Asistencia'!$B:$B, B252)&gt;0, IF(C252="DIA", COUNTIFS('👥 Asistencia'!$B:$B, B252, '👥 Asistencia'!$E:$E, "08:00") + COUNTIFS('👥 Asistencia'!$B:$B, B252, '👥 Asistencia'!$E:$E, "07:00"), COUNTIFS('👥 Asistencia'!$B:$B, B252, '👥 Asistencia'!$E:$E, "20:00")), 6))</f>
        <v/>
      </c>
      <c r="E252" s="34" t="str">
        <f>IF(B252="","",IF(COUNTIF('👥 Asistencia'!$B:$B, B252)&gt;0, IF(C252="DIA", SUMIFS('👥 Asistencia'!$H:$H, '👥 Asistencia'!$B:$B, B252, '👥 Asistencia'!$E:$E, "08:00") + SUMIFS('👥 Asistencia'!$H:$H, '👥 Asistencia'!$B:$B, B252, '👥 Asistencia'!$E:$E, "07:00"), SUMIFS('👥 Asistencia'!$H:$H, '👥 Asistencia'!$B:$B, B252, '👥 Asistencia'!$E:$E, "20:00")), 0))</f>
        <v/>
      </c>
      <c r="F252" s="91"/>
      <c r="G252" s="91"/>
      <c r="H252" s="33" t="str">
        <f t="shared" si="6"/>
        <v/>
      </c>
      <c r="I252" s="30" t="str">
        <f t="shared" si="7"/>
        <v/>
      </c>
    </row>
    <row r="253" spans="2:9" ht="18" customHeight="1" x14ac:dyDescent="0.3">
      <c r="B253" s="26"/>
      <c r="C253" s="27"/>
      <c r="D253" s="30" t="str">
        <f>IF(B253="","",IF(COUNTIF('👥 Asistencia'!$B:$B, B253)&gt;0, IF(C253="DIA", COUNTIFS('👥 Asistencia'!$B:$B, B253, '👥 Asistencia'!$E:$E, "08:00") + COUNTIFS('👥 Asistencia'!$B:$B, B253, '👥 Asistencia'!$E:$E, "07:00"), COUNTIFS('👥 Asistencia'!$B:$B, B253, '👥 Asistencia'!$E:$E, "20:00")), 6))</f>
        <v/>
      </c>
      <c r="E253" s="34" t="str">
        <f>IF(B253="","",IF(COUNTIF('👥 Asistencia'!$B:$B, B253)&gt;0, IF(C253="DIA", SUMIFS('👥 Asistencia'!$H:$H, '👥 Asistencia'!$B:$B, B253, '👥 Asistencia'!$E:$E, "08:00") + SUMIFS('👥 Asistencia'!$H:$H, '👥 Asistencia'!$B:$B, B253, '👥 Asistencia'!$E:$E, "07:00"), SUMIFS('👥 Asistencia'!$H:$H, '👥 Asistencia'!$B:$B, B253, '👥 Asistencia'!$E:$E, "20:00")), 0))</f>
        <v/>
      </c>
      <c r="F253" s="92"/>
      <c r="G253" s="92"/>
      <c r="H253" s="33" t="str">
        <f t="shared" si="6"/>
        <v/>
      </c>
      <c r="I253" s="30" t="str">
        <f t="shared" si="7"/>
        <v/>
      </c>
    </row>
    <row r="254" spans="2:9" ht="18" customHeight="1" x14ac:dyDescent="0.3">
      <c r="B254" s="26"/>
      <c r="C254" s="27"/>
      <c r="D254" s="30" t="str">
        <f>IF(B254="","",IF(COUNTIF('👥 Asistencia'!$B:$B, B254)&gt;0, IF(C254="DIA", COUNTIFS('👥 Asistencia'!$B:$B, B254, '👥 Asistencia'!$E:$E, "08:00") + COUNTIFS('👥 Asistencia'!$B:$B, B254, '👥 Asistencia'!$E:$E, "07:00"), COUNTIFS('👥 Asistencia'!$B:$B, B254, '👥 Asistencia'!$E:$E, "20:00")), 6))</f>
        <v/>
      </c>
      <c r="E254" s="34" t="str">
        <f>IF(B254="","",IF(COUNTIF('👥 Asistencia'!$B:$B, B254)&gt;0, IF(C254="DIA", SUMIFS('👥 Asistencia'!$H:$H, '👥 Asistencia'!$B:$B, B254, '👥 Asistencia'!$E:$E, "08:00") + SUMIFS('👥 Asistencia'!$H:$H, '👥 Asistencia'!$B:$B, B254, '👥 Asistencia'!$E:$E, "07:00"), SUMIFS('👥 Asistencia'!$H:$H, '👥 Asistencia'!$B:$B, B254, '👥 Asistencia'!$E:$E, "20:00")), 0))</f>
        <v/>
      </c>
      <c r="F254" s="91"/>
      <c r="G254" s="91"/>
      <c r="H254" s="33" t="str">
        <f t="shared" si="6"/>
        <v/>
      </c>
      <c r="I254" s="30" t="str">
        <f t="shared" si="7"/>
        <v/>
      </c>
    </row>
    <row r="255" spans="2:9" ht="18" customHeight="1" x14ac:dyDescent="0.3">
      <c r="B255" s="26"/>
      <c r="C255" s="27"/>
      <c r="D255" s="30" t="str">
        <f>IF(B255="","",IF(COUNTIF('👥 Asistencia'!$B:$B, B255)&gt;0, IF(C255="DIA", COUNTIFS('👥 Asistencia'!$B:$B, B255, '👥 Asistencia'!$E:$E, "08:00") + COUNTIFS('👥 Asistencia'!$B:$B, B255, '👥 Asistencia'!$E:$E, "07:00"), COUNTIFS('👥 Asistencia'!$B:$B, B255, '👥 Asistencia'!$E:$E, "20:00")), 6))</f>
        <v/>
      </c>
      <c r="E255" s="34" t="str">
        <f>IF(B255="","",IF(COUNTIF('👥 Asistencia'!$B:$B, B255)&gt;0, IF(C255="DIA", SUMIFS('👥 Asistencia'!$H:$H, '👥 Asistencia'!$B:$B, B255, '👥 Asistencia'!$E:$E, "08:00") + SUMIFS('👥 Asistencia'!$H:$H, '👥 Asistencia'!$B:$B, B255, '👥 Asistencia'!$E:$E, "07:00"), SUMIFS('👥 Asistencia'!$H:$H, '👥 Asistencia'!$B:$B, B255, '👥 Asistencia'!$E:$E, "20:00")), 0))</f>
        <v/>
      </c>
      <c r="F255" s="92"/>
      <c r="G255" s="92"/>
      <c r="H255" s="33" t="str">
        <f t="shared" si="6"/>
        <v/>
      </c>
      <c r="I255" s="30" t="str">
        <f t="shared" si="7"/>
        <v/>
      </c>
    </row>
    <row r="256" spans="2:9" ht="18" customHeight="1" x14ac:dyDescent="0.3">
      <c r="B256" s="26"/>
      <c r="C256" s="27"/>
      <c r="D256" s="30" t="str">
        <f>IF(B256="","",IF(COUNTIF('👥 Asistencia'!$B:$B, B256)&gt;0, IF(C256="DIA", COUNTIFS('👥 Asistencia'!$B:$B, B256, '👥 Asistencia'!$E:$E, "08:00") + COUNTIFS('👥 Asistencia'!$B:$B, B256, '👥 Asistencia'!$E:$E, "07:00"), COUNTIFS('👥 Asistencia'!$B:$B, B256, '👥 Asistencia'!$E:$E, "20:00")), 6))</f>
        <v/>
      </c>
      <c r="E256" s="34" t="str">
        <f>IF(B256="","",IF(COUNTIF('👥 Asistencia'!$B:$B, B256)&gt;0, IF(C256="DIA", SUMIFS('👥 Asistencia'!$H:$H, '👥 Asistencia'!$B:$B, B256, '👥 Asistencia'!$E:$E, "08:00") + SUMIFS('👥 Asistencia'!$H:$H, '👥 Asistencia'!$B:$B, B256, '👥 Asistencia'!$E:$E, "07:00"), SUMIFS('👥 Asistencia'!$H:$H, '👥 Asistencia'!$B:$B, B256, '👥 Asistencia'!$E:$E, "20:00")), 0))</f>
        <v/>
      </c>
      <c r="F256" s="91"/>
      <c r="G256" s="91"/>
      <c r="H256" s="33" t="str">
        <f t="shared" si="6"/>
        <v/>
      </c>
      <c r="I256" s="30" t="str">
        <f t="shared" si="7"/>
        <v/>
      </c>
    </row>
    <row r="257" spans="2:9" ht="18" customHeight="1" x14ac:dyDescent="0.3">
      <c r="B257" s="26"/>
      <c r="C257" s="27"/>
      <c r="D257" s="30" t="str">
        <f>IF(B257="","",IF(COUNTIF('👥 Asistencia'!$B:$B, B257)&gt;0, IF(C257="DIA", COUNTIFS('👥 Asistencia'!$B:$B, B257, '👥 Asistencia'!$E:$E, "08:00") + COUNTIFS('👥 Asistencia'!$B:$B, B257, '👥 Asistencia'!$E:$E, "07:00"), COUNTIFS('👥 Asistencia'!$B:$B, B257, '👥 Asistencia'!$E:$E, "20:00")), 6))</f>
        <v/>
      </c>
      <c r="E257" s="34" t="str">
        <f>IF(B257="","",IF(COUNTIF('👥 Asistencia'!$B:$B, B257)&gt;0, IF(C257="DIA", SUMIFS('👥 Asistencia'!$H:$H, '👥 Asistencia'!$B:$B, B257, '👥 Asistencia'!$E:$E, "08:00") + SUMIFS('👥 Asistencia'!$H:$H, '👥 Asistencia'!$B:$B, B257, '👥 Asistencia'!$E:$E, "07:00"), SUMIFS('👥 Asistencia'!$H:$H, '👥 Asistencia'!$B:$B, B257, '👥 Asistencia'!$E:$E, "20:00")), 0))</f>
        <v/>
      </c>
      <c r="F257" s="92"/>
      <c r="G257" s="92"/>
      <c r="H257" s="33" t="str">
        <f t="shared" si="6"/>
        <v/>
      </c>
      <c r="I257" s="30" t="str">
        <f t="shared" si="7"/>
        <v/>
      </c>
    </row>
    <row r="258" spans="2:9" ht="18" customHeight="1" x14ac:dyDescent="0.3">
      <c r="B258" s="26"/>
      <c r="C258" s="27"/>
      <c r="D258" s="30" t="str">
        <f>IF(B258="","",IF(COUNTIF('👥 Asistencia'!$B:$B, B258)&gt;0, IF(C258="DIA", COUNTIFS('👥 Asistencia'!$B:$B, B258, '👥 Asistencia'!$E:$E, "08:00") + COUNTIFS('👥 Asistencia'!$B:$B, B258, '👥 Asistencia'!$E:$E, "07:00"), COUNTIFS('👥 Asistencia'!$B:$B, B258, '👥 Asistencia'!$E:$E, "20:00")), 6))</f>
        <v/>
      </c>
      <c r="E258" s="34" t="str">
        <f>IF(B258="","",IF(COUNTIF('👥 Asistencia'!$B:$B, B258)&gt;0, IF(C258="DIA", SUMIFS('👥 Asistencia'!$H:$H, '👥 Asistencia'!$B:$B, B258, '👥 Asistencia'!$E:$E, "08:00") + SUMIFS('👥 Asistencia'!$H:$H, '👥 Asistencia'!$B:$B, B258, '👥 Asistencia'!$E:$E, "07:00"), SUMIFS('👥 Asistencia'!$H:$H, '👥 Asistencia'!$B:$B, B258, '👥 Asistencia'!$E:$E, "20:00")), 0))</f>
        <v/>
      </c>
      <c r="F258" s="91"/>
      <c r="G258" s="91"/>
      <c r="H258" s="33" t="str">
        <f t="shared" si="6"/>
        <v/>
      </c>
      <c r="I258" s="30" t="str">
        <f t="shared" si="7"/>
        <v/>
      </c>
    </row>
    <row r="259" spans="2:9" ht="18" customHeight="1" x14ac:dyDescent="0.3">
      <c r="B259" s="26"/>
      <c r="C259" s="27"/>
      <c r="D259" s="30" t="str">
        <f>IF(B259="","",IF(COUNTIF('👥 Asistencia'!$B:$B, B259)&gt;0, IF(C259="DIA", COUNTIFS('👥 Asistencia'!$B:$B, B259, '👥 Asistencia'!$E:$E, "08:00") + COUNTIFS('👥 Asistencia'!$B:$B, B259, '👥 Asistencia'!$E:$E, "07:00"), COUNTIFS('👥 Asistencia'!$B:$B, B259, '👥 Asistencia'!$E:$E, "20:00")), 6))</f>
        <v/>
      </c>
      <c r="E259" s="34" t="str">
        <f>IF(B259="","",IF(COUNTIF('👥 Asistencia'!$B:$B, B259)&gt;0, IF(C259="DIA", SUMIFS('👥 Asistencia'!$H:$H, '👥 Asistencia'!$B:$B, B259, '👥 Asistencia'!$E:$E, "08:00") + SUMIFS('👥 Asistencia'!$H:$H, '👥 Asistencia'!$B:$B, B259, '👥 Asistencia'!$E:$E, "07:00"), SUMIFS('👥 Asistencia'!$H:$H, '👥 Asistencia'!$B:$B, B259, '👥 Asistencia'!$E:$E, "20:00")), 0))</f>
        <v/>
      </c>
      <c r="F259" s="92"/>
      <c r="G259" s="92"/>
      <c r="H259" s="33" t="str">
        <f t="shared" si="6"/>
        <v/>
      </c>
      <c r="I259" s="30" t="str">
        <f t="shared" si="7"/>
        <v/>
      </c>
    </row>
    <row r="260" spans="2:9" ht="18" customHeight="1" x14ac:dyDescent="0.3">
      <c r="B260" s="26"/>
      <c r="C260" s="27"/>
      <c r="D260" s="30" t="str">
        <f>IF(B260="","",IF(COUNTIF('👥 Asistencia'!$B:$B, B260)&gt;0, IF(C260="DIA", COUNTIFS('👥 Asistencia'!$B:$B, B260, '👥 Asistencia'!$E:$E, "08:00") + COUNTIFS('👥 Asistencia'!$B:$B, B260, '👥 Asistencia'!$E:$E, "07:00"), COUNTIFS('👥 Asistencia'!$B:$B, B260, '👥 Asistencia'!$E:$E, "20:00")), 6))</f>
        <v/>
      </c>
      <c r="E260" s="34" t="str">
        <f>IF(B260="","",IF(COUNTIF('👥 Asistencia'!$B:$B, B260)&gt;0, IF(C260="DIA", SUMIFS('👥 Asistencia'!$H:$H, '👥 Asistencia'!$B:$B, B260, '👥 Asistencia'!$E:$E, "08:00") + SUMIFS('👥 Asistencia'!$H:$H, '👥 Asistencia'!$B:$B, B260, '👥 Asistencia'!$E:$E, "07:00"), SUMIFS('👥 Asistencia'!$H:$H, '👥 Asistencia'!$B:$B, B260, '👥 Asistencia'!$E:$E, "20:00")), 0))</f>
        <v/>
      </c>
      <c r="F260" s="91"/>
      <c r="G260" s="91"/>
      <c r="H260" s="33" t="str">
        <f t="shared" si="6"/>
        <v/>
      </c>
      <c r="I260" s="30" t="str">
        <f t="shared" si="7"/>
        <v/>
      </c>
    </row>
    <row r="261" spans="2:9" ht="18" customHeight="1" x14ac:dyDescent="0.3">
      <c r="B261" s="26"/>
      <c r="C261" s="27"/>
      <c r="D261" s="30" t="str">
        <f>IF(B261="","",IF(COUNTIF('👥 Asistencia'!$B:$B, B261)&gt;0, IF(C261="DIA", COUNTIFS('👥 Asistencia'!$B:$B, B261, '👥 Asistencia'!$E:$E, "08:00") + COUNTIFS('👥 Asistencia'!$B:$B, B261, '👥 Asistencia'!$E:$E, "07:00"), COUNTIFS('👥 Asistencia'!$B:$B, B261, '👥 Asistencia'!$E:$E, "20:00")), 6))</f>
        <v/>
      </c>
      <c r="E261" s="34" t="str">
        <f>IF(B261="","",IF(COUNTIF('👥 Asistencia'!$B:$B, B261)&gt;0, IF(C261="DIA", SUMIFS('👥 Asistencia'!$H:$H, '👥 Asistencia'!$B:$B, B261, '👥 Asistencia'!$E:$E, "08:00") + SUMIFS('👥 Asistencia'!$H:$H, '👥 Asistencia'!$B:$B, B261, '👥 Asistencia'!$E:$E, "07:00"), SUMIFS('👥 Asistencia'!$H:$H, '👥 Asistencia'!$B:$B, B261, '👥 Asistencia'!$E:$E, "20:00")), 0))</f>
        <v/>
      </c>
      <c r="F261" s="92"/>
      <c r="G261" s="92"/>
      <c r="H261" s="33" t="str">
        <f t="shared" ref="H261:H324" si="8">IF(B261="","",IF(ISNUMBER(B261),YEAR(B261)&amp;"-"&amp;IF(MONTH(B261)&lt;10,"0","")&amp;MONTH(B261),LEFT(B261,7)))</f>
        <v/>
      </c>
      <c r="I261" s="30" t="str">
        <f t="shared" ref="I261:I324" si="9">IF(B261="","",IF(N(F261)=0, 0, MAX(0, (F261/5) - N(G261))))</f>
        <v/>
      </c>
    </row>
    <row r="262" spans="2:9" ht="18" customHeight="1" x14ac:dyDescent="0.3">
      <c r="B262" s="26"/>
      <c r="C262" s="27"/>
      <c r="D262" s="30" t="str">
        <f>IF(B262="","",IF(COUNTIF('👥 Asistencia'!$B:$B, B262)&gt;0, IF(C262="DIA", COUNTIFS('👥 Asistencia'!$B:$B, B262, '👥 Asistencia'!$E:$E, "08:00") + COUNTIFS('👥 Asistencia'!$B:$B, B262, '👥 Asistencia'!$E:$E, "07:00"), COUNTIFS('👥 Asistencia'!$B:$B, B262, '👥 Asistencia'!$E:$E, "20:00")), 6))</f>
        <v/>
      </c>
      <c r="E262" s="34" t="str">
        <f>IF(B262="","",IF(COUNTIF('👥 Asistencia'!$B:$B, B262)&gt;0, IF(C262="DIA", SUMIFS('👥 Asistencia'!$H:$H, '👥 Asistencia'!$B:$B, B262, '👥 Asistencia'!$E:$E, "08:00") + SUMIFS('👥 Asistencia'!$H:$H, '👥 Asistencia'!$B:$B, B262, '👥 Asistencia'!$E:$E, "07:00"), SUMIFS('👥 Asistencia'!$H:$H, '👥 Asistencia'!$B:$B, B262, '👥 Asistencia'!$E:$E, "20:00")), 0))</f>
        <v/>
      </c>
      <c r="F262" s="91"/>
      <c r="G262" s="91"/>
      <c r="H262" s="33" t="str">
        <f t="shared" si="8"/>
        <v/>
      </c>
      <c r="I262" s="30" t="str">
        <f t="shared" si="9"/>
        <v/>
      </c>
    </row>
    <row r="263" spans="2:9" ht="18" customHeight="1" x14ac:dyDescent="0.3">
      <c r="B263" s="26"/>
      <c r="C263" s="27"/>
      <c r="D263" s="30" t="str">
        <f>IF(B263="","",IF(COUNTIF('👥 Asistencia'!$B:$B, B263)&gt;0, IF(C263="DIA", COUNTIFS('👥 Asistencia'!$B:$B, B263, '👥 Asistencia'!$E:$E, "08:00") + COUNTIFS('👥 Asistencia'!$B:$B, B263, '👥 Asistencia'!$E:$E, "07:00"), COUNTIFS('👥 Asistencia'!$B:$B, B263, '👥 Asistencia'!$E:$E, "20:00")), 6))</f>
        <v/>
      </c>
      <c r="E263" s="34" t="str">
        <f>IF(B263="","",IF(COUNTIF('👥 Asistencia'!$B:$B, B263)&gt;0, IF(C263="DIA", SUMIFS('👥 Asistencia'!$H:$H, '👥 Asistencia'!$B:$B, B263, '👥 Asistencia'!$E:$E, "08:00") + SUMIFS('👥 Asistencia'!$H:$H, '👥 Asistencia'!$B:$B, B263, '👥 Asistencia'!$E:$E, "07:00"), SUMIFS('👥 Asistencia'!$H:$H, '👥 Asistencia'!$B:$B, B263, '👥 Asistencia'!$E:$E, "20:00")), 0))</f>
        <v/>
      </c>
      <c r="F263" s="92"/>
      <c r="G263" s="92"/>
      <c r="H263" s="33" t="str">
        <f t="shared" si="8"/>
        <v/>
      </c>
      <c r="I263" s="30" t="str">
        <f t="shared" si="9"/>
        <v/>
      </c>
    </row>
    <row r="264" spans="2:9" ht="18" customHeight="1" x14ac:dyDescent="0.3">
      <c r="B264" s="26"/>
      <c r="C264" s="27"/>
      <c r="D264" s="30" t="str">
        <f>IF(B264="","",IF(COUNTIF('👥 Asistencia'!$B:$B, B264)&gt;0, IF(C264="DIA", COUNTIFS('👥 Asistencia'!$B:$B, B264, '👥 Asistencia'!$E:$E, "08:00") + COUNTIFS('👥 Asistencia'!$B:$B, B264, '👥 Asistencia'!$E:$E, "07:00"), COUNTIFS('👥 Asistencia'!$B:$B, B264, '👥 Asistencia'!$E:$E, "20:00")), 6))</f>
        <v/>
      </c>
      <c r="E264" s="34" t="str">
        <f>IF(B264="","",IF(COUNTIF('👥 Asistencia'!$B:$B, B264)&gt;0, IF(C264="DIA", SUMIFS('👥 Asistencia'!$H:$H, '👥 Asistencia'!$B:$B, B264, '👥 Asistencia'!$E:$E, "08:00") + SUMIFS('👥 Asistencia'!$H:$H, '👥 Asistencia'!$B:$B, B264, '👥 Asistencia'!$E:$E, "07:00"), SUMIFS('👥 Asistencia'!$H:$H, '👥 Asistencia'!$B:$B, B264, '👥 Asistencia'!$E:$E, "20:00")), 0))</f>
        <v/>
      </c>
      <c r="F264" s="91"/>
      <c r="G264" s="91"/>
      <c r="H264" s="33" t="str">
        <f t="shared" si="8"/>
        <v/>
      </c>
      <c r="I264" s="30" t="str">
        <f t="shared" si="9"/>
        <v/>
      </c>
    </row>
    <row r="265" spans="2:9" ht="18" customHeight="1" x14ac:dyDescent="0.3">
      <c r="B265" s="26"/>
      <c r="C265" s="27"/>
      <c r="D265" s="30" t="str">
        <f>IF(B265="","",IF(COUNTIF('👥 Asistencia'!$B:$B, B265)&gt;0, IF(C265="DIA", COUNTIFS('👥 Asistencia'!$B:$B, B265, '👥 Asistencia'!$E:$E, "08:00") + COUNTIFS('👥 Asistencia'!$B:$B, B265, '👥 Asistencia'!$E:$E, "07:00"), COUNTIFS('👥 Asistencia'!$B:$B, B265, '👥 Asistencia'!$E:$E, "20:00")), 6))</f>
        <v/>
      </c>
      <c r="E265" s="34" t="str">
        <f>IF(B265="","",IF(COUNTIF('👥 Asistencia'!$B:$B, B265)&gt;0, IF(C265="DIA", SUMIFS('👥 Asistencia'!$H:$H, '👥 Asistencia'!$B:$B, B265, '👥 Asistencia'!$E:$E, "08:00") + SUMIFS('👥 Asistencia'!$H:$H, '👥 Asistencia'!$B:$B, B265, '👥 Asistencia'!$E:$E, "07:00"), SUMIFS('👥 Asistencia'!$H:$H, '👥 Asistencia'!$B:$B, B265, '👥 Asistencia'!$E:$E, "20:00")), 0))</f>
        <v/>
      </c>
      <c r="F265" s="92"/>
      <c r="G265" s="92"/>
      <c r="H265" s="33" t="str">
        <f t="shared" si="8"/>
        <v/>
      </c>
      <c r="I265" s="30" t="str">
        <f t="shared" si="9"/>
        <v/>
      </c>
    </row>
    <row r="266" spans="2:9" ht="18" customHeight="1" x14ac:dyDescent="0.3">
      <c r="B266" s="26"/>
      <c r="C266" s="27"/>
      <c r="D266" s="30" t="str">
        <f>IF(B266="","",IF(COUNTIF('👥 Asistencia'!$B:$B, B266)&gt;0, IF(C266="DIA", COUNTIFS('👥 Asistencia'!$B:$B, B266, '👥 Asistencia'!$E:$E, "08:00") + COUNTIFS('👥 Asistencia'!$B:$B, B266, '👥 Asistencia'!$E:$E, "07:00"), COUNTIFS('👥 Asistencia'!$B:$B, B266, '👥 Asistencia'!$E:$E, "20:00")), 6))</f>
        <v/>
      </c>
      <c r="E266" s="34" t="str">
        <f>IF(B266="","",IF(COUNTIF('👥 Asistencia'!$B:$B, B266)&gt;0, IF(C266="DIA", SUMIFS('👥 Asistencia'!$H:$H, '👥 Asistencia'!$B:$B, B266, '👥 Asistencia'!$E:$E, "08:00") + SUMIFS('👥 Asistencia'!$H:$H, '👥 Asistencia'!$B:$B, B266, '👥 Asistencia'!$E:$E, "07:00"), SUMIFS('👥 Asistencia'!$H:$H, '👥 Asistencia'!$B:$B, B266, '👥 Asistencia'!$E:$E, "20:00")), 0))</f>
        <v/>
      </c>
      <c r="F266" s="91"/>
      <c r="G266" s="91"/>
      <c r="H266" s="33" t="str">
        <f t="shared" si="8"/>
        <v/>
      </c>
      <c r="I266" s="30" t="str">
        <f t="shared" si="9"/>
        <v/>
      </c>
    </row>
    <row r="267" spans="2:9" ht="18" customHeight="1" x14ac:dyDescent="0.3">
      <c r="B267" s="26"/>
      <c r="C267" s="27"/>
      <c r="D267" s="30" t="str">
        <f>IF(B267="","",IF(COUNTIF('👥 Asistencia'!$B:$B, B267)&gt;0, IF(C267="DIA", COUNTIFS('👥 Asistencia'!$B:$B, B267, '👥 Asistencia'!$E:$E, "08:00") + COUNTIFS('👥 Asistencia'!$B:$B, B267, '👥 Asistencia'!$E:$E, "07:00"), COUNTIFS('👥 Asistencia'!$B:$B, B267, '👥 Asistencia'!$E:$E, "20:00")), 6))</f>
        <v/>
      </c>
      <c r="E267" s="34" t="str">
        <f>IF(B267="","",IF(COUNTIF('👥 Asistencia'!$B:$B, B267)&gt;0, IF(C267="DIA", SUMIFS('👥 Asistencia'!$H:$H, '👥 Asistencia'!$B:$B, B267, '👥 Asistencia'!$E:$E, "08:00") + SUMIFS('👥 Asistencia'!$H:$H, '👥 Asistencia'!$B:$B, B267, '👥 Asistencia'!$E:$E, "07:00"), SUMIFS('👥 Asistencia'!$H:$H, '👥 Asistencia'!$B:$B, B267, '👥 Asistencia'!$E:$E, "20:00")), 0))</f>
        <v/>
      </c>
      <c r="F267" s="92"/>
      <c r="G267" s="92"/>
      <c r="H267" s="33" t="str">
        <f t="shared" si="8"/>
        <v/>
      </c>
      <c r="I267" s="30" t="str">
        <f t="shared" si="9"/>
        <v/>
      </c>
    </row>
    <row r="268" spans="2:9" ht="18" customHeight="1" x14ac:dyDescent="0.3">
      <c r="B268" s="26"/>
      <c r="C268" s="27"/>
      <c r="D268" s="30" t="str">
        <f>IF(B268="","",IF(COUNTIF('👥 Asistencia'!$B:$B, B268)&gt;0, IF(C268="DIA", COUNTIFS('👥 Asistencia'!$B:$B, B268, '👥 Asistencia'!$E:$E, "08:00") + COUNTIFS('👥 Asistencia'!$B:$B, B268, '👥 Asistencia'!$E:$E, "07:00"), COUNTIFS('👥 Asistencia'!$B:$B, B268, '👥 Asistencia'!$E:$E, "20:00")), 6))</f>
        <v/>
      </c>
      <c r="E268" s="34" t="str">
        <f>IF(B268="","",IF(COUNTIF('👥 Asistencia'!$B:$B, B268)&gt;0, IF(C268="DIA", SUMIFS('👥 Asistencia'!$H:$H, '👥 Asistencia'!$B:$B, B268, '👥 Asistencia'!$E:$E, "08:00") + SUMIFS('👥 Asistencia'!$H:$H, '👥 Asistencia'!$B:$B, B268, '👥 Asistencia'!$E:$E, "07:00"), SUMIFS('👥 Asistencia'!$H:$H, '👥 Asistencia'!$B:$B, B268, '👥 Asistencia'!$E:$E, "20:00")), 0))</f>
        <v/>
      </c>
      <c r="F268" s="91"/>
      <c r="G268" s="91"/>
      <c r="H268" s="33" t="str">
        <f t="shared" si="8"/>
        <v/>
      </c>
      <c r="I268" s="30" t="str">
        <f t="shared" si="9"/>
        <v/>
      </c>
    </row>
    <row r="269" spans="2:9" ht="18" customHeight="1" x14ac:dyDescent="0.3">
      <c r="B269" s="26"/>
      <c r="C269" s="27"/>
      <c r="D269" s="30" t="str">
        <f>IF(B269="","",IF(COUNTIF('👥 Asistencia'!$B:$B, B269)&gt;0, IF(C269="DIA", COUNTIFS('👥 Asistencia'!$B:$B, B269, '👥 Asistencia'!$E:$E, "08:00") + COUNTIFS('👥 Asistencia'!$B:$B, B269, '👥 Asistencia'!$E:$E, "07:00"), COUNTIFS('👥 Asistencia'!$B:$B, B269, '👥 Asistencia'!$E:$E, "20:00")), 6))</f>
        <v/>
      </c>
      <c r="E269" s="34" t="str">
        <f>IF(B269="","",IF(COUNTIF('👥 Asistencia'!$B:$B, B269)&gt;0, IF(C269="DIA", SUMIFS('👥 Asistencia'!$H:$H, '👥 Asistencia'!$B:$B, B269, '👥 Asistencia'!$E:$E, "08:00") + SUMIFS('👥 Asistencia'!$H:$H, '👥 Asistencia'!$B:$B, B269, '👥 Asistencia'!$E:$E, "07:00"), SUMIFS('👥 Asistencia'!$H:$H, '👥 Asistencia'!$B:$B, B269, '👥 Asistencia'!$E:$E, "20:00")), 0))</f>
        <v/>
      </c>
      <c r="F269" s="92"/>
      <c r="G269" s="92"/>
      <c r="H269" s="33" t="str">
        <f t="shared" si="8"/>
        <v/>
      </c>
      <c r="I269" s="30" t="str">
        <f t="shared" si="9"/>
        <v/>
      </c>
    </row>
    <row r="270" spans="2:9" ht="18" customHeight="1" x14ac:dyDescent="0.3">
      <c r="B270" s="26"/>
      <c r="C270" s="27"/>
      <c r="D270" s="30" t="str">
        <f>IF(B270="","",IF(COUNTIF('👥 Asistencia'!$B:$B, B270)&gt;0, IF(C270="DIA", COUNTIFS('👥 Asistencia'!$B:$B, B270, '👥 Asistencia'!$E:$E, "08:00") + COUNTIFS('👥 Asistencia'!$B:$B, B270, '👥 Asistencia'!$E:$E, "07:00"), COUNTIFS('👥 Asistencia'!$B:$B, B270, '👥 Asistencia'!$E:$E, "20:00")), 6))</f>
        <v/>
      </c>
      <c r="E270" s="34" t="str">
        <f>IF(B270="","",IF(COUNTIF('👥 Asistencia'!$B:$B, B270)&gt;0, IF(C270="DIA", SUMIFS('👥 Asistencia'!$H:$H, '👥 Asistencia'!$B:$B, B270, '👥 Asistencia'!$E:$E, "08:00") + SUMIFS('👥 Asistencia'!$H:$H, '👥 Asistencia'!$B:$B, B270, '👥 Asistencia'!$E:$E, "07:00"), SUMIFS('👥 Asistencia'!$H:$H, '👥 Asistencia'!$B:$B, B270, '👥 Asistencia'!$E:$E, "20:00")), 0))</f>
        <v/>
      </c>
      <c r="F270" s="91"/>
      <c r="G270" s="91"/>
      <c r="H270" s="33" t="str">
        <f t="shared" si="8"/>
        <v/>
      </c>
      <c r="I270" s="30" t="str">
        <f t="shared" si="9"/>
        <v/>
      </c>
    </row>
    <row r="271" spans="2:9" ht="18" customHeight="1" x14ac:dyDescent="0.3">
      <c r="B271" s="26"/>
      <c r="C271" s="27"/>
      <c r="D271" s="30" t="str">
        <f>IF(B271="","",IF(COUNTIF('👥 Asistencia'!$B:$B, B271)&gt;0, IF(C271="DIA", COUNTIFS('👥 Asistencia'!$B:$B, B271, '👥 Asistencia'!$E:$E, "08:00") + COUNTIFS('👥 Asistencia'!$B:$B, B271, '👥 Asistencia'!$E:$E, "07:00"), COUNTIFS('👥 Asistencia'!$B:$B, B271, '👥 Asistencia'!$E:$E, "20:00")), 6))</f>
        <v/>
      </c>
      <c r="E271" s="34" t="str">
        <f>IF(B271="","",IF(COUNTIF('👥 Asistencia'!$B:$B, B271)&gt;0, IF(C271="DIA", SUMIFS('👥 Asistencia'!$H:$H, '👥 Asistencia'!$B:$B, B271, '👥 Asistencia'!$E:$E, "08:00") + SUMIFS('👥 Asistencia'!$H:$H, '👥 Asistencia'!$B:$B, B271, '👥 Asistencia'!$E:$E, "07:00"), SUMIFS('👥 Asistencia'!$H:$H, '👥 Asistencia'!$B:$B, B271, '👥 Asistencia'!$E:$E, "20:00")), 0))</f>
        <v/>
      </c>
      <c r="F271" s="92"/>
      <c r="G271" s="92"/>
      <c r="H271" s="33" t="str">
        <f t="shared" si="8"/>
        <v/>
      </c>
      <c r="I271" s="30" t="str">
        <f t="shared" si="9"/>
        <v/>
      </c>
    </row>
    <row r="272" spans="2:9" ht="18" customHeight="1" x14ac:dyDescent="0.3">
      <c r="B272" s="26"/>
      <c r="C272" s="27"/>
      <c r="D272" s="30" t="str">
        <f>IF(B272="","",IF(COUNTIF('👥 Asistencia'!$B:$B, B272)&gt;0, IF(C272="DIA", COUNTIFS('👥 Asistencia'!$B:$B, B272, '👥 Asistencia'!$E:$E, "08:00") + COUNTIFS('👥 Asistencia'!$B:$B, B272, '👥 Asistencia'!$E:$E, "07:00"), COUNTIFS('👥 Asistencia'!$B:$B, B272, '👥 Asistencia'!$E:$E, "20:00")), 6))</f>
        <v/>
      </c>
      <c r="E272" s="34" t="str">
        <f>IF(B272="","",IF(COUNTIF('👥 Asistencia'!$B:$B, B272)&gt;0, IF(C272="DIA", SUMIFS('👥 Asistencia'!$H:$H, '👥 Asistencia'!$B:$B, B272, '👥 Asistencia'!$E:$E, "08:00") + SUMIFS('👥 Asistencia'!$H:$H, '👥 Asistencia'!$B:$B, B272, '👥 Asistencia'!$E:$E, "07:00"), SUMIFS('👥 Asistencia'!$H:$H, '👥 Asistencia'!$B:$B, B272, '👥 Asistencia'!$E:$E, "20:00")), 0))</f>
        <v/>
      </c>
      <c r="F272" s="91"/>
      <c r="G272" s="91"/>
      <c r="H272" s="33" t="str">
        <f t="shared" si="8"/>
        <v/>
      </c>
      <c r="I272" s="30" t="str">
        <f t="shared" si="9"/>
        <v/>
      </c>
    </row>
    <row r="273" spans="2:9" ht="18" customHeight="1" x14ac:dyDescent="0.3">
      <c r="B273" s="26"/>
      <c r="C273" s="27"/>
      <c r="D273" s="30" t="str">
        <f>IF(B273="","",IF(COUNTIF('👥 Asistencia'!$B:$B, B273)&gt;0, IF(C273="DIA", COUNTIFS('👥 Asistencia'!$B:$B, B273, '👥 Asistencia'!$E:$E, "08:00") + COUNTIFS('👥 Asistencia'!$B:$B, B273, '👥 Asistencia'!$E:$E, "07:00"), COUNTIFS('👥 Asistencia'!$B:$B, B273, '👥 Asistencia'!$E:$E, "20:00")), 6))</f>
        <v/>
      </c>
      <c r="E273" s="34" t="str">
        <f>IF(B273="","",IF(COUNTIF('👥 Asistencia'!$B:$B, B273)&gt;0, IF(C273="DIA", SUMIFS('👥 Asistencia'!$H:$H, '👥 Asistencia'!$B:$B, B273, '👥 Asistencia'!$E:$E, "08:00") + SUMIFS('👥 Asistencia'!$H:$H, '👥 Asistencia'!$B:$B, B273, '👥 Asistencia'!$E:$E, "07:00"), SUMIFS('👥 Asistencia'!$H:$H, '👥 Asistencia'!$B:$B, B273, '👥 Asistencia'!$E:$E, "20:00")), 0))</f>
        <v/>
      </c>
      <c r="F273" s="92"/>
      <c r="G273" s="92"/>
      <c r="H273" s="33" t="str">
        <f t="shared" si="8"/>
        <v/>
      </c>
      <c r="I273" s="30" t="str">
        <f t="shared" si="9"/>
        <v/>
      </c>
    </row>
    <row r="274" spans="2:9" ht="18" customHeight="1" x14ac:dyDescent="0.3">
      <c r="B274" s="26"/>
      <c r="C274" s="27"/>
      <c r="D274" s="30" t="str">
        <f>IF(B274="","",IF(COUNTIF('👥 Asistencia'!$B:$B, B274)&gt;0, IF(C274="DIA", COUNTIFS('👥 Asistencia'!$B:$B, B274, '👥 Asistencia'!$E:$E, "08:00") + COUNTIFS('👥 Asistencia'!$B:$B, B274, '👥 Asistencia'!$E:$E, "07:00"), COUNTIFS('👥 Asistencia'!$B:$B, B274, '👥 Asistencia'!$E:$E, "20:00")), 6))</f>
        <v/>
      </c>
      <c r="E274" s="34" t="str">
        <f>IF(B274="","",IF(COUNTIF('👥 Asistencia'!$B:$B, B274)&gt;0, IF(C274="DIA", SUMIFS('👥 Asistencia'!$H:$H, '👥 Asistencia'!$B:$B, B274, '👥 Asistencia'!$E:$E, "08:00") + SUMIFS('👥 Asistencia'!$H:$H, '👥 Asistencia'!$B:$B, B274, '👥 Asistencia'!$E:$E, "07:00"), SUMIFS('👥 Asistencia'!$H:$H, '👥 Asistencia'!$B:$B, B274, '👥 Asistencia'!$E:$E, "20:00")), 0))</f>
        <v/>
      </c>
      <c r="F274" s="91"/>
      <c r="G274" s="91"/>
      <c r="H274" s="33" t="str">
        <f t="shared" si="8"/>
        <v/>
      </c>
      <c r="I274" s="30" t="str">
        <f t="shared" si="9"/>
        <v/>
      </c>
    </row>
    <row r="275" spans="2:9" ht="18" customHeight="1" x14ac:dyDescent="0.3">
      <c r="B275" s="26"/>
      <c r="C275" s="27"/>
      <c r="D275" s="30" t="str">
        <f>IF(B275="","",IF(COUNTIF('👥 Asistencia'!$B:$B, B275)&gt;0, IF(C275="DIA", COUNTIFS('👥 Asistencia'!$B:$B, B275, '👥 Asistencia'!$E:$E, "08:00") + COUNTIFS('👥 Asistencia'!$B:$B, B275, '👥 Asistencia'!$E:$E, "07:00"), COUNTIFS('👥 Asistencia'!$B:$B, B275, '👥 Asistencia'!$E:$E, "20:00")), 6))</f>
        <v/>
      </c>
      <c r="E275" s="34" t="str">
        <f>IF(B275="","",IF(COUNTIF('👥 Asistencia'!$B:$B, B275)&gt;0, IF(C275="DIA", SUMIFS('👥 Asistencia'!$H:$H, '👥 Asistencia'!$B:$B, B275, '👥 Asistencia'!$E:$E, "08:00") + SUMIFS('👥 Asistencia'!$H:$H, '👥 Asistencia'!$B:$B, B275, '👥 Asistencia'!$E:$E, "07:00"), SUMIFS('👥 Asistencia'!$H:$H, '👥 Asistencia'!$B:$B, B275, '👥 Asistencia'!$E:$E, "20:00")), 0))</f>
        <v/>
      </c>
      <c r="F275" s="92"/>
      <c r="G275" s="92"/>
      <c r="H275" s="33" t="str">
        <f t="shared" si="8"/>
        <v/>
      </c>
      <c r="I275" s="30" t="str">
        <f t="shared" si="9"/>
        <v/>
      </c>
    </row>
    <row r="276" spans="2:9" ht="18" customHeight="1" x14ac:dyDescent="0.3">
      <c r="B276" s="26"/>
      <c r="C276" s="27"/>
      <c r="D276" s="30" t="str">
        <f>IF(B276="","",IF(COUNTIF('👥 Asistencia'!$B:$B, B276)&gt;0, IF(C276="DIA", COUNTIFS('👥 Asistencia'!$B:$B, B276, '👥 Asistencia'!$E:$E, "08:00") + COUNTIFS('👥 Asistencia'!$B:$B, B276, '👥 Asistencia'!$E:$E, "07:00"), COUNTIFS('👥 Asistencia'!$B:$B, B276, '👥 Asistencia'!$E:$E, "20:00")), 6))</f>
        <v/>
      </c>
      <c r="E276" s="34" t="str">
        <f>IF(B276="","",IF(COUNTIF('👥 Asistencia'!$B:$B, B276)&gt;0, IF(C276="DIA", SUMIFS('👥 Asistencia'!$H:$H, '👥 Asistencia'!$B:$B, B276, '👥 Asistencia'!$E:$E, "08:00") + SUMIFS('👥 Asistencia'!$H:$H, '👥 Asistencia'!$B:$B, B276, '👥 Asistencia'!$E:$E, "07:00"), SUMIFS('👥 Asistencia'!$H:$H, '👥 Asistencia'!$B:$B, B276, '👥 Asistencia'!$E:$E, "20:00")), 0))</f>
        <v/>
      </c>
      <c r="F276" s="91"/>
      <c r="G276" s="91"/>
      <c r="H276" s="33" t="str">
        <f t="shared" si="8"/>
        <v/>
      </c>
      <c r="I276" s="30" t="str">
        <f t="shared" si="9"/>
        <v/>
      </c>
    </row>
    <row r="277" spans="2:9" ht="18" customHeight="1" x14ac:dyDescent="0.3">
      <c r="B277" s="26"/>
      <c r="C277" s="27"/>
      <c r="D277" s="30" t="str">
        <f>IF(B277="","",IF(COUNTIF('👥 Asistencia'!$B:$B, B277)&gt;0, IF(C277="DIA", COUNTIFS('👥 Asistencia'!$B:$B, B277, '👥 Asistencia'!$E:$E, "08:00") + COUNTIFS('👥 Asistencia'!$B:$B, B277, '👥 Asistencia'!$E:$E, "07:00"), COUNTIFS('👥 Asistencia'!$B:$B, B277, '👥 Asistencia'!$E:$E, "20:00")), 6))</f>
        <v/>
      </c>
      <c r="E277" s="34" t="str">
        <f>IF(B277="","",IF(COUNTIF('👥 Asistencia'!$B:$B, B277)&gt;0, IF(C277="DIA", SUMIFS('👥 Asistencia'!$H:$H, '👥 Asistencia'!$B:$B, B277, '👥 Asistencia'!$E:$E, "08:00") + SUMIFS('👥 Asistencia'!$H:$H, '👥 Asistencia'!$B:$B, B277, '👥 Asistencia'!$E:$E, "07:00"), SUMIFS('👥 Asistencia'!$H:$H, '👥 Asistencia'!$B:$B, B277, '👥 Asistencia'!$E:$E, "20:00")), 0))</f>
        <v/>
      </c>
      <c r="F277" s="92"/>
      <c r="G277" s="92"/>
      <c r="H277" s="33" t="str">
        <f t="shared" si="8"/>
        <v/>
      </c>
      <c r="I277" s="30" t="str">
        <f t="shared" si="9"/>
        <v/>
      </c>
    </row>
    <row r="278" spans="2:9" ht="18" customHeight="1" x14ac:dyDescent="0.3">
      <c r="B278" s="26"/>
      <c r="C278" s="27"/>
      <c r="D278" s="30" t="str">
        <f>IF(B278="","",IF(COUNTIF('👥 Asistencia'!$B:$B, B278)&gt;0, IF(C278="DIA", COUNTIFS('👥 Asistencia'!$B:$B, B278, '👥 Asistencia'!$E:$E, "08:00") + COUNTIFS('👥 Asistencia'!$B:$B, B278, '👥 Asistencia'!$E:$E, "07:00"), COUNTIFS('👥 Asistencia'!$B:$B, B278, '👥 Asistencia'!$E:$E, "20:00")), 6))</f>
        <v/>
      </c>
      <c r="E278" s="34" t="str">
        <f>IF(B278="","",IF(COUNTIF('👥 Asistencia'!$B:$B, B278)&gt;0, IF(C278="DIA", SUMIFS('👥 Asistencia'!$H:$H, '👥 Asistencia'!$B:$B, B278, '👥 Asistencia'!$E:$E, "08:00") + SUMIFS('👥 Asistencia'!$H:$H, '👥 Asistencia'!$B:$B, B278, '👥 Asistencia'!$E:$E, "07:00"), SUMIFS('👥 Asistencia'!$H:$H, '👥 Asistencia'!$B:$B, B278, '👥 Asistencia'!$E:$E, "20:00")), 0))</f>
        <v/>
      </c>
      <c r="F278" s="91"/>
      <c r="G278" s="91"/>
      <c r="H278" s="33" t="str">
        <f t="shared" si="8"/>
        <v/>
      </c>
      <c r="I278" s="30" t="str">
        <f t="shared" si="9"/>
        <v/>
      </c>
    </row>
    <row r="279" spans="2:9" ht="18" customHeight="1" x14ac:dyDescent="0.3">
      <c r="B279" s="26"/>
      <c r="C279" s="27"/>
      <c r="D279" s="30" t="str">
        <f>IF(B279="","",IF(COUNTIF('👥 Asistencia'!$B:$B, B279)&gt;0, IF(C279="DIA", COUNTIFS('👥 Asistencia'!$B:$B, B279, '👥 Asistencia'!$E:$E, "08:00") + COUNTIFS('👥 Asistencia'!$B:$B, B279, '👥 Asistencia'!$E:$E, "07:00"), COUNTIFS('👥 Asistencia'!$B:$B, B279, '👥 Asistencia'!$E:$E, "20:00")), 6))</f>
        <v/>
      </c>
      <c r="E279" s="34" t="str">
        <f>IF(B279="","",IF(COUNTIF('👥 Asistencia'!$B:$B, B279)&gt;0, IF(C279="DIA", SUMIFS('👥 Asistencia'!$H:$H, '👥 Asistencia'!$B:$B, B279, '👥 Asistencia'!$E:$E, "08:00") + SUMIFS('👥 Asistencia'!$H:$H, '👥 Asistencia'!$B:$B, B279, '👥 Asistencia'!$E:$E, "07:00"), SUMIFS('👥 Asistencia'!$H:$H, '👥 Asistencia'!$B:$B, B279, '👥 Asistencia'!$E:$E, "20:00")), 0))</f>
        <v/>
      </c>
      <c r="F279" s="92"/>
      <c r="G279" s="92"/>
      <c r="H279" s="33" t="str">
        <f t="shared" si="8"/>
        <v/>
      </c>
      <c r="I279" s="30" t="str">
        <f t="shared" si="9"/>
        <v/>
      </c>
    </row>
    <row r="280" spans="2:9" ht="18" customHeight="1" x14ac:dyDescent="0.3">
      <c r="B280" s="26"/>
      <c r="C280" s="27"/>
      <c r="D280" s="30" t="str">
        <f>IF(B280="","",IF(COUNTIF('👥 Asistencia'!$B:$B, B280)&gt;0, IF(C280="DIA", COUNTIFS('👥 Asistencia'!$B:$B, B280, '👥 Asistencia'!$E:$E, "08:00") + COUNTIFS('👥 Asistencia'!$B:$B, B280, '👥 Asistencia'!$E:$E, "07:00"), COUNTIFS('👥 Asistencia'!$B:$B, B280, '👥 Asistencia'!$E:$E, "20:00")), 6))</f>
        <v/>
      </c>
      <c r="E280" s="34" t="str">
        <f>IF(B280="","",IF(COUNTIF('👥 Asistencia'!$B:$B, B280)&gt;0, IF(C280="DIA", SUMIFS('👥 Asistencia'!$H:$H, '👥 Asistencia'!$B:$B, B280, '👥 Asistencia'!$E:$E, "08:00") + SUMIFS('👥 Asistencia'!$H:$H, '👥 Asistencia'!$B:$B, B280, '👥 Asistencia'!$E:$E, "07:00"), SUMIFS('👥 Asistencia'!$H:$H, '👥 Asistencia'!$B:$B, B280, '👥 Asistencia'!$E:$E, "20:00")), 0))</f>
        <v/>
      </c>
      <c r="F280" s="91"/>
      <c r="G280" s="91"/>
      <c r="H280" s="33" t="str">
        <f t="shared" si="8"/>
        <v/>
      </c>
      <c r="I280" s="30" t="str">
        <f t="shared" si="9"/>
        <v/>
      </c>
    </row>
    <row r="281" spans="2:9" ht="18" customHeight="1" x14ac:dyDescent="0.3">
      <c r="B281" s="26"/>
      <c r="C281" s="27"/>
      <c r="D281" s="30" t="str">
        <f>IF(B281="","",IF(COUNTIF('👥 Asistencia'!$B:$B, B281)&gt;0, IF(C281="DIA", COUNTIFS('👥 Asistencia'!$B:$B, B281, '👥 Asistencia'!$E:$E, "08:00") + COUNTIFS('👥 Asistencia'!$B:$B, B281, '👥 Asistencia'!$E:$E, "07:00"), COUNTIFS('👥 Asistencia'!$B:$B, B281, '👥 Asistencia'!$E:$E, "20:00")), 6))</f>
        <v/>
      </c>
      <c r="E281" s="34" t="str">
        <f>IF(B281="","",IF(COUNTIF('👥 Asistencia'!$B:$B, B281)&gt;0, IF(C281="DIA", SUMIFS('👥 Asistencia'!$H:$H, '👥 Asistencia'!$B:$B, B281, '👥 Asistencia'!$E:$E, "08:00") + SUMIFS('👥 Asistencia'!$H:$H, '👥 Asistencia'!$B:$B, B281, '👥 Asistencia'!$E:$E, "07:00"), SUMIFS('👥 Asistencia'!$H:$H, '👥 Asistencia'!$B:$B, B281, '👥 Asistencia'!$E:$E, "20:00")), 0))</f>
        <v/>
      </c>
      <c r="F281" s="92"/>
      <c r="G281" s="92"/>
      <c r="H281" s="33" t="str">
        <f t="shared" si="8"/>
        <v/>
      </c>
      <c r="I281" s="30" t="str">
        <f t="shared" si="9"/>
        <v/>
      </c>
    </row>
    <row r="282" spans="2:9" ht="18" customHeight="1" x14ac:dyDescent="0.3">
      <c r="B282" s="26"/>
      <c r="C282" s="27"/>
      <c r="D282" s="30" t="str">
        <f>IF(B282="","",IF(COUNTIF('👥 Asistencia'!$B:$B, B282)&gt;0, IF(C282="DIA", COUNTIFS('👥 Asistencia'!$B:$B, B282, '👥 Asistencia'!$E:$E, "08:00") + COUNTIFS('👥 Asistencia'!$B:$B, B282, '👥 Asistencia'!$E:$E, "07:00"), COUNTIFS('👥 Asistencia'!$B:$B, B282, '👥 Asistencia'!$E:$E, "20:00")), 6))</f>
        <v/>
      </c>
      <c r="E282" s="34" t="str">
        <f>IF(B282="","",IF(COUNTIF('👥 Asistencia'!$B:$B, B282)&gt;0, IF(C282="DIA", SUMIFS('👥 Asistencia'!$H:$H, '👥 Asistencia'!$B:$B, B282, '👥 Asistencia'!$E:$E, "08:00") + SUMIFS('👥 Asistencia'!$H:$H, '👥 Asistencia'!$B:$B, B282, '👥 Asistencia'!$E:$E, "07:00"), SUMIFS('👥 Asistencia'!$H:$H, '👥 Asistencia'!$B:$B, B282, '👥 Asistencia'!$E:$E, "20:00")), 0))</f>
        <v/>
      </c>
      <c r="F282" s="91"/>
      <c r="G282" s="91"/>
      <c r="H282" s="33" t="str">
        <f t="shared" si="8"/>
        <v/>
      </c>
      <c r="I282" s="30" t="str">
        <f t="shared" si="9"/>
        <v/>
      </c>
    </row>
    <row r="283" spans="2:9" ht="18" customHeight="1" x14ac:dyDescent="0.3">
      <c r="B283" s="26"/>
      <c r="C283" s="27"/>
      <c r="D283" s="30" t="str">
        <f>IF(B283="","",IF(COUNTIF('👥 Asistencia'!$B:$B, B283)&gt;0, IF(C283="DIA", COUNTIFS('👥 Asistencia'!$B:$B, B283, '👥 Asistencia'!$E:$E, "08:00") + COUNTIFS('👥 Asistencia'!$B:$B, B283, '👥 Asistencia'!$E:$E, "07:00"), COUNTIFS('👥 Asistencia'!$B:$B, B283, '👥 Asistencia'!$E:$E, "20:00")), 6))</f>
        <v/>
      </c>
      <c r="E283" s="34" t="str">
        <f>IF(B283="","",IF(COUNTIF('👥 Asistencia'!$B:$B, B283)&gt;0, IF(C283="DIA", SUMIFS('👥 Asistencia'!$H:$H, '👥 Asistencia'!$B:$B, B283, '👥 Asistencia'!$E:$E, "08:00") + SUMIFS('👥 Asistencia'!$H:$H, '👥 Asistencia'!$B:$B, B283, '👥 Asistencia'!$E:$E, "07:00"), SUMIFS('👥 Asistencia'!$H:$H, '👥 Asistencia'!$B:$B, B283, '👥 Asistencia'!$E:$E, "20:00")), 0))</f>
        <v/>
      </c>
      <c r="F283" s="92"/>
      <c r="G283" s="92"/>
      <c r="H283" s="33" t="str">
        <f t="shared" si="8"/>
        <v/>
      </c>
      <c r="I283" s="30" t="str">
        <f t="shared" si="9"/>
        <v/>
      </c>
    </row>
    <row r="284" spans="2:9" ht="18" customHeight="1" x14ac:dyDescent="0.3">
      <c r="B284" s="26"/>
      <c r="C284" s="27"/>
      <c r="D284" s="30" t="str">
        <f>IF(B284="","",IF(COUNTIF('👥 Asistencia'!$B:$B, B284)&gt;0, IF(C284="DIA", COUNTIFS('👥 Asistencia'!$B:$B, B284, '👥 Asistencia'!$E:$E, "08:00") + COUNTIFS('👥 Asistencia'!$B:$B, B284, '👥 Asistencia'!$E:$E, "07:00"), COUNTIFS('👥 Asistencia'!$B:$B, B284, '👥 Asistencia'!$E:$E, "20:00")), 6))</f>
        <v/>
      </c>
      <c r="E284" s="34" t="str">
        <f>IF(B284="","",IF(COUNTIF('👥 Asistencia'!$B:$B, B284)&gt;0, IF(C284="DIA", SUMIFS('👥 Asistencia'!$H:$H, '👥 Asistencia'!$B:$B, B284, '👥 Asistencia'!$E:$E, "08:00") + SUMIFS('👥 Asistencia'!$H:$H, '👥 Asistencia'!$B:$B, B284, '👥 Asistencia'!$E:$E, "07:00"), SUMIFS('👥 Asistencia'!$H:$H, '👥 Asistencia'!$B:$B, B284, '👥 Asistencia'!$E:$E, "20:00")), 0))</f>
        <v/>
      </c>
      <c r="F284" s="91"/>
      <c r="G284" s="91"/>
      <c r="H284" s="33" t="str">
        <f t="shared" si="8"/>
        <v/>
      </c>
      <c r="I284" s="30" t="str">
        <f t="shared" si="9"/>
        <v/>
      </c>
    </row>
    <row r="285" spans="2:9" ht="18" customHeight="1" x14ac:dyDescent="0.3">
      <c r="B285" s="26"/>
      <c r="C285" s="27"/>
      <c r="D285" s="30" t="str">
        <f>IF(B285="","",IF(COUNTIF('👥 Asistencia'!$B:$B, B285)&gt;0, IF(C285="DIA", COUNTIFS('👥 Asistencia'!$B:$B, B285, '👥 Asistencia'!$E:$E, "08:00") + COUNTIFS('👥 Asistencia'!$B:$B, B285, '👥 Asistencia'!$E:$E, "07:00"), COUNTIFS('👥 Asistencia'!$B:$B, B285, '👥 Asistencia'!$E:$E, "20:00")), 6))</f>
        <v/>
      </c>
      <c r="E285" s="34" t="str">
        <f>IF(B285="","",IF(COUNTIF('👥 Asistencia'!$B:$B, B285)&gt;0, IF(C285="DIA", SUMIFS('👥 Asistencia'!$H:$H, '👥 Asistencia'!$B:$B, B285, '👥 Asistencia'!$E:$E, "08:00") + SUMIFS('👥 Asistencia'!$H:$H, '👥 Asistencia'!$B:$B, B285, '👥 Asistencia'!$E:$E, "07:00"), SUMIFS('👥 Asistencia'!$H:$H, '👥 Asistencia'!$B:$B, B285, '👥 Asistencia'!$E:$E, "20:00")), 0))</f>
        <v/>
      </c>
      <c r="F285" s="92"/>
      <c r="G285" s="92"/>
      <c r="H285" s="33" t="str">
        <f t="shared" si="8"/>
        <v/>
      </c>
      <c r="I285" s="30" t="str">
        <f t="shared" si="9"/>
        <v/>
      </c>
    </row>
    <row r="286" spans="2:9" ht="18" customHeight="1" x14ac:dyDescent="0.3">
      <c r="B286" s="26"/>
      <c r="C286" s="27"/>
      <c r="D286" s="30" t="str">
        <f>IF(B286="","",IF(COUNTIF('👥 Asistencia'!$B:$B, B286)&gt;0, IF(C286="DIA", COUNTIFS('👥 Asistencia'!$B:$B, B286, '👥 Asistencia'!$E:$E, "08:00") + COUNTIFS('👥 Asistencia'!$B:$B, B286, '👥 Asistencia'!$E:$E, "07:00"), COUNTIFS('👥 Asistencia'!$B:$B, B286, '👥 Asistencia'!$E:$E, "20:00")), 6))</f>
        <v/>
      </c>
      <c r="E286" s="34" t="str">
        <f>IF(B286="","",IF(COUNTIF('👥 Asistencia'!$B:$B, B286)&gt;0, IF(C286="DIA", SUMIFS('👥 Asistencia'!$H:$H, '👥 Asistencia'!$B:$B, B286, '👥 Asistencia'!$E:$E, "08:00") + SUMIFS('👥 Asistencia'!$H:$H, '👥 Asistencia'!$B:$B, B286, '👥 Asistencia'!$E:$E, "07:00"), SUMIFS('👥 Asistencia'!$H:$H, '👥 Asistencia'!$B:$B, B286, '👥 Asistencia'!$E:$E, "20:00")), 0))</f>
        <v/>
      </c>
      <c r="F286" s="91"/>
      <c r="G286" s="91"/>
      <c r="H286" s="33" t="str">
        <f t="shared" si="8"/>
        <v/>
      </c>
      <c r="I286" s="30" t="str">
        <f t="shared" si="9"/>
        <v/>
      </c>
    </row>
    <row r="287" spans="2:9" ht="18" customHeight="1" x14ac:dyDescent="0.3">
      <c r="B287" s="26"/>
      <c r="C287" s="27"/>
      <c r="D287" s="30" t="str">
        <f>IF(B287="","",IF(COUNTIF('👥 Asistencia'!$B:$B, B287)&gt;0, IF(C287="DIA", COUNTIFS('👥 Asistencia'!$B:$B, B287, '👥 Asistencia'!$E:$E, "08:00") + COUNTIFS('👥 Asistencia'!$B:$B, B287, '👥 Asistencia'!$E:$E, "07:00"), COUNTIFS('👥 Asistencia'!$B:$B, B287, '👥 Asistencia'!$E:$E, "20:00")), 6))</f>
        <v/>
      </c>
      <c r="E287" s="34" t="str">
        <f>IF(B287="","",IF(COUNTIF('👥 Asistencia'!$B:$B, B287)&gt;0, IF(C287="DIA", SUMIFS('👥 Asistencia'!$H:$H, '👥 Asistencia'!$B:$B, B287, '👥 Asistencia'!$E:$E, "08:00") + SUMIFS('👥 Asistencia'!$H:$H, '👥 Asistencia'!$B:$B, B287, '👥 Asistencia'!$E:$E, "07:00"), SUMIFS('👥 Asistencia'!$H:$H, '👥 Asistencia'!$B:$B, B287, '👥 Asistencia'!$E:$E, "20:00")), 0))</f>
        <v/>
      </c>
      <c r="F287" s="92"/>
      <c r="G287" s="92"/>
      <c r="H287" s="33" t="str">
        <f t="shared" si="8"/>
        <v/>
      </c>
      <c r="I287" s="30" t="str">
        <f t="shared" si="9"/>
        <v/>
      </c>
    </row>
    <row r="288" spans="2:9" ht="18" customHeight="1" x14ac:dyDescent="0.3">
      <c r="B288" s="26"/>
      <c r="C288" s="27"/>
      <c r="D288" s="30" t="str">
        <f>IF(B288="","",IF(COUNTIF('👥 Asistencia'!$B:$B, B288)&gt;0, IF(C288="DIA", COUNTIFS('👥 Asistencia'!$B:$B, B288, '👥 Asistencia'!$E:$E, "08:00") + COUNTIFS('👥 Asistencia'!$B:$B, B288, '👥 Asistencia'!$E:$E, "07:00"), COUNTIFS('👥 Asistencia'!$B:$B, B288, '👥 Asistencia'!$E:$E, "20:00")), 6))</f>
        <v/>
      </c>
      <c r="E288" s="34" t="str">
        <f>IF(B288="","",IF(COUNTIF('👥 Asistencia'!$B:$B, B288)&gt;0, IF(C288="DIA", SUMIFS('👥 Asistencia'!$H:$H, '👥 Asistencia'!$B:$B, B288, '👥 Asistencia'!$E:$E, "08:00") + SUMIFS('👥 Asistencia'!$H:$H, '👥 Asistencia'!$B:$B, B288, '👥 Asistencia'!$E:$E, "07:00"), SUMIFS('👥 Asistencia'!$H:$H, '👥 Asistencia'!$B:$B, B288, '👥 Asistencia'!$E:$E, "20:00")), 0))</f>
        <v/>
      </c>
      <c r="F288" s="91"/>
      <c r="G288" s="91"/>
      <c r="H288" s="33" t="str">
        <f t="shared" si="8"/>
        <v/>
      </c>
      <c r="I288" s="30" t="str">
        <f t="shared" si="9"/>
        <v/>
      </c>
    </row>
    <row r="289" spans="2:9" ht="18" customHeight="1" x14ac:dyDescent="0.3">
      <c r="B289" s="26"/>
      <c r="C289" s="27"/>
      <c r="D289" s="30" t="str">
        <f>IF(B289="","",IF(COUNTIF('👥 Asistencia'!$B:$B, B289)&gt;0, IF(C289="DIA", COUNTIFS('👥 Asistencia'!$B:$B, B289, '👥 Asistencia'!$E:$E, "08:00") + COUNTIFS('👥 Asistencia'!$B:$B, B289, '👥 Asistencia'!$E:$E, "07:00"), COUNTIFS('👥 Asistencia'!$B:$B, B289, '👥 Asistencia'!$E:$E, "20:00")), 6))</f>
        <v/>
      </c>
      <c r="E289" s="34" t="str">
        <f>IF(B289="","",IF(COUNTIF('👥 Asistencia'!$B:$B, B289)&gt;0, IF(C289="DIA", SUMIFS('👥 Asistencia'!$H:$H, '👥 Asistencia'!$B:$B, B289, '👥 Asistencia'!$E:$E, "08:00") + SUMIFS('👥 Asistencia'!$H:$H, '👥 Asistencia'!$B:$B, B289, '👥 Asistencia'!$E:$E, "07:00"), SUMIFS('👥 Asistencia'!$H:$H, '👥 Asistencia'!$B:$B, B289, '👥 Asistencia'!$E:$E, "20:00")), 0))</f>
        <v/>
      </c>
      <c r="F289" s="92"/>
      <c r="G289" s="92"/>
      <c r="H289" s="33" t="str">
        <f t="shared" si="8"/>
        <v/>
      </c>
      <c r="I289" s="30" t="str">
        <f t="shared" si="9"/>
        <v/>
      </c>
    </row>
    <row r="290" spans="2:9" ht="18" customHeight="1" x14ac:dyDescent="0.3">
      <c r="B290" s="26"/>
      <c r="C290" s="27"/>
      <c r="D290" s="30" t="str">
        <f>IF(B290="","",IF(COUNTIF('👥 Asistencia'!$B:$B, B290)&gt;0, IF(C290="DIA", COUNTIFS('👥 Asistencia'!$B:$B, B290, '👥 Asistencia'!$E:$E, "08:00") + COUNTIFS('👥 Asistencia'!$B:$B, B290, '👥 Asistencia'!$E:$E, "07:00"), COUNTIFS('👥 Asistencia'!$B:$B, B290, '👥 Asistencia'!$E:$E, "20:00")), 6))</f>
        <v/>
      </c>
      <c r="E290" s="34" t="str">
        <f>IF(B290="","",IF(COUNTIF('👥 Asistencia'!$B:$B, B290)&gt;0, IF(C290="DIA", SUMIFS('👥 Asistencia'!$H:$H, '👥 Asistencia'!$B:$B, B290, '👥 Asistencia'!$E:$E, "08:00") + SUMIFS('👥 Asistencia'!$H:$H, '👥 Asistencia'!$B:$B, B290, '👥 Asistencia'!$E:$E, "07:00"), SUMIFS('👥 Asistencia'!$H:$H, '👥 Asistencia'!$B:$B, B290, '👥 Asistencia'!$E:$E, "20:00")), 0))</f>
        <v/>
      </c>
      <c r="F290" s="91"/>
      <c r="G290" s="91"/>
      <c r="H290" s="33" t="str">
        <f t="shared" si="8"/>
        <v/>
      </c>
      <c r="I290" s="30" t="str">
        <f t="shared" si="9"/>
        <v/>
      </c>
    </row>
    <row r="291" spans="2:9" ht="18" customHeight="1" x14ac:dyDescent="0.3">
      <c r="B291" s="26"/>
      <c r="C291" s="27"/>
      <c r="D291" s="30" t="str">
        <f>IF(B291="","",IF(COUNTIF('👥 Asistencia'!$B:$B, B291)&gt;0, IF(C291="DIA", COUNTIFS('👥 Asistencia'!$B:$B, B291, '👥 Asistencia'!$E:$E, "08:00") + COUNTIFS('👥 Asistencia'!$B:$B, B291, '👥 Asistencia'!$E:$E, "07:00"), COUNTIFS('👥 Asistencia'!$B:$B, B291, '👥 Asistencia'!$E:$E, "20:00")), 6))</f>
        <v/>
      </c>
      <c r="E291" s="34" t="str">
        <f>IF(B291="","",IF(COUNTIF('👥 Asistencia'!$B:$B, B291)&gt;0, IF(C291="DIA", SUMIFS('👥 Asistencia'!$H:$H, '👥 Asistencia'!$B:$B, B291, '👥 Asistencia'!$E:$E, "08:00") + SUMIFS('👥 Asistencia'!$H:$H, '👥 Asistencia'!$B:$B, B291, '👥 Asistencia'!$E:$E, "07:00"), SUMIFS('👥 Asistencia'!$H:$H, '👥 Asistencia'!$B:$B, B291, '👥 Asistencia'!$E:$E, "20:00")), 0))</f>
        <v/>
      </c>
      <c r="F291" s="92"/>
      <c r="G291" s="92"/>
      <c r="H291" s="33" t="str">
        <f t="shared" si="8"/>
        <v/>
      </c>
      <c r="I291" s="30" t="str">
        <f t="shared" si="9"/>
        <v/>
      </c>
    </row>
    <row r="292" spans="2:9" ht="18" customHeight="1" x14ac:dyDescent="0.3">
      <c r="B292" s="26"/>
      <c r="C292" s="27"/>
      <c r="D292" s="30" t="str">
        <f>IF(B292="","",IF(COUNTIF('👥 Asistencia'!$B:$B, B292)&gt;0, IF(C292="DIA", COUNTIFS('👥 Asistencia'!$B:$B, B292, '👥 Asistencia'!$E:$E, "08:00") + COUNTIFS('👥 Asistencia'!$B:$B, B292, '👥 Asistencia'!$E:$E, "07:00"), COUNTIFS('👥 Asistencia'!$B:$B, B292, '👥 Asistencia'!$E:$E, "20:00")), 6))</f>
        <v/>
      </c>
      <c r="E292" s="34" t="str">
        <f>IF(B292="","",IF(COUNTIF('👥 Asistencia'!$B:$B, B292)&gt;0, IF(C292="DIA", SUMIFS('👥 Asistencia'!$H:$H, '👥 Asistencia'!$B:$B, B292, '👥 Asistencia'!$E:$E, "08:00") + SUMIFS('👥 Asistencia'!$H:$H, '👥 Asistencia'!$B:$B, B292, '👥 Asistencia'!$E:$E, "07:00"), SUMIFS('👥 Asistencia'!$H:$H, '👥 Asistencia'!$B:$B, B292, '👥 Asistencia'!$E:$E, "20:00")), 0))</f>
        <v/>
      </c>
      <c r="F292" s="91"/>
      <c r="G292" s="91"/>
      <c r="H292" s="33" t="str">
        <f t="shared" si="8"/>
        <v/>
      </c>
      <c r="I292" s="30" t="str">
        <f t="shared" si="9"/>
        <v/>
      </c>
    </row>
    <row r="293" spans="2:9" ht="18" customHeight="1" x14ac:dyDescent="0.3">
      <c r="B293" s="26"/>
      <c r="C293" s="27"/>
      <c r="D293" s="30" t="str">
        <f>IF(B293="","",IF(COUNTIF('👥 Asistencia'!$B:$B, B293)&gt;0, IF(C293="DIA", COUNTIFS('👥 Asistencia'!$B:$B, B293, '👥 Asistencia'!$E:$E, "08:00") + COUNTIFS('👥 Asistencia'!$B:$B, B293, '👥 Asistencia'!$E:$E, "07:00"), COUNTIFS('👥 Asistencia'!$B:$B, B293, '👥 Asistencia'!$E:$E, "20:00")), 6))</f>
        <v/>
      </c>
      <c r="E293" s="34" t="str">
        <f>IF(B293="","",IF(COUNTIF('👥 Asistencia'!$B:$B, B293)&gt;0, IF(C293="DIA", SUMIFS('👥 Asistencia'!$H:$H, '👥 Asistencia'!$B:$B, B293, '👥 Asistencia'!$E:$E, "08:00") + SUMIFS('👥 Asistencia'!$H:$H, '👥 Asistencia'!$B:$B, B293, '👥 Asistencia'!$E:$E, "07:00"), SUMIFS('👥 Asistencia'!$H:$H, '👥 Asistencia'!$B:$B, B293, '👥 Asistencia'!$E:$E, "20:00")), 0))</f>
        <v/>
      </c>
      <c r="F293" s="92"/>
      <c r="G293" s="92"/>
      <c r="H293" s="33" t="str">
        <f t="shared" si="8"/>
        <v/>
      </c>
      <c r="I293" s="30" t="str">
        <f t="shared" si="9"/>
        <v/>
      </c>
    </row>
    <row r="294" spans="2:9" ht="18" customHeight="1" x14ac:dyDescent="0.3">
      <c r="B294" s="26"/>
      <c r="C294" s="27"/>
      <c r="D294" s="30" t="str">
        <f>IF(B294="","",IF(COUNTIF('👥 Asistencia'!$B:$B, B294)&gt;0, IF(C294="DIA", COUNTIFS('👥 Asistencia'!$B:$B, B294, '👥 Asistencia'!$E:$E, "08:00") + COUNTIFS('👥 Asistencia'!$B:$B, B294, '👥 Asistencia'!$E:$E, "07:00"), COUNTIFS('👥 Asistencia'!$B:$B, B294, '👥 Asistencia'!$E:$E, "20:00")), 6))</f>
        <v/>
      </c>
      <c r="E294" s="34" t="str">
        <f>IF(B294="","",IF(COUNTIF('👥 Asistencia'!$B:$B, B294)&gt;0, IF(C294="DIA", SUMIFS('👥 Asistencia'!$H:$H, '👥 Asistencia'!$B:$B, B294, '👥 Asistencia'!$E:$E, "08:00") + SUMIFS('👥 Asistencia'!$H:$H, '👥 Asistencia'!$B:$B, B294, '👥 Asistencia'!$E:$E, "07:00"), SUMIFS('👥 Asistencia'!$H:$H, '👥 Asistencia'!$B:$B, B294, '👥 Asistencia'!$E:$E, "20:00")), 0))</f>
        <v/>
      </c>
      <c r="F294" s="91"/>
      <c r="G294" s="91"/>
      <c r="H294" s="33" t="str">
        <f t="shared" si="8"/>
        <v/>
      </c>
      <c r="I294" s="30" t="str">
        <f t="shared" si="9"/>
        <v/>
      </c>
    </row>
    <row r="295" spans="2:9" ht="18" customHeight="1" x14ac:dyDescent="0.3">
      <c r="B295" s="26"/>
      <c r="C295" s="27"/>
      <c r="D295" s="30" t="str">
        <f>IF(B295="","",IF(COUNTIF('👥 Asistencia'!$B:$B, B295)&gt;0, IF(C295="DIA", COUNTIFS('👥 Asistencia'!$B:$B, B295, '👥 Asistencia'!$E:$E, "08:00") + COUNTIFS('👥 Asistencia'!$B:$B, B295, '👥 Asistencia'!$E:$E, "07:00"), COUNTIFS('👥 Asistencia'!$B:$B, B295, '👥 Asistencia'!$E:$E, "20:00")), 6))</f>
        <v/>
      </c>
      <c r="E295" s="34" t="str">
        <f>IF(B295="","",IF(COUNTIF('👥 Asistencia'!$B:$B, B295)&gt;0, IF(C295="DIA", SUMIFS('👥 Asistencia'!$H:$H, '👥 Asistencia'!$B:$B, B295, '👥 Asistencia'!$E:$E, "08:00") + SUMIFS('👥 Asistencia'!$H:$H, '👥 Asistencia'!$B:$B, B295, '👥 Asistencia'!$E:$E, "07:00"), SUMIFS('👥 Asistencia'!$H:$H, '👥 Asistencia'!$B:$B, B295, '👥 Asistencia'!$E:$E, "20:00")), 0))</f>
        <v/>
      </c>
      <c r="F295" s="92"/>
      <c r="G295" s="92"/>
      <c r="H295" s="33" t="str">
        <f t="shared" si="8"/>
        <v/>
      </c>
      <c r="I295" s="30" t="str">
        <f t="shared" si="9"/>
        <v/>
      </c>
    </row>
    <row r="296" spans="2:9" ht="18" customHeight="1" x14ac:dyDescent="0.3">
      <c r="B296" s="26"/>
      <c r="C296" s="27"/>
      <c r="D296" s="30" t="str">
        <f>IF(B296="","",IF(COUNTIF('👥 Asistencia'!$B:$B, B296)&gt;0, IF(C296="DIA", COUNTIFS('👥 Asistencia'!$B:$B, B296, '👥 Asistencia'!$E:$E, "08:00") + COUNTIFS('👥 Asistencia'!$B:$B, B296, '👥 Asistencia'!$E:$E, "07:00"), COUNTIFS('👥 Asistencia'!$B:$B, B296, '👥 Asistencia'!$E:$E, "20:00")), 6))</f>
        <v/>
      </c>
      <c r="E296" s="34" t="str">
        <f>IF(B296="","",IF(COUNTIF('👥 Asistencia'!$B:$B, B296)&gt;0, IF(C296="DIA", SUMIFS('👥 Asistencia'!$H:$H, '👥 Asistencia'!$B:$B, B296, '👥 Asistencia'!$E:$E, "08:00") + SUMIFS('👥 Asistencia'!$H:$H, '👥 Asistencia'!$B:$B, B296, '👥 Asistencia'!$E:$E, "07:00"), SUMIFS('👥 Asistencia'!$H:$H, '👥 Asistencia'!$B:$B, B296, '👥 Asistencia'!$E:$E, "20:00")), 0))</f>
        <v/>
      </c>
      <c r="F296" s="91"/>
      <c r="G296" s="91"/>
      <c r="H296" s="33" t="str">
        <f t="shared" si="8"/>
        <v/>
      </c>
      <c r="I296" s="30" t="str">
        <f t="shared" si="9"/>
        <v/>
      </c>
    </row>
    <row r="297" spans="2:9" ht="18" customHeight="1" x14ac:dyDescent="0.3">
      <c r="B297" s="26"/>
      <c r="C297" s="27"/>
      <c r="D297" s="30" t="str">
        <f>IF(B297="","",IF(COUNTIF('👥 Asistencia'!$B:$B, B297)&gt;0, IF(C297="DIA", COUNTIFS('👥 Asistencia'!$B:$B, B297, '👥 Asistencia'!$E:$E, "08:00") + COUNTIFS('👥 Asistencia'!$B:$B, B297, '👥 Asistencia'!$E:$E, "07:00"), COUNTIFS('👥 Asistencia'!$B:$B, B297, '👥 Asistencia'!$E:$E, "20:00")), 6))</f>
        <v/>
      </c>
      <c r="E297" s="34" t="str">
        <f>IF(B297="","",IF(COUNTIF('👥 Asistencia'!$B:$B, B297)&gt;0, IF(C297="DIA", SUMIFS('👥 Asistencia'!$H:$H, '👥 Asistencia'!$B:$B, B297, '👥 Asistencia'!$E:$E, "08:00") + SUMIFS('👥 Asistencia'!$H:$H, '👥 Asistencia'!$B:$B, B297, '👥 Asistencia'!$E:$E, "07:00"), SUMIFS('👥 Asistencia'!$H:$H, '👥 Asistencia'!$B:$B, B297, '👥 Asistencia'!$E:$E, "20:00")), 0))</f>
        <v/>
      </c>
      <c r="F297" s="92"/>
      <c r="G297" s="92"/>
      <c r="H297" s="33" t="str">
        <f t="shared" si="8"/>
        <v/>
      </c>
      <c r="I297" s="30" t="str">
        <f t="shared" si="9"/>
        <v/>
      </c>
    </row>
    <row r="298" spans="2:9" ht="18" customHeight="1" x14ac:dyDescent="0.3">
      <c r="B298" s="26"/>
      <c r="C298" s="27"/>
      <c r="D298" s="30" t="str">
        <f>IF(B298="","",IF(COUNTIF('👥 Asistencia'!$B:$B, B298)&gt;0, IF(C298="DIA", COUNTIFS('👥 Asistencia'!$B:$B, B298, '👥 Asistencia'!$E:$E, "08:00") + COUNTIFS('👥 Asistencia'!$B:$B, B298, '👥 Asistencia'!$E:$E, "07:00"), COUNTIFS('👥 Asistencia'!$B:$B, B298, '👥 Asistencia'!$E:$E, "20:00")), 6))</f>
        <v/>
      </c>
      <c r="E298" s="34" t="str">
        <f>IF(B298="","",IF(COUNTIF('👥 Asistencia'!$B:$B, B298)&gt;0, IF(C298="DIA", SUMIFS('👥 Asistencia'!$H:$H, '👥 Asistencia'!$B:$B, B298, '👥 Asistencia'!$E:$E, "08:00") + SUMIFS('👥 Asistencia'!$H:$H, '👥 Asistencia'!$B:$B, B298, '👥 Asistencia'!$E:$E, "07:00"), SUMIFS('👥 Asistencia'!$H:$H, '👥 Asistencia'!$B:$B, B298, '👥 Asistencia'!$E:$E, "20:00")), 0))</f>
        <v/>
      </c>
      <c r="F298" s="91"/>
      <c r="G298" s="91"/>
      <c r="H298" s="33" t="str">
        <f t="shared" si="8"/>
        <v/>
      </c>
      <c r="I298" s="30" t="str">
        <f t="shared" si="9"/>
        <v/>
      </c>
    </row>
    <row r="299" spans="2:9" ht="18" customHeight="1" x14ac:dyDescent="0.3">
      <c r="B299" s="26"/>
      <c r="C299" s="27"/>
      <c r="D299" s="30" t="str">
        <f>IF(B299="","",IF(COUNTIF('👥 Asistencia'!$B:$B, B299)&gt;0, IF(C299="DIA", COUNTIFS('👥 Asistencia'!$B:$B, B299, '👥 Asistencia'!$E:$E, "08:00") + COUNTIFS('👥 Asistencia'!$B:$B, B299, '👥 Asistencia'!$E:$E, "07:00"), COUNTIFS('👥 Asistencia'!$B:$B, B299, '👥 Asistencia'!$E:$E, "20:00")), 6))</f>
        <v/>
      </c>
      <c r="E299" s="34" t="str">
        <f>IF(B299="","",IF(COUNTIF('👥 Asistencia'!$B:$B, B299)&gt;0, IF(C299="DIA", SUMIFS('👥 Asistencia'!$H:$H, '👥 Asistencia'!$B:$B, B299, '👥 Asistencia'!$E:$E, "08:00") + SUMIFS('👥 Asistencia'!$H:$H, '👥 Asistencia'!$B:$B, B299, '👥 Asistencia'!$E:$E, "07:00"), SUMIFS('👥 Asistencia'!$H:$H, '👥 Asistencia'!$B:$B, B299, '👥 Asistencia'!$E:$E, "20:00")), 0))</f>
        <v/>
      </c>
      <c r="F299" s="92"/>
      <c r="G299" s="92"/>
      <c r="H299" s="33" t="str">
        <f t="shared" si="8"/>
        <v/>
      </c>
      <c r="I299" s="30" t="str">
        <f t="shared" si="9"/>
        <v/>
      </c>
    </row>
    <row r="300" spans="2:9" ht="18" customHeight="1" x14ac:dyDescent="0.3">
      <c r="B300" s="26"/>
      <c r="C300" s="27"/>
      <c r="D300" s="30" t="str">
        <f>IF(B300="","",IF(COUNTIF('👥 Asistencia'!$B:$B, B300)&gt;0, IF(C300="DIA", COUNTIFS('👥 Asistencia'!$B:$B, B300, '👥 Asistencia'!$E:$E, "08:00") + COUNTIFS('👥 Asistencia'!$B:$B, B300, '👥 Asistencia'!$E:$E, "07:00"), COUNTIFS('👥 Asistencia'!$B:$B, B300, '👥 Asistencia'!$E:$E, "20:00")), 6))</f>
        <v/>
      </c>
      <c r="E300" s="34" t="str">
        <f>IF(B300="","",IF(COUNTIF('👥 Asistencia'!$B:$B, B300)&gt;0, IF(C300="DIA", SUMIFS('👥 Asistencia'!$H:$H, '👥 Asistencia'!$B:$B, B300, '👥 Asistencia'!$E:$E, "08:00") + SUMIFS('👥 Asistencia'!$H:$H, '👥 Asistencia'!$B:$B, B300, '👥 Asistencia'!$E:$E, "07:00"), SUMIFS('👥 Asistencia'!$H:$H, '👥 Asistencia'!$B:$B, B300, '👥 Asistencia'!$E:$E, "20:00")), 0))</f>
        <v/>
      </c>
      <c r="F300" s="91"/>
      <c r="G300" s="91"/>
      <c r="H300" s="33" t="str">
        <f t="shared" si="8"/>
        <v/>
      </c>
      <c r="I300" s="30" t="str">
        <f t="shared" si="9"/>
        <v/>
      </c>
    </row>
    <row r="301" spans="2:9" ht="18" customHeight="1" x14ac:dyDescent="0.3">
      <c r="B301" s="26"/>
      <c r="C301" s="27"/>
      <c r="D301" s="30" t="str">
        <f>IF(B301="","",IF(COUNTIF('👥 Asistencia'!$B:$B, B301)&gt;0, IF(C301="DIA", COUNTIFS('👥 Asistencia'!$B:$B, B301, '👥 Asistencia'!$E:$E, "08:00") + COUNTIFS('👥 Asistencia'!$B:$B, B301, '👥 Asistencia'!$E:$E, "07:00"), COUNTIFS('👥 Asistencia'!$B:$B, B301, '👥 Asistencia'!$E:$E, "20:00")), 6))</f>
        <v/>
      </c>
      <c r="E301" s="34" t="str">
        <f>IF(B301="","",IF(COUNTIF('👥 Asistencia'!$B:$B, B301)&gt;0, IF(C301="DIA", SUMIFS('👥 Asistencia'!$H:$H, '👥 Asistencia'!$B:$B, B301, '👥 Asistencia'!$E:$E, "08:00") + SUMIFS('👥 Asistencia'!$H:$H, '👥 Asistencia'!$B:$B, B301, '👥 Asistencia'!$E:$E, "07:00"), SUMIFS('👥 Asistencia'!$H:$H, '👥 Asistencia'!$B:$B, B301, '👥 Asistencia'!$E:$E, "20:00")), 0))</f>
        <v/>
      </c>
      <c r="F301" s="92"/>
      <c r="G301" s="92"/>
      <c r="H301" s="33" t="str">
        <f t="shared" si="8"/>
        <v/>
      </c>
      <c r="I301" s="30" t="str">
        <f t="shared" si="9"/>
        <v/>
      </c>
    </row>
    <row r="302" spans="2:9" ht="18" customHeight="1" x14ac:dyDescent="0.3">
      <c r="B302" s="26"/>
      <c r="C302" s="27"/>
      <c r="D302" s="30" t="str">
        <f>IF(B302="","",IF(COUNTIF('👥 Asistencia'!$B:$B, B302)&gt;0, IF(C302="DIA", COUNTIFS('👥 Asistencia'!$B:$B, B302, '👥 Asistencia'!$E:$E, "08:00") + COUNTIFS('👥 Asistencia'!$B:$B, B302, '👥 Asistencia'!$E:$E, "07:00"), COUNTIFS('👥 Asistencia'!$B:$B, B302, '👥 Asistencia'!$E:$E, "20:00")), 6))</f>
        <v/>
      </c>
      <c r="E302" s="34" t="str">
        <f>IF(B302="","",IF(COUNTIF('👥 Asistencia'!$B:$B, B302)&gt;0, IF(C302="DIA", SUMIFS('👥 Asistencia'!$H:$H, '👥 Asistencia'!$B:$B, B302, '👥 Asistencia'!$E:$E, "08:00") + SUMIFS('👥 Asistencia'!$H:$H, '👥 Asistencia'!$B:$B, B302, '👥 Asistencia'!$E:$E, "07:00"), SUMIFS('👥 Asistencia'!$H:$H, '👥 Asistencia'!$B:$B, B302, '👥 Asistencia'!$E:$E, "20:00")), 0))</f>
        <v/>
      </c>
      <c r="F302" s="91"/>
      <c r="G302" s="91"/>
      <c r="H302" s="33" t="str">
        <f t="shared" si="8"/>
        <v/>
      </c>
      <c r="I302" s="30" t="str">
        <f t="shared" si="9"/>
        <v/>
      </c>
    </row>
    <row r="303" spans="2:9" ht="18" customHeight="1" x14ac:dyDescent="0.3">
      <c r="B303" s="26"/>
      <c r="C303" s="27"/>
      <c r="D303" s="30" t="str">
        <f>IF(B303="","",IF(COUNTIF('👥 Asistencia'!$B:$B, B303)&gt;0, IF(C303="DIA", COUNTIFS('👥 Asistencia'!$B:$B, B303, '👥 Asistencia'!$E:$E, "08:00") + COUNTIFS('👥 Asistencia'!$B:$B, B303, '👥 Asistencia'!$E:$E, "07:00"), COUNTIFS('👥 Asistencia'!$B:$B, B303, '👥 Asistencia'!$E:$E, "20:00")), 6))</f>
        <v/>
      </c>
      <c r="E303" s="34" t="str">
        <f>IF(B303="","",IF(COUNTIF('👥 Asistencia'!$B:$B, B303)&gt;0, IF(C303="DIA", SUMIFS('👥 Asistencia'!$H:$H, '👥 Asistencia'!$B:$B, B303, '👥 Asistencia'!$E:$E, "08:00") + SUMIFS('👥 Asistencia'!$H:$H, '👥 Asistencia'!$B:$B, B303, '👥 Asistencia'!$E:$E, "07:00"), SUMIFS('👥 Asistencia'!$H:$H, '👥 Asistencia'!$B:$B, B303, '👥 Asistencia'!$E:$E, "20:00")), 0))</f>
        <v/>
      </c>
      <c r="F303" s="92"/>
      <c r="G303" s="92"/>
      <c r="H303" s="33" t="str">
        <f t="shared" si="8"/>
        <v/>
      </c>
      <c r="I303" s="30" t="str">
        <f t="shared" si="9"/>
        <v/>
      </c>
    </row>
    <row r="304" spans="2:9" ht="18" customHeight="1" x14ac:dyDescent="0.3">
      <c r="B304" s="26"/>
      <c r="C304" s="27"/>
      <c r="D304" s="30" t="str">
        <f>IF(B304="","",IF(COUNTIF('👥 Asistencia'!$B:$B, B304)&gt;0, IF(C304="DIA", COUNTIFS('👥 Asistencia'!$B:$B, B304, '👥 Asistencia'!$E:$E, "08:00") + COUNTIFS('👥 Asistencia'!$B:$B, B304, '👥 Asistencia'!$E:$E, "07:00"), COUNTIFS('👥 Asistencia'!$B:$B, B304, '👥 Asistencia'!$E:$E, "20:00")), 6))</f>
        <v/>
      </c>
      <c r="E304" s="34" t="str">
        <f>IF(B304="","",IF(COUNTIF('👥 Asistencia'!$B:$B, B304)&gt;0, IF(C304="DIA", SUMIFS('👥 Asistencia'!$H:$H, '👥 Asistencia'!$B:$B, B304, '👥 Asistencia'!$E:$E, "08:00") + SUMIFS('👥 Asistencia'!$H:$H, '👥 Asistencia'!$B:$B, B304, '👥 Asistencia'!$E:$E, "07:00"), SUMIFS('👥 Asistencia'!$H:$H, '👥 Asistencia'!$B:$B, B304, '👥 Asistencia'!$E:$E, "20:00")), 0))</f>
        <v/>
      </c>
      <c r="F304" s="91"/>
      <c r="G304" s="91"/>
      <c r="H304" s="33" t="str">
        <f t="shared" si="8"/>
        <v/>
      </c>
      <c r="I304" s="30" t="str">
        <f t="shared" si="9"/>
        <v/>
      </c>
    </row>
    <row r="305" spans="2:9" ht="18" customHeight="1" x14ac:dyDescent="0.3">
      <c r="B305" s="26"/>
      <c r="C305" s="27"/>
      <c r="D305" s="30" t="str">
        <f>IF(B305="","",IF(COUNTIF('👥 Asistencia'!$B:$B, B305)&gt;0, IF(C305="DIA", COUNTIFS('👥 Asistencia'!$B:$B, B305, '👥 Asistencia'!$E:$E, "08:00") + COUNTIFS('👥 Asistencia'!$B:$B, B305, '👥 Asistencia'!$E:$E, "07:00"), COUNTIFS('👥 Asistencia'!$B:$B, B305, '👥 Asistencia'!$E:$E, "20:00")), 6))</f>
        <v/>
      </c>
      <c r="E305" s="34" t="str">
        <f>IF(B305="","",IF(COUNTIF('👥 Asistencia'!$B:$B, B305)&gt;0, IF(C305="DIA", SUMIFS('👥 Asistencia'!$H:$H, '👥 Asistencia'!$B:$B, B305, '👥 Asistencia'!$E:$E, "08:00") + SUMIFS('👥 Asistencia'!$H:$H, '👥 Asistencia'!$B:$B, B305, '👥 Asistencia'!$E:$E, "07:00"), SUMIFS('👥 Asistencia'!$H:$H, '👥 Asistencia'!$B:$B, B305, '👥 Asistencia'!$E:$E, "20:00")), 0))</f>
        <v/>
      </c>
      <c r="F305" s="92"/>
      <c r="G305" s="92"/>
      <c r="H305" s="33" t="str">
        <f t="shared" si="8"/>
        <v/>
      </c>
      <c r="I305" s="30" t="str">
        <f t="shared" si="9"/>
        <v/>
      </c>
    </row>
    <row r="306" spans="2:9" ht="18" customHeight="1" x14ac:dyDescent="0.3">
      <c r="B306" s="26"/>
      <c r="C306" s="27"/>
      <c r="D306" s="30" t="str">
        <f>IF(B306="","",IF(COUNTIF('👥 Asistencia'!$B:$B, B306)&gt;0, IF(C306="DIA", COUNTIFS('👥 Asistencia'!$B:$B, B306, '👥 Asistencia'!$E:$E, "08:00") + COUNTIFS('👥 Asistencia'!$B:$B, B306, '👥 Asistencia'!$E:$E, "07:00"), COUNTIFS('👥 Asistencia'!$B:$B, B306, '👥 Asistencia'!$E:$E, "20:00")), 6))</f>
        <v/>
      </c>
      <c r="E306" s="34" t="str">
        <f>IF(B306="","",IF(COUNTIF('👥 Asistencia'!$B:$B, B306)&gt;0, IF(C306="DIA", SUMIFS('👥 Asistencia'!$H:$H, '👥 Asistencia'!$B:$B, B306, '👥 Asistencia'!$E:$E, "08:00") + SUMIFS('👥 Asistencia'!$H:$H, '👥 Asistencia'!$B:$B, B306, '👥 Asistencia'!$E:$E, "07:00"), SUMIFS('👥 Asistencia'!$H:$H, '👥 Asistencia'!$B:$B, B306, '👥 Asistencia'!$E:$E, "20:00")), 0))</f>
        <v/>
      </c>
      <c r="F306" s="91"/>
      <c r="G306" s="91"/>
      <c r="H306" s="33" t="str">
        <f t="shared" si="8"/>
        <v/>
      </c>
      <c r="I306" s="30" t="str">
        <f t="shared" si="9"/>
        <v/>
      </c>
    </row>
    <row r="307" spans="2:9" ht="18" customHeight="1" x14ac:dyDescent="0.3">
      <c r="B307" s="26"/>
      <c r="C307" s="27"/>
      <c r="D307" s="30" t="str">
        <f>IF(B307="","",IF(COUNTIF('👥 Asistencia'!$B:$B, B307)&gt;0, IF(C307="DIA", COUNTIFS('👥 Asistencia'!$B:$B, B307, '👥 Asistencia'!$E:$E, "08:00") + COUNTIFS('👥 Asistencia'!$B:$B, B307, '👥 Asistencia'!$E:$E, "07:00"), COUNTIFS('👥 Asistencia'!$B:$B, B307, '👥 Asistencia'!$E:$E, "20:00")), 6))</f>
        <v/>
      </c>
      <c r="E307" s="34" t="str">
        <f>IF(B307="","",IF(COUNTIF('👥 Asistencia'!$B:$B, B307)&gt;0, IF(C307="DIA", SUMIFS('👥 Asistencia'!$H:$H, '👥 Asistencia'!$B:$B, B307, '👥 Asistencia'!$E:$E, "08:00") + SUMIFS('👥 Asistencia'!$H:$H, '👥 Asistencia'!$B:$B, B307, '👥 Asistencia'!$E:$E, "07:00"), SUMIFS('👥 Asistencia'!$H:$H, '👥 Asistencia'!$B:$B, B307, '👥 Asistencia'!$E:$E, "20:00")), 0))</f>
        <v/>
      </c>
      <c r="F307" s="92"/>
      <c r="G307" s="92"/>
      <c r="H307" s="33" t="str">
        <f t="shared" si="8"/>
        <v/>
      </c>
      <c r="I307" s="30" t="str">
        <f t="shared" si="9"/>
        <v/>
      </c>
    </row>
    <row r="308" spans="2:9" ht="18" customHeight="1" x14ac:dyDescent="0.3">
      <c r="B308" s="26"/>
      <c r="C308" s="27"/>
      <c r="D308" s="30" t="str">
        <f>IF(B308="","",IF(COUNTIF('👥 Asistencia'!$B:$B, B308)&gt;0, IF(C308="DIA", COUNTIFS('👥 Asistencia'!$B:$B, B308, '👥 Asistencia'!$E:$E, "08:00") + COUNTIFS('👥 Asistencia'!$B:$B, B308, '👥 Asistencia'!$E:$E, "07:00"), COUNTIFS('👥 Asistencia'!$B:$B, B308, '👥 Asistencia'!$E:$E, "20:00")), 6))</f>
        <v/>
      </c>
      <c r="E308" s="34" t="str">
        <f>IF(B308="","",IF(COUNTIF('👥 Asistencia'!$B:$B, B308)&gt;0, IF(C308="DIA", SUMIFS('👥 Asistencia'!$H:$H, '👥 Asistencia'!$B:$B, B308, '👥 Asistencia'!$E:$E, "08:00") + SUMIFS('👥 Asistencia'!$H:$H, '👥 Asistencia'!$B:$B, B308, '👥 Asistencia'!$E:$E, "07:00"), SUMIFS('👥 Asistencia'!$H:$H, '👥 Asistencia'!$B:$B, B308, '👥 Asistencia'!$E:$E, "20:00")), 0))</f>
        <v/>
      </c>
      <c r="F308" s="91"/>
      <c r="G308" s="91"/>
      <c r="H308" s="33" t="str">
        <f t="shared" si="8"/>
        <v/>
      </c>
      <c r="I308" s="30" t="str">
        <f t="shared" si="9"/>
        <v/>
      </c>
    </row>
    <row r="309" spans="2:9" ht="18" customHeight="1" x14ac:dyDescent="0.3">
      <c r="B309" s="26"/>
      <c r="C309" s="27"/>
      <c r="D309" s="30" t="str">
        <f>IF(B309="","",IF(COUNTIF('👥 Asistencia'!$B:$B, B309)&gt;0, IF(C309="DIA", COUNTIFS('👥 Asistencia'!$B:$B, B309, '👥 Asistencia'!$E:$E, "08:00") + COUNTIFS('👥 Asistencia'!$B:$B, B309, '👥 Asistencia'!$E:$E, "07:00"), COUNTIFS('👥 Asistencia'!$B:$B, B309, '👥 Asistencia'!$E:$E, "20:00")), 6))</f>
        <v/>
      </c>
      <c r="E309" s="34" t="str">
        <f>IF(B309="","",IF(COUNTIF('👥 Asistencia'!$B:$B, B309)&gt;0, IF(C309="DIA", SUMIFS('👥 Asistencia'!$H:$H, '👥 Asistencia'!$B:$B, B309, '👥 Asistencia'!$E:$E, "08:00") + SUMIFS('👥 Asistencia'!$H:$H, '👥 Asistencia'!$B:$B, B309, '👥 Asistencia'!$E:$E, "07:00"), SUMIFS('👥 Asistencia'!$H:$H, '👥 Asistencia'!$B:$B, B309, '👥 Asistencia'!$E:$E, "20:00")), 0))</f>
        <v/>
      </c>
      <c r="F309" s="92"/>
      <c r="G309" s="92"/>
      <c r="H309" s="33" t="str">
        <f t="shared" si="8"/>
        <v/>
      </c>
      <c r="I309" s="30" t="str">
        <f t="shared" si="9"/>
        <v/>
      </c>
    </row>
    <row r="310" spans="2:9" ht="18" customHeight="1" x14ac:dyDescent="0.3">
      <c r="B310" s="26"/>
      <c r="C310" s="27"/>
      <c r="D310" s="30" t="str">
        <f>IF(B310="","",IF(COUNTIF('👥 Asistencia'!$B:$B, B310)&gt;0, IF(C310="DIA", COUNTIFS('👥 Asistencia'!$B:$B, B310, '👥 Asistencia'!$E:$E, "08:00") + COUNTIFS('👥 Asistencia'!$B:$B, B310, '👥 Asistencia'!$E:$E, "07:00"), COUNTIFS('👥 Asistencia'!$B:$B, B310, '👥 Asistencia'!$E:$E, "20:00")), 6))</f>
        <v/>
      </c>
      <c r="E310" s="34" t="str">
        <f>IF(B310="","",IF(COUNTIF('👥 Asistencia'!$B:$B, B310)&gt;0, IF(C310="DIA", SUMIFS('👥 Asistencia'!$H:$H, '👥 Asistencia'!$B:$B, B310, '👥 Asistencia'!$E:$E, "08:00") + SUMIFS('👥 Asistencia'!$H:$H, '👥 Asistencia'!$B:$B, B310, '👥 Asistencia'!$E:$E, "07:00"), SUMIFS('👥 Asistencia'!$H:$H, '👥 Asistencia'!$B:$B, B310, '👥 Asistencia'!$E:$E, "20:00")), 0))</f>
        <v/>
      </c>
      <c r="F310" s="91"/>
      <c r="G310" s="91"/>
      <c r="H310" s="33" t="str">
        <f t="shared" si="8"/>
        <v/>
      </c>
      <c r="I310" s="30" t="str">
        <f t="shared" si="9"/>
        <v/>
      </c>
    </row>
    <row r="311" spans="2:9" ht="18" customHeight="1" x14ac:dyDescent="0.3">
      <c r="B311" s="26"/>
      <c r="C311" s="27"/>
      <c r="D311" s="30" t="str">
        <f>IF(B311="","",IF(COUNTIF('👥 Asistencia'!$B:$B, B311)&gt;0, IF(C311="DIA", COUNTIFS('👥 Asistencia'!$B:$B, B311, '👥 Asistencia'!$E:$E, "08:00") + COUNTIFS('👥 Asistencia'!$B:$B, B311, '👥 Asistencia'!$E:$E, "07:00"), COUNTIFS('👥 Asistencia'!$B:$B, B311, '👥 Asistencia'!$E:$E, "20:00")), 6))</f>
        <v/>
      </c>
      <c r="E311" s="34" t="str">
        <f>IF(B311="","",IF(COUNTIF('👥 Asistencia'!$B:$B, B311)&gt;0, IF(C311="DIA", SUMIFS('👥 Asistencia'!$H:$H, '👥 Asistencia'!$B:$B, B311, '👥 Asistencia'!$E:$E, "08:00") + SUMIFS('👥 Asistencia'!$H:$H, '👥 Asistencia'!$B:$B, B311, '👥 Asistencia'!$E:$E, "07:00"), SUMIFS('👥 Asistencia'!$H:$H, '👥 Asistencia'!$B:$B, B311, '👥 Asistencia'!$E:$E, "20:00")), 0))</f>
        <v/>
      </c>
      <c r="F311" s="92"/>
      <c r="G311" s="92"/>
      <c r="H311" s="33" t="str">
        <f t="shared" si="8"/>
        <v/>
      </c>
      <c r="I311" s="30" t="str">
        <f t="shared" si="9"/>
        <v/>
      </c>
    </row>
    <row r="312" spans="2:9" ht="18" customHeight="1" x14ac:dyDescent="0.3">
      <c r="B312" s="26"/>
      <c r="C312" s="27"/>
      <c r="D312" s="30" t="str">
        <f>IF(B312="","",IF(COUNTIF('👥 Asistencia'!$B:$B, B312)&gt;0, IF(C312="DIA", COUNTIFS('👥 Asistencia'!$B:$B, B312, '👥 Asistencia'!$E:$E, "08:00") + COUNTIFS('👥 Asistencia'!$B:$B, B312, '👥 Asistencia'!$E:$E, "07:00"), COUNTIFS('👥 Asistencia'!$B:$B, B312, '👥 Asistencia'!$E:$E, "20:00")), 6))</f>
        <v/>
      </c>
      <c r="E312" s="34" t="str">
        <f>IF(B312="","",IF(COUNTIF('👥 Asistencia'!$B:$B, B312)&gt;0, IF(C312="DIA", SUMIFS('👥 Asistencia'!$H:$H, '👥 Asistencia'!$B:$B, B312, '👥 Asistencia'!$E:$E, "08:00") + SUMIFS('👥 Asistencia'!$H:$H, '👥 Asistencia'!$B:$B, B312, '👥 Asistencia'!$E:$E, "07:00"), SUMIFS('👥 Asistencia'!$H:$H, '👥 Asistencia'!$B:$B, B312, '👥 Asistencia'!$E:$E, "20:00")), 0))</f>
        <v/>
      </c>
      <c r="F312" s="91"/>
      <c r="G312" s="91"/>
      <c r="H312" s="33" t="str">
        <f t="shared" si="8"/>
        <v/>
      </c>
      <c r="I312" s="30" t="str">
        <f t="shared" si="9"/>
        <v/>
      </c>
    </row>
    <row r="313" spans="2:9" ht="18" customHeight="1" x14ac:dyDescent="0.3">
      <c r="B313" s="26"/>
      <c r="C313" s="27"/>
      <c r="D313" s="30" t="str">
        <f>IF(B313="","",IF(COUNTIF('👥 Asistencia'!$B:$B, B313)&gt;0, IF(C313="DIA", COUNTIFS('👥 Asistencia'!$B:$B, B313, '👥 Asistencia'!$E:$E, "08:00") + COUNTIFS('👥 Asistencia'!$B:$B, B313, '👥 Asistencia'!$E:$E, "07:00"), COUNTIFS('👥 Asistencia'!$B:$B, B313, '👥 Asistencia'!$E:$E, "20:00")), 6))</f>
        <v/>
      </c>
      <c r="E313" s="34" t="str">
        <f>IF(B313="","",IF(COUNTIF('👥 Asistencia'!$B:$B, B313)&gt;0, IF(C313="DIA", SUMIFS('👥 Asistencia'!$H:$H, '👥 Asistencia'!$B:$B, B313, '👥 Asistencia'!$E:$E, "08:00") + SUMIFS('👥 Asistencia'!$H:$H, '👥 Asistencia'!$B:$B, B313, '👥 Asistencia'!$E:$E, "07:00"), SUMIFS('👥 Asistencia'!$H:$H, '👥 Asistencia'!$B:$B, B313, '👥 Asistencia'!$E:$E, "20:00")), 0))</f>
        <v/>
      </c>
      <c r="F313" s="92"/>
      <c r="G313" s="92"/>
      <c r="H313" s="33" t="str">
        <f t="shared" si="8"/>
        <v/>
      </c>
      <c r="I313" s="30" t="str">
        <f t="shared" si="9"/>
        <v/>
      </c>
    </row>
    <row r="314" spans="2:9" ht="18" customHeight="1" x14ac:dyDescent="0.3">
      <c r="B314" s="26"/>
      <c r="C314" s="27"/>
      <c r="D314" s="30" t="str">
        <f>IF(B314="","",IF(COUNTIF('👥 Asistencia'!$B:$B, B314)&gt;0, IF(C314="DIA", COUNTIFS('👥 Asistencia'!$B:$B, B314, '👥 Asistencia'!$E:$E, "08:00") + COUNTIFS('👥 Asistencia'!$B:$B, B314, '👥 Asistencia'!$E:$E, "07:00"), COUNTIFS('👥 Asistencia'!$B:$B, B314, '👥 Asistencia'!$E:$E, "20:00")), 6))</f>
        <v/>
      </c>
      <c r="E314" s="34" t="str">
        <f>IF(B314="","",IF(COUNTIF('👥 Asistencia'!$B:$B, B314)&gt;0, IF(C314="DIA", SUMIFS('👥 Asistencia'!$H:$H, '👥 Asistencia'!$B:$B, B314, '👥 Asistencia'!$E:$E, "08:00") + SUMIFS('👥 Asistencia'!$H:$H, '👥 Asistencia'!$B:$B, B314, '👥 Asistencia'!$E:$E, "07:00"), SUMIFS('👥 Asistencia'!$H:$H, '👥 Asistencia'!$B:$B, B314, '👥 Asistencia'!$E:$E, "20:00")), 0))</f>
        <v/>
      </c>
      <c r="F314" s="91"/>
      <c r="G314" s="91"/>
      <c r="H314" s="33" t="str">
        <f t="shared" si="8"/>
        <v/>
      </c>
      <c r="I314" s="30" t="str">
        <f t="shared" si="9"/>
        <v/>
      </c>
    </row>
    <row r="315" spans="2:9" ht="18" customHeight="1" x14ac:dyDescent="0.3">
      <c r="B315" s="26"/>
      <c r="C315" s="27"/>
      <c r="D315" s="30" t="str">
        <f>IF(B315="","",IF(COUNTIF('👥 Asistencia'!$B:$B, B315)&gt;0, IF(C315="DIA", COUNTIFS('👥 Asistencia'!$B:$B, B315, '👥 Asistencia'!$E:$E, "08:00") + COUNTIFS('👥 Asistencia'!$B:$B, B315, '👥 Asistencia'!$E:$E, "07:00"), COUNTIFS('👥 Asistencia'!$B:$B, B315, '👥 Asistencia'!$E:$E, "20:00")), 6))</f>
        <v/>
      </c>
      <c r="E315" s="34" t="str">
        <f>IF(B315="","",IF(COUNTIF('👥 Asistencia'!$B:$B, B315)&gt;0, IF(C315="DIA", SUMIFS('👥 Asistencia'!$H:$H, '👥 Asistencia'!$B:$B, B315, '👥 Asistencia'!$E:$E, "08:00") + SUMIFS('👥 Asistencia'!$H:$H, '👥 Asistencia'!$B:$B, B315, '👥 Asistencia'!$E:$E, "07:00"), SUMIFS('👥 Asistencia'!$H:$H, '👥 Asistencia'!$B:$B, B315, '👥 Asistencia'!$E:$E, "20:00")), 0))</f>
        <v/>
      </c>
      <c r="F315" s="92"/>
      <c r="G315" s="92"/>
      <c r="H315" s="33" t="str">
        <f t="shared" si="8"/>
        <v/>
      </c>
      <c r="I315" s="30" t="str">
        <f t="shared" si="9"/>
        <v/>
      </c>
    </row>
    <row r="316" spans="2:9" ht="18" customHeight="1" x14ac:dyDescent="0.3">
      <c r="B316" s="26"/>
      <c r="C316" s="27"/>
      <c r="D316" s="30" t="str">
        <f>IF(B316="","",IF(COUNTIF('👥 Asistencia'!$B:$B, B316)&gt;0, IF(C316="DIA", COUNTIFS('👥 Asistencia'!$B:$B, B316, '👥 Asistencia'!$E:$E, "08:00") + COUNTIFS('👥 Asistencia'!$B:$B, B316, '👥 Asistencia'!$E:$E, "07:00"), COUNTIFS('👥 Asistencia'!$B:$B, B316, '👥 Asistencia'!$E:$E, "20:00")), 6))</f>
        <v/>
      </c>
      <c r="E316" s="34" t="str">
        <f>IF(B316="","",IF(COUNTIF('👥 Asistencia'!$B:$B, B316)&gt;0, IF(C316="DIA", SUMIFS('👥 Asistencia'!$H:$H, '👥 Asistencia'!$B:$B, B316, '👥 Asistencia'!$E:$E, "08:00") + SUMIFS('👥 Asistencia'!$H:$H, '👥 Asistencia'!$B:$B, B316, '👥 Asistencia'!$E:$E, "07:00"), SUMIFS('👥 Asistencia'!$H:$H, '👥 Asistencia'!$B:$B, B316, '👥 Asistencia'!$E:$E, "20:00")), 0))</f>
        <v/>
      </c>
      <c r="F316" s="91"/>
      <c r="G316" s="91"/>
      <c r="H316" s="33" t="str">
        <f t="shared" si="8"/>
        <v/>
      </c>
      <c r="I316" s="30" t="str">
        <f t="shared" si="9"/>
        <v/>
      </c>
    </row>
    <row r="317" spans="2:9" ht="18" customHeight="1" x14ac:dyDescent="0.3">
      <c r="B317" s="26"/>
      <c r="C317" s="27"/>
      <c r="D317" s="30" t="str">
        <f>IF(B317="","",IF(COUNTIF('👥 Asistencia'!$B:$B, B317)&gt;0, IF(C317="DIA", COUNTIFS('👥 Asistencia'!$B:$B, B317, '👥 Asistencia'!$E:$E, "08:00") + COUNTIFS('👥 Asistencia'!$B:$B, B317, '👥 Asistencia'!$E:$E, "07:00"), COUNTIFS('👥 Asistencia'!$B:$B, B317, '👥 Asistencia'!$E:$E, "20:00")), 6))</f>
        <v/>
      </c>
      <c r="E317" s="34" t="str">
        <f>IF(B317="","",IF(COUNTIF('👥 Asistencia'!$B:$B, B317)&gt;0, IF(C317="DIA", SUMIFS('👥 Asistencia'!$H:$H, '👥 Asistencia'!$B:$B, B317, '👥 Asistencia'!$E:$E, "08:00") + SUMIFS('👥 Asistencia'!$H:$H, '👥 Asistencia'!$B:$B, B317, '👥 Asistencia'!$E:$E, "07:00"), SUMIFS('👥 Asistencia'!$H:$H, '👥 Asistencia'!$B:$B, B317, '👥 Asistencia'!$E:$E, "20:00")), 0))</f>
        <v/>
      </c>
      <c r="F317" s="92"/>
      <c r="G317" s="92"/>
      <c r="H317" s="33" t="str">
        <f t="shared" si="8"/>
        <v/>
      </c>
      <c r="I317" s="30" t="str">
        <f t="shared" si="9"/>
        <v/>
      </c>
    </row>
    <row r="318" spans="2:9" ht="18" customHeight="1" x14ac:dyDescent="0.3">
      <c r="B318" s="26"/>
      <c r="C318" s="27"/>
      <c r="D318" s="30" t="str">
        <f>IF(B318="","",IF(COUNTIF('👥 Asistencia'!$B:$B, B318)&gt;0, IF(C318="DIA", COUNTIFS('👥 Asistencia'!$B:$B, B318, '👥 Asistencia'!$E:$E, "08:00") + COUNTIFS('👥 Asistencia'!$B:$B, B318, '👥 Asistencia'!$E:$E, "07:00"), COUNTIFS('👥 Asistencia'!$B:$B, B318, '👥 Asistencia'!$E:$E, "20:00")), 6))</f>
        <v/>
      </c>
      <c r="E318" s="34" t="str">
        <f>IF(B318="","",IF(COUNTIF('👥 Asistencia'!$B:$B, B318)&gt;0, IF(C318="DIA", SUMIFS('👥 Asistencia'!$H:$H, '👥 Asistencia'!$B:$B, B318, '👥 Asistencia'!$E:$E, "08:00") + SUMIFS('👥 Asistencia'!$H:$H, '👥 Asistencia'!$B:$B, B318, '👥 Asistencia'!$E:$E, "07:00"), SUMIFS('👥 Asistencia'!$H:$H, '👥 Asistencia'!$B:$B, B318, '👥 Asistencia'!$E:$E, "20:00")), 0))</f>
        <v/>
      </c>
      <c r="F318" s="91"/>
      <c r="G318" s="91"/>
      <c r="H318" s="33" t="str">
        <f t="shared" si="8"/>
        <v/>
      </c>
      <c r="I318" s="30" t="str">
        <f t="shared" si="9"/>
        <v/>
      </c>
    </row>
    <row r="319" spans="2:9" ht="18" customHeight="1" x14ac:dyDescent="0.3">
      <c r="B319" s="26"/>
      <c r="C319" s="27"/>
      <c r="D319" s="30" t="str">
        <f>IF(B319="","",IF(COUNTIF('👥 Asistencia'!$B:$B, B319)&gt;0, IF(C319="DIA", COUNTIFS('👥 Asistencia'!$B:$B, B319, '👥 Asistencia'!$E:$E, "08:00") + COUNTIFS('👥 Asistencia'!$B:$B, B319, '👥 Asistencia'!$E:$E, "07:00"), COUNTIFS('👥 Asistencia'!$B:$B, B319, '👥 Asistencia'!$E:$E, "20:00")), 6))</f>
        <v/>
      </c>
      <c r="E319" s="34" t="str">
        <f>IF(B319="","",IF(COUNTIF('👥 Asistencia'!$B:$B, B319)&gt;0, IF(C319="DIA", SUMIFS('👥 Asistencia'!$H:$H, '👥 Asistencia'!$B:$B, B319, '👥 Asistencia'!$E:$E, "08:00") + SUMIFS('👥 Asistencia'!$H:$H, '👥 Asistencia'!$B:$B, B319, '👥 Asistencia'!$E:$E, "07:00"), SUMIFS('👥 Asistencia'!$H:$H, '👥 Asistencia'!$B:$B, B319, '👥 Asistencia'!$E:$E, "20:00")), 0))</f>
        <v/>
      </c>
      <c r="F319" s="92"/>
      <c r="G319" s="92"/>
      <c r="H319" s="33" t="str">
        <f t="shared" si="8"/>
        <v/>
      </c>
      <c r="I319" s="30" t="str">
        <f t="shared" si="9"/>
        <v/>
      </c>
    </row>
    <row r="320" spans="2:9" ht="18" customHeight="1" x14ac:dyDescent="0.3">
      <c r="B320" s="26"/>
      <c r="C320" s="27"/>
      <c r="D320" s="30" t="str">
        <f>IF(B320="","",IF(COUNTIF('👥 Asistencia'!$B:$B, B320)&gt;0, IF(C320="DIA", COUNTIFS('👥 Asistencia'!$B:$B, B320, '👥 Asistencia'!$E:$E, "08:00") + COUNTIFS('👥 Asistencia'!$B:$B, B320, '👥 Asistencia'!$E:$E, "07:00"), COUNTIFS('👥 Asistencia'!$B:$B, B320, '👥 Asistencia'!$E:$E, "20:00")), 6))</f>
        <v/>
      </c>
      <c r="E320" s="34" t="str">
        <f>IF(B320="","",IF(COUNTIF('👥 Asistencia'!$B:$B, B320)&gt;0, IF(C320="DIA", SUMIFS('👥 Asistencia'!$H:$H, '👥 Asistencia'!$B:$B, B320, '👥 Asistencia'!$E:$E, "08:00") + SUMIFS('👥 Asistencia'!$H:$H, '👥 Asistencia'!$B:$B, B320, '👥 Asistencia'!$E:$E, "07:00"), SUMIFS('👥 Asistencia'!$H:$H, '👥 Asistencia'!$B:$B, B320, '👥 Asistencia'!$E:$E, "20:00")), 0))</f>
        <v/>
      </c>
      <c r="F320" s="91"/>
      <c r="G320" s="91"/>
      <c r="H320" s="33" t="str">
        <f t="shared" si="8"/>
        <v/>
      </c>
      <c r="I320" s="30" t="str">
        <f t="shared" si="9"/>
        <v/>
      </c>
    </row>
    <row r="321" spans="2:9" ht="18" customHeight="1" x14ac:dyDescent="0.3">
      <c r="B321" s="26"/>
      <c r="C321" s="27"/>
      <c r="D321" s="30" t="str">
        <f>IF(B321="","",IF(COUNTIF('👥 Asistencia'!$B:$B, B321)&gt;0, IF(C321="DIA", COUNTIFS('👥 Asistencia'!$B:$B, B321, '👥 Asistencia'!$E:$E, "08:00") + COUNTIFS('👥 Asistencia'!$B:$B, B321, '👥 Asistencia'!$E:$E, "07:00"), COUNTIFS('👥 Asistencia'!$B:$B, B321, '👥 Asistencia'!$E:$E, "20:00")), 6))</f>
        <v/>
      </c>
      <c r="E321" s="34" t="str">
        <f>IF(B321="","",IF(COUNTIF('👥 Asistencia'!$B:$B, B321)&gt;0, IF(C321="DIA", SUMIFS('👥 Asistencia'!$H:$H, '👥 Asistencia'!$B:$B, B321, '👥 Asistencia'!$E:$E, "08:00") + SUMIFS('👥 Asistencia'!$H:$H, '👥 Asistencia'!$B:$B, B321, '👥 Asistencia'!$E:$E, "07:00"), SUMIFS('👥 Asistencia'!$H:$H, '👥 Asistencia'!$B:$B, B321, '👥 Asistencia'!$E:$E, "20:00")), 0))</f>
        <v/>
      </c>
      <c r="F321" s="92"/>
      <c r="G321" s="92"/>
      <c r="H321" s="33" t="str">
        <f t="shared" si="8"/>
        <v/>
      </c>
      <c r="I321" s="30" t="str">
        <f t="shared" si="9"/>
        <v/>
      </c>
    </row>
    <row r="322" spans="2:9" ht="18" customHeight="1" x14ac:dyDescent="0.3">
      <c r="B322" s="26"/>
      <c r="C322" s="27"/>
      <c r="D322" s="30" t="str">
        <f>IF(B322="","",IF(COUNTIF('👥 Asistencia'!$B:$B, B322)&gt;0, IF(C322="DIA", COUNTIFS('👥 Asistencia'!$B:$B, B322, '👥 Asistencia'!$E:$E, "08:00") + COUNTIFS('👥 Asistencia'!$B:$B, B322, '👥 Asistencia'!$E:$E, "07:00"), COUNTIFS('👥 Asistencia'!$B:$B, B322, '👥 Asistencia'!$E:$E, "20:00")), 6))</f>
        <v/>
      </c>
      <c r="E322" s="34" t="str">
        <f>IF(B322="","",IF(COUNTIF('👥 Asistencia'!$B:$B, B322)&gt;0, IF(C322="DIA", SUMIFS('👥 Asistencia'!$H:$H, '👥 Asistencia'!$B:$B, B322, '👥 Asistencia'!$E:$E, "08:00") + SUMIFS('👥 Asistencia'!$H:$H, '👥 Asistencia'!$B:$B, B322, '👥 Asistencia'!$E:$E, "07:00"), SUMIFS('👥 Asistencia'!$H:$H, '👥 Asistencia'!$B:$B, B322, '👥 Asistencia'!$E:$E, "20:00")), 0))</f>
        <v/>
      </c>
      <c r="F322" s="91"/>
      <c r="G322" s="91"/>
      <c r="H322" s="33" t="str">
        <f t="shared" si="8"/>
        <v/>
      </c>
      <c r="I322" s="30" t="str">
        <f t="shared" si="9"/>
        <v/>
      </c>
    </row>
    <row r="323" spans="2:9" ht="18" customHeight="1" x14ac:dyDescent="0.3">
      <c r="B323" s="26"/>
      <c r="C323" s="27"/>
      <c r="D323" s="30" t="str">
        <f>IF(B323="","",IF(COUNTIF('👥 Asistencia'!$B:$B, B323)&gt;0, IF(C323="DIA", COUNTIFS('👥 Asistencia'!$B:$B, B323, '👥 Asistencia'!$E:$E, "08:00") + COUNTIFS('👥 Asistencia'!$B:$B, B323, '👥 Asistencia'!$E:$E, "07:00"), COUNTIFS('👥 Asistencia'!$B:$B, B323, '👥 Asistencia'!$E:$E, "20:00")), 6))</f>
        <v/>
      </c>
      <c r="E323" s="34" t="str">
        <f>IF(B323="","",IF(COUNTIF('👥 Asistencia'!$B:$B, B323)&gt;0, IF(C323="DIA", SUMIFS('👥 Asistencia'!$H:$H, '👥 Asistencia'!$B:$B, B323, '👥 Asistencia'!$E:$E, "08:00") + SUMIFS('👥 Asistencia'!$H:$H, '👥 Asistencia'!$B:$B, B323, '👥 Asistencia'!$E:$E, "07:00"), SUMIFS('👥 Asistencia'!$H:$H, '👥 Asistencia'!$B:$B, B323, '👥 Asistencia'!$E:$E, "20:00")), 0))</f>
        <v/>
      </c>
      <c r="F323" s="92"/>
      <c r="G323" s="92"/>
      <c r="H323" s="33" t="str">
        <f t="shared" si="8"/>
        <v/>
      </c>
      <c r="I323" s="30" t="str">
        <f t="shared" si="9"/>
        <v/>
      </c>
    </row>
    <row r="324" spans="2:9" ht="18" customHeight="1" x14ac:dyDescent="0.3">
      <c r="B324" s="26"/>
      <c r="C324" s="27"/>
      <c r="D324" s="30" t="str">
        <f>IF(B324="","",IF(COUNTIF('👥 Asistencia'!$B:$B, B324)&gt;0, IF(C324="DIA", COUNTIFS('👥 Asistencia'!$B:$B, B324, '👥 Asistencia'!$E:$E, "08:00") + COUNTIFS('👥 Asistencia'!$B:$B, B324, '👥 Asistencia'!$E:$E, "07:00"), COUNTIFS('👥 Asistencia'!$B:$B, B324, '👥 Asistencia'!$E:$E, "20:00")), 6))</f>
        <v/>
      </c>
      <c r="E324" s="34" t="str">
        <f>IF(B324="","",IF(COUNTIF('👥 Asistencia'!$B:$B, B324)&gt;0, IF(C324="DIA", SUMIFS('👥 Asistencia'!$H:$H, '👥 Asistencia'!$B:$B, B324, '👥 Asistencia'!$E:$E, "08:00") + SUMIFS('👥 Asistencia'!$H:$H, '👥 Asistencia'!$B:$B, B324, '👥 Asistencia'!$E:$E, "07:00"), SUMIFS('👥 Asistencia'!$H:$H, '👥 Asistencia'!$B:$B, B324, '👥 Asistencia'!$E:$E, "20:00")), 0))</f>
        <v/>
      </c>
      <c r="F324" s="91"/>
      <c r="G324" s="91"/>
      <c r="H324" s="33" t="str">
        <f t="shared" si="8"/>
        <v/>
      </c>
      <c r="I324" s="30" t="str">
        <f t="shared" si="9"/>
        <v/>
      </c>
    </row>
    <row r="325" spans="2:9" ht="18" customHeight="1" x14ac:dyDescent="0.3">
      <c r="B325" s="26"/>
      <c r="C325" s="27"/>
      <c r="D325" s="30" t="str">
        <f>IF(B325="","",IF(COUNTIF('👥 Asistencia'!$B:$B, B325)&gt;0, IF(C325="DIA", COUNTIFS('👥 Asistencia'!$B:$B, B325, '👥 Asistencia'!$E:$E, "08:00") + COUNTIFS('👥 Asistencia'!$B:$B, B325, '👥 Asistencia'!$E:$E, "07:00"), COUNTIFS('👥 Asistencia'!$B:$B, B325, '👥 Asistencia'!$E:$E, "20:00")), 6))</f>
        <v/>
      </c>
      <c r="E325" s="34" t="str">
        <f>IF(B325="","",IF(COUNTIF('👥 Asistencia'!$B:$B, B325)&gt;0, IF(C325="DIA", SUMIFS('👥 Asistencia'!$H:$H, '👥 Asistencia'!$B:$B, B325, '👥 Asistencia'!$E:$E, "08:00") + SUMIFS('👥 Asistencia'!$H:$H, '👥 Asistencia'!$B:$B, B325, '👥 Asistencia'!$E:$E, "07:00"), SUMIFS('👥 Asistencia'!$H:$H, '👥 Asistencia'!$B:$B, B325, '👥 Asistencia'!$E:$E, "20:00")), 0))</f>
        <v/>
      </c>
      <c r="F325" s="92"/>
      <c r="G325" s="92"/>
      <c r="H325" s="33" t="str">
        <f t="shared" ref="H325:H388" si="10">IF(B325="","",IF(ISNUMBER(B325),YEAR(B325)&amp;"-"&amp;IF(MONTH(B325)&lt;10,"0","")&amp;MONTH(B325),LEFT(B325,7)))</f>
        <v/>
      </c>
      <c r="I325" s="30" t="str">
        <f t="shared" ref="I325:I388" si="11">IF(B325="","",IF(N(F325)=0, 0, MAX(0, (F325/5) - N(G325))))</f>
        <v/>
      </c>
    </row>
    <row r="326" spans="2:9" ht="18" customHeight="1" x14ac:dyDescent="0.3">
      <c r="B326" s="26"/>
      <c r="C326" s="27"/>
      <c r="D326" s="30" t="str">
        <f>IF(B326="","",IF(COUNTIF('👥 Asistencia'!$B:$B, B326)&gt;0, IF(C326="DIA", COUNTIFS('👥 Asistencia'!$B:$B, B326, '👥 Asistencia'!$E:$E, "08:00") + COUNTIFS('👥 Asistencia'!$B:$B, B326, '👥 Asistencia'!$E:$E, "07:00"), COUNTIFS('👥 Asistencia'!$B:$B, B326, '👥 Asistencia'!$E:$E, "20:00")), 6))</f>
        <v/>
      </c>
      <c r="E326" s="34" t="str">
        <f>IF(B326="","",IF(COUNTIF('👥 Asistencia'!$B:$B, B326)&gt;0, IF(C326="DIA", SUMIFS('👥 Asistencia'!$H:$H, '👥 Asistencia'!$B:$B, B326, '👥 Asistencia'!$E:$E, "08:00") + SUMIFS('👥 Asistencia'!$H:$H, '👥 Asistencia'!$B:$B, B326, '👥 Asistencia'!$E:$E, "07:00"), SUMIFS('👥 Asistencia'!$H:$H, '👥 Asistencia'!$B:$B, B326, '👥 Asistencia'!$E:$E, "20:00")), 0))</f>
        <v/>
      </c>
      <c r="F326" s="91"/>
      <c r="G326" s="91"/>
      <c r="H326" s="33" t="str">
        <f t="shared" si="10"/>
        <v/>
      </c>
      <c r="I326" s="30" t="str">
        <f t="shared" si="11"/>
        <v/>
      </c>
    </row>
    <row r="327" spans="2:9" ht="18" customHeight="1" x14ac:dyDescent="0.3">
      <c r="B327" s="26"/>
      <c r="C327" s="27"/>
      <c r="D327" s="30" t="str">
        <f>IF(B327="","",IF(COUNTIF('👥 Asistencia'!$B:$B, B327)&gt;0, IF(C327="DIA", COUNTIFS('👥 Asistencia'!$B:$B, B327, '👥 Asistencia'!$E:$E, "08:00") + COUNTIFS('👥 Asistencia'!$B:$B, B327, '👥 Asistencia'!$E:$E, "07:00"), COUNTIFS('👥 Asistencia'!$B:$B, B327, '👥 Asistencia'!$E:$E, "20:00")), 6))</f>
        <v/>
      </c>
      <c r="E327" s="34" t="str">
        <f>IF(B327="","",IF(COUNTIF('👥 Asistencia'!$B:$B, B327)&gt;0, IF(C327="DIA", SUMIFS('👥 Asistencia'!$H:$H, '👥 Asistencia'!$B:$B, B327, '👥 Asistencia'!$E:$E, "08:00") + SUMIFS('👥 Asistencia'!$H:$H, '👥 Asistencia'!$B:$B, B327, '👥 Asistencia'!$E:$E, "07:00"), SUMIFS('👥 Asistencia'!$H:$H, '👥 Asistencia'!$B:$B, B327, '👥 Asistencia'!$E:$E, "20:00")), 0))</f>
        <v/>
      </c>
      <c r="F327" s="92"/>
      <c r="G327" s="92"/>
      <c r="H327" s="33" t="str">
        <f t="shared" si="10"/>
        <v/>
      </c>
      <c r="I327" s="30" t="str">
        <f t="shared" si="11"/>
        <v/>
      </c>
    </row>
    <row r="328" spans="2:9" ht="18" customHeight="1" x14ac:dyDescent="0.3">
      <c r="B328" s="26"/>
      <c r="C328" s="27"/>
      <c r="D328" s="30" t="str">
        <f>IF(B328="","",IF(COUNTIF('👥 Asistencia'!$B:$B, B328)&gt;0, IF(C328="DIA", COUNTIFS('👥 Asistencia'!$B:$B, B328, '👥 Asistencia'!$E:$E, "08:00") + COUNTIFS('👥 Asistencia'!$B:$B, B328, '👥 Asistencia'!$E:$E, "07:00"), COUNTIFS('👥 Asistencia'!$B:$B, B328, '👥 Asistencia'!$E:$E, "20:00")), 6))</f>
        <v/>
      </c>
      <c r="E328" s="34" t="str">
        <f>IF(B328="","",IF(COUNTIF('👥 Asistencia'!$B:$B, B328)&gt;0, IF(C328="DIA", SUMIFS('👥 Asistencia'!$H:$H, '👥 Asistencia'!$B:$B, B328, '👥 Asistencia'!$E:$E, "08:00") + SUMIFS('👥 Asistencia'!$H:$H, '👥 Asistencia'!$B:$B, B328, '👥 Asistencia'!$E:$E, "07:00"), SUMIFS('👥 Asistencia'!$H:$H, '👥 Asistencia'!$B:$B, B328, '👥 Asistencia'!$E:$E, "20:00")), 0))</f>
        <v/>
      </c>
      <c r="F328" s="91"/>
      <c r="G328" s="91"/>
      <c r="H328" s="33" t="str">
        <f t="shared" si="10"/>
        <v/>
      </c>
      <c r="I328" s="30" t="str">
        <f t="shared" si="11"/>
        <v/>
      </c>
    </row>
    <row r="329" spans="2:9" ht="18" customHeight="1" x14ac:dyDescent="0.3">
      <c r="B329" s="26"/>
      <c r="C329" s="27"/>
      <c r="D329" s="30" t="str">
        <f>IF(B329="","",IF(COUNTIF('👥 Asistencia'!$B:$B, B329)&gt;0, IF(C329="DIA", COUNTIFS('👥 Asistencia'!$B:$B, B329, '👥 Asistencia'!$E:$E, "08:00") + COUNTIFS('👥 Asistencia'!$B:$B, B329, '👥 Asistencia'!$E:$E, "07:00"), COUNTIFS('👥 Asistencia'!$B:$B, B329, '👥 Asistencia'!$E:$E, "20:00")), 6))</f>
        <v/>
      </c>
      <c r="E329" s="34" t="str">
        <f>IF(B329="","",IF(COUNTIF('👥 Asistencia'!$B:$B, B329)&gt;0, IF(C329="DIA", SUMIFS('👥 Asistencia'!$H:$H, '👥 Asistencia'!$B:$B, B329, '👥 Asistencia'!$E:$E, "08:00") + SUMIFS('👥 Asistencia'!$H:$H, '👥 Asistencia'!$B:$B, B329, '👥 Asistencia'!$E:$E, "07:00"), SUMIFS('👥 Asistencia'!$H:$H, '👥 Asistencia'!$B:$B, B329, '👥 Asistencia'!$E:$E, "20:00")), 0))</f>
        <v/>
      </c>
      <c r="F329" s="92"/>
      <c r="G329" s="92"/>
      <c r="H329" s="33" t="str">
        <f t="shared" si="10"/>
        <v/>
      </c>
      <c r="I329" s="30" t="str">
        <f t="shared" si="11"/>
        <v/>
      </c>
    </row>
    <row r="330" spans="2:9" ht="18" customHeight="1" x14ac:dyDescent="0.3">
      <c r="B330" s="26"/>
      <c r="C330" s="27"/>
      <c r="D330" s="30" t="str">
        <f>IF(B330="","",IF(COUNTIF('👥 Asistencia'!$B:$B, B330)&gt;0, IF(C330="DIA", COUNTIFS('👥 Asistencia'!$B:$B, B330, '👥 Asistencia'!$E:$E, "08:00") + COUNTIFS('👥 Asistencia'!$B:$B, B330, '👥 Asistencia'!$E:$E, "07:00"), COUNTIFS('👥 Asistencia'!$B:$B, B330, '👥 Asistencia'!$E:$E, "20:00")), 6))</f>
        <v/>
      </c>
      <c r="E330" s="34" t="str">
        <f>IF(B330="","",IF(COUNTIF('👥 Asistencia'!$B:$B, B330)&gt;0, IF(C330="DIA", SUMIFS('👥 Asistencia'!$H:$H, '👥 Asistencia'!$B:$B, B330, '👥 Asistencia'!$E:$E, "08:00") + SUMIFS('👥 Asistencia'!$H:$H, '👥 Asistencia'!$B:$B, B330, '👥 Asistencia'!$E:$E, "07:00"), SUMIFS('👥 Asistencia'!$H:$H, '👥 Asistencia'!$B:$B, B330, '👥 Asistencia'!$E:$E, "20:00")), 0))</f>
        <v/>
      </c>
      <c r="F330" s="91"/>
      <c r="G330" s="91"/>
      <c r="H330" s="33" t="str">
        <f t="shared" si="10"/>
        <v/>
      </c>
      <c r="I330" s="30" t="str">
        <f t="shared" si="11"/>
        <v/>
      </c>
    </row>
    <row r="331" spans="2:9" ht="18" customHeight="1" x14ac:dyDescent="0.3">
      <c r="B331" s="26"/>
      <c r="C331" s="27"/>
      <c r="D331" s="30" t="str">
        <f>IF(B331="","",IF(COUNTIF('👥 Asistencia'!$B:$B, B331)&gt;0, IF(C331="DIA", COUNTIFS('👥 Asistencia'!$B:$B, B331, '👥 Asistencia'!$E:$E, "08:00") + COUNTIFS('👥 Asistencia'!$B:$B, B331, '👥 Asistencia'!$E:$E, "07:00"), COUNTIFS('👥 Asistencia'!$B:$B, B331, '👥 Asistencia'!$E:$E, "20:00")), 6))</f>
        <v/>
      </c>
      <c r="E331" s="34" t="str">
        <f>IF(B331="","",IF(COUNTIF('👥 Asistencia'!$B:$B, B331)&gt;0, IF(C331="DIA", SUMIFS('👥 Asistencia'!$H:$H, '👥 Asistencia'!$B:$B, B331, '👥 Asistencia'!$E:$E, "08:00") + SUMIFS('👥 Asistencia'!$H:$H, '👥 Asistencia'!$B:$B, B331, '👥 Asistencia'!$E:$E, "07:00"), SUMIFS('👥 Asistencia'!$H:$H, '👥 Asistencia'!$B:$B, B331, '👥 Asistencia'!$E:$E, "20:00")), 0))</f>
        <v/>
      </c>
      <c r="F331" s="92"/>
      <c r="G331" s="92"/>
      <c r="H331" s="33" t="str">
        <f t="shared" si="10"/>
        <v/>
      </c>
      <c r="I331" s="30" t="str">
        <f t="shared" si="11"/>
        <v/>
      </c>
    </row>
    <row r="332" spans="2:9" ht="18" customHeight="1" x14ac:dyDescent="0.3">
      <c r="B332" s="26"/>
      <c r="C332" s="27"/>
      <c r="D332" s="30" t="str">
        <f>IF(B332="","",IF(COUNTIF('👥 Asistencia'!$B:$B, B332)&gt;0, IF(C332="DIA", COUNTIFS('👥 Asistencia'!$B:$B, B332, '👥 Asistencia'!$E:$E, "08:00") + COUNTIFS('👥 Asistencia'!$B:$B, B332, '👥 Asistencia'!$E:$E, "07:00"), COUNTIFS('👥 Asistencia'!$B:$B, B332, '👥 Asistencia'!$E:$E, "20:00")), 6))</f>
        <v/>
      </c>
      <c r="E332" s="34" t="str">
        <f>IF(B332="","",IF(COUNTIF('👥 Asistencia'!$B:$B, B332)&gt;0, IF(C332="DIA", SUMIFS('👥 Asistencia'!$H:$H, '👥 Asistencia'!$B:$B, B332, '👥 Asistencia'!$E:$E, "08:00") + SUMIFS('👥 Asistencia'!$H:$H, '👥 Asistencia'!$B:$B, B332, '👥 Asistencia'!$E:$E, "07:00"), SUMIFS('👥 Asistencia'!$H:$H, '👥 Asistencia'!$B:$B, B332, '👥 Asistencia'!$E:$E, "20:00")), 0))</f>
        <v/>
      </c>
      <c r="F332" s="91"/>
      <c r="G332" s="91"/>
      <c r="H332" s="33" t="str">
        <f t="shared" si="10"/>
        <v/>
      </c>
      <c r="I332" s="30" t="str">
        <f t="shared" si="11"/>
        <v/>
      </c>
    </row>
    <row r="333" spans="2:9" ht="18" customHeight="1" x14ac:dyDescent="0.3">
      <c r="B333" s="26"/>
      <c r="C333" s="27"/>
      <c r="D333" s="30" t="str">
        <f>IF(B333="","",IF(COUNTIF('👥 Asistencia'!$B:$B, B333)&gt;0, IF(C333="DIA", COUNTIFS('👥 Asistencia'!$B:$B, B333, '👥 Asistencia'!$E:$E, "08:00") + COUNTIFS('👥 Asistencia'!$B:$B, B333, '👥 Asistencia'!$E:$E, "07:00"), COUNTIFS('👥 Asistencia'!$B:$B, B333, '👥 Asistencia'!$E:$E, "20:00")), 6))</f>
        <v/>
      </c>
      <c r="E333" s="34" t="str">
        <f>IF(B333="","",IF(COUNTIF('👥 Asistencia'!$B:$B, B333)&gt;0, IF(C333="DIA", SUMIFS('👥 Asistencia'!$H:$H, '👥 Asistencia'!$B:$B, B333, '👥 Asistencia'!$E:$E, "08:00") + SUMIFS('👥 Asistencia'!$H:$H, '👥 Asistencia'!$B:$B, B333, '👥 Asistencia'!$E:$E, "07:00"), SUMIFS('👥 Asistencia'!$H:$H, '👥 Asistencia'!$B:$B, B333, '👥 Asistencia'!$E:$E, "20:00")), 0))</f>
        <v/>
      </c>
      <c r="F333" s="92"/>
      <c r="G333" s="92"/>
      <c r="H333" s="33" t="str">
        <f t="shared" si="10"/>
        <v/>
      </c>
      <c r="I333" s="30" t="str">
        <f t="shared" si="11"/>
        <v/>
      </c>
    </row>
    <row r="334" spans="2:9" ht="18" customHeight="1" x14ac:dyDescent="0.3">
      <c r="B334" s="26"/>
      <c r="C334" s="27"/>
      <c r="D334" s="30" t="str">
        <f>IF(B334="","",IF(COUNTIF('👥 Asistencia'!$B:$B, B334)&gt;0, IF(C334="DIA", COUNTIFS('👥 Asistencia'!$B:$B, B334, '👥 Asistencia'!$E:$E, "08:00") + COUNTIFS('👥 Asistencia'!$B:$B, B334, '👥 Asistencia'!$E:$E, "07:00"), COUNTIFS('👥 Asistencia'!$B:$B, B334, '👥 Asistencia'!$E:$E, "20:00")), 6))</f>
        <v/>
      </c>
      <c r="E334" s="34" t="str">
        <f>IF(B334="","",IF(COUNTIF('👥 Asistencia'!$B:$B, B334)&gt;0, IF(C334="DIA", SUMIFS('👥 Asistencia'!$H:$H, '👥 Asistencia'!$B:$B, B334, '👥 Asistencia'!$E:$E, "08:00") + SUMIFS('👥 Asistencia'!$H:$H, '👥 Asistencia'!$B:$B, B334, '👥 Asistencia'!$E:$E, "07:00"), SUMIFS('👥 Asistencia'!$H:$H, '👥 Asistencia'!$B:$B, B334, '👥 Asistencia'!$E:$E, "20:00")), 0))</f>
        <v/>
      </c>
      <c r="F334" s="91"/>
      <c r="G334" s="91"/>
      <c r="H334" s="33" t="str">
        <f t="shared" si="10"/>
        <v/>
      </c>
      <c r="I334" s="30" t="str">
        <f t="shared" si="11"/>
        <v/>
      </c>
    </row>
    <row r="335" spans="2:9" ht="18" customHeight="1" x14ac:dyDescent="0.3">
      <c r="B335" s="26"/>
      <c r="C335" s="27"/>
      <c r="D335" s="30" t="str">
        <f>IF(B335="","",IF(COUNTIF('👥 Asistencia'!$B:$B, B335)&gt;0, IF(C335="DIA", COUNTIFS('👥 Asistencia'!$B:$B, B335, '👥 Asistencia'!$E:$E, "08:00") + COUNTIFS('👥 Asistencia'!$B:$B, B335, '👥 Asistencia'!$E:$E, "07:00"), COUNTIFS('👥 Asistencia'!$B:$B, B335, '👥 Asistencia'!$E:$E, "20:00")), 6))</f>
        <v/>
      </c>
      <c r="E335" s="34" t="str">
        <f>IF(B335="","",IF(COUNTIF('👥 Asistencia'!$B:$B, B335)&gt;0, IF(C335="DIA", SUMIFS('👥 Asistencia'!$H:$H, '👥 Asistencia'!$B:$B, B335, '👥 Asistencia'!$E:$E, "08:00") + SUMIFS('👥 Asistencia'!$H:$H, '👥 Asistencia'!$B:$B, B335, '👥 Asistencia'!$E:$E, "07:00"), SUMIFS('👥 Asistencia'!$H:$H, '👥 Asistencia'!$B:$B, B335, '👥 Asistencia'!$E:$E, "20:00")), 0))</f>
        <v/>
      </c>
      <c r="F335" s="92"/>
      <c r="G335" s="92"/>
      <c r="H335" s="33" t="str">
        <f t="shared" si="10"/>
        <v/>
      </c>
      <c r="I335" s="30" t="str">
        <f t="shared" si="11"/>
        <v/>
      </c>
    </row>
    <row r="336" spans="2:9" ht="18" customHeight="1" x14ac:dyDescent="0.3">
      <c r="B336" s="26"/>
      <c r="C336" s="27"/>
      <c r="D336" s="30" t="str">
        <f>IF(B336="","",IF(COUNTIF('👥 Asistencia'!$B:$B, B336)&gt;0, IF(C336="DIA", COUNTIFS('👥 Asistencia'!$B:$B, B336, '👥 Asistencia'!$E:$E, "08:00") + COUNTIFS('👥 Asistencia'!$B:$B, B336, '👥 Asistencia'!$E:$E, "07:00"), COUNTIFS('👥 Asistencia'!$B:$B, B336, '👥 Asistencia'!$E:$E, "20:00")), 6))</f>
        <v/>
      </c>
      <c r="E336" s="34" t="str">
        <f>IF(B336="","",IF(COUNTIF('👥 Asistencia'!$B:$B, B336)&gt;0, IF(C336="DIA", SUMIFS('👥 Asistencia'!$H:$H, '👥 Asistencia'!$B:$B, B336, '👥 Asistencia'!$E:$E, "08:00") + SUMIFS('👥 Asistencia'!$H:$H, '👥 Asistencia'!$B:$B, B336, '👥 Asistencia'!$E:$E, "07:00"), SUMIFS('👥 Asistencia'!$H:$H, '👥 Asistencia'!$B:$B, B336, '👥 Asistencia'!$E:$E, "20:00")), 0))</f>
        <v/>
      </c>
      <c r="F336" s="91"/>
      <c r="G336" s="91"/>
      <c r="H336" s="33" t="str">
        <f t="shared" si="10"/>
        <v/>
      </c>
      <c r="I336" s="30" t="str">
        <f t="shared" si="11"/>
        <v/>
      </c>
    </row>
    <row r="337" spans="2:9" ht="18" customHeight="1" x14ac:dyDescent="0.3">
      <c r="B337" s="26"/>
      <c r="C337" s="27"/>
      <c r="D337" s="30" t="str">
        <f>IF(B337="","",IF(COUNTIF('👥 Asistencia'!$B:$B, B337)&gt;0, IF(C337="DIA", COUNTIFS('👥 Asistencia'!$B:$B, B337, '👥 Asistencia'!$E:$E, "08:00") + COUNTIFS('👥 Asistencia'!$B:$B, B337, '👥 Asistencia'!$E:$E, "07:00"), COUNTIFS('👥 Asistencia'!$B:$B, B337, '👥 Asistencia'!$E:$E, "20:00")), 6))</f>
        <v/>
      </c>
      <c r="E337" s="34" t="str">
        <f>IF(B337="","",IF(COUNTIF('👥 Asistencia'!$B:$B, B337)&gt;0, IF(C337="DIA", SUMIFS('👥 Asistencia'!$H:$H, '👥 Asistencia'!$B:$B, B337, '👥 Asistencia'!$E:$E, "08:00") + SUMIFS('👥 Asistencia'!$H:$H, '👥 Asistencia'!$B:$B, B337, '👥 Asistencia'!$E:$E, "07:00"), SUMIFS('👥 Asistencia'!$H:$H, '👥 Asistencia'!$B:$B, B337, '👥 Asistencia'!$E:$E, "20:00")), 0))</f>
        <v/>
      </c>
      <c r="F337" s="92"/>
      <c r="G337" s="92"/>
      <c r="H337" s="33" t="str">
        <f t="shared" si="10"/>
        <v/>
      </c>
      <c r="I337" s="30" t="str">
        <f t="shared" si="11"/>
        <v/>
      </c>
    </row>
    <row r="338" spans="2:9" ht="18" customHeight="1" x14ac:dyDescent="0.3">
      <c r="B338" s="26"/>
      <c r="C338" s="27"/>
      <c r="D338" s="30" t="str">
        <f>IF(B338="","",IF(COUNTIF('👥 Asistencia'!$B:$B, B338)&gt;0, IF(C338="DIA", COUNTIFS('👥 Asistencia'!$B:$B, B338, '👥 Asistencia'!$E:$E, "08:00") + COUNTIFS('👥 Asistencia'!$B:$B, B338, '👥 Asistencia'!$E:$E, "07:00"), COUNTIFS('👥 Asistencia'!$B:$B, B338, '👥 Asistencia'!$E:$E, "20:00")), 6))</f>
        <v/>
      </c>
      <c r="E338" s="34" t="str">
        <f>IF(B338="","",IF(COUNTIF('👥 Asistencia'!$B:$B, B338)&gt;0, IF(C338="DIA", SUMIFS('👥 Asistencia'!$H:$H, '👥 Asistencia'!$B:$B, B338, '👥 Asistencia'!$E:$E, "08:00") + SUMIFS('👥 Asistencia'!$H:$H, '👥 Asistencia'!$B:$B, B338, '👥 Asistencia'!$E:$E, "07:00"), SUMIFS('👥 Asistencia'!$H:$H, '👥 Asistencia'!$B:$B, B338, '👥 Asistencia'!$E:$E, "20:00")), 0))</f>
        <v/>
      </c>
      <c r="F338" s="91"/>
      <c r="G338" s="91"/>
      <c r="H338" s="33" t="str">
        <f t="shared" si="10"/>
        <v/>
      </c>
      <c r="I338" s="30" t="str">
        <f t="shared" si="11"/>
        <v/>
      </c>
    </row>
    <row r="339" spans="2:9" ht="18" customHeight="1" x14ac:dyDescent="0.3">
      <c r="B339" s="26"/>
      <c r="C339" s="27"/>
      <c r="D339" s="30" t="str">
        <f>IF(B339="","",IF(COUNTIF('👥 Asistencia'!$B:$B, B339)&gt;0, IF(C339="DIA", COUNTIFS('👥 Asistencia'!$B:$B, B339, '👥 Asistencia'!$E:$E, "08:00") + COUNTIFS('👥 Asistencia'!$B:$B, B339, '👥 Asistencia'!$E:$E, "07:00"), COUNTIFS('👥 Asistencia'!$B:$B, B339, '👥 Asistencia'!$E:$E, "20:00")), 6))</f>
        <v/>
      </c>
      <c r="E339" s="34" t="str">
        <f>IF(B339="","",IF(COUNTIF('👥 Asistencia'!$B:$B, B339)&gt;0, IF(C339="DIA", SUMIFS('👥 Asistencia'!$H:$H, '👥 Asistencia'!$B:$B, B339, '👥 Asistencia'!$E:$E, "08:00") + SUMIFS('👥 Asistencia'!$H:$H, '👥 Asistencia'!$B:$B, B339, '👥 Asistencia'!$E:$E, "07:00"), SUMIFS('👥 Asistencia'!$H:$H, '👥 Asistencia'!$B:$B, B339, '👥 Asistencia'!$E:$E, "20:00")), 0))</f>
        <v/>
      </c>
      <c r="F339" s="92"/>
      <c r="G339" s="92"/>
      <c r="H339" s="33" t="str">
        <f t="shared" si="10"/>
        <v/>
      </c>
      <c r="I339" s="30" t="str">
        <f t="shared" si="11"/>
        <v/>
      </c>
    </row>
    <row r="340" spans="2:9" ht="18" customHeight="1" x14ac:dyDescent="0.3">
      <c r="B340" s="26"/>
      <c r="C340" s="27"/>
      <c r="D340" s="30" t="str">
        <f>IF(B340="","",IF(COUNTIF('👥 Asistencia'!$B:$B, B340)&gt;0, IF(C340="DIA", COUNTIFS('👥 Asistencia'!$B:$B, B340, '👥 Asistencia'!$E:$E, "08:00") + COUNTIFS('👥 Asistencia'!$B:$B, B340, '👥 Asistencia'!$E:$E, "07:00"), COUNTIFS('👥 Asistencia'!$B:$B, B340, '👥 Asistencia'!$E:$E, "20:00")), 6))</f>
        <v/>
      </c>
      <c r="E340" s="34" t="str">
        <f>IF(B340="","",IF(COUNTIF('👥 Asistencia'!$B:$B, B340)&gt;0, IF(C340="DIA", SUMIFS('👥 Asistencia'!$H:$H, '👥 Asistencia'!$B:$B, B340, '👥 Asistencia'!$E:$E, "08:00") + SUMIFS('👥 Asistencia'!$H:$H, '👥 Asistencia'!$B:$B, B340, '👥 Asistencia'!$E:$E, "07:00"), SUMIFS('👥 Asistencia'!$H:$H, '👥 Asistencia'!$B:$B, B340, '👥 Asistencia'!$E:$E, "20:00")), 0))</f>
        <v/>
      </c>
      <c r="F340" s="91"/>
      <c r="G340" s="91"/>
      <c r="H340" s="33" t="str">
        <f t="shared" si="10"/>
        <v/>
      </c>
      <c r="I340" s="30" t="str">
        <f t="shared" si="11"/>
        <v/>
      </c>
    </row>
    <row r="341" spans="2:9" ht="18" customHeight="1" x14ac:dyDescent="0.3">
      <c r="B341" s="26"/>
      <c r="C341" s="27"/>
      <c r="D341" s="30" t="str">
        <f>IF(B341="","",IF(COUNTIF('👥 Asistencia'!$B:$B, B341)&gt;0, IF(C341="DIA", COUNTIFS('👥 Asistencia'!$B:$B, B341, '👥 Asistencia'!$E:$E, "08:00") + COUNTIFS('👥 Asistencia'!$B:$B, B341, '👥 Asistencia'!$E:$E, "07:00"), COUNTIFS('👥 Asistencia'!$B:$B, B341, '👥 Asistencia'!$E:$E, "20:00")), 6))</f>
        <v/>
      </c>
      <c r="E341" s="34" t="str">
        <f>IF(B341="","",IF(COUNTIF('👥 Asistencia'!$B:$B, B341)&gt;0, IF(C341="DIA", SUMIFS('👥 Asistencia'!$H:$H, '👥 Asistencia'!$B:$B, B341, '👥 Asistencia'!$E:$E, "08:00") + SUMIFS('👥 Asistencia'!$H:$H, '👥 Asistencia'!$B:$B, B341, '👥 Asistencia'!$E:$E, "07:00"), SUMIFS('👥 Asistencia'!$H:$H, '👥 Asistencia'!$B:$B, B341, '👥 Asistencia'!$E:$E, "20:00")), 0))</f>
        <v/>
      </c>
      <c r="F341" s="92"/>
      <c r="G341" s="92"/>
      <c r="H341" s="33" t="str">
        <f t="shared" si="10"/>
        <v/>
      </c>
      <c r="I341" s="30" t="str">
        <f t="shared" si="11"/>
        <v/>
      </c>
    </row>
    <row r="342" spans="2:9" ht="18" customHeight="1" x14ac:dyDescent="0.3">
      <c r="B342" s="26"/>
      <c r="C342" s="27"/>
      <c r="D342" s="30" t="str">
        <f>IF(B342="","",IF(COUNTIF('👥 Asistencia'!$B:$B, B342)&gt;0, IF(C342="DIA", COUNTIFS('👥 Asistencia'!$B:$B, B342, '👥 Asistencia'!$E:$E, "08:00") + COUNTIFS('👥 Asistencia'!$B:$B, B342, '👥 Asistencia'!$E:$E, "07:00"), COUNTIFS('👥 Asistencia'!$B:$B, B342, '👥 Asistencia'!$E:$E, "20:00")), 6))</f>
        <v/>
      </c>
      <c r="E342" s="34" t="str">
        <f>IF(B342="","",IF(COUNTIF('👥 Asistencia'!$B:$B, B342)&gt;0, IF(C342="DIA", SUMIFS('👥 Asistencia'!$H:$H, '👥 Asistencia'!$B:$B, B342, '👥 Asistencia'!$E:$E, "08:00") + SUMIFS('👥 Asistencia'!$H:$H, '👥 Asistencia'!$B:$B, B342, '👥 Asistencia'!$E:$E, "07:00"), SUMIFS('👥 Asistencia'!$H:$H, '👥 Asistencia'!$B:$B, B342, '👥 Asistencia'!$E:$E, "20:00")), 0))</f>
        <v/>
      </c>
      <c r="F342" s="91"/>
      <c r="G342" s="91"/>
      <c r="H342" s="33" t="str">
        <f t="shared" si="10"/>
        <v/>
      </c>
      <c r="I342" s="30" t="str">
        <f t="shared" si="11"/>
        <v/>
      </c>
    </row>
    <row r="343" spans="2:9" ht="18" customHeight="1" x14ac:dyDescent="0.3">
      <c r="B343" s="26"/>
      <c r="C343" s="27"/>
      <c r="D343" s="30" t="str">
        <f>IF(B343="","",IF(COUNTIF('👥 Asistencia'!$B:$B, B343)&gt;0, IF(C343="DIA", COUNTIFS('👥 Asistencia'!$B:$B, B343, '👥 Asistencia'!$E:$E, "08:00") + COUNTIFS('👥 Asistencia'!$B:$B, B343, '👥 Asistencia'!$E:$E, "07:00"), COUNTIFS('👥 Asistencia'!$B:$B, B343, '👥 Asistencia'!$E:$E, "20:00")), 6))</f>
        <v/>
      </c>
      <c r="E343" s="34" t="str">
        <f>IF(B343="","",IF(COUNTIF('👥 Asistencia'!$B:$B, B343)&gt;0, IF(C343="DIA", SUMIFS('👥 Asistencia'!$H:$H, '👥 Asistencia'!$B:$B, B343, '👥 Asistencia'!$E:$E, "08:00") + SUMIFS('👥 Asistencia'!$H:$H, '👥 Asistencia'!$B:$B, B343, '👥 Asistencia'!$E:$E, "07:00"), SUMIFS('👥 Asistencia'!$H:$H, '👥 Asistencia'!$B:$B, B343, '👥 Asistencia'!$E:$E, "20:00")), 0))</f>
        <v/>
      </c>
      <c r="F343" s="92"/>
      <c r="G343" s="92"/>
      <c r="H343" s="33" t="str">
        <f t="shared" si="10"/>
        <v/>
      </c>
      <c r="I343" s="30" t="str">
        <f t="shared" si="11"/>
        <v/>
      </c>
    </row>
    <row r="344" spans="2:9" ht="18" customHeight="1" x14ac:dyDescent="0.3">
      <c r="B344" s="26"/>
      <c r="C344" s="27"/>
      <c r="D344" s="30" t="str">
        <f>IF(B344="","",IF(COUNTIF('👥 Asistencia'!$B:$B, B344)&gt;0, IF(C344="DIA", COUNTIFS('👥 Asistencia'!$B:$B, B344, '👥 Asistencia'!$E:$E, "08:00") + COUNTIFS('👥 Asistencia'!$B:$B, B344, '👥 Asistencia'!$E:$E, "07:00"), COUNTIFS('👥 Asistencia'!$B:$B, B344, '👥 Asistencia'!$E:$E, "20:00")), 6))</f>
        <v/>
      </c>
      <c r="E344" s="34" t="str">
        <f>IF(B344="","",IF(COUNTIF('👥 Asistencia'!$B:$B, B344)&gt;0, IF(C344="DIA", SUMIFS('👥 Asistencia'!$H:$H, '👥 Asistencia'!$B:$B, B344, '👥 Asistencia'!$E:$E, "08:00") + SUMIFS('👥 Asistencia'!$H:$H, '👥 Asistencia'!$B:$B, B344, '👥 Asistencia'!$E:$E, "07:00"), SUMIFS('👥 Asistencia'!$H:$H, '👥 Asistencia'!$B:$B, B344, '👥 Asistencia'!$E:$E, "20:00")), 0))</f>
        <v/>
      </c>
      <c r="F344" s="91"/>
      <c r="G344" s="91"/>
      <c r="H344" s="33" t="str">
        <f t="shared" si="10"/>
        <v/>
      </c>
      <c r="I344" s="30" t="str">
        <f t="shared" si="11"/>
        <v/>
      </c>
    </row>
    <row r="345" spans="2:9" ht="18" customHeight="1" x14ac:dyDescent="0.3">
      <c r="B345" s="26"/>
      <c r="C345" s="27"/>
      <c r="D345" s="30" t="str">
        <f>IF(B345="","",IF(COUNTIF('👥 Asistencia'!$B:$B, B345)&gt;0, IF(C345="DIA", COUNTIFS('👥 Asistencia'!$B:$B, B345, '👥 Asistencia'!$E:$E, "08:00") + COUNTIFS('👥 Asistencia'!$B:$B, B345, '👥 Asistencia'!$E:$E, "07:00"), COUNTIFS('👥 Asistencia'!$B:$B, B345, '👥 Asistencia'!$E:$E, "20:00")), 6))</f>
        <v/>
      </c>
      <c r="E345" s="34" t="str">
        <f>IF(B345="","",IF(COUNTIF('👥 Asistencia'!$B:$B, B345)&gt;0, IF(C345="DIA", SUMIFS('👥 Asistencia'!$H:$H, '👥 Asistencia'!$B:$B, B345, '👥 Asistencia'!$E:$E, "08:00") + SUMIFS('👥 Asistencia'!$H:$H, '👥 Asistencia'!$B:$B, B345, '👥 Asistencia'!$E:$E, "07:00"), SUMIFS('👥 Asistencia'!$H:$H, '👥 Asistencia'!$B:$B, B345, '👥 Asistencia'!$E:$E, "20:00")), 0))</f>
        <v/>
      </c>
      <c r="F345" s="92"/>
      <c r="G345" s="92"/>
      <c r="H345" s="33" t="str">
        <f t="shared" si="10"/>
        <v/>
      </c>
      <c r="I345" s="30" t="str">
        <f t="shared" si="11"/>
        <v/>
      </c>
    </row>
    <row r="346" spans="2:9" ht="18" customHeight="1" x14ac:dyDescent="0.3">
      <c r="B346" s="26"/>
      <c r="C346" s="27"/>
      <c r="D346" s="30" t="str">
        <f>IF(B346="","",IF(COUNTIF('👥 Asistencia'!$B:$B, B346)&gt;0, IF(C346="DIA", COUNTIFS('👥 Asistencia'!$B:$B, B346, '👥 Asistencia'!$E:$E, "08:00") + COUNTIFS('👥 Asistencia'!$B:$B, B346, '👥 Asistencia'!$E:$E, "07:00"), COUNTIFS('👥 Asistencia'!$B:$B, B346, '👥 Asistencia'!$E:$E, "20:00")), 6))</f>
        <v/>
      </c>
      <c r="E346" s="34" t="str">
        <f>IF(B346="","",IF(COUNTIF('👥 Asistencia'!$B:$B, B346)&gt;0, IF(C346="DIA", SUMIFS('👥 Asistencia'!$H:$H, '👥 Asistencia'!$B:$B, B346, '👥 Asistencia'!$E:$E, "08:00") + SUMIFS('👥 Asistencia'!$H:$H, '👥 Asistencia'!$B:$B, B346, '👥 Asistencia'!$E:$E, "07:00"), SUMIFS('👥 Asistencia'!$H:$H, '👥 Asistencia'!$B:$B, B346, '👥 Asistencia'!$E:$E, "20:00")), 0))</f>
        <v/>
      </c>
      <c r="F346" s="91"/>
      <c r="G346" s="91"/>
      <c r="H346" s="33" t="str">
        <f t="shared" si="10"/>
        <v/>
      </c>
      <c r="I346" s="30" t="str">
        <f t="shared" si="11"/>
        <v/>
      </c>
    </row>
    <row r="347" spans="2:9" ht="18" customHeight="1" x14ac:dyDescent="0.3">
      <c r="B347" s="26"/>
      <c r="C347" s="27"/>
      <c r="D347" s="30" t="str">
        <f>IF(B347="","",IF(COUNTIF('👥 Asistencia'!$B:$B, B347)&gt;0, IF(C347="DIA", COUNTIFS('👥 Asistencia'!$B:$B, B347, '👥 Asistencia'!$E:$E, "08:00") + COUNTIFS('👥 Asistencia'!$B:$B, B347, '👥 Asistencia'!$E:$E, "07:00"), COUNTIFS('👥 Asistencia'!$B:$B, B347, '👥 Asistencia'!$E:$E, "20:00")), 6))</f>
        <v/>
      </c>
      <c r="E347" s="34" t="str">
        <f>IF(B347="","",IF(COUNTIF('👥 Asistencia'!$B:$B, B347)&gt;0, IF(C347="DIA", SUMIFS('👥 Asistencia'!$H:$H, '👥 Asistencia'!$B:$B, B347, '👥 Asistencia'!$E:$E, "08:00") + SUMIFS('👥 Asistencia'!$H:$H, '👥 Asistencia'!$B:$B, B347, '👥 Asistencia'!$E:$E, "07:00"), SUMIFS('👥 Asistencia'!$H:$H, '👥 Asistencia'!$B:$B, B347, '👥 Asistencia'!$E:$E, "20:00")), 0))</f>
        <v/>
      </c>
      <c r="F347" s="92"/>
      <c r="G347" s="92"/>
      <c r="H347" s="33" t="str">
        <f t="shared" si="10"/>
        <v/>
      </c>
      <c r="I347" s="30" t="str">
        <f t="shared" si="11"/>
        <v/>
      </c>
    </row>
    <row r="348" spans="2:9" ht="18" customHeight="1" x14ac:dyDescent="0.3">
      <c r="B348" s="26"/>
      <c r="C348" s="27"/>
      <c r="D348" s="30" t="str">
        <f>IF(B348="","",IF(COUNTIF('👥 Asistencia'!$B:$B, B348)&gt;0, IF(C348="DIA", COUNTIFS('👥 Asistencia'!$B:$B, B348, '👥 Asistencia'!$E:$E, "08:00") + COUNTIFS('👥 Asistencia'!$B:$B, B348, '👥 Asistencia'!$E:$E, "07:00"), COUNTIFS('👥 Asistencia'!$B:$B, B348, '👥 Asistencia'!$E:$E, "20:00")), 6))</f>
        <v/>
      </c>
      <c r="E348" s="34" t="str">
        <f>IF(B348="","",IF(COUNTIF('👥 Asistencia'!$B:$B, B348)&gt;0, IF(C348="DIA", SUMIFS('👥 Asistencia'!$H:$H, '👥 Asistencia'!$B:$B, B348, '👥 Asistencia'!$E:$E, "08:00") + SUMIFS('👥 Asistencia'!$H:$H, '👥 Asistencia'!$B:$B, B348, '👥 Asistencia'!$E:$E, "07:00"), SUMIFS('👥 Asistencia'!$H:$H, '👥 Asistencia'!$B:$B, B348, '👥 Asistencia'!$E:$E, "20:00")), 0))</f>
        <v/>
      </c>
      <c r="F348" s="91"/>
      <c r="G348" s="91"/>
      <c r="H348" s="33" t="str">
        <f t="shared" si="10"/>
        <v/>
      </c>
      <c r="I348" s="30" t="str">
        <f t="shared" si="11"/>
        <v/>
      </c>
    </row>
    <row r="349" spans="2:9" ht="18" customHeight="1" x14ac:dyDescent="0.3">
      <c r="B349" s="26"/>
      <c r="C349" s="27"/>
      <c r="D349" s="30" t="str">
        <f>IF(B349="","",IF(COUNTIF('👥 Asistencia'!$B:$B, B349)&gt;0, IF(C349="DIA", COUNTIFS('👥 Asistencia'!$B:$B, B349, '👥 Asistencia'!$E:$E, "08:00") + COUNTIFS('👥 Asistencia'!$B:$B, B349, '👥 Asistencia'!$E:$E, "07:00"), COUNTIFS('👥 Asistencia'!$B:$B, B349, '👥 Asistencia'!$E:$E, "20:00")), 6))</f>
        <v/>
      </c>
      <c r="E349" s="34" t="str">
        <f>IF(B349="","",IF(COUNTIF('👥 Asistencia'!$B:$B, B349)&gt;0, IF(C349="DIA", SUMIFS('👥 Asistencia'!$H:$H, '👥 Asistencia'!$B:$B, B349, '👥 Asistencia'!$E:$E, "08:00") + SUMIFS('👥 Asistencia'!$H:$H, '👥 Asistencia'!$B:$B, B349, '👥 Asistencia'!$E:$E, "07:00"), SUMIFS('👥 Asistencia'!$H:$H, '👥 Asistencia'!$B:$B, B349, '👥 Asistencia'!$E:$E, "20:00")), 0))</f>
        <v/>
      </c>
      <c r="F349" s="92"/>
      <c r="G349" s="92"/>
      <c r="H349" s="33" t="str">
        <f t="shared" si="10"/>
        <v/>
      </c>
      <c r="I349" s="30" t="str">
        <f t="shared" si="11"/>
        <v/>
      </c>
    </row>
    <row r="350" spans="2:9" ht="18" customHeight="1" x14ac:dyDescent="0.3">
      <c r="B350" s="26"/>
      <c r="C350" s="27"/>
      <c r="D350" s="30" t="str">
        <f>IF(B350="","",IF(COUNTIF('👥 Asistencia'!$B:$B, B350)&gt;0, IF(C350="DIA", COUNTIFS('👥 Asistencia'!$B:$B, B350, '👥 Asistencia'!$E:$E, "08:00") + COUNTIFS('👥 Asistencia'!$B:$B, B350, '👥 Asistencia'!$E:$E, "07:00"), COUNTIFS('👥 Asistencia'!$B:$B, B350, '👥 Asistencia'!$E:$E, "20:00")), 6))</f>
        <v/>
      </c>
      <c r="E350" s="34" t="str">
        <f>IF(B350="","",IF(COUNTIF('👥 Asistencia'!$B:$B, B350)&gt;0, IF(C350="DIA", SUMIFS('👥 Asistencia'!$H:$H, '👥 Asistencia'!$B:$B, B350, '👥 Asistencia'!$E:$E, "08:00") + SUMIFS('👥 Asistencia'!$H:$H, '👥 Asistencia'!$B:$B, B350, '👥 Asistencia'!$E:$E, "07:00"), SUMIFS('👥 Asistencia'!$H:$H, '👥 Asistencia'!$B:$B, B350, '👥 Asistencia'!$E:$E, "20:00")), 0))</f>
        <v/>
      </c>
      <c r="F350" s="91"/>
      <c r="G350" s="91"/>
      <c r="H350" s="33" t="str">
        <f t="shared" si="10"/>
        <v/>
      </c>
      <c r="I350" s="30" t="str">
        <f t="shared" si="11"/>
        <v/>
      </c>
    </row>
    <row r="351" spans="2:9" ht="18" customHeight="1" x14ac:dyDescent="0.3">
      <c r="B351" s="26"/>
      <c r="C351" s="27"/>
      <c r="D351" s="30" t="str">
        <f>IF(B351="","",IF(COUNTIF('👥 Asistencia'!$B:$B, B351)&gt;0, IF(C351="DIA", COUNTIFS('👥 Asistencia'!$B:$B, B351, '👥 Asistencia'!$E:$E, "08:00") + COUNTIFS('👥 Asistencia'!$B:$B, B351, '👥 Asistencia'!$E:$E, "07:00"), COUNTIFS('👥 Asistencia'!$B:$B, B351, '👥 Asistencia'!$E:$E, "20:00")), 6))</f>
        <v/>
      </c>
      <c r="E351" s="34" t="str">
        <f>IF(B351="","",IF(COUNTIF('👥 Asistencia'!$B:$B, B351)&gt;0, IF(C351="DIA", SUMIFS('👥 Asistencia'!$H:$H, '👥 Asistencia'!$B:$B, B351, '👥 Asistencia'!$E:$E, "08:00") + SUMIFS('👥 Asistencia'!$H:$H, '👥 Asistencia'!$B:$B, B351, '👥 Asistencia'!$E:$E, "07:00"), SUMIFS('👥 Asistencia'!$H:$H, '👥 Asistencia'!$B:$B, B351, '👥 Asistencia'!$E:$E, "20:00")), 0))</f>
        <v/>
      </c>
      <c r="F351" s="92"/>
      <c r="G351" s="92"/>
      <c r="H351" s="33" t="str">
        <f t="shared" si="10"/>
        <v/>
      </c>
      <c r="I351" s="30" t="str">
        <f t="shared" si="11"/>
        <v/>
      </c>
    </row>
    <row r="352" spans="2:9" ht="18" customHeight="1" x14ac:dyDescent="0.3">
      <c r="B352" s="26"/>
      <c r="C352" s="27"/>
      <c r="D352" s="30" t="str">
        <f>IF(B352="","",IF(COUNTIF('👥 Asistencia'!$B:$B, B352)&gt;0, IF(C352="DIA", COUNTIFS('👥 Asistencia'!$B:$B, B352, '👥 Asistencia'!$E:$E, "08:00") + COUNTIFS('👥 Asistencia'!$B:$B, B352, '👥 Asistencia'!$E:$E, "07:00"), COUNTIFS('👥 Asistencia'!$B:$B, B352, '👥 Asistencia'!$E:$E, "20:00")), 6))</f>
        <v/>
      </c>
      <c r="E352" s="34" t="str">
        <f>IF(B352="","",IF(COUNTIF('👥 Asistencia'!$B:$B, B352)&gt;0, IF(C352="DIA", SUMIFS('👥 Asistencia'!$H:$H, '👥 Asistencia'!$B:$B, B352, '👥 Asistencia'!$E:$E, "08:00") + SUMIFS('👥 Asistencia'!$H:$H, '👥 Asistencia'!$B:$B, B352, '👥 Asistencia'!$E:$E, "07:00"), SUMIFS('👥 Asistencia'!$H:$H, '👥 Asistencia'!$B:$B, B352, '👥 Asistencia'!$E:$E, "20:00")), 0))</f>
        <v/>
      </c>
      <c r="F352" s="91"/>
      <c r="G352" s="91"/>
      <c r="H352" s="33" t="str">
        <f t="shared" si="10"/>
        <v/>
      </c>
      <c r="I352" s="30" t="str">
        <f t="shared" si="11"/>
        <v/>
      </c>
    </row>
    <row r="353" spans="2:9" ht="18" customHeight="1" x14ac:dyDescent="0.3">
      <c r="B353" s="26"/>
      <c r="C353" s="27"/>
      <c r="D353" s="30" t="str">
        <f>IF(B353="","",IF(COUNTIF('👥 Asistencia'!$B:$B, B353)&gt;0, IF(C353="DIA", COUNTIFS('👥 Asistencia'!$B:$B, B353, '👥 Asistencia'!$E:$E, "08:00") + COUNTIFS('👥 Asistencia'!$B:$B, B353, '👥 Asistencia'!$E:$E, "07:00"), COUNTIFS('👥 Asistencia'!$B:$B, B353, '👥 Asistencia'!$E:$E, "20:00")), 6))</f>
        <v/>
      </c>
      <c r="E353" s="34" t="str">
        <f>IF(B353="","",IF(COUNTIF('👥 Asistencia'!$B:$B, B353)&gt;0, IF(C353="DIA", SUMIFS('👥 Asistencia'!$H:$H, '👥 Asistencia'!$B:$B, B353, '👥 Asistencia'!$E:$E, "08:00") + SUMIFS('👥 Asistencia'!$H:$H, '👥 Asistencia'!$B:$B, B353, '👥 Asistencia'!$E:$E, "07:00"), SUMIFS('👥 Asistencia'!$H:$H, '👥 Asistencia'!$B:$B, B353, '👥 Asistencia'!$E:$E, "20:00")), 0))</f>
        <v/>
      </c>
      <c r="F353" s="92"/>
      <c r="G353" s="92"/>
      <c r="H353" s="33" t="str">
        <f t="shared" si="10"/>
        <v/>
      </c>
      <c r="I353" s="30" t="str">
        <f t="shared" si="11"/>
        <v/>
      </c>
    </row>
    <row r="354" spans="2:9" ht="18" customHeight="1" x14ac:dyDescent="0.3">
      <c r="B354" s="26"/>
      <c r="C354" s="27"/>
      <c r="D354" s="30" t="str">
        <f>IF(B354="","",IF(COUNTIF('👥 Asistencia'!$B:$B, B354)&gt;0, IF(C354="DIA", COUNTIFS('👥 Asistencia'!$B:$B, B354, '👥 Asistencia'!$E:$E, "08:00") + COUNTIFS('👥 Asistencia'!$B:$B, B354, '👥 Asistencia'!$E:$E, "07:00"), COUNTIFS('👥 Asistencia'!$B:$B, B354, '👥 Asistencia'!$E:$E, "20:00")), 6))</f>
        <v/>
      </c>
      <c r="E354" s="34" t="str">
        <f>IF(B354="","",IF(COUNTIF('👥 Asistencia'!$B:$B, B354)&gt;0, IF(C354="DIA", SUMIFS('👥 Asistencia'!$H:$H, '👥 Asistencia'!$B:$B, B354, '👥 Asistencia'!$E:$E, "08:00") + SUMIFS('👥 Asistencia'!$H:$H, '👥 Asistencia'!$B:$B, B354, '👥 Asistencia'!$E:$E, "07:00"), SUMIFS('👥 Asistencia'!$H:$H, '👥 Asistencia'!$B:$B, B354, '👥 Asistencia'!$E:$E, "20:00")), 0))</f>
        <v/>
      </c>
      <c r="F354" s="91"/>
      <c r="G354" s="91"/>
      <c r="H354" s="33" t="str">
        <f t="shared" si="10"/>
        <v/>
      </c>
      <c r="I354" s="30" t="str">
        <f t="shared" si="11"/>
        <v/>
      </c>
    </row>
    <row r="355" spans="2:9" ht="18" customHeight="1" x14ac:dyDescent="0.3">
      <c r="B355" s="26"/>
      <c r="C355" s="27"/>
      <c r="D355" s="30" t="str">
        <f>IF(B355="","",IF(COUNTIF('👥 Asistencia'!$B:$B, B355)&gt;0, IF(C355="DIA", COUNTIFS('👥 Asistencia'!$B:$B, B355, '👥 Asistencia'!$E:$E, "08:00") + COUNTIFS('👥 Asistencia'!$B:$B, B355, '👥 Asistencia'!$E:$E, "07:00"), COUNTIFS('👥 Asistencia'!$B:$B, B355, '👥 Asistencia'!$E:$E, "20:00")), 6))</f>
        <v/>
      </c>
      <c r="E355" s="34" t="str">
        <f>IF(B355="","",IF(COUNTIF('👥 Asistencia'!$B:$B, B355)&gt;0, IF(C355="DIA", SUMIFS('👥 Asistencia'!$H:$H, '👥 Asistencia'!$B:$B, B355, '👥 Asistencia'!$E:$E, "08:00") + SUMIFS('👥 Asistencia'!$H:$H, '👥 Asistencia'!$B:$B, B355, '👥 Asistencia'!$E:$E, "07:00"), SUMIFS('👥 Asistencia'!$H:$H, '👥 Asistencia'!$B:$B, B355, '👥 Asistencia'!$E:$E, "20:00")), 0))</f>
        <v/>
      </c>
      <c r="F355" s="92"/>
      <c r="G355" s="92"/>
      <c r="H355" s="33" t="str">
        <f t="shared" si="10"/>
        <v/>
      </c>
      <c r="I355" s="30" t="str">
        <f t="shared" si="11"/>
        <v/>
      </c>
    </row>
    <row r="356" spans="2:9" ht="18" customHeight="1" x14ac:dyDescent="0.3">
      <c r="B356" s="26"/>
      <c r="C356" s="27"/>
      <c r="D356" s="30" t="str">
        <f>IF(B356="","",IF(COUNTIF('👥 Asistencia'!$B:$B, B356)&gt;0, IF(C356="DIA", COUNTIFS('👥 Asistencia'!$B:$B, B356, '👥 Asistencia'!$E:$E, "08:00") + COUNTIFS('👥 Asistencia'!$B:$B, B356, '👥 Asistencia'!$E:$E, "07:00"), COUNTIFS('👥 Asistencia'!$B:$B, B356, '👥 Asistencia'!$E:$E, "20:00")), 6))</f>
        <v/>
      </c>
      <c r="E356" s="34" t="str">
        <f>IF(B356="","",IF(COUNTIF('👥 Asistencia'!$B:$B, B356)&gt;0, IF(C356="DIA", SUMIFS('👥 Asistencia'!$H:$H, '👥 Asistencia'!$B:$B, B356, '👥 Asistencia'!$E:$E, "08:00") + SUMIFS('👥 Asistencia'!$H:$H, '👥 Asistencia'!$B:$B, B356, '👥 Asistencia'!$E:$E, "07:00"), SUMIFS('👥 Asistencia'!$H:$H, '👥 Asistencia'!$B:$B, B356, '👥 Asistencia'!$E:$E, "20:00")), 0))</f>
        <v/>
      </c>
      <c r="F356" s="91"/>
      <c r="G356" s="91"/>
      <c r="H356" s="33" t="str">
        <f t="shared" si="10"/>
        <v/>
      </c>
      <c r="I356" s="30" t="str">
        <f t="shared" si="11"/>
        <v/>
      </c>
    </row>
    <row r="357" spans="2:9" ht="18" customHeight="1" x14ac:dyDescent="0.3">
      <c r="B357" s="26"/>
      <c r="C357" s="27"/>
      <c r="D357" s="30" t="str">
        <f>IF(B357="","",IF(COUNTIF('👥 Asistencia'!$B:$B, B357)&gt;0, IF(C357="DIA", COUNTIFS('👥 Asistencia'!$B:$B, B357, '👥 Asistencia'!$E:$E, "08:00") + COUNTIFS('👥 Asistencia'!$B:$B, B357, '👥 Asistencia'!$E:$E, "07:00"), COUNTIFS('👥 Asistencia'!$B:$B, B357, '👥 Asistencia'!$E:$E, "20:00")), 6))</f>
        <v/>
      </c>
      <c r="E357" s="34" t="str">
        <f>IF(B357="","",IF(COUNTIF('👥 Asistencia'!$B:$B, B357)&gt;0, IF(C357="DIA", SUMIFS('👥 Asistencia'!$H:$H, '👥 Asistencia'!$B:$B, B357, '👥 Asistencia'!$E:$E, "08:00") + SUMIFS('👥 Asistencia'!$H:$H, '👥 Asistencia'!$B:$B, B357, '👥 Asistencia'!$E:$E, "07:00"), SUMIFS('👥 Asistencia'!$H:$H, '👥 Asistencia'!$B:$B, B357, '👥 Asistencia'!$E:$E, "20:00")), 0))</f>
        <v/>
      </c>
      <c r="F357" s="92"/>
      <c r="G357" s="92"/>
      <c r="H357" s="33" t="str">
        <f t="shared" si="10"/>
        <v/>
      </c>
      <c r="I357" s="30" t="str">
        <f t="shared" si="11"/>
        <v/>
      </c>
    </row>
    <row r="358" spans="2:9" ht="18" customHeight="1" x14ac:dyDescent="0.3">
      <c r="B358" s="26"/>
      <c r="C358" s="27"/>
      <c r="D358" s="30" t="str">
        <f>IF(B358="","",IF(COUNTIF('👥 Asistencia'!$B:$B, B358)&gt;0, IF(C358="DIA", COUNTIFS('👥 Asistencia'!$B:$B, B358, '👥 Asistencia'!$E:$E, "08:00") + COUNTIFS('👥 Asistencia'!$B:$B, B358, '👥 Asistencia'!$E:$E, "07:00"), COUNTIFS('👥 Asistencia'!$B:$B, B358, '👥 Asistencia'!$E:$E, "20:00")), 6))</f>
        <v/>
      </c>
      <c r="E358" s="34" t="str">
        <f>IF(B358="","",IF(COUNTIF('👥 Asistencia'!$B:$B, B358)&gt;0, IF(C358="DIA", SUMIFS('👥 Asistencia'!$H:$H, '👥 Asistencia'!$B:$B, B358, '👥 Asistencia'!$E:$E, "08:00") + SUMIFS('👥 Asistencia'!$H:$H, '👥 Asistencia'!$B:$B, B358, '👥 Asistencia'!$E:$E, "07:00"), SUMIFS('👥 Asistencia'!$H:$H, '👥 Asistencia'!$B:$B, B358, '👥 Asistencia'!$E:$E, "20:00")), 0))</f>
        <v/>
      </c>
      <c r="F358" s="91"/>
      <c r="G358" s="91"/>
      <c r="H358" s="33" t="str">
        <f t="shared" si="10"/>
        <v/>
      </c>
      <c r="I358" s="30" t="str">
        <f t="shared" si="11"/>
        <v/>
      </c>
    </row>
    <row r="359" spans="2:9" ht="18" customHeight="1" x14ac:dyDescent="0.3">
      <c r="B359" s="26"/>
      <c r="C359" s="27"/>
      <c r="D359" s="30" t="str">
        <f>IF(B359="","",IF(COUNTIF('👥 Asistencia'!$B:$B, B359)&gt;0, IF(C359="DIA", COUNTIFS('👥 Asistencia'!$B:$B, B359, '👥 Asistencia'!$E:$E, "08:00") + COUNTIFS('👥 Asistencia'!$B:$B, B359, '👥 Asistencia'!$E:$E, "07:00"), COUNTIFS('👥 Asistencia'!$B:$B, B359, '👥 Asistencia'!$E:$E, "20:00")), 6))</f>
        <v/>
      </c>
      <c r="E359" s="34" t="str">
        <f>IF(B359="","",IF(COUNTIF('👥 Asistencia'!$B:$B, B359)&gt;0, IF(C359="DIA", SUMIFS('👥 Asistencia'!$H:$H, '👥 Asistencia'!$B:$B, B359, '👥 Asistencia'!$E:$E, "08:00") + SUMIFS('👥 Asistencia'!$H:$H, '👥 Asistencia'!$B:$B, B359, '👥 Asistencia'!$E:$E, "07:00"), SUMIFS('👥 Asistencia'!$H:$H, '👥 Asistencia'!$B:$B, B359, '👥 Asistencia'!$E:$E, "20:00")), 0))</f>
        <v/>
      </c>
      <c r="F359" s="92"/>
      <c r="G359" s="92"/>
      <c r="H359" s="33" t="str">
        <f t="shared" si="10"/>
        <v/>
      </c>
      <c r="I359" s="30" t="str">
        <f t="shared" si="11"/>
        <v/>
      </c>
    </row>
    <row r="360" spans="2:9" ht="18" customHeight="1" x14ac:dyDescent="0.3">
      <c r="B360" s="26"/>
      <c r="C360" s="27"/>
      <c r="D360" s="30" t="str">
        <f>IF(B360="","",IF(COUNTIF('👥 Asistencia'!$B:$B, B360)&gt;0, IF(C360="DIA", COUNTIFS('👥 Asistencia'!$B:$B, B360, '👥 Asistencia'!$E:$E, "08:00") + COUNTIFS('👥 Asistencia'!$B:$B, B360, '👥 Asistencia'!$E:$E, "07:00"), COUNTIFS('👥 Asistencia'!$B:$B, B360, '👥 Asistencia'!$E:$E, "20:00")), 6))</f>
        <v/>
      </c>
      <c r="E360" s="34" t="str">
        <f>IF(B360="","",IF(COUNTIF('👥 Asistencia'!$B:$B, B360)&gt;0, IF(C360="DIA", SUMIFS('👥 Asistencia'!$H:$H, '👥 Asistencia'!$B:$B, B360, '👥 Asistencia'!$E:$E, "08:00") + SUMIFS('👥 Asistencia'!$H:$H, '👥 Asistencia'!$B:$B, B360, '👥 Asistencia'!$E:$E, "07:00"), SUMIFS('👥 Asistencia'!$H:$H, '👥 Asistencia'!$B:$B, B360, '👥 Asistencia'!$E:$E, "20:00")), 0))</f>
        <v/>
      </c>
      <c r="F360" s="91"/>
      <c r="G360" s="91"/>
      <c r="H360" s="33" t="str">
        <f t="shared" si="10"/>
        <v/>
      </c>
      <c r="I360" s="30" t="str">
        <f t="shared" si="11"/>
        <v/>
      </c>
    </row>
    <row r="361" spans="2:9" ht="18" customHeight="1" x14ac:dyDescent="0.3">
      <c r="B361" s="26"/>
      <c r="C361" s="27"/>
      <c r="D361" s="30" t="str">
        <f>IF(B361="","",IF(COUNTIF('👥 Asistencia'!$B:$B, B361)&gt;0, IF(C361="DIA", COUNTIFS('👥 Asistencia'!$B:$B, B361, '👥 Asistencia'!$E:$E, "08:00") + COUNTIFS('👥 Asistencia'!$B:$B, B361, '👥 Asistencia'!$E:$E, "07:00"), COUNTIFS('👥 Asistencia'!$B:$B, B361, '👥 Asistencia'!$E:$E, "20:00")), 6))</f>
        <v/>
      </c>
      <c r="E361" s="34" t="str">
        <f>IF(B361="","",IF(COUNTIF('👥 Asistencia'!$B:$B, B361)&gt;0, IF(C361="DIA", SUMIFS('👥 Asistencia'!$H:$H, '👥 Asistencia'!$B:$B, B361, '👥 Asistencia'!$E:$E, "08:00") + SUMIFS('👥 Asistencia'!$H:$H, '👥 Asistencia'!$B:$B, B361, '👥 Asistencia'!$E:$E, "07:00"), SUMIFS('👥 Asistencia'!$H:$H, '👥 Asistencia'!$B:$B, B361, '👥 Asistencia'!$E:$E, "20:00")), 0))</f>
        <v/>
      </c>
      <c r="F361" s="92"/>
      <c r="G361" s="92"/>
      <c r="H361" s="33" t="str">
        <f t="shared" si="10"/>
        <v/>
      </c>
      <c r="I361" s="30" t="str">
        <f t="shared" si="11"/>
        <v/>
      </c>
    </row>
    <row r="362" spans="2:9" ht="18" customHeight="1" x14ac:dyDescent="0.3">
      <c r="B362" s="26"/>
      <c r="C362" s="27"/>
      <c r="D362" s="30" t="str">
        <f>IF(B362="","",IF(COUNTIF('👥 Asistencia'!$B:$B, B362)&gt;0, IF(C362="DIA", COUNTIFS('👥 Asistencia'!$B:$B, B362, '👥 Asistencia'!$E:$E, "08:00") + COUNTIFS('👥 Asistencia'!$B:$B, B362, '👥 Asistencia'!$E:$E, "07:00"), COUNTIFS('👥 Asistencia'!$B:$B, B362, '👥 Asistencia'!$E:$E, "20:00")), 6))</f>
        <v/>
      </c>
      <c r="E362" s="34" t="str">
        <f>IF(B362="","",IF(COUNTIF('👥 Asistencia'!$B:$B, B362)&gt;0, IF(C362="DIA", SUMIFS('👥 Asistencia'!$H:$H, '👥 Asistencia'!$B:$B, B362, '👥 Asistencia'!$E:$E, "08:00") + SUMIFS('👥 Asistencia'!$H:$H, '👥 Asistencia'!$B:$B, B362, '👥 Asistencia'!$E:$E, "07:00"), SUMIFS('👥 Asistencia'!$H:$H, '👥 Asistencia'!$B:$B, B362, '👥 Asistencia'!$E:$E, "20:00")), 0))</f>
        <v/>
      </c>
      <c r="F362" s="91"/>
      <c r="G362" s="91"/>
      <c r="H362" s="33" t="str">
        <f t="shared" si="10"/>
        <v/>
      </c>
      <c r="I362" s="30" t="str">
        <f t="shared" si="11"/>
        <v/>
      </c>
    </row>
    <row r="363" spans="2:9" ht="18" customHeight="1" x14ac:dyDescent="0.3">
      <c r="B363" s="26"/>
      <c r="C363" s="27"/>
      <c r="D363" s="30" t="str">
        <f>IF(B363="","",IF(COUNTIF('👥 Asistencia'!$B:$B, B363)&gt;0, IF(C363="DIA", COUNTIFS('👥 Asistencia'!$B:$B, B363, '👥 Asistencia'!$E:$E, "08:00") + COUNTIFS('👥 Asistencia'!$B:$B, B363, '👥 Asistencia'!$E:$E, "07:00"), COUNTIFS('👥 Asistencia'!$B:$B, B363, '👥 Asistencia'!$E:$E, "20:00")), 6))</f>
        <v/>
      </c>
      <c r="E363" s="34" t="str">
        <f>IF(B363="","",IF(COUNTIF('👥 Asistencia'!$B:$B, B363)&gt;0, IF(C363="DIA", SUMIFS('👥 Asistencia'!$H:$H, '👥 Asistencia'!$B:$B, B363, '👥 Asistencia'!$E:$E, "08:00") + SUMIFS('👥 Asistencia'!$H:$H, '👥 Asistencia'!$B:$B, B363, '👥 Asistencia'!$E:$E, "07:00"), SUMIFS('👥 Asistencia'!$H:$H, '👥 Asistencia'!$B:$B, B363, '👥 Asistencia'!$E:$E, "20:00")), 0))</f>
        <v/>
      </c>
      <c r="F363" s="92"/>
      <c r="G363" s="92"/>
      <c r="H363" s="33" t="str">
        <f t="shared" si="10"/>
        <v/>
      </c>
      <c r="I363" s="30" t="str">
        <f t="shared" si="11"/>
        <v/>
      </c>
    </row>
    <row r="364" spans="2:9" ht="18" customHeight="1" x14ac:dyDescent="0.3">
      <c r="B364" s="26"/>
      <c r="C364" s="27"/>
      <c r="D364" s="30" t="str">
        <f>IF(B364="","",IF(COUNTIF('👥 Asistencia'!$B:$B, B364)&gt;0, IF(C364="DIA", COUNTIFS('👥 Asistencia'!$B:$B, B364, '👥 Asistencia'!$E:$E, "08:00") + COUNTIFS('👥 Asistencia'!$B:$B, B364, '👥 Asistencia'!$E:$E, "07:00"), COUNTIFS('👥 Asistencia'!$B:$B, B364, '👥 Asistencia'!$E:$E, "20:00")), 6))</f>
        <v/>
      </c>
      <c r="E364" s="34" t="str">
        <f>IF(B364="","",IF(COUNTIF('👥 Asistencia'!$B:$B, B364)&gt;0, IF(C364="DIA", SUMIFS('👥 Asistencia'!$H:$H, '👥 Asistencia'!$B:$B, B364, '👥 Asistencia'!$E:$E, "08:00") + SUMIFS('👥 Asistencia'!$H:$H, '👥 Asistencia'!$B:$B, B364, '👥 Asistencia'!$E:$E, "07:00"), SUMIFS('👥 Asistencia'!$H:$H, '👥 Asistencia'!$B:$B, B364, '👥 Asistencia'!$E:$E, "20:00")), 0))</f>
        <v/>
      </c>
      <c r="F364" s="91"/>
      <c r="G364" s="91"/>
      <c r="H364" s="33" t="str">
        <f t="shared" si="10"/>
        <v/>
      </c>
      <c r="I364" s="30" t="str">
        <f t="shared" si="11"/>
        <v/>
      </c>
    </row>
    <row r="365" spans="2:9" ht="18" customHeight="1" x14ac:dyDescent="0.3">
      <c r="B365" s="26"/>
      <c r="C365" s="27"/>
      <c r="D365" s="30" t="str">
        <f>IF(B365="","",IF(COUNTIF('👥 Asistencia'!$B:$B, B365)&gt;0, IF(C365="DIA", COUNTIFS('👥 Asistencia'!$B:$B, B365, '👥 Asistencia'!$E:$E, "08:00") + COUNTIFS('👥 Asistencia'!$B:$B, B365, '👥 Asistencia'!$E:$E, "07:00"), COUNTIFS('👥 Asistencia'!$B:$B, B365, '👥 Asistencia'!$E:$E, "20:00")), 6))</f>
        <v/>
      </c>
      <c r="E365" s="34" t="str">
        <f>IF(B365="","",IF(COUNTIF('👥 Asistencia'!$B:$B, B365)&gt;0, IF(C365="DIA", SUMIFS('👥 Asistencia'!$H:$H, '👥 Asistencia'!$B:$B, B365, '👥 Asistencia'!$E:$E, "08:00") + SUMIFS('👥 Asistencia'!$H:$H, '👥 Asistencia'!$B:$B, B365, '👥 Asistencia'!$E:$E, "07:00"), SUMIFS('👥 Asistencia'!$H:$H, '👥 Asistencia'!$B:$B, B365, '👥 Asistencia'!$E:$E, "20:00")), 0))</f>
        <v/>
      </c>
      <c r="F365" s="92"/>
      <c r="G365" s="92"/>
      <c r="H365" s="33" t="str">
        <f t="shared" si="10"/>
        <v/>
      </c>
      <c r="I365" s="30" t="str">
        <f t="shared" si="11"/>
        <v/>
      </c>
    </row>
    <row r="366" spans="2:9" ht="18" customHeight="1" x14ac:dyDescent="0.3">
      <c r="B366" s="26"/>
      <c r="C366" s="27"/>
      <c r="D366" s="30" t="str">
        <f>IF(B366="","",IF(COUNTIF('👥 Asistencia'!$B:$B, B366)&gt;0, IF(C366="DIA", COUNTIFS('👥 Asistencia'!$B:$B, B366, '👥 Asistencia'!$E:$E, "08:00") + COUNTIFS('👥 Asistencia'!$B:$B, B366, '👥 Asistencia'!$E:$E, "07:00"), COUNTIFS('👥 Asistencia'!$B:$B, B366, '👥 Asistencia'!$E:$E, "20:00")), 6))</f>
        <v/>
      </c>
      <c r="E366" s="34" t="str">
        <f>IF(B366="","",IF(COUNTIF('👥 Asistencia'!$B:$B, B366)&gt;0, IF(C366="DIA", SUMIFS('👥 Asistencia'!$H:$H, '👥 Asistencia'!$B:$B, B366, '👥 Asistencia'!$E:$E, "08:00") + SUMIFS('👥 Asistencia'!$H:$H, '👥 Asistencia'!$B:$B, B366, '👥 Asistencia'!$E:$E, "07:00"), SUMIFS('👥 Asistencia'!$H:$H, '👥 Asistencia'!$B:$B, B366, '👥 Asistencia'!$E:$E, "20:00")), 0))</f>
        <v/>
      </c>
      <c r="F366" s="91"/>
      <c r="G366" s="91"/>
      <c r="H366" s="33" t="str">
        <f t="shared" si="10"/>
        <v/>
      </c>
      <c r="I366" s="30" t="str">
        <f t="shared" si="11"/>
        <v/>
      </c>
    </row>
    <row r="367" spans="2:9" ht="18" customHeight="1" x14ac:dyDescent="0.3">
      <c r="B367" s="26"/>
      <c r="C367" s="27"/>
      <c r="D367" s="30" t="str">
        <f>IF(B367="","",IF(COUNTIF('👥 Asistencia'!$B:$B, B367)&gt;0, IF(C367="DIA", COUNTIFS('👥 Asistencia'!$B:$B, B367, '👥 Asistencia'!$E:$E, "08:00") + COUNTIFS('👥 Asistencia'!$B:$B, B367, '👥 Asistencia'!$E:$E, "07:00"), COUNTIFS('👥 Asistencia'!$B:$B, B367, '👥 Asistencia'!$E:$E, "20:00")), 6))</f>
        <v/>
      </c>
      <c r="E367" s="34" t="str">
        <f>IF(B367="","",IF(COUNTIF('👥 Asistencia'!$B:$B, B367)&gt;0, IF(C367="DIA", SUMIFS('👥 Asistencia'!$H:$H, '👥 Asistencia'!$B:$B, B367, '👥 Asistencia'!$E:$E, "08:00") + SUMIFS('👥 Asistencia'!$H:$H, '👥 Asistencia'!$B:$B, B367, '👥 Asistencia'!$E:$E, "07:00"), SUMIFS('👥 Asistencia'!$H:$H, '👥 Asistencia'!$B:$B, B367, '👥 Asistencia'!$E:$E, "20:00")), 0))</f>
        <v/>
      </c>
      <c r="F367" s="92"/>
      <c r="G367" s="92"/>
      <c r="H367" s="33" t="str">
        <f t="shared" si="10"/>
        <v/>
      </c>
      <c r="I367" s="30" t="str">
        <f t="shared" si="11"/>
        <v/>
      </c>
    </row>
    <row r="368" spans="2:9" ht="18" customHeight="1" x14ac:dyDescent="0.3">
      <c r="B368" s="26"/>
      <c r="C368" s="27"/>
      <c r="D368" s="30" t="str">
        <f>IF(B368="","",IF(COUNTIF('👥 Asistencia'!$B:$B, B368)&gt;0, IF(C368="DIA", COUNTIFS('👥 Asistencia'!$B:$B, B368, '👥 Asistencia'!$E:$E, "08:00") + COUNTIFS('👥 Asistencia'!$B:$B, B368, '👥 Asistencia'!$E:$E, "07:00"), COUNTIFS('👥 Asistencia'!$B:$B, B368, '👥 Asistencia'!$E:$E, "20:00")), 6))</f>
        <v/>
      </c>
      <c r="E368" s="34" t="str">
        <f>IF(B368="","",IF(COUNTIF('👥 Asistencia'!$B:$B, B368)&gt;0, IF(C368="DIA", SUMIFS('👥 Asistencia'!$H:$H, '👥 Asistencia'!$B:$B, B368, '👥 Asistencia'!$E:$E, "08:00") + SUMIFS('👥 Asistencia'!$H:$H, '👥 Asistencia'!$B:$B, B368, '👥 Asistencia'!$E:$E, "07:00"), SUMIFS('👥 Asistencia'!$H:$H, '👥 Asistencia'!$B:$B, B368, '👥 Asistencia'!$E:$E, "20:00")), 0))</f>
        <v/>
      </c>
      <c r="F368" s="91"/>
      <c r="G368" s="91"/>
      <c r="H368" s="33" t="str">
        <f t="shared" si="10"/>
        <v/>
      </c>
      <c r="I368" s="30" t="str">
        <f t="shared" si="11"/>
        <v/>
      </c>
    </row>
    <row r="369" spans="2:9" ht="18" customHeight="1" x14ac:dyDescent="0.3">
      <c r="B369" s="26"/>
      <c r="C369" s="27"/>
      <c r="D369" s="30" t="str">
        <f>IF(B369="","",IF(COUNTIF('👥 Asistencia'!$B:$B, B369)&gt;0, IF(C369="DIA", COUNTIFS('👥 Asistencia'!$B:$B, B369, '👥 Asistencia'!$E:$E, "08:00") + COUNTIFS('👥 Asistencia'!$B:$B, B369, '👥 Asistencia'!$E:$E, "07:00"), COUNTIFS('👥 Asistencia'!$B:$B, B369, '👥 Asistencia'!$E:$E, "20:00")), 6))</f>
        <v/>
      </c>
      <c r="E369" s="34" t="str">
        <f>IF(B369="","",IF(COUNTIF('👥 Asistencia'!$B:$B, B369)&gt;0, IF(C369="DIA", SUMIFS('👥 Asistencia'!$H:$H, '👥 Asistencia'!$B:$B, B369, '👥 Asistencia'!$E:$E, "08:00") + SUMIFS('👥 Asistencia'!$H:$H, '👥 Asistencia'!$B:$B, B369, '👥 Asistencia'!$E:$E, "07:00"), SUMIFS('👥 Asistencia'!$H:$H, '👥 Asistencia'!$B:$B, B369, '👥 Asistencia'!$E:$E, "20:00")), 0))</f>
        <v/>
      </c>
      <c r="F369" s="92"/>
      <c r="G369" s="92"/>
      <c r="H369" s="33" t="str">
        <f t="shared" si="10"/>
        <v/>
      </c>
      <c r="I369" s="30" t="str">
        <f t="shared" si="11"/>
        <v/>
      </c>
    </row>
    <row r="370" spans="2:9" ht="18" customHeight="1" x14ac:dyDescent="0.3">
      <c r="B370" s="26"/>
      <c r="C370" s="27"/>
      <c r="D370" s="30" t="str">
        <f>IF(B370="","",IF(COUNTIF('👥 Asistencia'!$B:$B, B370)&gt;0, IF(C370="DIA", COUNTIFS('👥 Asistencia'!$B:$B, B370, '👥 Asistencia'!$E:$E, "08:00") + COUNTIFS('👥 Asistencia'!$B:$B, B370, '👥 Asistencia'!$E:$E, "07:00"), COUNTIFS('👥 Asistencia'!$B:$B, B370, '👥 Asistencia'!$E:$E, "20:00")), 6))</f>
        <v/>
      </c>
      <c r="E370" s="34" t="str">
        <f>IF(B370="","",IF(COUNTIF('👥 Asistencia'!$B:$B, B370)&gt;0, IF(C370="DIA", SUMIFS('👥 Asistencia'!$H:$H, '👥 Asistencia'!$B:$B, B370, '👥 Asistencia'!$E:$E, "08:00") + SUMIFS('👥 Asistencia'!$H:$H, '👥 Asistencia'!$B:$B, B370, '👥 Asistencia'!$E:$E, "07:00"), SUMIFS('👥 Asistencia'!$H:$H, '👥 Asistencia'!$B:$B, B370, '👥 Asistencia'!$E:$E, "20:00")), 0))</f>
        <v/>
      </c>
      <c r="F370" s="91"/>
      <c r="G370" s="91"/>
      <c r="H370" s="33" t="str">
        <f t="shared" si="10"/>
        <v/>
      </c>
      <c r="I370" s="30" t="str">
        <f t="shared" si="11"/>
        <v/>
      </c>
    </row>
    <row r="371" spans="2:9" ht="18" customHeight="1" x14ac:dyDescent="0.3">
      <c r="B371" s="26"/>
      <c r="C371" s="27"/>
      <c r="D371" s="30" t="str">
        <f>IF(B371="","",IF(COUNTIF('👥 Asistencia'!$B:$B, B371)&gt;0, IF(C371="DIA", COUNTIFS('👥 Asistencia'!$B:$B, B371, '👥 Asistencia'!$E:$E, "08:00") + COUNTIFS('👥 Asistencia'!$B:$B, B371, '👥 Asistencia'!$E:$E, "07:00"), COUNTIFS('👥 Asistencia'!$B:$B, B371, '👥 Asistencia'!$E:$E, "20:00")), 6))</f>
        <v/>
      </c>
      <c r="E371" s="34" t="str">
        <f>IF(B371="","",IF(COUNTIF('👥 Asistencia'!$B:$B, B371)&gt;0, IF(C371="DIA", SUMIFS('👥 Asistencia'!$H:$H, '👥 Asistencia'!$B:$B, B371, '👥 Asistencia'!$E:$E, "08:00") + SUMIFS('👥 Asistencia'!$H:$H, '👥 Asistencia'!$B:$B, B371, '👥 Asistencia'!$E:$E, "07:00"), SUMIFS('👥 Asistencia'!$H:$H, '👥 Asistencia'!$B:$B, B371, '👥 Asistencia'!$E:$E, "20:00")), 0))</f>
        <v/>
      </c>
      <c r="F371" s="92"/>
      <c r="G371" s="92"/>
      <c r="H371" s="33" t="str">
        <f t="shared" si="10"/>
        <v/>
      </c>
      <c r="I371" s="30" t="str">
        <f t="shared" si="11"/>
        <v/>
      </c>
    </row>
    <row r="372" spans="2:9" ht="18" customHeight="1" x14ac:dyDescent="0.3">
      <c r="B372" s="26"/>
      <c r="C372" s="27"/>
      <c r="D372" s="30" t="str">
        <f>IF(B372="","",IF(COUNTIF('👥 Asistencia'!$B:$B, B372)&gt;0, IF(C372="DIA", COUNTIFS('👥 Asistencia'!$B:$B, B372, '👥 Asistencia'!$E:$E, "08:00") + COUNTIFS('👥 Asistencia'!$B:$B, B372, '👥 Asistencia'!$E:$E, "07:00"), COUNTIFS('👥 Asistencia'!$B:$B, B372, '👥 Asistencia'!$E:$E, "20:00")), 6))</f>
        <v/>
      </c>
      <c r="E372" s="34" t="str">
        <f>IF(B372="","",IF(COUNTIF('👥 Asistencia'!$B:$B, B372)&gt;0, IF(C372="DIA", SUMIFS('👥 Asistencia'!$H:$H, '👥 Asistencia'!$B:$B, B372, '👥 Asistencia'!$E:$E, "08:00") + SUMIFS('👥 Asistencia'!$H:$H, '👥 Asistencia'!$B:$B, B372, '👥 Asistencia'!$E:$E, "07:00"), SUMIFS('👥 Asistencia'!$H:$H, '👥 Asistencia'!$B:$B, B372, '👥 Asistencia'!$E:$E, "20:00")), 0))</f>
        <v/>
      </c>
      <c r="F372" s="91"/>
      <c r="G372" s="91"/>
      <c r="H372" s="33" t="str">
        <f t="shared" si="10"/>
        <v/>
      </c>
      <c r="I372" s="30" t="str">
        <f t="shared" si="11"/>
        <v/>
      </c>
    </row>
    <row r="373" spans="2:9" ht="18" customHeight="1" x14ac:dyDescent="0.3">
      <c r="B373" s="26"/>
      <c r="C373" s="27"/>
      <c r="D373" s="30" t="str">
        <f>IF(B373="","",IF(COUNTIF('👥 Asistencia'!$B:$B, B373)&gt;0, IF(C373="DIA", COUNTIFS('👥 Asistencia'!$B:$B, B373, '👥 Asistencia'!$E:$E, "08:00") + COUNTIFS('👥 Asistencia'!$B:$B, B373, '👥 Asistencia'!$E:$E, "07:00"), COUNTIFS('👥 Asistencia'!$B:$B, B373, '👥 Asistencia'!$E:$E, "20:00")), 6))</f>
        <v/>
      </c>
      <c r="E373" s="34" t="str">
        <f>IF(B373="","",IF(COUNTIF('👥 Asistencia'!$B:$B, B373)&gt;0, IF(C373="DIA", SUMIFS('👥 Asistencia'!$H:$H, '👥 Asistencia'!$B:$B, B373, '👥 Asistencia'!$E:$E, "08:00") + SUMIFS('👥 Asistencia'!$H:$H, '👥 Asistencia'!$B:$B, B373, '👥 Asistencia'!$E:$E, "07:00"), SUMIFS('👥 Asistencia'!$H:$H, '👥 Asistencia'!$B:$B, B373, '👥 Asistencia'!$E:$E, "20:00")), 0))</f>
        <v/>
      </c>
      <c r="F373" s="92"/>
      <c r="G373" s="92"/>
      <c r="H373" s="33" t="str">
        <f t="shared" si="10"/>
        <v/>
      </c>
      <c r="I373" s="30" t="str">
        <f t="shared" si="11"/>
        <v/>
      </c>
    </row>
    <row r="374" spans="2:9" ht="18" customHeight="1" x14ac:dyDescent="0.3">
      <c r="B374" s="26"/>
      <c r="C374" s="27"/>
      <c r="D374" s="30" t="str">
        <f>IF(B374="","",IF(COUNTIF('👥 Asistencia'!$B:$B, B374)&gt;0, IF(C374="DIA", COUNTIFS('👥 Asistencia'!$B:$B, B374, '👥 Asistencia'!$E:$E, "08:00") + COUNTIFS('👥 Asistencia'!$B:$B, B374, '👥 Asistencia'!$E:$E, "07:00"), COUNTIFS('👥 Asistencia'!$B:$B, B374, '👥 Asistencia'!$E:$E, "20:00")), 6))</f>
        <v/>
      </c>
      <c r="E374" s="34" t="str">
        <f>IF(B374="","",IF(COUNTIF('👥 Asistencia'!$B:$B, B374)&gt;0, IF(C374="DIA", SUMIFS('👥 Asistencia'!$H:$H, '👥 Asistencia'!$B:$B, B374, '👥 Asistencia'!$E:$E, "08:00") + SUMIFS('👥 Asistencia'!$H:$H, '👥 Asistencia'!$B:$B, B374, '👥 Asistencia'!$E:$E, "07:00"), SUMIFS('👥 Asistencia'!$H:$H, '👥 Asistencia'!$B:$B, B374, '👥 Asistencia'!$E:$E, "20:00")), 0))</f>
        <v/>
      </c>
      <c r="F374" s="91"/>
      <c r="G374" s="91"/>
      <c r="H374" s="33" t="str">
        <f t="shared" si="10"/>
        <v/>
      </c>
      <c r="I374" s="30" t="str">
        <f t="shared" si="11"/>
        <v/>
      </c>
    </row>
    <row r="375" spans="2:9" ht="18" customHeight="1" x14ac:dyDescent="0.3">
      <c r="B375" s="26"/>
      <c r="C375" s="27"/>
      <c r="D375" s="30" t="str">
        <f>IF(B375="","",IF(COUNTIF('👥 Asistencia'!$B:$B, B375)&gt;0, IF(C375="DIA", COUNTIFS('👥 Asistencia'!$B:$B, B375, '👥 Asistencia'!$E:$E, "08:00") + COUNTIFS('👥 Asistencia'!$B:$B, B375, '👥 Asistencia'!$E:$E, "07:00"), COUNTIFS('👥 Asistencia'!$B:$B, B375, '👥 Asistencia'!$E:$E, "20:00")), 6))</f>
        <v/>
      </c>
      <c r="E375" s="34" t="str">
        <f>IF(B375="","",IF(COUNTIF('👥 Asistencia'!$B:$B, B375)&gt;0, IF(C375="DIA", SUMIFS('👥 Asistencia'!$H:$H, '👥 Asistencia'!$B:$B, B375, '👥 Asistencia'!$E:$E, "08:00") + SUMIFS('👥 Asistencia'!$H:$H, '👥 Asistencia'!$B:$B, B375, '👥 Asistencia'!$E:$E, "07:00"), SUMIFS('👥 Asistencia'!$H:$H, '👥 Asistencia'!$B:$B, B375, '👥 Asistencia'!$E:$E, "20:00")), 0))</f>
        <v/>
      </c>
      <c r="F375" s="18"/>
      <c r="G375" s="18"/>
      <c r="H375" s="33" t="str">
        <f t="shared" si="10"/>
        <v/>
      </c>
      <c r="I375" s="30" t="str">
        <f t="shared" si="11"/>
        <v/>
      </c>
    </row>
    <row r="376" spans="2:9" ht="18" customHeight="1" x14ac:dyDescent="0.3">
      <c r="B376" s="26"/>
      <c r="C376" s="27"/>
      <c r="D376" s="30" t="str">
        <f>IF(B376="","",IF(COUNTIF('👥 Asistencia'!$B:$B, B376)&gt;0, IF(C376="DIA", COUNTIFS('👥 Asistencia'!$B:$B, B376, '👥 Asistencia'!$E:$E, "08:00") + COUNTIFS('👥 Asistencia'!$B:$B, B376, '👥 Asistencia'!$E:$E, "07:00"), COUNTIFS('👥 Asistencia'!$B:$B, B376, '👥 Asistencia'!$E:$E, "20:00")), 6))</f>
        <v/>
      </c>
      <c r="E376" s="34" t="str">
        <f>IF(B376="","",IF(COUNTIF('👥 Asistencia'!$B:$B, B376)&gt;0, IF(C376="DIA", SUMIFS('👥 Asistencia'!$H:$H, '👥 Asistencia'!$B:$B, B376, '👥 Asistencia'!$E:$E, "08:00") + SUMIFS('👥 Asistencia'!$H:$H, '👥 Asistencia'!$B:$B, B376, '👥 Asistencia'!$E:$E, "07:00"), SUMIFS('👥 Asistencia'!$H:$H, '👥 Asistencia'!$B:$B, B376, '👥 Asistencia'!$E:$E, "20:00")), 0))</f>
        <v/>
      </c>
      <c r="F376" s="29"/>
      <c r="G376" s="29"/>
      <c r="H376" s="33" t="str">
        <f t="shared" si="10"/>
        <v/>
      </c>
      <c r="I376" s="30" t="str">
        <f t="shared" si="11"/>
        <v/>
      </c>
    </row>
    <row r="377" spans="2:9" ht="18" customHeight="1" x14ac:dyDescent="0.3">
      <c r="B377" s="26"/>
      <c r="C377" s="27"/>
      <c r="D377" s="30" t="str">
        <f>IF(B377="","",IF(COUNTIF('👥 Asistencia'!$B:$B, B377)&gt;0, IF(C377="DIA", COUNTIFS('👥 Asistencia'!$B:$B, B377, '👥 Asistencia'!$E:$E, "08:00") + COUNTIFS('👥 Asistencia'!$B:$B, B377, '👥 Asistencia'!$E:$E, "07:00"), COUNTIFS('👥 Asistencia'!$B:$B, B377, '👥 Asistencia'!$E:$E, "20:00")), 6))</f>
        <v/>
      </c>
      <c r="E377" s="34" t="str">
        <f>IF(B377="","",IF(COUNTIF('👥 Asistencia'!$B:$B, B377)&gt;0, IF(C377="DIA", SUMIFS('👥 Asistencia'!$H:$H, '👥 Asistencia'!$B:$B, B377, '👥 Asistencia'!$E:$E, "08:00") + SUMIFS('👥 Asistencia'!$H:$H, '👥 Asistencia'!$B:$B, B377, '👥 Asistencia'!$E:$E, "07:00"), SUMIFS('👥 Asistencia'!$H:$H, '👥 Asistencia'!$B:$B, B377, '👥 Asistencia'!$E:$E, "20:00")), 0))</f>
        <v/>
      </c>
      <c r="F377" s="18"/>
      <c r="G377" s="18"/>
      <c r="H377" s="33" t="str">
        <f t="shared" si="10"/>
        <v/>
      </c>
      <c r="I377" s="30" t="str">
        <f t="shared" si="11"/>
        <v/>
      </c>
    </row>
    <row r="378" spans="2:9" ht="18" customHeight="1" x14ac:dyDescent="0.3">
      <c r="B378" s="26"/>
      <c r="C378" s="27"/>
      <c r="D378" s="30" t="str">
        <f>IF(B378="","",IF(COUNTIF('👥 Asistencia'!$B:$B, B378)&gt;0, IF(C378="DIA", COUNTIFS('👥 Asistencia'!$B:$B, B378, '👥 Asistencia'!$E:$E, "08:00") + COUNTIFS('👥 Asistencia'!$B:$B, B378, '👥 Asistencia'!$E:$E, "07:00"), COUNTIFS('👥 Asistencia'!$B:$B, B378, '👥 Asistencia'!$E:$E, "20:00")), 6))</f>
        <v/>
      </c>
      <c r="E378" s="34" t="str">
        <f>IF(B378="","",IF(COUNTIF('👥 Asistencia'!$B:$B, B378)&gt;0, IF(C378="DIA", SUMIFS('👥 Asistencia'!$H:$H, '👥 Asistencia'!$B:$B, B378, '👥 Asistencia'!$E:$E, "08:00") + SUMIFS('👥 Asistencia'!$H:$H, '👥 Asistencia'!$B:$B, B378, '👥 Asistencia'!$E:$E, "07:00"), SUMIFS('👥 Asistencia'!$H:$H, '👥 Asistencia'!$B:$B, B378, '👥 Asistencia'!$E:$E, "20:00")), 0))</f>
        <v/>
      </c>
      <c r="F378" s="29"/>
      <c r="G378" s="29"/>
      <c r="H378" s="33" t="str">
        <f t="shared" si="10"/>
        <v/>
      </c>
      <c r="I378" s="30" t="str">
        <f t="shared" si="11"/>
        <v/>
      </c>
    </row>
    <row r="379" spans="2:9" ht="18" customHeight="1" x14ac:dyDescent="0.3">
      <c r="B379" s="26"/>
      <c r="C379" s="27"/>
      <c r="D379" s="30" t="str">
        <f>IF(B379="","",IF(COUNTIF('👥 Asistencia'!$B:$B, B379)&gt;0, IF(C379="DIA", COUNTIFS('👥 Asistencia'!$B:$B, B379, '👥 Asistencia'!$E:$E, "08:00") + COUNTIFS('👥 Asistencia'!$B:$B, B379, '👥 Asistencia'!$E:$E, "07:00"), COUNTIFS('👥 Asistencia'!$B:$B, B379, '👥 Asistencia'!$E:$E, "20:00")), 6))</f>
        <v/>
      </c>
      <c r="E379" s="34" t="str">
        <f>IF(B379="","",IF(COUNTIF('👥 Asistencia'!$B:$B, B379)&gt;0, IF(C379="DIA", SUMIFS('👥 Asistencia'!$H:$H, '👥 Asistencia'!$B:$B, B379, '👥 Asistencia'!$E:$E, "08:00") + SUMIFS('👥 Asistencia'!$H:$H, '👥 Asistencia'!$B:$B, B379, '👥 Asistencia'!$E:$E, "07:00"), SUMIFS('👥 Asistencia'!$H:$H, '👥 Asistencia'!$B:$B, B379, '👥 Asistencia'!$E:$E, "20:00")), 0))</f>
        <v/>
      </c>
      <c r="F379" s="18"/>
      <c r="G379" s="18"/>
      <c r="H379" s="33" t="str">
        <f t="shared" si="10"/>
        <v/>
      </c>
      <c r="I379" s="30" t="str">
        <f t="shared" si="11"/>
        <v/>
      </c>
    </row>
    <row r="380" spans="2:9" ht="18" customHeight="1" x14ac:dyDescent="0.3">
      <c r="B380" s="26"/>
      <c r="C380" s="27"/>
      <c r="D380" s="30" t="str">
        <f>IF(B380="","",IF(COUNTIF('👥 Asistencia'!$B:$B, B380)&gt;0, IF(C380="DIA", COUNTIFS('👥 Asistencia'!$B:$B, B380, '👥 Asistencia'!$E:$E, "08:00") + COUNTIFS('👥 Asistencia'!$B:$B, B380, '👥 Asistencia'!$E:$E, "07:00"), COUNTIFS('👥 Asistencia'!$B:$B, B380, '👥 Asistencia'!$E:$E, "20:00")), 6))</f>
        <v/>
      </c>
      <c r="E380" s="34" t="str">
        <f>IF(B380="","",IF(COUNTIF('👥 Asistencia'!$B:$B, B380)&gt;0, IF(C380="DIA", SUMIFS('👥 Asistencia'!$H:$H, '👥 Asistencia'!$B:$B, B380, '👥 Asistencia'!$E:$E, "08:00") + SUMIFS('👥 Asistencia'!$H:$H, '👥 Asistencia'!$B:$B, B380, '👥 Asistencia'!$E:$E, "07:00"), SUMIFS('👥 Asistencia'!$H:$H, '👥 Asistencia'!$B:$B, B380, '👥 Asistencia'!$E:$E, "20:00")), 0))</f>
        <v/>
      </c>
      <c r="F380" s="29"/>
      <c r="G380" s="29"/>
      <c r="H380" s="33" t="str">
        <f t="shared" si="10"/>
        <v/>
      </c>
      <c r="I380" s="30" t="str">
        <f t="shared" si="11"/>
        <v/>
      </c>
    </row>
    <row r="381" spans="2:9" ht="18" customHeight="1" x14ac:dyDescent="0.3">
      <c r="B381" s="26"/>
      <c r="C381" s="27"/>
      <c r="D381" s="30" t="str">
        <f>IF(B381="","",IF(COUNTIF('👥 Asistencia'!$B:$B, B381)&gt;0, IF(C381="DIA", COUNTIFS('👥 Asistencia'!$B:$B, B381, '👥 Asistencia'!$E:$E, "08:00") + COUNTIFS('👥 Asistencia'!$B:$B, B381, '👥 Asistencia'!$E:$E, "07:00"), COUNTIFS('👥 Asistencia'!$B:$B, B381, '👥 Asistencia'!$E:$E, "20:00")), 6))</f>
        <v/>
      </c>
      <c r="E381" s="34" t="str">
        <f>IF(B381="","",IF(COUNTIF('👥 Asistencia'!$B:$B, B381)&gt;0, IF(C381="DIA", SUMIFS('👥 Asistencia'!$H:$H, '👥 Asistencia'!$B:$B, B381, '👥 Asistencia'!$E:$E, "08:00") + SUMIFS('👥 Asistencia'!$H:$H, '👥 Asistencia'!$B:$B, B381, '👥 Asistencia'!$E:$E, "07:00"), SUMIFS('👥 Asistencia'!$H:$H, '👥 Asistencia'!$B:$B, B381, '👥 Asistencia'!$E:$E, "20:00")), 0))</f>
        <v/>
      </c>
      <c r="F381" s="18"/>
      <c r="G381" s="18"/>
      <c r="H381" s="33" t="str">
        <f t="shared" si="10"/>
        <v/>
      </c>
      <c r="I381" s="30" t="str">
        <f t="shared" si="11"/>
        <v/>
      </c>
    </row>
    <row r="382" spans="2:9" ht="18" customHeight="1" x14ac:dyDescent="0.3">
      <c r="B382" s="26"/>
      <c r="C382" s="27"/>
      <c r="D382" s="30" t="str">
        <f>IF(B382="","",IF(COUNTIF('👥 Asistencia'!$B:$B, B382)&gt;0, IF(C382="DIA", COUNTIFS('👥 Asistencia'!$B:$B, B382, '👥 Asistencia'!$E:$E, "08:00") + COUNTIFS('👥 Asistencia'!$B:$B, B382, '👥 Asistencia'!$E:$E, "07:00"), COUNTIFS('👥 Asistencia'!$B:$B, B382, '👥 Asistencia'!$E:$E, "20:00")), 6))</f>
        <v/>
      </c>
      <c r="E382" s="34" t="str">
        <f>IF(B382="","",IF(COUNTIF('👥 Asistencia'!$B:$B, B382)&gt;0, IF(C382="DIA", SUMIFS('👥 Asistencia'!$H:$H, '👥 Asistencia'!$B:$B, B382, '👥 Asistencia'!$E:$E, "08:00") + SUMIFS('👥 Asistencia'!$H:$H, '👥 Asistencia'!$B:$B, B382, '👥 Asistencia'!$E:$E, "07:00"), SUMIFS('👥 Asistencia'!$H:$H, '👥 Asistencia'!$B:$B, B382, '👥 Asistencia'!$E:$E, "20:00")), 0))</f>
        <v/>
      </c>
      <c r="F382" s="29"/>
      <c r="G382" s="29"/>
      <c r="H382" s="33" t="str">
        <f t="shared" si="10"/>
        <v/>
      </c>
      <c r="I382" s="30" t="str">
        <f t="shared" si="11"/>
        <v/>
      </c>
    </row>
    <row r="383" spans="2:9" ht="18" customHeight="1" x14ac:dyDescent="0.3">
      <c r="B383" s="26"/>
      <c r="C383" s="27"/>
      <c r="D383" s="30" t="str">
        <f>IF(B383="","",IF(COUNTIF('👥 Asistencia'!$B:$B, B383)&gt;0, IF(C383="DIA", COUNTIFS('👥 Asistencia'!$B:$B, B383, '👥 Asistencia'!$E:$E, "08:00") + COUNTIFS('👥 Asistencia'!$B:$B, B383, '👥 Asistencia'!$E:$E, "07:00"), COUNTIFS('👥 Asistencia'!$B:$B, B383, '👥 Asistencia'!$E:$E, "20:00")), 6))</f>
        <v/>
      </c>
      <c r="E383" s="34" t="str">
        <f>IF(B383="","",IF(COUNTIF('👥 Asistencia'!$B:$B, B383)&gt;0, IF(C383="DIA", SUMIFS('👥 Asistencia'!$H:$H, '👥 Asistencia'!$B:$B, B383, '👥 Asistencia'!$E:$E, "08:00") + SUMIFS('👥 Asistencia'!$H:$H, '👥 Asistencia'!$B:$B, B383, '👥 Asistencia'!$E:$E, "07:00"), SUMIFS('👥 Asistencia'!$H:$H, '👥 Asistencia'!$B:$B, B383, '👥 Asistencia'!$E:$E, "20:00")), 0))</f>
        <v/>
      </c>
      <c r="F383" s="18"/>
      <c r="G383" s="18"/>
      <c r="H383" s="33" t="str">
        <f t="shared" si="10"/>
        <v/>
      </c>
      <c r="I383" s="30" t="str">
        <f t="shared" si="11"/>
        <v/>
      </c>
    </row>
    <row r="384" spans="2:9" ht="18" customHeight="1" x14ac:dyDescent="0.3">
      <c r="B384" s="26"/>
      <c r="C384" s="27"/>
      <c r="D384" s="30" t="str">
        <f>IF(B384="","",IF(COUNTIF('👥 Asistencia'!$B:$B, B384)&gt;0, IF(C384="DIA", COUNTIFS('👥 Asistencia'!$B:$B, B384, '👥 Asistencia'!$E:$E, "08:00") + COUNTIFS('👥 Asistencia'!$B:$B, B384, '👥 Asistencia'!$E:$E, "07:00"), COUNTIFS('👥 Asistencia'!$B:$B, B384, '👥 Asistencia'!$E:$E, "20:00")), 6))</f>
        <v/>
      </c>
      <c r="E384" s="34" t="str">
        <f>IF(B384="","",IF(COUNTIF('👥 Asistencia'!$B:$B, B384)&gt;0, IF(C384="DIA", SUMIFS('👥 Asistencia'!$H:$H, '👥 Asistencia'!$B:$B, B384, '👥 Asistencia'!$E:$E, "08:00") + SUMIFS('👥 Asistencia'!$H:$H, '👥 Asistencia'!$B:$B, B384, '👥 Asistencia'!$E:$E, "07:00"), SUMIFS('👥 Asistencia'!$H:$H, '👥 Asistencia'!$B:$B, B384, '👥 Asistencia'!$E:$E, "20:00")), 0))</f>
        <v/>
      </c>
      <c r="F384" s="29"/>
      <c r="G384" s="29"/>
      <c r="H384" s="33" t="str">
        <f t="shared" si="10"/>
        <v/>
      </c>
      <c r="I384" s="30" t="str">
        <f t="shared" si="11"/>
        <v/>
      </c>
    </row>
    <row r="385" spans="2:9" ht="18" customHeight="1" x14ac:dyDescent="0.3">
      <c r="B385" s="26"/>
      <c r="C385" s="27"/>
      <c r="D385" s="30" t="str">
        <f>IF(B385="","",IF(COUNTIF('👥 Asistencia'!$B:$B, B385)&gt;0, IF(C385="DIA", COUNTIFS('👥 Asistencia'!$B:$B, B385, '👥 Asistencia'!$E:$E, "08:00") + COUNTIFS('👥 Asistencia'!$B:$B, B385, '👥 Asistencia'!$E:$E, "07:00"), COUNTIFS('👥 Asistencia'!$B:$B, B385, '👥 Asistencia'!$E:$E, "20:00")), 6))</f>
        <v/>
      </c>
      <c r="E385" s="34" t="str">
        <f>IF(B385="","",IF(COUNTIF('👥 Asistencia'!$B:$B, B385)&gt;0, IF(C385="DIA", SUMIFS('👥 Asistencia'!$H:$H, '👥 Asistencia'!$B:$B, B385, '👥 Asistencia'!$E:$E, "08:00") + SUMIFS('👥 Asistencia'!$H:$H, '👥 Asistencia'!$B:$B, B385, '👥 Asistencia'!$E:$E, "07:00"), SUMIFS('👥 Asistencia'!$H:$H, '👥 Asistencia'!$B:$B, B385, '👥 Asistencia'!$E:$E, "20:00")), 0))</f>
        <v/>
      </c>
      <c r="F385" s="18"/>
      <c r="G385" s="18"/>
      <c r="H385" s="33" t="str">
        <f t="shared" si="10"/>
        <v/>
      </c>
      <c r="I385" s="30" t="str">
        <f t="shared" si="11"/>
        <v/>
      </c>
    </row>
    <row r="386" spans="2:9" ht="18" customHeight="1" x14ac:dyDescent="0.3">
      <c r="B386" s="26"/>
      <c r="C386" s="27"/>
      <c r="D386" s="30" t="str">
        <f>IF(B386="","",IF(COUNTIF('👥 Asistencia'!$B:$B, B386)&gt;0, IF(C386="DIA", COUNTIFS('👥 Asistencia'!$B:$B, B386, '👥 Asistencia'!$E:$E, "08:00") + COUNTIFS('👥 Asistencia'!$B:$B, B386, '👥 Asistencia'!$E:$E, "07:00"), COUNTIFS('👥 Asistencia'!$B:$B, B386, '👥 Asistencia'!$E:$E, "20:00")), 6))</f>
        <v/>
      </c>
      <c r="E386" s="34" t="str">
        <f>IF(B386="","",IF(COUNTIF('👥 Asistencia'!$B:$B, B386)&gt;0, IF(C386="DIA", SUMIFS('👥 Asistencia'!$H:$H, '👥 Asistencia'!$B:$B, B386, '👥 Asistencia'!$E:$E, "08:00") + SUMIFS('👥 Asistencia'!$H:$H, '👥 Asistencia'!$B:$B, B386, '👥 Asistencia'!$E:$E, "07:00"), SUMIFS('👥 Asistencia'!$H:$H, '👥 Asistencia'!$B:$B, B386, '👥 Asistencia'!$E:$E, "20:00")), 0))</f>
        <v/>
      </c>
      <c r="F386" s="29"/>
      <c r="G386" s="29"/>
      <c r="H386" s="33" t="str">
        <f t="shared" si="10"/>
        <v/>
      </c>
      <c r="I386" s="30" t="str">
        <f t="shared" si="11"/>
        <v/>
      </c>
    </row>
    <row r="387" spans="2:9" ht="18" customHeight="1" x14ac:dyDescent="0.3">
      <c r="B387" s="26"/>
      <c r="C387" s="27"/>
      <c r="D387" s="30" t="str">
        <f>IF(B387="","",IF(COUNTIF('👥 Asistencia'!$B:$B, B387)&gt;0, IF(C387="DIA", COUNTIFS('👥 Asistencia'!$B:$B, B387, '👥 Asistencia'!$E:$E, "08:00") + COUNTIFS('👥 Asistencia'!$B:$B, B387, '👥 Asistencia'!$E:$E, "07:00"), COUNTIFS('👥 Asistencia'!$B:$B, B387, '👥 Asistencia'!$E:$E, "20:00")), 6))</f>
        <v/>
      </c>
      <c r="E387" s="34" t="str">
        <f>IF(B387="","",IF(COUNTIF('👥 Asistencia'!$B:$B, B387)&gt;0, IF(C387="DIA", SUMIFS('👥 Asistencia'!$H:$H, '👥 Asistencia'!$B:$B, B387, '👥 Asistencia'!$E:$E, "08:00") + SUMIFS('👥 Asistencia'!$H:$H, '👥 Asistencia'!$B:$B, B387, '👥 Asistencia'!$E:$E, "07:00"), SUMIFS('👥 Asistencia'!$H:$H, '👥 Asistencia'!$B:$B, B387, '👥 Asistencia'!$E:$E, "20:00")), 0))</f>
        <v/>
      </c>
      <c r="F387" s="18"/>
      <c r="G387" s="18"/>
      <c r="H387" s="33" t="str">
        <f t="shared" si="10"/>
        <v/>
      </c>
      <c r="I387" s="30" t="str">
        <f t="shared" si="11"/>
        <v/>
      </c>
    </row>
    <row r="388" spans="2:9" ht="18" customHeight="1" x14ac:dyDescent="0.3">
      <c r="B388" s="26"/>
      <c r="C388" s="27"/>
      <c r="D388" s="30" t="str">
        <f>IF(B388="","",IF(COUNTIF('👥 Asistencia'!$B:$B, B388)&gt;0, IF(C388="DIA", COUNTIFS('👥 Asistencia'!$B:$B, B388, '👥 Asistencia'!$E:$E, "08:00") + COUNTIFS('👥 Asistencia'!$B:$B, B388, '👥 Asistencia'!$E:$E, "07:00"), COUNTIFS('👥 Asistencia'!$B:$B, B388, '👥 Asistencia'!$E:$E, "20:00")), 6))</f>
        <v/>
      </c>
      <c r="E388" s="34" t="str">
        <f>IF(B388="","",IF(COUNTIF('👥 Asistencia'!$B:$B, B388)&gt;0, IF(C388="DIA", SUMIFS('👥 Asistencia'!$H:$H, '👥 Asistencia'!$B:$B, B388, '👥 Asistencia'!$E:$E, "08:00") + SUMIFS('👥 Asistencia'!$H:$H, '👥 Asistencia'!$B:$B, B388, '👥 Asistencia'!$E:$E, "07:00"), SUMIFS('👥 Asistencia'!$H:$H, '👥 Asistencia'!$B:$B, B388, '👥 Asistencia'!$E:$E, "20:00")), 0))</f>
        <v/>
      </c>
      <c r="F388" s="29"/>
      <c r="G388" s="29"/>
      <c r="H388" s="33" t="str">
        <f t="shared" si="10"/>
        <v/>
      </c>
      <c r="I388" s="30" t="str">
        <f t="shared" si="11"/>
        <v/>
      </c>
    </row>
    <row r="389" spans="2:9" ht="18" customHeight="1" x14ac:dyDescent="0.3">
      <c r="B389" s="26"/>
      <c r="C389" s="27"/>
      <c r="D389" s="30" t="str">
        <f>IF(B389="","",IF(COUNTIF('👥 Asistencia'!$B:$B, B389)&gt;0, IF(C389="DIA", COUNTIFS('👥 Asistencia'!$B:$B, B389, '👥 Asistencia'!$E:$E, "08:00") + COUNTIFS('👥 Asistencia'!$B:$B, B389, '👥 Asistencia'!$E:$E, "07:00"), COUNTIFS('👥 Asistencia'!$B:$B, B389, '👥 Asistencia'!$E:$E, "20:00")), 6))</f>
        <v/>
      </c>
      <c r="E389" s="34" t="str">
        <f>IF(B389="","",IF(COUNTIF('👥 Asistencia'!$B:$B, B389)&gt;0, IF(C389="DIA", SUMIFS('👥 Asistencia'!$H:$H, '👥 Asistencia'!$B:$B, B389, '👥 Asistencia'!$E:$E, "08:00") + SUMIFS('👥 Asistencia'!$H:$H, '👥 Asistencia'!$B:$B, B389, '👥 Asistencia'!$E:$E, "07:00"), SUMIFS('👥 Asistencia'!$H:$H, '👥 Asistencia'!$B:$B, B389, '👥 Asistencia'!$E:$E, "20:00")), 0))</f>
        <v/>
      </c>
      <c r="F389" s="18"/>
      <c r="G389" s="18"/>
      <c r="H389" s="33" t="str">
        <f t="shared" ref="H389:H452" si="12">IF(B389="","",IF(ISNUMBER(B389),YEAR(B389)&amp;"-"&amp;IF(MONTH(B389)&lt;10,"0","")&amp;MONTH(B389),LEFT(B389,7)))</f>
        <v/>
      </c>
      <c r="I389" s="30" t="str">
        <f t="shared" ref="I389:I452" si="13">IF(B389="","",IF(N(F389)=0, 0, MAX(0, (F389/5) - N(G389))))</f>
        <v/>
      </c>
    </row>
    <row r="390" spans="2:9" ht="18" customHeight="1" x14ac:dyDescent="0.3">
      <c r="B390" s="26"/>
      <c r="C390" s="27"/>
      <c r="D390" s="30" t="str">
        <f>IF(B390="","",IF(COUNTIF('👥 Asistencia'!$B:$B, B390)&gt;0, IF(C390="DIA", COUNTIFS('👥 Asistencia'!$B:$B, B390, '👥 Asistencia'!$E:$E, "08:00") + COUNTIFS('👥 Asistencia'!$B:$B, B390, '👥 Asistencia'!$E:$E, "07:00"), COUNTIFS('👥 Asistencia'!$B:$B, B390, '👥 Asistencia'!$E:$E, "20:00")), 6))</f>
        <v/>
      </c>
      <c r="E390" s="34" t="str">
        <f>IF(B390="","",IF(COUNTIF('👥 Asistencia'!$B:$B, B390)&gt;0, IF(C390="DIA", SUMIFS('👥 Asistencia'!$H:$H, '👥 Asistencia'!$B:$B, B390, '👥 Asistencia'!$E:$E, "08:00") + SUMIFS('👥 Asistencia'!$H:$H, '👥 Asistencia'!$B:$B, B390, '👥 Asistencia'!$E:$E, "07:00"), SUMIFS('👥 Asistencia'!$H:$H, '👥 Asistencia'!$B:$B, B390, '👥 Asistencia'!$E:$E, "20:00")), 0))</f>
        <v/>
      </c>
      <c r="F390" s="29"/>
      <c r="G390" s="29"/>
      <c r="H390" s="33" t="str">
        <f t="shared" si="12"/>
        <v/>
      </c>
      <c r="I390" s="30" t="str">
        <f t="shared" si="13"/>
        <v/>
      </c>
    </row>
    <row r="391" spans="2:9" ht="18" customHeight="1" x14ac:dyDescent="0.3">
      <c r="B391" s="26"/>
      <c r="C391" s="27"/>
      <c r="D391" s="30" t="str">
        <f>IF(B391="","",IF(COUNTIF('👥 Asistencia'!$B:$B, B391)&gt;0, IF(C391="DIA", COUNTIFS('👥 Asistencia'!$B:$B, B391, '👥 Asistencia'!$E:$E, "08:00") + COUNTIFS('👥 Asistencia'!$B:$B, B391, '👥 Asistencia'!$E:$E, "07:00"), COUNTIFS('👥 Asistencia'!$B:$B, B391, '👥 Asistencia'!$E:$E, "20:00")), 6))</f>
        <v/>
      </c>
      <c r="E391" s="34" t="str">
        <f>IF(B391="","",IF(COUNTIF('👥 Asistencia'!$B:$B, B391)&gt;0, IF(C391="DIA", SUMIFS('👥 Asistencia'!$H:$H, '👥 Asistencia'!$B:$B, B391, '👥 Asistencia'!$E:$E, "08:00") + SUMIFS('👥 Asistencia'!$H:$H, '👥 Asistencia'!$B:$B, B391, '👥 Asistencia'!$E:$E, "07:00"), SUMIFS('👥 Asistencia'!$H:$H, '👥 Asistencia'!$B:$B, B391, '👥 Asistencia'!$E:$E, "20:00")), 0))</f>
        <v/>
      </c>
      <c r="F391" s="18"/>
      <c r="G391" s="18"/>
      <c r="H391" s="33" t="str">
        <f t="shared" si="12"/>
        <v/>
      </c>
      <c r="I391" s="30" t="str">
        <f t="shared" si="13"/>
        <v/>
      </c>
    </row>
    <row r="392" spans="2:9" ht="18" customHeight="1" x14ac:dyDescent="0.3">
      <c r="B392" s="26"/>
      <c r="C392" s="27"/>
      <c r="D392" s="30" t="str">
        <f>IF(B392="","",IF(COUNTIF('👥 Asistencia'!$B:$B, B392)&gt;0, IF(C392="DIA", COUNTIFS('👥 Asistencia'!$B:$B, B392, '👥 Asistencia'!$E:$E, "08:00") + COUNTIFS('👥 Asistencia'!$B:$B, B392, '👥 Asistencia'!$E:$E, "07:00"), COUNTIFS('👥 Asistencia'!$B:$B, B392, '👥 Asistencia'!$E:$E, "20:00")), 6))</f>
        <v/>
      </c>
      <c r="E392" s="34" t="str">
        <f>IF(B392="","",IF(COUNTIF('👥 Asistencia'!$B:$B, B392)&gt;0, IF(C392="DIA", SUMIFS('👥 Asistencia'!$H:$H, '👥 Asistencia'!$B:$B, B392, '👥 Asistencia'!$E:$E, "08:00") + SUMIFS('👥 Asistencia'!$H:$H, '👥 Asistencia'!$B:$B, B392, '👥 Asistencia'!$E:$E, "07:00"), SUMIFS('👥 Asistencia'!$H:$H, '👥 Asistencia'!$B:$B, B392, '👥 Asistencia'!$E:$E, "20:00")), 0))</f>
        <v/>
      </c>
      <c r="F392" s="29"/>
      <c r="G392" s="29"/>
      <c r="H392" s="33" t="str">
        <f t="shared" si="12"/>
        <v/>
      </c>
      <c r="I392" s="30" t="str">
        <f t="shared" si="13"/>
        <v/>
      </c>
    </row>
    <row r="393" spans="2:9" ht="18" customHeight="1" x14ac:dyDescent="0.3">
      <c r="B393" s="26"/>
      <c r="C393" s="27"/>
      <c r="D393" s="30" t="str">
        <f>IF(B393="","",IF(COUNTIF('👥 Asistencia'!$B:$B, B393)&gt;0, IF(C393="DIA", COUNTIFS('👥 Asistencia'!$B:$B, B393, '👥 Asistencia'!$E:$E, "08:00") + COUNTIFS('👥 Asistencia'!$B:$B, B393, '👥 Asistencia'!$E:$E, "07:00"), COUNTIFS('👥 Asistencia'!$B:$B, B393, '👥 Asistencia'!$E:$E, "20:00")), 6))</f>
        <v/>
      </c>
      <c r="E393" s="34" t="str">
        <f>IF(B393="","",IF(COUNTIF('👥 Asistencia'!$B:$B, B393)&gt;0, IF(C393="DIA", SUMIFS('👥 Asistencia'!$H:$H, '👥 Asistencia'!$B:$B, B393, '👥 Asistencia'!$E:$E, "08:00") + SUMIFS('👥 Asistencia'!$H:$H, '👥 Asistencia'!$B:$B, B393, '👥 Asistencia'!$E:$E, "07:00"), SUMIFS('👥 Asistencia'!$H:$H, '👥 Asistencia'!$B:$B, B393, '👥 Asistencia'!$E:$E, "20:00")), 0))</f>
        <v/>
      </c>
      <c r="F393" s="18"/>
      <c r="G393" s="18"/>
      <c r="H393" s="33" t="str">
        <f t="shared" si="12"/>
        <v/>
      </c>
      <c r="I393" s="30" t="str">
        <f t="shared" si="13"/>
        <v/>
      </c>
    </row>
    <row r="394" spans="2:9" ht="18" customHeight="1" x14ac:dyDescent="0.3">
      <c r="B394" s="26"/>
      <c r="C394" s="27"/>
      <c r="D394" s="30" t="str">
        <f>IF(B394="","",IF(COUNTIF('👥 Asistencia'!$B:$B, B394)&gt;0, IF(C394="DIA", COUNTIFS('👥 Asistencia'!$B:$B, B394, '👥 Asistencia'!$E:$E, "08:00") + COUNTIFS('👥 Asistencia'!$B:$B, B394, '👥 Asistencia'!$E:$E, "07:00"), COUNTIFS('👥 Asistencia'!$B:$B, B394, '👥 Asistencia'!$E:$E, "20:00")), 6))</f>
        <v/>
      </c>
      <c r="E394" s="34" t="str">
        <f>IF(B394="","",IF(COUNTIF('👥 Asistencia'!$B:$B, B394)&gt;0, IF(C394="DIA", SUMIFS('👥 Asistencia'!$H:$H, '👥 Asistencia'!$B:$B, B394, '👥 Asistencia'!$E:$E, "08:00") + SUMIFS('👥 Asistencia'!$H:$H, '👥 Asistencia'!$B:$B, B394, '👥 Asistencia'!$E:$E, "07:00"), SUMIFS('👥 Asistencia'!$H:$H, '👥 Asistencia'!$B:$B, B394, '👥 Asistencia'!$E:$E, "20:00")), 0))</f>
        <v/>
      </c>
      <c r="F394" s="29"/>
      <c r="G394" s="29"/>
      <c r="H394" s="33" t="str">
        <f t="shared" si="12"/>
        <v/>
      </c>
      <c r="I394" s="30" t="str">
        <f t="shared" si="13"/>
        <v/>
      </c>
    </row>
    <row r="395" spans="2:9" ht="18" customHeight="1" x14ac:dyDescent="0.3">
      <c r="B395" s="26"/>
      <c r="C395" s="27"/>
      <c r="D395" s="30" t="str">
        <f>IF(B395="","",IF(COUNTIF('👥 Asistencia'!$B:$B, B395)&gt;0, IF(C395="DIA", COUNTIFS('👥 Asistencia'!$B:$B, B395, '👥 Asistencia'!$E:$E, "08:00") + COUNTIFS('👥 Asistencia'!$B:$B, B395, '👥 Asistencia'!$E:$E, "07:00"), COUNTIFS('👥 Asistencia'!$B:$B, B395, '👥 Asistencia'!$E:$E, "20:00")), 6))</f>
        <v/>
      </c>
      <c r="E395" s="34" t="str">
        <f>IF(B395="","",IF(COUNTIF('👥 Asistencia'!$B:$B, B395)&gt;0, IF(C395="DIA", SUMIFS('👥 Asistencia'!$H:$H, '👥 Asistencia'!$B:$B, B395, '👥 Asistencia'!$E:$E, "08:00") + SUMIFS('👥 Asistencia'!$H:$H, '👥 Asistencia'!$B:$B, B395, '👥 Asistencia'!$E:$E, "07:00"), SUMIFS('👥 Asistencia'!$H:$H, '👥 Asistencia'!$B:$B, B395, '👥 Asistencia'!$E:$E, "20:00")), 0))</f>
        <v/>
      </c>
      <c r="F395" s="18"/>
      <c r="G395" s="18"/>
      <c r="H395" s="33" t="str">
        <f t="shared" si="12"/>
        <v/>
      </c>
      <c r="I395" s="30" t="str">
        <f t="shared" si="13"/>
        <v/>
      </c>
    </row>
    <row r="396" spans="2:9" ht="18" customHeight="1" x14ac:dyDescent="0.3">
      <c r="B396" s="26"/>
      <c r="C396" s="27"/>
      <c r="D396" s="30" t="str">
        <f>IF(B396="","",IF(COUNTIF('👥 Asistencia'!$B:$B, B396)&gt;0, IF(C396="DIA", COUNTIFS('👥 Asistencia'!$B:$B, B396, '👥 Asistencia'!$E:$E, "08:00") + COUNTIFS('👥 Asistencia'!$B:$B, B396, '👥 Asistencia'!$E:$E, "07:00"), COUNTIFS('👥 Asistencia'!$B:$B, B396, '👥 Asistencia'!$E:$E, "20:00")), 6))</f>
        <v/>
      </c>
      <c r="E396" s="34" t="str">
        <f>IF(B396="","",IF(COUNTIF('👥 Asistencia'!$B:$B, B396)&gt;0, IF(C396="DIA", SUMIFS('👥 Asistencia'!$H:$H, '👥 Asistencia'!$B:$B, B396, '👥 Asistencia'!$E:$E, "08:00") + SUMIFS('👥 Asistencia'!$H:$H, '👥 Asistencia'!$B:$B, B396, '👥 Asistencia'!$E:$E, "07:00"), SUMIFS('👥 Asistencia'!$H:$H, '👥 Asistencia'!$B:$B, B396, '👥 Asistencia'!$E:$E, "20:00")), 0))</f>
        <v/>
      </c>
      <c r="F396" s="29"/>
      <c r="G396" s="29"/>
      <c r="H396" s="33" t="str">
        <f t="shared" si="12"/>
        <v/>
      </c>
      <c r="I396" s="30" t="str">
        <f t="shared" si="13"/>
        <v/>
      </c>
    </row>
    <row r="397" spans="2:9" ht="18" customHeight="1" x14ac:dyDescent="0.3">
      <c r="B397" s="26"/>
      <c r="C397" s="27"/>
      <c r="D397" s="30" t="str">
        <f>IF(B397="","",IF(COUNTIF('👥 Asistencia'!$B:$B, B397)&gt;0, IF(C397="DIA", COUNTIFS('👥 Asistencia'!$B:$B, B397, '👥 Asistencia'!$E:$E, "08:00") + COUNTIFS('👥 Asistencia'!$B:$B, B397, '👥 Asistencia'!$E:$E, "07:00"), COUNTIFS('👥 Asistencia'!$B:$B, B397, '👥 Asistencia'!$E:$E, "20:00")), 6))</f>
        <v/>
      </c>
      <c r="E397" s="34" t="str">
        <f>IF(B397="","",IF(COUNTIF('👥 Asistencia'!$B:$B, B397)&gt;0, IF(C397="DIA", SUMIFS('👥 Asistencia'!$H:$H, '👥 Asistencia'!$B:$B, B397, '👥 Asistencia'!$E:$E, "08:00") + SUMIFS('👥 Asistencia'!$H:$H, '👥 Asistencia'!$B:$B, B397, '👥 Asistencia'!$E:$E, "07:00"), SUMIFS('👥 Asistencia'!$H:$H, '👥 Asistencia'!$B:$B, B397, '👥 Asistencia'!$E:$E, "20:00")), 0))</f>
        <v/>
      </c>
      <c r="F397" s="18"/>
      <c r="G397" s="18"/>
      <c r="H397" s="33" t="str">
        <f t="shared" si="12"/>
        <v/>
      </c>
      <c r="I397" s="30" t="str">
        <f t="shared" si="13"/>
        <v/>
      </c>
    </row>
    <row r="398" spans="2:9" ht="18" customHeight="1" x14ac:dyDescent="0.3">
      <c r="B398" s="26"/>
      <c r="C398" s="27"/>
      <c r="D398" s="30" t="str">
        <f>IF(B398="","",IF(COUNTIF('👥 Asistencia'!$B:$B, B398)&gt;0, IF(C398="DIA", COUNTIFS('👥 Asistencia'!$B:$B, B398, '👥 Asistencia'!$E:$E, "08:00") + COUNTIFS('👥 Asistencia'!$B:$B, B398, '👥 Asistencia'!$E:$E, "07:00"), COUNTIFS('👥 Asistencia'!$B:$B, B398, '👥 Asistencia'!$E:$E, "20:00")), 6))</f>
        <v/>
      </c>
      <c r="E398" s="34" t="str">
        <f>IF(B398="","",IF(COUNTIF('👥 Asistencia'!$B:$B, B398)&gt;0, IF(C398="DIA", SUMIFS('👥 Asistencia'!$H:$H, '👥 Asistencia'!$B:$B, B398, '👥 Asistencia'!$E:$E, "08:00") + SUMIFS('👥 Asistencia'!$H:$H, '👥 Asistencia'!$B:$B, B398, '👥 Asistencia'!$E:$E, "07:00"), SUMIFS('👥 Asistencia'!$H:$H, '👥 Asistencia'!$B:$B, B398, '👥 Asistencia'!$E:$E, "20:00")), 0))</f>
        <v/>
      </c>
      <c r="F398" s="29"/>
      <c r="G398" s="29"/>
      <c r="H398" s="33" t="str">
        <f t="shared" si="12"/>
        <v/>
      </c>
      <c r="I398" s="30" t="str">
        <f t="shared" si="13"/>
        <v/>
      </c>
    </row>
    <row r="399" spans="2:9" ht="18" customHeight="1" x14ac:dyDescent="0.3">
      <c r="B399" s="26"/>
      <c r="C399" s="27"/>
      <c r="D399" s="30" t="str">
        <f>IF(B399="","",IF(COUNTIF('👥 Asistencia'!$B:$B, B399)&gt;0, IF(C399="DIA", COUNTIFS('👥 Asistencia'!$B:$B, B399, '👥 Asistencia'!$E:$E, "08:00") + COUNTIFS('👥 Asistencia'!$B:$B, B399, '👥 Asistencia'!$E:$E, "07:00"), COUNTIFS('👥 Asistencia'!$B:$B, B399, '👥 Asistencia'!$E:$E, "20:00")), 6))</f>
        <v/>
      </c>
      <c r="E399" s="34" t="str">
        <f>IF(B399="","",IF(COUNTIF('👥 Asistencia'!$B:$B, B399)&gt;0, IF(C399="DIA", SUMIFS('👥 Asistencia'!$H:$H, '👥 Asistencia'!$B:$B, B399, '👥 Asistencia'!$E:$E, "08:00") + SUMIFS('👥 Asistencia'!$H:$H, '👥 Asistencia'!$B:$B, B399, '👥 Asistencia'!$E:$E, "07:00"), SUMIFS('👥 Asistencia'!$H:$H, '👥 Asistencia'!$B:$B, B399, '👥 Asistencia'!$E:$E, "20:00")), 0))</f>
        <v/>
      </c>
      <c r="F399" s="18"/>
      <c r="G399" s="18"/>
      <c r="H399" s="33" t="str">
        <f t="shared" si="12"/>
        <v/>
      </c>
      <c r="I399" s="30" t="str">
        <f t="shared" si="13"/>
        <v/>
      </c>
    </row>
    <row r="400" spans="2:9" ht="18" customHeight="1" x14ac:dyDescent="0.3">
      <c r="B400" s="26"/>
      <c r="C400" s="27"/>
      <c r="D400" s="30" t="str">
        <f>IF(B400="","",IF(COUNTIF('👥 Asistencia'!$B:$B, B400)&gt;0, IF(C400="DIA", COUNTIFS('👥 Asistencia'!$B:$B, B400, '👥 Asistencia'!$E:$E, "08:00") + COUNTIFS('👥 Asistencia'!$B:$B, B400, '👥 Asistencia'!$E:$E, "07:00"), COUNTIFS('👥 Asistencia'!$B:$B, B400, '👥 Asistencia'!$E:$E, "20:00")), 6))</f>
        <v/>
      </c>
      <c r="E400" s="34" t="str">
        <f>IF(B400="","",IF(COUNTIF('👥 Asistencia'!$B:$B, B400)&gt;0, IF(C400="DIA", SUMIFS('👥 Asistencia'!$H:$H, '👥 Asistencia'!$B:$B, B400, '👥 Asistencia'!$E:$E, "08:00") + SUMIFS('👥 Asistencia'!$H:$H, '👥 Asistencia'!$B:$B, B400, '👥 Asistencia'!$E:$E, "07:00"), SUMIFS('👥 Asistencia'!$H:$H, '👥 Asistencia'!$B:$B, B400, '👥 Asistencia'!$E:$E, "20:00")), 0))</f>
        <v/>
      </c>
      <c r="F400" s="29"/>
      <c r="G400" s="29"/>
      <c r="H400" s="33" t="str">
        <f t="shared" si="12"/>
        <v/>
      </c>
      <c r="I400" s="30" t="str">
        <f t="shared" si="13"/>
        <v/>
      </c>
    </row>
    <row r="401" spans="2:9" ht="18" customHeight="1" x14ac:dyDescent="0.3">
      <c r="B401" s="26"/>
      <c r="C401" s="27"/>
      <c r="D401" s="30" t="str">
        <f>IF(B401="","",IF(COUNTIF('👥 Asistencia'!$B:$B, B401)&gt;0, IF(C401="DIA", COUNTIFS('👥 Asistencia'!$B:$B, B401, '👥 Asistencia'!$E:$E, "08:00") + COUNTIFS('👥 Asistencia'!$B:$B, B401, '👥 Asistencia'!$E:$E, "07:00"), COUNTIFS('👥 Asistencia'!$B:$B, B401, '👥 Asistencia'!$E:$E, "20:00")), 6))</f>
        <v/>
      </c>
      <c r="E401" s="34" t="str">
        <f>IF(B401="","",IF(COUNTIF('👥 Asistencia'!$B:$B, B401)&gt;0, IF(C401="DIA", SUMIFS('👥 Asistencia'!$H:$H, '👥 Asistencia'!$B:$B, B401, '👥 Asistencia'!$E:$E, "08:00") + SUMIFS('👥 Asistencia'!$H:$H, '👥 Asistencia'!$B:$B, B401, '👥 Asistencia'!$E:$E, "07:00"), SUMIFS('👥 Asistencia'!$H:$H, '👥 Asistencia'!$B:$B, B401, '👥 Asistencia'!$E:$E, "20:00")), 0))</f>
        <v/>
      </c>
      <c r="F401" s="18"/>
      <c r="G401" s="18"/>
      <c r="H401" s="33" t="str">
        <f t="shared" si="12"/>
        <v/>
      </c>
      <c r="I401" s="30" t="str">
        <f t="shared" si="13"/>
        <v/>
      </c>
    </row>
    <row r="402" spans="2:9" ht="18" customHeight="1" x14ac:dyDescent="0.3">
      <c r="B402" s="26"/>
      <c r="C402" s="27"/>
      <c r="D402" s="30" t="str">
        <f>IF(B402="","",IF(COUNTIF('👥 Asistencia'!$B:$B, B402)&gt;0, IF(C402="DIA", COUNTIFS('👥 Asistencia'!$B:$B, B402, '👥 Asistencia'!$E:$E, "08:00") + COUNTIFS('👥 Asistencia'!$B:$B, B402, '👥 Asistencia'!$E:$E, "07:00"), COUNTIFS('👥 Asistencia'!$B:$B, B402, '👥 Asistencia'!$E:$E, "20:00")), 6))</f>
        <v/>
      </c>
      <c r="E402" s="34" t="str">
        <f>IF(B402="","",IF(COUNTIF('👥 Asistencia'!$B:$B, B402)&gt;0, IF(C402="DIA", SUMIFS('👥 Asistencia'!$H:$H, '👥 Asistencia'!$B:$B, B402, '👥 Asistencia'!$E:$E, "08:00") + SUMIFS('👥 Asistencia'!$H:$H, '👥 Asistencia'!$B:$B, B402, '👥 Asistencia'!$E:$E, "07:00"), SUMIFS('👥 Asistencia'!$H:$H, '👥 Asistencia'!$B:$B, B402, '👥 Asistencia'!$E:$E, "20:00")), 0))</f>
        <v/>
      </c>
      <c r="F402" s="29"/>
      <c r="G402" s="29"/>
      <c r="H402" s="33" t="str">
        <f t="shared" si="12"/>
        <v/>
      </c>
      <c r="I402" s="30" t="str">
        <f t="shared" si="13"/>
        <v/>
      </c>
    </row>
    <row r="403" spans="2:9" ht="18" customHeight="1" x14ac:dyDescent="0.3">
      <c r="B403" s="26"/>
      <c r="C403" s="27"/>
      <c r="D403" s="30" t="str">
        <f>IF(B403="","",IF(COUNTIF('👥 Asistencia'!$B:$B, B403)&gt;0, IF(C403="DIA", COUNTIFS('👥 Asistencia'!$B:$B, B403, '👥 Asistencia'!$E:$E, "08:00") + COUNTIFS('👥 Asistencia'!$B:$B, B403, '👥 Asistencia'!$E:$E, "07:00"), COUNTIFS('👥 Asistencia'!$B:$B, B403, '👥 Asistencia'!$E:$E, "20:00")), 6))</f>
        <v/>
      </c>
      <c r="E403" s="34" t="str">
        <f>IF(B403="","",IF(COUNTIF('👥 Asistencia'!$B:$B, B403)&gt;0, IF(C403="DIA", SUMIFS('👥 Asistencia'!$H:$H, '👥 Asistencia'!$B:$B, B403, '👥 Asistencia'!$E:$E, "08:00") + SUMIFS('👥 Asistencia'!$H:$H, '👥 Asistencia'!$B:$B, B403, '👥 Asistencia'!$E:$E, "07:00"), SUMIFS('👥 Asistencia'!$H:$H, '👥 Asistencia'!$B:$B, B403, '👥 Asistencia'!$E:$E, "20:00")), 0))</f>
        <v/>
      </c>
      <c r="F403" s="18"/>
      <c r="G403" s="18"/>
      <c r="H403" s="33" t="str">
        <f t="shared" si="12"/>
        <v/>
      </c>
      <c r="I403" s="30" t="str">
        <f t="shared" si="13"/>
        <v/>
      </c>
    </row>
    <row r="404" spans="2:9" ht="18" customHeight="1" x14ac:dyDescent="0.3">
      <c r="B404" s="26"/>
      <c r="C404" s="27"/>
      <c r="D404" s="30" t="str">
        <f>IF(B404="","",IF(COUNTIF('👥 Asistencia'!$B:$B, B404)&gt;0, IF(C404="DIA", COUNTIFS('👥 Asistencia'!$B:$B, B404, '👥 Asistencia'!$E:$E, "08:00") + COUNTIFS('👥 Asistencia'!$B:$B, B404, '👥 Asistencia'!$E:$E, "07:00"), COUNTIFS('👥 Asistencia'!$B:$B, B404, '👥 Asistencia'!$E:$E, "20:00")), 6))</f>
        <v/>
      </c>
      <c r="E404" s="34" t="str">
        <f>IF(B404="","",IF(COUNTIF('👥 Asistencia'!$B:$B, B404)&gt;0, IF(C404="DIA", SUMIFS('👥 Asistencia'!$H:$H, '👥 Asistencia'!$B:$B, B404, '👥 Asistencia'!$E:$E, "08:00") + SUMIFS('👥 Asistencia'!$H:$H, '👥 Asistencia'!$B:$B, B404, '👥 Asistencia'!$E:$E, "07:00"), SUMIFS('👥 Asistencia'!$H:$H, '👥 Asistencia'!$B:$B, B404, '👥 Asistencia'!$E:$E, "20:00")), 0))</f>
        <v/>
      </c>
      <c r="F404" s="29"/>
      <c r="G404" s="29"/>
      <c r="H404" s="33" t="str">
        <f t="shared" si="12"/>
        <v/>
      </c>
      <c r="I404" s="30" t="str">
        <f t="shared" si="13"/>
        <v/>
      </c>
    </row>
    <row r="405" spans="2:9" ht="18" customHeight="1" x14ac:dyDescent="0.3">
      <c r="B405" s="26"/>
      <c r="C405" s="27"/>
      <c r="D405" s="30" t="str">
        <f>IF(B405="","",IF(COUNTIF('👥 Asistencia'!$B:$B, B405)&gt;0, IF(C405="DIA", COUNTIFS('👥 Asistencia'!$B:$B, B405, '👥 Asistencia'!$E:$E, "08:00") + COUNTIFS('👥 Asistencia'!$B:$B, B405, '👥 Asistencia'!$E:$E, "07:00"), COUNTIFS('👥 Asistencia'!$B:$B, B405, '👥 Asistencia'!$E:$E, "20:00")), 6))</f>
        <v/>
      </c>
      <c r="E405" s="34" t="str">
        <f>IF(B405="","",IF(COUNTIF('👥 Asistencia'!$B:$B, B405)&gt;0, IF(C405="DIA", SUMIFS('👥 Asistencia'!$H:$H, '👥 Asistencia'!$B:$B, B405, '👥 Asistencia'!$E:$E, "08:00") + SUMIFS('👥 Asistencia'!$H:$H, '👥 Asistencia'!$B:$B, B405, '👥 Asistencia'!$E:$E, "07:00"), SUMIFS('👥 Asistencia'!$H:$H, '👥 Asistencia'!$B:$B, B405, '👥 Asistencia'!$E:$E, "20:00")), 0))</f>
        <v/>
      </c>
      <c r="F405" s="18"/>
      <c r="G405" s="18"/>
      <c r="H405" s="33" t="str">
        <f t="shared" si="12"/>
        <v/>
      </c>
      <c r="I405" s="30" t="str">
        <f t="shared" si="13"/>
        <v/>
      </c>
    </row>
    <row r="406" spans="2:9" ht="18" customHeight="1" x14ac:dyDescent="0.3">
      <c r="B406" s="26"/>
      <c r="C406" s="27"/>
      <c r="D406" s="30" t="str">
        <f>IF(B406="","",IF(COUNTIF('👥 Asistencia'!$B:$B, B406)&gt;0, IF(C406="DIA", COUNTIFS('👥 Asistencia'!$B:$B, B406, '👥 Asistencia'!$E:$E, "08:00") + COUNTIFS('👥 Asistencia'!$B:$B, B406, '👥 Asistencia'!$E:$E, "07:00"), COUNTIFS('👥 Asistencia'!$B:$B, B406, '👥 Asistencia'!$E:$E, "20:00")), 6))</f>
        <v/>
      </c>
      <c r="E406" s="34" t="str">
        <f>IF(B406="","",IF(COUNTIF('👥 Asistencia'!$B:$B, B406)&gt;0, IF(C406="DIA", SUMIFS('👥 Asistencia'!$H:$H, '👥 Asistencia'!$B:$B, B406, '👥 Asistencia'!$E:$E, "08:00") + SUMIFS('👥 Asistencia'!$H:$H, '👥 Asistencia'!$B:$B, B406, '👥 Asistencia'!$E:$E, "07:00"), SUMIFS('👥 Asistencia'!$H:$H, '👥 Asistencia'!$B:$B, B406, '👥 Asistencia'!$E:$E, "20:00")), 0))</f>
        <v/>
      </c>
      <c r="F406" s="29"/>
      <c r="G406" s="29"/>
      <c r="H406" s="33" t="str">
        <f t="shared" si="12"/>
        <v/>
      </c>
      <c r="I406" s="30" t="str">
        <f t="shared" si="13"/>
        <v/>
      </c>
    </row>
    <row r="407" spans="2:9" ht="18" customHeight="1" x14ac:dyDescent="0.3">
      <c r="B407" s="26"/>
      <c r="C407" s="27"/>
      <c r="D407" s="30" t="str">
        <f>IF(B407="","",IF(COUNTIF('👥 Asistencia'!$B:$B, B407)&gt;0, IF(C407="DIA", COUNTIFS('👥 Asistencia'!$B:$B, B407, '👥 Asistencia'!$E:$E, "08:00") + COUNTIFS('👥 Asistencia'!$B:$B, B407, '👥 Asistencia'!$E:$E, "07:00"), COUNTIFS('👥 Asistencia'!$B:$B, B407, '👥 Asistencia'!$E:$E, "20:00")), 6))</f>
        <v/>
      </c>
      <c r="E407" s="34" t="str">
        <f>IF(B407="","",IF(COUNTIF('👥 Asistencia'!$B:$B, B407)&gt;0, IF(C407="DIA", SUMIFS('👥 Asistencia'!$H:$H, '👥 Asistencia'!$B:$B, B407, '👥 Asistencia'!$E:$E, "08:00") + SUMIFS('👥 Asistencia'!$H:$H, '👥 Asistencia'!$B:$B, B407, '👥 Asistencia'!$E:$E, "07:00"), SUMIFS('👥 Asistencia'!$H:$H, '👥 Asistencia'!$B:$B, B407, '👥 Asistencia'!$E:$E, "20:00")), 0))</f>
        <v/>
      </c>
      <c r="F407" s="18"/>
      <c r="G407" s="18"/>
      <c r="H407" s="33" t="str">
        <f t="shared" si="12"/>
        <v/>
      </c>
      <c r="I407" s="30" t="str">
        <f t="shared" si="13"/>
        <v/>
      </c>
    </row>
    <row r="408" spans="2:9" ht="18" customHeight="1" x14ac:dyDescent="0.3">
      <c r="B408" s="26"/>
      <c r="C408" s="27"/>
      <c r="D408" s="30" t="str">
        <f>IF(B408="","",IF(COUNTIF('👥 Asistencia'!$B:$B, B408)&gt;0, IF(C408="DIA", COUNTIFS('👥 Asistencia'!$B:$B, B408, '👥 Asistencia'!$E:$E, "08:00") + COUNTIFS('👥 Asistencia'!$B:$B, B408, '👥 Asistencia'!$E:$E, "07:00"), COUNTIFS('👥 Asistencia'!$B:$B, B408, '👥 Asistencia'!$E:$E, "20:00")), 6))</f>
        <v/>
      </c>
      <c r="E408" s="34" t="str">
        <f>IF(B408="","",IF(COUNTIF('👥 Asistencia'!$B:$B, B408)&gt;0, IF(C408="DIA", SUMIFS('👥 Asistencia'!$H:$H, '👥 Asistencia'!$B:$B, B408, '👥 Asistencia'!$E:$E, "08:00") + SUMIFS('👥 Asistencia'!$H:$H, '👥 Asistencia'!$B:$B, B408, '👥 Asistencia'!$E:$E, "07:00"), SUMIFS('👥 Asistencia'!$H:$H, '👥 Asistencia'!$B:$B, B408, '👥 Asistencia'!$E:$E, "20:00")), 0))</f>
        <v/>
      </c>
      <c r="F408" s="29"/>
      <c r="G408" s="29"/>
      <c r="H408" s="33" t="str">
        <f t="shared" si="12"/>
        <v/>
      </c>
      <c r="I408" s="30" t="str">
        <f t="shared" si="13"/>
        <v/>
      </c>
    </row>
    <row r="409" spans="2:9" ht="18" customHeight="1" x14ac:dyDescent="0.3">
      <c r="B409" s="26"/>
      <c r="C409" s="27"/>
      <c r="D409" s="30" t="str">
        <f>IF(B409="","",IF(COUNTIF('👥 Asistencia'!$B:$B, B409)&gt;0, IF(C409="DIA", COUNTIFS('👥 Asistencia'!$B:$B, B409, '👥 Asistencia'!$E:$E, "08:00") + COUNTIFS('👥 Asistencia'!$B:$B, B409, '👥 Asistencia'!$E:$E, "07:00"), COUNTIFS('👥 Asistencia'!$B:$B, B409, '👥 Asistencia'!$E:$E, "20:00")), 6))</f>
        <v/>
      </c>
      <c r="E409" s="34" t="str">
        <f>IF(B409="","",IF(COUNTIF('👥 Asistencia'!$B:$B, B409)&gt;0, IF(C409="DIA", SUMIFS('👥 Asistencia'!$H:$H, '👥 Asistencia'!$B:$B, B409, '👥 Asistencia'!$E:$E, "08:00") + SUMIFS('👥 Asistencia'!$H:$H, '👥 Asistencia'!$B:$B, B409, '👥 Asistencia'!$E:$E, "07:00"), SUMIFS('👥 Asistencia'!$H:$H, '👥 Asistencia'!$B:$B, B409, '👥 Asistencia'!$E:$E, "20:00")), 0))</f>
        <v/>
      </c>
      <c r="F409" s="18"/>
      <c r="G409" s="18"/>
      <c r="H409" s="33" t="str">
        <f t="shared" si="12"/>
        <v/>
      </c>
      <c r="I409" s="30" t="str">
        <f t="shared" si="13"/>
        <v/>
      </c>
    </row>
    <row r="410" spans="2:9" ht="18" customHeight="1" x14ac:dyDescent="0.3">
      <c r="B410" s="26"/>
      <c r="C410" s="27"/>
      <c r="D410" s="30" t="str">
        <f>IF(B410="","",IF(COUNTIF('👥 Asistencia'!$B:$B, B410)&gt;0, IF(C410="DIA", COUNTIFS('👥 Asistencia'!$B:$B, B410, '👥 Asistencia'!$E:$E, "08:00") + COUNTIFS('👥 Asistencia'!$B:$B, B410, '👥 Asistencia'!$E:$E, "07:00"), COUNTIFS('👥 Asistencia'!$B:$B, B410, '👥 Asistencia'!$E:$E, "20:00")), 6))</f>
        <v/>
      </c>
      <c r="E410" s="34" t="str">
        <f>IF(B410="","",IF(COUNTIF('👥 Asistencia'!$B:$B, B410)&gt;0, IF(C410="DIA", SUMIFS('👥 Asistencia'!$H:$H, '👥 Asistencia'!$B:$B, B410, '👥 Asistencia'!$E:$E, "08:00") + SUMIFS('👥 Asistencia'!$H:$H, '👥 Asistencia'!$B:$B, B410, '👥 Asistencia'!$E:$E, "07:00"), SUMIFS('👥 Asistencia'!$H:$H, '👥 Asistencia'!$B:$B, B410, '👥 Asistencia'!$E:$E, "20:00")), 0))</f>
        <v/>
      </c>
      <c r="F410" s="29"/>
      <c r="G410" s="29"/>
      <c r="H410" s="33" t="str">
        <f t="shared" si="12"/>
        <v/>
      </c>
      <c r="I410" s="30" t="str">
        <f t="shared" si="13"/>
        <v/>
      </c>
    </row>
    <row r="411" spans="2:9" ht="18" customHeight="1" x14ac:dyDescent="0.3">
      <c r="B411" s="26"/>
      <c r="C411" s="27"/>
      <c r="D411" s="30" t="str">
        <f>IF(B411="","",IF(COUNTIF('👥 Asistencia'!$B:$B, B411)&gt;0, IF(C411="DIA", COUNTIFS('👥 Asistencia'!$B:$B, B411, '👥 Asistencia'!$E:$E, "08:00") + COUNTIFS('👥 Asistencia'!$B:$B, B411, '👥 Asistencia'!$E:$E, "07:00"), COUNTIFS('👥 Asistencia'!$B:$B, B411, '👥 Asistencia'!$E:$E, "20:00")), 6))</f>
        <v/>
      </c>
      <c r="E411" s="34" t="str">
        <f>IF(B411="","",IF(COUNTIF('👥 Asistencia'!$B:$B, B411)&gt;0, IF(C411="DIA", SUMIFS('👥 Asistencia'!$H:$H, '👥 Asistencia'!$B:$B, B411, '👥 Asistencia'!$E:$E, "08:00") + SUMIFS('👥 Asistencia'!$H:$H, '👥 Asistencia'!$B:$B, B411, '👥 Asistencia'!$E:$E, "07:00"), SUMIFS('👥 Asistencia'!$H:$H, '👥 Asistencia'!$B:$B, B411, '👥 Asistencia'!$E:$E, "20:00")), 0))</f>
        <v/>
      </c>
      <c r="F411" s="18"/>
      <c r="G411" s="18"/>
      <c r="H411" s="33" t="str">
        <f t="shared" si="12"/>
        <v/>
      </c>
      <c r="I411" s="30" t="str">
        <f t="shared" si="13"/>
        <v/>
      </c>
    </row>
    <row r="412" spans="2:9" ht="18" customHeight="1" x14ac:dyDescent="0.3">
      <c r="B412" s="26"/>
      <c r="C412" s="27"/>
      <c r="D412" s="30" t="str">
        <f>IF(B412="","",IF(COUNTIF('👥 Asistencia'!$B:$B, B412)&gt;0, IF(C412="DIA", COUNTIFS('👥 Asistencia'!$B:$B, B412, '👥 Asistencia'!$E:$E, "08:00") + COUNTIFS('👥 Asistencia'!$B:$B, B412, '👥 Asistencia'!$E:$E, "07:00"), COUNTIFS('👥 Asistencia'!$B:$B, B412, '👥 Asistencia'!$E:$E, "20:00")), 6))</f>
        <v/>
      </c>
      <c r="E412" s="34" t="str">
        <f>IF(B412="","",IF(COUNTIF('👥 Asistencia'!$B:$B, B412)&gt;0, IF(C412="DIA", SUMIFS('👥 Asistencia'!$H:$H, '👥 Asistencia'!$B:$B, B412, '👥 Asistencia'!$E:$E, "08:00") + SUMIFS('👥 Asistencia'!$H:$H, '👥 Asistencia'!$B:$B, B412, '👥 Asistencia'!$E:$E, "07:00"), SUMIFS('👥 Asistencia'!$H:$H, '👥 Asistencia'!$B:$B, B412, '👥 Asistencia'!$E:$E, "20:00")), 0))</f>
        <v/>
      </c>
      <c r="F412" s="29"/>
      <c r="G412" s="29"/>
      <c r="H412" s="33" t="str">
        <f t="shared" si="12"/>
        <v/>
      </c>
      <c r="I412" s="30" t="str">
        <f t="shared" si="13"/>
        <v/>
      </c>
    </row>
    <row r="413" spans="2:9" ht="18" customHeight="1" x14ac:dyDescent="0.3">
      <c r="B413" s="26"/>
      <c r="C413" s="27"/>
      <c r="D413" s="30" t="str">
        <f>IF(B413="","",IF(COUNTIF('👥 Asistencia'!$B:$B, B413)&gt;0, IF(C413="DIA", COUNTIFS('👥 Asistencia'!$B:$B, B413, '👥 Asistencia'!$E:$E, "08:00") + COUNTIFS('👥 Asistencia'!$B:$B, B413, '👥 Asistencia'!$E:$E, "07:00"), COUNTIFS('👥 Asistencia'!$B:$B, B413, '👥 Asistencia'!$E:$E, "20:00")), 6))</f>
        <v/>
      </c>
      <c r="E413" s="34" t="str">
        <f>IF(B413="","",IF(COUNTIF('👥 Asistencia'!$B:$B, B413)&gt;0, IF(C413="DIA", SUMIFS('👥 Asistencia'!$H:$H, '👥 Asistencia'!$B:$B, B413, '👥 Asistencia'!$E:$E, "08:00") + SUMIFS('👥 Asistencia'!$H:$H, '👥 Asistencia'!$B:$B, B413, '👥 Asistencia'!$E:$E, "07:00"), SUMIFS('👥 Asistencia'!$H:$H, '👥 Asistencia'!$B:$B, B413, '👥 Asistencia'!$E:$E, "20:00")), 0))</f>
        <v/>
      </c>
      <c r="F413" s="18"/>
      <c r="G413" s="18"/>
      <c r="H413" s="33" t="str">
        <f t="shared" si="12"/>
        <v/>
      </c>
      <c r="I413" s="30" t="str">
        <f t="shared" si="13"/>
        <v/>
      </c>
    </row>
    <row r="414" spans="2:9" ht="18" customHeight="1" x14ac:dyDescent="0.3">
      <c r="B414" s="26"/>
      <c r="C414" s="27"/>
      <c r="D414" s="30" t="str">
        <f>IF(B414="","",IF(COUNTIF('👥 Asistencia'!$B:$B, B414)&gt;0, IF(C414="DIA", COUNTIFS('👥 Asistencia'!$B:$B, B414, '👥 Asistencia'!$E:$E, "08:00") + COUNTIFS('👥 Asistencia'!$B:$B, B414, '👥 Asistencia'!$E:$E, "07:00"), COUNTIFS('👥 Asistencia'!$B:$B, B414, '👥 Asistencia'!$E:$E, "20:00")), 6))</f>
        <v/>
      </c>
      <c r="E414" s="34" t="str">
        <f>IF(B414="","",IF(COUNTIF('👥 Asistencia'!$B:$B, B414)&gt;0, IF(C414="DIA", SUMIFS('👥 Asistencia'!$H:$H, '👥 Asistencia'!$B:$B, B414, '👥 Asistencia'!$E:$E, "08:00") + SUMIFS('👥 Asistencia'!$H:$H, '👥 Asistencia'!$B:$B, B414, '👥 Asistencia'!$E:$E, "07:00"), SUMIFS('👥 Asistencia'!$H:$H, '👥 Asistencia'!$B:$B, B414, '👥 Asistencia'!$E:$E, "20:00")), 0))</f>
        <v/>
      </c>
      <c r="F414" s="29"/>
      <c r="G414" s="29"/>
      <c r="H414" s="33" t="str">
        <f t="shared" si="12"/>
        <v/>
      </c>
      <c r="I414" s="30" t="str">
        <f t="shared" si="13"/>
        <v/>
      </c>
    </row>
    <row r="415" spans="2:9" ht="18" customHeight="1" x14ac:dyDescent="0.3">
      <c r="B415" s="26"/>
      <c r="C415" s="27"/>
      <c r="D415" s="30" t="str">
        <f>IF(B415="","",IF(COUNTIF('👥 Asistencia'!$B:$B, B415)&gt;0, IF(C415="DIA", COUNTIFS('👥 Asistencia'!$B:$B, B415, '👥 Asistencia'!$E:$E, "08:00") + COUNTIFS('👥 Asistencia'!$B:$B, B415, '👥 Asistencia'!$E:$E, "07:00"), COUNTIFS('👥 Asistencia'!$B:$B, B415, '👥 Asistencia'!$E:$E, "20:00")), 6))</f>
        <v/>
      </c>
      <c r="E415" s="34" t="str">
        <f>IF(B415="","",IF(COUNTIF('👥 Asistencia'!$B:$B, B415)&gt;0, IF(C415="DIA", SUMIFS('👥 Asistencia'!$H:$H, '👥 Asistencia'!$B:$B, B415, '👥 Asistencia'!$E:$E, "08:00") + SUMIFS('👥 Asistencia'!$H:$H, '👥 Asistencia'!$B:$B, B415, '👥 Asistencia'!$E:$E, "07:00"), SUMIFS('👥 Asistencia'!$H:$H, '👥 Asistencia'!$B:$B, B415, '👥 Asistencia'!$E:$E, "20:00")), 0))</f>
        <v/>
      </c>
      <c r="F415" s="18"/>
      <c r="G415" s="18"/>
      <c r="H415" s="33" t="str">
        <f t="shared" si="12"/>
        <v/>
      </c>
      <c r="I415" s="30" t="str">
        <f t="shared" si="13"/>
        <v/>
      </c>
    </row>
    <row r="416" spans="2:9" ht="18" customHeight="1" x14ac:dyDescent="0.3">
      <c r="B416" s="26"/>
      <c r="C416" s="27"/>
      <c r="D416" s="30" t="str">
        <f>IF(B416="","",IF(COUNTIF('👥 Asistencia'!$B:$B, B416)&gt;0, IF(C416="DIA", COUNTIFS('👥 Asistencia'!$B:$B, B416, '👥 Asistencia'!$E:$E, "08:00") + COUNTIFS('👥 Asistencia'!$B:$B, B416, '👥 Asistencia'!$E:$E, "07:00"), COUNTIFS('👥 Asistencia'!$B:$B, B416, '👥 Asistencia'!$E:$E, "20:00")), 6))</f>
        <v/>
      </c>
      <c r="E416" s="34" t="str">
        <f>IF(B416="","",IF(COUNTIF('👥 Asistencia'!$B:$B, B416)&gt;0, IF(C416="DIA", SUMIFS('👥 Asistencia'!$H:$H, '👥 Asistencia'!$B:$B, B416, '👥 Asistencia'!$E:$E, "08:00") + SUMIFS('👥 Asistencia'!$H:$H, '👥 Asistencia'!$B:$B, B416, '👥 Asistencia'!$E:$E, "07:00"), SUMIFS('👥 Asistencia'!$H:$H, '👥 Asistencia'!$B:$B, B416, '👥 Asistencia'!$E:$E, "20:00")), 0))</f>
        <v/>
      </c>
      <c r="F416" s="29"/>
      <c r="G416" s="29"/>
      <c r="H416" s="33" t="str">
        <f t="shared" si="12"/>
        <v/>
      </c>
      <c r="I416" s="30" t="str">
        <f t="shared" si="13"/>
        <v/>
      </c>
    </row>
    <row r="417" spans="2:9" ht="18" customHeight="1" x14ac:dyDescent="0.3">
      <c r="B417" s="26"/>
      <c r="C417" s="27"/>
      <c r="D417" s="30" t="str">
        <f>IF(B417="","",IF(COUNTIF('👥 Asistencia'!$B:$B, B417)&gt;0, IF(C417="DIA", COUNTIFS('👥 Asistencia'!$B:$B, B417, '👥 Asistencia'!$E:$E, "08:00") + COUNTIFS('👥 Asistencia'!$B:$B, B417, '👥 Asistencia'!$E:$E, "07:00"), COUNTIFS('👥 Asistencia'!$B:$B, B417, '👥 Asistencia'!$E:$E, "20:00")), 6))</f>
        <v/>
      </c>
      <c r="E417" s="34" t="str">
        <f>IF(B417="","",IF(COUNTIF('👥 Asistencia'!$B:$B, B417)&gt;0, IF(C417="DIA", SUMIFS('👥 Asistencia'!$H:$H, '👥 Asistencia'!$B:$B, B417, '👥 Asistencia'!$E:$E, "08:00") + SUMIFS('👥 Asistencia'!$H:$H, '👥 Asistencia'!$B:$B, B417, '👥 Asistencia'!$E:$E, "07:00"), SUMIFS('👥 Asistencia'!$H:$H, '👥 Asistencia'!$B:$B, B417, '👥 Asistencia'!$E:$E, "20:00")), 0))</f>
        <v/>
      </c>
      <c r="F417" s="18"/>
      <c r="G417" s="18"/>
      <c r="H417" s="33" t="str">
        <f t="shared" si="12"/>
        <v/>
      </c>
      <c r="I417" s="30" t="str">
        <f t="shared" si="13"/>
        <v/>
      </c>
    </row>
    <row r="418" spans="2:9" ht="18" customHeight="1" x14ac:dyDescent="0.3">
      <c r="B418" s="26"/>
      <c r="C418" s="27"/>
      <c r="D418" s="30" t="str">
        <f>IF(B418="","",IF(COUNTIF('👥 Asistencia'!$B:$B, B418)&gt;0, IF(C418="DIA", COUNTIFS('👥 Asistencia'!$B:$B, B418, '👥 Asistencia'!$E:$E, "08:00") + COUNTIFS('👥 Asistencia'!$B:$B, B418, '👥 Asistencia'!$E:$E, "07:00"), COUNTIFS('👥 Asistencia'!$B:$B, B418, '👥 Asistencia'!$E:$E, "20:00")), 6))</f>
        <v/>
      </c>
      <c r="E418" s="34" t="str">
        <f>IF(B418="","",IF(COUNTIF('👥 Asistencia'!$B:$B, B418)&gt;0, IF(C418="DIA", SUMIFS('👥 Asistencia'!$H:$H, '👥 Asistencia'!$B:$B, B418, '👥 Asistencia'!$E:$E, "08:00") + SUMIFS('👥 Asistencia'!$H:$H, '👥 Asistencia'!$B:$B, B418, '👥 Asistencia'!$E:$E, "07:00"), SUMIFS('👥 Asistencia'!$H:$H, '👥 Asistencia'!$B:$B, B418, '👥 Asistencia'!$E:$E, "20:00")), 0))</f>
        <v/>
      </c>
      <c r="F418" s="29"/>
      <c r="G418" s="29"/>
      <c r="H418" s="33" t="str">
        <f t="shared" si="12"/>
        <v/>
      </c>
      <c r="I418" s="30" t="str">
        <f t="shared" si="13"/>
        <v/>
      </c>
    </row>
    <row r="419" spans="2:9" ht="18" customHeight="1" x14ac:dyDescent="0.3">
      <c r="B419" s="26"/>
      <c r="C419" s="27"/>
      <c r="D419" s="30" t="str">
        <f>IF(B419="","",IF(COUNTIF('👥 Asistencia'!$B:$B, B419)&gt;0, IF(C419="DIA", COUNTIFS('👥 Asistencia'!$B:$B, B419, '👥 Asistencia'!$E:$E, "08:00") + COUNTIFS('👥 Asistencia'!$B:$B, B419, '👥 Asistencia'!$E:$E, "07:00"), COUNTIFS('👥 Asistencia'!$B:$B, B419, '👥 Asistencia'!$E:$E, "20:00")), 6))</f>
        <v/>
      </c>
      <c r="E419" s="34" t="str">
        <f>IF(B419="","",IF(COUNTIF('👥 Asistencia'!$B:$B, B419)&gt;0, IF(C419="DIA", SUMIFS('👥 Asistencia'!$H:$H, '👥 Asistencia'!$B:$B, B419, '👥 Asistencia'!$E:$E, "08:00") + SUMIFS('👥 Asistencia'!$H:$H, '👥 Asistencia'!$B:$B, B419, '👥 Asistencia'!$E:$E, "07:00"), SUMIFS('👥 Asistencia'!$H:$H, '👥 Asistencia'!$B:$B, B419, '👥 Asistencia'!$E:$E, "20:00")), 0))</f>
        <v/>
      </c>
      <c r="F419" s="18"/>
      <c r="G419" s="18"/>
      <c r="H419" s="33" t="str">
        <f t="shared" si="12"/>
        <v/>
      </c>
      <c r="I419" s="30" t="str">
        <f t="shared" si="13"/>
        <v/>
      </c>
    </row>
    <row r="420" spans="2:9" ht="18" customHeight="1" x14ac:dyDescent="0.3">
      <c r="B420" s="26"/>
      <c r="C420" s="27"/>
      <c r="D420" s="30" t="str">
        <f>IF(B420="","",IF(COUNTIF('👥 Asistencia'!$B:$B, B420)&gt;0, IF(C420="DIA", COUNTIFS('👥 Asistencia'!$B:$B, B420, '👥 Asistencia'!$E:$E, "08:00") + COUNTIFS('👥 Asistencia'!$B:$B, B420, '👥 Asistencia'!$E:$E, "07:00"), COUNTIFS('👥 Asistencia'!$B:$B, B420, '👥 Asistencia'!$E:$E, "20:00")), 6))</f>
        <v/>
      </c>
      <c r="E420" s="34" t="str">
        <f>IF(B420="","",IF(COUNTIF('👥 Asistencia'!$B:$B, B420)&gt;0, IF(C420="DIA", SUMIFS('👥 Asistencia'!$H:$H, '👥 Asistencia'!$B:$B, B420, '👥 Asistencia'!$E:$E, "08:00") + SUMIFS('👥 Asistencia'!$H:$H, '👥 Asistencia'!$B:$B, B420, '👥 Asistencia'!$E:$E, "07:00"), SUMIFS('👥 Asistencia'!$H:$H, '👥 Asistencia'!$B:$B, B420, '👥 Asistencia'!$E:$E, "20:00")), 0))</f>
        <v/>
      </c>
      <c r="F420" s="29"/>
      <c r="G420" s="29"/>
      <c r="H420" s="33" t="str">
        <f t="shared" si="12"/>
        <v/>
      </c>
      <c r="I420" s="30" t="str">
        <f t="shared" si="13"/>
        <v/>
      </c>
    </row>
    <row r="421" spans="2:9" ht="18" customHeight="1" x14ac:dyDescent="0.3">
      <c r="B421" s="26"/>
      <c r="C421" s="27"/>
      <c r="D421" s="30" t="str">
        <f>IF(B421="","",IF(COUNTIF('👥 Asistencia'!$B:$B, B421)&gt;0, IF(C421="DIA", COUNTIFS('👥 Asistencia'!$B:$B, B421, '👥 Asistencia'!$E:$E, "08:00") + COUNTIFS('👥 Asistencia'!$B:$B, B421, '👥 Asistencia'!$E:$E, "07:00"), COUNTIFS('👥 Asistencia'!$B:$B, B421, '👥 Asistencia'!$E:$E, "20:00")), 6))</f>
        <v/>
      </c>
      <c r="E421" s="34" t="str">
        <f>IF(B421="","",IF(COUNTIF('👥 Asistencia'!$B:$B, B421)&gt;0, IF(C421="DIA", SUMIFS('👥 Asistencia'!$H:$H, '👥 Asistencia'!$B:$B, B421, '👥 Asistencia'!$E:$E, "08:00") + SUMIFS('👥 Asistencia'!$H:$H, '👥 Asistencia'!$B:$B, B421, '👥 Asistencia'!$E:$E, "07:00"), SUMIFS('👥 Asistencia'!$H:$H, '👥 Asistencia'!$B:$B, B421, '👥 Asistencia'!$E:$E, "20:00")), 0))</f>
        <v/>
      </c>
      <c r="F421" s="18"/>
      <c r="G421" s="18"/>
      <c r="H421" s="33" t="str">
        <f t="shared" si="12"/>
        <v/>
      </c>
      <c r="I421" s="30" t="str">
        <f t="shared" si="13"/>
        <v/>
      </c>
    </row>
    <row r="422" spans="2:9" ht="18" customHeight="1" x14ac:dyDescent="0.3">
      <c r="B422" s="26"/>
      <c r="C422" s="27"/>
      <c r="D422" s="30" t="str">
        <f>IF(B422="","",IF(COUNTIF('👥 Asistencia'!$B:$B, B422)&gt;0, IF(C422="DIA", COUNTIFS('👥 Asistencia'!$B:$B, B422, '👥 Asistencia'!$E:$E, "08:00") + COUNTIFS('👥 Asistencia'!$B:$B, B422, '👥 Asistencia'!$E:$E, "07:00"), COUNTIFS('👥 Asistencia'!$B:$B, B422, '👥 Asistencia'!$E:$E, "20:00")), 6))</f>
        <v/>
      </c>
      <c r="E422" s="34" t="str">
        <f>IF(B422="","",IF(COUNTIF('👥 Asistencia'!$B:$B, B422)&gt;0, IF(C422="DIA", SUMIFS('👥 Asistencia'!$H:$H, '👥 Asistencia'!$B:$B, B422, '👥 Asistencia'!$E:$E, "08:00") + SUMIFS('👥 Asistencia'!$H:$H, '👥 Asistencia'!$B:$B, B422, '👥 Asistencia'!$E:$E, "07:00"), SUMIFS('👥 Asistencia'!$H:$H, '👥 Asistencia'!$B:$B, B422, '👥 Asistencia'!$E:$E, "20:00")), 0))</f>
        <v/>
      </c>
      <c r="F422" s="29"/>
      <c r="G422" s="29"/>
      <c r="H422" s="33" t="str">
        <f t="shared" si="12"/>
        <v/>
      </c>
      <c r="I422" s="30" t="str">
        <f t="shared" si="13"/>
        <v/>
      </c>
    </row>
    <row r="423" spans="2:9" ht="18" customHeight="1" x14ac:dyDescent="0.3">
      <c r="B423" s="26"/>
      <c r="C423" s="27"/>
      <c r="D423" s="30" t="str">
        <f>IF(B423="","",IF(COUNTIF('👥 Asistencia'!$B:$B, B423)&gt;0, IF(C423="DIA", COUNTIFS('👥 Asistencia'!$B:$B, B423, '👥 Asistencia'!$E:$E, "08:00") + COUNTIFS('👥 Asistencia'!$B:$B, B423, '👥 Asistencia'!$E:$E, "07:00"), COUNTIFS('👥 Asistencia'!$B:$B, B423, '👥 Asistencia'!$E:$E, "20:00")), 6))</f>
        <v/>
      </c>
      <c r="E423" s="34" t="str">
        <f>IF(B423="","",IF(COUNTIF('👥 Asistencia'!$B:$B, B423)&gt;0, IF(C423="DIA", SUMIFS('👥 Asistencia'!$H:$H, '👥 Asistencia'!$B:$B, B423, '👥 Asistencia'!$E:$E, "08:00") + SUMIFS('👥 Asistencia'!$H:$H, '👥 Asistencia'!$B:$B, B423, '👥 Asistencia'!$E:$E, "07:00"), SUMIFS('👥 Asistencia'!$H:$H, '👥 Asistencia'!$B:$B, B423, '👥 Asistencia'!$E:$E, "20:00")), 0))</f>
        <v/>
      </c>
      <c r="F423" s="18"/>
      <c r="G423" s="18"/>
      <c r="H423" s="33" t="str">
        <f t="shared" si="12"/>
        <v/>
      </c>
      <c r="I423" s="30" t="str">
        <f t="shared" si="13"/>
        <v/>
      </c>
    </row>
    <row r="424" spans="2:9" ht="18" customHeight="1" x14ac:dyDescent="0.3">
      <c r="B424" s="26"/>
      <c r="C424" s="27"/>
      <c r="D424" s="30" t="str">
        <f>IF(B424="","",IF(COUNTIF('👥 Asistencia'!$B:$B, B424)&gt;0, IF(C424="DIA", COUNTIFS('👥 Asistencia'!$B:$B, B424, '👥 Asistencia'!$E:$E, "08:00") + COUNTIFS('👥 Asistencia'!$B:$B, B424, '👥 Asistencia'!$E:$E, "07:00"), COUNTIFS('👥 Asistencia'!$B:$B, B424, '👥 Asistencia'!$E:$E, "20:00")), 6))</f>
        <v/>
      </c>
      <c r="E424" s="34" t="str">
        <f>IF(B424="","",IF(COUNTIF('👥 Asistencia'!$B:$B, B424)&gt;0, IF(C424="DIA", SUMIFS('👥 Asistencia'!$H:$H, '👥 Asistencia'!$B:$B, B424, '👥 Asistencia'!$E:$E, "08:00") + SUMIFS('👥 Asistencia'!$H:$H, '👥 Asistencia'!$B:$B, B424, '👥 Asistencia'!$E:$E, "07:00"), SUMIFS('👥 Asistencia'!$H:$H, '👥 Asistencia'!$B:$B, B424, '👥 Asistencia'!$E:$E, "20:00")), 0))</f>
        <v/>
      </c>
      <c r="F424" s="29"/>
      <c r="G424" s="29"/>
      <c r="H424" s="33" t="str">
        <f t="shared" si="12"/>
        <v/>
      </c>
      <c r="I424" s="30" t="str">
        <f t="shared" si="13"/>
        <v/>
      </c>
    </row>
    <row r="425" spans="2:9" ht="18" customHeight="1" x14ac:dyDescent="0.3">
      <c r="B425" s="26"/>
      <c r="C425" s="27"/>
      <c r="D425" s="30" t="str">
        <f>IF(B425="","",IF(COUNTIF('👥 Asistencia'!$B:$B, B425)&gt;0, IF(C425="DIA", COUNTIFS('👥 Asistencia'!$B:$B, B425, '👥 Asistencia'!$E:$E, "08:00") + COUNTIFS('👥 Asistencia'!$B:$B, B425, '👥 Asistencia'!$E:$E, "07:00"), COUNTIFS('👥 Asistencia'!$B:$B, B425, '👥 Asistencia'!$E:$E, "20:00")), 6))</f>
        <v/>
      </c>
      <c r="E425" s="34" t="str">
        <f>IF(B425="","",IF(COUNTIF('👥 Asistencia'!$B:$B, B425)&gt;0, IF(C425="DIA", SUMIFS('👥 Asistencia'!$H:$H, '👥 Asistencia'!$B:$B, B425, '👥 Asistencia'!$E:$E, "08:00") + SUMIFS('👥 Asistencia'!$H:$H, '👥 Asistencia'!$B:$B, B425, '👥 Asistencia'!$E:$E, "07:00"), SUMIFS('👥 Asistencia'!$H:$H, '👥 Asistencia'!$B:$B, B425, '👥 Asistencia'!$E:$E, "20:00")), 0))</f>
        <v/>
      </c>
      <c r="F425" s="18"/>
      <c r="G425" s="18"/>
      <c r="H425" s="33" t="str">
        <f t="shared" si="12"/>
        <v/>
      </c>
      <c r="I425" s="30" t="str">
        <f t="shared" si="13"/>
        <v/>
      </c>
    </row>
    <row r="426" spans="2:9" ht="18" customHeight="1" x14ac:dyDescent="0.3">
      <c r="B426" s="26"/>
      <c r="C426" s="27"/>
      <c r="D426" s="30" t="str">
        <f>IF(B426="","",IF(COUNTIF('👥 Asistencia'!$B:$B, B426)&gt;0, IF(C426="DIA", COUNTIFS('👥 Asistencia'!$B:$B, B426, '👥 Asistencia'!$E:$E, "08:00") + COUNTIFS('👥 Asistencia'!$B:$B, B426, '👥 Asistencia'!$E:$E, "07:00"), COUNTIFS('👥 Asistencia'!$B:$B, B426, '👥 Asistencia'!$E:$E, "20:00")), 6))</f>
        <v/>
      </c>
      <c r="E426" s="34" t="str">
        <f>IF(B426="","",IF(COUNTIF('👥 Asistencia'!$B:$B, B426)&gt;0, IF(C426="DIA", SUMIFS('👥 Asistencia'!$H:$H, '👥 Asistencia'!$B:$B, B426, '👥 Asistencia'!$E:$E, "08:00") + SUMIFS('👥 Asistencia'!$H:$H, '👥 Asistencia'!$B:$B, B426, '👥 Asistencia'!$E:$E, "07:00"), SUMIFS('👥 Asistencia'!$H:$H, '👥 Asistencia'!$B:$B, B426, '👥 Asistencia'!$E:$E, "20:00")), 0))</f>
        <v/>
      </c>
      <c r="F426" s="29"/>
      <c r="G426" s="29"/>
      <c r="H426" s="33" t="str">
        <f t="shared" si="12"/>
        <v/>
      </c>
      <c r="I426" s="30" t="str">
        <f t="shared" si="13"/>
        <v/>
      </c>
    </row>
    <row r="427" spans="2:9" ht="18" customHeight="1" x14ac:dyDescent="0.3">
      <c r="B427" s="26"/>
      <c r="C427" s="27"/>
      <c r="D427" s="30" t="str">
        <f>IF(B427="","",IF(COUNTIF('👥 Asistencia'!$B:$B, B427)&gt;0, IF(C427="DIA", COUNTIFS('👥 Asistencia'!$B:$B, B427, '👥 Asistencia'!$E:$E, "08:00") + COUNTIFS('👥 Asistencia'!$B:$B, B427, '👥 Asistencia'!$E:$E, "07:00"), COUNTIFS('👥 Asistencia'!$B:$B, B427, '👥 Asistencia'!$E:$E, "20:00")), 6))</f>
        <v/>
      </c>
      <c r="E427" s="34" t="str">
        <f>IF(B427="","",IF(COUNTIF('👥 Asistencia'!$B:$B, B427)&gt;0, IF(C427="DIA", SUMIFS('👥 Asistencia'!$H:$H, '👥 Asistencia'!$B:$B, B427, '👥 Asistencia'!$E:$E, "08:00") + SUMIFS('👥 Asistencia'!$H:$H, '👥 Asistencia'!$B:$B, B427, '👥 Asistencia'!$E:$E, "07:00"), SUMIFS('👥 Asistencia'!$H:$H, '👥 Asistencia'!$B:$B, B427, '👥 Asistencia'!$E:$E, "20:00")), 0))</f>
        <v/>
      </c>
      <c r="F427" s="18"/>
      <c r="G427" s="18"/>
      <c r="H427" s="33" t="str">
        <f t="shared" si="12"/>
        <v/>
      </c>
      <c r="I427" s="30" t="str">
        <f t="shared" si="13"/>
        <v/>
      </c>
    </row>
    <row r="428" spans="2:9" ht="18" customHeight="1" x14ac:dyDescent="0.3">
      <c r="B428" s="26"/>
      <c r="C428" s="27"/>
      <c r="D428" s="30" t="str">
        <f>IF(B428="","",IF(COUNTIF('👥 Asistencia'!$B:$B, B428)&gt;0, IF(C428="DIA", COUNTIFS('👥 Asistencia'!$B:$B, B428, '👥 Asistencia'!$E:$E, "08:00") + COUNTIFS('👥 Asistencia'!$B:$B, B428, '👥 Asistencia'!$E:$E, "07:00"), COUNTIFS('👥 Asistencia'!$B:$B, B428, '👥 Asistencia'!$E:$E, "20:00")), 6))</f>
        <v/>
      </c>
      <c r="E428" s="34" t="str">
        <f>IF(B428="","",IF(COUNTIF('👥 Asistencia'!$B:$B, B428)&gt;0, IF(C428="DIA", SUMIFS('👥 Asistencia'!$H:$H, '👥 Asistencia'!$B:$B, B428, '👥 Asistencia'!$E:$E, "08:00") + SUMIFS('👥 Asistencia'!$H:$H, '👥 Asistencia'!$B:$B, B428, '👥 Asistencia'!$E:$E, "07:00"), SUMIFS('👥 Asistencia'!$H:$H, '👥 Asistencia'!$B:$B, B428, '👥 Asistencia'!$E:$E, "20:00")), 0))</f>
        <v/>
      </c>
      <c r="F428" s="29"/>
      <c r="G428" s="29"/>
      <c r="H428" s="33" t="str">
        <f t="shared" si="12"/>
        <v/>
      </c>
      <c r="I428" s="30" t="str">
        <f t="shared" si="13"/>
        <v/>
      </c>
    </row>
    <row r="429" spans="2:9" ht="18" customHeight="1" x14ac:dyDescent="0.3">
      <c r="B429" s="26"/>
      <c r="C429" s="27"/>
      <c r="D429" s="30" t="str">
        <f>IF(B429="","",IF(COUNTIF('👥 Asistencia'!$B:$B, B429)&gt;0, IF(C429="DIA", COUNTIFS('👥 Asistencia'!$B:$B, B429, '👥 Asistencia'!$E:$E, "08:00") + COUNTIFS('👥 Asistencia'!$B:$B, B429, '👥 Asistencia'!$E:$E, "07:00"), COUNTIFS('👥 Asistencia'!$B:$B, B429, '👥 Asistencia'!$E:$E, "20:00")), 6))</f>
        <v/>
      </c>
      <c r="E429" s="34" t="str">
        <f>IF(B429="","",IF(COUNTIF('👥 Asistencia'!$B:$B, B429)&gt;0, IF(C429="DIA", SUMIFS('👥 Asistencia'!$H:$H, '👥 Asistencia'!$B:$B, B429, '👥 Asistencia'!$E:$E, "08:00") + SUMIFS('👥 Asistencia'!$H:$H, '👥 Asistencia'!$B:$B, B429, '👥 Asistencia'!$E:$E, "07:00"), SUMIFS('👥 Asistencia'!$H:$H, '👥 Asistencia'!$B:$B, B429, '👥 Asistencia'!$E:$E, "20:00")), 0))</f>
        <v/>
      </c>
      <c r="F429" s="18"/>
      <c r="G429" s="18"/>
      <c r="H429" s="33" t="str">
        <f t="shared" si="12"/>
        <v/>
      </c>
      <c r="I429" s="30" t="str">
        <f t="shared" si="13"/>
        <v/>
      </c>
    </row>
    <row r="430" spans="2:9" ht="18" customHeight="1" x14ac:dyDescent="0.3">
      <c r="B430" s="26"/>
      <c r="C430" s="27"/>
      <c r="D430" s="30" t="str">
        <f>IF(B430="","",IF(COUNTIF('👥 Asistencia'!$B:$B, B430)&gt;0, IF(C430="DIA", COUNTIFS('👥 Asistencia'!$B:$B, B430, '👥 Asistencia'!$E:$E, "08:00") + COUNTIFS('👥 Asistencia'!$B:$B, B430, '👥 Asistencia'!$E:$E, "07:00"), COUNTIFS('👥 Asistencia'!$B:$B, B430, '👥 Asistencia'!$E:$E, "20:00")), 6))</f>
        <v/>
      </c>
      <c r="E430" s="34" t="str">
        <f>IF(B430="","",IF(COUNTIF('👥 Asistencia'!$B:$B, B430)&gt;0, IF(C430="DIA", SUMIFS('👥 Asistencia'!$H:$H, '👥 Asistencia'!$B:$B, B430, '👥 Asistencia'!$E:$E, "08:00") + SUMIFS('👥 Asistencia'!$H:$H, '👥 Asistencia'!$B:$B, B430, '👥 Asistencia'!$E:$E, "07:00"), SUMIFS('👥 Asistencia'!$H:$H, '👥 Asistencia'!$B:$B, B430, '👥 Asistencia'!$E:$E, "20:00")), 0))</f>
        <v/>
      </c>
      <c r="F430" s="29"/>
      <c r="G430" s="29"/>
      <c r="H430" s="33" t="str">
        <f t="shared" si="12"/>
        <v/>
      </c>
      <c r="I430" s="30" t="str">
        <f t="shared" si="13"/>
        <v/>
      </c>
    </row>
    <row r="431" spans="2:9" ht="18" customHeight="1" x14ac:dyDescent="0.3">
      <c r="B431" s="26"/>
      <c r="C431" s="27"/>
      <c r="D431" s="30" t="str">
        <f>IF(B431="","",IF(COUNTIF('👥 Asistencia'!$B:$B, B431)&gt;0, IF(C431="DIA", COUNTIFS('👥 Asistencia'!$B:$B, B431, '👥 Asistencia'!$E:$E, "08:00") + COUNTIFS('👥 Asistencia'!$B:$B, B431, '👥 Asistencia'!$E:$E, "07:00"), COUNTIFS('👥 Asistencia'!$B:$B, B431, '👥 Asistencia'!$E:$E, "20:00")), 6))</f>
        <v/>
      </c>
      <c r="E431" s="34" t="str">
        <f>IF(B431="","",IF(COUNTIF('👥 Asistencia'!$B:$B, B431)&gt;0, IF(C431="DIA", SUMIFS('👥 Asistencia'!$H:$H, '👥 Asistencia'!$B:$B, B431, '👥 Asistencia'!$E:$E, "08:00") + SUMIFS('👥 Asistencia'!$H:$H, '👥 Asistencia'!$B:$B, B431, '👥 Asistencia'!$E:$E, "07:00"), SUMIFS('👥 Asistencia'!$H:$H, '👥 Asistencia'!$B:$B, B431, '👥 Asistencia'!$E:$E, "20:00")), 0))</f>
        <v/>
      </c>
      <c r="F431" s="18"/>
      <c r="G431" s="18"/>
      <c r="H431" s="33" t="str">
        <f t="shared" si="12"/>
        <v/>
      </c>
      <c r="I431" s="30" t="str">
        <f t="shared" si="13"/>
        <v/>
      </c>
    </row>
    <row r="432" spans="2:9" ht="18" customHeight="1" x14ac:dyDescent="0.3">
      <c r="B432" s="26"/>
      <c r="C432" s="27"/>
      <c r="D432" s="30" t="str">
        <f>IF(B432="","",IF(COUNTIF('👥 Asistencia'!$B:$B, B432)&gt;0, IF(C432="DIA", COUNTIFS('👥 Asistencia'!$B:$B, B432, '👥 Asistencia'!$E:$E, "08:00") + COUNTIFS('👥 Asistencia'!$B:$B, B432, '👥 Asistencia'!$E:$E, "07:00"), COUNTIFS('👥 Asistencia'!$B:$B, B432, '👥 Asistencia'!$E:$E, "20:00")), 6))</f>
        <v/>
      </c>
      <c r="E432" s="34" t="str">
        <f>IF(B432="","",IF(COUNTIF('👥 Asistencia'!$B:$B, B432)&gt;0, IF(C432="DIA", SUMIFS('👥 Asistencia'!$H:$H, '👥 Asistencia'!$B:$B, B432, '👥 Asistencia'!$E:$E, "08:00") + SUMIFS('👥 Asistencia'!$H:$H, '👥 Asistencia'!$B:$B, B432, '👥 Asistencia'!$E:$E, "07:00"), SUMIFS('👥 Asistencia'!$H:$H, '👥 Asistencia'!$B:$B, B432, '👥 Asistencia'!$E:$E, "20:00")), 0))</f>
        <v/>
      </c>
      <c r="F432" s="29"/>
      <c r="G432" s="29"/>
      <c r="H432" s="33" t="str">
        <f t="shared" si="12"/>
        <v/>
      </c>
      <c r="I432" s="30" t="str">
        <f t="shared" si="13"/>
        <v/>
      </c>
    </row>
    <row r="433" spans="2:9" ht="18" customHeight="1" x14ac:dyDescent="0.3">
      <c r="B433" s="26"/>
      <c r="C433" s="27"/>
      <c r="D433" s="30" t="str">
        <f>IF(B433="","",IF(COUNTIF('👥 Asistencia'!$B:$B, B433)&gt;0, IF(C433="DIA", COUNTIFS('👥 Asistencia'!$B:$B, B433, '👥 Asistencia'!$E:$E, "08:00") + COUNTIFS('👥 Asistencia'!$B:$B, B433, '👥 Asistencia'!$E:$E, "07:00"), COUNTIFS('👥 Asistencia'!$B:$B, B433, '👥 Asistencia'!$E:$E, "20:00")), 6))</f>
        <v/>
      </c>
      <c r="E433" s="34" t="str">
        <f>IF(B433="","",IF(COUNTIF('👥 Asistencia'!$B:$B, B433)&gt;0, IF(C433="DIA", SUMIFS('👥 Asistencia'!$H:$H, '👥 Asistencia'!$B:$B, B433, '👥 Asistencia'!$E:$E, "08:00") + SUMIFS('👥 Asistencia'!$H:$H, '👥 Asistencia'!$B:$B, B433, '👥 Asistencia'!$E:$E, "07:00"), SUMIFS('👥 Asistencia'!$H:$H, '👥 Asistencia'!$B:$B, B433, '👥 Asistencia'!$E:$E, "20:00")), 0))</f>
        <v/>
      </c>
      <c r="F433" s="18"/>
      <c r="G433" s="18"/>
      <c r="H433" s="33" t="str">
        <f t="shared" si="12"/>
        <v/>
      </c>
      <c r="I433" s="30" t="str">
        <f t="shared" si="13"/>
        <v/>
      </c>
    </row>
    <row r="434" spans="2:9" ht="18" customHeight="1" x14ac:dyDescent="0.3">
      <c r="B434" s="26"/>
      <c r="C434" s="27"/>
      <c r="D434" s="30" t="str">
        <f>IF(B434="","",IF(COUNTIF('👥 Asistencia'!$B:$B, B434)&gt;0, IF(C434="DIA", COUNTIFS('👥 Asistencia'!$B:$B, B434, '👥 Asistencia'!$E:$E, "08:00") + COUNTIFS('👥 Asistencia'!$B:$B, B434, '👥 Asistencia'!$E:$E, "07:00"), COUNTIFS('👥 Asistencia'!$B:$B, B434, '👥 Asistencia'!$E:$E, "20:00")), 6))</f>
        <v/>
      </c>
      <c r="E434" s="34" t="str">
        <f>IF(B434="","",IF(COUNTIF('👥 Asistencia'!$B:$B, B434)&gt;0, IF(C434="DIA", SUMIFS('👥 Asistencia'!$H:$H, '👥 Asistencia'!$B:$B, B434, '👥 Asistencia'!$E:$E, "08:00") + SUMIFS('👥 Asistencia'!$H:$H, '👥 Asistencia'!$B:$B, B434, '👥 Asistencia'!$E:$E, "07:00"), SUMIFS('👥 Asistencia'!$H:$H, '👥 Asistencia'!$B:$B, B434, '👥 Asistencia'!$E:$E, "20:00")), 0))</f>
        <v/>
      </c>
      <c r="F434" s="29"/>
      <c r="G434" s="29"/>
      <c r="H434" s="33" t="str">
        <f t="shared" si="12"/>
        <v/>
      </c>
      <c r="I434" s="30" t="str">
        <f t="shared" si="13"/>
        <v/>
      </c>
    </row>
    <row r="435" spans="2:9" ht="18" customHeight="1" x14ac:dyDescent="0.3">
      <c r="B435" s="26"/>
      <c r="C435" s="27"/>
      <c r="D435" s="30" t="str">
        <f>IF(B435="","",IF(COUNTIF('👥 Asistencia'!$B:$B, B435)&gt;0, IF(C435="DIA", COUNTIFS('👥 Asistencia'!$B:$B, B435, '👥 Asistencia'!$E:$E, "08:00") + COUNTIFS('👥 Asistencia'!$B:$B, B435, '👥 Asistencia'!$E:$E, "07:00"), COUNTIFS('👥 Asistencia'!$B:$B, B435, '👥 Asistencia'!$E:$E, "20:00")), 6))</f>
        <v/>
      </c>
      <c r="E435" s="34" t="str">
        <f>IF(B435="","",IF(COUNTIF('👥 Asistencia'!$B:$B, B435)&gt;0, IF(C435="DIA", SUMIFS('👥 Asistencia'!$H:$H, '👥 Asistencia'!$B:$B, B435, '👥 Asistencia'!$E:$E, "08:00") + SUMIFS('👥 Asistencia'!$H:$H, '👥 Asistencia'!$B:$B, B435, '👥 Asistencia'!$E:$E, "07:00"), SUMIFS('👥 Asistencia'!$H:$H, '👥 Asistencia'!$B:$B, B435, '👥 Asistencia'!$E:$E, "20:00")), 0))</f>
        <v/>
      </c>
      <c r="F435" s="18"/>
      <c r="G435" s="18"/>
      <c r="H435" s="33" t="str">
        <f t="shared" si="12"/>
        <v/>
      </c>
      <c r="I435" s="30" t="str">
        <f t="shared" si="13"/>
        <v/>
      </c>
    </row>
    <row r="436" spans="2:9" ht="18" customHeight="1" x14ac:dyDescent="0.3">
      <c r="B436" s="26"/>
      <c r="C436" s="27"/>
      <c r="D436" s="30" t="str">
        <f>IF(B436="","",IF(COUNTIF('👥 Asistencia'!$B:$B, B436)&gt;0, IF(C436="DIA", COUNTIFS('👥 Asistencia'!$B:$B, B436, '👥 Asistencia'!$E:$E, "08:00") + COUNTIFS('👥 Asistencia'!$B:$B, B436, '👥 Asistencia'!$E:$E, "07:00"), COUNTIFS('👥 Asistencia'!$B:$B, B436, '👥 Asistencia'!$E:$E, "20:00")), 6))</f>
        <v/>
      </c>
      <c r="E436" s="34" t="str">
        <f>IF(B436="","",IF(COUNTIF('👥 Asistencia'!$B:$B, B436)&gt;0, IF(C436="DIA", SUMIFS('👥 Asistencia'!$H:$H, '👥 Asistencia'!$B:$B, B436, '👥 Asistencia'!$E:$E, "08:00") + SUMIFS('👥 Asistencia'!$H:$H, '👥 Asistencia'!$B:$B, B436, '👥 Asistencia'!$E:$E, "07:00"), SUMIFS('👥 Asistencia'!$H:$H, '👥 Asistencia'!$B:$B, B436, '👥 Asistencia'!$E:$E, "20:00")), 0))</f>
        <v/>
      </c>
      <c r="F436" s="29"/>
      <c r="G436" s="29"/>
      <c r="H436" s="33" t="str">
        <f t="shared" si="12"/>
        <v/>
      </c>
      <c r="I436" s="30" t="str">
        <f t="shared" si="13"/>
        <v/>
      </c>
    </row>
    <row r="437" spans="2:9" ht="18" customHeight="1" x14ac:dyDescent="0.3">
      <c r="B437" s="26"/>
      <c r="C437" s="27"/>
      <c r="D437" s="30" t="str">
        <f>IF(B437="","",IF(COUNTIF('👥 Asistencia'!$B:$B, B437)&gt;0, IF(C437="DIA", COUNTIFS('👥 Asistencia'!$B:$B, B437, '👥 Asistencia'!$E:$E, "08:00") + COUNTIFS('👥 Asistencia'!$B:$B, B437, '👥 Asistencia'!$E:$E, "07:00"), COUNTIFS('👥 Asistencia'!$B:$B, B437, '👥 Asistencia'!$E:$E, "20:00")), 6))</f>
        <v/>
      </c>
      <c r="E437" s="34" t="str">
        <f>IF(B437="","",IF(COUNTIF('👥 Asistencia'!$B:$B, B437)&gt;0, IF(C437="DIA", SUMIFS('👥 Asistencia'!$H:$H, '👥 Asistencia'!$B:$B, B437, '👥 Asistencia'!$E:$E, "08:00") + SUMIFS('👥 Asistencia'!$H:$H, '👥 Asistencia'!$B:$B, B437, '👥 Asistencia'!$E:$E, "07:00"), SUMIFS('👥 Asistencia'!$H:$H, '👥 Asistencia'!$B:$B, B437, '👥 Asistencia'!$E:$E, "20:00")), 0))</f>
        <v/>
      </c>
      <c r="F437" s="18"/>
      <c r="G437" s="18"/>
      <c r="H437" s="33" t="str">
        <f t="shared" si="12"/>
        <v/>
      </c>
      <c r="I437" s="30" t="str">
        <f t="shared" si="13"/>
        <v/>
      </c>
    </row>
    <row r="438" spans="2:9" ht="18" customHeight="1" x14ac:dyDescent="0.3">
      <c r="B438" s="26"/>
      <c r="C438" s="27"/>
      <c r="D438" s="30" t="str">
        <f>IF(B438="","",IF(COUNTIF('👥 Asistencia'!$B:$B, B438)&gt;0, IF(C438="DIA", COUNTIFS('👥 Asistencia'!$B:$B, B438, '👥 Asistencia'!$E:$E, "08:00") + COUNTIFS('👥 Asistencia'!$B:$B, B438, '👥 Asistencia'!$E:$E, "07:00"), COUNTIFS('👥 Asistencia'!$B:$B, B438, '👥 Asistencia'!$E:$E, "20:00")), 6))</f>
        <v/>
      </c>
      <c r="E438" s="34" t="str">
        <f>IF(B438="","",IF(COUNTIF('👥 Asistencia'!$B:$B, B438)&gt;0, IF(C438="DIA", SUMIFS('👥 Asistencia'!$H:$H, '👥 Asistencia'!$B:$B, B438, '👥 Asistencia'!$E:$E, "08:00") + SUMIFS('👥 Asistencia'!$H:$H, '👥 Asistencia'!$B:$B, B438, '👥 Asistencia'!$E:$E, "07:00"), SUMIFS('👥 Asistencia'!$H:$H, '👥 Asistencia'!$B:$B, B438, '👥 Asistencia'!$E:$E, "20:00")), 0))</f>
        <v/>
      </c>
      <c r="F438" s="29"/>
      <c r="G438" s="29"/>
      <c r="H438" s="33" t="str">
        <f t="shared" si="12"/>
        <v/>
      </c>
      <c r="I438" s="30" t="str">
        <f t="shared" si="13"/>
        <v/>
      </c>
    </row>
    <row r="439" spans="2:9" ht="18" customHeight="1" x14ac:dyDescent="0.3">
      <c r="B439" s="26"/>
      <c r="C439" s="27"/>
      <c r="D439" s="30" t="str">
        <f>IF(B439="","",IF(COUNTIF('👥 Asistencia'!$B:$B, B439)&gt;0, IF(C439="DIA", COUNTIFS('👥 Asistencia'!$B:$B, B439, '👥 Asistencia'!$E:$E, "08:00") + COUNTIFS('👥 Asistencia'!$B:$B, B439, '👥 Asistencia'!$E:$E, "07:00"), COUNTIFS('👥 Asistencia'!$B:$B, B439, '👥 Asistencia'!$E:$E, "20:00")), 6))</f>
        <v/>
      </c>
      <c r="E439" s="34" t="str">
        <f>IF(B439="","",IF(COUNTIF('👥 Asistencia'!$B:$B, B439)&gt;0, IF(C439="DIA", SUMIFS('👥 Asistencia'!$H:$H, '👥 Asistencia'!$B:$B, B439, '👥 Asistencia'!$E:$E, "08:00") + SUMIFS('👥 Asistencia'!$H:$H, '👥 Asistencia'!$B:$B, B439, '👥 Asistencia'!$E:$E, "07:00"), SUMIFS('👥 Asistencia'!$H:$H, '👥 Asistencia'!$B:$B, B439, '👥 Asistencia'!$E:$E, "20:00")), 0))</f>
        <v/>
      </c>
      <c r="F439" s="18"/>
      <c r="G439" s="18"/>
      <c r="H439" s="33" t="str">
        <f t="shared" si="12"/>
        <v/>
      </c>
      <c r="I439" s="30" t="str">
        <f t="shared" si="13"/>
        <v/>
      </c>
    </row>
    <row r="440" spans="2:9" ht="18" customHeight="1" x14ac:dyDescent="0.3">
      <c r="B440" s="26"/>
      <c r="C440" s="27"/>
      <c r="D440" s="30" t="str">
        <f>IF(B440="","",IF(COUNTIF('👥 Asistencia'!$B:$B, B440)&gt;0, IF(C440="DIA", COUNTIFS('👥 Asistencia'!$B:$B, B440, '👥 Asistencia'!$E:$E, "08:00") + COUNTIFS('👥 Asistencia'!$B:$B, B440, '👥 Asistencia'!$E:$E, "07:00"), COUNTIFS('👥 Asistencia'!$B:$B, B440, '👥 Asistencia'!$E:$E, "20:00")), 6))</f>
        <v/>
      </c>
      <c r="E440" s="34" t="str">
        <f>IF(B440="","",IF(COUNTIF('👥 Asistencia'!$B:$B, B440)&gt;0, IF(C440="DIA", SUMIFS('👥 Asistencia'!$H:$H, '👥 Asistencia'!$B:$B, B440, '👥 Asistencia'!$E:$E, "08:00") + SUMIFS('👥 Asistencia'!$H:$H, '👥 Asistencia'!$B:$B, B440, '👥 Asistencia'!$E:$E, "07:00"), SUMIFS('👥 Asistencia'!$H:$H, '👥 Asistencia'!$B:$B, B440, '👥 Asistencia'!$E:$E, "20:00")), 0))</f>
        <v/>
      </c>
      <c r="F440" s="29"/>
      <c r="G440" s="29"/>
      <c r="H440" s="33" t="str">
        <f t="shared" si="12"/>
        <v/>
      </c>
      <c r="I440" s="30" t="str">
        <f t="shared" si="13"/>
        <v/>
      </c>
    </row>
    <row r="441" spans="2:9" ht="18" customHeight="1" x14ac:dyDescent="0.3">
      <c r="B441" s="26"/>
      <c r="C441" s="27"/>
      <c r="D441" s="30" t="str">
        <f>IF(B441="","",IF(COUNTIF('👥 Asistencia'!$B:$B, B441)&gt;0, IF(C441="DIA", COUNTIFS('👥 Asistencia'!$B:$B, B441, '👥 Asistencia'!$E:$E, "08:00") + COUNTIFS('👥 Asistencia'!$B:$B, B441, '👥 Asistencia'!$E:$E, "07:00"), COUNTIFS('👥 Asistencia'!$B:$B, B441, '👥 Asistencia'!$E:$E, "20:00")), 6))</f>
        <v/>
      </c>
      <c r="E441" s="34" t="str">
        <f>IF(B441="","",IF(COUNTIF('👥 Asistencia'!$B:$B, B441)&gt;0, IF(C441="DIA", SUMIFS('👥 Asistencia'!$H:$H, '👥 Asistencia'!$B:$B, B441, '👥 Asistencia'!$E:$E, "08:00") + SUMIFS('👥 Asistencia'!$H:$H, '👥 Asistencia'!$B:$B, B441, '👥 Asistencia'!$E:$E, "07:00"), SUMIFS('👥 Asistencia'!$H:$H, '👥 Asistencia'!$B:$B, B441, '👥 Asistencia'!$E:$E, "20:00")), 0))</f>
        <v/>
      </c>
      <c r="F441" s="18"/>
      <c r="G441" s="18"/>
      <c r="H441" s="33" t="str">
        <f t="shared" si="12"/>
        <v/>
      </c>
      <c r="I441" s="30" t="str">
        <f t="shared" si="13"/>
        <v/>
      </c>
    </row>
    <row r="442" spans="2:9" ht="18" customHeight="1" x14ac:dyDescent="0.3">
      <c r="B442" s="26"/>
      <c r="C442" s="27"/>
      <c r="D442" s="30" t="str">
        <f>IF(B442="","",IF(COUNTIF('👥 Asistencia'!$B:$B, B442)&gt;0, IF(C442="DIA", COUNTIFS('👥 Asistencia'!$B:$B, B442, '👥 Asistencia'!$E:$E, "08:00") + COUNTIFS('👥 Asistencia'!$B:$B, B442, '👥 Asistencia'!$E:$E, "07:00"), COUNTIFS('👥 Asistencia'!$B:$B, B442, '👥 Asistencia'!$E:$E, "20:00")), 6))</f>
        <v/>
      </c>
      <c r="E442" s="34" t="str">
        <f>IF(B442="","",IF(COUNTIF('👥 Asistencia'!$B:$B, B442)&gt;0, IF(C442="DIA", SUMIFS('👥 Asistencia'!$H:$H, '👥 Asistencia'!$B:$B, B442, '👥 Asistencia'!$E:$E, "08:00") + SUMIFS('👥 Asistencia'!$H:$H, '👥 Asistencia'!$B:$B, B442, '👥 Asistencia'!$E:$E, "07:00"), SUMIFS('👥 Asistencia'!$H:$H, '👥 Asistencia'!$B:$B, B442, '👥 Asistencia'!$E:$E, "20:00")), 0))</f>
        <v/>
      </c>
      <c r="F442" s="29"/>
      <c r="G442" s="29"/>
      <c r="H442" s="33" t="str">
        <f t="shared" si="12"/>
        <v/>
      </c>
      <c r="I442" s="30" t="str">
        <f t="shared" si="13"/>
        <v/>
      </c>
    </row>
    <row r="443" spans="2:9" ht="18" customHeight="1" x14ac:dyDescent="0.3">
      <c r="B443" s="26"/>
      <c r="C443" s="27"/>
      <c r="D443" s="30" t="str">
        <f>IF(B443="","",IF(COUNTIF('👥 Asistencia'!$B:$B, B443)&gt;0, IF(C443="DIA", COUNTIFS('👥 Asistencia'!$B:$B, B443, '👥 Asistencia'!$E:$E, "08:00") + COUNTIFS('👥 Asistencia'!$B:$B, B443, '👥 Asistencia'!$E:$E, "07:00"), COUNTIFS('👥 Asistencia'!$B:$B, B443, '👥 Asistencia'!$E:$E, "20:00")), 6))</f>
        <v/>
      </c>
      <c r="E443" s="34" t="str">
        <f>IF(B443="","",IF(COUNTIF('👥 Asistencia'!$B:$B, B443)&gt;0, IF(C443="DIA", SUMIFS('👥 Asistencia'!$H:$H, '👥 Asistencia'!$B:$B, B443, '👥 Asistencia'!$E:$E, "08:00") + SUMIFS('👥 Asistencia'!$H:$H, '👥 Asistencia'!$B:$B, B443, '👥 Asistencia'!$E:$E, "07:00"), SUMIFS('👥 Asistencia'!$H:$H, '👥 Asistencia'!$B:$B, B443, '👥 Asistencia'!$E:$E, "20:00")), 0))</f>
        <v/>
      </c>
      <c r="F443" s="18"/>
      <c r="G443" s="18"/>
      <c r="H443" s="33" t="str">
        <f t="shared" si="12"/>
        <v/>
      </c>
      <c r="I443" s="30" t="str">
        <f t="shared" si="13"/>
        <v/>
      </c>
    </row>
    <row r="444" spans="2:9" ht="18" customHeight="1" x14ac:dyDescent="0.3">
      <c r="B444" s="26"/>
      <c r="C444" s="27"/>
      <c r="D444" s="30" t="str">
        <f>IF(B444="","",IF(COUNTIF('👥 Asistencia'!$B:$B, B444)&gt;0, IF(C444="DIA", COUNTIFS('👥 Asistencia'!$B:$B, B444, '👥 Asistencia'!$E:$E, "08:00") + COUNTIFS('👥 Asistencia'!$B:$B, B444, '👥 Asistencia'!$E:$E, "07:00"), COUNTIFS('👥 Asistencia'!$B:$B, B444, '👥 Asistencia'!$E:$E, "20:00")), 6))</f>
        <v/>
      </c>
      <c r="E444" s="34" t="str">
        <f>IF(B444="","",IF(COUNTIF('👥 Asistencia'!$B:$B, B444)&gt;0, IF(C444="DIA", SUMIFS('👥 Asistencia'!$H:$H, '👥 Asistencia'!$B:$B, B444, '👥 Asistencia'!$E:$E, "08:00") + SUMIFS('👥 Asistencia'!$H:$H, '👥 Asistencia'!$B:$B, B444, '👥 Asistencia'!$E:$E, "07:00"), SUMIFS('👥 Asistencia'!$H:$H, '👥 Asistencia'!$B:$B, B444, '👥 Asistencia'!$E:$E, "20:00")), 0))</f>
        <v/>
      </c>
      <c r="F444" s="29"/>
      <c r="G444" s="29"/>
      <c r="H444" s="33" t="str">
        <f t="shared" si="12"/>
        <v/>
      </c>
      <c r="I444" s="30" t="str">
        <f t="shared" si="13"/>
        <v/>
      </c>
    </row>
    <row r="445" spans="2:9" ht="18" customHeight="1" x14ac:dyDescent="0.3">
      <c r="B445" s="26"/>
      <c r="C445" s="27"/>
      <c r="D445" s="30" t="str">
        <f>IF(B445="","",IF(COUNTIF('👥 Asistencia'!$B:$B, B445)&gt;0, IF(C445="DIA", COUNTIFS('👥 Asistencia'!$B:$B, B445, '👥 Asistencia'!$E:$E, "08:00") + COUNTIFS('👥 Asistencia'!$B:$B, B445, '👥 Asistencia'!$E:$E, "07:00"), COUNTIFS('👥 Asistencia'!$B:$B, B445, '👥 Asistencia'!$E:$E, "20:00")), 6))</f>
        <v/>
      </c>
      <c r="E445" s="34" t="str">
        <f>IF(B445="","",IF(COUNTIF('👥 Asistencia'!$B:$B, B445)&gt;0, IF(C445="DIA", SUMIFS('👥 Asistencia'!$H:$H, '👥 Asistencia'!$B:$B, B445, '👥 Asistencia'!$E:$E, "08:00") + SUMIFS('👥 Asistencia'!$H:$H, '👥 Asistencia'!$B:$B, B445, '👥 Asistencia'!$E:$E, "07:00"), SUMIFS('👥 Asistencia'!$H:$H, '👥 Asistencia'!$B:$B, B445, '👥 Asistencia'!$E:$E, "20:00")), 0))</f>
        <v/>
      </c>
      <c r="F445" s="18"/>
      <c r="G445" s="18"/>
      <c r="H445" s="33" t="str">
        <f t="shared" si="12"/>
        <v/>
      </c>
      <c r="I445" s="30" t="str">
        <f t="shared" si="13"/>
        <v/>
      </c>
    </row>
    <row r="446" spans="2:9" ht="18" customHeight="1" x14ac:dyDescent="0.3">
      <c r="B446" s="26"/>
      <c r="C446" s="27"/>
      <c r="D446" s="30" t="str">
        <f>IF(B446="","",IF(COUNTIF('👥 Asistencia'!$B:$B, B446)&gt;0, IF(C446="DIA", COUNTIFS('👥 Asistencia'!$B:$B, B446, '👥 Asistencia'!$E:$E, "08:00") + COUNTIFS('👥 Asistencia'!$B:$B, B446, '👥 Asistencia'!$E:$E, "07:00"), COUNTIFS('👥 Asistencia'!$B:$B, B446, '👥 Asistencia'!$E:$E, "20:00")), 6))</f>
        <v/>
      </c>
      <c r="E446" s="34" t="str">
        <f>IF(B446="","",IF(COUNTIF('👥 Asistencia'!$B:$B, B446)&gt;0, IF(C446="DIA", SUMIFS('👥 Asistencia'!$H:$H, '👥 Asistencia'!$B:$B, B446, '👥 Asistencia'!$E:$E, "08:00") + SUMIFS('👥 Asistencia'!$H:$H, '👥 Asistencia'!$B:$B, B446, '👥 Asistencia'!$E:$E, "07:00"), SUMIFS('👥 Asistencia'!$H:$H, '👥 Asistencia'!$B:$B, B446, '👥 Asistencia'!$E:$E, "20:00")), 0))</f>
        <v/>
      </c>
      <c r="F446" s="29"/>
      <c r="G446" s="29"/>
      <c r="H446" s="33" t="str">
        <f t="shared" si="12"/>
        <v/>
      </c>
      <c r="I446" s="30" t="str">
        <f t="shared" si="13"/>
        <v/>
      </c>
    </row>
    <row r="447" spans="2:9" ht="18" customHeight="1" x14ac:dyDescent="0.3">
      <c r="B447" s="26"/>
      <c r="C447" s="27"/>
      <c r="D447" s="30" t="str">
        <f>IF(B447="","",IF(COUNTIF('👥 Asistencia'!$B:$B, B447)&gt;0, IF(C447="DIA", COUNTIFS('👥 Asistencia'!$B:$B, B447, '👥 Asistencia'!$E:$E, "08:00") + COUNTIFS('👥 Asistencia'!$B:$B, B447, '👥 Asistencia'!$E:$E, "07:00"), COUNTIFS('👥 Asistencia'!$B:$B, B447, '👥 Asistencia'!$E:$E, "20:00")), 6))</f>
        <v/>
      </c>
      <c r="E447" s="34" t="str">
        <f>IF(B447="","",IF(COUNTIF('👥 Asistencia'!$B:$B, B447)&gt;0, IF(C447="DIA", SUMIFS('👥 Asistencia'!$H:$H, '👥 Asistencia'!$B:$B, B447, '👥 Asistencia'!$E:$E, "08:00") + SUMIFS('👥 Asistencia'!$H:$H, '👥 Asistencia'!$B:$B, B447, '👥 Asistencia'!$E:$E, "07:00"), SUMIFS('👥 Asistencia'!$H:$H, '👥 Asistencia'!$B:$B, B447, '👥 Asistencia'!$E:$E, "20:00")), 0))</f>
        <v/>
      </c>
      <c r="F447" s="18"/>
      <c r="G447" s="18"/>
      <c r="H447" s="33" t="str">
        <f t="shared" si="12"/>
        <v/>
      </c>
      <c r="I447" s="30" t="str">
        <f t="shared" si="13"/>
        <v/>
      </c>
    </row>
    <row r="448" spans="2:9" ht="18" customHeight="1" x14ac:dyDescent="0.3">
      <c r="B448" s="26"/>
      <c r="C448" s="27"/>
      <c r="D448" s="30" t="str">
        <f>IF(B448="","",IF(COUNTIF('👥 Asistencia'!$B:$B, B448)&gt;0, IF(C448="DIA", COUNTIFS('👥 Asistencia'!$B:$B, B448, '👥 Asistencia'!$E:$E, "08:00") + COUNTIFS('👥 Asistencia'!$B:$B, B448, '👥 Asistencia'!$E:$E, "07:00"), COUNTIFS('👥 Asistencia'!$B:$B, B448, '👥 Asistencia'!$E:$E, "20:00")), 6))</f>
        <v/>
      </c>
      <c r="E448" s="34" t="str">
        <f>IF(B448="","",IF(COUNTIF('👥 Asistencia'!$B:$B, B448)&gt;0, IF(C448="DIA", SUMIFS('👥 Asistencia'!$H:$H, '👥 Asistencia'!$B:$B, B448, '👥 Asistencia'!$E:$E, "08:00") + SUMIFS('👥 Asistencia'!$H:$H, '👥 Asistencia'!$B:$B, B448, '👥 Asistencia'!$E:$E, "07:00"), SUMIFS('👥 Asistencia'!$H:$H, '👥 Asistencia'!$B:$B, B448, '👥 Asistencia'!$E:$E, "20:00")), 0))</f>
        <v/>
      </c>
      <c r="F448" s="29"/>
      <c r="G448" s="29"/>
      <c r="H448" s="33" t="str">
        <f t="shared" si="12"/>
        <v/>
      </c>
      <c r="I448" s="30" t="str">
        <f t="shared" si="13"/>
        <v/>
      </c>
    </row>
    <row r="449" spans="2:9" ht="18" customHeight="1" x14ac:dyDescent="0.3">
      <c r="B449" s="26"/>
      <c r="C449" s="27"/>
      <c r="D449" s="30" t="str">
        <f>IF(B449="","",IF(COUNTIF('👥 Asistencia'!$B:$B, B449)&gt;0, IF(C449="DIA", COUNTIFS('👥 Asistencia'!$B:$B, B449, '👥 Asistencia'!$E:$E, "08:00") + COUNTIFS('👥 Asistencia'!$B:$B, B449, '👥 Asistencia'!$E:$E, "07:00"), COUNTIFS('👥 Asistencia'!$B:$B, B449, '👥 Asistencia'!$E:$E, "20:00")), 6))</f>
        <v/>
      </c>
      <c r="E449" s="34" t="str">
        <f>IF(B449="","",IF(COUNTIF('👥 Asistencia'!$B:$B, B449)&gt;0, IF(C449="DIA", SUMIFS('👥 Asistencia'!$H:$H, '👥 Asistencia'!$B:$B, B449, '👥 Asistencia'!$E:$E, "08:00") + SUMIFS('👥 Asistencia'!$H:$H, '👥 Asistencia'!$B:$B, B449, '👥 Asistencia'!$E:$E, "07:00"), SUMIFS('👥 Asistencia'!$H:$H, '👥 Asistencia'!$B:$B, B449, '👥 Asistencia'!$E:$E, "20:00")), 0))</f>
        <v/>
      </c>
      <c r="F449" s="18"/>
      <c r="G449" s="18"/>
      <c r="H449" s="33" t="str">
        <f t="shared" si="12"/>
        <v/>
      </c>
      <c r="I449" s="30" t="str">
        <f t="shared" si="13"/>
        <v/>
      </c>
    </row>
    <row r="450" spans="2:9" ht="18" customHeight="1" x14ac:dyDescent="0.3">
      <c r="B450" s="26"/>
      <c r="C450" s="27"/>
      <c r="D450" s="30" t="str">
        <f>IF(B450="","",IF(COUNTIF('👥 Asistencia'!$B:$B, B450)&gt;0, IF(C450="DIA", COUNTIFS('👥 Asistencia'!$B:$B, B450, '👥 Asistencia'!$E:$E, "08:00") + COUNTIFS('👥 Asistencia'!$B:$B, B450, '👥 Asistencia'!$E:$E, "07:00"), COUNTIFS('👥 Asistencia'!$B:$B, B450, '👥 Asistencia'!$E:$E, "20:00")), 6))</f>
        <v/>
      </c>
      <c r="E450" s="34" t="str">
        <f>IF(B450="","",IF(COUNTIF('👥 Asistencia'!$B:$B, B450)&gt;0, IF(C450="DIA", SUMIFS('👥 Asistencia'!$H:$H, '👥 Asistencia'!$B:$B, B450, '👥 Asistencia'!$E:$E, "08:00") + SUMIFS('👥 Asistencia'!$H:$H, '👥 Asistencia'!$B:$B, B450, '👥 Asistencia'!$E:$E, "07:00"), SUMIFS('👥 Asistencia'!$H:$H, '👥 Asistencia'!$B:$B, B450, '👥 Asistencia'!$E:$E, "20:00")), 0))</f>
        <v/>
      </c>
      <c r="F450" s="29"/>
      <c r="G450" s="29"/>
      <c r="H450" s="33" t="str">
        <f t="shared" si="12"/>
        <v/>
      </c>
      <c r="I450" s="30" t="str">
        <f t="shared" si="13"/>
        <v/>
      </c>
    </row>
    <row r="451" spans="2:9" ht="18" customHeight="1" x14ac:dyDescent="0.3">
      <c r="B451" s="26"/>
      <c r="C451" s="27"/>
      <c r="D451" s="30" t="str">
        <f>IF(B451="","",IF(COUNTIF('👥 Asistencia'!$B:$B, B451)&gt;0, IF(C451="DIA", COUNTIFS('👥 Asistencia'!$B:$B, B451, '👥 Asistencia'!$E:$E, "08:00") + COUNTIFS('👥 Asistencia'!$B:$B, B451, '👥 Asistencia'!$E:$E, "07:00"), COUNTIFS('👥 Asistencia'!$B:$B, B451, '👥 Asistencia'!$E:$E, "20:00")), 6))</f>
        <v/>
      </c>
      <c r="E451" s="34" t="str">
        <f>IF(B451="","",IF(COUNTIF('👥 Asistencia'!$B:$B, B451)&gt;0, IF(C451="DIA", SUMIFS('👥 Asistencia'!$H:$H, '👥 Asistencia'!$B:$B, B451, '👥 Asistencia'!$E:$E, "08:00") + SUMIFS('👥 Asistencia'!$H:$H, '👥 Asistencia'!$B:$B, B451, '👥 Asistencia'!$E:$E, "07:00"), SUMIFS('👥 Asistencia'!$H:$H, '👥 Asistencia'!$B:$B, B451, '👥 Asistencia'!$E:$E, "20:00")), 0))</f>
        <v/>
      </c>
      <c r="F451" s="18"/>
      <c r="G451" s="18"/>
      <c r="H451" s="33" t="str">
        <f t="shared" si="12"/>
        <v/>
      </c>
      <c r="I451" s="30" t="str">
        <f t="shared" si="13"/>
        <v/>
      </c>
    </row>
    <row r="452" spans="2:9" ht="18" customHeight="1" x14ac:dyDescent="0.3">
      <c r="B452" s="26"/>
      <c r="C452" s="27"/>
      <c r="D452" s="30" t="str">
        <f>IF(B452="","",IF(COUNTIF('👥 Asistencia'!$B:$B, B452)&gt;0, IF(C452="DIA", COUNTIFS('👥 Asistencia'!$B:$B, B452, '👥 Asistencia'!$E:$E, "08:00") + COUNTIFS('👥 Asistencia'!$B:$B, B452, '👥 Asistencia'!$E:$E, "07:00"), COUNTIFS('👥 Asistencia'!$B:$B, B452, '👥 Asistencia'!$E:$E, "20:00")), 6))</f>
        <v/>
      </c>
      <c r="E452" s="34" t="str">
        <f>IF(B452="","",IF(COUNTIF('👥 Asistencia'!$B:$B, B452)&gt;0, IF(C452="DIA", SUMIFS('👥 Asistencia'!$H:$H, '👥 Asistencia'!$B:$B, B452, '👥 Asistencia'!$E:$E, "08:00") + SUMIFS('👥 Asistencia'!$H:$H, '👥 Asistencia'!$B:$B, B452, '👥 Asistencia'!$E:$E, "07:00"), SUMIFS('👥 Asistencia'!$H:$H, '👥 Asistencia'!$B:$B, B452, '👥 Asistencia'!$E:$E, "20:00")), 0))</f>
        <v/>
      </c>
      <c r="F452" s="29"/>
      <c r="G452" s="29"/>
      <c r="H452" s="33" t="str">
        <f t="shared" si="12"/>
        <v/>
      </c>
      <c r="I452" s="30" t="str">
        <f t="shared" si="13"/>
        <v/>
      </c>
    </row>
    <row r="453" spans="2:9" ht="18" customHeight="1" x14ac:dyDescent="0.3">
      <c r="B453" s="26"/>
      <c r="C453" s="27"/>
      <c r="D453" s="30" t="str">
        <f>IF(B453="","",IF(COUNTIF('👥 Asistencia'!$B:$B, B453)&gt;0, IF(C453="DIA", COUNTIFS('👥 Asistencia'!$B:$B, B453, '👥 Asistencia'!$E:$E, "08:00") + COUNTIFS('👥 Asistencia'!$B:$B, B453, '👥 Asistencia'!$E:$E, "07:00"), COUNTIFS('👥 Asistencia'!$B:$B, B453, '👥 Asistencia'!$E:$E, "20:00")), 6))</f>
        <v/>
      </c>
      <c r="E453" s="34" t="str">
        <f>IF(B453="","",IF(COUNTIF('👥 Asistencia'!$B:$B, B453)&gt;0, IF(C453="DIA", SUMIFS('👥 Asistencia'!$H:$H, '👥 Asistencia'!$B:$B, B453, '👥 Asistencia'!$E:$E, "08:00") + SUMIFS('👥 Asistencia'!$H:$H, '👥 Asistencia'!$B:$B, B453, '👥 Asistencia'!$E:$E, "07:00"), SUMIFS('👥 Asistencia'!$H:$H, '👥 Asistencia'!$B:$B, B453, '👥 Asistencia'!$E:$E, "20:00")), 0))</f>
        <v/>
      </c>
      <c r="F453" s="18"/>
      <c r="G453" s="18"/>
      <c r="H453" s="33" t="str">
        <f t="shared" ref="H453:H489" si="14">IF(B453="","",IF(ISNUMBER(B453),YEAR(B453)&amp;"-"&amp;IF(MONTH(B453)&lt;10,"0","")&amp;MONTH(B453),LEFT(B453,7)))</f>
        <v/>
      </c>
      <c r="I453" s="30" t="str">
        <f t="shared" ref="I453:I489" si="15">IF(B453="","",IF(N(F453)=0, 0, MAX(0, (F453/5) - N(G453))))</f>
        <v/>
      </c>
    </row>
    <row r="454" spans="2:9" ht="18" customHeight="1" x14ac:dyDescent="0.3">
      <c r="B454" s="26"/>
      <c r="C454" s="27"/>
      <c r="D454" s="30" t="str">
        <f>IF(B454="","",IF(COUNTIF('👥 Asistencia'!$B:$B, B454)&gt;0, IF(C454="DIA", COUNTIFS('👥 Asistencia'!$B:$B, B454, '👥 Asistencia'!$E:$E, "08:00") + COUNTIFS('👥 Asistencia'!$B:$B, B454, '👥 Asistencia'!$E:$E, "07:00"), COUNTIFS('👥 Asistencia'!$B:$B, B454, '👥 Asistencia'!$E:$E, "20:00")), 6))</f>
        <v/>
      </c>
      <c r="E454" s="34" t="str">
        <f>IF(B454="","",IF(COUNTIF('👥 Asistencia'!$B:$B, B454)&gt;0, IF(C454="DIA", SUMIFS('👥 Asistencia'!$H:$H, '👥 Asistencia'!$B:$B, B454, '👥 Asistencia'!$E:$E, "08:00") + SUMIFS('👥 Asistencia'!$H:$H, '👥 Asistencia'!$B:$B, B454, '👥 Asistencia'!$E:$E, "07:00"), SUMIFS('👥 Asistencia'!$H:$H, '👥 Asistencia'!$B:$B, B454, '👥 Asistencia'!$E:$E, "20:00")), 0))</f>
        <v/>
      </c>
      <c r="F454" s="29"/>
      <c r="G454" s="29"/>
      <c r="H454" s="33" t="str">
        <f t="shared" si="14"/>
        <v/>
      </c>
      <c r="I454" s="30" t="str">
        <f t="shared" si="15"/>
        <v/>
      </c>
    </row>
    <row r="455" spans="2:9" ht="18" customHeight="1" x14ac:dyDescent="0.3">
      <c r="B455" s="26"/>
      <c r="C455" s="27"/>
      <c r="D455" s="30" t="str">
        <f>IF(B455="","",IF(COUNTIF('👥 Asistencia'!$B:$B, B455)&gt;0, IF(C455="DIA", COUNTIFS('👥 Asistencia'!$B:$B, B455, '👥 Asistencia'!$E:$E, "08:00") + COUNTIFS('👥 Asistencia'!$B:$B, B455, '👥 Asistencia'!$E:$E, "07:00"), COUNTIFS('👥 Asistencia'!$B:$B, B455, '👥 Asistencia'!$E:$E, "20:00")), 6))</f>
        <v/>
      </c>
      <c r="E455" s="34" t="str">
        <f>IF(B455="","",IF(COUNTIF('👥 Asistencia'!$B:$B, B455)&gt;0, IF(C455="DIA", SUMIFS('👥 Asistencia'!$H:$H, '👥 Asistencia'!$B:$B, B455, '👥 Asistencia'!$E:$E, "08:00") + SUMIFS('👥 Asistencia'!$H:$H, '👥 Asistencia'!$B:$B, B455, '👥 Asistencia'!$E:$E, "07:00"), SUMIFS('👥 Asistencia'!$H:$H, '👥 Asistencia'!$B:$B, B455, '👥 Asistencia'!$E:$E, "20:00")), 0))</f>
        <v/>
      </c>
      <c r="F455" s="18"/>
      <c r="G455" s="18"/>
      <c r="H455" s="33" t="str">
        <f t="shared" si="14"/>
        <v/>
      </c>
      <c r="I455" s="30" t="str">
        <f t="shared" si="15"/>
        <v/>
      </c>
    </row>
    <row r="456" spans="2:9" ht="18" customHeight="1" x14ac:dyDescent="0.3">
      <c r="B456" s="26"/>
      <c r="C456" s="27"/>
      <c r="D456" s="30" t="str">
        <f>IF(B456="","",IF(COUNTIF('👥 Asistencia'!$B:$B, B456)&gt;0, IF(C456="DIA", COUNTIFS('👥 Asistencia'!$B:$B, B456, '👥 Asistencia'!$E:$E, "08:00") + COUNTIFS('👥 Asistencia'!$B:$B, B456, '👥 Asistencia'!$E:$E, "07:00"), COUNTIFS('👥 Asistencia'!$B:$B, B456, '👥 Asistencia'!$E:$E, "20:00")), 6))</f>
        <v/>
      </c>
      <c r="E456" s="34" t="str">
        <f>IF(B456="","",IF(COUNTIF('👥 Asistencia'!$B:$B, B456)&gt;0, IF(C456="DIA", SUMIFS('👥 Asistencia'!$H:$H, '👥 Asistencia'!$B:$B, B456, '👥 Asistencia'!$E:$E, "08:00") + SUMIFS('👥 Asistencia'!$H:$H, '👥 Asistencia'!$B:$B, B456, '👥 Asistencia'!$E:$E, "07:00"), SUMIFS('👥 Asistencia'!$H:$H, '👥 Asistencia'!$B:$B, B456, '👥 Asistencia'!$E:$E, "20:00")), 0))</f>
        <v/>
      </c>
      <c r="F456" s="29"/>
      <c r="G456" s="29"/>
      <c r="H456" s="33" t="str">
        <f t="shared" si="14"/>
        <v/>
      </c>
      <c r="I456" s="30" t="str">
        <f t="shared" si="15"/>
        <v/>
      </c>
    </row>
    <row r="457" spans="2:9" ht="18" customHeight="1" x14ac:dyDescent="0.3">
      <c r="B457" s="26"/>
      <c r="C457" s="27"/>
      <c r="D457" s="30" t="str">
        <f>IF(B457="","",IF(COUNTIF('👥 Asistencia'!$B:$B, B457)&gt;0, IF(C457="DIA", COUNTIFS('👥 Asistencia'!$B:$B, B457, '👥 Asistencia'!$E:$E, "08:00") + COUNTIFS('👥 Asistencia'!$B:$B, B457, '👥 Asistencia'!$E:$E, "07:00"), COUNTIFS('👥 Asistencia'!$B:$B, B457, '👥 Asistencia'!$E:$E, "20:00")), 6))</f>
        <v/>
      </c>
      <c r="E457" s="34" t="str">
        <f>IF(B457="","",IF(COUNTIF('👥 Asistencia'!$B:$B, B457)&gt;0, IF(C457="DIA", SUMIFS('👥 Asistencia'!$H:$H, '👥 Asistencia'!$B:$B, B457, '👥 Asistencia'!$E:$E, "08:00") + SUMIFS('👥 Asistencia'!$H:$H, '👥 Asistencia'!$B:$B, B457, '👥 Asistencia'!$E:$E, "07:00"), SUMIFS('👥 Asistencia'!$H:$H, '👥 Asistencia'!$B:$B, B457, '👥 Asistencia'!$E:$E, "20:00")), 0))</f>
        <v/>
      </c>
      <c r="F457" s="18"/>
      <c r="G457" s="18"/>
      <c r="H457" s="33" t="str">
        <f t="shared" si="14"/>
        <v/>
      </c>
      <c r="I457" s="30" t="str">
        <f t="shared" si="15"/>
        <v/>
      </c>
    </row>
    <row r="458" spans="2:9" ht="18" customHeight="1" x14ac:dyDescent="0.3">
      <c r="B458" s="26"/>
      <c r="C458" s="27"/>
      <c r="D458" s="30" t="str">
        <f>IF(B458="","",IF(COUNTIF('👥 Asistencia'!$B:$B, B458)&gt;0, IF(C458="DIA", COUNTIFS('👥 Asistencia'!$B:$B, B458, '👥 Asistencia'!$E:$E, "08:00") + COUNTIFS('👥 Asistencia'!$B:$B, B458, '👥 Asistencia'!$E:$E, "07:00"), COUNTIFS('👥 Asistencia'!$B:$B, B458, '👥 Asistencia'!$E:$E, "20:00")), 6))</f>
        <v/>
      </c>
      <c r="E458" s="34" t="str">
        <f>IF(B458="","",IF(COUNTIF('👥 Asistencia'!$B:$B, B458)&gt;0, IF(C458="DIA", SUMIFS('👥 Asistencia'!$H:$H, '👥 Asistencia'!$B:$B, B458, '👥 Asistencia'!$E:$E, "08:00") + SUMIFS('👥 Asistencia'!$H:$H, '👥 Asistencia'!$B:$B, B458, '👥 Asistencia'!$E:$E, "07:00"), SUMIFS('👥 Asistencia'!$H:$H, '👥 Asistencia'!$B:$B, B458, '👥 Asistencia'!$E:$E, "20:00")), 0))</f>
        <v/>
      </c>
      <c r="F458" s="29"/>
      <c r="G458" s="29"/>
      <c r="H458" s="33" t="str">
        <f t="shared" si="14"/>
        <v/>
      </c>
      <c r="I458" s="30" t="str">
        <f t="shared" si="15"/>
        <v/>
      </c>
    </row>
    <row r="459" spans="2:9" ht="18" customHeight="1" x14ac:dyDescent="0.3">
      <c r="B459" s="26"/>
      <c r="C459" s="27"/>
      <c r="D459" s="30" t="str">
        <f>IF(B459="","",IF(COUNTIF('👥 Asistencia'!$B:$B, B459)&gt;0, IF(C459="DIA", COUNTIFS('👥 Asistencia'!$B:$B, B459, '👥 Asistencia'!$E:$E, "08:00") + COUNTIFS('👥 Asistencia'!$B:$B, B459, '👥 Asistencia'!$E:$E, "07:00"), COUNTIFS('👥 Asistencia'!$B:$B, B459, '👥 Asistencia'!$E:$E, "20:00")), 6))</f>
        <v/>
      </c>
      <c r="E459" s="34" t="str">
        <f>IF(B459="","",IF(COUNTIF('👥 Asistencia'!$B:$B, B459)&gt;0, IF(C459="DIA", SUMIFS('👥 Asistencia'!$H:$H, '👥 Asistencia'!$B:$B, B459, '👥 Asistencia'!$E:$E, "08:00") + SUMIFS('👥 Asistencia'!$H:$H, '👥 Asistencia'!$B:$B, B459, '👥 Asistencia'!$E:$E, "07:00"), SUMIFS('👥 Asistencia'!$H:$H, '👥 Asistencia'!$B:$B, B459, '👥 Asistencia'!$E:$E, "20:00")), 0))</f>
        <v/>
      </c>
      <c r="F459" s="18"/>
      <c r="G459" s="18"/>
      <c r="H459" s="33" t="str">
        <f t="shared" si="14"/>
        <v/>
      </c>
      <c r="I459" s="30" t="str">
        <f t="shared" si="15"/>
        <v/>
      </c>
    </row>
    <row r="460" spans="2:9" ht="18" customHeight="1" x14ac:dyDescent="0.3">
      <c r="B460" s="26"/>
      <c r="C460" s="27"/>
      <c r="D460" s="30" t="str">
        <f>IF(B460="","",IF(COUNTIF('👥 Asistencia'!$B:$B, B460)&gt;0, IF(C460="DIA", COUNTIFS('👥 Asistencia'!$B:$B, B460, '👥 Asistencia'!$E:$E, "08:00") + COUNTIFS('👥 Asistencia'!$B:$B, B460, '👥 Asistencia'!$E:$E, "07:00"), COUNTIFS('👥 Asistencia'!$B:$B, B460, '👥 Asistencia'!$E:$E, "20:00")), 6))</f>
        <v/>
      </c>
      <c r="E460" s="34" t="str">
        <f>IF(B460="","",IF(COUNTIF('👥 Asistencia'!$B:$B, B460)&gt;0, IF(C460="DIA", SUMIFS('👥 Asistencia'!$H:$H, '👥 Asistencia'!$B:$B, B460, '👥 Asistencia'!$E:$E, "08:00") + SUMIFS('👥 Asistencia'!$H:$H, '👥 Asistencia'!$B:$B, B460, '👥 Asistencia'!$E:$E, "07:00"), SUMIFS('👥 Asistencia'!$H:$H, '👥 Asistencia'!$B:$B, B460, '👥 Asistencia'!$E:$E, "20:00")), 0))</f>
        <v/>
      </c>
      <c r="F460" s="29"/>
      <c r="G460" s="29"/>
      <c r="H460" s="33" t="str">
        <f t="shared" si="14"/>
        <v/>
      </c>
      <c r="I460" s="30" t="str">
        <f t="shared" si="15"/>
        <v/>
      </c>
    </row>
    <row r="461" spans="2:9" ht="18" customHeight="1" x14ac:dyDescent="0.3">
      <c r="B461" s="26"/>
      <c r="C461" s="27"/>
      <c r="D461" s="30" t="str">
        <f>IF(B461="","",IF(COUNTIF('👥 Asistencia'!$B:$B, B461)&gt;0, IF(C461="DIA", COUNTIFS('👥 Asistencia'!$B:$B, B461, '👥 Asistencia'!$E:$E, "08:00") + COUNTIFS('👥 Asistencia'!$B:$B, B461, '👥 Asistencia'!$E:$E, "07:00"), COUNTIFS('👥 Asistencia'!$B:$B, B461, '👥 Asistencia'!$E:$E, "20:00")), 6))</f>
        <v/>
      </c>
      <c r="E461" s="34" t="str">
        <f>IF(B461="","",IF(COUNTIF('👥 Asistencia'!$B:$B, B461)&gt;0, IF(C461="DIA", SUMIFS('👥 Asistencia'!$H:$H, '👥 Asistencia'!$B:$B, B461, '👥 Asistencia'!$E:$E, "08:00") + SUMIFS('👥 Asistencia'!$H:$H, '👥 Asistencia'!$B:$B, B461, '👥 Asistencia'!$E:$E, "07:00"), SUMIFS('👥 Asistencia'!$H:$H, '👥 Asistencia'!$B:$B, B461, '👥 Asistencia'!$E:$E, "20:00")), 0))</f>
        <v/>
      </c>
      <c r="F461" s="18"/>
      <c r="G461" s="18"/>
      <c r="H461" s="33" t="str">
        <f t="shared" si="14"/>
        <v/>
      </c>
      <c r="I461" s="30" t="str">
        <f t="shared" si="15"/>
        <v/>
      </c>
    </row>
    <row r="462" spans="2:9" ht="18" customHeight="1" x14ac:dyDescent="0.3">
      <c r="B462" s="26"/>
      <c r="C462" s="27"/>
      <c r="D462" s="30" t="str">
        <f>IF(B462="","",IF(COUNTIF('👥 Asistencia'!$B:$B, B462)&gt;0, IF(C462="DIA", COUNTIFS('👥 Asistencia'!$B:$B, B462, '👥 Asistencia'!$E:$E, "08:00") + COUNTIFS('👥 Asistencia'!$B:$B, B462, '👥 Asistencia'!$E:$E, "07:00"), COUNTIFS('👥 Asistencia'!$B:$B, B462, '👥 Asistencia'!$E:$E, "20:00")), 6))</f>
        <v/>
      </c>
      <c r="E462" s="34" t="str">
        <f>IF(B462="","",IF(COUNTIF('👥 Asistencia'!$B:$B, B462)&gt;0, IF(C462="DIA", SUMIFS('👥 Asistencia'!$H:$H, '👥 Asistencia'!$B:$B, B462, '👥 Asistencia'!$E:$E, "08:00") + SUMIFS('👥 Asistencia'!$H:$H, '👥 Asistencia'!$B:$B, B462, '👥 Asistencia'!$E:$E, "07:00"), SUMIFS('👥 Asistencia'!$H:$H, '👥 Asistencia'!$B:$B, B462, '👥 Asistencia'!$E:$E, "20:00")), 0))</f>
        <v/>
      </c>
      <c r="F462" s="29"/>
      <c r="G462" s="29"/>
      <c r="H462" s="33" t="str">
        <f t="shared" si="14"/>
        <v/>
      </c>
      <c r="I462" s="30" t="str">
        <f t="shared" si="15"/>
        <v/>
      </c>
    </row>
    <row r="463" spans="2:9" ht="18" customHeight="1" x14ac:dyDescent="0.3">
      <c r="B463" s="26"/>
      <c r="C463" s="27"/>
      <c r="D463" s="30" t="str">
        <f>IF(B463="","",IF(COUNTIF('👥 Asistencia'!$B:$B, B463)&gt;0, IF(C463="DIA", COUNTIFS('👥 Asistencia'!$B:$B, B463, '👥 Asistencia'!$E:$E, "08:00") + COUNTIFS('👥 Asistencia'!$B:$B, B463, '👥 Asistencia'!$E:$E, "07:00"), COUNTIFS('👥 Asistencia'!$B:$B, B463, '👥 Asistencia'!$E:$E, "20:00")), 6))</f>
        <v/>
      </c>
      <c r="E463" s="34" t="str">
        <f>IF(B463="","",IF(COUNTIF('👥 Asistencia'!$B:$B, B463)&gt;0, IF(C463="DIA", SUMIFS('👥 Asistencia'!$H:$H, '👥 Asistencia'!$B:$B, B463, '👥 Asistencia'!$E:$E, "08:00") + SUMIFS('👥 Asistencia'!$H:$H, '👥 Asistencia'!$B:$B, B463, '👥 Asistencia'!$E:$E, "07:00"), SUMIFS('👥 Asistencia'!$H:$H, '👥 Asistencia'!$B:$B, B463, '👥 Asistencia'!$E:$E, "20:00")), 0))</f>
        <v/>
      </c>
      <c r="F463" s="18"/>
      <c r="G463" s="18"/>
      <c r="H463" s="33" t="str">
        <f t="shared" si="14"/>
        <v/>
      </c>
      <c r="I463" s="30" t="str">
        <f t="shared" si="15"/>
        <v/>
      </c>
    </row>
    <row r="464" spans="2:9" ht="18" customHeight="1" x14ac:dyDescent="0.3">
      <c r="B464" s="26"/>
      <c r="C464" s="27"/>
      <c r="D464" s="30" t="str">
        <f>IF(B464="","",IF(COUNTIF('👥 Asistencia'!$B:$B, B464)&gt;0, IF(C464="DIA", COUNTIFS('👥 Asistencia'!$B:$B, B464, '👥 Asistencia'!$E:$E, "08:00") + COUNTIFS('👥 Asistencia'!$B:$B, B464, '👥 Asistencia'!$E:$E, "07:00"), COUNTIFS('👥 Asistencia'!$B:$B, B464, '👥 Asistencia'!$E:$E, "20:00")), 6))</f>
        <v/>
      </c>
      <c r="E464" s="34" t="str">
        <f>IF(B464="","",IF(COUNTIF('👥 Asistencia'!$B:$B, B464)&gt;0, IF(C464="DIA", SUMIFS('👥 Asistencia'!$H:$H, '👥 Asistencia'!$B:$B, B464, '👥 Asistencia'!$E:$E, "08:00") + SUMIFS('👥 Asistencia'!$H:$H, '👥 Asistencia'!$B:$B, B464, '👥 Asistencia'!$E:$E, "07:00"), SUMIFS('👥 Asistencia'!$H:$H, '👥 Asistencia'!$B:$B, B464, '👥 Asistencia'!$E:$E, "20:00")), 0))</f>
        <v/>
      </c>
      <c r="F464" s="29"/>
      <c r="G464" s="29"/>
      <c r="H464" s="33" t="str">
        <f t="shared" si="14"/>
        <v/>
      </c>
      <c r="I464" s="30" t="str">
        <f t="shared" si="15"/>
        <v/>
      </c>
    </row>
    <row r="465" spans="2:9" ht="18" customHeight="1" x14ac:dyDescent="0.3">
      <c r="B465" s="26"/>
      <c r="C465" s="27"/>
      <c r="D465" s="30" t="str">
        <f>IF(B465="","",IF(COUNTIF('👥 Asistencia'!$B:$B, B465)&gt;0, IF(C465="DIA", COUNTIFS('👥 Asistencia'!$B:$B, B465, '👥 Asistencia'!$E:$E, "08:00") + COUNTIFS('👥 Asistencia'!$B:$B, B465, '👥 Asistencia'!$E:$E, "07:00"), COUNTIFS('👥 Asistencia'!$B:$B, B465, '👥 Asistencia'!$E:$E, "20:00")), 6))</f>
        <v/>
      </c>
      <c r="E465" s="34" t="str">
        <f>IF(B465="","",IF(COUNTIF('👥 Asistencia'!$B:$B, B465)&gt;0, IF(C465="DIA", SUMIFS('👥 Asistencia'!$H:$H, '👥 Asistencia'!$B:$B, B465, '👥 Asistencia'!$E:$E, "08:00") + SUMIFS('👥 Asistencia'!$H:$H, '👥 Asistencia'!$B:$B, B465, '👥 Asistencia'!$E:$E, "07:00"), SUMIFS('👥 Asistencia'!$H:$H, '👥 Asistencia'!$B:$B, B465, '👥 Asistencia'!$E:$E, "20:00")), 0))</f>
        <v/>
      </c>
      <c r="F465" s="18"/>
      <c r="G465" s="18"/>
      <c r="H465" s="33" t="str">
        <f t="shared" si="14"/>
        <v/>
      </c>
      <c r="I465" s="30" t="str">
        <f t="shared" si="15"/>
        <v/>
      </c>
    </row>
    <row r="466" spans="2:9" ht="18" customHeight="1" x14ac:dyDescent="0.3">
      <c r="B466" s="26"/>
      <c r="C466" s="27"/>
      <c r="D466" s="30" t="str">
        <f>IF(B466="","",IF(COUNTIF('👥 Asistencia'!$B:$B, B466)&gt;0, IF(C466="DIA", COUNTIFS('👥 Asistencia'!$B:$B, B466, '👥 Asistencia'!$E:$E, "08:00") + COUNTIFS('👥 Asistencia'!$B:$B, B466, '👥 Asistencia'!$E:$E, "07:00"), COUNTIFS('👥 Asistencia'!$B:$B, B466, '👥 Asistencia'!$E:$E, "20:00")), 6))</f>
        <v/>
      </c>
      <c r="E466" s="34" t="str">
        <f>IF(B466="","",IF(COUNTIF('👥 Asistencia'!$B:$B, B466)&gt;0, IF(C466="DIA", SUMIFS('👥 Asistencia'!$H:$H, '👥 Asistencia'!$B:$B, B466, '👥 Asistencia'!$E:$E, "08:00") + SUMIFS('👥 Asistencia'!$H:$H, '👥 Asistencia'!$B:$B, B466, '👥 Asistencia'!$E:$E, "07:00"), SUMIFS('👥 Asistencia'!$H:$H, '👥 Asistencia'!$B:$B, B466, '👥 Asistencia'!$E:$E, "20:00")), 0))</f>
        <v/>
      </c>
      <c r="F466" s="29"/>
      <c r="G466" s="29"/>
      <c r="H466" s="33" t="str">
        <f t="shared" si="14"/>
        <v/>
      </c>
      <c r="I466" s="30" t="str">
        <f t="shared" si="15"/>
        <v/>
      </c>
    </row>
    <row r="467" spans="2:9" ht="18" customHeight="1" x14ac:dyDescent="0.3">
      <c r="B467" s="26"/>
      <c r="C467" s="27"/>
      <c r="D467" s="30" t="str">
        <f>IF(B467="","",IF(COUNTIF('👥 Asistencia'!$B:$B, B467)&gt;0, IF(C467="DIA", COUNTIFS('👥 Asistencia'!$B:$B, B467, '👥 Asistencia'!$E:$E, "08:00") + COUNTIFS('👥 Asistencia'!$B:$B, B467, '👥 Asistencia'!$E:$E, "07:00"), COUNTIFS('👥 Asistencia'!$B:$B, B467, '👥 Asistencia'!$E:$E, "20:00")), 6))</f>
        <v/>
      </c>
      <c r="E467" s="34" t="str">
        <f>IF(B467="","",IF(COUNTIF('👥 Asistencia'!$B:$B, B467)&gt;0, IF(C467="DIA", SUMIFS('👥 Asistencia'!$H:$H, '👥 Asistencia'!$B:$B, B467, '👥 Asistencia'!$E:$E, "08:00") + SUMIFS('👥 Asistencia'!$H:$H, '👥 Asistencia'!$B:$B, B467, '👥 Asistencia'!$E:$E, "07:00"), SUMIFS('👥 Asistencia'!$H:$H, '👥 Asistencia'!$B:$B, B467, '👥 Asistencia'!$E:$E, "20:00")), 0))</f>
        <v/>
      </c>
      <c r="F467" s="18"/>
      <c r="G467" s="18"/>
      <c r="H467" s="33" t="str">
        <f t="shared" si="14"/>
        <v/>
      </c>
      <c r="I467" s="30" t="str">
        <f t="shared" si="15"/>
        <v/>
      </c>
    </row>
    <row r="468" spans="2:9" ht="18" customHeight="1" x14ac:dyDescent="0.3">
      <c r="B468" s="26"/>
      <c r="C468" s="27"/>
      <c r="D468" s="30" t="str">
        <f>IF(B468="","",IF(COUNTIF('👥 Asistencia'!$B:$B, B468)&gt;0, IF(C468="DIA", COUNTIFS('👥 Asistencia'!$B:$B, B468, '👥 Asistencia'!$E:$E, "08:00") + COUNTIFS('👥 Asistencia'!$B:$B, B468, '👥 Asistencia'!$E:$E, "07:00"), COUNTIFS('👥 Asistencia'!$B:$B, B468, '👥 Asistencia'!$E:$E, "20:00")), 6))</f>
        <v/>
      </c>
      <c r="E468" s="34" t="str">
        <f>IF(B468="","",IF(COUNTIF('👥 Asistencia'!$B:$B, B468)&gt;0, IF(C468="DIA", SUMIFS('👥 Asistencia'!$H:$H, '👥 Asistencia'!$B:$B, B468, '👥 Asistencia'!$E:$E, "08:00") + SUMIFS('👥 Asistencia'!$H:$H, '👥 Asistencia'!$B:$B, B468, '👥 Asistencia'!$E:$E, "07:00"), SUMIFS('👥 Asistencia'!$H:$H, '👥 Asistencia'!$B:$B, B468, '👥 Asistencia'!$E:$E, "20:00")), 0))</f>
        <v/>
      </c>
      <c r="F468" s="29"/>
      <c r="G468" s="29"/>
      <c r="H468" s="33" t="str">
        <f t="shared" si="14"/>
        <v/>
      </c>
      <c r="I468" s="30" t="str">
        <f t="shared" si="15"/>
        <v/>
      </c>
    </row>
    <row r="469" spans="2:9" ht="18" customHeight="1" x14ac:dyDescent="0.3">
      <c r="B469" s="26"/>
      <c r="C469" s="27"/>
      <c r="D469" s="30" t="str">
        <f>IF(B469="","",IF(COUNTIF('👥 Asistencia'!$B:$B, B469)&gt;0, IF(C469="DIA", COUNTIFS('👥 Asistencia'!$B:$B, B469, '👥 Asistencia'!$E:$E, "08:00") + COUNTIFS('👥 Asistencia'!$B:$B, B469, '👥 Asistencia'!$E:$E, "07:00"), COUNTIFS('👥 Asistencia'!$B:$B, B469, '👥 Asistencia'!$E:$E, "20:00")), 6))</f>
        <v/>
      </c>
      <c r="E469" s="34" t="str">
        <f>IF(B469="","",IF(COUNTIF('👥 Asistencia'!$B:$B, B469)&gt;0, IF(C469="DIA", SUMIFS('👥 Asistencia'!$H:$H, '👥 Asistencia'!$B:$B, B469, '👥 Asistencia'!$E:$E, "08:00") + SUMIFS('👥 Asistencia'!$H:$H, '👥 Asistencia'!$B:$B, B469, '👥 Asistencia'!$E:$E, "07:00"), SUMIFS('👥 Asistencia'!$H:$H, '👥 Asistencia'!$B:$B, B469, '👥 Asistencia'!$E:$E, "20:00")), 0))</f>
        <v/>
      </c>
      <c r="F469" s="18"/>
      <c r="G469" s="18"/>
      <c r="H469" s="33" t="str">
        <f t="shared" si="14"/>
        <v/>
      </c>
      <c r="I469" s="30" t="str">
        <f t="shared" si="15"/>
        <v/>
      </c>
    </row>
    <row r="470" spans="2:9" ht="18" customHeight="1" x14ac:dyDescent="0.3">
      <c r="B470" s="26"/>
      <c r="C470" s="27"/>
      <c r="D470" s="30" t="str">
        <f>IF(B470="","",IF(COUNTIF('👥 Asistencia'!$B:$B, B470)&gt;0, IF(C470="DIA", COUNTIFS('👥 Asistencia'!$B:$B, B470, '👥 Asistencia'!$E:$E, "08:00") + COUNTIFS('👥 Asistencia'!$B:$B, B470, '👥 Asistencia'!$E:$E, "07:00"), COUNTIFS('👥 Asistencia'!$B:$B, B470, '👥 Asistencia'!$E:$E, "20:00")), 6))</f>
        <v/>
      </c>
      <c r="E470" s="34" t="str">
        <f>IF(B470="","",IF(COUNTIF('👥 Asistencia'!$B:$B, B470)&gt;0, IF(C470="DIA", SUMIFS('👥 Asistencia'!$H:$H, '👥 Asistencia'!$B:$B, B470, '👥 Asistencia'!$E:$E, "08:00") + SUMIFS('👥 Asistencia'!$H:$H, '👥 Asistencia'!$B:$B, B470, '👥 Asistencia'!$E:$E, "07:00"), SUMIFS('👥 Asistencia'!$H:$H, '👥 Asistencia'!$B:$B, B470, '👥 Asistencia'!$E:$E, "20:00")), 0))</f>
        <v/>
      </c>
      <c r="F470" s="29"/>
      <c r="G470" s="29"/>
      <c r="H470" s="33" t="str">
        <f t="shared" si="14"/>
        <v/>
      </c>
      <c r="I470" s="30" t="str">
        <f t="shared" si="15"/>
        <v/>
      </c>
    </row>
    <row r="471" spans="2:9" ht="18" customHeight="1" x14ac:dyDescent="0.3">
      <c r="B471" s="26"/>
      <c r="C471" s="27"/>
      <c r="D471" s="30" t="str">
        <f>IF(B471="","",IF(COUNTIF('👥 Asistencia'!$B:$B, B471)&gt;0, IF(C471="DIA", COUNTIFS('👥 Asistencia'!$B:$B, B471, '👥 Asistencia'!$E:$E, "08:00") + COUNTIFS('👥 Asistencia'!$B:$B, B471, '👥 Asistencia'!$E:$E, "07:00"), COUNTIFS('👥 Asistencia'!$B:$B, B471, '👥 Asistencia'!$E:$E, "20:00")), 6))</f>
        <v/>
      </c>
      <c r="E471" s="34" t="str">
        <f>IF(B471="","",IF(COUNTIF('👥 Asistencia'!$B:$B, B471)&gt;0, IF(C471="DIA", SUMIFS('👥 Asistencia'!$H:$H, '👥 Asistencia'!$B:$B, B471, '👥 Asistencia'!$E:$E, "08:00") + SUMIFS('👥 Asistencia'!$H:$H, '👥 Asistencia'!$B:$B, B471, '👥 Asistencia'!$E:$E, "07:00"), SUMIFS('👥 Asistencia'!$H:$H, '👥 Asistencia'!$B:$B, B471, '👥 Asistencia'!$E:$E, "20:00")), 0))</f>
        <v/>
      </c>
      <c r="F471" s="18"/>
      <c r="G471" s="18"/>
      <c r="H471" s="33" t="str">
        <f t="shared" si="14"/>
        <v/>
      </c>
      <c r="I471" s="30" t="str">
        <f t="shared" si="15"/>
        <v/>
      </c>
    </row>
    <row r="472" spans="2:9" ht="18" customHeight="1" x14ac:dyDescent="0.3">
      <c r="B472" s="26"/>
      <c r="C472" s="27"/>
      <c r="D472" s="30" t="str">
        <f>IF(B472="","",IF(COUNTIF('👥 Asistencia'!$B:$B, B472)&gt;0, IF(C472="DIA", COUNTIFS('👥 Asistencia'!$B:$B, B472, '👥 Asistencia'!$E:$E, "08:00") + COUNTIFS('👥 Asistencia'!$B:$B, B472, '👥 Asistencia'!$E:$E, "07:00"), COUNTIFS('👥 Asistencia'!$B:$B, B472, '👥 Asistencia'!$E:$E, "20:00")), 6))</f>
        <v/>
      </c>
      <c r="E472" s="34" t="str">
        <f>IF(B472="","",IF(COUNTIF('👥 Asistencia'!$B:$B, B472)&gt;0, IF(C472="DIA", SUMIFS('👥 Asistencia'!$H:$H, '👥 Asistencia'!$B:$B, B472, '👥 Asistencia'!$E:$E, "08:00") + SUMIFS('👥 Asistencia'!$H:$H, '👥 Asistencia'!$B:$B, B472, '👥 Asistencia'!$E:$E, "07:00"), SUMIFS('👥 Asistencia'!$H:$H, '👥 Asistencia'!$B:$B, B472, '👥 Asistencia'!$E:$E, "20:00")), 0))</f>
        <v/>
      </c>
      <c r="F472" s="29"/>
      <c r="G472" s="29"/>
      <c r="H472" s="33" t="str">
        <f t="shared" si="14"/>
        <v/>
      </c>
      <c r="I472" s="30" t="str">
        <f t="shared" si="15"/>
        <v/>
      </c>
    </row>
    <row r="473" spans="2:9" ht="18" customHeight="1" x14ac:dyDescent="0.3">
      <c r="B473" s="26"/>
      <c r="C473" s="27"/>
      <c r="D473" s="30" t="str">
        <f>IF(B473="","",IF(COUNTIF('👥 Asistencia'!$B:$B, B473)&gt;0, IF(C473="DIA", COUNTIFS('👥 Asistencia'!$B:$B, B473, '👥 Asistencia'!$E:$E, "08:00") + COUNTIFS('👥 Asistencia'!$B:$B, B473, '👥 Asistencia'!$E:$E, "07:00"), COUNTIFS('👥 Asistencia'!$B:$B, B473, '👥 Asistencia'!$E:$E, "20:00")), 6))</f>
        <v/>
      </c>
      <c r="E473" s="34" t="str">
        <f>IF(B473="","",IF(COUNTIF('👥 Asistencia'!$B:$B, B473)&gt;0, IF(C473="DIA", SUMIFS('👥 Asistencia'!$H:$H, '👥 Asistencia'!$B:$B, B473, '👥 Asistencia'!$E:$E, "08:00") + SUMIFS('👥 Asistencia'!$H:$H, '👥 Asistencia'!$B:$B, B473, '👥 Asistencia'!$E:$E, "07:00"), SUMIFS('👥 Asistencia'!$H:$H, '👥 Asistencia'!$B:$B, B473, '👥 Asistencia'!$E:$E, "20:00")), 0))</f>
        <v/>
      </c>
      <c r="F473" s="18"/>
      <c r="G473" s="18"/>
      <c r="H473" s="33" t="str">
        <f t="shared" si="14"/>
        <v/>
      </c>
      <c r="I473" s="30" t="str">
        <f t="shared" si="15"/>
        <v/>
      </c>
    </row>
    <row r="474" spans="2:9" ht="18" customHeight="1" x14ac:dyDescent="0.3">
      <c r="B474" s="26"/>
      <c r="C474" s="27"/>
      <c r="D474" s="30" t="str">
        <f>IF(B474="","",IF(COUNTIF('👥 Asistencia'!$B:$B, B474)&gt;0, IF(C474="DIA", COUNTIFS('👥 Asistencia'!$B:$B, B474, '👥 Asistencia'!$E:$E, "08:00") + COUNTIFS('👥 Asistencia'!$B:$B, B474, '👥 Asistencia'!$E:$E, "07:00"), COUNTIFS('👥 Asistencia'!$B:$B, B474, '👥 Asistencia'!$E:$E, "20:00")), 6))</f>
        <v/>
      </c>
      <c r="E474" s="34" t="str">
        <f>IF(B474="","",IF(COUNTIF('👥 Asistencia'!$B:$B, B474)&gt;0, IF(C474="DIA", SUMIFS('👥 Asistencia'!$H:$H, '👥 Asistencia'!$B:$B, B474, '👥 Asistencia'!$E:$E, "08:00") + SUMIFS('👥 Asistencia'!$H:$H, '👥 Asistencia'!$B:$B, B474, '👥 Asistencia'!$E:$E, "07:00"), SUMIFS('👥 Asistencia'!$H:$H, '👥 Asistencia'!$B:$B, B474, '👥 Asistencia'!$E:$E, "20:00")), 0))</f>
        <v/>
      </c>
      <c r="F474" s="29"/>
      <c r="G474" s="29"/>
      <c r="H474" s="33" t="str">
        <f t="shared" si="14"/>
        <v/>
      </c>
      <c r="I474" s="30" t="str">
        <f t="shared" si="15"/>
        <v/>
      </c>
    </row>
    <row r="475" spans="2:9" ht="18" customHeight="1" x14ac:dyDescent="0.3">
      <c r="B475" s="26"/>
      <c r="C475" s="27"/>
      <c r="D475" s="30" t="str">
        <f>IF(B475="","",IF(COUNTIF('👥 Asistencia'!$B:$B, B475)&gt;0, IF(C475="DIA", COUNTIFS('👥 Asistencia'!$B:$B, B475, '👥 Asistencia'!$E:$E, "08:00") + COUNTIFS('👥 Asistencia'!$B:$B, B475, '👥 Asistencia'!$E:$E, "07:00"), COUNTIFS('👥 Asistencia'!$B:$B, B475, '👥 Asistencia'!$E:$E, "20:00")), 6))</f>
        <v/>
      </c>
      <c r="E475" s="34" t="str">
        <f>IF(B475="","",IF(COUNTIF('👥 Asistencia'!$B:$B, B475)&gt;0, IF(C475="DIA", SUMIFS('👥 Asistencia'!$H:$H, '👥 Asistencia'!$B:$B, B475, '👥 Asistencia'!$E:$E, "08:00") + SUMIFS('👥 Asistencia'!$H:$H, '👥 Asistencia'!$B:$B, B475, '👥 Asistencia'!$E:$E, "07:00"), SUMIFS('👥 Asistencia'!$H:$H, '👥 Asistencia'!$B:$B, B475, '👥 Asistencia'!$E:$E, "20:00")), 0))</f>
        <v/>
      </c>
      <c r="F475" s="18"/>
      <c r="G475" s="18"/>
      <c r="H475" s="33" t="str">
        <f t="shared" si="14"/>
        <v/>
      </c>
      <c r="I475" s="30" t="str">
        <f t="shared" si="15"/>
        <v/>
      </c>
    </row>
    <row r="476" spans="2:9" ht="18" customHeight="1" x14ac:dyDescent="0.3">
      <c r="B476" s="26"/>
      <c r="C476" s="27"/>
      <c r="D476" s="30" t="str">
        <f>IF(B476="","",IF(COUNTIF('👥 Asistencia'!$B:$B, B476)&gt;0, IF(C476="DIA", COUNTIFS('👥 Asistencia'!$B:$B, B476, '👥 Asistencia'!$E:$E, "08:00") + COUNTIFS('👥 Asistencia'!$B:$B, B476, '👥 Asistencia'!$E:$E, "07:00"), COUNTIFS('👥 Asistencia'!$B:$B, B476, '👥 Asistencia'!$E:$E, "20:00")), 6))</f>
        <v/>
      </c>
      <c r="E476" s="34" t="str">
        <f>IF(B476="","",IF(COUNTIF('👥 Asistencia'!$B:$B, B476)&gt;0, IF(C476="DIA", SUMIFS('👥 Asistencia'!$H:$H, '👥 Asistencia'!$B:$B, B476, '👥 Asistencia'!$E:$E, "08:00") + SUMIFS('👥 Asistencia'!$H:$H, '👥 Asistencia'!$B:$B, B476, '👥 Asistencia'!$E:$E, "07:00"), SUMIFS('👥 Asistencia'!$H:$H, '👥 Asistencia'!$B:$B, B476, '👥 Asistencia'!$E:$E, "20:00")), 0))</f>
        <v/>
      </c>
      <c r="F476" s="29"/>
      <c r="G476" s="29"/>
      <c r="H476" s="33" t="str">
        <f t="shared" si="14"/>
        <v/>
      </c>
      <c r="I476" s="30" t="str">
        <f t="shared" si="15"/>
        <v/>
      </c>
    </row>
    <row r="477" spans="2:9" ht="18" customHeight="1" x14ac:dyDescent="0.3">
      <c r="B477" s="26"/>
      <c r="C477" s="27"/>
      <c r="D477" s="30" t="str">
        <f>IF(B477="","",IF(COUNTIF('👥 Asistencia'!$B:$B, B477)&gt;0, IF(C477="DIA", COUNTIFS('👥 Asistencia'!$B:$B, B477, '👥 Asistencia'!$E:$E, "08:00") + COUNTIFS('👥 Asistencia'!$B:$B, B477, '👥 Asistencia'!$E:$E, "07:00"), COUNTIFS('👥 Asistencia'!$B:$B, B477, '👥 Asistencia'!$E:$E, "20:00")), 6))</f>
        <v/>
      </c>
      <c r="E477" s="34" t="str">
        <f>IF(B477="","",IF(COUNTIF('👥 Asistencia'!$B:$B, B477)&gt;0, IF(C477="DIA", SUMIFS('👥 Asistencia'!$H:$H, '👥 Asistencia'!$B:$B, B477, '👥 Asistencia'!$E:$E, "08:00") + SUMIFS('👥 Asistencia'!$H:$H, '👥 Asistencia'!$B:$B, B477, '👥 Asistencia'!$E:$E, "07:00"), SUMIFS('👥 Asistencia'!$H:$H, '👥 Asistencia'!$B:$B, B477, '👥 Asistencia'!$E:$E, "20:00")), 0))</f>
        <v/>
      </c>
      <c r="F477" s="18"/>
      <c r="G477" s="18"/>
      <c r="H477" s="33" t="str">
        <f t="shared" si="14"/>
        <v/>
      </c>
      <c r="I477" s="30" t="str">
        <f t="shared" si="15"/>
        <v/>
      </c>
    </row>
    <row r="478" spans="2:9" ht="18" customHeight="1" x14ac:dyDescent="0.3">
      <c r="B478" s="26"/>
      <c r="C478" s="27"/>
      <c r="D478" s="30" t="str">
        <f>IF(B478="","",IF(COUNTIF('👥 Asistencia'!$B:$B, B478)&gt;0, IF(C478="DIA", COUNTIFS('👥 Asistencia'!$B:$B, B478, '👥 Asistencia'!$E:$E, "08:00") + COUNTIFS('👥 Asistencia'!$B:$B, B478, '👥 Asistencia'!$E:$E, "07:00"), COUNTIFS('👥 Asistencia'!$B:$B, B478, '👥 Asistencia'!$E:$E, "20:00")), 6))</f>
        <v/>
      </c>
      <c r="E478" s="34" t="str">
        <f>IF(B478="","",IF(COUNTIF('👥 Asistencia'!$B:$B, B478)&gt;0, IF(C478="DIA", SUMIFS('👥 Asistencia'!$H:$H, '👥 Asistencia'!$B:$B, B478, '👥 Asistencia'!$E:$E, "08:00") + SUMIFS('👥 Asistencia'!$H:$H, '👥 Asistencia'!$B:$B, B478, '👥 Asistencia'!$E:$E, "07:00"), SUMIFS('👥 Asistencia'!$H:$H, '👥 Asistencia'!$B:$B, B478, '👥 Asistencia'!$E:$E, "20:00")), 0))</f>
        <v/>
      </c>
      <c r="F478" s="29"/>
      <c r="G478" s="29"/>
      <c r="H478" s="33" t="str">
        <f t="shared" si="14"/>
        <v/>
      </c>
      <c r="I478" s="30" t="str">
        <f t="shared" si="15"/>
        <v/>
      </c>
    </row>
    <row r="479" spans="2:9" ht="18" customHeight="1" x14ac:dyDescent="0.3">
      <c r="B479" s="26"/>
      <c r="C479" s="27"/>
      <c r="D479" s="30" t="str">
        <f>IF(B479="","",IF(COUNTIF('👥 Asistencia'!$B:$B, B479)&gt;0, IF(C479="DIA", COUNTIFS('👥 Asistencia'!$B:$B, B479, '👥 Asistencia'!$E:$E, "08:00") + COUNTIFS('👥 Asistencia'!$B:$B, B479, '👥 Asistencia'!$E:$E, "07:00"), COUNTIFS('👥 Asistencia'!$B:$B, B479, '👥 Asistencia'!$E:$E, "20:00")), 6))</f>
        <v/>
      </c>
      <c r="E479" s="34" t="str">
        <f>IF(B479="","",IF(COUNTIF('👥 Asistencia'!$B:$B, B479)&gt;0, IF(C479="DIA", SUMIFS('👥 Asistencia'!$H:$H, '👥 Asistencia'!$B:$B, B479, '👥 Asistencia'!$E:$E, "08:00") + SUMIFS('👥 Asistencia'!$H:$H, '👥 Asistencia'!$B:$B, B479, '👥 Asistencia'!$E:$E, "07:00"), SUMIFS('👥 Asistencia'!$H:$H, '👥 Asistencia'!$B:$B, B479, '👥 Asistencia'!$E:$E, "20:00")), 0))</f>
        <v/>
      </c>
      <c r="F479" s="18"/>
      <c r="G479" s="18"/>
      <c r="H479" s="33" t="str">
        <f t="shared" si="14"/>
        <v/>
      </c>
      <c r="I479" s="30" t="str">
        <f t="shared" si="15"/>
        <v/>
      </c>
    </row>
    <row r="480" spans="2:9" ht="18" customHeight="1" x14ac:dyDescent="0.3">
      <c r="B480" s="26"/>
      <c r="C480" s="27"/>
      <c r="D480" s="30" t="str">
        <f>IF(B480="","",IF(COUNTIF('👥 Asistencia'!$B:$B, B480)&gt;0, IF(C480="DIA", COUNTIFS('👥 Asistencia'!$B:$B, B480, '👥 Asistencia'!$E:$E, "08:00") + COUNTIFS('👥 Asistencia'!$B:$B, B480, '👥 Asistencia'!$E:$E, "07:00"), COUNTIFS('👥 Asistencia'!$B:$B, B480, '👥 Asistencia'!$E:$E, "20:00")), 6))</f>
        <v/>
      </c>
      <c r="E480" s="34" t="str">
        <f>IF(B480="","",IF(COUNTIF('👥 Asistencia'!$B:$B, B480)&gt;0, IF(C480="DIA", SUMIFS('👥 Asistencia'!$H:$H, '👥 Asistencia'!$B:$B, B480, '👥 Asistencia'!$E:$E, "08:00") + SUMIFS('👥 Asistencia'!$H:$H, '👥 Asistencia'!$B:$B, B480, '👥 Asistencia'!$E:$E, "07:00"), SUMIFS('👥 Asistencia'!$H:$H, '👥 Asistencia'!$B:$B, B480, '👥 Asistencia'!$E:$E, "20:00")), 0))</f>
        <v/>
      </c>
      <c r="F480" s="29"/>
      <c r="G480" s="29"/>
      <c r="H480" s="33" t="str">
        <f t="shared" si="14"/>
        <v/>
      </c>
      <c r="I480" s="30" t="str">
        <f t="shared" si="15"/>
        <v/>
      </c>
    </row>
    <row r="481" spans="2:9" ht="18" customHeight="1" x14ac:dyDescent="0.3">
      <c r="B481" s="26"/>
      <c r="C481" s="27"/>
      <c r="D481" s="30" t="str">
        <f>IF(B481="","",IF(COUNTIF('👥 Asistencia'!$B:$B, B481)&gt;0, IF(C481="DIA", COUNTIFS('👥 Asistencia'!$B:$B, B481, '👥 Asistencia'!$E:$E, "08:00") + COUNTIFS('👥 Asistencia'!$B:$B, B481, '👥 Asistencia'!$E:$E, "07:00"), COUNTIFS('👥 Asistencia'!$B:$B, B481, '👥 Asistencia'!$E:$E, "20:00")), 6))</f>
        <v/>
      </c>
      <c r="E481" s="34" t="str">
        <f>IF(B481="","",IF(COUNTIF('👥 Asistencia'!$B:$B, B481)&gt;0, IF(C481="DIA", SUMIFS('👥 Asistencia'!$H:$H, '👥 Asistencia'!$B:$B, B481, '👥 Asistencia'!$E:$E, "08:00") + SUMIFS('👥 Asistencia'!$H:$H, '👥 Asistencia'!$B:$B, B481, '👥 Asistencia'!$E:$E, "07:00"), SUMIFS('👥 Asistencia'!$H:$H, '👥 Asistencia'!$B:$B, B481, '👥 Asistencia'!$E:$E, "20:00")), 0))</f>
        <v/>
      </c>
      <c r="F481" s="18"/>
      <c r="G481" s="18"/>
      <c r="H481" s="33" t="str">
        <f t="shared" si="14"/>
        <v/>
      </c>
      <c r="I481" s="30" t="str">
        <f t="shared" si="15"/>
        <v/>
      </c>
    </row>
    <row r="482" spans="2:9" ht="18" customHeight="1" x14ac:dyDescent="0.3">
      <c r="B482" s="26"/>
      <c r="C482" s="27"/>
      <c r="D482" s="30" t="str">
        <f>IF(B482="","",IF(COUNTIF('👥 Asistencia'!$B:$B, B482)&gt;0, IF(C482="DIA", COUNTIFS('👥 Asistencia'!$B:$B, B482, '👥 Asistencia'!$E:$E, "08:00") + COUNTIFS('👥 Asistencia'!$B:$B, B482, '👥 Asistencia'!$E:$E, "07:00"), COUNTIFS('👥 Asistencia'!$B:$B, B482, '👥 Asistencia'!$E:$E, "20:00")), 6))</f>
        <v/>
      </c>
      <c r="E482" s="34" t="str">
        <f>IF(B482="","",IF(COUNTIF('👥 Asistencia'!$B:$B, B482)&gt;0, IF(C482="DIA", SUMIFS('👥 Asistencia'!$H:$H, '👥 Asistencia'!$B:$B, B482, '👥 Asistencia'!$E:$E, "08:00") + SUMIFS('👥 Asistencia'!$H:$H, '👥 Asistencia'!$B:$B, B482, '👥 Asistencia'!$E:$E, "07:00"), SUMIFS('👥 Asistencia'!$H:$H, '👥 Asistencia'!$B:$B, B482, '👥 Asistencia'!$E:$E, "20:00")), 0))</f>
        <v/>
      </c>
      <c r="F482" s="29"/>
      <c r="G482" s="29"/>
      <c r="H482" s="33" t="str">
        <f t="shared" si="14"/>
        <v/>
      </c>
      <c r="I482" s="30" t="str">
        <f t="shared" si="15"/>
        <v/>
      </c>
    </row>
    <row r="483" spans="2:9" ht="18" customHeight="1" x14ac:dyDescent="0.3">
      <c r="B483" s="26"/>
      <c r="C483" s="27"/>
      <c r="D483" s="30" t="str">
        <f>IF(B483="","",IF(COUNTIF('👥 Asistencia'!$B:$B, B483)&gt;0, IF(C483="DIA", COUNTIFS('👥 Asistencia'!$B:$B, B483, '👥 Asistencia'!$E:$E, "08:00") + COUNTIFS('👥 Asistencia'!$B:$B, B483, '👥 Asistencia'!$E:$E, "07:00"), COUNTIFS('👥 Asistencia'!$B:$B, B483, '👥 Asistencia'!$E:$E, "20:00")), 6))</f>
        <v/>
      </c>
      <c r="E483" s="34" t="str">
        <f>IF(B483="","",IF(COUNTIF('👥 Asistencia'!$B:$B, B483)&gt;0, IF(C483="DIA", SUMIFS('👥 Asistencia'!$H:$H, '👥 Asistencia'!$B:$B, B483, '👥 Asistencia'!$E:$E, "08:00") + SUMIFS('👥 Asistencia'!$H:$H, '👥 Asistencia'!$B:$B, B483, '👥 Asistencia'!$E:$E, "07:00"), SUMIFS('👥 Asistencia'!$H:$H, '👥 Asistencia'!$B:$B, B483, '👥 Asistencia'!$E:$E, "20:00")), 0))</f>
        <v/>
      </c>
      <c r="F483" s="18"/>
      <c r="G483" s="18"/>
      <c r="H483" s="33" t="str">
        <f t="shared" si="14"/>
        <v/>
      </c>
      <c r="I483" s="30" t="str">
        <f t="shared" si="15"/>
        <v/>
      </c>
    </row>
    <row r="484" spans="2:9" ht="18" customHeight="1" x14ac:dyDescent="0.3">
      <c r="B484" s="26"/>
      <c r="C484" s="27"/>
      <c r="D484" s="30" t="str">
        <f>IF(B484="","",IF(COUNTIF('👥 Asistencia'!$B:$B, B484)&gt;0, IF(C484="DIA", COUNTIFS('👥 Asistencia'!$B:$B, B484, '👥 Asistencia'!$E:$E, "08:00") + COUNTIFS('👥 Asistencia'!$B:$B, B484, '👥 Asistencia'!$E:$E, "07:00"), COUNTIFS('👥 Asistencia'!$B:$B, B484, '👥 Asistencia'!$E:$E, "20:00")), 6))</f>
        <v/>
      </c>
      <c r="E484" s="34" t="str">
        <f>IF(B484="","",IF(COUNTIF('👥 Asistencia'!$B:$B, B484)&gt;0, IF(C484="DIA", SUMIFS('👥 Asistencia'!$H:$H, '👥 Asistencia'!$B:$B, B484, '👥 Asistencia'!$E:$E, "08:00") + SUMIFS('👥 Asistencia'!$H:$H, '👥 Asistencia'!$B:$B, B484, '👥 Asistencia'!$E:$E, "07:00"), SUMIFS('👥 Asistencia'!$H:$H, '👥 Asistencia'!$B:$B, B484, '👥 Asistencia'!$E:$E, "20:00")), 0))</f>
        <v/>
      </c>
      <c r="F484" s="29"/>
      <c r="G484" s="29"/>
      <c r="H484" s="33" t="str">
        <f t="shared" si="14"/>
        <v/>
      </c>
      <c r="I484" s="30" t="str">
        <f t="shared" si="15"/>
        <v/>
      </c>
    </row>
    <row r="485" spans="2:9" ht="18" customHeight="1" x14ac:dyDescent="0.3">
      <c r="B485" s="26"/>
      <c r="C485" s="27"/>
      <c r="D485" s="30" t="str">
        <f>IF(B485="","",IF(COUNTIF('👥 Asistencia'!$B:$B, B485)&gt;0, IF(C485="DIA", COUNTIFS('👥 Asistencia'!$B:$B, B485, '👥 Asistencia'!$E:$E, "08:00") + COUNTIFS('👥 Asistencia'!$B:$B, B485, '👥 Asistencia'!$E:$E, "07:00"), COUNTIFS('👥 Asistencia'!$B:$B, B485, '👥 Asistencia'!$E:$E, "20:00")), 6))</f>
        <v/>
      </c>
      <c r="E485" s="34" t="str">
        <f>IF(B485="","",IF(COUNTIF('👥 Asistencia'!$B:$B, B485)&gt;0, IF(C485="DIA", SUMIFS('👥 Asistencia'!$H:$H, '👥 Asistencia'!$B:$B, B485, '👥 Asistencia'!$E:$E, "08:00") + SUMIFS('👥 Asistencia'!$H:$H, '👥 Asistencia'!$B:$B, B485, '👥 Asistencia'!$E:$E, "07:00"), SUMIFS('👥 Asistencia'!$H:$H, '👥 Asistencia'!$B:$B, B485, '👥 Asistencia'!$E:$E, "20:00")), 0))</f>
        <v/>
      </c>
      <c r="F485" s="18"/>
      <c r="G485" s="18"/>
      <c r="H485" s="33" t="str">
        <f t="shared" si="14"/>
        <v/>
      </c>
      <c r="I485" s="30" t="str">
        <f t="shared" si="15"/>
        <v/>
      </c>
    </row>
    <row r="486" spans="2:9" ht="18" customHeight="1" x14ac:dyDescent="0.3">
      <c r="B486" s="26"/>
      <c r="C486" s="27"/>
      <c r="D486" s="30" t="str">
        <f>IF(B486="","",IF(COUNTIF('👥 Asistencia'!$B:$B, B486)&gt;0, IF(C486="DIA", COUNTIFS('👥 Asistencia'!$B:$B, B486, '👥 Asistencia'!$E:$E, "08:00") + COUNTIFS('👥 Asistencia'!$B:$B, B486, '👥 Asistencia'!$E:$E, "07:00"), COUNTIFS('👥 Asistencia'!$B:$B, B486, '👥 Asistencia'!$E:$E, "20:00")), 6))</f>
        <v/>
      </c>
      <c r="E486" s="34" t="str">
        <f>IF(B486="","",IF(COUNTIF('👥 Asistencia'!$B:$B, B486)&gt;0, IF(C486="DIA", SUMIFS('👥 Asistencia'!$H:$H, '👥 Asistencia'!$B:$B, B486, '👥 Asistencia'!$E:$E, "08:00") + SUMIFS('👥 Asistencia'!$H:$H, '👥 Asistencia'!$B:$B, B486, '👥 Asistencia'!$E:$E, "07:00"), SUMIFS('👥 Asistencia'!$H:$H, '👥 Asistencia'!$B:$B, B486, '👥 Asistencia'!$E:$E, "20:00")), 0))</f>
        <v/>
      </c>
      <c r="F486" s="29"/>
      <c r="G486" s="29"/>
      <c r="H486" s="33" t="str">
        <f t="shared" si="14"/>
        <v/>
      </c>
      <c r="I486" s="30" t="str">
        <f t="shared" si="15"/>
        <v/>
      </c>
    </row>
    <row r="487" spans="2:9" ht="18" customHeight="1" x14ac:dyDescent="0.3">
      <c r="B487" s="26"/>
      <c r="C487" s="27"/>
      <c r="D487" s="30" t="str">
        <f>IF(B487="","",IF(COUNTIF('👥 Asistencia'!$B:$B, B487)&gt;0, IF(C487="DIA", COUNTIFS('👥 Asistencia'!$B:$B, B487, '👥 Asistencia'!$E:$E, "08:00") + COUNTIFS('👥 Asistencia'!$B:$B, B487, '👥 Asistencia'!$E:$E, "07:00"), COUNTIFS('👥 Asistencia'!$B:$B, B487, '👥 Asistencia'!$E:$E, "20:00")), 6))</f>
        <v/>
      </c>
      <c r="E487" s="34" t="str">
        <f>IF(B487="","",IF(COUNTIF('👥 Asistencia'!$B:$B, B487)&gt;0, IF(C487="DIA", SUMIFS('👥 Asistencia'!$H:$H, '👥 Asistencia'!$B:$B, B487, '👥 Asistencia'!$E:$E, "08:00") + SUMIFS('👥 Asistencia'!$H:$H, '👥 Asistencia'!$B:$B, B487, '👥 Asistencia'!$E:$E, "07:00"), SUMIFS('👥 Asistencia'!$H:$H, '👥 Asistencia'!$B:$B, B487, '👥 Asistencia'!$E:$E, "20:00")), 0))</f>
        <v/>
      </c>
      <c r="F487" s="18"/>
      <c r="G487" s="18"/>
      <c r="H487" s="33" t="str">
        <f t="shared" si="14"/>
        <v/>
      </c>
      <c r="I487" s="30" t="str">
        <f t="shared" si="15"/>
        <v/>
      </c>
    </row>
    <row r="488" spans="2:9" ht="18" customHeight="1" x14ac:dyDescent="0.3">
      <c r="B488" s="26"/>
      <c r="C488" s="27"/>
      <c r="D488" s="30" t="str">
        <f>IF(B488="","",IF(COUNTIF('👥 Asistencia'!$B:$B, B488)&gt;0, IF(C488="DIA", COUNTIFS('👥 Asistencia'!$B:$B, B488, '👥 Asistencia'!$E:$E, "08:00") + COUNTIFS('👥 Asistencia'!$B:$B, B488, '👥 Asistencia'!$E:$E, "07:00"), COUNTIFS('👥 Asistencia'!$B:$B, B488, '👥 Asistencia'!$E:$E, "20:00")), 6))</f>
        <v/>
      </c>
      <c r="E488" s="34" t="str">
        <f>IF(B488="","",IF(COUNTIF('👥 Asistencia'!$B:$B, B488)&gt;0, IF(C488="DIA", SUMIFS('👥 Asistencia'!$H:$H, '👥 Asistencia'!$B:$B, B488, '👥 Asistencia'!$E:$E, "08:00") + SUMIFS('👥 Asistencia'!$H:$H, '👥 Asistencia'!$B:$B, B488, '👥 Asistencia'!$E:$E, "07:00"), SUMIFS('👥 Asistencia'!$H:$H, '👥 Asistencia'!$B:$B, B488, '👥 Asistencia'!$E:$E, "20:00")), 0))</f>
        <v/>
      </c>
      <c r="F488" s="29"/>
      <c r="G488" s="29"/>
      <c r="H488" s="33" t="str">
        <f t="shared" si="14"/>
        <v/>
      </c>
      <c r="I488" s="30" t="str">
        <f t="shared" si="15"/>
        <v/>
      </c>
    </row>
    <row r="489" spans="2:9" ht="18" customHeight="1" x14ac:dyDescent="0.3">
      <c r="B489" s="26"/>
      <c r="C489" s="27"/>
      <c r="D489" s="30" t="str">
        <f>IF(B489="","",IF(COUNTIF('👥 Asistencia'!$B:$B, B489)&gt;0, IF(C489="DIA", COUNTIFS('👥 Asistencia'!$B:$B, B489, '👥 Asistencia'!$E:$E, "08:00") + COUNTIFS('👥 Asistencia'!$B:$B, B489, '👥 Asistencia'!$E:$E, "07:00"), COUNTIFS('👥 Asistencia'!$B:$B, B489, '👥 Asistencia'!$E:$E, "20:00")), 6))</f>
        <v/>
      </c>
      <c r="E489" s="34" t="str">
        <f>IF(B489="","",IF(COUNTIF('👥 Asistencia'!$B:$B, B489)&gt;0, IF(C489="DIA", SUMIFS('👥 Asistencia'!$H:$H, '👥 Asistencia'!$B:$B, B489, '👥 Asistencia'!$E:$E, "08:00") + SUMIFS('👥 Asistencia'!$H:$H, '👥 Asistencia'!$B:$B, B489, '👥 Asistencia'!$E:$E, "07:00"), SUMIFS('👥 Asistencia'!$H:$H, '👥 Asistencia'!$B:$B, B489, '👥 Asistencia'!$E:$E, "20:00")), 0))</f>
        <v/>
      </c>
      <c r="F489" s="18"/>
      <c r="G489" s="18"/>
      <c r="H489" s="33" t="str">
        <f t="shared" si="14"/>
        <v/>
      </c>
      <c r="I489" s="30" t="str">
        <f t="shared" si="15"/>
        <v/>
      </c>
    </row>
    <row r="490" spans="2:9" ht="25.95" customHeight="1" x14ac:dyDescent="0.3">
      <c r="B490" s="16" t="s">
        <v>117</v>
      </c>
      <c r="D490" s="35">
        <f>SUM(D5:D489)</f>
        <v>504</v>
      </c>
      <c r="E490" s="35">
        <f>SUM(E5:E489)</f>
        <v>92</v>
      </c>
      <c r="F490" s="35">
        <f>SUM(F5:F489)</f>
        <v>15</v>
      </c>
      <c r="G490" s="35">
        <f>SUM(G5:G489)</f>
        <v>5</v>
      </c>
      <c r="I490" s="35">
        <f>SUM(I5:I489)</f>
        <v>0</v>
      </c>
    </row>
  </sheetData>
  <mergeCells count="2">
    <mergeCell ref="B1:I1"/>
    <mergeCell ref="B2:I2"/>
  </mergeCells>
  <pageMargins left="0.75" right="0.75" top="1" bottom="1" header="0.5" footer="0.5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35"/>
  <sheetViews>
    <sheetView showGridLines="0" zoomScaleNormal="100" workbookViewId="0">
      <pane xSplit="1" ySplit="4" topLeftCell="B17" activePane="bottomRight" state="frozen"/>
      <selection pane="topRight"/>
      <selection pane="bottomLeft"/>
      <selection pane="bottomRight" activeCell="C24" sqref="C24"/>
    </sheetView>
  </sheetViews>
  <sheetFormatPr baseColWidth="10" defaultColWidth="8.88671875" defaultRowHeight="14.4" customHeight="1" x14ac:dyDescent="0.3"/>
  <cols>
    <col min="1" max="1" width="3" customWidth="1"/>
    <col min="2" max="2" width="38" customWidth="1"/>
    <col min="3" max="3" width="16" customWidth="1"/>
    <col min="4" max="4" width="42" customWidth="1"/>
    <col min="5" max="5" width="12" customWidth="1"/>
  </cols>
  <sheetData>
    <row r="1" spans="2:5" ht="34.950000000000003" customHeight="1" x14ac:dyDescent="0.3">
      <c r="B1" s="77" t="s">
        <v>206</v>
      </c>
      <c r="C1" s="72"/>
      <c r="D1" s="72"/>
      <c r="E1" s="72"/>
    </row>
    <row r="2" spans="2:5" ht="28.05" customHeight="1" x14ac:dyDescent="0.3">
      <c r="B2" s="82" t="s">
        <v>207</v>
      </c>
      <c r="C2" s="72"/>
      <c r="D2" s="72"/>
      <c r="E2" s="72"/>
    </row>
    <row r="3" spans="2:5" ht="4.05" customHeight="1" x14ac:dyDescent="0.25">
      <c r="B3" s="1"/>
      <c r="C3" s="1"/>
      <c r="D3" s="1"/>
      <c r="E3" s="1"/>
    </row>
    <row r="4" spans="2:5" ht="28.05" customHeight="1" x14ac:dyDescent="0.3">
      <c r="B4" s="16" t="s">
        <v>208</v>
      </c>
      <c r="C4" s="16" t="s">
        <v>209</v>
      </c>
      <c r="D4" s="16" t="s">
        <v>121</v>
      </c>
      <c r="E4" s="16" t="s">
        <v>210</v>
      </c>
    </row>
    <row r="5" spans="2:5" ht="22.05" customHeight="1" x14ac:dyDescent="0.3">
      <c r="B5" s="17" t="s">
        <v>211</v>
      </c>
      <c r="C5" s="40">
        <v>30</v>
      </c>
      <c r="D5" s="41" t="s">
        <v>212</v>
      </c>
      <c r="E5" s="42" t="s">
        <v>213</v>
      </c>
    </row>
    <row r="6" spans="2:5" ht="22.05" customHeight="1" x14ac:dyDescent="0.3">
      <c r="B6" s="17" t="s">
        <v>214</v>
      </c>
      <c r="C6" s="43">
        <v>1</v>
      </c>
      <c r="D6" s="44" t="s">
        <v>215</v>
      </c>
      <c r="E6" s="45" t="s">
        <v>213</v>
      </c>
    </row>
    <row r="7" spans="2:5" ht="22.05" customHeight="1" x14ac:dyDescent="0.3">
      <c r="B7" s="17" t="s">
        <v>216</v>
      </c>
      <c r="C7" s="40">
        <v>8674.94</v>
      </c>
      <c r="D7" s="41" t="s">
        <v>217</v>
      </c>
      <c r="E7" s="42" t="s">
        <v>213</v>
      </c>
    </row>
    <row r="8" spans="2:5" ht="22.05" customHeight="1" x14ac:dyDescent="0.25">
      <c r="B8" s="17" t="s">
        <v>218</v>
      </c>
      <c r="C8" s="43">
        <v>2.75</v>
      </c>
      <c r="D8" s="44" t="s">
        <v>219</v>
      </c>
      <c r="E8" s="45" t="s">
        <v>213</v>
      </c>
    </row>
    <row r="9" spans="2:5" ht="22.05" customHeight="1" x14ac:dyDescent="0.3">
      <c r="B9" s="17" t="s">
        <v>220</v>
      </c>
      <c r="C9" s="40">
        <v>5000</v>
      </c>
      <c r="D9" s="41" t="s">
        <v>221</v>
      </c>
      <c r="E9" s="42" t="s">
        <v>213</v>
      </c>
    </row>
    <row r="10" spans="2:5" ht="22.05" customHeight="1" x14ac:dyDescent="0.25">
      <c r="B10" s="17" t="s">
        <v>222</v>
      </c>
      <c r="C10" s="43">
        <v>1.64</v>
      </c>
      <c r="D10" s="44"/>
      <c r="E10" s="45" t="s">
        <v>213</v>
      </c>
    </row>
    <row r="11" spans="2:5" ht="22.05" customHeight="1" x14ac:dyDescent="0.3">
      <c r="B11" s="17" t="s">
        <v>223</v>
      </c>
      <c r="C11" s="40">
        <v>0</v>
      </c>
      <c r="D11" s="41" t="s">
        <v>224</v>
      </c>
      <c r="E11" s="42" t="s">
        <v>213</v>
      </c>
    </row>
    <row r="12" spans="2:5" ht="22.05" customHeight="1" x14ac:dyDescent="0.25">
      <c r="B12" s="17" t="s">
        <v>225</v>
      </c>
      <c r="C12" s="43">
        <v>1</v>
      </c>
      <c r="D12" s="44" t="s">
        <v>226</v>
      </c>
      <c r="E12" s="45" t="s">
        <v>213</v>
      </c>
    </row>
    <row r="13" spans="2:5" ht="22.05" customHeight="1" x14ac:dyDescent="0.3">
      <c r="B13" s="17" t="s">
        <v>227</v>
      </c>
      <c r="C13" s="40">
        <v>8674.94</v>
      </c>
      <c r="D13" s="41" t="s">
        <v>228</v>
      </c>
      <c r="E13" s="42" t="s">
        <v>213</v>
      </c>
    </row>
    <row r="14" spans="2:5" ht="22.05" customHeight="1" x14ac:dyDescent="0.25">
      <c r="B14" s="17" t="s">
        <v>229</v>
      </c>
      <c r="C14" s="43">
        <v>2.75</v>
      </c>
      <c r="D14" s="44"/>
      <c r="E14" s="45" t="s">
        <v>213</v>
      </c>
    </row>
    <row r="15" spans="2:5" ht="22.05" customHeight="1" x14ac:dyDescent="0.25">
      <c r="B15" s="17" t="s">
        <v>230</v>
      </c>
      <c r="C15" s="40">
        <v>3000</v>
      </c>
      <c r="D15" s="41" t="s">
        <v>231</v>
      </c>
      <c r="E15" s="42" t="s">
        <v>213</v>
      </c>
    </row>
    <row r="16" spans="2:5" ht="22.05" customHeight="1" x14ac:dyDescent="0.25">
      <c r="B16" s="17" t="s">
        <v>232</v>
      </c>
      <c r="C16" s="43">
        <v>1.64</v>
      </c>
      <c r="D16" s="44"/>
      <c r="E16" s="45" t="s">
        <v>213</v>
      </c>
    </row>
    <row r="18" spans="2:5" ht="25.95" customHeight="1" x14ac:dyDescent="0.3">
      <c r="B18" s="83" t="s">
        <v>233</v>
      </c>
      <c r="C18" s="72"/>
      <c r="D18" s="72"/>
      <c r="E18" s="72"/>
    </row>
    <row r="19" spans="2:5" ht="24" customHeight="1" x14ac:dyDescent="0.3">
      <c r="B19" s="46" t="s">
        <v>208</v>
      </c>
      <c r="C19" s="46" t="s">
        <v>209</v>
      </c>
      <c r="D19" s="46" t="s">
        <v>121</v>
      </c>
      <c r="E19" s="46" t="s">
        <v>210</v>
      </c>
    </row>
    <row r="20" spans="2:5" ht="22.05" customHeight="1" x14ac:dyDescent="0.3">
      <c r="B20" s="47" t="s">
        <v>234</v>
      </c>
      <c r="C20" s="31">
        <f>C6*C7*C8</f>
        <v>23856.085000000003</v>
      </c>
      <c r="D20" s="44" t="s">
        <v>235</v>
      </c>
      <c r="E20" s="48" t="s">
        <v>236</v>
      </c>
    </row>
    <row r="21" spans="2:5" ht="22.05" customHeight="1" x14ac:dyDescent="0.3">
      <c r="B21" s="49" t="s">
        <v>237</v>
      </c>
      <c r="C21" s="31">
        <f>C9*C10</f>
        <v>8200</v>
      </c>
      <c r="D21" s="41" t="s">
        <v>238</v>
      </c>
      <c r="E21" s="50" t="s">
        <v>236</v>
      </c>
    </row>
    <row r="22" spans="2:5" ht="22.05" customHeight="1" x14ac:dyDescent="0.3">
      <c r="B22" s="47" t="s">
        <v>239</v>
      </c>
      <c r="C22" s="31">
        <f>(C6+1)*C11*C5</f>
        <v>0</v>
      </c>
      <c r="D22" s="44" t="s">
        <v>240</v>
      </c>
      <c r="E22" s="48" t="s">
        <v>236</v>
      </c>
    </row>
    <row r="23" spans="2:5" ht="22.05" customHeight="1" x14ac:dyDescent="0.3">
      <c r="B23" s="49" t="s">
        <v>241</v>
      </c>
      <c r="C23" s="31">
        <f>C21/C5</f>
        <v>273.33333333333331</v>
      </c>
      <c r="D23" s="41"/>
      <c r="E23" s="50"/>
    </row>
    <row r="24" spans="2:5" ht="22.05" customHeight="1" x14ac:dyDescent="0.25">
      <c r="B24" s="47" t="s">
        <v>242</v>
      </c>
      <c r="C24" s="31">
        <f>C20/C5</f>
        <v>795.20283333333339</v>
      </c>
      <c r="D24" s="44"/>
      <c r="E24" s="48"/>
    </row>
    <row r="25" spans="2:5" ht="22.05" customHeight="1" x14ac:dyDescent="0.3">
      <c r="B25" s="49" t="s">
        <v>243</v>
      </c>
      <c r="C25" s="31">
        <f>C20+C21</f>
        <v>32056.085000000003</v>
      </c>
      <c r="D25" s="41"/>
      <c r="E25" s="50" t="s">
        <v>236</v>
      </c>
    </row>
    <row r="26" spans="2:5" ht="22.05" customHeight="1" x14ac:dyDescent="0.25">
      <c r="B26" s="47" t="s">
        <v>244</v>
      </c>
      <c r="C26" s="31">
        <f>C25/C5</f>
        <v>1068.5361666666668</v>
      </c>
      <c r="D26" s="44"/>
      <c r="E26" s="48"/>
    </row>
    <row r="28" spans="2:5" ht="25.95" customHeight="1" x14ac:dyDescent="0.3">
      <c r="B28" s="83" t="s">
        <v>245</v>
      </c>
      <c r="C28" s="72"/>
      <c r="D28" s="72"/>
      <c r="E28" s="72"/>
    </row>
    <row r="29" spans="2:5" ht="24" customHeight="1" x14ac:dyDescent="0.3">
      <c r="B29" s="46" t="s">
        <v>208</v>
      </c>
      <c r="C29" s="46" t="s">
        <v>209</v>
      </c>
      <c r="D29" s="46" t="s">
        <v>121</v>
      </c>
      <c r="E29" s="46" t="s">
        <v>210</v>
      </c>
    </row>
    <row r="30" spans="2:5" ht="22.05" customHeight="1" x14ac:dyDescent="0.3">
      <c r="B30" s="47" t="s">
        <v>246</v>
      </c>
      <c r="C30" s="31">
        <f>C12*C13*C14</f>
        <v>23856.085000000003</v>
      </c>
      <c r="D30" s="44"/>
      <c r="E30" s="48" t="s">
        <v>236</v>
      </c>
    </row>
    <row r="31" spans="2:5" ht="22.05" customHeight="1" x14ac:dyDescent="0.3">
      <c r="B31" s="49" t="s">
        <v>247</v>
      </c>
      <c r="C31" s="31">
        <f>C15*C16</f>
        <v>4920</v>
      </c>
      <c r="D31" s="41"/>
      <c r="E31" s="50" t="s">
        <v>236</v>
      </c>
    </row>
    <row r="32" spans="2:5" ht="22.05" customHeight="1" x14ac:dyDescent="0.3">
      <c r="B32" s="47" t="s">
        <v>248</v>
      </c>
      <c r="C32" s="31">
        <f>(C12+1)*C11*C5</f>
        <v>0</v>
      </c>
      <c r="D32" s="44" t="s">
        <v>240</v>
      </c>
      <c r="E32" s="48" t="s">
        <v>236</v>
      </c>
    </row>
    <row r="33" spans="2:5" ht="22.05" customHeight="1" x14ac:dyDescent="0.25">
      <c r="B33" s="49" t="s">
        <v>249</v>
      </c>
      <c r="C33" s="31">
        <f>C31/C5</f>
        <v>164</v>
      </c>
      <c r="D33" s="41"/>
      <c r="E33" s="50"/>
    </row>
    <row r="34" spans="2:5" ht="22.05" customHeight="1" x14ac:dyDescent="0.3">
      <c r="B34" s="47" t="s">
        <v>250</v>
      </c>
      <c r="C34" s="31">
        <f>C30+C31</f>
        <v>28776.085000000003</v>
      </c>
      <c r="D34" s="44"/>
      <c r="E34" s="48" t="s">
        <v>236</v>
      </c>
    </row>
    <row r="35" spans="2:5" ht="22.05" customHeight="1" x14ac:dyDescent="0.3">
      <c r="B35" s="49" t="s">
        <v>251</v>
      </c>
      <c r="C35" s="31">
        <f>C34/C5</f>
        <v>959.20283333333339</v>
      </c>
      <c r="D35" s="41" t="s">
        <v>252</v>
      </c>
      <c r="E35" s="50" t="s">
        <v>236</v>
      </c>
    </row>
  </sheetData>
  <mergeCells count="4">
    <mergeCell ref="B1:E1"/>
    <mergeCell ref="B2:E2"/>
    <mergeCell ref="B18:E18"/>
    <mergeCell ref="B28:E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99"/>
  <sheetViews>
    <sheetView showGridLines="0"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customHeight="1" x14ac:dyDescent="0.3"/>
  <cols>
    <col min="1" max="1" width="3" customWidth="1"/>
    <col min="2" max="2" width="38" customWidth="1"/>
    <col min="3" max="4" width="16" customWidth="1"/>
    <col min="5" max="5" width="3" customWidth="1"/>
  </cols>
  <sheetData>
    <row r="1" spans="2:4" ht="34.950000000000003" customHeight="1" x14ac:dyDescent="0.3">
      <c r="B1" s="77" t="s">
        <v>253</v>
      </c>
      <c r="C1" s="72"/>
      <c r="D1" s="72"/>
    </row>
    <row r="2" spans="2:4" ht="28.05" customHeight="1" x14ac:dyDescent="0.3">
      <c r="B2" s="82" t="s">
        <v>254</v>
      </c>
      <c r="C2" s="72"/>
      <c r="D2" s="72"/>
    </row>
    <row r="3" spans="2:4" ht="4.05" customHeight="1" x14ac:dyDescent="0.25">
      <c r="B3" s="1"/>
      <c r="C3" s="1"/>
      <c r="D3" s="1"/>
    </row>
    <row r="4" spans="2:4" ht="28.05" customHeight="1" x14ac:dyDescent="0.3">
      <c r="B4" s="16" t="s">
        <v>255</v>
      </c>
      <c r="C4" s="16" t="s">
        <v>256</v>
      </c>
      <c r="D4" s="16" t="s">
        <v>257</v>
      </c>
    </row>
    <row r="5" spans="2:4" ht="22.05" customHeight="1" x14ac:dyDescent="0.25">
      <c r="B5" s="17" t="s">
        <v>140</v>
      </c>
      <c r="C5" s="51">
        <v>4.34</v>
      </c>
      <c r="D5" s="51">
        <v>5.79</v>
      </c>
    </row>
    <row r="6" spans="2:4" ht="22.05" customHeight="1" x14ac:dyDescent="0.25">
      <c r="B6" s="17" t="s">
        <v>258</v>
      </c>
      <c r="C6" s="43">
        <v>4.34</v>
      </c>
      <c r="D6" s="43">
        <v>5.79</v>
      </c>
    </row>
    <row r="7" spans="2:4" ht="22.05" customHeight="1" x14ac:dyDescent="0.25">
      <c r="B7" s="17" t="s">
        <v>137</v>
      </c>
      <c r="C7" s="51">
        <v>5.56</v>
      </c>
      <c r="D7" s="51">
        <v>7.41</v>
      </c>
    </row>
    <row r="8" spans="2:4" ht="22.05" customHeight="1" x14ac:dyDescent="0.25">
      <c r="B8" s="17" t="s">
        <v>129</v>
      </c>
      <c r="C8" s="43">
        <v>4.5199999999999996</v>
      </c>
      <c r="D8" s="43">
        <v>6.03</v>
      </c>
    </row>
    <row r="9" spans="2:4" ht="22.05" customHeight="1" x14ac:dyDescent="0.25">
      <c r="B9" s="17" t="s">
        <v>259</v>
      </c>
      <c r="C9" s="51">
        <v>4.5199999999999996</v>
      </c>
      <c r="D9" s="51">
        <v>6.03</v>
      </c>
    </row>
    <row r="10" spans="2:4" ht="22.05" customHeight="1" x14ac:dyDescent="0.25">
      <c r="B10" s="17" t="s">
        <v>133</v>
      </c>
      <c r="C10" s="43">
        <v>4.5199999999999996</v>
      </c>
      <c r="D10" s="43">
        <v>6.03</v>
      </c>
    </row>
    <row r="11" spans="2:4" ht="22.05" customHeight="1" x14ac:dyDescent="0.25">
      <c r="B11" s="17" t="s">
        <v>138</v>
      </c>
      <c r="C11" s="51">
        <v>4.34</v>
      </c>
      <c r="D11" s="51">
        <v>5.79</v>
      </c>
    </row>
    <row r="12" spans="2:4" ht="22.05" customHeight="1" x14ac:dyDescent="0.25">
      <c r="B12" s="17" t="s">
        <v>260</v>
      </c>
      <c r="C12" s="43">
        <v>4.5199999999999996</v>
      </c>
      <c r="D12" s="43">
        <v>6.03</v>
      </c>
    </row>
    <row r="13" spans="2:4" ht="22.05" customHeight="1" x14ac:dyDescent="0.25">
      <c r="B13" s="17" t="s">
        <v>261</v>
      </c>
      <c r="C13" s="51">
        <v>4.34</v>
      </c>
      <c r="D13" s="51">
        <v>5.79</v>
      </c>
    </row>
    <row r="14" spans="2:4" ht="22.05" customHeight="1" x14ac:dyDescent="0.25">
      <c r="B14" s="17" t="s">
        <v>262</v>
      </c>
      <c r="C14" s="43">
        <v>5.59</v>
      </c>
      <c r="D14" s="43">
        <v>7.45</v>
      </c>
    </row>
    <row r="15" spans="2:4" ht="22.05" customHeight="1" x14ac:dyDescent="0.25">
      <c r="B15" s="17" t="s">
        <v>263</v>
      </c>
      <c r="C15" s="51">
        <v>4.5199999999999996</v>
      </c>
      <c r="D15" s="51">
        <v>6.03</v>
      </c>
    </row>
    <row r="16" spans="2:4" ht="22.05" customHeight="1" x14ac:dyDescent="0.25">
      <c r="B16" s="17" t="s">
        <v>152</v>
      </c>
      <c r="C16" s="43">
        <v>4.5199999999999996</v>
      </c>
      <c r="D16" s="43">
        <v>6.03</v>
      </c>
    </row>
    <row r="17" spans="2:4" ht="22.05" customHeight="1" x14ac:dyDescent="0.25">
      <c r="B17" s="17" t="s">
        <v>264</v>
      </c>
      <c r="C17" s="51">
        <v>4.5199999999999996</v>
      </c>
      <c r="D17" s="51">
        <v>6.03</v>
      </c>
    </row>
    <row r="18" spans="2:4" ht="22.05" customHeight="1" x14ac:dyDescent="0.25">
      <c r="B18" s="17" t="s">
        <v>142</v>
      </c>
      <c r="C18" s="43">
        <v>6.19</v>
      </c>
      <c r="D18" s="43">
        <v>8.25</v>
      </c>
    </row>
    <row r="19" spans="2:4" ht="22.05" customHeight="1" x14ac:dyDescent="0.25">
      <c r="B19" s="17" t="s">
        <v>265</v>
      </c>
      <c r="C19" s="51">
        <v>6.19</v>
      </c>
      <c r="D19" s="51">
        <v>8.25</v>
      </c>
    </row>
    <row r="20" spans="2:4" ht="22.05" customHeight="1" x14ac:dyDescent="0.25">
      <c r="B20" s="17" t="s">
        <v>266</v>
      </c>
      <c r="C20" s="43">
        <v>6.19</v>
      </c>
      <c r="D20" s="43">
        <v>8.25</v>
      </c>
    </row>
    <row r="21" spans="2:4" ht="22.05" customHeight="1" x14ac:dyDescent="0.25">
      <c r="B21" s="17" t="s">
        <v>267</v>
      </c>
      <c r="C21" s="51">
        <v>6.19</v>
      </c>
      <c r="D21" s="51">
        <v>8.25</v>
      </c>
    </row>
    <row r="22" spans="2:4" ht="22.05" customHeight="1" x14ac:dyDescent="0.25">
      <c r="B22" s="17" t="s">
        <v>268</v>
      </c>
      <c r="C22" s="43">
        <v>4.5199999999999996</v>
      </c>
      <c r="D22" s="43">
        <v>6.03</v>
      </c>
    </row>
    <row r="23" spans="2:4" ht="22.05" customHeight="1" x14ac:dyDescent="0.25">
      <c r="B23" s="17" t="s">
        <v>269</v>
      </c>
      <c r="C23" s="51">
        <v>4.5199999999999996</v>
      </c>
      <c r="D23" s="51">
        <v>6.03</v>
      </c>
    </row>
    <row r="24" spans="2:4" ht="22.05" customHeight="1" x14ac:dyDescent="0.25">
      <c r="B24" s="17" t="s">
        <v>270</v>
      </c>
      <c r="C24" s="43">
        <v>4.5199999999999996</v>
      </c>
      <c r="D24" s="43">
        <v>6.03</v>
      </c>
    </row>
    <row r="25" spans="2:4" ht="22.05" customHeight="1" x14ac:dyDescent="0.3">
      <c r="B25" s="17" t="s">
        <v>145</v>
      </c>
      <c r="C25" s="51">
        <v>4.5199999999999996</v>
      </c>
      <c r="D25" s="51">
        <v>6.03</v>
      </c>
    </row>
    <row r="26" spans="2:4" ht="22.05" customHeight="1" x14ac:dyDescent="0.3">
      <c r="B26" s="17" t="s">
        <v>130</v>
      </c>
      <c r="C26" s="43">
        <v>4.5199999999999996</v>
      </c>
      <c r="D26" s="43">
        <v>6.03</v>
      </c>
    </row>
    <row r="27" spans="2:4" ht="22.05" customHeight="1" x14ac:dyDescent="0.3">
      <c r="B27" s="17" t="s">
        <v>158</v>
      </c>
      <c r="C27" s="51">
        <v>4.5199999999999996</v>
      </c>
      <c r="D27" s="51">
        <v>6.03</v>
      </c>
    </row>
    <row r="28" spans="2:4" ht="22.05" customHeight="1" x14ac:dyDescent="0.3">
      <c r="B28" s="17" t="s">
        <v>271</v>
      </c>
      <c r="C28" s="43">
        <v>6.19</v>
      </c>
      <c r="D28" s="43">
        <v>8.25</v>
      </c>
    </row>
    <row r="29" spans="2:4" ht="22.05" customHeight="1" x14ac:dyDescent="0.3">
      <c r="B29" s="17" t="s">
        <v>272</v>
      </c>
      <c r="C29" s="51">
        <v>6.19</v>
      </c>
      <c r="D29" s="51">
        <v>8.25</v>
      </c>
    </row>
    <row r="30" spans="2:4" ht="22.05" customHeight="1" x14ac:dyDescent="0.3">
      <c r="B30" s="17" t="s">
        <v>141</v>
      </c>
      <c r="C30" s="43">
        <v>6.19</v>
      </c>
      <c r="D30" s="43">
        <v>8.25</v>
      </c>
    </row>
    <row r="31" spans="2:4" ht="22.05" customHeight="1" x14ac:dyDescent="0.3">
      <c r="B31" s="17" t="s">
        <v>273</v>
      </c>
      <c r="C31" s="51">
        <v>6.19</v>
      </c>
      <c r="D31" s="51">
        <v>8.25</v>
      </c>
    </row>
    <row r="32" spans="2:4" ht="22.05" customHeight="1" x14ac:dyDescent="0.3">
      <c r="B32" s="17" t="s">
        <v>274</v>
      </c>
      <c r="C32" s="43">
        <v>6.19</v>
      </c>
      <c r="D32" s="43">
        <v>8.25</v>
      </c>
    </row>
    <row r="33" spans="2:4" ht="22.05" customHeight="1" x14ac:dyDescent="0.3">
      <c r="B33" s="17" t="s">
        <v>275</v>
      </c>
      <c r="C33" s="51">
        <v>6.19</v>
      </c>
      <c r="D33" s="51">
        <v>8.25</v>
      </c>
    </row>
    <row r="34" spans="2:4" ht="22.05" customHeight="1" x14ac:dyDescent="0.3">
      <c r="B34" s="17" t="s">
        <v>276</v>
      </c>
      <c r="C34" s="43">
        <v>4.5199999999999996</v>
      </c>
      <c r="D34" s="43">
        <v>6.03</v>
      </c>
    </row>
    <row r="35" spans="2:4" ht="22.05" customHeight="1" x14ac:dyDescent="0.3">
      <c r="B35" s="17" t="s">
        <v>162</v>
      </c>
      <c r="C35" s="51">
        <v>4.5199999999999996</v>
      </c>
      <c r="D35" s="51">
        <v>6.03</v>
      </c>
    </row>
    <row r="36" spans="2:4" ht="22.05" customHeight="1" x14ac:dyDescent="0.3">
      <c r="B36" s="17" t="s">
        <v>147</v>
      </c>
      <c r="C36" s="43">
        <v>4.5199999999999996</v>
      </c>
      <c r="D36" s="43">
        <v>6.03</v>
      </c>
    </row>
    <row r="37" spans="2:4" ht="22.05" customHeight="1" x14ac:dyDescent="0.3">
      <c r="B37" s="17" t="s">
        <v>277</v>
      </c>
      <c r="C37" s="51">
        <v>4.5199999999999996</v>
      </c>
      <c r="D37" s="51">
        <v>6.03</v>
      </c>
    </row>
    <row r="38" spans="2:4" ht="22.05" customHeight="1" x14ac:dyDescent="0.3">
      <c r="B38" s="17" t="s">
        <v>157</v>
      </c>
      <c r="C38" s="43">
        <v>4.5199999999999996</v>
      </c>
      <c r="D38" s="43">
        <v>6.03</v>
      </c>
    </row>
    <row r="39" spans="2:4" ht="22.05" customHeight="1" x14ac:dyDescent="0.3">
      <c r="B39" s="17" t="s">
        <v>128</v>
      </c>
      <c r="C39" s="51">
        <v>4.5199999999999996</v>
      </c>
      <c r="D39" s="51">
        <v>6.03</v>
      </c>
    </row>
    <row r="40" spans="2:4" ht="22.05" customHeight="1" x14ac:dyDescent="0.3">
      <c r="B40" s="17" t="s">
        <v>143</v>
      </c>
      <c r="C40" s="43">
        <v>4.74</v>
      </c>
      <c r="D40" s="43">
        <v>6.32</v>
      </c>
    </row>
    <row r="41" spans="2:4" ht="22.05" customHeight="1" x14ac:dyDescent="0.3">
      <c r="B41" s="17" t="s">
        <v>146</v>
      </c>
      <c r="C41" s="51">
        <v>4.5199999999999996</v>
      </c>
      <c r="D41" s="51">
        <v>6.03</v>
      </c>
    </row>
    <row r="42" spans="2:4" ht="22.05" customHeight="1" x14ac:dyDescent="0.3">
      <c r="B42" s="17" t="s">
        <v>278</v>
      </c>
      <c r="C42" s="43">
        <v>4.5199999999999996</v>
      </c>
      <c r="D42" s="43">
        <v>6.03</v>
      </c>
    </row>
    <row r="43" spans="2:4" ht="22.05" customHeight="1" x14ac:dyDescent="0.3">
      <c r="B43" s="17" t="s">
        <v>132</v>
      </c>
      <c r="C43" s="51">
        <v>4.5199999999999996</v>
      </c>
      <c r="D43" s="51">
        <v>6.03</v>
      </c>
    </row>
    <row r="44" spans="2:4" ht="22.05" customHeight="1" x14ac:dyDescent="0.3">
      <c r="B44" s="17" t="s">
        <v>279</v>
      </c>
      <c r="C44" s="43">
        <v>4.5199999999999996</v>
      </c>
      <c r="D44" s="43">
        <v>6.03</v>
      </c>
    </row>
    <row r="45" spans="2:4" ht="22.05" customHeight="1" x14ac:dyDescent="0.3">
      <c r="B45" s="17" t="s">
        <v>280</v>
      </c>
      <c r="C45" s="51">
        <v>4.5199999999999996</v>
      </c>
      <c r="D45" s="51">
        <v>6.03</v>
      </c>
    </row>
    <row r="46" spans="2:4" ht="22.05" customHeight="1" x14ac:dyDescent="0.3">
      <c r="B46" s="17" t="s">
        <v>136</v>
      </c>
      <c r="C46" s="43">
        <v>4.5199999999999996</v>
      </c>
      <c r="D46" s="43">
        <v>6.03</v>
      </c>
    </row>
    <row r="47" spans="2:4" ht="22.05" customHeight="1" x14ac:dyDescent="0.3">
      <c r="B47" s="17" t="s">
        <v>163</v>
      </c>
      <c r="C47" s="51">
        <v>5.56</v>
      </c>
      <c r="D47" s="51">
        <v>7.41</v>
      </c>
    </row>
    <row r="48" spans="2:4" ht="22.05" customHeight="1" x14ac:dyDescent="0.3">
      <c r="B48" s="17" t="s">
        <v>281</v>
      </c>
      <c r="C48" s="43">
        <v>45</v>
      </c>
      <c r="D48" s="43">
        <v>60</v>
      </c>
    </row>
    <row r="49" spans="2:4" ht="22.05" customHeight="1" x14ac:dyDescent="0.3">
      <c r="B49" s="17" t="s">
        <v>139</v>
      </c>
      <c r="C49" s="51">
        <v>45</v>
      </c>
      <c r="D49" s="51">
        <v>60</v>
      </c>
    </row>
    <row r="50" spans="2:4" ht="22.05" customHeight="1" x14ac:dyDescent="0.3">
      <c r="B50" s="17" t="s">
        <v>282</v>
      </c>
      <c r="C50" s="43">
        <v>4.5199999999999996</v>
      </c>
      <c r="D50" s="43">
        <v>6.03</v>
      </c>
    </row>
    <row r="51" spans="2:4" ht="22.05" customHeight="1" x14ac:dyDescent="0.3">
      <c r="B51" s="17" t="s">
        <v>135</v>
      </c>
      <c r="C51" s="51">
        <v>45</v>
      </c>
      <c r="D51" s="51">
        <v>60</v>
      </c>
    </row>
    <row r="52" spans="2:4" ht="22.05" customHeight="1" x14ac:dyDescent="0.3">
      <c r="B52" s="17" t="s">
        <v>131</v>
      </c>
      <c r="C52" s="43">
        <v>45</v>
      </c>
      <c r="D52" s="43">
        <v>60</v>
      </c>
    </row>
    <row r="53" spans="2:4" ht="22.05" customHeight="1" x14ac:dyDescent="0.3">
      <c r="B53" s="17" t="s">
        <v>134</v>
      </c>
      <c r="C53" s="51">
        <v>45</v>
      </c>
      <c r="D53" s="51">
        <v>60</v>
      </c>
    </row>
    <row r="54" spans="2:4" ht="22.05" customHeight="1" x14ac:dyDescent="0.3">
      <c r="B54" s="28"/>
      <c r="C54" s="52"/>
      <c r="D54" s="52"/>
    </row>
    <row r="55" spans="2:4" ht="22.05" customHeight="1" x14ac:dyDescent="0.3">
      <c r="B55" s="28"/>
      <c r="C55" s="52"/>
      <c r="D55" s="52"/>
    </row>
    <row r="56" spans="2:4" ht="22.05" customHeight="1" x14ac:dyDescent="0.3">
      <c r="B56" s="28"/>
      <c r="C56" s="52"/>
      <c r="D56" s="52"/>
    </row>
    <row r="57" spans="2:4" ht="22.05" customHeight="1" x14ac:dyDescent="0.3">
      <c r="B57" s="28"/>
      <c r="C57" s="52"/>
      <c r="D57" s="52"/>
    </row>
    <row r="58" spans="2:4" ht="22.05" customHeight="1" x14ac:dyDescent="0.3">
      <c r="B58" s="28"/>
      <c r="C58" s="52"/>
      <c r="D58" s="52"/>
    </row>
    <row r="59" spans="2:4" ht="22.05" customHeight="1" x14ac:dyDescent="0.3">
      <c r="B59" s="28"/>
      <c r="C59" s="52"/>
      <c r="D59" s="52"/>
    </row>
    <row r="60" spans="2:4" ht="22.05" customHeight="1" x14ac:dyDescent="0.3">
      <c r="B60" s="28"/>
      <c r="C60" s="52"/>
      <c r="D60" s="52"/>
    </row>
    <row r="61" spans="2:4" ht="22.05" customHeight="1" x14ac:dyDescent="0.3">
      <c r="B61" s="28"/>
      <c r="C61" s="52"/>
      <c r="D61" s="52"/>
    </row>
    <row r="62" spans="2:4" ht="22.05" customHeight="1" x14ac:dyDescent="0.3">
      <c r="B62" s="28"/>
      <c r="C62" s="52"/>
      <c r="D62" s="52"/>
    </row>
    <row r="63" spans="2:4" ht="22.05" customHeight="1" x14ac:dyDescent="0.3">
      <c r="B63" s="28"/>
      <c r="C63" s="52"/>
      <c r="D63" s="52"/>
    </row>
    <row r="64" spans="2:4" ht="22.05" customHeight="1" x14ac:dyDescent="0.3">
      <c r="B64" s="28"/>
      <c r="C64" s="52"/>
      <c r="D64" s="52"/>
    </row>
    <row r="65" spans="2:4" ht="22.05" customHeight="1" x14ac:dyDescent="0.3">
      <c r="B65" s="28"/>
      <c r="C65" s="52"/>
      <c r="D65" s="52"/>
    </row>
    <row r="66" spans="2:4" ht="22.05" customHeight="1" x14ac:dyDescent="0.3">
      <c r="B66" s="28"/>
      <c r="C66" s="52"/>
      <c r="D66" s="52"/>
    </row>
    <row r="67" spans="2:4" ht="22.05" customHeight="1" x14ac:dyDescent="0.3">
      <c r="B67" s="28"/>
      <c r="C67" s="52"/>
      <c r="D67" s="52"/>
    </row>
    <row r="68" spans="2:4" ht="22.05" customHeight="1" x14ac:dyDescent="0.3">
      <c r="B68" s="28"/>
      <c r="C68" s="52"/>
      <c r="D68" s="52"/>
    </row>
    <row r="69" spans="2:4" ht="22.05" customHeight="1" x14ac:dyDescent="0.3">
      <c r="B69" s="28"/>
      <c r="C69" s="52"/>
      <c r="D69" s="52"/>
    </row>
    <row r="70" spans="2:4" ht="22.05" customHeight="1" x14ac:dyDescent="0.3">
      <c r="B70" s="28"/>
      <c r="C70" s="52"/>
      <c r="D70" s="52"/>
    </row>
    <row r="71" spans="2:4" ht="22.05" customHeight="1" x14ac:dyDescent="0.3">
      <c r="B71" s="28"/>
      <c r="C71" s="52"/>
      <c r="D71" s="52"/>
    </row>
    <row r="72" spans="2:4" ht="22.05" customHeight="1" x14ac:dyDescent="0.3">
      <c r="B72" s="28"/>
      <c r="C72" s="52"/>
      <c r="D72" s="52"/>
    </row>
    <row r="73" spans="2:4" ht="22.05" customHeight="1" x14ac:dyDescent="0.3">
      <c r="B73" s="28"/>
      <c r="C73" s="52"/>
      <c r="D73" s="52"/>
    </row>
    <row r="74" spans="2:4" ht="22.05" customHeight="1" x14ac:dyDescent="0.3">
      <c r="B74" s="28"/>
      <c r="C74" s="52"/>
      <c r="D74" s="52"/>
    </row>
    <row r="75" spans="2:4" ht="22.05" customHeight="1" x14ac:dyDescent="0.3">
      <c r="B75" s="28"/>
      <c r="C75" s="52"/>
      <c r="D75" s="52"/>
    </row>
    <row r="76" spans="2:4" ht="22.05" customHeight="1" x14ac:dyDescent="0.3">
      <c r="B76" s="28"/>
      <c r="C76" s="52"/>
      <c r="D76" s="52"/>
    </row>
    <row r="77" spans="2:4" ht="22.05" customHeight="1" x14ac:dyDescent="0.3">
      <c r="B77" s="28"/>
      <c r="C77" s="52"/>
      <c r="D77" s="52"/>
    </row>
    <row r="78" spans="2:4" ht="22.05" customHeight="1" x14ac:dyDescent="0.3">
      <c r="B78" s="28"/>
      <c r="C78" s="52"/>
      <c r="D78" s="52"/>
    </row>
    <row r="79" spans="2:4" ht="22.05" customHeight="1" x14ac:dyDescent="0.3">
      <c r="B79" s="28"/>
      <c r="C79" s="52"/>
      <c r="D79" s="52"/>
    </row>
    <row r="80" spans="2:4" ht="22.05" customHeight="1" x14ac:dyDescent="0.3">
      <c r="B80" s="28"/>
      <c r="C80" s="52"/>
      <c r="D80" s="52"/>
    </row>
    <row r="81" spans="2:4" ht="22.05" customHeight="1" x14ac:dyDescent="0.3">
      <c r="B81" s="28"/>
      <c r="C81" s="52"/>
      <c r="D81" s="52"/>
    </row>
    <row r="82" spans="2:4" ht="22.05" customHeight="1" x14ac:dyDescent="0.3">
      <c r="B82" s="28"/>
      <c r="C82" s="52"/>
      <c r="D82" s="52"/>
    </row>
    <row r="83" spans="2:4" ht="22.05" customHeight="1" x14ac:dyDescent="0.3">
      <c r="B83" s="28"/>
      <c r="C83" s="52"/>
      <c r="D83" s="52"/>
    </row>
    <row r="84" spans="2:4" ht="22.05" customHeight="1" x14ac:dyDescent="0.3">
      <c r="B84" s="28"/>
      <c r="C84" s="52"/>
      <c r="D84" s="52"/>
    </row>
    <row r="85" spans="2:4" ht="22.05" customHeight="1" x14ac:dyDescent="0.3">
      <c r="B85" s="28"/>
      <c r="C85" s="52"/>
      <c r="D85" s="52"/>
    </row>
    <row r="86" spans="2:4" ht="22.05" customHeight="1" x14ac:dyDescent="0.3">
      <c r="B86" s="28"/>
      <c r="C86" s="52"/>
      <c r="D86" s="52"/>
    </row>
    <row r="87" spans="2:4" ht="22.05" customHeight="1" x14ac:dyDescent="0.3">
      <c r="B87" s="28"/>
      <c r="C87" s="52"/>
      <c r="D87" s="52"/>
    </row>
    <row r="88" spans="2:4" ht="22.05" customHeight="1" x14ac:dyDescent="0.3">
      <c r="B88" s="28"/>
      <c r="C88" s="52"/>
      <c r="D88" s="52"/>
    </row>
    <row r="89" spans="2:4" ht="22.05" customHeight="1" x14ac:dyDescent="0.3">
      <c r="B89" s="28"/>
      <c r="C89" s="52"/>
      <c r="D89" s="52"/>
    </row>
    <row r="90" spans="2:4" ht="22.05" customHeight="1" x14ac:dyDescent="0.3">
      <c r="B90" s="28"/>
      <c r="C90" s="52"/>
      <c r="D90" s="52"/>
    </row>
    <row r="91" spans="2:4" ht="22.05" customHeight="1" x14ac:dyDescent="0.3">
      <c r="B91" s="28"/>
      <c r="C91" s="52"/>
      <c r="D91" s="52"/>
    </row>
    <row r="92" spans="2:4" ht="22.05" customHeight="1" x14ac:dyDescent="0.3">
      <c r="B92" s="28"/>
      <c r="C92" s="52"/>
      <c r="D92" s="52"/>
    </row>
    <row r="93" spans="2:4" ht="22.05" customHeight="1" x14ac:dyDescent="0.3">
      <c r="B93" s="28"/>
      <c r="C93" s="52"/>
      <c r="D93" s="52"/>
    </row>
    <row r="94" spans="2:4" ht="22.05" customHeight="1" x14ac:dyDescent="0.3">
      <c r="B94" s="28"/>
      <c r="C94" s="52"/>
      <c r="D94" s="52"/>
    </row>
    <row r="95" spans="2:4" ht="22.05" customHeight="1" x14ac:dyDescent="0.3">
      <c r="B95" s="28"/>
      <c r="C95" s="52"/>
      <c r="D95" s="52"/>
    </row>
    <row r="96" spans="2:4" ht="22.05" customHeight="1" x14ac:dyDescent="0.3">
      <c r="B96" s="28"/>
      <c r="C96" s="52"/>
      <c r="D96" s="52"/>
    </row>
    <row r="97" spans="2:4" ht="22.05" customHeight="1" x14ac:dyDescent="0.3">
      <c r="B97" s="28"/>
      <c r="C97" s="52"/>
      <c r="D97" s="52"/>
    </row>
    <row r="98" spans="2:4" ht="22.05" customHeight="1" x14ac:dyDescent="0.3">
      <c r="B98" s="28"/>
      <c r="C98" s="52"/>
      <c r="D98" s="52"/>
    </row>
    <row r="99" spans="2:4" ht="22.05" customHeight="1" x14ac:dyDescent="0.3">
      <c r="B99" s="28"/>
      <c r="C99" s="52"/>
      <c r="D99" s="52"/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📊 Dashboard Ejecutivo</vt:lpstr>
      <vt:lpstr>📦 Rentabilidad por Producto</vt:lpstr>
      <vt:lpstr>🗓️ Mapa de Calor</vt:lpstr>
      <vt:lpstr>🌞🌙 Analisis por Turno</vt:lpstr>
      <vt:lpstr>📅 Resumen Diario</vt:lpstr>
      <vt:lpstr>📈 Datos Completos</vt:lpstr>
      <vt:lpstr>👥 Asistencia</vt:lpstr>
      <vt:lpstr>📋 Detalle Diario</vt:lpstr>
      <vt:lpstr>⚙️ Supuestos</vt:lpstr>
      <vt:lpstr>📦 Precios Proforma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2026-06-18T00:20:42Z</dcterms:created>
  <dcterms:modified xsi:type="dcterms:W3CDTF">2026-06-18T03:44:42Z</dcterms:modified>
</cp:coreProperties>
</file>